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O:\Todd L. Cooper, Jr\2026 Elections\050526\Audit - Recounts\"/>
    </mc:Choice>
  </mc:AlternateContent>
  <xr:revisionPtr revIDLastSave="0" documentId="13_ncr:1_{8783DC3A-E5C0-4142-AC83-4ACBD93C1CD7}" xr6:coauthVersionLast="47" xr6:coauthVersionMax="47" xr10:uidLastSave="{00000000-0000-0000-0000-000000000000}"/>
  <bookViews>
    <workbookView xWindow="-110" yWindow="-110" windowWidth="38620" windowHeight="2110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Audit!$A$4:$BL$1130</definedName>
    <definedName name="Candidates">Table10[#All]</definedName>
    <definedName name="Contest">GeneralInfo[[#Headers],[REP Governor]]</definedName>
    <definedName name="_xlnm.Print_Area" localSheetId="2">Audit!$A$1:$BN$1131</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8" l="1"/>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I1129" i="8"/>
  <c r="I1130"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L1130"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N1130"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O1130"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P1129" i="8"/>
  <c r="P1130"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E1129" i="8"/>
  <c r="AE1130"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Q1075" i="8" s="1"/>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F1128" i="8"/>
  <c r="AF1129" i="8"/>
  <c r="AF1130"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Q415" i="8" s="1"/>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Q487" i="8" s="1"/>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R559" i="8" s="1"/>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R890" i="8" s="1"/>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Q1111" i="8" s="1"/>
  <c r="AG1112" i="8"/>
  <c r="AG1113" i="8"/>
  <c r="AG1114" i="8"/>
  <c r="AG1115" i="8"/>
  <c r="AG1116" i="8"/>
  <c r="AG1117" i="8"/>
  <c r="AG1118" i="8"/>
  <c r="AG1119" i="8"/>
  <c r="AG1120" i="8"/>
  <c r="AG1121" i="8"/>
  <c r="AG1122" i="8"/>
  <c r="AG1123" i="8"/>
  <c r="AG1124" i="8"/>
  <c r="AG1125" i="8"/>
  <c r="AG1126" i="8"/>
  <c r="AG1127" i="8"/>
  <c r="AG1128" i="8"/>
  <c r="AG1129" i="8"/>
  <c r="AG1130"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R62" i="8" s="1"/>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Q110" i="8" s="1"/>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Q182" i="8" s="1"/>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Q230" i="8" s="1"/>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R254" i="8" s="1"/>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R283" i="8" s="1"/>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Q331" i="8" s="1"/>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R475" i="8" s="1"/>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Q518" i="8" s="1"/>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Q566" i="8" s="1"/>
  <c r="AH567" i="8"/>
  <c r="AH568" i="8"/>
  <c r="AH569" i="8"/>
  <c r="AH570" i="8"/>
  <c r="AH571" i="8"/>
  <c r="AQ571" i="8" s="1"/>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R614" i="8" s="1"/>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Q686" i="8" s="1"/>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Q734" i="8" s="1"/>
  <c r="AH735" i="8"/>
  <c r="AH736" i="8"/>
  <c r="AH737" i="8"/>
  <c r="AH738" i="8"/>
  <c r="AH739" i="8"/>
  <c r="AQ739" i="8" s="1"/>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Q811" i="8" s="1"/>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R835" i="8" s="1"/>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Q926" i="8" s="1"/>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Q950" i="8" s="1"/>
  <c r="AH951" i="8"/>
  <c r="AH952" i="8"/>
  <c r="AH953" i="8"/>
  <c r="AH954" i="8"/>
  <c r="AH955" i="8"/>
  <c r="AQ955" i="8" s="1"/>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Q998" i="8" s="1"/>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Q1027" i="8" s="1"/>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R1070" i="8" s="1"/>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R1094" i="8" s="1"/>
  <c r="AH1095" i="8"/>
  <c r="AH1096" i="8"/>
  <c r="AH1097" i="8"/>
  <c r="AH1098" i="8"/>
  <c r="AH1099" i="8"/>
  <c r="AQ1099" i="8" s="1"/>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Q1123" i="8" s="1"/>
  <c r="AH1124" i="8"/>
  <c r="AH1125" i="8"/>
  <c r="AH1126" i="8"/>
  <c r="AH1127" i="8"/>
  <c r="AH1128" i="8"/>
  <c r="AH1129" i="8"/>
  <c r="AH1130"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R79" i="8" s="1"/>
  <c r="AI80" i="8"/>
  <c r="AI81" i="8"/>
  <c r="AI82" i="8"/>
  <c r="AI83" i="8"/>
  <c r="AI84" i="8"/>
  <c r="AI85" i="8"/>
  <c r="AI86" i="8"/>
  <c r="AI87" i="8"/>
  <c r="AI88" i="8"/>
  <c r="AI89" i="8"/>
  <c r="AI90" i="8"/>
  <c r="AI91" i="8"/>
  <c r="AI92" i="8"/>
  <c r="AI93" i="8"/>
  <c r="AI94" i="8"/>
  <c r="AI95" i="8"/>
  <c r="AI96" i="8"/>
  <c r="AI97" i="8"/>
  <c r="AI98" i="8"/>
  <c r="AI99" i="8"/>
  <c r="AI100" i="8"/>
  <c r="AI101" i="8"/>
  <c r="AI102" i="8"/>
  <c r="AI103" i="8"/>
  <c r="AQ103" i="8" s="1"/>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R127" i="8" s="1"/>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Q175" i="8" s="1"/>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Q223" i="8" s="1"/>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R247" i="8" s="1"/>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Q295" i="8" s="1"/>
  <c r="AI296" i="8"/>
  <c r="AI297" i="8"/>
  <c r="AI298" i="8"/>
  <c r="AI299" i="8"/>
  <c r="AI300" i="8"/>
  <c r="AI301" i="8"/>
  <c r="AI302" i="8"/>
  <c r="AI303" i="8"/>
  <c r="AI304" i="8"/>
  <c r="AI305" i="8"/>
  <c r="AI306" i="8"/>
  <c r="AI307" i="8"/>
  <c r="AI308" i="8"/>
  <c r="AI309" i="8"/>
  <c r="AI310" i="8"/>
  <c r="AI311" i="8"/>
  <c r="AI312" i="8"/>
  <c r="AI313" i="8"/>
  <c r="AI314" i="8"/>
  <c r="AR314" i="8" s="1"/>
  <c r="AI315" i="8"/>
  <c r="AI316" i="8"/>
  <c r="AI317" i="8"/>
  <c r="AI318" i="8"/>
  <c r="AI319" i="8"/>
  <c r="AR319" i="8" s="1"/>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Q343" i="8" s="1"/>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Q367" i="8" s="1"/>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Q439" i="8" s="1"/>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R506" i="8" s="1"/>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R530" i="8" s="1"/>
  <c r="AI531" i="8"/>
  <c r="AI532" i="8"/>
  <c r="AI533" i="8"/>
  <c r="AI534" i="8"/>
  <c r="AI535" i="8"/>
  <c r="AR535" i="8" s="1"/>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R583" i="8" s="1"/>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R607" i="8" s="1"/>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Q655" i="8" s="1"/>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R698" i="8" s="1"/>
  <c r="AI699" i="8"/>
  <c r="AI700" i="8"/>
  <c r="AI701" i="8"/>
  <c r="AI702" i="8"/>
  <c r="AI703" i="8"/>
  <c r="AR703" i="8" s="1"/>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Q727" i="8" s="1"/>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R751" i="8" s="1"/>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R866" i="8" s="1"/>
  <c r="AI867" i="8"/>
  <c r="AI868" i="8"/>
  <c r="AI869" i="8"/>
  <c r="AI870" i="8"/>
  <c r="AI871" i="8"/>
  <c r="AR871" i="8" s="1"/>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R895" i="8" s="1"/>
  <c r="AI896" i="8"/>
  <c r="AI897" i="8"/>
  <c r="AI898" i="8"/>
  <c r="AI899" i="8"/>
  <c r="AI900" i="8"/>
  <c r="AI901" i="8"/>
  <c r="AI902" i="8"/>
  <c r="AI903" i="8"/>
  <c r="AI904" i="8"/>
  <c r="AI905" i="8"/>
  <c r="AI906" i="8"/>
  <c r="AI907" i="8"/>
  <c r="AI908" i="8"/>
  <c r="AI909" i="8"/>
  <c r="AI910" i="8"/>
  <c r="AI911" i="8"/>
  <c r="AI912" i="8"/>
  <c r="AI913" i="8"/>
  <c r="AI914" i="8"/>
  <c r="AR914" i="8" s="1"/>
  <c r="AI915" i="8"/>
  <c r="AI916" i="8"/>
  <c r="AI917" i="8"/>
  <c r="AI918" i="8"/>
  <c r="AI919" i="8"/>
  <c r="AQ919" i="8" s="1"/>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R943" i="8" s="1"/>
  <c r="AI944" i="8"/>
  <c r="AI945" i="8"/>
  <c r="AI946" i="8"/>
  <c r="AI947" i="8"/>
  <c r="AI948" i="8"/>
  <c r="AI949" i="8"/>
  <c r="AI950" i="8"/>
  <c r="AI951" i="8"/>
  <c r="AI952" i="8"/>
  <c r="AI953" i="8"/>
  <c r="AI954" i="8"/>
  <c r="AI955" i="8"/>
  <c r="AI956" i="8"/>
  <c r="AI957" i="8"/>
  <c r="AI958" i="8"/>
  <c r="AI959" i="8"/>
  <c r="AI960" i="8"/>
  <c r="AI961" i="8"/>
  <c r="AI962" i="8"/>
  <c r="AQ962" i="8" s="1"/>
  <c r="AI963" i="8"/>
  <c r="AI964" i="8"/>
  <c r="AI965" i="8"/>
  <c r="AI966" i="8"/>
  <c r="AI967" i="8"/>
  <c r="AQ967" i="8" s="1"/>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Q1010" i="8" s="1"/>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Q1034" i="8" s="1"/>
  <c r="AI1035" i="8"/>
  <c r="AI1036" i="8"/>
  <c r="AI1037" i="8"/>
  <c r="AI1038" i="8"/>
  <c r="AI1039" i="8"/>
  <c r="AR1039" i="8" s="1"/>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R1063" i="8" s="1"/>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I1128" i="8"/>
  <c r="AI1129" i="8"/>
  <c r="AI1130" i="8"/>
  <c r="AJ15" i="8"/>
  <c r="AJ16" i="8"/>
  <c r="AJ17" i="8"/>
  <c r="AJ18" i="8"/>
  <c r="AJ19" i="8"/>
  <c r="AR19" i="8" s="1"/>
  <c r="AJ20" i="8"/>
  <c r="AJ21" i="8"/>
  <c r="AJ22" i="8"/>
  <c r="AJ23" i="8"/>
  <c r="AJ24" i="8"/>
  <c r="AJ25" i="8"/>
  <c r="AJ26" i="8"/>
  <c r="AJ27" i="8"/>
  <c r="AJ28" i="8"/>
  <c r="AJ29" i="8"/>
  <c r="AJ30" i="8"/>
  <c r="AJ31" i="8"/>
  <c r="AJ32" i="8"/>
  <c r="AJ33" i="8"/>
  <c r="AJ34" i="8"/>
  <c r="AJ35" i="8"/>
  <c r="AJ36" i="8"/>
  <c r="AJ37" i="8"/>
  <c r="AJ38" i="8"/>
  <c r="AQ38" i="8" s="1"/>
  <c r="AJ39" i="8"/>
  <c r="AJ40" i="8"/>
  <c r="AJ41" i="8"/>
  <c r="AJ42" i="8"/>
  <c r="AJ43" i="8"/>
  <c r="AJ44" i="8"/>
  <c r="AJ45" i="8"/>
  <c r="AJ46" i="8"/>
  <c r="AJ47" i="8"/>
  <c r="AJ48" i="8"/>
  <c r="AJ49" i="8"/>
  <c r="AJ50" i="8"/>
  <c r="AJ51" i="8"/>
  <c r="AJ52" i="8"/>
  <c r="AJ53" i="8"/>
  <c r="AJ54" i="8"/>
  <c r="AJ55" i="8"/>
  <c r="AJ56" i="8"/>
  <c r="AJ57" i="8"/>
  <c r="AJ58" i="8"/>
  <c r="AJ59" i="8"/>
  <c r="AJ60" i="8"/>
  <c r="AJ61" i="8"/>
  <c r="AJ62" i="8"/>
  <c r="AQ62" i="8" s="1"/>
  <c r="AJ63" i="8"/>
  <c r="AJ64" i="8"/>
  <c r="AJ65" i="8"/>
  <c r="AJ66" i="8"/>
  <c r="AJ67" i="8"/>
  <c r="AQ67" i="8" s="1"/>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R115" i="8" s="1"/>
  <c r="AJ116" i="8"/>
  <c r="AJ117" i="8"/>
  <c r="AJ118" i="8"/>
  <c r="AJ119" i="8"/>
  <c r="AJ120" i="8"/>
  <c r="AJ121" i="8"/>
  <c r="AJ122" i="8"/>
  <c r="AJ123" i="8"/>
  <c r="AJ124" i="8"/>
  <c r="AJ125" i="8"/>
  <c r="AJ126" i="8"/>
  <c r="AJ127" i="8"/>
  <c r="AJ128" i="8"/>
  <c r="AJ129" i="8"/>
  <c r="AJ130" i="8"/>
  <c r="AJ131" i="8"/>
  <c r="AJ132" i="8"/>
  <c r="AJ133" i="8"/>
  <c r="AJ134" i="8"/>
  <c r="AQ134" i="8" s="1"/>
  <c r="AJ135" i="8"/>
  <c r="AJ136" i="8"/>
  <c r="AJ137" i="8"/>
  <c r="AJ138" i="8"/>
  <c r="AJ139" i="8"/>
  <c r="AQ139" i="8" s="1"/>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R163" i="8" s="1"/>
  <c r="AJ164" i="8"/>
  <c r="AJ165" i="8"/>
  <c r="AJ166" i="8"/>
  <c r="AJ167" i="8"/>
  <c r="AJ168" i="8"/>
  <c r="AJ169" i="8"/>
  <c r="AJ170" i="8"/>
  <c r="AJ171" i="8"/>
  <c r="AJ172" i="8"/>
  <c r="AJ173" i="8"/>
  <c r="AJ174" i="8"/>
  <c r="AJ175" i="8"/>
  <c r="AJ176" i="8"/>
  <c r="AJ177" i="8"/>
  <c r="AJ178" i="8"/>
  <c r="AJ179" i="8"/>
  <c r="AJ180" i="8"/>
  <c r="AJ181" i="8"/>
  <c r="AJ182" i="8"/>
  <c r="AR182" i="8" s="1"/>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Q211" i="8" s="1"/>
  <c r="AJ212" i="8"/>
  <c r="AJ213" i="8"/>
  <c r="AJ214" i="8"/>
  <c r="AJ215" i="8"/>
  <c r="AJ216" i="8"/>
  <c r="AJ217" i="8"/>
  <c r="AJ218" i="8"/>
  <c r="AJ219" i="8"/>
  <c r="AJ220" i="8"/>
  <c r="AJ221" i="8"/>
  <c r="AJ222" i="8"/>
  <c r="AJ223" i="8"/>
  <c r="AJ224" i="8"/>
  <c r="AJ225" i="8"/>
  <c r="AJ226" i="8"/>
  <c r="AJ227" i="8"/>
  <c r="AJ228" i="8"/>
  <c r="AJ229" i="8"/>
  <c r="AJ230" i="8"/>
  <c r="AR230" i="8" s="1"/>
  <c r="AJ231" i="8"/>
  <c r="AJ232" i="8"/>
  <c r="AJ233" i="8"/>
  <c r="AJ234" i="8"/>
  <c r="AJ235" i="8"/>
  <c r="AR235" i="8" s="1"/>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Q259" i="8" s="1"/>
  <c r="AJ260" i="8"/>
  <c r="AJ261" i="8"/>
  <c r="AJ262" i="8"/>
  <c r="AJ263" i="8"/>
  <c r="AJ264" i="8"/>
  <c r="AJ265" i="8"/>
  <c r="AJ266" i="8"/>
  <c r="AJ267" i="8"/>
  <c r="AJ268" i="8"/>
  <c r="AJ269" i="8"/>
  <c r="AJ270" i="8"/>
  <c r="AJ271" i="8"/>
  <c r="AJ272" i="8"/>
  <c r="AJ273" i="8"/>
  <c r="AJ274" i="8"/>
  <c r="AJ275" i="8"/>
  <c r="AJ276" i="8"/>
  <c r="AJ277" i="8"/>
  <c r="AJ278" i="8"/>
  <c r="AR278" i="8" s="1"/>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Q307" i="8" s="1"/>
  <c r="AJ308" i="8"/>
  <c r="AJ309" i="8"/>
  <c r="AJ310" i="8"/>
  <c r="AJ311" i="8"/>
  <c r="AJ312" i="8"/>
  <c r="AJ313" i="8"/>
  <c r="AJ314" i="8"/>
  <c r="AJ315" i="8"/>
  <c r="AJ316" i="8"/>
  <c r="AJ317" i="8"/>
  <c r="AJ318" i="8"/>
  <c r="AJ319" i="8"/>
  <c r="AJ320" i="8"/>
  <c r="AJ321" i="8"/>
  <c r="AJ322" i="8"/>
  <c r="AJ323" i="8"/>
  <c r="AJ324" i="8"/>
  <c r="AJ325" i="8"/>
  <c r="AJ326" i="8"/>
  <c r="AQ326" i="8" s="1"/>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R350" i="8" s="1"/>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Q374" i="8" s="1"/>
  <c r="AJ375" i="8"/>
  <c r="AJ376" i="8"/>
  <c r="AJ377" i="8"/>
  <c r="AJ378" i="8"/>
  <c r="AJ379" i="8"/>
  <c r="AQ379" i="8" s="1"/>
  <c r="AJ380" i="8"/>
  <c r="AJ381" i="8"/>
  <c r="AJ382" i="8"/>
  <c r="AJ383" i="8"/>
  <c r="AJ384" i="8"/>
  <c r="AJ385" i="8"/>
  <c r="AJ386" i="8"/>
  <c r="AJ387" i="8"/>
  <c r="AJ388" i="8"/>
  <c r="AJ389" i="8"/>
  <c r="AJ390" i="8"/>
  <c r="AJ391" i="8"/>
  <c r="AJ392" i="8"/>
  <c r="AJ393" i="8"/>
  <c r="AJ394" i="8"/>
  <c r="AJ395" i="8"/>
  <c r="AJ396" i="8"/>
  <c r="AJ397" i="8"/>
  <c r="AJ398" i="8"/>
  <c r="AQ398" i="8" s="1"/>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Q422" i="8" s="1"/>
  <c r="AJ423" i="8"/>
  <c r="AJ424" i="8"/>
  <c r="AJ425" i="8"/>
  <c r="AJ426" i="8"/>
  <c r="AJ427" i="8"/>
  <c r="AR427" i="8" s="1"/>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Q470" i="8" s="1"/>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Q494" i="8" s="1"/>
  <c r="AJ495" i="8"/>
  <c r="AJ496" i="8"/>
  <c r="AJ497" i="8"/>
  <c r="AJ498" i="8"/>
  <c r="AJ499" i="8"/>
  <c r="AQ499" i="8" s="1"/>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R523" i="8" s="1"/>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Q547" i="8" s="1"/>
  <c r="AJ548" i="8"/>
  <c r="AJ549" i="8"/>
  <c r="AJ550" i="8"/>
  <c r="AJ551" i="8"/>
  <c r="AJ552" i="8"/>
  <c r="AJ553" i="8"/>
  <c r="AJ554" i="8"/>
  <c r="AJ555" i="8"/>
  <c r="AJ556" i="8"/>
  <c r="AJ557" i="8"/>
  <c r="AJ558" i="8"/>
  <c r="AJ559" i="8"/>
  <c r="AJ560" i="8"/>
  <c r="AJ561" i="8"/>
  <c r="AJ562" i="8"/>
  <c r="AJ563" i="8"/>
  <c r="AJ564" i="8"/>
  <c r="AJ565" i="8"/>
  <c r="AJ566" i="8"/>
  <c r="AR566" i="8" s="1"/>
  <c r="AJ567" i="8"/>
  <c r="AJ568" i="8"/>
  <c r="AJ569" i="8"/>
  <c r="AJ570" i="8"/>
  <c r="AJ571" i="8"/>
  <c r="AR571" i="8" s="1"/>
  <c r="AJ572" i="8"/>
  <c r="AJ573" i="8"/>
  <c r="AJ574" i="8"/>
  <c r="AJ575" i="8"/>
  <c r="AJ576" i="8"/>
  <c r="AJ577" i="8"/>
  <c r="AJ578" i="8"/>
  <c r="AJ579" i="8"/>
  <c r="AJ580" i="8"/>
  <c r="AJ581" i="8"/>
  <c r="AJ582" i="8"/>
  <c r="AJ583" i="8"/>
  <c r="AJ584" i="8"/>
  <c r="AJ585" i="8"/>
  <c r="AJ586" i="8"/>
  <c r="AJ587" i="8"/>
  <c r="AJ588" i="8"/>
  <c r="AJ589" i="8"/>
  <c r="AJ590" i="8"/>
  <c r="AR590" i="8" s="1"/>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R619" i="8" s="1"/>
  <c r="AJ620" i="8"/>
  <c r="AJ621" i="8"/>
  <c r="AJ622" i="8"/>
  <c r="AJ623" i="8"/>
  <c r="AJ624" i="8"/>
  <c r="AJ625" i="8"/>
  <c r="AJ626" i="8"/>
  <c r="AJ627" i="8"/>
  <c r="AJ628" i="8"/>
  <c r="AJ629" i="8"/>
  <c r="AJ630" i="8"/>
  <c r="AJ631" i="8"/>
  <c r="AJ632" i="8"/>
  <c r="AJ633" i="8"/>
  <c r="AJ634" i="8"/>
  <c r="AJ635" i="8"/>
  <c r="AJ636" i="8"/>
  <c r="AJ637" i="8"/>
  <c r="AJ638" i="8"/>
  <c r="AQ638" i="8" s="1"/>
  <c r="AJ639" i="8"/>
  <c r="AJ640" i="8"/>
  <c r="AJ641" i="8"/>
  <c r="AJ642" i="8"/>
  <c r="AJ643" i="8"/>
  <c r="AR643" i="8" s="1"/>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R691" i="8" s="1"/>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R734" i="8" s="1"/>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Q758" i="8" s="1"/>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R782" i="8" s="1"/>
  <c r="AJ783" i="8"/>
  <c r="AJ784" i="8"/>
  <c r="AJ785" i="8"/>
  <c r="AJ786" i="8"/>
  <c r="AJ787" i="8"/>
  <c r="AR787" i="8" s="1"/>
  <c r="AJ788" i="8"/>
  <c r="AJ789" i="8"/>
  <c r="AJ790" i="8"/>
  <c r="AJ791" i="8"/>
  <c r="AJ792" i="8"/>
  <c r="AJ793" i="8"/>
  <c r="AJ794" i="8"/>
  <c r="AJ795" i="8"/>
  <c r="AJ796" i="8"/>
  <c r="AJ797" i="8"/>
  <c r="AJ798" i="8"/>
  <c r="AJ799" i="8"/>
  <c r="AJ800" i="8"/>
  <c r="AJ801" i="8"/>
  <c r="AJ802" i="8"/>
  <c r="AJ803" i="8"/>
  <c r="AJ804" i="8"/>
  <c r="AJ805" i="8"/>
  <c r="AJ806" i="8"/>
  <c r="AQ806" i="8" s="1"/>
  <c r="AJ807" i="8"/>
  <c r="AJ808" i="8"/>
  <c r="AJ809" i="8"/>
  <c r="AJ810" i="8"/>
  <c r="AJ811" i="8"/>
  <c r="AR811" i="8" s="1"/>
  <c r="AJ812" i="8"/>
  <c r="AJ813" i="8"/>
  <c r="AJ814" i="8"/>
  <c r="AJ815" i="8"/>
  <c r="AJ816" i="8"/>
  <c r="AJ817" i="8"/>
  <c r="AJ818" i="8"/>
  <c r="AJ819" i="8"/>
  <c r="AJ820" i="8"/>
  <c r="AJ821" i="8"/>
  <c r="AJ822" i="8"/>
  <c r="AJ823" i="8"/>
  <c r="AJ824" i="8"/>
  <c r="AJ825" i="8"/>
  <c r="AJ826" i="8"/>
  <c r="AJ827" i="8"/>
  <c r="AJ828" i="8"/>
  <c r="AJ829" i="8"/>
  <c r="AJ830" i="8"/>
  <c r="AQ830" i="8" s="1"/>
  <c r="AJ831" i="8"/>
  <c r="AJ832" i="8"/>
  <c r="AJ833" i="8"/>
  <c r="AJ834" i="8"/>
  <c r="AJ835" i="8"/>
  <c r="AQ835" i="8" s="1"/>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Q859" i="8" s="1"/>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R883" i="8" s="1"/>
  <c r="AJ884" i="8"/>
  <c r="AJ885" i="8"/>
  <c r="AJ886" i="8"/>
  <c r="AJ887" i="8"/>
  <c r="AJ888" i="8"/>
  <c r="AJ889" i="8"/>
  <c r="AJ890" i="8"/>
  <c r="AJ891" i="8"/>
  <c r="AJ892" i="8"/>
  <c r="AJ893" i="8"/>
  <c r="AJ894" i="8"/>
  <c r="AJ895" i="8"/>
  <c r="AJ896" i="8"/>
  <c r="AJ897" i="8"/>
  <c r="AJ898" i="8"/>
  <c r="AJ899" i="8"/>
  <c r="AJ900" i="8"/>
  <c r="AJ901" i="8"/>
  <c r="AJ902" i="8"/>
  <c r="AQ902" i="8" s="1"/>
  <c r="AJ903" i="8"/>
  <c r="AJ904" i="8"/>
  <c r="AJ905" i="8"/>
  <c r="AJ906" i="8"/>
  <c r="AJ907" i="8"/>
  <c r="AR907" i="8" s="1"/>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R955" i="8" s="1"/>
  <c r="AJ956" i="8"/>
  <c r="AJ957" i="8"/>
  <c r="AJ958" i="8"/>
  <c r="AJ959" i="8"/>
  <c r="AJ960" i="8"/>
  <c r="AJ961" i="8"/>
  <c r="AJ962" i="8"/>
  <c r="AJ963" i="8"/>
  <c r="AJ964" i="8"/>
  <c r="AJ965" i="8"/>
  <c r="AJ966" i="8"/>
  <c r="AJ967" i="8"/>
  <c r="AJ968" i="8"/>
  <c r="AJ969" i="8"/>
  <c r="AJ970" i="8"/>
  <c r="AJ971" i="8"/>
  <c r="AJ972" i="8"/>
  <c r="AJ973" i="8"/>
  <c r="AJ974" i="8"/>
  <c r="AR974" i="8" s="1"/>
  <c r="AJ975" i="8"/>
  <c r="AJ976" i="8"/>
  <c r="AJ977" i="8"/>
  <c r="AJ978" i="8"/>
  <c r="AJ979" i="8"/>
  <c r="AR979" i="8" s="1"/>
  <c r="AJ980" i="8"/>
  <c r="AJ981" i="8"/>
  <c r="AJ982" i="8"/>
  <c r="AJ983" i="8"/>
  <c r="AJ984" i="8"/>
  <c r="AJ985" i="8"/>
  <c r="AJ986" i="8"/>
  <c r="AJ987" i="8"/>
  <c r="AJ988" i="8"/>
  <c r="AJ989" i="8"/>
  <c r="AJ990" i="8"/>
  <c r="AJ991" i="8"/>
  <c r="AJ992" i="8"/>
  <c r="AJ993" i="8"/>
  <c r="AJ994" i="8"/>
  <c r="AJ995" i="8"/>
  <c r="AJ996" i="8"/>
  <c r="AJ997" i="8"/>
  <c r="AJ998" i="8"/>
  <c r="AR998" i="8" s="1"/>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Q1022" i="8" s="1"/>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R1046" i="8" s="1"/>
  <c r="AJ1047" i="8"/>
  <c r="AJ1048" i="8"/>
  <c r="AJ1049" i="8"/>
  <c r="AJ1050" i="8"/>
  <c r="AJ1051" i="8"/>
  <c r="AR1051" i="8" s="1"/>
  <c r="AJ1052" i="8"/>
  <c r="AJ1053" i="8"/>
  <c r="AJ1054" i="8"/>
  <c r="AJ1055" i="8"/>
  <c r="AJ1056" i="8"/>
  <c r="AJ1057" i="8"/>
  <c r="AJ1058" i="8"/>
  <c r="AJ1059" i="8"/>
  <c r="AJ1060" i="8"/>
  <c r="AJ1061" i="8"/>
  <c r="AJ1062" i="8"/>
  <c r="AJ1063" i="8"/>
  <c r="AJ1064" i="8"/>
  <c r="AJ1065" i="8"/>
  <c r="AJ1066" i="8"/>
  <c r="AJ1067" i="8"/>
  <c r="AJ1068" i="8"/>
  <c r="AJ1069" i="8"/>
  <c r="AJ1070" i="8"/>
  <c r="AQ1070" i="8" s="1"/>
  <c r="AJ1071" i="8"/>
  <c r="AJ1072" i="8"/>
  <c r="AJ1073" i="8"/>
  <c r="AJ1074" i="8"/>
  <c r="AJ1075" i="8"/>
  <c r="AR1075" i="8" s="1"/>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R1099" i="8" s="1"/>
  <c r="AJ1100" i="8"/>
  <c r="AJ1101" i="8"/>
  <c r="AJ1102" i="8"/>
  <c r="AJ1103" i="8"/>
  <c r="AJ1104" i="8"/>
  <c r="AJ1105" i="8"/>
  <c r="AJ1106" i="8"/>
  <c r="AJ1107" i="8"/>
  <c r="AJ1108" i="8"/>
  <c r="AJ1109" i="8"/>
  <c r="AJ1110" i="8"/>
  <c r="AJ1111" i="8"/>
  <c r="AJ1112" i="8"/>
  <c r="AJ1113" i="8"/>
  <c r="AJ1114" i="8"/>
  <c r="AJ1115" i="8"/>
  <c r="AJ1116" i="8"/>
  <c r="AJ1117" i="8"/>
  <c r="AJ1118" i="8"/>
  <c r="AQ1118" i="8" s="1"/>
  <c r="AJ1119" i="8"/>
  <c r="AJ1120" i="8"/>
  <c r="AJ1121" i="8"/>
  <c r="AJ1122" i="8"/>
  <c r="AJ1123" i="8"/>
  <c r="AJ1124" i="8"/>
  <c r="AJ1125" i="8"/>
  <c r="AJ1126" i="8"/>
  <c r="AJ1127" i="8"/>
  <c r="AJ1128" i="8"/>
  <c r="AJ1129" i="8"/>
  <c r="AJ1130"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R50" i="8" s="1"/>
  <c r="AK51" i="8"/>
  <c r="AK52" i="8"/>
  <c r="AK53" i="8"/>
  <c r="AK54" i="8"/>
  <c r="AK55" i="8"/>
  <c r="AR55" i="8" s="1"/>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R103" i="8" s="1"/>
  <c r="AK104" i="8"/>
  <c r="AK105" i="8"/>
  <c r="AK106" i="8"/>
  <c r="AK107" i="8"/>
  <c r="AK108" i="8"/>
  <c r="AK109" i="8"/>
  <c r="AK110" i="8"/>
  <c r="AK111" i="8"/>
  <c r="AK112" i="8"/>
  <c r="AK113" i="8"/>
  <c r="AK114" i="8"/>
  <c r="AK115" i="8"/>
  <c r="AK116" i="8"/>
  <c r="AK117" i="8"/>
  <c r="AK118" i="8"/>
  <c r="AK119" i="8"/>
  <c r="AK120" i="8"/>
  <c r="AK121" i="8"/>
  <c r="AK122" i="8"/>
  <c r="AR122" i="8" s="1"/>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R146" i="8" s="1"/>
  <c r="AK147" i="8"/>
  <c r="AK148" i="8"/>
  <c r="AK149" i="8"/>
  <c r="AK150" i="8"/>
  <c r="AK151" i="8"/>
  <c r="AR151" i="8" s="1"/>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R175" i="8" s="1"/>
  <c r="AK176" i="8"/>
  <c r="AK177" i="8"/>
  <c r="AK178" i="8"/>
  <c r="AK179" i="8"/>
  <c r="AK180" i="8"/>
  <c r="AK181" i="8"/>
  <c r="AK182" i="8"/>
  <c r="AK183" i="8"/>
  <c r="AK184" i="8"/>
  <c r="AK185" i="8"/>
  <c r="AK186" i="8"/>
  <c r="AK187" i="8"/>
  <c r="AK188" i="8"/>
  <c r="AK189" i="8"/>
  <c r="AK190" i="8"/>
  <c r="AK191" i="8"/>
  <c r="AK192" i="8"/>
  <c r="AK193" i="8"/>
  <c r="AK194" i="8"/>
  <c r="AR194" i="8" s="1"/>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R218" i="8" s="1"/>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R271" i="8" s="1"/>
  <c r="AK272" i="8"/>
  <c r="AK273" i="8"/>
  <c r="AK274" i="8"/>
  <c r="AK275" i="8"/>
  <c r="AK276" i="8"/>
  <c r="AK277" i="8"/>
  <c r="AK278" i="8"/>
  <c r="AK279" i="8"/>
  <c r="AK280" i="8"/>
  <c r="AK281" i="8"/>
  <c r="AK282" i="8"/>
  <c r="AK283" i="8"/>
  <c r="AK284" i="8"/>
  <c r="AK285" i="8"/>
  <c r="AK286" i="8"/>
  <c r="AK287" i="8"/>
  <c r="AK288" i="8"/>
  <c r="AK289" i="8"/>
  <c r="AK290" i="8"/>
  <c r="AR290" i="8" s="1"/>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Q319" i="8" s="1"/>
  <c r="AK320" i="8"/>
  <c r="AK321" i="8"/>
  <c r="AK322" i="8"/>
  <c r="AK323" i="8"/>
  <c r="AK324" i="8"/>
  <c r="AK325" i="8"/>
  <c r="AK326" i="8"/>
  <c r="AK327" i="8"/>
  <c r="AK328" i="8"/>
  <c r="AK329" i="8"/>
  <c r="AK330" i="8"/>
  <c r="AK331" i="8"/>
  <c r="AK332" i="8"/>
  <c r="AK333" i="8"/>
  <c r="AK334" i="8"/>
  <c r="AK335" i="8"/>
  <c r="AK336" i="8"/>
  <c r="AK337" i="8"/>
  <c r="AK338" i="8"/>
  <c r="AR338" i="8" s="1"/>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R362" i="8" s="1"/>
  <c r="AK363" i="8"/>
  <c r="AK364" i="8"/>
  <c r="AK365" i="8"/>
  <c r="AK366" i="8"/>
  <c r="AK367" i="8"/>
  <c r="AR367" i="8" s="1"/>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R410" i="8" s="1"/>
  <c r="AK411" i="8"/>
  <c r="AK412" i="8"/>
  <c r="AK413" i="8"/>
  <c r="AK414" i="8"/>
  <c r="AK415" i="8"/>
  <c r="AR415" i="8" s="1"/>
  <c r="AK416" i="8"/>
  <c r="AK417" i="8"/>
  <c r="AK418" i="8"/>
  <c r="AK419" i="8"/>
  <c r="AK420" i="8"/>
  <c r="AK421" i="8"/>
  <c r="AK422" i="8"/>
  <c r="AK423" i="8"/>
  <c r="AK424" i="8"/>
  <c r="AK425" i="8"/>
  <c r="AK426" i="8"/>
  <c r="AK427" i="8"/>
  <c r="AK428" i="8"/>
  <c r="AK429" i="8"/>
  <c r="AK430" i="8"/>
  <c r="AK431" i="8"/>
  <c r="AK432" i="8"/>
  <c r="AK433" i="8"/>
  <c r="AK434" i="8"/>
  <c r="AR434" i="8" s="1"/>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R463" i="8" s="1"/>
  <c r="AK464" i="8"/>
  <c r="AK465" i="8"/>
  <c r="AK466" i="8"/>
  <c r="AK467" i="8"/>
  <c r="AK468" i="8"/>
  <c r="AK469" i="8"/>
  <c r="AK470" i="8"/>
  <c r="AK471" i="8"/>
  <c r="AK472" i="8"/>
  <c r="AK473" i="8"/>
  <c r="AK474" i="8"/>
  <c r="AK475" i="8"/>
  <c r="AK476" i="8"/>
  <c r="AK477" i="8"/>
  <c r="AK478" i="8"/>
  <c r="AK479" i="8"/>
  <c r="AK480" i="8"/>
  <c r="AK481" i="8"/>
  <c r="AK482" i="8"/>
  <c r="AR482" i="8" s="1"/>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R511" i="8" s="1"/>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R554" i="8" s="1"/>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R578" i="8" s="1"/>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R631" i="8" s="1"/>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R655" i="8" s="1"/>
  <c r="AK656" i="8"/>
  <c r="AK657" i="8"/>
  <c r="AK658" i="8"/>
  <c r="AK659" i="8"/>
  <c r="AK660" i="8"/>
  <c r="AK661" i="8"/>
  <c r="AK662" i="8"/>
  <c r="AK663" i="8"/>
  <c r="AK664" i="8"/>
  <c r="AK665" i="8"/>
  <c r="AK666" i="8"/>
  <c r="AK667" i="8"/>
  <c r="AK668" i="8"/>
  <c r="AK669" i="8"/>
  <c r="AK670" i="8"/>
  <c r="AK671" i="8"/>
  <c r="AK672" i="8"/>
  <c r="AK673" i="8"/>
  <c r="AK674" i="8"/>
  <c r="AR674" i="8" s="1"/>
  <c r="AK675" i="8"/>
  <c r="AK676" i="8"/>
  <c r="AK677" i="8"/>
  <c r="AK678" i="8"/>
  <c r="AK679" i="8"/>
  <c r="AR679" i="8" s="1"/>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R722" i="8" s="1"/>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R746" i="8" s="1"/>
  <c r="AK747" i="8"/>
  <c r="AK748" i="8"/>
  <c r="AK749" i="8"/>
  <c r="AK750" i="8"/>
  <c r="AK751" i="8"/>
  <c r="AQ751" i="8" s="1"/>
  <c r="AK752" i="8"/>
  <c r="AK753" i="8"/>
  <c r="AK754" i="8"/>
  <c r="AK755" i="8"/>
  <c r="AK756" i="8"/>
  <c r="AK757" i="8"/>
  <c r="AK758" i="8"/>
  <c r="AK759" i="8"/>
  <c r="AK760" i="8"/>
  <c r="AK761" i="8"/>
  <c r="AK762" i="8"/>
  <c r="AK763" i="8"/>
  <c r="AK764" i="8"/>
  <c r="AK765" i="8"/>
  <c r="AK766" i="8"/>
  <c r="AK767" i="8"/>
  <c r="AK768" i="8"/>
  <c r="AK769" i="8"/>
  <c r="AK770" i="8"/>
  <c r="AR770" i="8" s="1"/>
  <c r="AK771" i="8"/>
  <c r="AK772" i="8"/>
  <c r="AK773" i="8"/>
  <c r="AK774" i="8"/>
  <c r="AK775" i="8"/>
  <c r="AR775" i="8" s="1"/>
  <c r="AK776" i="8"/>
  <c r="AK777" i="8"/>
  <c r="AK778" i="8"/>
  <c r="AK779" i="8"/>
  <c r="AK780" i="8"/>
  <c r="AK781" i="8"/>
  <c r="AK782" i="8"/>
  <c r="AK783" i="8"/>
  <c r="AK784" i="8"/>
  <c r="AK785" i="8"/>
  <c r="AK786" i="8"/>
  <c r="AK787" i="8"/>
  <c r="AK788" i="8"/>
  <c r="AK789" i="8"/>
  <c r="AK790" i="8"/>
  <c r="AK791" i="8"/>
  <c r="AK792" i="8"/>
  <c r="AK793" i="8"/>
  <c r="AK794" i="8"/>
  <c r="AR794" i="8" s="1"/>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R842" i="8" s="1"/>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Q943" i="8" s="1"/>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R967" i="8" s="1"/>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Q1015" i="8" s="1"/>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Q1058" i="8" s="1"/>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Q1082" i="8" s="1"/>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Q1106" i="8" s="1"/>
  <c r="AK1107" i="8"/>
  <c r="AK1108" i="8"/>
  <c r="AK1109" i="8"/>
  <c r="AK1110" i="8"/>
  <c r="AK1111" i="8"/>
  <c r="AK1112" i="8"/>
  <c r="AK1113" i="8"/>
  <c r="AK1114" i="8"/>
  <c r="AK1115" i="8"/>
  <c r="AK1116" i="8"/>
  <c r="AK1117" i="8"/>
  <c r="AK1118" i="8"/>
  <c r="AK1119" i="8"/>
  <c r="AK1120" i="8"/>
  <c r="AK1121" i="8"/>
  <c r="AK1122" i="8"/>
  <c r="AK1123" i="8"/>
  <c r="AK1124" i="8"/>
  <c r="AK1125" i="8"/>
  <c r="AK1126" i="8"/>
  <c r="AK1127" i="8"/>
  <c r="AK1128" i="8"/>
  <c r="AK1129" i="8"/>
  <c r="AK1130" i="8"/>
  <c r="AQ1130" i="8" s="1"/>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Q86" i="8" s="1"/>
  <c r="AL87" i="8"/>
  <c r="AL88" i="8"/>
  <c r="AL89" i="8"/>
  <c r="AL90" i="8"/>
  <c r="AL91" i="8"/>
  <c r="AQ91" i="8" s="1"/>
  <c r="AL92" i="8"/>
  <c r="AL93" i="8"/>
  <c r="AL94" i="8"/>
  <c r="AL95" i="8"/>
  <c r="AL96" i="8"/>
  <c r="AL97" i="8"/>
  <c r="AL98" i="8"/>
  <c r="AL99" i="8"/>
  <c r="AL100" i="8"/>
  <c r="AL101" i="8"/>
  <c r="AL102" i="8"/>
  <c r="AL103" i="8"/>
  <c r="AL104" i="8"/>
  <c r="AL105" i="8"/>
  <c r="AL106" i="8"/>
  <c r="AL107" i="8"/>
  <c r="AL108" i="8"/>
  <c r="AL109" i="8"/>
  <c r="AL110" i="8"/>
  <c r="AR110" i="8" s="1"/>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R134" i="8" s="1"/>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R158" i="8" s="1"/>
  <c r="AL159" i="8"/>
  <c r="AL160" i="8"/>
  <c r="AL161" i="8"/>
  <c r="AL162" i="8"/>
  <c r="AL163" i="8"/>
  <c r="AQ163" i="8" s="1"/>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Q206" i="8" s="1"/>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Q254" i="8" s="1"/>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R302" i="8" s="1"/>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R331" i="8" s="1"/>
  <c r="AL332" i="8"/>
  <c r="AL333" i="8"/>
  <c r="AL334" i="8"/>
  <c r="AL335" i="8"/>
  <c r="AL336" i="8"/>
  <c r="AL337" i="8"/>
  <c r="AL338" i="8"/>
  <c r="AL339" i="8"/>
  <c r="AL340" i="8"/>
  <c r="AL341" i="8"/>
  <c r="AL342" i="8"/>
  <c r="AL343" i="8"/>
  <c r="AL344" i="8"/>
  <c r="AL345" i="8"/>
  <c r="AL346" i="8"/>
  <c r="AL347" i="8"/>
  <c r="AL348" i="8"/>
  <c r="AL349" i="8"/>
  <c r="AL350" i="8"/>
  <c r="AQ350" i="8" s="1"/>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R398" i="8" s="1"/>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R422" i="8" s="1"/>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R446" i="8" s="1"/>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R518" i="8" s="1"/>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Q542" i="8" s="1"/>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Q595" i="8" s="1"/>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R662" i="8" s="1"/>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R686" i="8" s="1"/>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Q710" i="8" s="1"/>
  <c r="AL711" i="8"/>
  <c r="AL712" i="8"/>
  <c r="AL713" i="8"/>
  <c r="AL714" i="8"/>
  <c r="AL715" i="8"/>
  <c r="AQ715" i="8" s="1"/>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R739" i="8" s="1"/>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Q782" i="8" s="1"/>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R854" i="8" s="1"/>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Q878" i="8" s="1"/>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R902" i="8" s="1"/>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Q1094" i="8" s="1"/>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R1118" i="8" s="1"/>
  <c r="AL1119" i="8"/>
  <c r="AL1120" i="8"/>
  <c r="AL1121" i="8"/>
  <c r="AL1122" i="8"/>
  <c r="AL1123" i="8"/>
  <c r="AL1124" i="8"/>
  <c r="AL1125" i="8"/>
  <c r="AL1126" i="8"/>
  <c r="AL1127" i="8"/>
  <c r="AL1128" i="8"/>
  <c r="AL1129" i="8"/>
  <c r="AL1130" i="8"/>
  <c r="AM15" i="8"/>
  <c r="AM16" i="8"/>
  <c r="AM17" i="8"/>
  <c r="AM18" i="8"/>
  <c r="AM19" i="8"/>
  <c r="AM20" i="8"/>
  <c r="AM21" i="8"/>
  <c r="AM22" i="8"/>
  <c r="AM23" i="8"/>
  <c r="AR23" i="8" s="1"/>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R74" i="8" s="1"/>
  <c r="AM75" i="8"/>
  <c r="AM76" i="8"/>
  <c r="AM77" i="8"/>
  <c r="AM78" i="8"/>
  <c r="AM79" i="8"/>
  <c r="AM80" i="8"/>
  <c r="AM81" i="8"/>
  <c r="AM82" i="8"/>
  <c r="AM83" i="8"/>
  <c r="AM84" i="8"/>
  <c r="AM85" i="8"/>
  <c r="AM86" i="8"/>
  <c r="AM87" i="8"/>
  <c r="AM88" i="8"/>
  <c r="AM89" i="8"/>
  <c r="AM90" i="8"/>
  <c r="AM91" i="8"/>
  <c r="AM92" i="8"/>
  <c r="AM93" i="8"/>
  <c r="AM94" i="8"/>
  <c r="AM95" i="8"/>
  <c r="AM96" i="8"/>
  <c r="AM97" i="8"/>
  <c r="AM98" i="8"/>
  <c r="AR98" i="8" s="1"/>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R170" i="8" s="1"/>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R242" i="8" s="1"/>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R266" i="8" s="1"/>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Q335" i="8" s="1"/>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R386" i="8" s="1"/>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R431" i="8" s="1"/>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R458" i="8" s="1"/>
  <c r="AM459" i="8"/>
  <c r="AM460" i="8"/>
  <c r="AM461" i="8"/>
  <c r="AM462" i="8"/>
  <c r="AM463" i="8"/>
  <c r="AM464" i="8"/>
  <c r="AM465" i="8"/>
  <c r="AM466" i="8"/>
  <c r="AM467" i="8"/>
  <c r="AM468" i="8"/>
  <c r="AM469" i="8"/>
  <c r="AM470" i="8"/>
  <c r="AM471" i="8"/>
  <c r="AM472" i="8"/>
  <c r="AM473" i="8"/>
  <c r="AM474" i="8"/>
  <c r="AM475" i="8"/>
  <c r="AM476" i="8"/>
  <c r="AM477" i="8"/>
  <c r="AM478" i="8"/>
  <c r="AM479" i="8"/>
  <c r="AR479" i="8" s="1"/>
  <c r="AM480" i="8"/>
  <c r="AM481" i="8"/>
  <c r="AM482" i="8"/>
  <c r="AM483" i="8"/>
  <c r="AM484" i="8"/>
  <c r="AM485" i="8"/>
  <c r="AM486" i="8"/>
  <c r="AM487" i="8"/>
  <c r="AR487" i="8" s="1"/>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R626" i="8" s="1"/>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R650" i="8" s="1"/>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R695" i="8" s="1"/>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R818" i="8" s="1"/>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R991" i="8" s="1"/>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M1128" i="8"/>
  <c r="AM1129" i="8"/>
  <c r="AM1130" i="8"/>
  <c r="AN15" i="8"/>
  <c r="AN16" i="8"/>
  <c r="AN17" i="8"/>
  <c r="AN18" i="8"/>
  <c r="AN19" i="8"/>
  <c r="AN20" i="8"/>
  <c r="AN21" i="8"/>
  <c r="AN22" i="8"/>
  <c r="AN23" i="8"/>
  <c r="AN24" i="8"/>
  <c r="AN25" i="8"/>
  <c r="AN26" i="8"/>
  <c r="AN27" i="8"/>
  <c r="AN28" i="8"/>
  <c r="AN29" i="8"/>
  <c r="AN30" i="8"/>
  <c r="AN31" i="8"/>
  <c r="AN32" i="8"/>
  <c r="AN33" i="8"/>
  <c r="AN34" i="8"/>
  <c r="AN35" i="8"/>
  <c r="AN36" i="8"/>
  <c r="AN37" i="8"/>
  <c r="AN38" i="8"/>
  <c r="AR38" i="8" s="1"/>
  <c r="AN39" i="8"/>
  <c r="AN40" i="8"/>
  <c r="AN41" i="8"/>
  <c r="AN42" i="8"/>
  <c r="AN43" i="8"/>
  <c r="AN44" i="8"/>
  <c r="AN45" i="8"/>
  <c r="AN46" i="8"/>
  <c r="AN47" i="8"/>
  <c r="AN48" i="8"/>
  <c r="AN49" i="8"/>
  <c r="AN50" i="8"/>
  <c r="AN51" i="8"/>
  <c r="AN52" i="8"/>
  <c r="AN53" i="8"/>
  <c r="AN54" i="8"/>
  <c r="AN55" i="8"/>
  <c r="AN56" i="8"/>
  <c r="AN57" i="8"/>
  <c r="AN58" i="8"/>
  <c r="AN59" i="8"/>
  <c r="AR59" i="8" s="1"/>
  <c r="AN60" i="8"/>
  <c r="AN61" i="8"/>
  <c r="AN62" i="8"/>
  <c r="AN63" i="8"/>
  <c r="AN64" i="8"/>
  <c r="AN65" i="8"/>
  <c r="AN66" i="8"/>
  <c r="AN67" i="8"/>
  <c r="AN68" i="8"/>
  <c r="AN69" i="8"/>
  <c r="AN70" i="8"/>
  <c r="AN71" i="8"/>
  <c r="AN72" i="8"/>
  <c r="AN73" i="8"/>
  <c r="AN74" i="8"/>
  <c r="AN75" i="8"/>
  <c r="AN76" i="8"/>
  <c r="AN77" i="8"/>
  <c r="AN78" i="8"/>
  <c r="AN79" i="8"/>
  <c r="AN80" i="8"/>
  <c r="AN81" i="8"/>
  <c r="AN82" i="8"/>
  <c r="AN83" i="8"/>
  <c r="AR83" i="8" s="1"/>
  <c r="AN84" i="8"/>
  <c r="AN85" i="8"/>
  <c r="AN86" i="8"/>
  <c r="AN87" i="8"/>
  <c r="AN88" i="8"/>
  <c r="AN89" i="8"/>
  <c r="AN90" i="8"/>
  <c r="AN91" i="8"/>
  <c r="AN92" i="8"/>
  <c r="AN93" i="8"/>
  <c r="AN94" i="8"/>
  <c r="AN95" i="8"/>
  <c r="AN96" i="8"/>
  <c r="AN97" i="8"/>
  <c r="AN98" i="8"/>
  <c r="AN99" i="8"/>
  <c r="AN100" i="8"/>
  <c r="AN101" i="8"/>
  <c r="AN102" i="8"/>
  <c r="AN103" i="8"/>
  <c r="AN104" i="8"/>
  <c r="AN105" i="8"/>
  <c r="AN106" i="8"/>
  <c r="AN107" i="8"/>
  <c r="AQ107" i="8" s="1"/>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Q179" i="8" s="1"/>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R251" i="8" s="1"/>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Q300" i="8" s="1"/>
  <c r="AN301" i="8"/>
  <c r="AN302" i="8"/>
  <c r="AN303" i="8"/>
  <c r="AN304" i="8"/>
  <c r="AN305" i="8"/>
  <c r="AN306" i="8"/>
  <c r="AN307" i="8"/>
  <c r="AN308" i="8"/>
  <c r="AN309" i="8"/>
  <c r="AN310" i="8"/>
  <c r="AN311" i="8"/>
  <c r="AN312" i="8"/>
  <c r="AN313" i="8"/>
  <c r="AR313" i="8" s="1"/>
  <c r="AN314" i="8"/>
  <c r="AN315" i="8"/>
  <c r="AN316" i="8"/>
  <c r="AN317" i="8"/>
  <c r="AN318" i="8"/>
  <c r="AN319" i="8"/>
  <c r="AN320" i="8"/>
  <c r="AN321" i="8"/>
  <c r="AN322" i="8"/>
  <c r="AN323" i="8"/>
  <c r="AN324" i="8"/>
  <c r="AN325" i="8"/>
  <c r="AN326" i="8"/>
  <c r="AR326" i="8" s="1"/>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N368" i="8"/>
  <c r="AN369" i="8"/>
  <c r="AN370" i="8"/>
  <c r="AN371" i="8"/>
  <c r="AR371" i="8" s="1"/>
  <c r="AN372" i="8"/>
  <c r="AR372" i="8" s="1"/>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Q419" i="8" s="1"/>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Q443" i="8" s="1"/>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R542" i="8" s="1"/>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Q611" i="8" s="1"/>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Q659" i="8" s="1"/>
  <c r="AN660" i="8"/>
  <c r="AN661" i="8"/>
  <c r="AN662" i="8"/>
  <c r="AQ662" i="8" s="1"/>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R878" i="8" s="1"/>
  <c r="AN879" i="8"/>
  <c r="AN880" i="8"/>
  <c r="AN881" i="8"/>
  <c r="AN882" i="8"/>
  <c r="AN883" i="8"/>
  <c r="AN884" i="8"/>
  <c r="AN885" i="8"/>
  <c r="AN886" i="8"/>
  <c r="AN887" i="8"/>
  <c r="AN888" i="8"/>
  <c r="AN889" i="8"/>
  <c r="AN890" i="8"/>
  <c r="AN891" i="8"/>
  <c r="AN892" i="8"/>
  <c r="AN893" i="8"/>
  <c r="AN894" i="8"/>
  <c r="AN895" i="8"/>
  <c r="AN896" i="8"/>
  <c r="AN897" i="8"/>
  <c r="AN898" i="8"/>
  <c r="AN899" i="8"/>
  <c r="AQ899" i="8" s="1"/>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R926" i="8" s="1"/>
  <c r="AN927" i="8"/>
  <c r="AN928" i="8"/>
  <c r="AN929" i="8"/>
  <c r="AN930" i="8"/>
  <c r="AN931" i="8"/>
  <c r="AN932" i="8"/>
  <c r="AN933" i="8"/>
  <c r="AN934" i="8"/>
  <c r="AN935" i="8"/>
  <c r="AN936" i="8"/>
  <c r="AN937" i="8"/>
  <c r="AN938" i="8"/>
  <c r="AN939" i="8"/>
  <c r="AN940" i="8"/>
  <c r="AN941" i="8"/>
  <c r="AN942" i="8"/>
  <c r="AN943" i="8"/>
  <c r="AN944" i="8"/>
  <c r="AN945" i="8"/>
  <c r="AN946" i="8"/>
  <c r="AN947" i="8"/>
  <c r="AR947" i="8" s="1"/>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R1032" i="8" s="1"/>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R1067" i="8" s="1"/>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N1124" i="8"/>
  <c r="AN1125" i="8"/>
  <c r="AN1126" i="8"/>
  <c r="AN1127" i="8"/>
  <c r="AN1128" i="8"/>
  <c r="AN1129" i="8"/>
  <c r="AN1130" i="8"/>
  <c r="AO15" i="8"/>
  <c r="AO16" i="8"/>
  <c r="AO17" i="8"/>
  <c r="AO18" i="8"/>
  <c r="AO19" i="8"/>
  <c r="AO20" i="8"/>
  <c r="AO21" i="8"/>
  <c r="AO22" i="8"/>
  <c r="AO23" i="8"/>
  <c r="AQ23" i="8" s="1"/>
  <c r="AO24" i="8"/>
  <c r="AO25" i="8"/>
  <c r="AO26" i="8"/>
  <c r="AO27" i="8"/>
  <c r="AO28" i="8"/>
  <c r="AO29" i="8"/>
  <c r="AO30" i="8"/>
  <c r="AO31" i="8"/>
  <c r="AO32" i="8"/>
  <c r="AO33" i="8"/>
  <c r="AO34" i="8"/>
  <c r="AO35" i="8"/>
  <c r="AO36" i="8"/>
  <c r="AO37" i="8"/>
  <c r="AO38" i="8"/>
  <c r="AO39" i="8"/>
  <c r="AO40" i="8"/>
  <c r="AO41" i="8"/>
  <c r="AO42" i="8"/>
  <c r="AO43" i="8"/>
  <c r="AO44" i="8"/>
  <c r="AO45" i="8"/>
  <c r="AO46" i="8"/>
  <c r="AO47" i="8"/>
  <c r="AQ47" i="8" s="1"/>
  <c r="AO48" i="8"/>
  <c r="AO49" i="8"/>
  <c r="AO50" i="8"/>
  <c r="AO51" i="8"/>
  <c r="AO52" i="8"/>
  <c r="AO53" i="8"/>
  <c r="AO54" i="8"/>
  <c r="AO55" i="8"/>
  <c r="AO56" i="8"/>
  <c r="AO57" i="8"/>
  <c r="AO58" i="8"/>
  <c r="AO59" i="8"/>
  <c r="AO60" i="8"/>
  <c r="AO61" i="8"/>
  <c r="AO62" i="8"/>
  <c r="AO63" i="8"/>
  <c r="AO64" i="8"/>
  <c r="AO65" i="8"/>
  <c r="AO66" i="8"/>
  <c r="AO67" i="8"/>
  <c r="AO68" i="8"/>
  <c r="AO69" i="8"/>
  <c r="AO70" i="8"/>
  <c r="AO71" i="8"/>
  <c r="AQ71" i="8" s="1"/>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R119" i="8" s="1"/>
  <c r="AO120" i="8"/>
  <c r="AO121" i="8"/>
  <c r="AQ121" i="8" s="1"/>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O177" i="8"/>
  <c r="AO178" i="8"/>
  <c r="AO179" i="8"/>
  <c r="AO180" i="8"/>
  <c r="AO181" i="8"/>
  <c r="AO182" i="8"/>
  <c r="AO183" i="8"/>
  <c r="AO184" i="8"/>
  <c r="AO185" i="8"/>
  <c r="AO186" i="8"/>
  <c r="AO187" i="8"/>
  <c r="AO188" i="8"/>
  <c r="AO189" i="8"/>
  <c r="AO190" i="8"/>
  <c r="AO191" i="8"/>
  <c r="AQ191" i="8" s="1"/>
  <c r="AO192" i="8"/>
  <c r="AO193" i="8"/>
  <c r="AO194" i="8"/>
  <c r="AO195" i="8"/>
  <c r="AO196" i="8"/>
  <c r="AO197" i="8"/>
  <c r="AO198" i="8"/>
  <c r="AO199" i="8"/>
  <c r="AO200" i="8"/>
  <c r="AO201" i="8"/>
  <c r="AO202" i="8"/>
  <c r="AO203" i="8"/>
  <c r="AO204" i="8"/>
  <c r="AO205" i="8"/>
  <c r="AO206" i="8"/>
  <c r="AO207" i="8"/>
  <c r="AO208" i="8"/>
  <c r="AO209" i="8"/>
  <c r="AO210" i="8"/>
  <c r="AO211" i="8"/>
  <c r="AO212" i="8"/>
  <c r="AO213" i="8"/>
  <c r="AO214" i="8"/>
  <c r="AO215" i="8"/>
  <c r="AR215" i="8" s="1"/>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Q239" i="8" s="1"/>
  <c r="AO240" i="8"/>
  <c r="AO241" i="8"/>
  <c r="AO242" i="8"/>
  <c r="AO243" i="8"/>
  <c r="AO244" i="8"/>
  <c r="AO245" i="8"/>
  <c r="AO246" i="8"/>
  <c r="AO247" i="8"/>
  <c r="AO248" i="8"/>
  <c r="AO249" i="8"/>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O310" i="8"/>
  <c r="AO311" i="8"/>
  <c r="AQ311" i="8" s="1"/>
  <c r="AO312" i="8"/>
  <c r="AO313" i="8"/>
  <c r="AO314" i="8"/>
  <c r="AO315" i="8"/>
  <c r="AO316" i="8"/>
  <c r="AO317" i="8"/>
  <c r="AR317" i="8" s="1"/>
  <c r="AO318" i="8"/>
  <c r="AO319" i="8"/>
  <c r="AO320" i="8"/>
  <c r="AO321" i="8"/>
  <c r="AO322" i="8"/>
  <c r="AO323" i="8"/>
  <c r="AO324" i="8"/>
  <c r="AO325" i="8"/>
  <c r="AO326" i="8"/>
  <c r="AO327" i="8"/>
  <c r="AO328" i="8"/>
  <c r="AO329" i="8"/>
  <c r="AO330" i="8"/>
  <c r="AO331" i="8"/>
  <c r="AO332" i="8"/>
  <c r="AO333" i="8"/>
  <c r="AO334" i="8"/>
  <c r="AO335" i="8"/>
  <c r="AR335" i="8" s="1"/>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O361" i="8"/>
  <c r="AO362" i="8"/>
  <c r="AO363" i="8"/>
  <c r="AO364" i="8"/>
  <c r="AO365" i="8"/>
  <c r="AO366" i="8"/>
  <c r="AO367" i="8"/>
  <c r="AO368" i="8"/>
  <c r="AQ368" i="8" s="1"/>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Q407" i="8" s="1"/>
  <c r="AO408" i="8"/>
  <c r="AO409" i="8"/>
  <c r="AO410" i="8"/>
  <c r="AO411" i="8"/>
  <c r="AO412" i="8"/>
  <c r="AO413" i="8"/>
  <c r="AO414" i="8"/>
  <c r="AO415" i="8"/>
  <c r="AO416" i="8"/>
  <c r="AO417" i="8"/>
  <c r="AO418" i="8"/>
  <c r="AO419" i="8"/>
  <c r="AO420" i="8"/>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Q493" i="8" s="1"/>
  <c r="AO494" i="8"/>
  <c r="AO495" i="8"/>
  <c r="AO496" i="8"/>
  <c r="AO497" i="8"/>
  <c r="AO498" i="8"/>
  <c r="AO499" i="8"/>
  <c r="AO500" i="8"/>
  <c r="AO501" i="8"/>
  <c r="AO502" i="8"/>
  <c r="AO503" i="8"/>
  <c r="AO504" i="8"/>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O529" i="8"/>
  <c r="AQ529" i="8" s="1"/>
  <c r="AO530" i="8"/>
  <c r="AO531" i="8"/>
  <c r="AO532" i="8"/>
  <c r="AO533" i="8"/>
  <c r="AO534" i="8"/>
  <c r="AO535" i="8"/>
  <c r="AO536" i="8"/>
  <c r="AO537" i="8"/>
  <c r="AO538" i="8"/>
  <c r="AO539" i="8"/>
  <c r="AO540" i="8"/>
  <c r="AO541" i="8"/>
  <c r="AO542" i="8"/>
  <c r="AO543" i="8"/>
  <c r="AO544" i="8"/>
  <c r="AO545" i="8"/>
  <c r="AO546" i="8"/>
  <c r="AO547" i="8"/>
  <c r="AO548" i="8"/>
  <c r="AO549" i="8"/>
  <c r="AO550" i="8"/>
  <c r="AO551" i="8"/>
  <c r="AR551" i="8" s="1"/>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R647" i="8" s="1"/>
  <c r="AO648" i="8"/>
  <c r="AO649" i="8"/>
  <c r="AO650" i="8"/>
  <c r="AO651" i="8"/>
  <c r="AO652" i="8"/>
  <c r="AQ652" i="8" s="1"/>
  <c r="AO653" i="8"/>
  <c r="AO654" i="8"/>
  <c r="AO655" i="8"/>
  <c r="AO656" i="8"/>
  <c r="AO657" i="8"/>
  <c r="AO658" i="8"/>
  <c r="AO659" i="8"/>
  <c r="AO660" i="8"/>
  <c r="AO661" i="8"/>
  <c r="AO662" i="8"/>
  <c r="AO663" i="8"/>
  <c r="AO664" i="8"/>
  <c r="AO665" i="8"/>
  <c r="AO666" i="8"/>
  <c r="AO667" i="8"/>
  <c r="AO668" i="8"/>
  <c r="AO669" i="8"/>
  <c r="AO670" i="8"/>
  <c r="AO671" i="8"/>
  <c r="AR671" i="8" s="1"/>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Q695" i="8" s="1"/>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O721" i="8"/>
  <c r="AO722" i="8"/>
  <c r="AO723" i="8"/>
  <c r="AO724" i="8"/>
  <c r="AO725" i="8"/>
  <c r="AR725" i="8" s="1"/>
  <c r="AO726" i="8"/>
  <c r="AO727" i="8"/>
  <c r="AO728" i="8"/>
  <c r="AO729" i="8"/>
  <c r="AO730" i="8"/>
  <c r="AO731" i="8"/>
  <c r="AO732" i="8"/>
  <c r="AO733" i="8"/>
  <c r="AO734" i="8"/>
  <c r="AO735" i="8"/>
  <c r="AO736" i="8"/>
  <c r="AO737" i="8"/>
  <c r="AO738" i="8"/>
  <c r="AO739" i="8"/>
  <c r="AO740" i="8"/>
  <c r="AO741" i="8"/>
  <c r="AO742" i="8"/>
  <c r="AO743" i="8"/>
  <c r="AQ743" i="8" s="1"/>
  <c r="AO744" i="8"/>
  <c r="AO745" i="8"/>
  <c r="AO746" i="8"/>
  <c r="AO747" i="8"/>
  <c r="AO748" i="8"/>
  <c r="AO749" i="8"/>
  <c r="AO750" i="8"/>
  <c r="AO751" i="8"/>
  <c r="AO752" i="8"/>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Q791" i="8" s="1"/>
  <c r="AO792" i="8"/>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R823" i="8" s="1"/>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R847" i="8" s="1"/>
  <c r="AO848" i="8"/>
  <c r="AO849" i="8"/>
  <c r="AO850" i="8"/>
  <c r="AO851" i="8"/>
  <c r="AO852" i="8"/>
  <c r="AO853" i="8"/>
  <c r="AO854" i="8"/>
  <c r="AO855" i="8"/>
  <c r="AO856" i="8"/>
  <c r="AO857" i="8"/>
  <c r="AO858" i="8"/>
  <c r="AO859" i="8"/>
  <c r="AO860" i="8"/>
  <c r="AO861" i="8"/>
  <c r="AO862" i="8"/>
  <c r="AO863" i="8"/>
  <c r="AO864" i="8"/>
  <c r="AO865" i="8"/>
  <c r="AR865" i="8" s="1"/>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O912" i="8"/>
  <c r="AO913" i="8"/>
  <c r="AO914" i="8"/>
  <c r="AO915" i="8"/>
  <c r="AO916" i="8"/>
  <c r="AO917" i="8"/>
  <c r="AO918" i="8"/>
  <c r="AO919" i="8"/>
  <c r="AR919" i="8" s="1"/>
  <c r="AO920" i="8"/>
  <c r="AO921" i="8"/>
  <c r="AO922" i="8"/>
  <c r="AO923" i="8"/>
  <c r="AO924" i="8"/>
  <c r="AO925" i="8"/>
  <c r="AO926" i="8"/>
  <c r="AO927" i="8"/>
  <c r="AO928" i="8"/>
  <c r="AO929" i="8"/>
  <c r="AO930" i="8"/>
  <c r="AO931" i="8"/>
  <c r="AO932" i="8"/>
  <c r="AO933" i="8"/>
  <c r="AO934" i="8"/>
  <c r="AO935" i="8"/>
  <c r="AO936" i="8"/>
  <c r="AO937" i="8"/>
  <c r="AQ937" i="8" s="1"/>
  <c r="AO938" i="8"/>
  <c r="AO939" i="8"/>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R983" i="8" s="1"/>
  <c r="AO984" i="8"/>
  <c r="AO985" i="8"/>
  <c r="AO986" i="8"/>
  <c r="AO987" i="8"/>
  <c r="AO988" i="8"/>
  <c r="AO989" i="8"/>
  <c r="AO990" i="8"/>
  <c r="AO991" i="8"/>
  <c r="AQ991" i="8" s="1"/>
  <c r="AO992" i="8"/>
  <c r="AO993" i="8"/>
  <c r="AO994" i="8"/>
  <c r="AO995" i="8"/>
  <c r="AO996" i="8"/>
  <c r="AO997" i="8"/>
  <c r="AO998" i="8"/>
  <c r="AO999" i="8"/>
  <c r="AO1000" i="8"/>
  <c r="AO1001" i="8"/>
  <c r="AO1002" i="8"/>
  <c r="AO1003" i="8"/>
  <c r="AO1004" i="8"/>
  <c r="AO1005" i="8"/>
  <c r="AO1006" i="8"/>
  <c r="AO1007" i="8"/>
  <c r="AQ1007" i="8" s="1"/>
  <c r="AO1008" i="8"/>
  <c r="AO1009" i="8"/>
  <c r="AO1010" i="8"/>
  <c r="AO1011" i="8"/>
  <c r="AO1012" i="8"/>
  <c r="AO1013" i="8"/>
  <c r="AO1014" i="8"/>
  <c r="AO1015" i="8"/>
  <c r="AR1015" i="8" s="1"/>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Q1039" i="8" s="1"/>
  <c r="AO1040" i="8"/>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R1087" i="8" s="1"/>
  <c r="AO1088" i="8"/>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R1111" i="8" s="1"/>
  <c r="AO1112" i="8"/>
  <c r="AO1113" i="8"/>
  <c r="AO1114" i="8"/>
  <c r="AO1115" i="8"/>
  <c r="AO1116" i="8"/>
  <c r="AO1117" i="8"/>
  <c r="AQ1117" i="8" s="1"/>
  <c r="AO1118" i="8"/>
  <c r="AO1119" i="8"/>
  <c r="AO1120" i="8"/>
  <c r="AO1121" i="8"/>
  <c r="AO1122" i="8"/>
  <c r="AO1123" i="8"/>
  <c r="AO1124" i="8"/>
  <c r="AR1124" i="8" s="1"/>
  <c r="AO1125" i="8"/>
  <c r="AO1126" i="8"/>
  <c r="AO1127" i="8"/>
  <c r="AO1128" i="8"/>
  <c r="AO1129" i="8"/>
  <c r="AO1130" i="8"/>
  <c r="AP15" i="8"/>
  <c r="AQ15" i="8" s="1"/>
  <c r="AP16" i="8"/>
  <c r="AQ16" i="8" s="1"/>
  <c r="AP17" i="8"/>
  <c r="AQ17" i="8" s="1"/>
  <c r="AP18" i="8"/>
  <c r="AP19" i="8"/>
  <c r="AP20" i="8"/>
  <c r="AQ20" i="8" s="1"/>
  <c r="AP21" i="8"/>
  <c r="AQ21" i="8" s="1"/>
  <c r="AP22" i="8"/>
  <c r="AQ22" i="8" s="1"/>
  <c r="AP23" i="8"/>
  <c r="AP24" i="8"/>
  <c r="AP25" i="8"/>
  <c r="AP26" i="8"/>
  <c r="AP27" i="8"/>
  <c r="AQ27" i="8" s="1"/>
  <c r="AP28" i="8"/>
  <c r="AP29" i="8"/>
  <c r="AP30" i="8"/>
  <c r="AP31" i="8"/>
  <c r="AP32" i="8"/>
  <c r="AP33" i="8"/>
  <c r="AQ33" i="8" s="1"/>
  <c r="AP34" i="8"/>
  <c r="AQ34" i="8" s="1"/>
  <c r="AP35" i="8"/>
  <c r="AQ35" i="8" s="1"/>
  <c r="AP36" i="8"/>
  <c r="AP37" i="8"/>
  <c r="AP38" i="8"/>
  <c r="AP39" i="8"/>
  <c r="AQ39" i="8" s="1"/>
  <c r="AP40" i="8"/>
  <c r="AQ40" i="8" s="1"/>
  <c r="AP41" i="8"/>
  <c r="AQ41" i="8" s="1"/>
  <c r="AP42" i="8"/>
  <c r="AR42" i="8" s="1"/>
  <c r="AP43" i="8"/>
  <c r="AQ43" i="8" s="1"/>
  <c r="AP44" i="8"/>
  <c r="AQ44" i="8" s="1"/>
  <c r="AP45" i="8"/>
  <c r="AQ45" i="8" s="1"/>
  <c r="AP46" i="8"/>
  <c r="AP47" i="8"/>
  <c r="AP48" i="8"/>
  <c r="AP49" i="8"/>
  <c r="AP50" i="8"/>
  <c r="AP51" i="8"/>
  <c r="AQ51" i="8" s="1"/>
  <c r="AP52" i="8"/>
  <c r="AP53" i="8"/>
  <c r="AP54" i="8"/>
  <c r="AP55" i="8"/>
  <c r="AP56" i="8"/>
  <c r="AP57" i="8"/>
  <c r="AP58" i="8"/>
  <c r="AP59" i="8"/>
  <c r="AP60" i="8"/>
  <c r="AP61" i="8"/>
  <c r="AP62" i="8"/>
  <c r="AP63" i="8"/>
  <c r="AQ63" i="8" s="1"/>
  <c r="AP64" i="8"/>
  <c r="AQ64" i="8" s="1"/>
  <c r="AP65" i="8"/>
  <c r="AQ65" i="8" s="1"/>
  <c r="AP66" i="8"/>
  <c r="AR66" i="8" s="1"/>
  <c r="AP67" i="8"/>
  <c r="AP68" i="8"/>
  <c r="AQ68" i="8" s="1"/>
  <c r="AP69" i="8"/>
  <c r="AQ69" i="8" s="1"/>
  <c r="AP70" i="8"/>
  <c r="AQ70" i="8" s="1"/>
  <c r="AP71" i="8"/>
  <c r="AP72" i="8"/>
  <c r="AP73" i="8"/>
  <c r="AP74" i="8"/>
  <c r="AP75" i="8"/>
  <c r="AQ75" i="8" s="1"/>
  <c r="AP76" i="8"/>
  <c r="AP77" i="8"/>
  <c r="AP78" i="8"/>
  <c r="AP79" i="8"/>
  <c r="AP80" i="8"/>
  <c r="AP81" i="8"/>
  <c r="AP82" i="8"/>
  <c r="AP83" i="8"/>
  <c r="AQ83" i="8" s="1"/>
  <c r="AP84" i="8"/>
  <c r="AQ84" i="8" s="1"/>
  <c r="AP85" i="8"/>
  <c r="AP86" i="8"/>
  <c r="AP87" i="8"/>
  <c r="AQ87" i="8" s="1"/>
  <c r="AP88" i="8"/>
  <c r="AQ88" i="8" s="1"/>
  <c r="AP89" i="8"/>
  <c r="AQ89" i="8" s="1"/>
  <c r="AP90" i="8"/>
  <c r="AR90" i="8" s="1"/>
  <c r="AP91" i="8"/>
  <c r="AP92" i="8"/>
  <c r="AQ92" i="8" s="1"/>
  <c r="AP93" i="8"/>
  <c r="AQ93" i="8" s="1"/>
  <c r="AP94" i="8"/>
  <c r="AQ94" i="8" s="1"/>
  <c r="AP95" i="8"/>
  <c r="AP96" i="8"/>
  <c r="AP97" i="8"/>
  <c r="AR97" i="8" s="1"/>
  <c r="AP98" i="8"/>
  <c r="AP99" i="8"/>
  <c r="AQ99" i="8" s="1"/>
  <c r="AP100" i="8"/>
  <c r="AP101" i="8"/>
  <c r="AP102" i="8"/>
  <c r="AP103" i="8"/>
  <c r="AP104" i="8"/>
  <c r="AP105" i="8"/>
  <c r="AP106" i="8"/>
  <c r="AP107" i="8"/>
  <c r="AR107" i="8" s="1"/>
  <c r="AP108" i="8"/>
  <c r="AP109" i="8"/>
  <c r="AP110" i="8"/>
  <c r="AP111" i="8"/>
  <c r="AQ111" i="8" s="1"/>
  <c r="AP112" i="8"/>
  <c r="AP113" i="8"/>
  <c r="AQ113" i="8" s="1"/>
  <c r="AP114" i="8"/>
  <c r="AR114" i="8" s="1"/>
  <c r="AP115" i="8"/>
  <c r="AP116" i="8"/>
  <c r="AQ116" i="8" s="1"/>
  <c r="AP117" i="8"/>
  <c r="AQ117" i="8" s="1"/>
  <c r="AP118" i="8"/>
  <c r="AR118" i="8" s="1"/>
  <c r="AP119" i="8"/>
  <c r="AQ119" i="8" s="1"/>
  <c r="AP120" i="8"/>
  <c r="AP121" i="8"/>
  <c r="AP122" i="8"/>
  <c r="AP123" i="8"/>
  <c r="AR123" i="8" s="1"/>
  <c r="AP124" i="8"/>
  <c r="AP125" i="8"/>
  <c r="AP126" i="8"/>
  <c r="AP127" i="8"/>
  <c r="AP128" i="8"/>
  <c r="AP129" i="8"/>
  <c r="AP130" i="8"/>
  <c r="AP131" i="8"/>
  <c r="AP132" i="8"/>
  <c r="AP133" i="8"/>
  <c r="AP134" i="8"/>
  <c r="AP135" i="8"/>
  <c r="AQ135" i="8" s="1"/>
  <c r="AP136" i="8"/>
  <c r="AP137" i="8"/>
  <c r="AP138" i="8"/>
  <c r="AR138" i="8" s="1"/>
  <c r="AP139" i="8"/>
  <c r="AP140" i="8"/>
  <c r="AQ140" i="8" s="1"/>
  <c r="AP141" i="8"/>
  <c r="AQ141" i="8" s="1"/>
  <c r="AP142" i="8"/>
  <c r="AP143" i="8"/>
  <c r="AP144" i="8"/>
  <c r="AP145" i="8"/>
  <c r="AP146" i="8"/>
  <c r="AP147" i="8"/>
  <c r="AQ147" i="8" s="1"/>
  <c r="AP148" i="8"/>
  <c r="AP149" i="8"/>
  <c r="AP150" i="8"/>
  <c r="AP151" i="8"/>
  <c r="AP152" i="8"/>
  <c r="AP153" i="8"/>
  <c r="AR153" i="8" s="1"/>
  <c r="AP154" i="8"/>
  <c r="AP155" i="8"/>
  <c r="AR155" i="8" s="1"/>
  <c r="AP156" i="8"/>
  <c r="AP157" i="8"/>
  <c r="AP158" i="8"/>
  <c r="AP159" i="8"/>
  <c r="AQ159" i="8" s="1"/>
  <c r="AP160" i="8"/>
  <c r="AP161" i="8"/>
  <c r="AP162" i="8"/>
  <c r="AR162" i="8" s="1"/>
  <c r="AP163" i="8"/>
  <c r="AP164" i="8"/>
  <c r="AQ164" i="8" s="1"/>
  <c r="AP165" i="8"/>
  <c r="AQ165" i="8" s="1"/>
  <c r="AP166" i="8"/>
  <c r="AQ166" i="8" s="1"/>
  <c r="AP167" i="8"/>
  <c r="AQ167" i="8" s="1"/>
  <c r="AP168" i="8"/>
  <c r="AP169" i="8"/>
  <c r="AP170" i="8"/>
  <c r="AP171" i="8"/>
  <c r="AP172" i="8"/>
  <c r="AP173" i="8"/>
  <c r="AP174" i="8"/>
  <c r="AP175" i="8"/>
  <c r="AP176" i="8"/>
  <c r="AP177" i="8"/>
  <c r="AP178" i="8"/>
  <c r="AP179" i="8"/>
  <c r="AR179" i="8" s="1"/>
  <c r="AP180" i="8"/>
  <c r="AP181" i="8"/>
  <c r="AP182" i="8"/>
  <c r="AP183" i="8"/>
  <c r="AQ183" i="8" s="1"/>
  <c r="AP184" i="8"/>
  <c r="AP185" i="8"/>
  <c r="AP186" i="8"/>
  <c r="AR186" i="8" s="1"/>
  <c r="AP187" i="8"/>
  <c r="AQ187" i="8" s="1"/>
  <c r="AP188" i="8"/>
  <c r="AQ188" i="8" s="1"/>
  <c r="AP189" i="8"/>
  <c r="AQ189" i="8" s="1"/>
  <c r="AP190" i="8"/>
  <c r="AP191" i="8"/>
  <c r="AP192" i="8"/>
  <c r="AP193" i="8"/>
  <c r="AP194" i="8"/>
  <c r="AP195" i="8"/>
  <c r="AP196" i="8"/>
  <c r="AP197" i="8"/>
  <c r="AP198" i="8"/>
  <c r="AP199" i="8"/>
  <c r="AP200" i="8"/>
  <c r="AP201" i="8"/>
  <c r="AP202" i="8"/>
  <c r="AP203" i="8"/>
  <c r="AP204" i="8"/>
  <c r="AP205" i="8"/>
  <c r="AP206" i="8"/>
  <c r="AP207" i="8"/>
  <c r="AQ207" i="8" s="1"/>
  <c r="AP208" i="8"/>
  <c r="AP209" i="8"/>
  <c r="AP210" i="8"/>
  <c r="AR210" i="8" s="1"/>
  <c r="AP211" i="8"/>
  <c r="AR211" i="8" s="1"/>
  <c r="AP212" i="8"/>
  <c r="AQ212" i="8" s="1"/>
  <c r="AP213" i="8"/>
  <c r="AQ213" i="8" s="1"/>
  <c r="AP214" i="8"/>
  <c r="AQ214" i="8" s="1"/>
  <c r="AP215" i="8"/>
  <c r="AQ215" i="8" s="1"/>
  <c r="AP216" i="8"/>
  <c r="AP217" i="8"/>
  <c r="AP218" i="8"/>
  <c r="AP219" i="8"/>
  <c r="AR219" i="8" s="1"/>
  <c r="AP220" i="8"/>
  <c r="AP221" i="8"/>
  <c r="AP222" i="8"/>
  <c r="AP223" i="8"/>
  <c r="AP224" i="8"/>
  <c r="AP225" i="8"/>
  <c r="AP226" i="8"/>
  <c r="AP227" i="8"/>
  <c r="AQ227" i="8" s="1"/>
  <c r="AP228" i="8"/>
  <c r="AP229" i="8"/>
  <c r="AP230" i="8"/>
  <c r="AP231" i="8"/>
  <c r="AQ231" i="8" s="1"/>
  <c r="AP232" i="8"/>
  <c r="AP233" i="8"/>
  <c r="AP234" i="8"/>
  <c r="AR234" i="8" s="1"/>
  <c r="AP235" i="8"/>
  <c r="AP236" i="8"/>
  <c r="AQ236" i="8" s="1"/>
  <c r="AP237" i="8"/>
  <c r="AQ237" i="8" s="1"/>
  <c r="AP238" i="8"/>
  <c r="AP239" i="8"/>
  <c r="AP240" i="8"/>
  <c r="AP241" i="8"/>
  <c r="AP242" i="8"/>
  <c r="AP243" i="8"/>
  <c r="AQ243" i="8" s="1"/>
  <c r="AP244" i="8"/>
  <c r="AP245" i="8"/>
  <c r="AP246" i="8"/>
  <c r="AP247" i="8"/>
  <c r="AP248" i="8"/>
  <c r="AP249" i="8"/>
  <c r="AP250" i="8"/>
  <c r="AP251" i="8"/>
  <c r="AQ251" i="8" s="1"/>
  <c r="AP252" i="8"/>
  <c r="AP253" i="8"/>
  <c r="AP254" i="8"/>
  <c r="AP255" i="8"/>
  <c r="AQ255" i="8" s="1"/>
  <c r="AP256" i="8"/>
  <c r="AP257" i="8"/>
  <c r="AP258" i="8"/>
  <c r="AP259" i="8"/>
  <c r="AP260" i="8"/>
  <c r="AQ260" i="8" s="1"/>
  <c r="AP261" i="8"/>
  <c r="AQ261" i="8" s="1"/>
  <c r="AP262" i="8"/>
  <c r="AR262" i="8" s="1"/>
  <c r="AP263" i="8"/>
  <c r="AR263" i="8" s="1"/>
  <c r="AP264" i="8"/>
  <c r="AP265" i="8"/>
  <c r="AP266" i="8"/>
  <c r="AP267" i="8"/>
  <c r="AR267" i="8" s="1"/>
  <c r="AP268" i="8"/>
  <c r="AP269" i="8"/>
  <c r="AP270" i="8"/>
  <c r="AP271" i="8"/>
  <c r="AP272" i="8"/>
  <c r="AP273" i="8"/>
  <c r="AP274" i="8"/>
  <c r="AQ274" i="8" s="1"/>
  <c r="AP275" i="8"/>
  <c r="AR275" i="8" s="1"/>
  <c r="AP276" i="8"/>
  <c r="AP277" i="8"/>
  <c r="AP278" i="8"/>
  <c r="AP279" i="8"/>
  <c r="AP280" i="8"/>
  <c r="AP281" i="8"/>
  <c r="AP282" i="8"/>
  <c r="AR282" i="8" s="1"/>
  <c r="AP283" i="8"/>
  <c r="AQ283" i="8" s="1"/>
  <c r="AP284" i="8"/>
  <c r="AQ284" i="8" s="1"/>
  <c r="AP285" i="8"/>
  <c r="AQ285" i="8" s="1"/>
  <c r="AP286" i="8"/>
  <c r="AR286" i="8" s="1"/>
  <c r="AP287" i="8"/>
  <c r="AP288" i="8"/>
  <c r="AP289" i="8"/>
  <c r="AP290" i="8"/>
  <c r="AP291" i="8"/>
  <c r="AP292" i="8"/>
  <c r="AP293" i="8"/>
  <c r="AP294" i="8"/>
  <c r="AP295" i="8"/>
  <c r="AP296" i="8"/>
  <c r="AP297" i="8"/>
  <c r="AP298" i="8"/>
  <c r="AP299" i="8"/>
  <c r="AR299" i="8" s="1"/>
  <c r="AP300" i="8"/>
  <c r="AP301" i="8"/>
  <c r="AP302" i="8"/>
  <c r="AP303" i="8"/>
  <c r="AQ303" i="8" s="1"/>
  <c r="AP304" i="8"/>
  <c r="AP305" i="8"/>
  <c r="AP306" i="8"/>
  <c r="AP307" i="8"/>
  <c r="AR307" i="8" s="1"/>
  <c r="AP308" i="8"/>
  <c r="AP309" i="8"/>
  <c r="AP310" i="8"/>
  <c r="AP311" i="8"/>
  <c r="AR311" i="8" s="1"/>
  <c r="AP312" i="8"/>
  <c r="AP313" i="8"/>
  <c r="AQ313" i="8" s="1"/>
  <c r="AP314" i="8"/>
  <c r="AP315" i="8"/>
  <c r="AQ315" i="8" s="1"/>
  <c r="AP316" i="8"/>
  <c r="AP317" i="8"/>
  <c r="AP318" i="8"/>
  <c r="AP319" i="8"/>
  <c r="AP320" i="8"/>
  <c r="AP321" i="8"/>
  <c r="AP322" i="8"/>
  <c r="AP323" i="8"/>
  <c r="AQ323" i="8" s="1"/>
  <c r="AP324" i="8"/>
  <c r="AP325" i="8"/>
  <c r="AP326" i="8"/>
  <c r="AP327" i="8"/>
  <c r="AP328" i="8"/>
  <c r="AP329" i="8"/>
  <c r="AP330" i="8"/>
  <c r="AR330" i="8" s="1"/>
  <c r="AP331" i="8"/>
  <c r="AP332" i="8"/>
  <c r="AQ332" i="8" s="1"/>
  <c r="AP333" i="8"/>
  <c r="AP334" i="8"/>
  <c r="AQ334" i="8" s="1"/>
  <c r="AP335" i="8"/>
  <c r="AP336" i="8"/>
  <c r="AP337" i="8"/>
  <c r="AR337" i="8" s="1"/>
  <c r="AP338" i="8"/>
  <c r="AP339" i="8"/>
  <c r="AQ339" i="8" s="1"/>
  <c r="AP340" i="8"/>
  <c r="AR340" i="8" s="1"/>
  <c r="AP341" i="8"/>
  <c r="AP342" i="8"/>
  <c r="AP343" i="8"/>
  <c r="AP344" i="8"/>
  <c r="AP345" i="8"/>
  <c r="AP346" i="8"/>
  <c r="AP347" i="8"/>
  <c r="AR347" i="8" s="1"/>
  <c r="AP348" i="8"/>
  <c r="AP349" i="8"/>
  <c r="AR349" i="8" s="1"/>
  <c r="AP350" i="8"/>
  <c r="AP351" i="8"/>
  <c r="AR351" i="8" s="1"/>
  <c r="AP352" i="8"/>
  <c r="AP353" i="8"/>
  <c r="AP354" i="8"/>
  <c r="AP355" i="8"/>
  <c r="AR355" i="8" s="1"/>
  <c r="AP356" i="8"/>
  <c r="AQ356" i="8" s="1"/>
  <c r="AP357" i="8"/>
  <c r="AQ357" i="8" s="1"/>
  <c r="AP358" i="8"/>
  <c r="AQ358" i="8" s="1"/>
  <c r="AP359" i="8"/>
  <c r="AQ359" i="8" s="1"/>
  <c r="AP360" i="8"/>
  <c r="AP361" i="8"/>
  <c r="AR361" i="8" s="1"/>
  <c r="AP362" i="8"/>
  <c r="AP363" i="8"/>
  <c r="AP364" i="8"/>
  <c r="AP365" i="8"/>
  <c r="AP366" i="8"/>
  <c r="AP367" i="8"/>
  <c r="AP368" i="8"/>
  <c r="AP369" i="8"/>
  <c r="AP370" i="8"/>
  <c r="AP371" i="8"/>
  <c r="AQ371" i="8" s="1"/>
  <c r="AP372" i="8"/>
  <c r="AP373" i="8"/>
  <c r="AP374" i="8"/>
  <c r="AP375" i="8"/>
  <c r="AP376" i="8"/>
  <c r="AP377" i="8"/>
  <c r="AP378" i="8"/>
  <c r="AR378" i="8" s="1"/>
  <c r="AP379" i="8"/>
  <c r="AP380" i="8"/>
  <c r="AQ380" i="8" s="1"/>
  <c r="AP381" i="8"/>
  <c r="AQ381" i="8" s="1"/>
  <c r="AP382" i="8"/>
  <c r="AQ382" i="8" s="1"/>
  <c r="AP383" i="8"/>
  <c r="AP384" i="8"/>
  <c r="AP385" i="8"/>
  <c r="AP386" i="8"/>
  <c r="AP387" i="8"/>
  <c r="AQ387" i="8" s="1"/>
  <c r="AP388" i="8"/>
  <c r="AP389" i="8"/>
  <c r="AP390" i="8"/>
  <c r="AP391" i="8"/>
  <c r="AP392" i="8"/>
  <c r="AP393" i="8"/>
  <c r="AP394" i="8"/>
  <c r="AP395" i="8"/>
  <c r="AQ395" i="8" s="1"/>
  <c r="AP396" i="8"/>
  <c r="AP397" i="8"/>
  <c r="AR397" i="8" s="1"/>
  <c r="AP398" i="8"/>
  <c r="AP399" i="8"/>
  <c r="AQ399" i="8" s="1"/>
  <c r="AP400" i="8"/>
  <c r="AP401" i="8"/>
  <c r="AP402" i="8"/>
  <c r="AP403" i="8"/>
  <c r="AR403" i="8" s="1"/>
  <c r="AP404" i="8"/>
  <c r="AQ404" i="8" s="1"/>
  <c r="AP405" i="8"/>
  <c r="AQ405" i="8" s="1"/>
  <c r="AP406" i="8"/>
  <c r="AQ406" i="8" s="1"/>
  <c r="AP407" i="8"/>
  <c r="AR407" i="8" s="1"/>
  <c r="AP408" i="8"/>
  <c r="AQ408" i="8" s="1"/>
  <c r="AP409" i="8"/>
  <c r="AQ409" i="8" s="1"/>
  <c r="AP410" i="8"/>
  <c r="AP411" i="8"/>
  <c r="AQ411" i="8" s="1"/>
  <c r="AP412" i="8"/>
  <c r="AP413" i="8"/>
  <c r="AP414" i="8"/>
  <c r="AP415" i="8"/>
  <c r="AP416" i="8"/>
  <c r="AP417" i="8"/>
  <c r="AP418" i="8"/>
  <c r="AP419" i="8"/>
  <c r="AP420" i="8"/>
  <c r="AP421" i="8"/>
  <c r="AP422" i="8"/>
  <c r="AP423" i="8"/>
  <c r="AP424" i="8"/>
  <c r="AP425" i="8"/>
  <c r="AP426" i="8"/>
  <c r="AR426" i="8" s="1"/>
  <c r="AP427" i="8"/>
  <c r="AP428" i="8"/>
  <c r="AP429" i="8"/>
  <c r="AP430" i="8"/>
  <c r="AQ430" i="8" s="1"/>
  <c r="AP431" i="8"/>
  <c r="AP432" i="8"/>
  <c r="AQ432" i="8" s="1"/>
  <c r="AP433" i="8"/>
  <c r="AQ433" i="8" s="1"/>
  <c r="AP434" i="8"/>
  <c r="AP435" i="8"/>
  <c r="AP436" i="8"/>
  <c r="AP437" i="8"/>
  <c r="AP438" i="8"/>
  <c r="AP439" i="8"/>
  <c r="AP440" i="8"/>
  <c r="AP441" i="8"/>
  <c r="AP442" i="8"/>
  <c r="AP443" i="8"/>
  <c r="AP444" i="8"/>
  <c r="AR444" i="8" s="1"/>
  <c r="AP445" i="8"/>
  <c r="AR445" i="8" s="1"/>
  <c r="AP446" i="8"/>
  <c r="AP447" i="8"/>
  <c r="AR447" i="8" s="1"/>
  <c r="AP448" i="8"/>
  <c r="AP449" i="8"/>
  <c r="AP450" i="8"/>
  <c r="AR450" i="8" s="1"/>
  <c r="AP451" i="8"/>
  <c r="AR451" i="8" s="1"/>
  <c r="AP452" i="8"/>
  <c r="AP453" i="8"/>
  <c r="AP454" i="8"/>
  <c r="AP455" i="8"/>
  <c r="AR455" i="8" s="1"/>
  <c r="AP456" i="8"/>
  <c r="AQ456" i="8" s="1"/>
  <c r="AP457" i="8"/>
  <c r="AQ457" i="8" s="1"/>
  <c r="AP458" i="8"/>
  <c r="AP459" i="8"/>
  <c r="AQ459" i="8" s="1"/>
  <c r="AP460" i="8"/>
  <c r="AP461" i="8"/>
  <c r="AP462" i="8"/>
  <c r="AP463" i="8"/>
  <c r="AP464" i="8"/>
  <c r="AP465" i="8"/>
  <c r="AP466" i="8"/>
  <c r="AP467" i="8"/>
  <c r="AQ467" i="8" s="1"/>
  <c r="AP468" i="8"/>
  <c r="AP469" i="8"/>
  <c r="AP470" i="8"/>
  <c r="AP471" i="8"/>
  <c r="AQ471" i="8" s="1"/>
  <c r="AP472" i="8"/>
  <c r="AP473" i="8"/>
  <c r="AP474" i="8"/>
  <c r="AR474" i="8" s="1"/>
  <c r="AP475" i="8"/>
  <c r="AP476" i="8"/>
  <c r="AP477" i="8"/>
  <c r="AP478" i="8"/>
  <c r="AR478" i="8" s="1"/>
  <c r="AP479" i="8"/>
  <c r="AP480" i="8"/>
  <c r="AR480" i="8" s="1"/>
  <c r="AP481" i="8"/>
  <c r="AP482" i="8"/>
  <c r="AP483" i="8"/>
  <c r="AQ483" i="8" s="1"/>
  <c r="AP484" i="8"/>
  <c r="AP485" i="8"/>
  <c r="AP486" i="8"/>
  <c r="AP487" i="8"/>
  <c r="AP488" i="8"/>
  <c r="AP489" i="8"/>
  <c r="AP490" i="8"/>
  <c r="AQ490" i="8" s="1"/>
  <c r="AP491" i="8"/>
  <c r="AQ491" i="8" s="1"/>
  <c r="AP492" i="8"/>
  <c r="AP493" i="8"/>
  <c r="AP494" i="8"/>
  <c r="AP495" i="8"/>
  <c r="AP496" i="8"/>
  <c r="AP497" i="8"/>
  <c r="AP498" i="8"/>
  <c r="AR498" i="8" s="1"/>
  <c r="AP499" i="8"/>
  <c r="AR499" i="8" s="1"/>
  <c r="AP500" i="8"/>
  <c r="AR500" i="8" s="1"/>
  <c r="AP501" i="8"/>
  <c r="AP502" i="8"/>
  <c r="AP503" i="8"/>
  <c r="AR503" i="8" s="1"/>
  <c r="AP504" i="8"/>
  <c r="AP505" i="8"/>
  <c r="AP506" i="8"/>
  <c r="AP507" i="8"/>
  <c r="AP508" i="8"/>
  <c r="AP509" i="8"/>
  <c r="AP510" i="8"/>
  <c r="AP511" i="8"/>
  <c r="AP512" i="8"/>
  <c r="AP513" i="8"/>
  <c r="AP514" i="8"/>
  <c r="AP515" i="8"/>
  <c r="AP516" i="8"/>
  <c r="AP517" i="8"/>
  <c r="AP518" i="8"/>
  <c r="AP519" i="8"/>
  <c r="AP520" i="8"/>
  <c r="AP521" i="8"/>
  <c r="AP522" i="8"/>
  <c r="AR522" i="8" s="1"/>
  <c r="AP523" i="8"/>
  <c r="AQ523" i="8" s="1"/>
  <c r="AP524" i="8"/>
  <c r="AR524" i="8" s="1"/>
  <c r="AP525" i="8"/>
  <c r="AR525" i="8" s="1"/>
  <c r="AP526" i="8"/>
  <c r="AQ526" i="8" s="1"/>
  <c r="AP527" i="8"/>
  <c r="AR527" i="8" s="1"/>
  <c r="AP528" i="8"/>
  <c r="AQ528" i="8" s="1"/>
  <c r="AP529" i="8"/>
  <c r="AP530" i="8"/>
  <c r="AP531" i="8"/>
  <c r="AR531" i="8" s="1"/>
  <c r="AP532" i="8"/>
  <c r="AP533" i="8"/>
  <c r="AP534" i="8"/>
  <c r="AP535" i="8"/>
  <c r="AP536" i="8"/>
  <c r="AP537" i="8"/>
  <c r="AP538" i="8"/>
  <c r="AP539" i="8"/>
  <c r="AQ539" i="8" s="1"/>
  <c r="AP540" i="8"/>
  <c r="AR540" i="8" s="1"/>
  <c r="AP541" i="8"/>
  <c r="AP542" i="8"/>
  <c r="AP543" i="8"/>
  <c r="AQ543" i="8" s="1"/>
  <c r="AP544" i="8"/>
  <c r="AP545" i="8"/>
  <c r="AP546" i="8"/>
  <c r="AP547" i="8"/>
  <c r="AR547" i="8" s="1"/>
  <c r="AP548" i="8"/>
  <c r="AR548" i="8" s="1"/>
  <c r="AP549" i="8"/>
  <c r="AR549" i="8" s="1"/>
  <c r="AP550" i="8"/>
  <c r="AR550" i="8" s="1"/>
  <c r="AP551" i="8"/>
  <c r="AP552" i="8"/>
  <c r="AQ552" i="8" s="1"/>
  <c r="AP553" i="8"/>
  <c r="AP554" i="8"/>
  <c r="AP555" i="8"/>
  <c r="AQ555" i="8" s="1"/>
  <c r="AP556" i="8"/>
  <c r="AP557" i="8"/>
  <c r="AP558" i="8"/>
  <c r="AP559" i="8"/>
  <c r="AP560" i="8"/>
  <c r="AP561" i="8"/>
  <c r="AP562" i="8"/>
  <c r="AQ562" i="8" s="1"/>
  <c r="AP563" i="8"/>
  <c r="AR563" i="8" s="1"/>
  <c r="AP564" i="8"/>
  <c r="AQ564" i="8" s="1"/>
  <c r="AP565" i="8"/>
  <c r="AR565" i="8" s="1"/>
  <c r="AP566" i="8"/>
  <c r="AP567" i="8"/>
  <c r="AQ567" i="8" s="1"/>
  <c r="AP568" i="8"/>
  <c r="AP569" i="8"/>
  <c r="AP570" i="8"/>
  <c r="AP571" i="8"/>
  <c r="AP572" i="8"/>
  <c r="AP573" i="8"/>
  <c r="AQ573" i="8" s="1"/>
  <c r="AP574" i="8"/>
  <c r="AQ574" i="8" s="1"/>
  <c r="AP575" i="8"/>
  <c r="AQ575" i="8" s="1"/>
  <c r="AP576" i="8"/>
  <c r="AQ576" i="8" s="1"/>
  <c r="AP577" i="8"/>
  <c r="AP578" i="8"/>
  <c r="AP579" i="8"/>
  <c r="AP580" i="8"/>
  <c r="AR580" i="8" s="1"/>
  <c r="AP581" i="8"/>
  <c r="AP582" i="8"/>
  <c r="AP583" i="8"/>
  <c r="AP584" i="8"/>
  <c r="AP585" i="8"/>
  <c r="AP586" i="8"/>
  <c r="AP587" i="8"/>
  <c r="AQ587" i="8" s="1"/>
  <c r="AP588" i="8"/>
  <c r="AQ588" i="8" s="1"/>
  <c r="AP589" i="8"/>
  <c r="AP590" i="8"/>
  <c r="AP591" i="8"/>
  <c r="AQ591" i="8" s="1"/>
  <c r="AP592" i="8"/>
  <c r="AP593" i="8"/>
  <c r="AP594" i="8"/>
  <c r="AP595" i="8"/>
  <c r="AP596" i="8"/>
  <c r="AP597" i="8"/>
  <c r="AP598" i="8"/>
  <c r="AR598" i="8" s="1"/>
  <c r="AP599" i="8"/>
  <c r="AQ599" i="8" s="1"/>
  <c r="AP600" i="8"/>
  <c r="AQ600" i="8" s="1"/>
  <c r="AP601" i="8"/>
  <c r="AQ601" i="8" s="1"/>
  <c r="AP602" i="8"/>
  <c r="AP603" i="8"/>
  <c r="AR603" i="8" s="1"/>
  <c r="AP604" i="8"/>
  <c r="AP605" i="8"/>
  <c r="AP606" i="8"/>
  <c r="AP607" i="8"/>
  <c r="AP608" i="8"/>
  <c r="AP609" i="8"/>
  <c r="AP610" i="8"/>
  <c r="AP611" i="8"/>
  <c r="AR611" i="8" s="1"/>
  <c r="AP612" i="8"/>
  <c r="AR612" i="8" s="1"/>
  <c r="AP613" i="8"/>
  <c r="AP614" i="8"/>
  <c r="AP615" i="8"/>
  <c r="AP616" i="8"/>
  <c r="AP617" i="8"/>
  <c r="AP618" i="8"/>
  <c r="AR618" i="8" s="1"/>
  <c r="AP619" i="8"/>
  <c r="AP620" i="8"/>
  <c r="AQ620" i="8" s="1"/>
  <c r="AP621" i="8"/>
  <c r="AP622" i="8"/>
  <c r="AP623" i="8"/>
  <c r="AP624" i="8"/>
  <c r="AR624" i="8" s="1"/>
  <c r="AP625" i="8"/>
  <c r="AQ625" i="8" s="1"/>
  <c r="AP626" i="8"/>
  <c r="AP627" i="8"/>
  <c r="AQ627" i="8" s="1"/>
  <c r="AP628" i="8"/>
  <c r="AP629" i="8"/>
  <c r="AP630" i="8"/>
  <c r="AP631" i="8"/>
  <c r="AP632" i="8"/>
  <c r="AP633" i="8"/>
  <c r="AP634" i="8"/>
  <c r="AP635" i="8"/>
  <c r="AQ635" i="8" s="1"/>
  <c r="AP636" i="8"/>
  <c r="AP637" i="8"/>
  <c r="AP638" i="8"/>
  <c r="AP639" i="8"/>
  <c r="AQ639" i="8" s="1"/>
  <c r="AP640" i="8"/>
  <c r="AR640" i="8" s="1"/>
  <c r="AP641" i="8"/>
  <c r="AP642" i="8"/>
  <c r="AR642" i="8" s="1"/>
  <c r="AP643" i="8"/>
  <c r="AP644" i="8"/>
  <c r="AQ644" i="8" s="1"/>
  <c r="AP645" i="8"/>
  <c r="AP646" i="8"/>
  <c r="AQ646" i="8" s="1"/>
  <c r="AP647" i="8"/>
  <c r="AQ647" i="8" s="1"/>
  <c r="AP648" i="8"/>
  <c r="AR648" i="8" s="1"/>
  <c r="AP649" i="8"/>
  <c r="AR649" i="8" s="1"/>
  <c r="AP650" i="8"/>
  <c r="AP651" i="8"/>
  <c r="AP652" i="8"/>
  <c r="AP653" i="8"/>
  <c r="AP654" i="8"/>
  <c r="AP655" i="8"/>
  <c r="AP656" i="8"/>
  <c r="AP657" i="8"/>
  <c r="AP658" i="8"/>
  <c r="AP659" i="8"/>
  <c r="AR659" i="8" s="1"/>
  <c r="AP660" i="8"/>
  <c r="AR660" i="8" s="1"/>
  <c r="AP661" i="8"/>
  <c r="AP662" i="8"/>
  <c r="AP663" i="8"/>
  <c r="AR663" i="8" s="1"/>
  <c r="AP664" i="8"/>
  <c r="AP665" i="8"/>
  <c r="AP666" i="8"/>
  <c r="AR666" i="8" s="1"/>
  <c r="AP667" i="8"/>
  <c r="AP668" i="8"/>
  <c r="AQ668" i="8" s="1"/>
  <c r="AP669" i="8"/>
  <c r="AQ669" i="8" s="1"/>
  <c r="AP670" i="8"/>
  <c r="AQ670" i="8" s="1"/>
  <c r="AP671" i="8"/>
  <c r="AP672" i="8"/>
  <c r="AP673" i="8"/>
  <c r="AR673" i="8" s="1"/>
  <c r="AP674" i="8"/>
  <c r="AP675" i="8"/>
  <c r="AR675" i="8" s="1"/>
  <c r="AP676" i="8"/>
  <c r="AP677" i="8"/>
  <c r="AP678" i="8"/>
  <c r="AP679" i="8"/>
  <c r="AP680" i="8"/>
  <c r="AP681" i="8"/>
  <c r="AP682" i="8"/>
  <c r="AP683" i="8"/>
  <c r="AQ683" i="8" s="1"/>
  <c r="AP684" i="8"/>
  <c r="AP685" i="8"/>
  <c r="AQ685" i="8" s="1"/>
  <c r="AP686" i="8"/>
  <c r="AP687" i="8"/>
  <c r="AQ687" i="8" s="1"/>
  <c r="AP688" i="8"/>
  <c r="AP689" i="8"/>
  <c r="AP690" i="8"/>
  <c r="AR690" i="8" s="1"/>
  <c r="AP691" i="8"/>
  <c r="AP692" i="8"/>
  <c r="AQ692" i="8" s="1"/>
  <c r="AP693" i="8"/>
  <c r="AQ693" i="8" s="1"/>
  <c r="AP694" i="8"/>
  <c r="AQ694" i="8" s="1"/>
  <c r="AP695" i="8"/>
  <c r="AP696" i="8"/>
  <c r="AQ696" i="8" s="1"/>
  <c r="AP697" i="8"/>
  <c r="AP698" i="8"/>
  <c r="AP699" i="8"/>
  <c r="AQ699" i="8" s="1"/>
  <c r="AP700" i="8"/>
  <c r="AP701" i="8"/>
  <c r="AP702" i="8"/>
  <c r="AP703" i="8"/>
  <c r="AP704" i="8"/>
  <c r="AP705" i="8"/>
  <c r="AP706" i="8"/>
  <c r="AP707" i="8"/>
  <c r="AQ707" i="8" s="1"/>
  <c r="AP708" i="8"/>
  <c r="AP709" i="8"/>
  <c r="AP710" i="8"/>
  <c r="AP711" i="8"/>
  <c r="AP712" i="8"/>
  <c r="AP713" i="8"/>
  <c r="AP714" i="8"/>
  <c r="AR714" i="8" s="1"/>
  <c r="AP715" i="8"/>
  <c r="AR715" i="8" s="1"/>
  <c r="AP716" i="8"/>
  <c r="AP717" i="8"/>
  <c r="AP718" i="8"/>
  <c r="AQ718" i="8" s="1"/>
  <c r="AP719" i="8"/>
  <c r="AQ719" i="8" s="1"/>
  <c r="AP720" i="8"/>
  <c r="AQ720" i="8" s="1"/>
  <c r="AP721" i="8"/>
  <c r="AQ721" i="8" s="1"/>
  <c r="AP722" i="8"/>
  <c r="AP723" i="8"/>
  <c r="AR723" i="8" s="1"/>
  <c r="AP724" i="8"/>
  <c r="AP725" i="8"/>
  <c r="AP726" i="8"/>
  <c r="AP727" i="8"/>
  <c r="AP728" i="8"/>
  <c r="AP729" i="8"/>
  <c r="AP730" i="8"/>
  <c r="AP731" i="8"/>
  <c r="AQ731" i="8" s="1"/>
  <c r="AP732" i="8"/>
  <c r="AQ732" i="8" s="1"/>
  <c r="AP733" i="8"/>
  <c r="AP734" i="8"/>
  <c r="AP735" i="8"/>
  <c r="AQ735" i="8" s="1"/>
  <c r="AP736" i="8"/>
  <c r="AP737" i="8"/>
  <c r="AP738" i="8"/>
  <c r="AR738" i="8" s="1"/>
  <c r="AP739" i="8"/>
  <c r="AP740" i="8"/>
  <c r="AP741" i="8"/>
  <c r="AP742" i="8"/>
  <c r="AP743" i="8"/>
  <c r="AR743" i="8" s="1"/>
  <c r="AP744" i="8"/>
  <c r="AQ744" i="8" s="1"/>
  <c r="AP745" i="8"/>
  <c r="AQ745" i="8" s="1"/>
  <c r="AP746" i="8"/>
  <c r="AP747" i="8"/>
  <c r="AQ747" i="8" s="1"/>
  <c r="AP748" i="8"/>
  <c r="AP749" i="8"/>
  <c r="AP750" i="8"/>
  <c r="AP751" i="8"/>
  <c r="AP752" i="8"/>
  <c r="AP753" i="8"/>
  <c r="AR753" i="8" s="1"/>
  <c r="AP754" i="8"/>
  <c r="AR754" i="8" s="1"/>
  <c r="AP755" i="8"/>
  <c r="AR755" i="8" s="1"/>
  <c r="AP756" i="8"/>
  <c r="AQ756" i="8" s="1"/>
  <c r="AP757" i="8"/>
  <c r="AR757" i="8" s="1"/>
  <c r="AP758" i="8"/>
  <c r="AP759" i="8"/>
  <c r="AP760" i="8"/>
  <c r="AP761" i="8"/>
  <c r="AQ761" i="8" s="1"/>
  <c r="AP762" i="8"/>
  <c r="AR762" i="8" s="1"/>
  <c r="AP763" i="8"/>
  <c r="AR763" i="8" s="1"/>
  <c r="AP764" i="8"/>
  <c r="AP765" i="8"/>
  <c r="AP766" i="8"/>
  <c r="AP767" i="8"/>
  <c r="AR767" i="8" s="1"/>
  <c r="AP768" i="8"/>
  <c r="AP769" i="8"/>
  <c r="AP770" i="8"/>
  <c r="AP771" i="8"/>
  <c r="AR771" i="8" s="1"/>
  <c r="AP772" i="8"/>
  <c r="AP773" i="8"/>
  <c r="AP774" i="8"/>
  <c r="AP775" i="8"/>
  <c r="AP776" i="8"/>
  <c r="AP777" i="8"/>
  <c r="AP778" i="8"/>
  <c r="AR778" i="8" s="1"/>
  <c r="AP779" i="8"/>
  <c r="AQ779" i="8" s="1"/>
  <c r="AP780" i="8"/>
  <c r="AP781" i="8"/>
  <c r="AP782" i="8"/>
  <c r="AP783" i="8"/>
  <c r="AP784" i="8"/>
  <c r="AP785" i="8"/>
  <c r="AP786" i="8"/>
  <c r="AR786" i="8" s="1"/>
  <c r="AP787" i="8"/>
  <c r="AQ787" i="8" s="1"/>
  <c r="AP788" i="8"/>
  <c r="AR788" i="8" s="1"/>
  <c r="AP789" i="8"/>
  <c r="AP790" i="8"/>
  <c r="AP791" i="8"/>
  <c r="AP792" i="8"/>
  <c r="AP793" i="8"/>
  <c r="AP794" i="8"/>
  <c r="AP795" i="8"/>
  <c r="AP796" i="8"/>
  <c r="AP797" i="8"/>
  <c r="AP798" i="8"/>
  <c r="AP799" i="8"/>
  <c r="AP800" i="8"/>
  <c r="AP801" i="8"/>
  <c r="AQ801" i="8" s="1"/>
  <c r="AP802" i="8"/>
  <c r="AQ802" i="8" s="1"/>
  <c r="AP803" i="8"/>
  <c r="AR803" i="8" s="1"/>
  <c r="AP804" i="8"/>
  <c r="AP805" i="8"/>
  <c r="AP806" i="8"/>
  <c r="AP807" i="8"/>
  <c r="AR807" i="8" s="1"/>
  <c r="AP808" i="8"/>
  <c r="AP809" i="8"/>
  <c r="AP810" i="8"/>
  <c r="AR810" i="8" s="1"/>
  <c r="AP811" i="8"/>
  <c r="AP812" i="8"/>
  <c r="AR812" i="8" s="1"/>
  <c r="AP813" i="8"/>
  <c r="AR813" i="8" s="1"/>
  <c r="AP814" i="8"/>
  <c r="AQ814" i="8" s="1"/>
  <c r="AP815" i="8"/>
  <c r="AP816" i="8"/>
  <c r="AP817" i="8"/>
  <c r="AP818" i="8"/>
  <c r="AP819" i="8"/>
  <c r="AP820" i="8"/>
  <c r="AP821" i="8"/>
  <c r="AP822" i="8"/>
  <c r="AP823" i="8"/>
  <c r="AP824" i="8"/>
  <c r="AP825" i="8"/>
  <c r="AP826" i="8"/>
  <c r="AP827" i="8"/>
  <c r="AQ827" i="8" s="1"/>
  <c r="AP828" i="8"/>
  <c r="AP829" i="8"/>
  <c r="AR829" i="8" s="1"/>
  <c r="AP830" i="8"/>
  <c r="AP831" i="8"/>
  <c r="AP832" i="8"/>
  <c r="AP833" i="8"/>
  <c r="AP834" i="8"/>
  <c r="AR834" i="8" s="1"/>
  <c r="AP835" i="8"/>
  <c r="AP836" i="8"/>
  <c r="AQ836" i="8" s="1"/>
  <c r="AP837" i="8"/>
  <c r="AR837" i="8" s="1"/>
  <c r="AP838" i="8"/>
  <c r="AR838" i="8" s="1"/>
  <c r="AP839" i="8"/>
  <c r="AP840" i="8"/>
  <c r="AQ840" i="8" s="1"/>
  <c r="AP841" i="8"/>
  <c r="AP842" i="8"/>
  <c r="AP843" i="8"/>
  <c r="AQ843" i="8" s="1"/>
  <c r="AP844" i="8"/>
  <c r="AP845" i="8"/>
  <c r="AP846" i="8"/>
  <c r="AP847" i="8"/>
  <c r="AP848" i="8"/>
  <c r="AP849" i="8"/>
  <c r="AP850" i="8"/>
  <c r="AP851" i="8"/>
  <c r="AQ851" i="8" s="1"/>
  <c r="AP852" i="8"/>
  <c r="AP853" i="8"/>
  <c r="AP854" i="8"/>
  <c r="AP855" i="8"/>
  <c r="AP856" i="8"/>
  <c r="AP857" i="8"/>
  <c r="AP858" i="8"/>
  <c r="AR858" i="8" s="1"/>
  <c r="AP859" i="8"/>
  <c r="AP860" i="8"/>
  <c r="AP861" i="8"/>
  <c r="AQ861" i="8" s="1"/>
  <c r="AP862" i="8"/>
  <c r="AR862" i="8" s="1"/>
  <c r="AP863" i="8"/>
  <c r="AR863" i="8" s="1"/>
  <c r="AP864" i="8"/>
  <c r="AQ864" i="8" s="1"/>
  <c r="AP865" i="8"/>
  <c r="AP866" i="8"/>
  <c r="AP867" i="8"/>
  <c r="AP868" i="8"/>
  <c r="AP869" i="8"/>
  <c r="AP870" i="8"/>
  <c r="AP871" i="8"/>
  <c r="AP872" i="8"/>
  <c r="AP873" i="8"/>
  <c r="AP874" i="8"/>
  <c r="AP875" i="8"/>
  <c r="AQ875" i="8" s="1"/>
  <c r="AP876" i="8"/>
  <c r="AQ876" i="8" s="1"/>
  <c r="AP877" i="8"/>
  <c r="AR877" i="8" s="1"/>
  <c r="AP878" i="8"/>
  <c r="AP879" i="8"/>
  <c r="AP880" i="8"/>
  <c r="AP881" i="8"/>
  <c r="AP882" i="8"/>
  <c r="AP883" i="8"/>
  <c r="AP884" i="8"/>
  <c r="AP885" i="8"/>
  <c r="AP886" i="8"/>
  <c r="AP887" i="8"/>
  <c r="AR887" i="8" s="1"/>
  <c r="AP888" i="8"/>
  <c r="AR888" i="8" s="1"/>
  <c r="AP889" i="8"/>
  <c r="AQ889" i="8" s="1"/>
  <c r="AP890" i="8"/>
  <c r="AP891" i="8"/>
  <c r="AP892" i="8"/>
  <c r="AP893" i="8"/>
  <c r="AP894" i="8"/>
  <c r="AP895" i="8"/>
  <c r="AP896" i="8"/>
  <c r="AP897" i="8"/>
  <c r="AP898" i="8"/>
  <c r="AQ898" i="8" s="1"/>
  <c r="AP899" i="8"/>
  <c r="AR899" i="8" s="1"/>
  <c r="AP900" i="8"/>
  <c r="AR900" i="8" s="1"/>
  <c r="AP901" i="8"/>
  <c r="AP902" i="8"/>
  <c r="AP903" i="8"/>
  <c r="AP904" i="8"/>
  <c r="AP905" i="8"/>
  <c r="AP906" i="8"/>
  <c r="AR906" i="8" s="1"/>
  <c r="AP907" i="8"/>
  <c r="AP908" i="8"/>
  <c r="AP909" i="8"/>
  <c r="AP910" i="8"/>
  <c r="AP911" i="8"/>
  <c r="AR911" i="8" s="1"/>
  <c r="AP912" i="8"/>
  <c r="AR912" i="8" s="1"/>
  <c r="AP913" i="8"/>
  <c r="AR913" i="8" s="1"/>
  <c r="AP914" i="8"/>
  <c r="AP915" i="8"/>
  <c r="AR915" i="8" s="1"/>
  <c r="AP916" i="8"/>
  <c r="AP917" i="8"/>
  <c r="AP918" i="8"/>
  <c r="AP919" i="8"/>
  <c r="AP920" i="8"/>
  <c r="AP921" i="8"/>
  <c r="AP922" i="8"/>
  <c r="AP923" i="8"/>
  <c r="AQ923" i="8" s="1"/>
  <c r="AP924" i="8"/>
  <c r="AR924" i="8" s="1"/>
  <c r="AP925" i="8"/>
  <c r="AR925" i="8" s="1"/>
  <c r="AP926" i="8"/>
  <c r="AP927" i="8"/>
  <c r="AP928" i="8"/>
  <c r="AP929" i="8"/>
  <c r="AP930" i="8"/>
  <c r="AP931" i="8"/>
  <c r="AP932" i="8"/>
  <c r="AP933" i="8"/>
  <c r="AP934" i="8"/>
  <c r="AP935" i="8"/>
  <c r="AP936" i="8"/>
  <c r="AP937" i="8"/>
  <c r="AR937" i="8" s="1"/>
  <c r="AP938" i="8"/>
  <c r="AP939" i="8"/>
  <c r="AP940" i="8"/>
  <c r="AP941" i="8"/>
  <c r="AP942" i="8"/>
  <c r="AP943" i="8"/>
  <c r="AP944" i="8"/>
  <c r="AP945" i="8"/>
  <c r="AP946" i="8"/>
  <c r="AP947" i="8"/>
  <c r="AP948" i="8"/>
  <c r="AP949" i="8"/>
  <c r="AQ949" i="8" s="1"/>
  <c r="AP950" i="8"/>
  <c r="AP951" i="8"/>
  <c r="AP952" i="8"/>
  <c r="AP953" i="8"/>
  <c r="AP954" i="8"/>
  <c r="AP955" i="8"/>
  <c r="AP956" i="8"/>
  <c r="AQ956" i="8" s="1"/>
  <c r="AP957" i="8"/>
  <c r="AP958" i="8"/>
  <c r="AQ958" i="8" s="1"/>
  <c r="AP959" i="8"/>
  <c r="AP960" i="8"/>
  <c r="AP961" i="8"/>
  <c r="AR961" i="8" s="1"/>
  <c r="AP962" i="8"/>
  <c r="AP963" i="8"/>
  <c r="AP964" i="8"/>
  <c r="AP965" i="8"/>
  <c r="AP966" i="8"/>
  <c r="AP967" i="8"/>
  <c r="AP968" i="8"/>
  <c r="AP969" i="8"/>
  <c r="AP970" i="8"/>
  <c r="AP971" i="8"/>
  <c r="AR971" i="8" s="1"/>
  <c r="AP972" i="8"/>
  <c r="AP973" i="8"/>
  <c r="AP974" i="8"/>
  <c r="AP975" i="8"/>
  <c r="AR975" i="8" s="1"/>
  <c r="AP976" i="8"/>
  <c r="AP977" i="8"/>
  <c r="AP978" i="8"/>
  <c r="AP979" i="8"/>
  <c r="AP980" i="8"/>
  <c r="AQ980" i="8" s="1"/>
  <c r="AP981" i="8"/>
  <c r="AQ981" i="8" s="1"/>
  <c r="AP982" i="8"/>
  <c r="AP983" i="8"/>
  <c r="AP984" i="8"/>
  <c r="AP985" i="8"/>
  <c r="AR985" i="8" s="1"/>
  <c r="AP986" i="8"/>
  <c r="AP987" i="8"/>
  <c r="AP988" i="8"/>
  <c r="AP989" i="8"/>
  <c r="AP990" i="8"/>
  <c r="AP991" i="8"/>
  <c r="AP992" i="8"/>
  <c r="AP993" i="8"/>
  <c r="AP994" i="8"/>
  <c r="AP995" i="8"/>
  <c r="AQ995" i="8" s="1"/>
  <c r="AP996" i="8"/>
  <c r="AP997" i="8"/>
  <c r="AR997" i="8" s="1"/>
  <c r="AP998" i="8"/>
  <c r="AP999" i="8"/>
  <c r="AP1000" i="8"/>
  <c r="AP1001" i="8"/>
  <c r="AP1002" i="8"/>
  <c r="AP1003" i="8"/>
  <c r="AP1004" i="8"/>
  <c r="AQ1004" i="8" s="1"/>
  <c r="AP1005" i="8"/>
  <c r="AQ1005" i="8" s="1"/>
  <c r="AP1006" i="8"/>
  <c r="AQ1006" i="8" s="1"/>
  <c r="AP1007" i="8"/>
  <c r="AP1008" i="8"/>
  <c r="AP1009" i="8"/>
  <c r="AR1009" i="8" s="1"/>
  <c r="AP1010" i="8"/>
  <c r="AP1011" i="8"/>
  <c r="AP1012" i="8"/>
  <c r="AP1013" i="8"/>
  <c r="AP1014" i="8"/>
  <c r="AP1015" i="8"/>
  <c r="AP1016" i="8"/>
  <c r="AP1017" i="8"/>
  <c r="AP1018" i="8"/>
  <c r="AP1019" i="8"/>
  <c r="AQ1019" i="8" s="1"/>
  <c r="AP1020" i="8"/>
  <c r="AP1021" i="8"/>
  <c r="AP1022" i="8"/>
  <c r="AP1023" i="8"/>
  <c r="AP1024" i="8"/>
  <c r="AP1025" i="8"/>
  <c r="AP1026" i="8"/>
  <c r="AP1027" i="8"/>
  <c r="AP1028" i="8"/>
  <c r="AQ1028" i="8" s="1"/>
  <c r="AP1029" i="8"/>
  <c r="AQ1029" i="8" s="1"/>
  <c r="AP1030" i="8"/>
  <c r="AQ1030" i="8" s="1"/>
  <c r="AP1031" i="8"/>
  <c r="AP1032" i="8"/>
  <c r="AP1033" i="8"/>
  <c r="AR1033" i="8" s="1"/>
  <c r="AP1034" i="8"/>
  <c r="AP1035" i="8"/>
  <c r="AQ1035" i="8" s="1"/>
  <c r="AP1036" i="8"/>
  <c r="AP1037" i="8"/>
  <c r="AP1038" i="8"/>
  <c r="AP1039" i="8"/>
  <c r="AP1040" i="8"/>
  <c r="AP1041" i="8"/>
  <c r="AQ1041" i="8" s="1"/>
  <c r="AP1042" i="8"/>
  <c r="AP1043" i="8"/>
  <c r="AP1044" i="8"/>
  <c r="AP1045" i="8"/>
  <c r="AP1046" i="8"/>
  <c r="AP1047" i="8"/>
  <c r="AP1048" i="8"/>
  <c r="AP1049" i="8"/>
  <c r="AR1049" i="8" s="1"/>
  <c r="AP1050" i="8"/>
  <c r="AP1051" i="8"/>
  <c r="AP1052" i="8"/>
  <c r="AQ1052" i="8" s="1"/>
  <c r="AP1053" i="8"/>
  <c r="AQ1053" i="8" s="1"/>
  <c r="AP1054" i="8"/>
  <c r="AQ1054" i="8" s="1"/>
  <c r="AP1055" i="8"/>
  <c r="AP1056" i="8"/>
  <c r="AP1057" i="8"/>
  <c r="AR1057" i="8" s="1"/>
  <c r="AP1058" i="8"/>
  <c r="AP1059" i="8"/>
  <c r="AP1060" i="8"/>
  <c r="AP1061" i="8"/>
  <c r="AP1062" i="8"/>
  <c r="AP1063" i="8"/>
  <c r="AP1064" i="8"/>
  <c r="AP1065" i="8"/>
  <c r="AP1066" i="8"/>
  <c r="AP1067" i="8"/>
  <c r="AP1068" i="8"/>
  <c r="AP1069" i="8"/>
  <c r="AP1070" i="8"/>
  <c r="AP1071" i="8"/>
  <c r="AP1072" i="8"/>
  <c r="AP1073" i="8"/>
  <c r="AP1074" i="8"/>
  <c r="AP1075" i="8"/>
  <c r="AP1076" i="8"/>
  <c r="AP1077" i="8"/>
  <c r="AQ1077" i="8" s="1"/>
  <c r="AP1078" i="8"/>
  <c r="AQ1078" i="8" s="1"/>
  <c r="AP1079" i="8"/>
  <c r="AP1080" i="8"/>
  <c r="AP1081" i="8"/>
  <c r="AR1081" i="8" s="1"/>
  <c r="AP1082" i="8"/>
  <c r="AP1083" i="8"/>
  <c r="AP1084" i="8"/>
  <c r="AP1085" i="8"/>
  <c r="AP1086" i="8"/>
  <c r="AP1087" i="8"/>
  <c r="AP1088" i="8"/>
  <c r="AP1089" i="8"/>
  <c r="AP1090" i="8"/>
  <c r="AP1091" i="8"/>
  <c r="AQ1091" i="8" s="1"/>
  <c r="AP1092" i="8"/>
  <c r="AP1093" i="8"/>
  <c r="AP1094" i="8"/>
  <c r="AP1095" i="8"/>
  <c r="AP1096" i="8"/>
  <c r="AP1097" i="8"/>
  <c r="AP1098" i="8"/>
  <c r="AP1099" i="8"/>
  <c r="AP1100" i="8"/>
  <c r="AP1101" i="8"/>
  <c r="AP1102" i="8"/>
  <c r="AQ1102" i="8" s="1"/>
  <c r="AP1103" i="8"/>
  <c r="AQ1103" i="8" s="1"/>
  <c r="AP1104" i="8"/>
  <c r="AQ1104" i="8" s="1"/>
  <c r="AP1105" i="8"/>
  <c r="AR1105" i="8" s="1"/>
  <c r="AP1106" i="8"/>
  <c r="AP1107" i="8"/>
  <c r="AQ1107" i="8" s="1"/>
  <c r="AP1108" i="8"/>
  <c r="AP1109" i="8"/>
  <c r="AP1110" i="8"/>
  <c r="AP1111" i="8"/>
  <c r="AP1112" i="8"/>
  <c r="AP1113" i="8"/>
  <c r="AP1114" i="8"/>
  <c r="AP1115" i="8"/>
  <c r="AQ1115" i="8" s="1"/>
  <c r="AP1116" i="8"/>
  <c r="AP1117" i="8"/>
  <c r="AP1118" i="8"/>
  <c r="AP1119" i="8"/>
  <c r="AP1120" i="8"/>
  <c r="AP1121" i="8"/>
  <c r="AP1122" i="8"/>
  <c r="AP1123" i="8"/>
  <c r="AP1124" i="8"/>
  <c r="AP1125" i="8"/>
  <c r="AR1125" i="8" s="1"/>
  <c r="AP1126" i="8"/>
  <c r="AP1127" i="8"/>
  <c r="AQ1127" i="8" s="1"/>
  <c r="AP1128" i="8"/>
  <c r="AQ1128" i="8" s="1"/>
  <c r="AP1129" i="8"/>
  <c r="AR1129" i="8" s="1"/>
  <c r="AP1130" i="8"/>
  <c r="AQ30" i="8"/>
  <c r="AQ46" i="8"/>
  <c r="AQ54" i="8"/>
  <c r="AQ58" i="8"/>
  <c r="AQ59" i="8"/>
  <c r="AQ78" i="8"/>
  <c r="AQ79" i="8"/>
  <c r="AQ82" i="8"/>
  <c r="AQ95" i="8"/>
  <c r="AQ97" i="8"/>
  <c r="AQ102" i="8"/>
  <c r="AQ106" i="8"/>
  <c r="AQ118" i="8"/>
  <c r="AQ126" i="8"/>
  <c r="AQ128" i="8"/>
  <c r="AQ129" i="8"/>
  <c r="AQ130" i="8"/>
  <c r="AQ142" i="8"/>
  <c r="AQ149" i="8"/>
  <c r="AQ150" i="8"/>
  <c r="AQ154" i="8"/>
  <c r="AQ171" i="8"/>
  <c r="AQ174" i="8"/>
  <c r="AQ176" i="8"/>
  <c r="AQ178" i="8"/>
  <c r="AQ190" i="8"/>
  <c r="AQ198" i="8"/>
  <c r="AQ202" i="8"/>
  <c r="AQ219" i="8"/>
  <c r="AQ222" i="8"/>
  <c r="AQ226" i="8"/>
  <c r="AQ232" i="8"/>
  <c r="AQ238" i="8"/>
  <c r="AQ245" i="8"/>
  <c r="AQ246" i="8"/>
  <c r="AQ250" i="8"/>
  <c r="AQ253" i="8"/>
  <c r="AQ267" i="8"/>
  <c r="AQ269" i="8"/>
  <c r="AQ270" i="8"/>
  <c r="AQ279" i="8"/>
  <c r="AQ287" i="8"/>
  <c r="AQ289" i="8"/>
  <c r="AQ291" i="8"/>
  <c r="AQ294" i="8"/>
  <c r="AQ298" i="8"/>
  <c r="AQ302" i="8"/>
  <c r="AQ310" i="8"/>
  <c r="AQ318" i="8"/>
  <c r="AQ322" i="8"/>
  <c r="AQ327" i="8"/>
  <c r="AQ342" i="8"/>
  <c r="AQ346" i="8"/>
  <c r="AQ347" i="8"/>
  <c r="AQ351" i="8"/>
  <c r="AQ363" i="8"/>
  <c r="AQ366" i="8"/>
  <c r="AQ370" i="8"/>
  <c r="AQ375" i="8"/>
  <c r="AQ383" i="8"/>
  <c r="AQ390" i="8"/>
  <c r="AQ393" i="8"/>
  <c r="AQ394" i="8"/>
  <c r="AQ401" i="8"/>
  <c r="AQ414" i="8"/>
  <c r="AQ418" i="8"/>
  <c r="AQ423" i="8"/>
  <c r="AQ435" i="8"/>
  <c r="AQ438" i="8"/>
  <c r="AQ440" i="8"/>
  <c r="AQ442" i="8"/>
  <c r="AQ446" i="8"/>
  <c r="AQ447" i="8"/>
  <c r="AQ454" i="8"/>
  <c r="AQ461" i="8"/>
  <c r="AQ462" i="8"/>
  <c r="AQ466" i="8"/>
  <c r="AQ469" i="8"/>
  <c r="AQ476" i="8"/>
  <c r="AQ478" i="8"/>
  <c r="AQ486" i="8"/>
  <c r="AQ495" i="8"/>
  <c r="AQ502" i="8"/>
  <c r="AQ503" i="8"/>
  <c r="AQ509" i="8"/>
  <c r="AQ510" i="8"/>
  <c r="AQ514" i="8"/>
  <c r="AQ527" i="8"/>
  <c r="AQ534" i="8"/>
  <c r="AQ538" i="8"/>
  <c r="AQ541" i="8"/>
  <c r="AQ557" i="8"/>
  <c r="AQ558" i="8"/>
  <c r="AQ582" i="8"/>
  <c r="AQ586" i="8"/>
  <c r="AQ596" i="8"/>
  <c r="AQ598" i="8"/>
  <c r="AQ603" i="8"/>
  <c r="AQ606" i="8"/>
  <c r="AQ610" i="8"/>
  <c r="AQ614" i="8"/>
  <c r="AQ615" i="8"/>
  <c r="AQ616" i="8"/>
  <c r="AQ622" i="8"/>
  <c r="AQ623" i="8"/>
  <c r="AQ630" i="8"/>
  <c r="AQ633" i="8"/>
  <c r="AQ634" i="8"/>
  <c r="AQ641" i="8"/>
  <c r="AQ651" i="8"/>
  <c r="AQ654" i="8"/>
  <c r="AQ658" i="8"/>
  <c r="AQ663" i="8"/>
  <c r="AQ671" i="8"/>
  <c r="AQ673" i="8"/>
  <c r="AQ678" i="8"/>
  <c r="AQ682" i="8"/>
  <c r="AQ691" i="8"/>
  <c r="AQ701" i="8"/>
  <c r="AQ702" i="8"/>
  <c r="AQ711" i="8"/>
  <c r="AQ723" i="8"/>
  <c r="AQ726" i="8"/>
  <c r="AQ742" i="8"/>
  <c r="AQ750" i="8"/>
  <c r="AQ754" i="8"/>
  <c r="AQ757" i="8"/>
  <c r="AQ759" i="8"/>
  <c r="AQ760" i="8"/>
  <c r="AQ766" i="8"/>
  <c r="AQ771" i="8"/>
  <c r="AQ773" i="8"/>
  <c r="AQ774" i="8"/>
  <c r="AQ778" i="8"/>
  <c r="AQ783" i="8"/>
  <c r="AQ790" i="8"/>
  <c r="AQ798" i="8"/>
  <c r="AQ808" i="8"/>
  <c r="AQ815" i="8"/>
  <c r="AQ821" i="8"/>
  <c r="AQ822" i="8"/>
  <c r="AQ826" i="8"/>
  <c r="AQ831" i="8"/>
  <c r="AQ854" i="8"/>
  <c r="AQ870" i="8"/>
  <c r="AQ874" i="8"/>
  <c r="AQ884" i="8"/>
  <c r="AQ886" i="8"/>
  <c r="AQ891" i="8"/>
  <c r="AQ894" i="8"/>
  <c r="AQ903" i="8"/>
  <c r="AQ904" i="8"/>
  <c r="AQ909" i="8"/>
  <c r="AQ910" i="8"/>
  <c r="AQ915" i="8"/>
  <c r="AQ916" i="8"/>
  <c r="AQ922" i="8"/>
  <c r="AQ927" i="8"/>
  <c r="AQ934" i="8"/>
  <c r="AQ939" i="8"/>
  <c r="AQ942" i="8"/>
  <c r="AQ945" i="8"/>
  <c r="AQ946" i="8"/>
  <c r="AQ970" i="8"/>
  <c r="AQ975" i="8"/>
  <c r="AQ982" i="8"/>
  <c r="AQ986" i="8"/>
  <c r="AQ989" i="8"/>
  <c r="AQ994" i="8"/>
  <c r="AQ999" i="8"/>
  <c r="AQ1001" i="8"/>
  <c r="AQ1018" i="8"/>
  <c r="AQ1042" i="8"/>
  <c r="AQ1055" i="8"/>
  <c r="AQ1059" i="8"/>
  <c r="AQ1064" i="8"/>
  <c r="AQ1065" i="8"/>
  <c r="AQ1066" i="8"/>
  <c r="AQ1079" i="8"/>
  <c r="AQ1084" i="8"/>
  <c r="AQ1085" i="8"/>
  <c r="AQ1086" i="8"/>
  <c r="AQ1092" i="8"/>
  <c r="AQ1095" i="8"/>
  <c r="AQ1110" i="8"/>
  <c r="AQ1124" i="8"/>
  <c r="AQ1126" i="8"/>
  <c r="AR15" i="8"/>
  <c r="AR17" i="8"/>
  <c r="AR18" i="8"/>
  <c r="AR26" i="8"/>
  <c r="AR27" i="8"/>
  <c r="AR33" i="8"/>
  <c r="AR34" i="8"/>
  <c r="AR41" i="8"/>
  <c r="AR46" i="8"/>
  <c r="AR49" i="8"/>
  <c r="AR58" i="8"/>
  <c r="AR63" i="8"/>
  <c r="AR65" i="8"/>
  <c r="AR70" i="8"/>
  <c r="AR71" i="8"/>
  <c r="AR75" i="8"/>
  <c r="AR76" i="8"/>
  <c r="AR82" i="8"/>
  <c r="AR86" i="8"/>
  <c r="AR87" i="8"/>
  <c r="AR94" i="8"/>
  <c r="AR105" i="8"/>
  <c r="AR106" i="8"/>
  <c r="AR128" i="8"/>
  <c r="AR130" i="8"/>
  <c r="AR131" i="8"/>
  <c r="AR135" i="8"/>
  <c r="AR142" i="8"/>
  <c r="AR154" i="8"/>
  <c r="AR159" i="8"/>
  <c r="AR166" i="8"/>
  <c r="AR171" i="8"/>
  <c r="AR178" i="8"/>
  <c r="AR183" i="8"/>
  <c r="AR190" i="8"/>
  <c r="AR197" i="8"/>
  <c r="AR202" i="8"/>
  <c r="AR203" i="8"/>
  <c r="AR207" i="8"/>
  <c r="AR209" i="8"/>
  <c r="AR214" i="8"/>
  <c r="AR226" i="8"/>
  <c r="AR229" i="8"/>
  <c r="AR238" i="8"/>
  <c r="AR239" i="8"/>
  <c r="AR243" i="8"/>
  <c r="AR250" i="8"/>
  <c r="AR255" i="8"/>
  <c r="AR256" i="8"/>
  <c r="AR258" i="8"/>
  <c r="AR265" i="8"/>
  <c r="AR274" i="8"/>
  <c r="AR279" i="8"/>
  <c r="AR287" i="8"/>
  <c r="AR289" i="8"/>
  <c r="AR291" i="8"/>
  <c r="AR293" i="8"/>
  <c r="AR297" i="8"/>
  <c r="AR298" i="8"/>
  <c r="AR305" i="8"/>
  <c r="AR306" i="8"/>
  <c r="AR310" i="8"/>
  <c r="AR322" i="8"/>
  <c r="AR327" i="8"/>
  <c r="AR334" i="8"/>
  <c r="AR339" i="8"/>
  <c r="AR341" i="8"/>
  <c r="AR346" i="8"/>
  <c r="AR354" i="8"/>
  <c r="AR357" i="8"/>
  <c r="AR358" i="8"/>
  <c r="AR363" i="8"/>
  <c r="AR370" i="8"/>
  <c r="AR375" i="8"/>
  <c r="AR382" i="8"/>
  <c r="AR383" i="8"/>
  <c r="AR387" i="8"/>
  <c r="AR394" i="8"/>
  <c r="AR402" i="8"/>
  <c r="AR405" i="8"/>
  <c r="AR406" i="8"/>
  <c r="AR413" i="8"/>
  <c r="AR418" i="8"/>
  <c r="AR419" i="8"/>
  <c r="AR423" i="8"/>
  <c r="AR428" i="8"/>
  <c r="AR435" i="8"/>
  <c r="AR440" i="8"/>
  <c r="AR441" i="8"/>
  <c r="AR442" i="8"/>
  <c r="AR443" i="8"/>
  <c r="AR448" i="8"/>
  <c r="AR449" i="8"/>
  <c r="AR454" i="8"/>
  <c r="AR466" i="8"/>
  <c r="AR471" i="8"/>
  <c r="AR483" i="8"/>
  <c r="AR490" i="8"/>
  <c r="AR491" i="8"/>
  <c r="AR494" i="8"/>
  <c r="AR495" i="8"/>
  <c r="AR502" i="8"/>
  <c r="AR507" i="8"/>
  <c r="AR512" i="8"/>
  <c r="AR514" i="8"/>
  <c r="AR515" i="8"/>
  <c r="AR519" i="8"/>
  <c r="AR526" i="8"/>
  <c r="AR538" i="8"/>
  <c r="AR543" i="8"/>
  <c r="AR546" i="8"/>
  <c r="AR555" i="8"/>
  <c r="AR562" i="8"/>
  <c r="AR567" i="8"/>
  <c r="AR568" i="8"/>
  <c r="AR569" i="8"/>
  <c r="AR570" i="8"/>
  <c r="AR572" i="8"/>
  <c r="AR579" i="8"/>
  <c r="AR586" i="8"/>
  <c r="AR591" i="8"/>
  <c r="AR594" i="8"/>
  <c r="AR601" i="8"/>
  <c r="AR602" i="8"/>
  <c r="AR610" i="8"/>
  <c r="AR615" i="8"/>
  <c r="AR621" i="8"/>
  <c r="AR622" i="8"/>
  <c r="AR623" i="8"/>
  <c r="AR627" i="8"/>
  <c r="AR634" i="8"/>
  <c r="AR646" i="8"/>
  <c r="AR651" i="8"/>
  <c r="AR658" i="8"/>
  <c r="AR667" i="8"/>
  <c r="AR670" i="8"/>
  <c r="AR682" i="8"/>
  <c r="AR683" i="8"/>
  <c r="AR687" i="8"/>
  <c r="AR694" i="8"/>
  <c r="AR699" i="8"/>
  <c r="AR700" i="8"/>
  <c r="AR706" i="8"/>
  <c r="AR707" i="8"/>
  <c r="AR711" i="8"/>
  <c r="AR717" i="8"/>
  <c r="AR718" i="8"/>
  <c r="AR727" i="8"/>
  <c r="AR730" i="8"/>
  <c r="AR735" i="8"/>
  <c r="AR742" i="8"/>
  <c r="AR747" i="8"/>
  <c r="AR759" i="8"/>
  <c r="AR761" i="8"/>
  <c r="AR765" i="8"/>
  <c r="AR766" i="8"/>
  <c r="AR773" i="8"/>
  <c r="AR779" i="8"/>
  <c r="AR783" i="8"/>
  <c r="AR789" i="8"/>
  <c r="AR790" i="8"/>
  <c r="AR791" i="8"/>
  <c r="AR793" i="8"/>
  <c r="AR795" i="8"/>
  <c r="AR797" i="8"/>
  <c r="AR809" i="8"/>
  <c r="AR814" i="8"/>
  <c r="AR815" i="8"/>
  <c r="AR819" i="8"/>
  <c r="AR826" i="8"/>
  <c r="AR839" i="8"/>
  <c r="AR843" i="8"/>
  <c r="AR849" i="8"/>
  <c r="AR850" i="8"/>
  <c r="AR855" i="8"/>
  <c r="AR857" i="8"/>
  <c r="AR869" i="8"/>
  <c r="AR874" i="8"/>
  <c r="AR879" i="8"/>
  <c r="AR881" i="8"/>
  <c r="AR882" i="8"/>
  <c r="AR885" i="8"/>
  <c r="AR886" i="8"/>
  <c r="AR891" i="8"/>
  <c r="AR893" i="8"/>
  <c r="AR898" i="8"/>
  <c r="AR901" i="8"/>
  <c r="AR905" i="8"/>
  <c r="AR910" i="8"/>
  <c r="AR917" i="8"/>
  <c r="AR922" i="8"/>
  <c r="AR929" i="8"/>
  <c r="AR930" i="8"/>
  <c r="AR934" i="8"/>
  <c r="AR939" i="8"/>
  <c r="AR946" i="8"/>
  <c r="AR950" i="8"/>
  <c r="AR951" i="8"/>
  <c r="AR954" i="8"/>
  <c r="AR958" i="8"/>
  <c r="AR959" i="8"/>
  <c r="AR963" i="8"/>
  <c r="AR970" i="8"/>
  <c r="AR978" i="8"/>
  <c r="AR982" i="8"/>
  <c r="AR993" i="8"/>
  <c r="AR994" i="8"/>
  <c r="AR995" i="8"/>
  <c r="AR999" i="8"/>
  <c r="AR1002" i="8"/>
  <c r="AR1003" i="8"/>
  <c r="AR1006" i="8"/>
  <c r="AR1011" i="8"/>
  <c r="AR1016" i="8"/>
  <c r="AR1017" i="8"/>
  <c r="AR1018" i="8"/>
  <c r="AR1021" i="8"/>
  <c r="AR1026" i="8"/>
  <c r="AR1030" i="8"/>
  <c r="AR1040" i="8"/>
  <c r="AR1041" i="8"/>
  <c r="AR1042" i="8"/>
  <c r="AR1043" i="8"/>
  <c r="AR1044" i="8"/>
  <c r="AR1045" i="8"/>
  <c r="AR1047" i="8"/>
  <c r="AR1048" i="8"/>
  <c r="AR1050" i="8"/>
  <c r="AR1052" i="8"/>
  <c r="AR1053" i="8"/>
  <c r="AR1054" i="8"/>
  <c r="AR1055" i="8"/>
  <c r="AR1056" i="8"/>
  <c r="AR1059" i="8"/>
  <c r="AR1064" i="8"/>
  <c r="AR1066" i="8"/>
  <c r="AR1071" i="8"/>
  <c r="AR1074" i="8"/>
  <c r="AR1078" i="8"/>
  <c r="AR1079" i="8"/>
  <c r="AR1080" i="8"/>
  <c r="AR1089" i="8"/>
  <c r="AR1090" i="8"/>
  <c r="AR1095" i="8"/>
  <c r="AR1098" i="8"/>
  <c r="AR1101" i="8"/>
  <c r="AR1102" i="8"/>
  <c r="AR1103" i="8"/>
  <c r="AR1107" i="8"/>
  <c r="AR1113" i="8"/>
  <c r="AR1114" i="8"/>
  <c r="AR1122" i="8"/>
  <c r="AR1126"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5" i="8"/>
  <c r="AU966" i="8"/>
  <c r="AU967" i="8"/>
  <c r="AU968" i="8"/>
  <c r="AU969" i="8"/>
  <c r="AU970" i="8"/>
  <c r="AU971"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U1129" i="8"/>
  <c r="AU1130"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V1129" i="8"/>
  <c r="AV1130"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W1129" i="8"/>
  <c r="AW1130"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X1129" i="8"/>
  <c r="AX1130"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Y1129" i="8"/>
  <c r="AY1130"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AZ1129" i="8"/>
  <c r="AZ1130"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A1129" i="8"/>
  <c r="BA1130"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B1129" i="8"/>
  <c r="BB1130"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C1129" i="8"/>
  <c r="BC1130"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D1129" i="8"/>
  <c r="BD1130" i="8"/>
  <c r="BE15" i="8"/>
  <c r="BE16" i="8"/>
  <c r="BE17" i="8"/>
  <c r="BE18" i="8"/>
  <c r="BE19" i="8"/>
  <c r="BE20" i="8"/>
  <c r="BF20" i="8" s="1"/>
  <c r="BG20" i="8" s="1"/>
  <c r="BE21" i="8"/>
  <c r="BE22" i="8"/>
  <c r="BE23" i="8"/>
  <c r="BE24" i="8"/>
  <c r="BE25" i="8"/>
  <c r="BE26" i="8"/>
  <c r="BE27" i="8"/>
  <c r="BF27" i="8" s="1"/>
  <c r="BG27" i="8" s="1"/>
  <c r="BE28" i="8"/>
  <c r="BE29" i="8"/>
  <c r="BE30" i="8"/>
  <c r="BE31" i="8"/>
  <c r="BE32" i="8"/>
  <c r="BE33" i="8"/>
  <c r="BE34" i="8"/>
  <c r="BF34" i="8" s="1"/>
  <c r="BG34" i="8" s="1"/>
  <c r="BE35" i="8"/>
  <c r="BE36" i="8"/>
  <c r="BF36" i="8" s="1"/>
  <c r="BG36" i="8" s="1"/>
  <c r="BE37" i="8"/>
  <c r="BE38" i="8"/>
  <c r="BE39" i="8"/>
  <c r="BE40" i="8"/>
  <c r="BE41" i="8"/>
  <c r="BE42" i="8"/>
  <c r="BE43" i="8"/>
  <c r="BE44" i="8"/>
  <c r="BF44" i="8" s="1"/>
  <c r="BG44" i="8" s="1"/>
  <c r="BE45" i="8"/>
  <c r="BF45" i="8" s="1"/>
  <c r="BG45" i="8" s="1"/>
  <c r="BE46" i="8"/>
  <c r="BE47" i="8"/>
  <c r="BE48" i="8"/>
  <c r="BE49" i="8"/>
  <c r="BE50" i="8"/>
  <c r="BE51" i="8"/>
  <c r="BF51" i="8" s="1"/>
  <c r="BG51" i="8" s="1"/>
  <c r="BE52" i="8"/>
  <c r="BE53" i="8"/>
  <c r="BE54" i="8"/>
  <c r="BF54" i="8" s="1"/>
  <c r="BG54" i="8" s="1"/>
  <c r="BE55" i="8"/>
  <c r="BE56" i="8"/>
  <c r="BE57" i="8"/>
  <c r="BE58" i="8"/>
  <c r="BF58" i="8" s="1"/>
  <c r="BG58" i="8" s="1"/>
  <c r="BE59" i="8"/>
  <c r="BE60" i="8"/>
  <c r="BE61" i="8"/>
  <c r="BE62" i="8"/>
  <c r="BE63" i="8"/>
  <c r="BE64" i="8"/>
  <c r="BE65" i="8"/>
  <c r="BF65" i="8" s="1"/>
  <c r="BG65" i="8" s="1"/>
  <c r="BE66" i="8"/>
  <c r="BE67" i="8"/>
  <c r="BE68" i="8"/>
  <c r="BF68" i="8" s="1"/>
  <c r="BG68" i="8" s="1"/>
  <c r="BE69" i="8"/>
  <c r="BE70" i="8"/>
  <c r="BE71" i="8"/>
  <c r="BE72" i="8"/>
  <c r="BE73" i="8"/>
  <c r="BE74" i="8"/>
  <c r="BE75" i="8"/>
  <c r="BF75" i="8" s="1"/>
  <c r="BG75" i="8" s="1"/>
  <c r="BE76" i="8"/>
  <c r="BE77" i="8"/>
  <c r="BF77" i="8" s="1"/>
  <c r="BG77" i="8" s="1"/>
  <c r="BE78" i="8"/>
  <c r="BF78" i="8" s="1"/>
  <c r="BG78" i="8" s="1"/>
  <c r="BE79" i="8"/>
  <c r="BE80" i="8"/>
  <c r="BE81" i="8"/>
  <c r="BE82" i="8"/>
  <c r="BE83" i="8"/>
  <c r="BE84" i="8"/>
  <c r="BF84" i="8" s="1"/>
  <c r="BG84" i="8" s="1"/>
  <c r="BE85" i="8"/>
  <c r="BE86" i="8"/>
  <c r="BE87" i="8"/>
  <c r="BE88" i="8"/>
  <c r="BE89" i="8"/>
  <c r="BE90" i="8"/>
  <c r="BE91" i="8"/>
  <c r="BE92" i="8"/>
  <c r="BF92" i="8" s="1"/>
  <c r="BG92" i="8" s="1"/>
  <c r="BE93" i="8"/>
  <c r="BE94" i="8"/>
  <c r="BE95" i="8"/>
  <c r="BE96" i="8"/>
  <c r="BE97" i="8"/>
  <c r="BE98" i="8"/>
  <c r="BE99" i="8"/>
  <c r="BF99" i="8" s="1"/>
  <c r="BG99" i="8" s="1"/>
  <c r="BE100" i="8"/>
  <c r="BE101" i="8"/>
  <c r="BE102" i="8"/>
  <c r="BF102" i="8" s="1"/>
  <c r="BG102" i="8" s="1"/>
  <c r="BE103" i="8"/>
  <c r="BE104" i="8"/>
  <c r="BE105" i="8"/>
  <c r="BE106" i="8"/>
  <c r="BE107" i="8"/>
  <c r="BE108" i="8"/>
  <c r="BE109" i="8"/>
  <c r="BE110" i="8"/>
  <c r="BE111" i="8"/>
  <c r="BE112" i="8"/>
  <c r="BE113" i="8"/>
  <c r="BE114" i="8"/>
  <c r="BE115" i="8"/>
  <c r="BE116" i="8"/>
  <c r="BE117" i="8"/>
  <c r="BE118" i="8"/>
  <c r="BE119" i="8"/>
  <c r="BE120" i="8"/>
  <c r="BE121" i="8"/>
  <c r="BE122" i="8"/>
  <c r="BE123" i="8"/>
  <c r="BF123" i="8" s="1"/>
  <c r="BG123" i="8" s="1"/>
  <c r="BE124" i="8"/>
  <c r="BE125" i="8"/>
  <c r="BE126" i="8"/>
  <c r="BE127" i="8"/>
  <c r="BF127" i="8" s="1"/>
  <c r="BG127" i="8" s="1"/>
  <c r="BE128" i="8"/>
  <c r="BE129" i="8"/>
  <c r="BE130" i="8"/>
  <c r="BF130" i="8" s="1"/>
  <c r="BG130" i="8" s="1"/>
  <c r="BE131" i="8"/>
  <c r="BE132" i="8"/>
  <c r="BE133" i="8"/>
  <c r="BE134" i="8"/>
  <c r="BE135" i="8"/>
  <c r="BE136" i="8"/>
  <c r="BE137" i="8"/>
  <c r="BE138" i="8"/>
  <c r="BE139" i="8"/>
  <c r="BF139" i="8" s="1"/>
  <c r="BG139" i="8" s="1"/>
  <c r="BE140" i="8"/>
  <c r="BF140" i="8" s="1"/>
  <c r="BG140" i="8" s="1"/>
  <c r="BE141" i="8"/>
  <c r="BF141" i="8" s="1"/>
  <c r="BG141" i="8" s="1"/>
  <c r="BE142" i="8"/>
  <c r="BE143" i="8"/>
  <c r="BE144" i="8"/>
  <c r="BE145" i="8"/>
  <c r="BE146" i="8"/>
  <c r="BE147" i="8"/>
  <c r="BF147" i="8" s="1"/>
  <c r="BG147" i="8" s="1"/>
  <c r="BE148" i="8"/>
  <c r="BE149" i="8"/>
  <c r="BF149" i="8" s="1"/>
  <c r="BG149" i="8" s="1"/>
  <c r="BE150" i="8"/>
  <c r="BF150" i="8" s="1"/>
  <c r="BG150" i="8" s="1"/>
  <c r="BE151" i="8"/>
  <c r="BE152" i="8"/>
  <c r="BE153" i="8"/>
  <c r="BE154" i="8"/>
  <c r="BE155" i="8"/>
  <c r="BE156" i="8"/>
  <c r="BF156" i="8" s="1"/>
  <c r="BG156" i="8" s="1"/>
  <c r="BE157" i="8"/>
  <c r="BE158" i="8"/>
  <c r="BE159" i="8"/>
  <c r="BE160" i="8"/>
  <c r="BE161" i="8"/>
  <c r="BF161" i="8" s="1"/>
  <c r="BG161" i="8" s="1"/>
  <c r="BE162" i="8"/>
  <c r="BE163" i="8"/>
  <c r="BE164" i="8"/>
  <c r="BE165" i="8"/>
  <c r="BE166" i="8"/>
  <c r="BE167" i="8"/>
  <c r="BE168" i="8"/>
  <c r="BE169" i="8"/>
  <c r="BE170" i="8"/>
  <c r="BF170" i="8" s="1"/>
  <c r="BG170" i="8" s="1"/>
  <c r="BE171" i="8"/>
  <c r="BF171" i="8" s="1"/>
  <c r="BG171" i="8" s="1"/>
  <c r="BE172" i="8"/>
  <c r="BE173" i="8"/>
  <c r="BE174" i="8"/>
  <c r="BF174" i="8" s="1"/>
  <c r="BG174" i="8" s="1"/>
  <c r="BE175" i="8"/>
  <c r="BF175" i="8" s="1"/>
  <c r="BG175" i="8" s="1"/>
  <c r="BE176" i="8"/>
  <c r="BE177" i="8"/>
  <c r="BE178" i="8"/>
  <c r="BF178" i="8" s="1"/>
  <c r="BG178" i="8" s="1"/>
  <c r="BE179" i="8"/>
  <c r="BE180" i="8"/>
  <c r="BF180" i="8" s="1"/>
  <c r="BG180" i="8" s="1"/>
  <c r="BE181" i="8"/>
  <c r="BE182" i="8"/>
  <c r="BE183" i="8"/>
  <c r="BE184" i="8"/>
  <c r="BE185" i="8"/>
  <c r="BE186" i="8"/>
  <c r="BE187" i="8"/>
  <c r="BE188" i="8"/>
  <c r="BF188" i="8" s="1"/>
  <c r="BG188" i="8" s="1"/>
  <c r="BE189" i="8"/>
  <c r="BE190" i="8"/>
  <c r="BE191" i="8"/>
  <c r="BE192" i="8"/>
  <c r="BE193" i="8"/>
  <c r="BE194" i="8"/>
  <c r="BE195" i="8"/>
  <c r="BF195" i="8" s="1"/>
  <c r="BG195" i="8" s="1"/>
  <c r="BE196" i="8"/>
  <c r="BE197" i="8"/>
  <c r="BF197" i="8" s="1"/>
  <c r="BG197" i="8" s="1"/>
  <c r="BE198" i="8"/>
  <c r="BF198" i="8" s="1"/>
  <c r="BG198" i="8" s="1"/>
  <c r="BE199" i="8"/>
  <c r="BE200" i="8"/>
  <c r="BE201" i="8"/>
  <c r="BE202" i="8"/>
  <c r="BE203" i="8"/>
  <c r="BE204" i="8"/>
  <c r="BE205" i="8"/>
  <c r="BE206" i="8"/>
  <c r="BE207" i="8"/>
  <c r="BE208" i="8"/>
  <c r="BE209" i="8"/>
  <c r="BF209" i="8" s="1"/>
  <c r="BG209" i="8" s="1"/>
  <c r="BE210" i="8"/>
  <c r="BE211" i="8"/>
  <c r="BE212" i="8"/>
  <c r="BE213" i="8"/>
  <c r="BF213" i="8" s="1"/>
  <c r="BG213" i="8" s="1"/>
  <c r="BE214" i="8"/>
  <c r="BE215" i="8"/>
  <c r="BE216" i="8"/>
  <c r="BE217" i="8"/>
  <c r="BE218" i="8"/>
  <c r="BE219" i="8"/>
  <c r="BF219" i="8" s="1"/>
  <c r="BG219" i="8" s="1"/>
  <c r="BE220" i="8"/>
  <c r="BE221" i="8"/>
  <c r="BE222" i="8"/>
  <c r="BF222" i="8" s="1"/>
  <c r="BG222" i="8" s="1"/>
  <c r="BE223" i="8"/>
  <c r="BF223" i="8" s="1"/>
  <c r="BG223" i="8" s="1"/>
  <c r="BE224" i="8"/>
  <c r="BE225" i="8"/>
  <c r="BE226" i="8"/>
  <c r="BE227" i="8"/>
  <c r="BE228" i="8"/>
  <c r="BE229" i="8"/>
  <c r="BE230" i="8"/>
  <c r="BE231" i="8"/>
  <c r="BE232" i="8"/>
  <c r="BE233" i="8"/>
  <c r="BE234" i="8"/>
  <c r="BE235" i="8"/>
  <c r="BE236" i="8"/>
  <c r="BF236" i="8" s="1"/>
  <c r="BG236" i="8" s="1"/>
  <c r="BE237" i="8"/>
  <c r="BE238" i="8"/>
  <c r="BE239" i="8"/>
  <c r="BE240" i="8"/>
  <c r="BE241" i="8"/>
  <c r="BE242" i="8"/>
  <c r="BF242" i="8" s="1"/>
  <c r="BG242" i="8" s="1"/>
  <c r="BE243" i="8"/>
  <c r="BF243" i="8" s="1"/>
  <c r="BG243" i="8" s="1"/>
  <c r="BE244" i="8"/>
  <c r="BE245" i="8"/>
  <c r="BF245" i="8" s="1"/>
  <c r="BG245" i="8" s="1"/>
  <c r="BE246" i="8"/>
  <c r="BF246" i="8" s="1"/>
  <c r="BG246" i="8" s="1"/>
  <c r="BE247" i="8"/>
  <c r="BE248" i="8"/>
  <c r="BE249" i="8"/>
  <c r="BE250" i="8"/>
  <c r="BE251" i="8"/>
  <c r="BE252" i="8"/>
  <c r="BF252" i="8" s="1"/>
  <c r="BG252" i="8" s="1"/>
  <c r="BE253" i="8"/>
  <c r="BE254" i="8"/>
  <c r="BE255" i="8"/>
  <c r="BE256" i="8"/>
  <c r="BE257" i="8"/>
  <c r="BE258" i="8"/>
  <c r="BE259" i="8"/>
  <c r="BE260" i="8"/>
  <c r="BE261" i="8"/>
  <c r="BF261" i="8" s="1"/>
  <c r="BG261" i="8" s="1"/>
  <c r="BE262" i="8"/>
  <c r="BE263" i="8"/>
  <c r="BE264" i="8"/>
  <c r="BE265" i="8"/>
  <c r="BE266" i="8"/>
  <c r="BE267" i="8"/>
  <c r="BF267" i="8" s="1"/>
  <c r="BG267" i="8" s="1"/>
  <c r="BE268" i="8"/>
  <c r="BE269" i="8"/>
  <c r="BE270" i="8"/>
  <c r="BF270" i="8" s="1"/>
  <c r="BG270" i="8" s="1"/>
  <c r="BE271" i="8"/>
  <c r="BF271" i="8" s="1"/>
  <c r="BG271" i="8" s="1"/>
  <c r="BE272" i="8"/>
  <c r="BE273" i="8"/>
  <c r="BE274" i="8"/>
  <c r="BE275" i="8"/>
  <c r="BE276" i="8"/>
  <c r="BF276" i="8" s="1"/>
  <c r="BG276" i="8" s="1"/>
  <c r="BE277" i="8"/>
  <c r="BE278" i="8"/>
  <c r="BE279" i="8"/>
  <c r="BE280" i="8"/>
  <c r="BE281" i="8"/>
  <c r="BE282" i="8"/>
  <c r="BE283" i="8"/>
  <c r="BE284" i="8"/>
  <c r="BE285" i="8"/>
  <c r="BE286" i="8"/>
  <c r="BE287" i="8"/>
  <c r="BE288" i="8"/>
  <c r="BE289" i="8"/>
  <c r="BE290" i="8"/>
  <c r="BE291" i="8"/>
  <c r="BF291" i="8" s="1"/>
  <c r="BG291" i="8" s="1"/>
  <c r="BE292" i="8"/>
  <c r="BE293" i="8"/>
  <c r="BE294" i="8"/>
  <c r="BF294" i="8" s="1"/>
  <c r="BG294" i="8" s="1"/>
  <c r="BE295" i="8"/>
  <c r="BE296" i="8"/>
  <c r="BE297" i="8"/>
  <c r="BE298" i="8"/>
  <c r="BE299" i="8"/>
  <c r="BE300" i="8"/>
  <c r="BE301" i="8"/>
  <c r="BE302" i="8"/>
  <c r="BE303" i="8"/>
  <c r="BE304" i="8"/>
  <c r="BE305" i="8"/>
  <c r="BE306" i="8"/>
  <c r="BE307" i="8"/>
  <c r="BE308" i="8"/>
  <c r="BE309" i="8"/>
  <c r="BF309" i="8" s="1"/>
  <c r="BG309" i="8" s="1"/>
  <c r="BE310" i="8"/>
  <c r="BE311" i="8"/>
  <c r="BE312" i="8"/>
  <c r="BE313" i="8"/>
  <c r="BF313" i="8" s="1"/>
  <c r="BG313" i="8" s="1"/>
  <c r="BE314" i="8"/>
  <c r="BE315" i="8"/>
  <c r="BF315" i="8" s="1"/>
  <c r="BG315" i="8" s="1"/>
  <c r="BE316" i="8"/>
  <c r="BE317" i="8"/>
  <c r="BE318" i="8"/>
  <c r="BE319" i="8"/>
  <c r="BF319" i="8" s="1"/>
  <c r="BG319" i="8" s="1"/>
  <c r="BE320" i="8"/>
  <c r="BE321" i="8"/>
  <c r="BE322" i="8"/>
  <c r="BE323" i="8"/>
  <c r="BE324" i="8"/>
  <c r="BF324" i="8" s="1"/>
  <c r="BG324" i="8" s="1"/>
  <c r="BE325" i="8"/>
  <c r="BE326" i="8"/>
  <c r="BE327" i="8"/>
  <c r="BE328" i="8"/>
  <c r="BE329" i="8"/>
  <c r="BF329" i="8" s="1"/>
  <c r="BG329" i="8" s="1"/>
  <c r="BE330" i="8"/>
  <c r="BE331" i="8"/>
  <c r="BE332" i="8"/>
  <c r="BF332" i="8" s="1"/>
  <c r="BG332" i="8" s="1"/>
  <c r="BE333" i="8"/>
  <c r="BE334" i="8"/>
  <c r="BE335" i="8"/>
  <c r="BE336" i="8"/>
  <c r="BF336" i="8" s="1"/>
  <c r="BG336" i="8" s="1"/>
  <c r="BE337" i="8"/>
  <c r="BE338" i="8"/>
  <c r="BE339" i="8"/>
  <c r="BF339" i="8" s="1"/>
  <c r="BG339" i="8" s="1"/>
  <c r="BE340" i="8"/>
  <c r="BE341" i="8"/>
  <c r="BF341" i="8" s="1"/>
  <c r="BG341" i="8" s="1"/>
  <c r="BE342" i="8"/>
  <c r="BE343" i="8"/>
  <c r="BE344" i="8"/>
  <c r="BE345" i="8"/>
  <c r="BE346" i="8"/>
  <c r="BF346" i="8" s="1"/>
  <c r="BG346" i="8" s="1"/>
  <c r="BE347" i="8"/>
  <c r="BE348" i="8"/>
  <c r="BF348" i="8" s="1"/>
  <c r="BG348" i="8" s="1"/>
  <c r="BE349" i="8"/>
  <c r="BE350" i="8"/>
  <c r="BE351" i="8"/>
  <c r="BE352" i="8"/>
  <c r="BE353" i="8"/>
  <c r="BE354" i="8"/>
  <c r="BE355" i="8"/>
  <c r="BE356" i="8"/>
  <c r="BE357" i="8"/>
  <c r="BF357" i="8" s="1"/>
  <c r="BG357" i="8" s="1"/>
  <c r="BE358" i="8"/>
  <c r="BE359" i="8"/>
  <c r="BE360" i="8"/>
  <c r="BE361" i="8"/>
  <c r="BE362" i="8"/>
  <c r="BE363" i="8"/>
  <c r="BF363" i="8" s="1"/>
  <c r="BG363" i="8" s="1"/>
  <c r="BE364" i="8"/>
  <c r="BE365" i="8"/>
  <c r="BE366" i="8"/>
  <c r="BF366" i="8" s="1"/>
  <c r="BG366" i="8" s="1"/>
  <c r="BE367" i="8"/>
  <c r="BF367" i="8" s="1"/>
  <c r="BG367" i="8" s="1"/>
  <c r="BE368" i="8"/>
  <c r="BE369" i="8"/>
  <c r="BE370" i="8"/>
  <c r="BE371" i="8"/>
  <c r="BE372" i="8"/>
  <c r="BE373" i="8"/>
  <c r="BE374" i="8"/>
  <c r="BE375" i="8"/>
  <c r="BE376" i="8"/>
  <c r="BE377" i="8"/>
  <c r="BE378" i="8"/>
  <c r="BE379" i="8"/>
  <c r="BE380" i="8"/>
  <c r="BF380" i="8" s="1"/>
  <c r="BG380" i="8" s="1"/>
  <c r="BE381" i="8"/>
  <c r="BE382" i="8"/>
  <c r="BE383" i="8"/>
  <c r="BE384" i="8"/>
  <c r="BE385" i="8"/>
  <c r="BE386" i="8"/>
  <c r="BE387" i="8"/>
  <c r="BF387" i="8" s="1"/>
  <c r="BG387" i="8" s="1"/>
  <c r="BE388" i="8"/>
  <c r="BE389" i="8"/>
  <c r="BE390" i="8"/>
  <c r="BF390" i="8" s="1"/>
  <c r="BG390" i="8" s="1"/>
  <c r="BE391" i="8"/>
  <c r="BE392" i="8"/>
  <c r="BE393" i="8"/>
  <c r="BE394" i="8"/>
  <c r="BE395" i="8"/>
  <c r="BE396" i="8"/>
  <c r="BE397" i="8"/>
  <c r="BE398" i="8"/>
  <c r="BE399" i="8"/>
  <c r="BE400" i="8"/>
  <c r="BE401" i="8"/>
  <c r="BE402" i="8"/>
  <c r="BE403" i="8"/>
  <c r="BF403" i="8" s="1"/>
  <c r="BG403" i="8" s="1"/>
  <c r="BE404" i="8"/>
  <c r="BF404" i="8" s="1"/>
  <c r="BG404" i="8" s="1"/>
  <c r="BE405" i="8"/>
  <c r="BF405" i="8" s="1"/>
  <c r="BG405" i="8" s="1"/>
  <c r="BE406" i="8"/>
  <c r="BE407" i="8"/>
  <c r="BE408" i="8"/>
  <c r="BE409" i="8"/>
  <c r="BE410" i="8"/>
  <c r="BE411" i="8"/>
  <c r="BF411" i="8" s="1"/>
  <c r="BG411" i="8" s="1"/>
  <c r="BE412" i="8"/>
  <c r="BE413" i="8"/>
  <c r="BE414" i="8"/>
  <c r="BE415" i="8"/>
  <c r="BF415" i="8" s="1"/>
  <c r="BG415" i="8" s="1"/>
  <c r="BE416" i="8"/>
  <c r="BE417" i="8"/>
  <c r="BE418" i="8"/>
  <c r="BE419" i="8"/>
  <c r="BE420" i="8"/>
  <c r="BF420" i="8" s="1"/>
  <c r="BG420" i="8" s="1"/>
  <c r="BE421" i="8"/>
  <c r="BE422" i="8"/>
  <c r="BE423" i="8"/>
  <c r="BE424" i="8"/>
  <c r="BE425" i="8"/>
  <c r="BF425" i="8" s="1"/>
  <c r="BG425" i="8" s="1"/>
  <c r="BE426" i="8"/>
  <c r="BE427" i="8"/>
  <c r="BF427" i="8" s="1"/>
  <c r="BG427" i="8" s="1"/>
  <c r="BE428" i="8"/>
  <c r="BE429" i="8"/>
  <c r="BE430" i="8"/>
  <c r="BE431" i="8"/>
  <c r="BE432" i="8"/>
  <c r="BE433" i="8"/>
  <c r="BE434" i="8"/>
  <c r="BE435" i="8"/>
  <c r="BF435" i="8" s="1"/>
  <c r="BG435" i="8" s="1"/>
  <c r="BE436" i="8"/>
  <c r="BE437" i="8"/>
  <c r="BE438" i="8"/>
  <c r="BF438" i="8" s="1"/>
  <c r="BG438" i="8" s="1"/>
  <c r="BE439" i="8"/>
  <c r="BF439" i="8" s="1"/>
  <c r="BG439" i="8" s="1"/>
  <c r="BE440" i="8"/>
  <c r="BE441" i="8"/>
  <c r="BF441" i="8" s="1"/>
  <c r="BG441" i="8" s="1"/>
  <c r="BE442" i="8"/>
  <c r="BE443" i="8"/>
  <c r="BE444" i="8"/>
  <c r="BF444" i="8" s="1"/>
  <c r="BG444" i="8" s="1"/>
  <c r="BE445" i="8"/>
  <c r="BE446" i="8"/>
  <c r="BE447" i="8"/>
  <c r="BE448" i="8"/>
  <c r="BE449" i="8"/>
  <c r="BE450" i="8"/>
  <c r="BE451" i="8"/>
  <c r="BF451" i="8" s="1"/>
  <c r="BG451" i="8" s="1"/>
  <c r="BE452" i="8"/>
  <c r="BF452" i="8" s="1"/>
  <c r="BG452" i="8" s="1"/>
  <c r="BE453" i="8"/>
  <c r="BF453" i="8" s="1"/>
  <c r="BG453" i="8" s="1"/>
  <c r="BE454" i="8"/>
  <c r="BE455" i="8"/>
  <c r="BE456" i="8"/>
  <c r="BE457" i="8"/>
  <c r="BE458" i="8"/>
  <c r="BE459" i="8"/>
  <c r="BF459" i="8" s="1"/>
  <c r="BG459" i="8" s="1"/>
  <c r="BE460" i="8"/>
  <c r="BE461" i="8"/>
  <c r="BE462" i="8"/>
  <c r="BF462" i="8" s="1"/>
  <c r="BG462" i="8" s="1"/>
  <c r="BE463" i="8"/>
  <c r="BE464" i="8"/>
  <c r="BE465" i="8"/>
  <c r="BE466" i="8"/>
  <c r="BE467" i="8"/>
  <c r="BE468" i="8"/>
  <c r="BE469" i="8"/>
  <c r="BE470" i="8"/>
  <c r="BE471" i="8"/>
  <c r="BE472" i="8"/>
  <c r="BE473" i="8"/>
  <c r="BE474" i="8"/>
  <c r="BE475" i="8"/>
  <c r="BF475" i="8" s="1"/>
  <c r="BG475" i="8" s="1"/>
  <c r="BE476" i="8"/>
  <c r="BF476" i="8" s="1"/>
  <c r="BG476" i="8" s="1"/>
  <c r="BE477" i="8"/>
  <c r="BE478" i="8"/>
  <c r="BE479" i="8"/>
  <c r="BE480" i="8"/>
  <c r="BE481" i="8"/>
  <c r="BE482" i="8"/>
  <c r="BE483" i="8"/>
  <c r="BF483" i="8" s="1"/>
  <c r="BG483" i="8" s="1"/>
  <c r="BE484" i="8"/>
  <c r="BE485" i="8"/>
  <c r="BE486" i="8"/>
  <c r="BE487" i="8"/>
  <c r="BF487" i="8" s="1"/>
  <c r="BG487" i="8" s="1"/>
  <c r="BE488" i="8"/>
  <c r="BE489" i="8"/>
  <c r="BE490" i="8"/>
  <c r="BF490" i="8" s="1"/>
  <c r="BG490" i="8" s="1"/>
  <c r="BE491" i="8"/>
  <c r="BE492" i="8"/>
  <c r="BF492" i="8" s="1"/>
  <c r="BG492" i="8" s="1"/>
  <c r="BE493" i="8"/>
  <c r="BE494" i="8"/>
  <c r="BE495" i="8"/>
  <c r="BE496" i="8"/>
  <c r="BE497" i="8"/>
  <c r="BE498" i="8"/>
  <c r="BF498" i="8" s="1"/>
  <c r="BG498" i="8" s="1"/>
  <c r="BE499" i="8"/>
  <c r="BE500" i="8"/>
  <c r="BE501" i="8"/>
  <c r="BE502" i="8"/>
  <c r="BE503" i="8"/>
  <c r="BE504" i="8"/>
  <c r="BE505" i="8"/>
  <c r="BE506" i="8"/>
  <c r="BE507" i="8"/>
  <c r="BF507" i="8" s="1"/>
  <c r="BE508" i="8"/>
  <c r="BE509" i="8"/>
  <c r="BE510" i="8"/>
  <c r="BF510" i="8" s="1"/>
  <c r="BG510" i="8" s="1"/>
  <c r="BE511" i="8"/>
  <c r="BF511" i="8" s="1"/>
  <c r="BG511" i="8" s="1"/>
  <c r="BE512" i="8"/>
  <c r="BE513" i="8"/>
  <c r="BE514" i="8"/>
  <c r="BE515" i="8"/>
  <c r="BE516" i="8"/>
  <c r="BF516" i="8" s="1"/>
  <c r="BG516" i="8" s="1"/>
  <c r="BE517" i="8"/>
  <c r="BE518" i="8"/>
  <c r="BE519" i="8"/>
  <c r="BE520" i="8"/>
  <c r="BE521" i="8"/>
  <c r="BF521" i="8" s="1"/>
  <c r="BG521" i="8" s="1"/>
  <c r="BE522" i="8"/>
  <c r="BE523" i="8"/>
  <c r="BE524" i="8"/>
  <c r="BF524" i="8" s="1"/>
  <c r="BG524" i="8" s="1"/>
  <c r="BE525" i="8"/>
  <c r="BE526" i="8"/>
  <c r="BE527" i="8"/>
  <c r="BE528" i="8"/>
  <c r="BE529" i="8"/>
  <c r="BE530" i="8"/>
  <c r="BE531" i="8"/>
  <c r="BF531" i="8" s="1"/>
  <c r="BG531" i="8" s="1"/>
  <c r="BE532" i="8"/>
  <c r="BE533" i="8"/>
  <c r="BF533" i="8" s="1"/>
  <c r="BG533" i="8" s="1"/>
  <c r="BE534" i="8"/>
  <c r="BF534" i="8" s="1"/>
  <c r="BG534" i="8" s="1"/>
  <c r="BE535" i="8"/>
  <c r="BE536" i="8"/>
  <c r="BE537" i="8"/>
  <c r="BE538" i="8"/>
  <c r="BF538" i="8" s="1"/>
  <c r="BG538" i="8" s="1"/>
  <c r="BE539" i="8"/>
  <c r="BE540" i="8"/>
  <c r="BF540" i="8" s="1"/>
  <c r="BG540" i="8" s="1"/>
  <c r="BE541" i="8"/>
  <c r="BE542" i="8"/>
  <c r="BE543" i="8"/>
  <c r="BE544" i="8"/>
  <c r="BE545" i="8"/>
  <c r="BE546" i="8"/>
  <c r="BE547" i="8"/>
  <c r="BE548" i="8"/>
  <c r="BF548" i="8" s="1"/>
  <c r="BG548" i="8" s="1"/>
  <c r="BE549" i="8"/>
  <c r="BE550" i="8"/>
  <c r="BE551" i="8"/>
  <c r="BE552" i="8"/>
  <c r="BE553" i="8"/>
  <c r="BE554" i="8"/>
  <c r="BE555" i="8"/>
  <c r="BF555" i="8" s="1"/>
  <c r="BG555" i="8" s="1"/>
  <c r="BE556" i="8"/>
  <c r="BE557" i="8"/>
  <c r="BE558" i="8"/>
  <c r="BF558" i="8" s="1"/>
  <c r="BG558" i="8" s="1"/>
  <c r="BE559" i="8"/>
  <c r="BF559" i="8" s="1"/>
  <c r="BG559" i="8" s="1"/>
  <c r="BE560" i="8"/>
  <c r="BE561" i="8"/>
  <c r="BE562" i="8"/>
  <c r="BE563" i="8"/>
  <c r="BE564" i="8"/>
  <c r="BF564" i="8" s="1"/>
  <c r="BG564" i="8" s="1"/>
  <c r="BE565" i="8"/>
  <c r="BE566" i="8"/>
  <c r="BE567" i="8"/>
  <c r="BE568" i="8"/>
  <c r="BE569" i="8"/>
  <c r="BE570" i="8"/>
  <c r="BE571" i="8"/>
  <c r="BE572" i="8"/>
  <c r="BF572" i="8" s="1"/>
  <c r="BG572" i="8" s="1"/>
  <c r="BE573" i="8"/>
  <c r="BE574" i="8"/>
  <c r="BE575" i="8"/>
  <c r="BE576" i="8"/>
  <c r="BE577" i="8"/>
  <c r="BE578" i="8"/>
  <c r="BE579" i="8"/>
  <c r="BF579" i="8" s="1"/>
  <c r="BG579" i="8" s="1"/>
  <c r="BE580" i="8"/>
  <c r="BE581" i="8"/>
  <c r="BF581" i="8" s="1"/>
  <c r="BG581" i="8" s="1"/>
  <c r="BE582" i="8"/>
  <c r="BF582" i="8" s="1"/>
  <c r="BG582" i="8" s="1"/>
  <c r="BE583" i="8"/>
  <c r="BF583" i="8" s="1"/>
  <c r="BG583" i="8" s="1"/>
  <c r="BE584" i="8"/>
  <c r="BE585" i="8"/>
  <c r="BE586" i="8"/>
  <c r="BF586" i="8" s="1"/>
  <c r="BG586" i="8" s="1"/>
  <c r="BE587" i="8"/>
  <c r="BE588" i="8"/>
  <c r="BF588" i="8" s="1"/>
  <c r="BG588" i="8" s="1"/>
  <c r="BE589" i="8"/>
  <c r="BE590" i="8"/>
  <c r="BE591" i="8"/>
  <c r="BE592" i="8"/>
  <c r="BE593" i="8"/>
  <c r="BE594" i="8"/>
  <c r="BE595" i="8"/>
  <c r="BF595" i="8" s="1"/>
  <c r="BG595" i="8" s="1"/>
  <c r="BE596" i="8"/>
  <c r="BF596" i="8" s="1"/>
  <c r="BG596" i="8" s="1"/>
  <c r="BE597" i="8"/>
  <c r="BE598" i="8"/>
  <c r="BE599" i="8"/>
  <c r="BE600" i="8"/>
  <c r="BE601" i="8"/>
  <c r="BE602" i="8"/>
  <c r="BE603" i="8"/>
  <c r="BF603" i="8" s="1"/>
  <c r="BG603" i="8" s="1"/>
  <c r="BE604" i="8"/>
  <c r="BE605" i="8"/>
  <c r="BE606" i="8"/>
  <c r="BE607" i="8"/>
  <c r="BF607" i="8" s="1"/>
  <c r="BG607" i="8" s="1"/>
  <c r="BE608" i="8"/>
  <c r="BE609" i="8"/>
  <c r="BE610" i="8"/>
  <c r="BE611" i="8"/>
  <c r="BE612" i="8"/>
  <c r="BF612" i="8" s="1"/>
  <c r="BG612" i="8" s="1"/>
  <c r="BE613" i="8"/>
  <c r="BE614" i="8"/>
  <c r="BE615" i="8"/>
  <c r="BE616" i="8"/>
  <c r="BE617" i="8"/>
  <c r="BF617" i="8" s="1"/>
  <c r="BG617" i="8" s="1"/>
  <c r="BE618" i="8"/>
  <c r="BE619" i="8"/>
  <c r="BE620" i="8"/>
  <c r="BE621" i="8"/>
  <c r="BE622" i="8"/>
  <c r="BE623" i="8"/>
  <c r="BE624" i="8"/>
  <c r="BE625" i="8"/>
  <c r="BF625" i="8" s="1"/>
  <c r="BG625" i="8" s="1"/>
  <c r="BE626" i="8"/>
  <c r="BF626" i="8" s="1"/>
  <c r="BG626" i="8" s="1"/>
  <c r="BE627" i="8"/>
  <c r="BF627" i="8" s="1"/>
  <c r="BG627" i="8" s="1"/>
  <c r="BE628" i="8"/>
  <c r="BE629" i="8"/>
  <c r="BE630" i="8"/>
  <c r="BF630" i="8" s="1"/>
  <c r="BG630" i="8" s="1"/>
  <c r="BE631" i="8"/>
  <c r="BE632" i="8"/>
  <c r="BE633" i="8"/>
  <c r="BE634" i="8"/>
  <c r="BF634" i="8" s="1"/>
  <c r="BG634" i="8" s="1"/>
  <c r="BE635" i="8"/>
  <c r="BE636" i="8"/>
  <c r="BF636" i="8" s="1"/>
  <c r="BG636" i="8" s="1"/>
  <c r="BE637" i="8"/>
  <c r="BE638" i="8"/>
  <c r="BE639" i="8"/>
  <c r="BE640" i="8"/>
  <c r="BE641" i="8"/>
  <c r="BE642" i="8"/>
  <c r="BF642" i="8" s="1"/>
  <c r="BG642" i="8" s="1"/>
  <c r="BE643" i="8"/>
  <c r="BF643" i="8" s="1"/>
  <c r="BG643" i="8" s="1"/>
  <c r="BE644" i="8"/>
  <c r="BF644" i="8" s="1"/>
  <c r="BG644" i="8" s="1"/>
  <c r="BE645" i="8"/>
  <c r="BE646" i="8"/>
  <c r="BE647" i="8"/>
  <c r="BE648" i="8"/>
  <c r="BE649" i="8"/>
  <c r="BE650" i="8"/>
  <c r="BE651" i="8"/>
  <c r="BF651" i="8" s="1"/>
  <c r="BG651" i="8" s="1"/>
  <c r="BE652" i="8"/>
  <c r="BE653" i="8"/>
  <c r="BF653" i="8" s="1"/>
  <c r="BG653" i="8" s="1"/>
  <c r="BE654" i="8"/>
  <c r="BF654" i="8" s="1"/>
  <c r="BG654" i="8" s="1"/>
  <c r="BE655" i="8"/>
  <c r="BE656" i="8"/>
  <c r="BE657" i="8"/>
  <c r="BE658" i="8"/>
  <c r="BE659" i="8"/>
  <c r="BE660" i="8"/>
  <c r="BF660" i="8" s="1"/>
  <c r="BG660" i="8" s="1"/>
  <c r="BE661" i="8"/>
  <c r="BE662" i="8"/>
  <c r="BE663" i="8"/>
  <c r="BE664" i="8"/>
  <c r="BE665" i="8"/>
  <c r="BF665" i="8" s="1"/>
  <c r="BG665" i="8" s="1"/>
  <c r="BE666" i="8"/>
  <c r="BE667" i="8"/>
  <c r="BE668" i="8"/>
  <c r="BE669" i="8"/>
  <c r="BE670" i="8"/>
  <c r="BE671" i="8"/>
  <c r="BE672" i="8"/>
  <c r="BE673" i="8"/>
  <c r="BE674" i="8"/>
  <c r="BE675" i="8"/>
  <c r="BF675" i="8" s="1"/>
  <c r="BG675" i="8" s="1"/>
  <c r="BE676" i="8"/>
  <c r="BE677" i="8"/>
  <c r="BE678" i="8"/>
  <c r="BF678" i="8" s="1"/>
  <c r="BG678" i="8" s="1"/>
  <c r="BE679" i="8"/>
  <c r="BF679" i="8" s="1"/>
  <c r="BG679" i="8" s="1"/>
  <c r="BE680" i="8"/>
  <c r="BE681" i="8"/>
  <c r="BE682" i="8"/>
  <c r="BF682" i="8" s="1"/>
  <c r="BG682" i="8" s="1"/>
  <c r="BE683" i="8"/>
  <c r="BE684" i="8"/>
  <c r="BE685" i="8"/>
  <c r="BE686" i="8"/>
  <c r="BE687" i="8"/>
  <c r="BE688" i="8"/>
  <c r="BE689" i="8"/>
  <c r="BE690" i="8"/>
  <c r="BF690" i="8" s="1"/>
  <c r="BG690" i="8" s="1"/>
  <c r="BE691" i="8"/>
  <c r="BF691" i="8" s="1"/>
  <c r="BG691" i="8" s="1"/>
  <c r="BE692" i="8"/>
  <c r="BF692" i="8" s="1"/>
  <c r="BG692" i="8" s="1"/>
  <c r="BE693" i="8"/>
  <c r="BE694" i="8"/>
  <c r="BE695" i="8"/>
  <c r="BE696" i="8"/>
  <c r="BE697" i="8"/>
  <c r="BF697" i="8" s="1"/>
  <c r="BG697" i="8" s="1"/>
  <c r="BE698" i="8"/>
  <c r="BE699" i="8"/>
  <c r="BF699" i="8" s="1"/>
  <c r="BG699" i="8" s="1"/>
  <c r="BE700" i="8"/>
  <c r="BE701" i="8"/>
  <c r="BF701" i="8" s="1"/>
  <c r="BG701" i="8" s="1"/>
  <c r="BE702" i="8"/>
  <c r="BE703" i="8"/>
  <c r="BF703" i="8" s="1"/>
  <c r="BG703" i="8" s="1"/>
  <c r="BE704" i="8"/>
  <c r="BE705" i="8"/>
  <c r="BF705" i="8" s="1"/>
  <c r="BG705" i="8" s="1"/>
  <c r="BE706" i="8"/>
  <c r="BE707" i="8"/>
  <c r="BE708" i="8"/>
  <c r="BF708" i="8" s="1"/>
  <c r="BG708" i="8" s="1"/>
  <c r="BE709" i="8"/>
  <c r="BE710" i="8"/>
  <c r="BE711" i="8"/>
  <c r="BE712" i="8"/>
  <c r="BE713" i="8"/>
  <c r="BE714" i="8"/>
  <c r="BE715" i="8"/>
  <c r="BF715" i="8" s="1"/>
  <c r="BG715" i="8" s="1"/>
  <c r="BE716" i="8"/>
  <c r="BE717" i="8"/>
  <c r="BF717" i="8" s="1"/>
  <c r="BG717" i="8" s="1"/>
  <c r="BE718" i="8"/>
  <c r="BE719" i="8"/>
  <c r="BE720" i="8"/>
  <c r="BE721" i="8"/>
  <c r="BE722" i="8"/>
  <c r="BE723" i="8"/>
  <c r="BF723" i="8" s="1"/>
  <c r="BG723" i="8" s="1"/>
  <c r="BE724" i="8"/>
  <c r="BE725" i="8"/>
  <c r="BE726" i="8"/>
  <c r="BF726" i="8" s="1"/>
  <c r="BG726" i="8" s="1"/>
  <c r="BE727" i="8"/>
  <c r="BE728" i="8"/>
  <c r="BE729" i="8"/>
  <c r="BF729" i="8" s="1"/>
  <c r="BG729" i="8" s="1"/>
  <c r="BE730" i="8"/>
  <c r="BF730" i="8" s="1"/>
  <c r="BG730" i="8" s="1"/>
  <c r="BE731" i="8"/>
  <c r="BE732" i="8"/>
  <c r="BF732" i="8" s="1"/>
  <c r="BG732" i="8" s="1"/>
  <c r="BE733" i="8"/>
  <c r="BE734" i="8"/>
  <c r="BE735" i="8"/>
  <c r="BE736" i="8"/>
  <c r="BE737" i="8"/>
  <c r="BE738" i="8"/>
  <c r="BF738" i="8" s="1"/>
  <c r="BG738" i="8" s="1"/>
  <c r="BE739" i="8"/>
  <c r="BF739" i="8" s="1"/>
  <c r="BG739" i="8" s="1"/>
  <c r="BE740" i="8"/>
  <c r="BE741" i="8"/>
  <c r="BE742" i="8"/>
  <c r="BE743" i="8"/>
  <c r="BE744" i="8"/>
  <c r="BE745" i="8"/>
  <c r="BE746" i="8"/>
  <c r="BE747" i="8"/>
  <c r="BF747" i="8" s="1"/>
  <c r="BG747" i="8" s="1"/>
  <c r="BE748" i="8"/>
  <c r="BE749" i="8"/>
  <c r="BF749" i="8" s="1"/>
  <c r="BG749" i="8" s="1"/>
  <c r="BE750" i="8"/>
  <c r="BE751" i="8"/>
  <c r="BE752" i="8"/>
  <c r="BE753" i="8"/>
  <c r="BE754" i="8"/>
  <c r="BE755" i="8"/>
  <c r="BE756" i="8"/>
  <c r="BF756" i="8" s="1"/>
  <c r="BG756" i="8" s="1"/>
  <c r="BE757" i="8"/>
  <c r="BE758" i="8"/>
  <c r="BE759" i="8"/>
  <c r="BE760" i="8"/>
  <c r="BE761" i="8"/>
  <c r="BE762" i="8"/>
  <c r="BE763" i="8"/>
  <c r="BE764" i="8"/>
  <c r="BE765" i="8"/>
  <c r="BF765" i="8" s="1"/>
  <c r="BG765" i="8" s="1"/>
  <c r="BE766" i="8"/>
  <c r="BE767" i="8"/>
  <c r="BE768" i="8"/>
  <c r="BE769" i="8"/>
  <c r="BF769" i="8" s="1"/>
  <c r="BG769" i="8" s="1"/>
  <c r="BE770" i="8"/>
  <c r="BE771" i="8"/>
  <c r="BF771" i="8" s="1"/>
  <c r="BG771" i="8" s="1"/>
  <c r="BE772" i="8"/>
  <c r="BE773" i="8"/>
  <c r="BE774" i="8"/>
  <c r="BF774" i="8" s="1"/>
  <c r="BG774" i="8" s="1"/>
  <c r="BE775" i="8"/>
  <c r="BF775" i="8" s="1"/>
  <c r="BG775" i="8" s="1"/>
  <c r="BE776" i="8"/>
  <c r="BE777" i="8"/>
  <c r="BE778" i="8"/>
  <c r="BE779" i="8"/>
  <c r="BE780" i="8"/>
  <c r="BF780" i="8" s="1"/>
  <c r="BG780" i="8" s="1"/>
  <c r="BE781" i="8"/>
  <c r="BE782" i="8"/>
  <c r="BE783" i="8"/>
  <c r="BE784" i="8"/>
  <c r="BE785" i="8"/>
  <c r="BE786" i="8"/>
  <c r="BF786" i="8" s="1"/>
  <c r="BG786" i="8" s="1"/>
  <c r="BE787" i="8"/>
  <c r="BE788" i="8"/>
  <c r="BE789" i="8"/>
  <c r="BE790" i="8"/>
  <c r="BE791" i="8"/>
  <c r="BE792" i="8"/>
  <c r="BE793" i="8"/>
  <c r="BE794" i="8"/>
  <c r="BE795" i="8"/>
  <c r="BF795" i="8" s="1"/>
  <c r="BG795" i="8" s="1"/>
  <c r="BE796" i="8"/>
  <c r="BE797" i="8"/>
  <c r="BF797" i="8" s="1"/>
  <c r="BG797" i="8" s="1"/>
  <c r="BE798" i="8"/>
  <c r="BE799" i="8"/>
  <c r="BE800" i="8"/>
  <c r="BE801" i="8"/>
  <c r="BF801" i="8" s="1"/>
  <c r="BG801" i="8" s="1"/>
  <c r="BE802" i="8"/>
  <c r="BE803" i="8"/>
  <c r="BE804" i="8"/>
  <c r="BF804" i="8" s="1"/>
  <c r="BG804" i="8" s="1"/>
  <c r="BE805" i="8"/>
  <c r="BE806" i="8"/>
  <c r="BE807" i="8"/>
  <c r="BE808" i="8"/>
  <c r="BE809" i="8"/>
  <c r="BE810" i="8"/>
  <c r="BE811" i="8"/>
  <c r="BE812" i="8"/>
  <c r="BE813" i="8"/>
  <c r="BE814" i="8"/>
  <c r="BE815" i="8"/>
  <c r="BE816" i="8"/>
  <c r="BE817" i="8"/>
  <c r="BE818" i="8"/>
  <c r="BE819" i="8"/>
  <c r="BF819" i="8" s="1"/>
  <c r="BG819" i="8" s="1"/>
  <c r="BE820" i="8"/>
  <c r="BE821" i="8"/>
  <c r="BF821" i="8" s="1"/>
  <c r="BG821" i="8" s="1"/>
  <c r="BE822" i="8"/>
  <c r="BF822" i="8" s="1"/>
  <c r="BG822" i="8" s="1"/>
  <c r="BE823" i="8"/>
  <c r="BE824" i="8"/>
  <c r="BE825" i="8"/>
  <c r="BF825" i="8" s="1"/>
  <c r="BG825" i="8" s="1"/>
  <c r="BE826" i="8"/>
  <c r="BE827" i="8"/>
  <c r="BE828" i="8"/>
  <c r="BF828" i="8" s="1"/>
  <c r="BG828" i="8" s="1"/>
  <c r="BE829" i="8"/>
  <c r="BE830" i="8"/>
  <c r="BE831" i="8"/>
  <c r="BE832" i="8"/>
  <c r="BE833" i="8"/>
  <c r="BE834" i="8"/>
  <c r="BE835" i="8"/>
  <c r="BE836" i="8"/>
  <c r="BF836" i="8" s="1"/>
  <c r="BG836" i="8" s="1"/>
  <c r="BE837" i="8"/>
  <c r="BE838" i="8"/>
  <c r="BE839" i="8"/>
  <c r="BE840" i="8"/>
  <c r="BE841" i="8"/>
  <c r="BE842" i="8"/>
  <c r="BE843" i="8"/>
  <c r="BF843" i="8" s="1"/>
  <c r="BG843" i="8" s="1"/>
  <c r="BE844" i="8"/>
  <c r="BE845" i="8"/>
  <c r="BF845" i="8" s="1"/>
  <c r="BG845" i="8" s="1"/>
  <c r="BE846" i="8"/>
  <c r="BF846" i="8" s="1"/>
  <c r="BG846" i="8" s="1"/>
  <c r="BE847" i="8"/>
  <c r="BE848" i="8"/>
  <c r="BE849" i="8"/>
  <c r="BF849" i="8" s="1"/>
  <c r="BG849" i="8" s="1"/>
  <c r="BE850" i="8"/>
  <c r="BE851" i="8"/>
  <c r="BE852" i="8"/>
  <c r="BF852" i="8" s="1"/>
  <c r="BG852" i="8" s="1"/>
  <c r="BE853" i="8"/>
  <c r="BE854" i="8"/>
  <c r="BE855" i="8"/>
  <c r="BE856" i="8"/>
  <c r="BE857" i="8"/>
  <c r="BE858" i="8"/>
  <c r="BE859" i="8"/>
  <c r="BE860" i="8"/>
  <c r="BE861" i="8"/>
  <c r="BF861" i="8" s="1"/>
  <c r="BG861" i="8" s="1"/>
  <c r="BE862" i="8"/>
  <c r="BE863" i="8"/>
  <c r="BE864" i="8"/>
  <c r="BE865" i="8"/>
  <c r="BE866" i="8"/>
  <c r="BE867" i="8"/>
  <c r="BF867" i="8" s="1"/>
  <c r="BG867" i="8" s="1"/>
  <c r="BE868" i="8"/>
  <c r="BE869" i="8"/>
  <c r="BF869" i="8" s="1"/>
  <c r="BG869" i="8" s="1"/>
  <c r="BE870" i="8"/>
  <c r="BE871" i="8"/>
  <c r="BF871" i="8" s="1"/>
  <c r="BG871" i="8" s="1"/>
  <c r="BE872" i="8"/>
  <c r="BE873" i="8"/>
  <c r="BE874" i="8"/>
  <c r="BE875" i="8"/>
  <c r="BE876" i="8"/>
  <c r="BF876" i="8" s="1"/>
  <c r="BG876" i="8" s="1"/>
  <c r="BE877" i="8"/>
  <c r="BE878" i="8"/>
  <c r="BE879" i="8"/>
  <c r="BE880" i="8"/>
  <c r="BE881" i="8"/>
  <c r="BE882" i="8"/>
  <c r="BE883" i="8"/>
  <c r="BE884" i="8"/>
  <c r="BF884" i="8" s="1"/>
  <c r="BG884" i="8" s="1"/>
  <c r="BE885" i="8"/>
  <c r="BE886" i="8"/>
  <c r="BE887" i="8"/>
  <c r="BE888" i="8"/>
  <c r="BE889" i="8"/>
  <c r="BE890" i="8"/>
  <c r="BE891" i="8"/>
  <c r="BF891" i="8" s="1"/>
  <c r="BG891" i="8" s="1"/>
  <c r="BE892" i="8"/>
  <c r="BE893" i="8"/>
  <c r="BE894" i="8"/>
  <c r="BE895" i="8"/>
  <c r="BE896" i="8"/>
  <c r="BE897" i="8"/>
  <c r="BF897" i="8" s="1"/>
  <c r="BG897" i="8" s="1"/>
  <c r="BE898" i="8"/>
  <c r="BE899" i="8"/>
  <c r="BE900" i="8"/>
  <c r="BF900" i="8" s="1"/>
  <c r="BG900" i="8" s="1"/>
  <c r="BE901" i="8"/>
  <c r="BE902" i="8"/>
  <c r="BE903" i="8"/>
  <c r="BE904" i="8"/>
  <c r="BE905" i="8"/>
  <c r="BE906" i="8"/>
  <c r="BE907" i="8"/>
  <c r="BE908" i="8"/>
  <c r="BE909" i="8"/>
  <c r="BF909" i="8" s="1"/>
  <c r="BG909" i="8" s="1"/>
  <c r="BE910" i="8"/>
  <c r="BE911" i="8"/>
  <c r="BE912" i="8"/>
  <c r="BE913" i="8"/>
  <c r="BE914" i="8"/>
  <c r="BE915" i="8"/>
  <c r="BF915" i="8" s="1"/>
  <c r="BG915" i="8" s="1"/>
  <c r="BE916" i="8"/>
  <c r="BE917" i="8"/>
  <c r="BF917" i="8" s="1"/>
  <c r="BG917" i="8" s="1"/>
  <c r="BE918" i="8"/>
  <c r="BF918" i="8" s="1"/>
  <c r="BG918" i="8" s="1"/>
  <c r="BE919" i="8"/>
  <c r="BE920" i="8"/>
  <c r="BE921" i="8"/>
  <c r="BE922" i="8"/>
  <c r="BE923" i="8"/>
  <c r="BE924" i="8"/>
  <c r="BF924" i="8" s="1"/>
  <c r="BG924" i="8" s="1"/>
  <c r="BE925" i="8"/>
  <c r="BE926" i="8"/>
  <c r="BE927" i="8"/>
  <c r="BE928" i="8"/>
  <c r="BE929" i="8"/>
  <c r="BF929" i="8" s="1"/>
  <c r="BG929" i="8" s="1"/>
  <c r="BE930" i="8"/>
  <c r="BE931" i="8"/>
  <c r="BE932" i="8"/>
  <c r="BF932" i="8" s="1"/>
  <c r="BG932" i="8" s="1"/>
  <c r="BE933" i="8"/>
  <c r="BE934" i="8"/>
  <c r="BE935" i="8"/>
  <c r="BE936" i="8"/>
  <c r="BE937" i="8"/>
  <c r="BE938" i="8"/>
  <c r="BF938" i="8" s="1"/>
  <c r="BG938" i="8" s="1"/>
  <c r="BE939" i="8"/>
  <c r="BF939" i="8" s="1"/>
  <c r="BG939" i="8" s="1"/>
  <c r="BE940" i="8"/>
  <c r="BE941" i="8"/>
  <c r="BE942" i="8"/>
  <c r="BF942" i="8" s="1"/>
  <c r="BG942" i="8" s="1"/>
  <c r="BE943" i="8"/>
  <c r="BE944" i="8"/>
  <c r="BE945" i="8"/>
  <c r="BE946" i="8"/>
  <c r="BE947" i="8"/>
  <c r="BE948" i="8"/>
  <c r="BF948" i="8" s="1"/>
  <c r="BG948" i="8" s="1"/>
  <c r="BE949" i="8"/>
  <c r="BE950" i="8"/>
  <c r="BE951" i="8"/>
  <c r="BE952" i="8"/>
  <c r="BE953" i="8"/>
  <c r="BF953" i="8" s="1"/>
  <c r="BG953" i="8" s="1"/>
  <c r="BE954" i="8"/>
  <c r="BE955" i="8"/>
  <c r="BF955" i="8" s="1"/>
  <c r="BG955" i="8" s="1"/>
  <c r="BE956" i="8"/>
  <c r="BE957" i="8"/>
  <c r="BF957" i="8" s="1"/>
  <c r="BG957" i="8" s="1"/>
  <c r="BE958" i="8"/>
  <c r="BE959" i="8"/>
  <c r="BE960" i="8"/>
  <c r="BE961" i="8"/>
  <c r="BE962" i="8"/>
  <c r="BE963" i="8"/>
  <c r="BF963" i="8" s="1"/>
  <c r="BG963" i="8" s="1"/>
  <c r="BE964" i="8"/>
  <c r="BE965" i="8"/>
  <c r="BE966" i="8"/>
  <c r="BF966" i="8" s="1"/>
  <c r="BG966" i="8" s="1"/>
  <c r="BE967" i="8"/>
  <c r="BE968" i="8"/>
  <c r="BE969" i="8"/>
  <c r="BE970" i="8"/>
  <c r="BE971" i="8"/>
  <c r="BE972" i="8"/>
  <c r="BE973" i="8"/>
  <c r="BE974" i="8"/>
  <c r="BE975" i="8"/>
  <c r="BE976" i="8"/>
  <c r="BE977" i="8"/>
  <c r="BF977" i="8" s="1"/>
  <c r="BG977" i="8" s="1"/>
  <c r="BE978" i="8"/>
  <c r="BE979" i="8"/>
  <c r="BE980" i="8"/>
  <c r="BE981" i="8"/>
  <c r="BE982" i="8"/>
  <c r="BE983" i="8"/>
  <c r="BE984" i="8"/>
  <c r="BE985" i="8"/>
  <c r="BF985" i="8" s="1"/>
  <c r="BG985" i="8" s="1"/>
  <c r="BE986" i="8"/>
  <c r="BE987" i="8"/>
  <c r="BF987" i="8" s="1"/>
  <c r="BG987" i="8" s="1"/>
  <c r="BE988" i="8"/>
  <c r="BE989" i="8"/>
  <c r="BF989" i="8" s="1"/>
  <c r="BG989" i="8" s="1"/>
  <c r="BE990" i="8"/>
  <c r="BF990" i="8" s="1"/>
  <c r="BG990" i="8" s="1"/>
  <c r="BE991" i="8"/>
  <c r="BE992" i="8"/>
  <c r="BE993" i="8"/>
  <c r="BE994" i="8"/>
  <c r="BE995" i="8"/>
  <c r="BE996" i="8"/>
  <c r="BE997" i="8"/>
  <c r="BE998" i="8"/>
  <c r="BE999" i="8"/>
  <c r="BE1000" i="8"/>
  <c r="BE1001" i="8"/>
  <c r="BF1001" i="8" s="1"/>
  <c r="BG1001" i="8" s="1"/>
  <c r="BE1002" i="8"/>
  <c r="BE1003" i="8"/>
  <c r="BF1003" i="8" s="1"/>
  <c r="BG1003" i="8" s="1"/>
  <c r="BE1004" i="8"/>
  <c r="BF1004" i="8" s="1"/>
  <c r="BG1004" i="8" s="1"/>
  <c r="BE1005" i="8"/>
  <c r="BF1005" i="8" s="1"/>
  <c r="BG1005" i="8" s="1"/>
  <c r="BE1006" i="8"/>
  <c r="BE1007" i="8"/>
  <c r="BF1007" i="8" s="1"/>
  <c r="BG1007" i="8" s="1"/>
  <c r="BE1008" i="8"/>
  <c r="BE1009" i="8"/>
  <c r="BE1010" i="8"/>
  <c r="BF1010" i="8" s="1"/>
  <c r="BG1010" i="8" s="1"/>
  <c r="BE1011" i="8"/>
  <c r="BF1011" i="8" s="1"/>
  <c r="BG1011" i="8" s="1"/>
  <c r="BE1012" i="8"/>
  <c r="BE1013" i="8"/>
  <c r="BE1014" i="8"/>
  <c r="BF1014" i="8" s="1"/>
  <c r="BG1014" i="8" s="1"/>
  <c r="BE1015" i="8"/>
  <c r="BE1016" i="8"/>
  <c r="BE1017" i="8"/>
  <c r="BE1018" i="8"/>
  <c r="BE1019" i="8"/>
  <c r="BE1020" i="8"/>
  <c r="BF1020" i="8" s="1"/>
  <c r="BG1020" i="8" s="1"/>
  <c r="BE1021" i="8"/>
  <c r="BE1022" i="8"/>
  <c r="BE1023" i="8"/>
  <c r="BE1024" i="8"/>
  <c r="BE1025" i="8"/>
  <c r="BE1026" i="8"/>
  <c r="BE1027" i="8"/>
  <c r="BF1027" i="8" s="1"/>
  <c r="BG1027" i="8" s="1"/>
  <c r="BE1028" i="8"/>
  <c r="BF1028" i="8" s="1"/>
  <c r="BG1028" i="8" s="1"/>
  <c r="BE1029" i="8"/>
  <c r="BE1030" i="8"/>
  <c r="BE1031" i="8"/>
  <c r="BE1032" i="8"/>
  <c r="BE1033" i="8"/>
  <c r="BE1034" i="8"/>
  <c r="BE1035" i="8"/>
  <c r="BF1035" i="8" s="1"/>
  <c r="BG1035" i="8" s="1"/>
  <c r="BE1036" i="8"/>
  <c r="BE1037" i="8"/>
  <c r="BF1037" i="8" s="1"/>
  <c r="BG1037" i="8" s="1"/>
  <c r="BE1038" i="8"/>
  <c r="BE1039" i="8"/>
  <c r="BE1040" i="8"/>
  <c r="BE1041" i="8"/>
  <c r="BF1041" i="8" s="1"/>
  <c r="BG1041" i="8" s="1"/>
  <c r="BE1042" i="8"/>
  <c r="BE1043" i="8"/>
  <c r="BE1044" i="8"/>
  <c r="BF1044" i="8" s="1"/>
  <c r="BG1044" i="8" s="1"/>
  <c r="BE1045" i="8"/>
  <c r="BE1046" i="8"/>
  <c r="BE1047" i="8"/>
  <c r="BE1048" i="8"/>
  <c r="BE1049" i="8"/>
  <c r="BE1050" i="8"/>
  <c r="BE1051" i="8"/>
  <c r="BE1052" i="8"/>
  <c r="BE1053" i="8"/>
  <c r="BE1054" i="8"/>
  <c r="BE1055" i="8"/>
  <c r="BF1055" i="8" s="1"/>
  <c r="BG1055" i="8" s="1"/>
  <c r="BE1056" i="8"/>
  <c r="BE1057" i="8"/>
  <c r="BE1058" i="8"/>
  <c r="BE1059" i="8"/>
  <c r="BF1059" i="8" s="1"/>
  <c r="BG1059" i="8" s="1"/>
  <c r="BE1060" i="8"/>
  <c r="BE1061" i="8"/>
  <c r="BE1062" i="8"/>
  <c r="BF1062" i="8" s="1"/>
  <c r="BG1062" i="8" s="1"/>
  <c r="BE1063" i="8"/>
  <c r="BF1063" i="8" s="1"/>
  <c r="BG1063" i="8" s="1"/>
  <c r="BE1064" i="8"/>
  <c r="BE1065" i="8"/>
  <c r="BE1066" i="8"/>
  <c r="BE1067" i="8"/>
  <c r="BE1068" i="8"/>
  <c r="BF1068" i="8" s="1"/>
  <c r="BG1068" i="8" s="1"/>
  <c r="BE1069" i="8"/>
  <c r="BE1070" i="8"/>
  <c r="BE1071" i="8"/>
  <c r="BE1072" i="8"/>
  <c r="BE1073" i="8"/>
  <c r="BF1073" i="8" s="1"/>
  <c r="BG1073" i="8" s="1"/>
  <c r="BE1074" i="8"/>
  <c r="BE1075" i="8"/>
  <c r="BE1076" i="8"/>
  <c r="BE1077" i="8"/>
  <c r="BE1078" i="8"/>
  <c r="BE1079" i="8"/>
  <c r="BE1080" i="8"/>
  <c r="BE1081" i="8"/>
  <c r="BF1081" i="8" s="1"/>
  <c r="BG1081" i="8" s="1"/>
  <c r="BE1082" i="8"/>
  <c r="BF1082" i="8" s="1"/>
  <c r="BG1082" i="8" s="1"/>
  <c r="BE1083" i="8"/>
  <c r="BF1083" i="8" s="1"/>
  <c r="BG1083" i="8" s="1"/>
  <c r="BE1084" i="8"/>
  <c r="BE1085" i="8"/>
  <c r="BE1086" i="8"/>
  <c r="BE1087" i="8"/>
  <c r="BF1087" i="8" s="1"/>
  <c r="BG1087" i="8" s="1"/>
  <c r="BE1088" i="8"/>
  <c r="BE1089" i="8"/>
  <c r="BE1090" i="8"/>
  <c r="BE1091" i="8"/>
  <c r="BE1092" i="8"/>
  <c r="BF1092" i="8" s="1"/>
  <c r="BG1092" i="8" s="1"/>
  <c r="BE1093" i="8"/>
  <c r="BE1094" i="8"/>
  <c r="BE1095" i="8"/>
  <c r="BE1096" i="8"/>
  <c r="BE1097" i="8"/>
  <c r="BE1098" i="8"/>
  <c r="BE1099" i="8"/>
  <c r="BE1100" i="8"/>
  <c r="BE1101" i="8"/>
  <c r="BE1102" i="8"/>
  <c r="BE1103" i="8"/>
  <c r="BF1103" i="8" s="1"/>
  <c r="BG1103" i="8" s="1"/>
  <c r="BE1104" i="8"/>
  <c r="BE1105" i="8"/>
  <c r="BE1106" i="8"/>
  <c r="BE1107" i="8"/>
  <c r="BF1107" i="8" s="1"/>
  <c r="BG1107" i="8" s="1"/>
  <c r="BE1108" i="8"/>
  <c r="BE1109" i="8"/>
  <c r="BF1109" i="8" s="1"/>
  <c r="BG1109" i="8" s="1"/>
  <c r="BE1110" i="8"/>
  <c r="BF1110" i="8" s="1"/>
  <c r="BG1110" i="8" s="1"/>
  <c r="BE1111" i="8"/>
  <c r="BE1112" i="8"/>
  <c r="BE1113" i="8"/>
  <c r="BF1113" i="8" s="1"/>
  <c r="BG1113" i="8" s="1"/>
  <c r="BE1114" i="8"/>
  <c r="BE1115" i="8"/>
  <c r="BE1116" i="8"/>
  <c r="BF1116" i="8" s="1"/>
  <c r="BG1116" i="8" s="1"/>
  <c r="BE1117" i="8"/>
  <c r="BE1118" i="8"/>
  <c r="BE1119" i="8"/>
  <c r="BE1120" i="8"/>
  <c r="BE1121" i="8"/>
  <c r="BF1121" i="8" s="1"/>
  <c r="BG1121" i="8" s="1"/>
  <c r="BE1122" i="8"/>
  <c r="BE1123" i="8"/>
  <c r="BE1124" i="8"/>
  <c r="BF1124" i="8" s="1"/>
  <c r="BG1124" i="8" s="1"/>
  <c r="BE1125" i="8"/>
  <c r="BE1126" i="8"/>
  <c r="BE1127" i="8"/>
  <c r="BE1128" i="8"/>
  <c r="BE1129" i="8"/>
  <c r="BE1130" i="8"/>
  <c r="BF15" i="8"/>
  <c r="BG15" i="8" s="1"/>
  <c r="BF16" i="8"/>
  <c r="BG16" i="8" s="1"/>
  <c r="BF17" i="8"/>
  <c r="BG17" i="8" s="1"/>
  <c r="BF18" i="8"/>
  <c r="BG18" i="8" s="1"/>
  <c r="BF19" i="8"/>
  <c r="BG19" i="8" s="1"/>
  <c r="BF24" i="8"/>
  <c r="BG24" i="8" s="1"/>
  <c r="BF33" i="8"/>
  <c r="BG33" i="8" s="1"/>
  <c r="BG507" i="8"/>
  <c r="P1060" i="2"/>
  <c r="V1060" i="2" s="1"/>
  <c r="P497" i="2"/>
  <c r="Q497" i="8" s="1"/>
  <c r="AQ355" i="8" l="1"/>
  <c r="AR710" i="8"/>
  <c r="AQ755" i="8"/>
  <c r="AQ481" i="8"/>
  <c r="AR409" i="8"/>
  <c r="AQ73" i="8"/>
  <c r="AR1117" i="8"/>
  <c r="AR1093" i="8"/>
  <c r="AQ1069" i="8"/>
  <c r="AQ829" i="8"/>
  <c r="AR805" i="8"/>
  <c r="AQ709" i="8"/>
  <c r="AQ637" i="8"/>
  <c r="AQ397" i="8"/>
  <c r="AQ349" i="8"/>
  <c r="AQ325" i="8"/>
  <c r="AQ133" i="8"/>
  <c r="AQ1045" i="8"/>
  <c r="AR949" i="8"/>
  <c r="AR853" i="8"/>
  <c r="AR493" i="8"/>
  <c r="AR61" i="8"/>
  <c r="AQ37" i="8"/>
  <c r="AR595" i="8"/>
  <c r="AR206" i="8"/>
  <c r="AQ979" i="8"/>
  <c r="AQ427" i="8"/>
  <c r="AQ55" i="8"/>
  <c r="AR1128" i="8"/>
  <c r="AR984" i="8"/>
  <c r="AR840" i="8"/>
  <c r="AR816" i="8"/>
  <c r="AR792" i="8"/>
  <c r="AQ768" i="8"/>
  <c r="AR744" i="8"/>
  <c r="AR696" i="8"/>
  <c r="AR672" i="8"/>
  <c r="AR576" i="8"/>
  <c r="AQ480" i="8"/>
  <c r="AR432" i="8"/>
  <c r="AQ384" i="8"/>
  <c r="AQ336" i="8"/>
  <c r="AR288" i="8"/>
  <c r="AQ264" i="8"/>
  <c r="AQ240" i="8"/>
  <c r="AQ192" i="8"/>
  <c r="AQ144" i="8"/>
  <c r="AR120" i="8"/>
  <c r="AR1127" i="8"/>
  <c r="AR1031" i="8"/>
  <c r="AR935" i="8"/>
  <c r="AQ839" i="8"/>
  <c r="AR758" i="8"/>
  <c r="AR439" i="8"/>
  <c r="AR379" i="8"/>
  <c r="AR323" i="8"/>
  <c r="AR259" i="8"/>
  <c r="AR67" i="8"/>
  <c r="AQ1049" i="8"/>
  <c r="AQ974" i="8"/>
  <c r="AQ590" i="8"/>
  <c r="AR539" i="8"/>
  <c r="AQ1046" i="8"/>
  <c r="AQ278" i="8"/>
  <c r="AQ453" i="8"/>
  <c r="AR309" i="8"/>
  <c r="AR141" i="8"/>
  <c r="AR93" i="8"/>
  <c r="AR21" i="8"/>
  <c r="AQ1089" i="8"/>
  <c r="AQ969" i="8"/>
  <c r="AR825" i="8"/>
  <c r="AR705" i="8"/>
  <c r="AR585" i="8"/>
  <c r="AQ561" i="8"/>
  <c r="AR945" i="8"/>
  <c r="AR921" i="8"/>
  <c r="AR873" i="8"/>
  <c r="AQ729" i="8"/>
  <c r="AQ705" i="8"/>
  <c r="AR489" i="8"/>
  <c r="AR345" i="8"/>
  <c r="AQ249" i="8"/>
  <c r="BF926" i="8"/>
  <c r="BG926" i="8" s="1"/>
  <c r="AR806" i="8"/>
  <c r="AR374" i="8"/>
  <c r="AQ275" i="8"/>
  <c r="AQ115" i="8"/>
  <c r="AR1028" i="8"/>
  <c r="AR980" i="8"/>
  <c r="AR956" i="8"/>
  <c r="AQ932" i="8"/>
  <c r="AR884" i="8"/>
  <c r="AQ860" i="8"/>
  <c r="AR740" i="8"/>
  <c r="AR692" i="8"/>
  <c r="AR668" i="8"/>
  <c r="AR644" i="8"/>
  <c r="AR620" i="8"/>
  <c r="AQ572" i="8"/>
  <c r="AR476" i="8"/>
  <c r="AR380" i="8"/>
  <c r="AR332" i="8"/>
  <c r="AR284" i="8"/>
  <c r="AR260" i="8"/>
  <c r="AR164" i="8"/>
  <c r="AR116" i="8"/>
  <c r="AR92" i="8"/>
  <c r="AR44" i="8"/>
  <c r="BF854" i="8"/>
  <c r="BG854" i="8" s="1"/>
  <c r="BF686" i="8"/>
  <c r="BG686" i="8" s="1"/>
  <c r="BF1045" i="8"/>
  <c r="BG1045" i="8" s="1"/>
  <c r="BF925" i="8"/>
  <c r="BG925" i="8" s="1"/>
  <c r="BF469" i="8"/>
  <c r="BG469" i="8" s="1"/>
  <c r="BF229" i="8"/>
  <c r="BG229" i="8" s="1"/>
  <c r="BF157" i="8"/>
  <c r="BG157" i="8" s="1"/>
  <c r="AR1035" i="8"/>
  <c r="AR802" i="8"/>
  <c r="AR799" i="8"/>
  <c r="AQ775" i="8"/>
  <c r="AQ703" i="8"/>
  <c r="AQ631" i="8"/>
  <c r="AQ559" i="8"/>
  <c r="AQ463" i="8"/>
  <c r="AQ391" i="8"/>
  <c r="AR343" i="8"/>
  <c r="AR295" i="8"/>
  <c r="AQ271" i="8"/>
  <c r="AQ247" i="8"/>
  <c r="AR223" i="8"/>
  <c r="AR199" i="8"/>
  <c r="AQ151" i="8"/>
  <c r="AQ31" i="8"/>
  <c r="AR1123" i="8"/>
  <c r="AR1027" i="8"/>
  <c r="AQ1003" i="8"/>
  <c r="AR931" i="8"/>
  <c r="BF542" i="8"/>
  <c r="BG542" i="8" s="1"/>
  <c r="AR801" i="8"/>
  <c r="AR639" i="8"/>
  <c r="AR430" i="8"/>
  <c r="BF782" i="8"/>
  <c r="BG782" i="8" s="1"/>
  <c r="BF1019" i="8"/>
  <c r="BG1019" i="8" s="1"/>
  <c r="BF947" i="8"/>
  <c r="BG947" i="8" s="1"/>
  <c r="BF779" i="8"/>
  <c r="BG779" i="8" s="1"/>
  <c r="BF731" i="8"/>
  <c r="BG731" i="8" s="1"/>
  <c r="BF635" i="8"/>
  <c r="BG635" i="8" s="1"/>
  <c r="BF587" i="8"/>
  <c r="BG587" i="8" s="1"/>
  <c r="BF491" i="8"/>
  <c r="BG491" i="8" s="1"/>
  <c r="BF275" i="8"/>
  <c r="BG275" i="8" s="1"/>
  <c r="BF227" i="8"/>
  <c r="BG227" i="8" s="1"/>
  <c r="BF179" i="8"/>
  <c r="BG179" i="8" s="1"/>
  <c r="BF131" i="8"/>
  <c r="BG131" i="8" s="1"/>
  <c r="AR638" i="8"/>
  <c r="AQ895" i="8"/>
  <c r="AQ497" i="8"/>
  <c r="AQ473" i="8"/>
  <c r="AR401" i="8"/>
  <c r="AR233" i="8"/>
  <c r="AR185" i="8"/>
  <c r="AR1013" i="8"/>
  <c r="AR989" i="8"/>
  <c r="AR965" i="8"/>
  <c r="AQ869" i="8"/>
  <c r="AR845" i="8"/>
  <c r="AQ797" i="8"/>
  <c r="AR677" i="8"/>
  <c r="AQ629" i="8"/>
  <c r="AR605" i="8"/>
  <c r="AQ581" i="8"/>
  <c r="AQ389" i="8"/>
  <c r="AR1109" i="8"/>
  <c r="AR1085" i="8"/>
  <c r="AR1061" i="8"/>
  <c r="AQ845" i="8"/>
  <c r="AR821" i="8"/>
  <c r="AQ725" i="8"/>
  <c r="AR461" i="8"/>
  <c r="AR389" i="8"/>
  <c r="AR269" i="8"/>
  <c r="AQ197" i="8"/>
  <c r="AR53" i="8"/>
  <c r="AQ29" i="8"/>
  <c r="AR864" i="8"/>
  <c r="AR635" i="8"/>
  <c r="AQ1031" i="8"/>
  <c r="AR1120" i="8"/>
  <c r="AR928" i="8"/>
  <c r="AR904" i="8"/>
  <c r="AR760" i="8"/>
  <c r="AQ664" i="8"/>
  <c r="AR616" i="8"/>
  <c r="AR544" i="8"/>
  <c r="AR520" i="8"/>
  <c r="AQ448" i="8"/>
  <c r="AR184" i="8"/>
  <c r="AR1022" i="8"/>
  <c r="AR859" i="8"/>
  <c r="AR470" i="8"/>
  <c r="AQ947" i="8"/>
  <c r="AQ551" i="8"/>
  <c r="AQ19" i="8"/>
  <c r="AQ1119" i="8"/>
  <c r="AQ1047" i="8"/>
  <c r="AQ1023" i="8"/>
  <c r="AQ951" i="8"/>
  <c r="AR927" i="8"/>
  <c r="AR903" i="8"/>
  <c r="AQ879" i="8"/>
  <c r="AQ855" i="8"/>
  <c r="AR831" i="8"/>
  <c r="AR467" i="8"/>
  <c r="AR1130" i="8"/>
  <c r="AR1106" i="8"/>
  <c r="AR1082" i="8"/>
  <c r="AR1058" i="8"/>
  <c r="AR1034" i="8"/>
  <c r="AR1010" i="8"/>
  <c r="AR986" i="8"/>
  <c r="AR962" i="8"/>
  <c r="AR938" i="8"/>
  <c r="AQ914" i="8"/>
  <c r="AQ890" i="8"/>
  <c r="AQ866" i="8"/>
  <c r="AQ842" i="8"/>
  <c r="AQ818" i="8"/>
  <c r="AQ794" i="8"/>
  <c r="AQ770" i="8"/>
  <c r="AQ746" i="8"/>
  <c r="AQ722" i="8"/>
  <c r="AQ698" i="8"/>
  <c r="AQ674" i="8"/>
  <c r="AQ650" i="8"/>
  <c r="AQ626" i="8"/>
  <c r="AQ602" i="8"/>
  <c r="AQ578" i="8"/>
  <c r="AQ554" i="8"/>
  <c r="AR301" i="8"/>
  <c r="AR181" i="8"/>
  <c r="AR109" i="8"/>
  <c r="AQ1009" i="8"/>
  <c r="AR841" i="8"/>
  <c r="AR769" i="8"/>
  <c r="AR889" i="8"/>
  <c r="AR817" i="8"/>
  <c r="AR721" i="8"/>
  <c r="AR385" i="8"/>
  <c r="AQ49" i="8"/>
  <c r="AQ883" i="8"/>
  <c r="AQ1020" i="8"/>
  <c r="AR948" i="8"/>
  <c r="AQ900" i="8"/>
  <c r="AR756" i="8"/>
  <c r="AQ660" i="8"/>
  <c r="AQ612" i="8"/>
  <c r="AQ516" i="8"/>
  <c r="AR492" i="8"/>
  <c r="AQ444" i="8"/>
  <c r="AQ420" i="8"/>
  <c r="AR252" i="8"/>
  <c r="AR180" i="8"/>
  <c r="AQ60" i="8"/>
  <c r="AQ158" i="8"/>
  <c r="AR1115" i="8"/>
  <c r="AQ1043" i="8"/>
  <c r="AR1019" i="8"/>
  <c r="AQ971" i="8"/>
  <c r="AR923" i="8"/>
  <c r="AR827" i="8"/>
  <c r="AR457" i="8"/>
  <c r="AQ155" i="8"/>
  <c r="AR1007" i="8"/>
  <c r="AR731" i="8"/>
  <c r="AQ465" i="8"/>
  <c r="AR393" i="8"/>
  <c r="AR225" i="8"/>
  <c r="AR177" i="8"/>
  <c r="AQ957" i="8"/>
  <c r="AQ933" i="8"/>
  <c r="AR645" i="8"/>
  <c r="AR1029" i="8"/>
  <c r="AR1005" i="8"/>
  <c r="AR957" i="8"/>
  <c r="AR909" i="8"/>
  <c r="AR669" i="8"/>
  <c r="AQ645" i="8"/>
  <c r="AR453" i="8"/>
  <c r="AR381" i="8"/>
  <c r="AR1112" i="8"/>
  <c r="AQ1016" i="8"/>
  <c r="AQ896" i="8"/>
  <c r="AR656" i="8"/>
  <c r="AR536" i="8"/>
  <c r="AR368" i="8"/>
  <c r="AQ296" i="8"/>
  <c r="AQ224" i="8"/>
  <c r="AR176" i="8"/>
  <c r="AR1091" i="8"/>
  <c r="AR830" i="8"/>
  <c r="AQ299" i="8"/>
  <c r="AR1025" i="8"/>
  <c r="AR1001" i="8"/>
  <c r="AR833" i="8"/>
  <c r="AQ785" i="8"/>
  <c r="AR713" i="8"/>
  <c r="AQ281" i="8"/>
  <c r="AQ209" i="8"/>
  <c r="AR1121" i="8"/>
  <c r="AR1097" i="8"/>
  <c r="AR953" i="8"/>
  <c r="AQ833" i="8"/>
  <c r="AQ713" i="8"/>
  <c r="AQ521" i="8"/>
  <c r="AR497" i="8"/>
  <c r="AQ353" i="8"/>
  <c r="AQ329" i="8"/>
  <c r="AQ185" i="8"/>
  <c r="BF1006" i="8"/>
  <c r="BG1006" i="8" s="1"/>
  <c r="BF958" i="8"/>
  <c r="BG958" i="8" s="1"/>
  <c r="BF142" i="8"/>
  <c r="BG142" i="8" s="1"/>
  <c r="BF46" i="8"/>
  <c r="BG46" i="8" s="1"/>
  <c r="AQ607" i="8"/>
  <c r="AR1084" i="8"/>
  <c r="AR1036" i="8"/>
  <c r="AR988" i="8"/>
  <c r="AR940" i="8"/>
  <c r="AR916" i="8"/>
  <c r="AQ892" i="8"/>
  <c r="AR844" i="8"/>
  <c r="AR820" i="8"/>
  <c r="AQ796" i="8"/>
  <c r="AR748" i="8"/>
  <c r="AQ724" i="8"/>
  <c r="AQ604" i="8"/>
  <c r="AR484" i="8"/>
  <c r="AR436" i="8"/>
  <c r="AR388" i="8"/>
  <c r="AQ364" i="8"/>
  <c r="AQ220" i="8"/>
  <c r="AR196" i="8"/>
  <c r="AQ172" i="8"/>
  <c r="AR1083" i="8"/>
  <c r="AQ1011" i="8"/>
  <c r="AR987" i="8"/>
  <c r="AR867" i="8"/>
  <c r="AR972" i="8"/>
  <c r="AQ964" i="8"/>
  <c r="BF980" i="8"/>
  <c r="BG980" i="8" s="1"/>
  <c r="BF576" i="8"/>
  <c r="BG576" i="8" s="1"/>
  <c r="BF288" i="8"/>
  <c r="BG288" i="8" s="1"/>
  <c r="BF720" i="8"/>
  <c r="BG720" i="8" s="1"/>
  <c r="BF432" i="8"/>
  <c r="BG432" i="8" s="1"/>
  <c r="BF104" i="8"/>
  <c r="BG104" i="8" s="1"/>
  <c r="BF888" i="8"/>
  <c r="BG888" i="8" s="1"/>
  <c r="BF544" i="8"/>
  <c r="BG544" i="8" s="1"/>
  <c r="BF168" i="8"/>
  <c r="BG168" i="8" s="1"/>
  <c r="BF984" i="8"/>
  <c r="BG984" i="8" s="1"/>
  <c r="BF468" i="8"/>
  <c r="BG468" i="8" s="1"/>
  <c r="BF1009" i="8"/>
  <c r="BG1009" i="8" s="1"/>
  <c r="BF673" i="8"/>
  <c r="BG673" i="8" s="1"/>
  <c r="BF413" i="8"/>
  <c r="BG413" i="8" s="1"/>
  <c r="BF93" i="8"/>
  <c r="BG93" i="8" s="1"/>
  <c r="BF137" i="8"/>
  <c r="BG137" i="8" s="1"/>
  <c r="BF833" i="8"/>
  <c r="BG833" i="8" s="1"/>
  <c r="BF629" i="8"/>
  <c r="BG629" i="8" s="1"/>
  <c r="BF1080" i="8"/>
  <c r="BG1080" i="8" s="1"/>
  <c r="BF960" i="8"/>
  <c r="BG960" i="8" s="1"/>
  <c r="BF1065" i="8"/>
  <c r="BG1065" i="8" s="1"/>
  <c r="BF221" i="8"/>
  <c r="BG221" i="8" s="1"/>
  <c r="BF169" i="8"/>
  <c r="BG169" i="8" s="1"/>
  <c r="BF105" i="8"/>
  <c r="BG105" i="8" s="1"/>
  <c r="BF249" i="8"/>
  <c r="BG249" i="8" s="1"/>
  <c r="BF481" i="8"/>
  <c r="BG481" i="8" s="1"/>
  <c r="BF913" i="8"/>
  <c r="BG913" i="8" s="1"/>
  <c r="BF753" i="8"/>
  <c r="BG753" i="8" s="1"/>
  <c r="BF593" i="8"/>
  <c r="BG593" i="8" s="1"/>
  <c r="BF445" i="8"/>
  <c r="BG445" i="8" s="1"/>
  <c r="BF333" i="8"/>
  <c r="BG333" i="8" s="1"/>
  <c r="BF297" i="8"/>
  <c r="BG297" i="8" s="1"/>
  <c r="BF320" i="8"/>
  <c r="BG320" i="8" s="1"/>
  <c r="BF240" i="8"/>
  <c r="BG240" i="8" s="1"/>
  <c r="BF72" i="8"/>
  <c r="BG72" i="8" s="1"/>
  <c r="BF952" i="8"/>
  <c r="BG952" i="8" s="1"/>
  <c r="BF808" i="8"/>
  <c r="BG808" i="8" s="1"/>
  <c r="BF704" i="8"/>
  <c r="BG704" i="8" s="1"/>
  <c r="BF624" i="8"/>
  <c r="BG624" i="8" s="1"/>
  <c r="BF792" i="8"/>
  <c r="BG792" i="8" s="1"/>
  <c r="BF680" i="8"/>
  <c r="BG680" i="8" s="1"/>
  <c r="BF480" i="8"/>
  <c r="BG480" i="8" s="1"/>
  <c r="BF136" i="8"/>
  <c r="BG136" i="8" s="1"/>
  <c r="BF286" i="8"/>
  <c r="BG286" i="8" s="1"/>
  <c r="BF677" i="8"/>
  <c r="BG677" i="8" s="1"/>
  <c r="BF359" i="8"/>
  <c r="BG359" i="8" s="1"/>
  <c r="BF303" i="8"/>
  <c r="BG303" i="8" s="1"/>
  <c r="BF287" i="8"/>
  <c r="BG287" i="8" s="1"/>
  <c r="BF255" i="8"/>
  <c r="BG255" i="8" s="1"/>
  <c r="AQ1100" i="8"/>
  <c r="AR1100" i="8"/>
  <c r="AR1088" i="8"/>
  <c r="AQ1088" i="8"/>
  <c r="AQ1060" i="8"/>
  <c r="AR1060" i="8"/>
  <c r="AQ996" i="8"/>
  <c r="AR996" i="8"/>
  <c r="AQ828" i="8"/>
  <c r="AR828" i="8"/>
  <c r="AQ824" i="8"/>
  <c r="AR824" i="8"/>
  <c r="AQ800" i="8"/>
  <c r="AR800" i="8"/>
  <c r="AQ780" i="8"/>
  <c r="AR780" i="8"/>
  <c r="AQ772" i="8"/>
  <c r="AR772" i="8"/>
  <c r="AQ764" i="8"/>
  <c r="AR764" i="8"/>
  <c r="AQ688" i="8"/>
  <c r="AR688" i="8"/>
  <c r="AR592" i="8"/>
  <c r="AQ592" i="8"/>
  <c r="AR556" i="8"/>
  <c r="AQ556" i="8"/>
  <c r="AR472" i="8"/>
  <c r="AQ472" i="8"/>
  <c r="AR464" i="8"/>
  <c r="AQ464" i="8"/>
  <c r="AQ460" i="8"/>
  <c r="AR460" i="8"/>
  <c r="AQ452" i="8"/>
  <c r="AR452" i="8"/>
  <c r="AQ416" i="8"/>
  <c r="AR416" i="8"/>
  <c r="AQ412" i="8"/>
  <c r="AR412" i="8"/>
  <c r="AQ396" i="8"/>
  <c r="AR396" i="8"/>
  <c r="AQ392" i="8"/>
  <c r="AR392" i="8"/>
  <c r="AQ348" i="8"/>
  <c r="AR348" i="8"/>
  <c r="AQ324" i="8"/>
  <c r="AR324" i="8"/>
  <c r="AQ316" i="8"/>
  <c r="AR316" i="8"/>
  <c r="AQ276" i="8"/>
  <c r="AR276" i="8"/>
  <c r="AQ268" i="8"/>
  <c r="AR268" i="8"/>
  <c r="AR244" i="8"/>
  <c r="AQ244" i="8"/>
  <c r="AQ228" i="8"/>
  <c r="AR228" i="8"/>
  <c r="AR200" i="8"/>
  <c r="AQ200" i="8"/>
  <c r="AQ168" i="8"/>
  <c r="AR168" i="8"/>
  <c r="AR104" i="8"/>
  <c r="AQ104" i="8"/>
  <c r="AQ96" i="8"/>
  <c r="AR96" i="8"/>
  <c r="AQ80" i="8"/>
  <c r="AR80" i="8"/>
  <c r="AR56" i="8"/>
  <c r="AQ56" i="8"/>
  <c r="AQ36" i="8"/>
  <c r="AR36" i="8"/>
  <c r="AQ32" i="8"/>
  <c r="AR32" i="8"/>
  <c r="AQ1116" i="8"/>
  <c r="AQ1108" i="8"/>
  <c r="AR1096" i="8"/>
  <c r="AQ1080" i="8"/>
  <c r="AQ1072" i="8"/>
  <c r="AQ1068" i="8"/>
  <c r="AQ1056" i="8"/>
  <c r="AQ1048" i="8"/>
  <c r="AQ1044" i="8"/>
  <c r="AQ1040" i="8"/>
  <c r="AQ1032" i="8"/>
  <c r="AQ1024" i="8"/>
  <c r="AR1004" i="8"/>
  <c r="AQ976" i="8"/>
  <c r="AQ968" i="8"/>
  <c r="AQ960" i="8"/>
  <c r="AQ952" i="8"/>
  <c r="AQ944" i="8"/>
  <c r="AQ936" i="8"/>
  <c r="AQ920" i="8"/>
  <c r="AQ912" i="8"/>
  <c r="AQ880" i="8"/>
  <c r="AQ868" i="8"/>
  <c r="AR852" i="8"/>
  <c r="AR836" i="8"/>
  <c r="AR808" i="8"/>
  <c r="AQ752" i="8"/>
  <c r="AR736" i="8"/>
  <c r="AR728" i="8"/>
  <c r="AR720" i="8"/>
  <c r="AQ712" i="8"/>
  <c r="AQ704" i="8"/>
  <c r="AR680" i="8"/>
  <c r="AQ648" i="8"/>
  <c r="AQ636" i="8"/>
  <c r="AQ624" i="8"/>
  <c r="AR608" i="8"/>
  <c r="AQ584" i="8"/>
  <c r="AQ568" i="8"/>
  <c r="AQ540" i="8"/>
  <c r="AR528" i="8"/>
  <c r="AQ512" i="8"/>
  <c r="AR504" i="8"/>
  <c r="AQ496" i="8"/>
  <c r="AQ488" i="8"/>
  <c r="AR424" i="8"/>
  <c r="AR404" i="8"/>
  <c r="AQ376" i="8"/>
  <c r="AR356" i="8"/>
  <c r="AQ340" i="8"/>
  <c r="AR308" i="8"/>
  <c r="AR300" i="8"/>
  <c r="AQ292" i="8"/>
  <c r="AQ256" i="8"/>
  <c r="AQ248" i="8"/>
  <c r="AR236" i="8"/>
  <c r="AR212" i="8"/>
  <c r="AR204" i="8"/>
  <c r="AR160" i="8"/>
  <c r="AQ148" i="8"/>
  <c r="AR140" i="8"/>
  <c r="AQ132" i="8"/>
  <c r="AR124" i="8"/>
  <c r="AR108" i="8"/>
  <c r="AR88" i="8"/>
  <c r="AR84" i="8"/>
  <c r="AQ72" i="8"/>
  <c r="AR64" i="8"/>
  <c r="AQ48" i="8"/>
  <c r="AR40" i="8"/>
  <c r="AQ28" i="8"/>
  <c r="AR24" i="8"/>
  <c r="AR16" i="8"/>
  <c r="AR1068" i="8"/>
  <c r="AR1020" i="8"/>
  <c r="AR976" i="8"/>
  <c r="AR933" i="8"/>
  <c r="AR896" i="8"/>
  <c r="AR880" i="8"/>
  <c r="AR868" i="8"/>
  <c r="AR860" i="8"/>
  <c r="AR796" i="8"/>
  <c r="AR752" i="8"/>
  <c r="AR709" i="8"/>
  <c r="AR664" i="8"/>
  <c r="AR516" i="8"/>
  <c r="AR376" i="8"/>
  <c r="AR292" i="8"/>
  <c r="AR132" i="8"/>
  <c r="AR48" i="8"/>
  <c r="AR28" i="8"/>
  <c r="AQ1096" i="8"/>
  <c r="AQ1036" i="8"/>
  <c r="AQ988" i="8"/>
  <c r="AQ852" i="8"/>
  <c r="AQ816" i="8"/>
  <c r="AQ672" i="8"/>
  <c r="AQ656" i="8"/>
  <c r="AQ536" i="8"/>
  <c r="AQ504" i="8"/>
  <c r="AQ308" i="8"/>
  <c r="AQ180" i="8"/>
  <c r="AQ777" i="8"/>
  <c r="AR777" i="8"/>
  <c r="AQ689" i="8"/>
  <c r="AR689" i="8"/>
  <c r="AQ533" i="8"/>
  <c r="AR533" i="8"/>
  <c r="AQ273" i="8"/>
  <c r="AR273" i="8"/>
  <c r="AR217" i="8"/>
  <c r="AQ217" i="8"/>
  <c r="AQ205" i="8"/>
  <c r="AR205" i="8"/>
  <c r="AQ201" i="8"/>
  <c r="AR201" i="8"/>
  <c r="AQ193" i="8"/>
  <c r="AR193" i="8"/>
  <c r="AR173" i="8"/>
  <c r="AQ173" i="8"/>
  <c r="AQ157" i="8"/>
  <c r="AR157" i="8"/>
  <c r="AQ145" i="8"/>
  <c r="AR145" i="8"/>
  <c r="AQ137" i="8"/>
  <c r="AR137" i="8"/>
  <c r="AR125" i="8"/>
  <c r="AQ125" i="8"/>
  <c r="AR968" i="8"/>
  <c r="AR960" i="8"/>
  <c r="AR952" i="8"/>
  <c r="AR944" i="8"/>
  <c r="AR936" i="8"/>
  <c r="AR920" i="8"/>
  <c r="AR496" i="8"/>
  <c r="AR488" i="8"/>
  <c r="AR384" i="8"/>
  <c r="AR336" i="8"/>
  <c r="AR192" i="8"/>
  <c r="AR72" i="8"/>
  <c r="AQ984" i="8"/>
  <c r="AQ844" i="8"/>
  <c r="AQ736" i="8"/>
  <c r="AQ728" i="8"/>
  <c r="AQ520" i="8"/>
  <c r="AQ436" i="8"/>
  <c r="AQ204" i="8"/>
  <c r="AQ184" i="8"/>
  <c r="AQ108" i="8"/>
  <c r="AQ24" i="8"/>
  <c r="AQ1121" i="8"/>
  <c r="AQ1113" i="8"/>
  <c r="AQ1109" i="8"/>
  <c r="AQ1101" i="8"/>
  <c r="AQ1073" i="8"/>
  <c r="AQ1061" i="8"/>
  <c r="AQ1057" i="8"/>
  <c r="AQ1013" i="8"/>
  <c r="AQ993" i="8"/>
  <c r="AQ973" i="8"/>
  <c r="AQ961" i="8"/>
  <c r="AQ953" i="8"/>
  <c r="AQ929" i="8"/>
  <c r="AQ925" i="8"/>
  <c r="AQ921" i="8"/>
  <c r="AQ873" i="8"/>
  <c r="AQ849" i="8"/>
  <c r="AQ825" i="8"/>
  <c r="AQ805" i="8"/>
  <c r="AQ793" i="8"/>
  <c r="AQ789" i="8"/>
  <c r="AR785" i="8"/>
  <c r="AR781" i="8"/>
  <c r="AQ765" i="8"/>
  <c r="AQ741" i="8"/>
  <c r="AR737" i="8"/>
  <c r="AR733" i="8"/>
  <c r="AR729" i="8"/>
  <c r="AR685" i="8"/>
  <c r="AR681" i="8"/>
  <c r="AQ677" i="8"/>
  <c r="AR653" i="8"/>
  <c r="AR629" i="8"/>
  <c r="AQ621" i="8"/>
  <c r="AR609" i="8"/>
  <c r="AR597" i="8"/>
  <c r="AR593" i="8"/>
  <c r="AR589" i="8"/>
  <c r="AQ585" i="8"/>
  <c r="AR557" i="8"/>
  <c r="AR553" i="8"/>
  <c r="AQ545" i="8"/>
  <c r="AR529" i="8"/>
  <c r="AQ513" i="8"/>
  <c r="AR509" i="8"/>
  <c r="AR505" i="8"/>
  <c r="AR501" i="8"/>
  <c r="AQ485" i="8"/>
  <c r="AR473" i="8"/>
  <c r="AR469" i="8"/>
  <c r="AR465" i="8"/>
  <c r="AQ429" i="8"/>
  <c r="AR425" i="8"/>
  <c r="AR421" i="8"/>
  <c r="AR417" i="8"/>
  <c r="AR365" i="8"/>
  <c r="AQ361" i="8"/>
  <c r="AQ341" i="8"/>
  <c r="AR329" i="8"/>
  <c r="AR325" i="8"/>
  <c r="AR321" i="8"/>
  <c r="AQ317" i="8"/>
  <c r="AR281" i="8"/>
  <c r="AR277" i="8"/>
  <c r="AQ257" i="8"/>
  <c r="AR245" i="8"/>
  <c r="AR241" i="8"/>
  <c r="AR237" i="8"/>
  <c r="AQ233" i="8"/>
  <c r="AR221" i="8"/>
  <c r="AR213" i="8"/>
  <c r="AR189" i="8"/>
  <c r="AQ181" i="8"/>
  <c r="AQ177" i="8"/>
  <c r="AR169" i="8"/>
  <c r="AR165" i="8"/>
  <c r="AR161" i="8"/>
  <c r="AQ153" i="8"/>
  <c r="AR149" i="8"/>
  <c r="AR133" i="8"/>
  <c r="AR129" i="8"/>
  <c r="AR121" i="8"/>
  <c r="AR117" i="8"/>
  <c r="AR113" i="8"/>
  <c r="AR101" i="8"/>
  <c r="AR89" i="8"/>
  <c r="AR85" i="8"/>
  <c r="AR81" i="8"/>
  <c r="AR77" i="8"/>
  <c r="AR73" i="8"/>
  <c r="AR69" i="8"/>
  <c r="AR57" i="8"/>
  <c r="AR45" i="8"/>
  <c r="AR1077" i="8"/>
  <c r="AR1073" i="8"/>
  <c r="AR1069" i="8"/>
  <c r="AR1065" i="8"/>
  <c r="AQ997" i="8"/>
  <c r="AQ985" i="8"/>
  <c r="AR981" i="8"/>
  <c r="AQ977" i="8"/>
  <c r="AR973" i="8"/>
  <c r="AR969" i="8"/>
  <c r="AQ965" i="8"/>
  <c r="AQ941" i="8"/>
  <c r="AQ905" i="8"/>
  <c r="AQ901" i="8"/>
  <c r="AQ897" i="8"/>
  <c r="AQ893" i="8"/>
  <c r="AQ885" i="8"/>
  <c r="AQ865" i="8"/>
  <c r="AR861" i="8"/>
  <c r="AQ817" i="8"/>
  <c r="AQ809" i="8"/>
  <c r="AQ781" i="8"/>
  <c r="AQ769" i="8"/>
  <c r="AR745" i="8"/>
  <c r="AR741" i="8"/>
  <c r="AR701" i="8"/>
  <c r="AR693" i="8"/>
  <c r="AQ681" i="8"/>
  <c r="AQ665" i="8"/>
  <c r="AQ661" i="8"/>
  <c r="AQ657" i="8"/>
  <c r="AQ653" i="8"/>
  <c r="AR641" i="8"/>
  <c r="AR637" i="8"/>
  <c r="AR633" i="8"/>
  <c r="AQ617" i="8"/>
  <c r="AQ613" i="8"/>
  <c r="AQ609" i="8"/>
  <c r="AQ605" i="8"/>
  <c r="AQ597" i="8"/>
  <c r="AR581" i="8"/>
  <c r="AQ577" i="8"/>
  <c r="AR561" i="8"/>
  <c r="AR545" i="8"/>
  <c r="AR541" i="8"/>
  <c r="AQ537" i="8"/>
  <c r="AR521" i="8"/>
  <c r="AQ517" i="8"/>
  <c r="AR513" i="8"/>
  <c r="AQ505" i="8"/>
  <c r="AQ501" i="8"/>
  <c r="AQ489" i="8"/>
  <c r="AR485" i="8"/>
  <c r="AR481" i="8"/>
  <c r="AQ477" i="8"/>
  <c r="AQ449" i="8"/>
  <c r="AQ445" i="8"/>
  <c r="AQ441" i="8"/>
  <c r="AQ437" i="8"/>
  <c r="AR433" i="8"/>
  <c r="AR429" i="8"/>
  <c r="AQ345" i="8"/>
  <c r="AQ333" i="8"/>
  <c r="AQ321" i="8"/>
  <c r="AQ309" i="8"/>
  <c r="AR285" i="8"/>
  <c r="AQ277" i="8"/>
  <c r="AQ265" i="8"/>
  <c r="AR257" i="8"/>
  <c r="AR253" i="8"/>
  <c r="AR249" i="8"/>
  <c r="AQ1008" i="8"/>
  <c r="AR1008" i="8"/>
  <c r="AQ1000" i="8"/>
  <c r="AR1000" i="8"/>
  <c r="AQ992" i="8"/>
  <c r="AR992" i="8"/>
  <c r="AR908" i="8"/>
  <c r="AQ908" i="8"/>
  <c r="AQ872" i="8"/>
  <c r="AR872" i="8"/>
  <c r="AR856" i="8"/>
  <c r="AQ856" i="8"/>
  <c r="AQ848" i="8"/>
  <c r="AR848" i="8"/>
  <c r="AQ832" i="8"/>
  <c r="AR832" i="8"/>
  <c r="AQ804" i="8"/>
  <c r="AR804" i="8"/>
  <c r="AQ784" i="8"/>
  <c r="AR784" i="8"/>
  <c r="AQ776" i="8"/>
  <c r="AR776" i="8"/>
  <c r="AQ716" i="8"/>
  <c r="AR716" i="8"/>
  <c r="AQ684" i="8"/>
  <c r="AR684" i="8"/>
  <c r="AQ676" i="8"/>
  <c r="AR676" i="8"/>
  <c r="AR628" i="8"/>
  <c r="AQ628" i="8"/>
  <c r="AQ532" i="8"/>
  <c r="AR532" i="8"/>
  <c r="AR508" i="8"/>
  <c r="AQ508" i="8"/>
  <c r="AR468" i="8"/>
  <c r="AQ468" i="8"/>
  <c r="AQ400" i="8"/>
  <c r="AR400" i="8"/>
  <c r="AQ360" i="8"/>
  <c r="AR360" i="8"/>
  <c r="AQ352" i="8"/>
  <c r="AR352" i="8"/>
  <c r="AQ344" i="8"/>
  <c r="AR344" i="8"/>
  <c r="AQ328" i="8"/>
  <c r="AR328" i="8"/>
  <c r="AQ320" i="8"/>
  <c r="AR320" i="8"/>
  <c r="AQ304" i="8"/>
  <c r="AR304" i="8"/>
  <c r="AQ280" i="8"/>
  <c r="AR280" i="8"/>
  <c r="AQ272" i="8"/>
  <c r="AR272" i="8"/>
  <c r="AQ216" i="8"/>
  <c r="AR216" i="8"/>
  <c r="AQ208" i="8"/>
  <c r="AR208" i="8"/>
  <c r="AQ156" i="8"/>
  <c r="AR156" i="8"/>
  <c r="AQ152" i="8"/>
  <c r="AR152" i="8"/>
  <c r="AR112" i="8"/>
  <c r="AQ112" i="8"/>
  <c r="AR100" i="8"/>
  <c r="AQ100" i="8"/>
  <c r="AQ52" i="8"/>
  <c r="AR52" i="8"/>
  <c r="AR564" i="8"/>
  <c r="AQ1120" i="8"/>
  <c r="AQ1112" i="8"/>
  <c r="AR1104" i="8"/>
  <c r="AR1092" i="8"/>
  <c r="AQ1076" i="8"/>
  <c r="AQ1012" i="8"/>
  <c r="AQ972" i="8"/>
  <c r="AR964" i="8"/>
  <c r="AQ948" i="8"/>
  <c r="AQ940" i="8"/>
  <c r="AQ928" i="8"/>
  <c r="AQ924" i="8"/>
  <c r="AR892" i="8"/>
  <c r="AQ820" i="8"/>
  <c r="AQ792" i="8"/>
  <c r="AR768" i="8"/>
  <c r="AQ748" i="8"/>
  <c r="AQ740" i="8"/>
  <c r="AR732" i="8"/>
  <c r="AR724" i="8"/>
  <c r="AQ708" i="8"/>
  <c r="AQ700" i="8"/>
  <c r="AR652" i="8"/>
  <c r="AQ640" i="8"/>
  <c r="AQ632" i="8"/>
  <c r="AR604" i="8"/>
  <c r="AR596" i="8"/>
  <c r="AQ580" i="8"/>
  <c r="AQ560" i="8"/>
  <c r="AR552" i="8"/>
  <c r="AQ544" i="8"/>
  <c r="AQ492" i="8"/>
  <c r="AQ484" i="8"/>
  <c r="AR456" i="8"/>
  <c r="AQ428" i="8"/>
  <c r="AR420" i="8"/>
  <c r="AR408" i="8"/>
  <c r="AQ388" i="8"/>
  <c r="AQ372" i="8"/>
  <c r="AR364" i="8"/>
  <c r="AR312" i="8"/>
  <c r="AR296" i="8"/>
  <c r="AQ288" i="8"/>
  <c r="AR264" i="8"/>
  <c r="AQ252" i="8"/>
  <c r="AR240" i="8"/>
  <c r="AR232" i="8"/>
  <c r="AR224" i="8"/>
  <c r="AQ196" i="8"/>
  <c r="AR188" i="8"/>
  <c r="AR172" i="8"/>
  <c r="AR144" i="8"/>
  <c r="AQ136" i="8"/>
  <c r="AQ120" i="8"/>
  <c r="AQ76" i="8"/>
  <c r="AR68" i="8"/>
  <c r="AR60" i="8"/>
  <c r="AR20" i="8"/>
  <c r="AR1108" i="8"/>
  <c r="AR1076" i="8"/>
  <c r="AR636" i="8"/>
  <c r="AR1116" i="8"/>
  <c r="AR1072" i="8"/>
  <c r="AR1024" i="8"/>
  <c r="AR1012" i="8"/>
  <c r="AR932" i="8"/>
  <c r="AR712" i="8"/>
  <c r="AR708" i="8"/>
  <c r="AR704" i="8"/>
  <c r="AR632" i="8"/>
  <c r="AR584" i="8"/>
  <c r="AR560" i="8"/>
  <c r="AR353" i="8"/>
  <c r="AR248" i="8"/>
  <c r="AR220" i="8"/>
  <c r="AR148" i="8"/>
  <c r="AR136" i="8"/>
  <c r="AR37" i="8"/>
  <c r="AQ680" i="8"/>
  <c r="AQ608" i="8"/>
  <c r="AQ424" i="8"/>
  <c r="AQ312" i="8"/>
  <c r="AQ160" i="8"/>
  <c r="AQ124" i="8"/>
  <c r="AR195" i="8"/>
  <c r="AR191" i="8"/>
  <c r="AR187" i="8"/>
  <c r="AR147" i="8"/>
  <c r="AR143" i="8"/>
  <c r="AR139" i="8"/>
  <c r="AR99" i="8"/>
  <c r="AR95" i="8"/>
  <c r="AR91" i="8"/>
  <c r="AR51" i="8"/>
  <c r="AR47" i="8"/>
  <c r="AR43" i="8"/>
  <c r="AQ1087" i="8"/>
  <c r="AQ1083" i="8"/>
  <c r="AQ1071" i="8"/>
  <c r="AQ1067" i="8"/>
  <c r="AQ1063" i="8"/>
  <c r="AQ1051" i="8"/>
  <c r="AQ987" i="8"/>
  <c r="AQ983" i="8"/>
  <c r="AQ963" i="8"/>
  <c r="AQ959" i="8"/>
  <c r="AQ935" i="8"/>
  <c r="AQ931" i="8"/>
  <c r="AQ911" i="8"/>
  <c r="AQ907" i="8"/>
  <c r="AQ871" i="8"/>
  <c r="AQ867" i="8"/>
  <c r="AQ847" i="8"/>
  <c r="AQ823" i="8"/>
  <c r="AQ819" i="8"/>
  <c r="AQ807" i="8"/>
  <c r="AQ803" i="8"/>
  <c r="AQ799" i="8"/>
  <c r="AQ795" i="8"/>
  <c r="AQ767" i="8"/>
  <c r="AQ763" i="8"/>
  <c r="AQ679" i="8"/>
  <c r="AQ675" i="8"/>
  <c r="AQ667" i="8"/>
  <c r="AQ643" i="8"/>
  <c r="AQ619" i="8"/>
  <c r="AQ583" i="8"/>
  <c r="AQ579" i="8"/>
  <c r="AQ535" i="8"/>
  <c r="AQ531" i="8"/>
  <c r="AQ519" i="8"/>
  <c r="AQ515" i="8"/>
  <c r="AQ511" i="8"/>
  <c r="AQ507" i="8"/>
  <c r="AQ479" i="8"/>
  <c r="AQ475" i="8"/>
  <c r="AQ455" i="8"/>
  <c r="AQ451" i="8"/>
  <c r="AQ431" i="8"/>
  <c r="AQ403" i="8"/>
  <c r="AQ263" i="8"/>
  <c r="AQ235" i="8"/>
  <c r="AQ203" i="8"/>
  <c r="AQ199" i="8"/>
  <c r="AQ195" i="8"/>
  <c r="AQ143" i="8"/>
  <c r="AQ131" i="8"/>
  <c r="AQ127" i="8"/>
  <c r="AQ123" i="8"/>
  <c r="AR29" i="8"/>
  <c r="AR25" i="8"/>
  <c r="AQ1125" i="8"/>
  <c r="AQ1097" i="8"/>
  <c r="AQ1093" i="8"/>
  <c r="AQ1037" i="8"/>
  <c r="AQ1033" i="8"/>
  <c r="AQ1025" i="8"/>
  <c r="AQ1021" i="8"/>
  <c r="AQ1017" i="8"/>
  <c r="AQ917" i="8"/>
  <c r="AQ881" i="8"/>
  <c r="AQ877" i="8"/>
  <c r="AQ857" i="8"/>
  <c r="AQ853" i="8"/>
  <c r="AQ841" i="8"/>
  <c r="AQ813" i="8"/>
  <c r="AQ753" i="8"/>
  <c r="AQ749" i="8"/>
  <c r="AQ737" i="8"/>
  <c r="AQ733" i="8"/>
  <c r="AQ717" i="8"/>
  <c r="AQ697" i="8"/>
  <c r="AQ649" i="8"/>
  <c r="AQ593" i="8"/>
  <c r="AQ589" i="8"/>
  <c r="AQ569" i="8"/>
  <c r="AQ565" i="8"/>
  <c r="AQ553" i="8"/>
  <c r="AQ525" i="8"/>
  <c r="AQ425" i="8"/>
  <c r="AQ421" i="8"/>
  <c r="AQ417" i="8"/>
  <c r="AQ413" i="8"/>
  <c r="AQ385" i="8"/>
  <c r="AQ377" i="8"/>
  <c r="AQ373" i="8"/>
  <c r="AQ369" i="8"/>
  <c r="AQ365" i="8"/>
  <c r="AQ305" i="8"/>
  <c r="AQ301" i="8"/>
  <c r="AQ297" i="8"/>
  <c r="AQ293" i="8"/>
  <c r="AQ241" i="8"/>
  <c r="AQ229" i="8"/>
  <c r="AQ225" i="8"/>
  <c r="AQ221" i="8"/>
  <c r="AQ169" i="8"/>
  <c r="AQ161" i="8"/>
  <c r="AQ109" i="8"/>
  <c r="AQ105" i="8"/>
  <c r="AQ101" i="8"/>
  <c r="AQ85" i="8"/>
  <c r="AQ81" i="8"/>
  <c r="AQ77" i="8"/>
  <c r="AQ61" i="8"/>
  <c r="AQ57" i="8"/>
  <c r="AQ53" i="8"/>
  <c r="AQ25" i="8"/>
  <c r="BF1129" i="8"/>
  <c r="BG1129" i="8" s="1"/>
  <c r="BF1093" i="8"/>
  <c r="BG1093" i="8" s="1"/>
  <c r="BF1061" i="8"/>
  <c r="BG1061" i="8" s="1"/>
  <c r="BF1033" i="8"/>
  <c r="BG1033" i="8" s="1"/>
  <c r="BF1021" i="8"/>
  <c r="BG1021" i="8" s="1"/>
  <c r="BF973" i="8"/>
  <c r="BG973" i="8" s="1"/>
  <c r="BF961" i="8"/>
  <c r="BG961" i="8" s="1"/>
  <c r="BF949" i="8"/>
  <c r="BG949" i="8" s="1"/>
  <c r="BF937" i="8"/>
  <c r="BG937" i="8" s="1"/>
  <c r="BF905" i="8"/>
  <c r="BG905" i="8" s="1"/>
  <c r="BF877" i="8"/>
  <c r="BG877" i="8" s="1"/>
  <c r="BF781" i="8"/>
  <c r="BG781" i="8" s="1"/>
  <c r="BF737" i="8"/>
  <c r="BG737" i="8" s="1"/>
  <c r="BF725" i="8"/>
  <c r="BG725" i="8" s="1"/>
  <c r="BF693" i="8"/>
  <c r="BG693" i="8" s="1"/>
  <c r="BF689" i="8"/>
  <c r="BG689" i="8" s="1"/>
  <c r="BF661" i="8"/>
  <c r="BG661" i="8" s="1"/>
  <c r="BF645" i="8"/>
  <c r="BG645" i="8" s="1"/>
  <c r="BF633" i="8"/>
  <c r="BG633" i="8" s="1"/>
  <c r="BF621" i="8"/>
  <c r="BG621" i="8" s="1"/>
  <c r="BF609" i="8"/>
  <c r="BG609" i="8" s="1"/>
  <c r="BF565" i="8"/>
  <c r="BG565" i="8" s="1"/>
  <c r="BF553" i="8"/>
  <c r="BG553" i="8" s="1"/>
  <c r="BF529" i="8"/>
  <c r="BG529" i="8" s="1"/>
  <c r="BF505" i="8"/>
  <c r="BG505" i="8" s="1"/>
  <c r="BF493" i="8"/>
  <c r="BG493" i="8" s="1"/>
  <c r="BF461" i="8"/>
  <c r="BG461" i="8" s="1"/>
  <c r="BF449" i="8"/>
  <c r="BG449" i="8" s="1"/>
  <c r="BF437" i="8"/>
  <c r="BG437" i="8" s="1"/>
  <c r="BF417" i="8"/>
  <c r="BG417" i="8" s="1"/>
  <c r="BF393" i="8"/>
  <c r="BG393" i="8" s="1"/>
  <c r="BF385" i="8"/>
  <c r="BG385" i="8" s="1"/>
  <c r="BF361" i="8"/>
  <c r="BG361" i="8" s="1"/>
  <c r="BF353" i="8"/>
  <c r="BG353" i="8" s="1"/>
  <c r="BF337" i="8"/>
  <c r="BG337" i="8" s="1"/>
  <c r="BF325" i="8"/>
  <c r="BG325" i="8" s="1"/>
  <c r="BF293" i="8"/>
  <c r="BG293" i="8" s="1"/>
  <c r="BF277" i="8"/>
  <c r="BG277" i="8" s="1"/>
  <c r="BF265" i="8"/>
  <c r="BG265" i="8" s="1"/>
  <c r="BF241" i="8"/>
  <c r="BG241" i="8" s="1"/>
  <c r="BF233" i="8"/>
  <c r="BG233" i="8" s="1"/>
  <c r="BF205" i="8"/>
  <c r="BG205" i="8" s="1"/>
  <c r="BF189" i="8"/>
  <c r="BG189" i="8" s="1"/>
  <c r="BF177" i="8"/>
  <c r="BG177" i="8" s="1"/>
  <c r="BF165" i="8"/>
  <c r="BG165" i="8" s="1"/>
  <c r="BF153" i="8"/>
  <c r="BG153" i="8" s="1"/>
  <c r="BF121" i="8"/>
  <c r="BG121" i="8" s="1"/>
  <c r="BF113" i="8"/>
  <c r="BG113" i="8" s="1"/>
  <c r="BF85" i="8"/>
  <c r="BG85" i="8" s="1"/>
  <c r="BF73" i="8"/>
  <c r="BG73" i="8" s="1"/>
  <c r="BF61" i="8"/>
  <c r="BG61" i="8" s="1"/>
  <c r="BF49" i="8"/>
  <c r="BG49" i="8" s="1"/>
  <c r="BF37" i="8"/>
  <c r="BG37" i="8" s="1"/>
  <c r="AR1119" i="8"/>
  <c r="AR1037" i="8"/>
  <c r="AR1023" i="8"/>
  <c r="AR977" i="8"/>
  <c r="AR941" i="8"/>
  <c r="AR897" i="8"/>
  <c r="AR749" i="8"/>
  <c r="AR719" i="8"/>
  <c r="AR697" i="8"/>
  <c r="AR665" i="8"/>
  <c r="AR661" i="8"/>
  <c r="AR657" i="8"/>
  <c r="AR617" i="8"/>
  <c r="AR613" i="8"/>
  <c r="AR577" i="8"/>
  <c r="AR537" i="8"/>
  <c r="AR517" i="8"/>
  <c r="AR477" i="8"/>
  <c r="AR459" i="8"/>
  <c r="AR437" i="8"/>
  <c r="AR411" i="8"/>
  <c r="AR399" i="8"/>
  <c r="AR395" i="8"/>
  <c r="AR391" i="8"/>
  <c r="AR377" i="8"/>
  <c r="AR373" i="8"/>
  <c r="AR369" i="8"/>
  <c r="AR359" i="8"/>
  <c r="AR333" i="8"/>
  <c r="AR315" i="8"/>
  <c r="AR303" i="8"/>
  <c r="AR231" i="8"/>
  <c r="AR227" i="8"/>
  <c r="AR167" i="8"/>
  <c r="AR111" i="8"/>
  <c r="AR39" i="8"/>
  <c r="AR35" i="8"/>
  <c r="AR31" i="8"/>
  <c r="AQ1114" i="8"/>
  <c r="AR1110" i="8"/>
  <c r="AQ1090" i="8"/>
  <c r="AR1086" i="8"/>
  <c r="AR1062" i="8"/>
  <c r="AR1038" i="8"/>
  <c r="AR1014" i="8"/>
  <c r="AR990" i="8"/>
  <c r="AR966" i="8"/>
  <c r="AR942" i="8"/>
  <c r="AR918" i="8"/>
  <c r="AR894" i="8"/>
  <c r="AR870" i="8"/>
  <c r="AQ850" i="8"/>
  <c r="AR846" i="8"/>
  <c r="AR822" i="8"/>
  <c r="AR798" i="8"/>
  <c r="AR774" i="8"/>
  <c r="AR750" i="8"/>
  <c r="AQ730" i="8"/>
  <c r="AR726" i="8"/>
  <c r="AQ706" i="8"/>
  <c r="AR702" i="8"/>
  <c r="AR678" i="8"/>
  <c r="AR654" i="8"/>
  <c r="AR630" i="8"/>
  <c r="AR606" i="8"/>
  <c r="AR582" i="8"/>
  <c r="AR558" i="8"/>
  <c r="AR534" i="8"/>
  <c r="AR510" i="8"/>
  <c r="AR486" i="8"/>
  <c r="AR462" i="8"/>
  <c r="AR438" i="8"/>
  <c r="AR414" i="8"/>
  <c r="AR390" i="8"/>
  <c r="AR366" i="8"/>
  <c r="AR342" i="8"/>
  <c r="AR318" i="8"/>
  <c r="AR294" i="8"/>
  <c r="AR270" i="8"/>
  <c r="AR246" i="8"/>
  <c r="AR222" i="8"/>
  <c r="AR198" i="8"/>
  <c r="AR174" i="8"/>
  <c r="AR150" i="8"/>
  <c r="AR126" i="8"/>
  <c r="AR102" i="8"/>
  <c r="AR78" i="8"/>
  <c r="AR54" i="8"/>
  <c r="AR30" i="8"/>
  <c r="BF878" i="8"/>
  <c r="BG878" i="8" s="1"/>
  <c r="BF834" i="8"/>
  <c r="BG834" i="8" s="1"/>
  <c r="BF406" i="8"/>
  <c r="BG406" i="8" s="1"/>
  <c r="BF62" i="8"/>
  <c r="BG62" i="8" s="1"/>
  <c r="BF807" i="8"/>
  <c r="BG807" i="8" s="1"/>
  <c r="BF742" i="8"/>
  <c r="BG742" i="8" s="1"/>
  <c r="BF374" i="8"/>
  <c r="BG374" i="8" s="1"/>
  <c r="BF1094" i="8"/>
  <c r="BG1094" i="8" s="1"/>
  <c r="BF1046" i="8"/>
  <c r="BG1046" i="8" s="1"/>
  <c r="BF674" i="8"/>
  <c r="BG674" i="8" s="1"/>
  <c r="BF506" i="8"/>
  <c r="BG506" i="8" s="1"/>
  <c r="BF494" i="8"/>
  <c r="BG494" i="8" s="1"/>
  <c r="BF450" i="8"/>
  <c r="BG450" i="8" s="1"/>
  <c r="BF334" i="8"/>
  <c r="BG334" i="8" s="1"/>
  <c r="BF266" i="8"/>
  <c r="BG266" i="8" s="1"/>
  <c r="BF122" i="8"/>
  <c r="BG122" i="8" s="1"/>
  <c r="BF86" i="8"/>
  <c r="BG86" i="8" s="1"/>
  <c r="BF1119" i="8"/>
  <c r="BG1119" i="8" s="1"/>
  <c r="BF899" i="8"/>
  <c r="BG899" i="8" s="1"/>
  <c r="BF755" i="8"/>
  <c r="BG755" i="8" s="1"/>
  <c r="BF707" i="8"/>
  <c r="BG707" i="8" s="1"/>
  <c r="BF615" i="8"/>
  <c r="BG615" i="8" s="1"/>
  <c r="BF335" i="8"/>
  <c r="BG335" i="8" s="1"/>
  <c r="BF83" i="8"/>
  <c r="BG83" i="8" s="1"/>
  <c r="BF1130" i="8"/>
  <c r="BG1130" i="8" s="1"/>
  <c r="BF850" i="8"/>
  <c r="BG850" i="8" s="1"/>
  <c r="BF802" i="8"/>
  <c r="BG802" i="8" s="1"/>
  <c r="BF770" i="8"/>
  <c r="BG770" i="8" s="1"/>
  <c r="BF646" i="8"/>
  <c r="BG646" i="8" s="1"/>
  <c r="BF394" i="8"/>
  <c r="BG394" i="8" s="1"/>
  <c r="BF338" i="8"/>
  <c r="BG338" i="8" s="1"/>
  <c r="BF190" i="8"/>
  <c r="BG190" i="8" s="1"/>
  <c r="BF50" i="8"/>
  <c r="BG50" i="8" s="1"/>
  <c r="BF863" i="8"/>
  <c r="BG863" i="8" s="1"/>
  <c r="BF659" i="8"/>
  <c r="BG659" i="8" s="1"/>
  <c r="BF575" i="8"/>
  <c r="BG575" i="8" s="1"/>
  <c r="BF543" i="8"/>
  <c r="BG543" i="8" s="1"/>
  <c r="BF471" i="8"/>
  <c r="BG471" i="8" s="1"/>
  <c r="BF447" i="8"/>
  <c r="BG447" i="8" s="1"/>
  <c r="BF431" i="8"/>
  <c r="BG431" i="8" s="1"/>
  <c r="BF371" i="8"/>
  <c r="BG371" i="8" s="1"/>
  <c r="BF347" i="8"/>
  <c r="BG347" i="8" s="1"/>
  <c r="BF323" i="8"/>
  <c r="BG323" i="8" s="1"/>
  <c r="BF159" i="8"/>
  <c r="BG159" i="8" s="1"/>
  <c r="BF95" i="8"/>
  <c r="BG95" i="8" s="1"/>
  <c r="BF1118" i="8"/>
  <c r="BG1118" i="8" s="1"/>
  <c r="BF1078" i="8"/>
  <c r="BG1078" i="8" s="1"/>
  <c r="BF994" i="8"/>
  <c r="BG994" i="8" s="1"/>
  <c r="BF970" i="8"/>
  <c r="BG970" i="8" s="1"/>
  <c r="BF922" i="8"/>
  <c r="BG922" i="8" s="1"/>
  <c r="BF886" i="8"/>
  <c r="BG886" i="8" s="1"/>
  <c r="BF862" i="8"/>
  <c r="BG862" i="8" s="1"/>
  <c r="BF842" i="8"/>
  <c r="BG842" i="8" s="1"/>
  <c r="BF790" i="8"/>
  <c r="BG790" i="8" s="1"/>
  <c r="BF766" i="8"/>
  <c r="BG766" i="8" s="1"/>
  <c r="BF562" i="8"/>
  <c r="BG562" i="8" s="1"/>
  <c r="BF550" i="8"/>
  <c r="BG550" i="8" s="1"/>
  <c r="BF518" i="8"/>
  <c r="BG518" i="8" s="1"/>
  <c r="BF382" i="8"/>
  <c r="BG382" i="8" s="1"/>
  <c r="BF314" i="8"/>
  <c r="BG314" i="8" s="1"/>
  <c r="BF282" i="8"/>
  <c r="BG282" i="8" s="1"/>
  <c r="BF218" i="8"/>
  <c r="BG218" i="8" s="1"/>
  <c r="BF202" i="8"/>
  <c r="BG202" i="8" s="1"/>
  <c r="BF110" i="8"/>
  <c r="BG110" i="8" s="1"/>
  <c r="BF94" i="8"/>
  <c r="BG94" i="8" s="1"/>
  <c r="BF22" i="8"/>
  <c r="BG22" i="8" s="1"/>
  <c r="BF1126" i="8"/>
  <c r="BG1126" i="8" s="1"/>
  <c r="BF1090" i="8"/>
  <c r="BG1090" i="8" s="1"/>
  <c r="BF1074" i="8"/>
  <c r="BG1074" i="8" s="1"/>
  <c r="BF1058" i="8"/>
  <c r="BG1058" i="8" s="1"/>
  <c r="BF1034" i="8"/>
  <c r="BG1034" i="8" s="1"/>
  <c r="BF1022" i="8"/>
  <c r="BG1022" i="8" s="1"/>
  <c r="BF986" i="8"/>
  <c r="BG986" i="8" s="1"/>
  <c r="BF974" i="8"/>
  <c r="BG974" i="8" s="1"/>
  <c r="BF962" i="8"/>
  <c r="BG962" i="8" s="1"/>
  <c r="BF950" i="8"/>
  <c r="BG950" i="8" s="1"/>
  <c r="BF934" i="8"/>
  <c r="BG934" i="8" s="1"/>
  <c r="BF914" i="8"/>
  <c r="BG914" i="8" s="1"/>
  <c r="BF890" i="8"/>
  <c r="BG890" i="8" s="1"/>
  <c r="BF830" i="8"/>
  <c r="BG830" i="8" s="1"/>
  <c r="BF758" i="8"/>
  <c r="BG758" i="8" s="1"/>
  <c r="BF746" i="8"/>
  <c r="BG746" i="8" s="1"/>
  <c r="BF722" i="8"/>
  <c r="BG722" i="8" s="1"/>
  <c r="BF698" i="8"/>
  <c r="BG698" i="8" s="1"/>
  <c r="BF662" i="8"/>
  <c r="BG662" i="8" s="1"/>
  <c r="BF650" i="8"/>
  <c r="BG650" i="8" s="1"/>
  <c r="BF638" i="8"/>
  <c r="BG638" i="8" s="1"/>
  <c r="BF622" i="8"/>
  <c r="BG622" i="8" s="1"/>
  <c r="BF610" i="8"/>
  <c r="BG610" i="8" s="1"/>
  <c r="BF502" i="8"/>
  <c r="BG502" i="8" s="1"/>
  <c r="BF482" i="8"/>
  <c r="BG482" i="8" s="1"/>
  <c r="BF454" i="8"/>
  <c r="BG454" i="8" s="1"/>
  <c r="BF434" i="8"/>
  <c r="BG434" i="8" s="1"/>
  <c r="BF410" i="8"/>
  <c r="BG410" i="8" s="1"/>
  <c r="BF398" i="8"/>
  <c r="BG398" i="8" s="1"/>
  <c r="BF386" i="8"/>
  <c r="BG386" i="8" s="1"/>
  <c r="BF378" i="8"/>
  <c r="BG378" i="8" s="1"/>
  <c r="BF358" i="8"/>
  <c r="BG358" i="8" s="1"/>
  <c r="BF330" i="8"/>
  <c r="BG330" i="8" s="1"/>
  <c r="BF322" i="8"/>
  <c r="BG322" i="8" s="1"/>
  <c r="BF310" i="8"/>
  <c r="BG310" i="8" s="1"/>
  <c r="BF298" i="8"/>
  <c r="BG298" i="8" s="1"/>
  <c r="BF258" i="8"/>
  <c r="BG258" i="8" s="1"/>
  <c r="BF250" i="8"/>
  <c r="BG250" i="8" s="1"/>
  <c r="BF226" i="8"/>
  <c r="BG226" i="8" s="1"/>
  <c r="BF206" i="8"/>
  <c r="BG206" i="8" s="1"/>
  <c r="BF194" i="8"/>
  <c r="BG194" i="8" s="1"/>
  <c r="BF182" i="8"/>
  <c r="BG182" i="8" s="1"/>
  <c r="BF166" i="8"/>
  <c r="BG166" i="8" s="1"/>
  <c r="BF158" i="8"/>
  <c r="BG158" i="8" s="1"/>
  <c r="BF138" i="8"/>
  <c r="BG138" i="8" s="1"/>
  <c r="BF126" i="8"/>
  <c r="BG126" i="8" s="1"/>
  <c r="BF106" i="8"/>
  <c r="BG106" i="8" s="1"/>
  <c r="BF98" i="8"/>
  <c r="BG98" i="8" s="1"/>
  <c r="BF70" i="8"/>
  <c r="BG70" i="8" s="1"/>
  <c r="BF26" i="8"/>
  <c r="BG26" i="8" s="1"/>
  <c r="BF1125" i="8"/>
  <c r="BG1125" i="8" s="1"/>
  <c r="BF1117" i="8"/>
  <c r="BG1117" i="8" s="1"/>
  <c r="BF1105" i="8"/>
  <c r="BG1105" i="8" s="1"/>
  <c r="BF1097" i="8"/>
  <c r="BG1097" i="8" s="1"/>
  <c r="BF1085" i="8"/>
  <c r="BG1085" i="8" s="1"/>
  <c r="BF1077" i="8"/>
  <c r="BG1077" i="8" s="1"/>
  <c r="BF1069" i="8"/>
  <c r="BG1069" i="8" s="1"/>
  <c r="BF1057" i="8"/>
  <c r="BG1057" i="8" s="1"/>
  <c r="BF1029" i="8"/>
  <c r="BG1029" i="8" s="1"/>
  <c r="BF1017" i="8"/>
  <c r="BG1017" i="8" s="1"/>
  <c r="BF1013" i="8"/>
  <c r="BG1013" i="8" s="1"/>
  <c r="BF993" i="8"/>
  <c r="BG993" i="8" s="1"/>
  <c r="BF981" i="8"/>
  <c r="BG981" i="8" s="1"/>
  <c r="BF965" i="8"/>
  <c r="BG965" i="8" s="1"/>
  <c r="BF933" i="8"/>
  <c r="BG933" i="8" s="1"/>
  <c r="BF921" i="8"/>
  <c r="BG921" i="8" s="1"/>
  <c r="BF901" i="8"/>
  <c r="BG901" i="8" s="1"/>
  <c r="BF889" i="8"/>
  <c r="BG889" i="8" s="1"/>
  <c r="BF885" i="8"/>
  <c r="BG885" i="8" s="1"/>
  <c r="BF881" i="8"/>
  <c r="BG881" i="8" s="1"/>
  <c r="BF873" i="8"/>
  <c r="BG873" i="8" s="1"/>
  <c r="BF857" i="8"/>
  <c r="BG857" i="8" s="1"/>
  <c r="BF853" i="8"/>
  <c r="BG853" i="8" s="1"/>
  <c r="BF841" i="8"/>
  <c r="BG841" i="8" s="1"/>
  <c r="BF837" i="8"/>
  <c r="BG837" i="8" s="1"/>
  <c r="BF829" i="8"/>
  <c r="BG829" i="8" s="1"/>
  <c r="BF817" i="8"/>
  <c r="BG817" i="8" s="1"/>
  <c r="BF809" i="8"/>
  <c r="BG809" i="8" s="1"/>
  <c r="BF805" i="8"/>
  <c r="BG805" i="8" s="1"/>
  <c r="BF793" i="8"/>
  <c r="BG793" i="8" s="1"/>
  <c r="BF789" i="8"/>
  <c r="BG789" i="8" s="1"/>
  <c r="BF785" i="8"/>
  <c r="BG785" i="8" s="1"/>
  <c r="BF777" i="8"/>
  <c r="BG777" i="8" s="1"/>
  <c r="BF773" i="8"/>
  <c r="BG773" i="8" s="1"/>
  <c r="BF757" i="8"/>
  <c r="BG757" i="8" s="1"/>
  <c r="BF745" i="8"/>
  <c r="BG745" i="8" s="1"/>
  <c r="BF733" i="8"/>
  <c r="BG733" i="8" s="1"/>
  <c r="BF721" i="8"/>
  <c r="BG721" i="8" s="1"/>
  <c r="BF681" i="8"/>
  <c r="BG681" i="8" s="1"/>
  <c r="BF649" i="8"/>
  <c r="BG649" i="8" s="1"/>
  <c r="BF637" i="8"/>
  <c r="BG637" i="8" s="1"/>
  <c r="BF601" i="8"/>
  <c r="BG601" i="8" s="1"/>
  <c r="BF589" i="8"/>
  <c r="BG589" i="8" s="1"/>
  <c r="BF573" i="8"/>
  <c r="BG573" i="8" s="1"/>
  <c r="BF561" i="8"/>
  <c r="BG561" i="8" s="1"/>
  <c r="BF549" i="8"/>
  <c r="BG549" i="8" s="1"/>
  <c r="BF545" i="8"/>
  <c r="BG545" i="8" s="1"/>
  <c r="BF537" i="8"/>
  <c r="BG537" i="8" s="1"/>
  <c r="BF517" i="8"/>
  <c r="BG517" i="8" s="1"/>
  <c r="BF509" i="8"/>
  <c r="BG509" i="8" s="1"/>
  <c r="BF501" i="8"/>
  <c r="BG501" i="8" s="1"/>
  <c r="BF489" i="8"/>
  <c r="BG489" i="8" s="1"/>
  <c r="BF477" i="8"/>
  <c r="BG477" i="8" s="1"/>
  <c r="BF465" i="8"/>
  <c r="BG465" i="8" s="1"/>
  <c r="BF457" i="8"/>
  <c r="BG457" i="8" s="1"/>
  <c r="BF433" i="8"/>
  <c r="BG433" i="8" s="1"/>
  <c r="BF409" i="8"/>
  <c r="BG409" i="8" s="1"/>
  <c r="BF397" i="8"/>
  <c r="BG397" i="8" s="1"/>
  <c r="BF389" i="8"/>
  <c r="BG389" i="8" s="1"/>
  <c r="BF381" i="8"/>
  <c r="BG381" i="8" s="1"/>
  <c r="BF365" i="8"/>
  <c r="BG365" i="8" s="1"/>
  <c r="BF349" i="8"/>
  <c r="BG349" i="8" s="1"/>
  <c r="BF321" i="8"/>
  <c r="BG321" i="8" s="1"/>
  <c r="BF305" i="8"/>
  <c r="BG305" i="8" s="1"/>
  <c r="BF301" i="8"/>
  <c r="BG301" i="8" s="1"/>
  <c r="BF281" i="8"/>
  <c r="BG281" i="8" s="1"/>
  <c r="BF273" i="8"/>
  <c r="BG273" i="8" s="1"/>
  <c r="BF269" i="8"/>
  <c r="BG269" i="8" s="1"/>
  <c r="BF253" i="8"/>
  <c r="BG253" i="8" s="1"/>
  <c r="BF225" i="8"/>
  <c r="BG225" i="8" s="1"/>
  <c r="BF217" i="8"/>
  <c r="BG217" i="8" s="1"/>
  <c r="BF193" i="8"/>
  <c r="BG193" i="8" s="1"/>
  <c r="BF181" i="8"/>
  <c r="BG181" i="8" s="1"/>
  <c r="BF145" i="8"/>
  <c r="BG145" i="8" s="1"/>
  <c r="BF125" i="8"/>
  <c r="BG125" i="8" s="1"/>
  <c r="BF117" i="8"/>
  <c r="BG117" i="8" s="1"/>
  <c r="BF109" i="8"/>
  <c r="BG109" i="8" s="1"/>
  <c r="BF97" i="8"/>
  <c r="BG97" i="8" s="1"/>
  <c r="BF89" i="8"/>
  <c r="BG89" i="8" s="1"/>
  <c r="BF69" i="8"/>
  <c r="BG69" i="8" s="1"/>
  <c r="BF57" i="8"/>
  <c r="BG57" i="8" s="1"/>
  <c r="BF53" i="8"/>
  <c r="BG53" i="8" s="1"/>
  <c r="BF41" i="8"/>
  <c r="BG41" i="8" s="1"/>
  <c r="BF25" i="8"/>
  <c r="BG25" i="8" s="1"/>
  <c r="BF21" i="8"/>
  <c r="BG21" i="8" s="1"/>
  <c r="BF1106" i="8"/>
  <c r="BG1106" i="8" s="1"/>
  <c r="BF1070" i="8"/>
  <c r="BG1070" i="8" s="1"/>
  <c r="BF1030" i="8"/>
  <c r="BG1030" i="8" s="1"/>
  <c r="BF1018" i="8"/>
  <c r="BG1018" i="8" s="1"/>
  <c r="BF818" i="8"/>
  <c r="BG818" i="8" s="1"/>
  <c r="BF778" i="8"/>
  <c r="BG778" i="8" s="1"/>
  <c r="BF718" i="8"/>
  <c r="BG718" i="8" s="1"/>
  <c r="BF602" i="8"/>
  <c r="BG602" i="8" s="1"/>
  <c r="BF590" i="8"/>
  <c r="BG590" i="8" s="1"/>
  <c r="BF574" i="8"/>
  <c r="BG574" i="8" s="1"/>
  <c r="BF470" i="8"/>
  <c r="BG470" i="8" s="1"/>
  <c r="BF458" i="8"/>
  <c r="BG458" i="8" s="1"/>
  <c r="BF402" i="8"/>
  <c r="BG402" i="8" s="1"/>
  <c r="BF350" i="8"/>
  <c r="BG350" i="8" s="1"/>
  <c r="BF302" i="8"/>
  <c r="BG302" i="8" s="1"/>
  <c r="BF274" i="8"/>
  <c r="BG274" i="8" s="1"/>
  <c r="BF254" i="8"/>
  <c r="BG254" i="8" s="1"/>
  <c r="BF230" i="8"/>
  <c r="BG230" i="8" s="1"/>
  <c r="BF146" i="8"/>
  <c r="BG146" i="8" s="1"/>
  <c r="BF1114" i="8"/>
  <c r="BG1114" i="8" s="1"/>
  <c r="BF1066" i="8"/>
  <c r="BG1066" i="8" s="1"/>
  <c r="BF1042" i="8"/>
  <c r="BG1042" i="8" s="1"/>
  <c r="BF902" i="8"/>
  <c r="BG902" i="8" s="1"/>
  <c r="BF874" i="8"/>
  <c r="BG874" i="8" s="1"/>
  <c r="BF806" i="8"/>
  <c r="BG806" i="8" s="1"/>
  <c r="BF794" i="8"/>
  <c r="BG794" i="8" s="1"/>
  <c r="BF734" i="8"/>
  <c r="BG734" i="8" s="1"/>
  <c r="BF706" i="8"/>
  <c r="BG706" i="8" s="1"/>
  <c r="BF694" i="8"/>
  <c r="BG694" i="8" s="1"/>
  <c r="BF670" i="8"/>
  <c r="BG670" i="8" s="1"/>
  <c r="BF614" i="8"/>
  <c r="BG614" i="8" s="1"/>
  <c r="BF594" i="8"/>
  <c r="BG594" i="8" s="1"/>
  <c r="BF566" i="8"/>
  <c r="BG566" i="8" s="1"/>
  <c r="BF554" i="8"/>
  <c r="BG554" i="8" s="1"/>
  <c r="BF530" i="8"/>
  <c r="BG530" i="8" s="1"/>
  <c r="BF478" i="8"/>
  <c r="BG478" i="8" s="1"/>
  <c r="BF466" i="8"/>
  <c r="BG466" i="8" s="1"/>
  <c r="BF446" i="8"/>
  <c r="BG446" i="8" s="1"/>
  <c r="BF430" i="8"/>
  <c r="BG430" i="8" s="1"/>
  <c r="BF418" i="8"/>
  <c r="BG418" i="8" s="1"/>
  <c r="BF362" i="8"/>
  <c r="BG362" i="8" s="1"/>
  <c r="BF354" i="8"/>
  <c r="BG354" i="8" s="1"/>
  <c r="BF326" i="8"/>
  <c r="BG326" i="8" s="1"/>
  <c r="BF278" i="8"/>
  <c r="BG278" i="8" s="1"/>
  <c r="BF262" i="8"/>
  <c r="BG262" i="8" s="1"/>
  <c r="BF234" i="8"/>
  <c r="BG234" i="8" s="1"/>
  <c r="BF154" i="8"/>
  <c r="BG154" i="8" s="1"/>
  <c r="BF118" i="8"/>
  <c r="BG118" i="8" s="1"/>
  <c r="BF90" i="8"/>
  <c r="BG90" i="8" s="1"/>
  <c r="BF74" i="8"/>
  <c r="BG74" i="8" s="1"/>
  <c r="BF38" i="8"/>
  <c r="BG38" i="8" s="1"/>
  <c r="BF379" i="8"/>
  <c r="BG379" i="8" s="1"/>
  <c r="BF135" i="8"/>
  <c r="BG135" i="8" s="1"/>
  <c r="BF35" i="8"/>
  <c r="BG35" i="8" s="1"/>
  <c r="BF1096" i="8"/>
  <c r="BG1096" i="8" s="1"/>
  <c r="BF1032" i="8"/>
  <c r="BG1032" i="8" s="1"/>
  <c r="BF1000" i="8"/>
  <c r="BG1000" i="8" s="1"/>
  <c r="BF936" i="8"/>
  <c r="BG936" i="8" s="1"/>
  <c r="BF880" i="8"/>
  <c r="BG880" i="8" s="1"/>
  <c r="BF832" i="8"/>
  <c r="BG832" i="8" s="1"/>
  <c r="BF752" i="8"/>
  <c r="BG752" i="8" s="1"/>
  <c r="BF744" i="8"/>
  <c r="BG744" i="8" s="1"/>
  <c r="BF672" i="8"/>
  <c r="BG672" i="8" s="1"/>
  <c r="BF640" i="8"/>
  <c r="BG640" i="8" s="1"/>
  <c r="BF592" i="8"/>
  <c r="BG592" i="8" s="1"/>
  <c r="BF584" i="8"/>
  <c r="BG584" i="8" s="1"/>
  <c r="BF528" i="8"/>
  <c r="BG528" i="8" s="1"/>
  <c r="BF496" i="8"/>
  <c r="BG496" i="8" s="1"/>
  <c r="BF416" i="8"/>
  <c r="BG416" i="8" s="1"/>
  <c r="BF280" i="8"/>
  <c r="BG280" i="8" s="1"/>
  <c r="BF248" i="8"/>
  <c r="BG248" i="8" s="1"/>
  <c r="BF232" i="8"/>
  <c r="BG232" i="8" s="1"/>
  <c r="BF216" i="8"/>
  <c r="BG216" i="8" s="1"/>
  <c r="BF204" i="8"/>
  <c r="BG204" i="8" s="1"/>
  <c r="BF152" i="8"/>
  <c r="BG152" i="8" s="1"/>
  <c r="BF132" i="8"/>
  <c r="BG132" i="8" s="1"/>
  <c r="BF120" i="8"/>
  <c r="BG120" i="8" s="1"/>
  <c r="BF48" i="8"/>
  <c r="BG48" i="8" s="1"/>
  <c r="BF979" i="8"/>
  <c r="BG979" i="8" s="1"/>
  <c r="BF959" i="8"/>
  <c r="BG959" i="8" s="1"/>
  <c r="BF931" i="8"/>
  <c r="BG931" i="8" s="1"/>
  <c r="BF307" i="8"/>
  <c r="BG307" i="8" s="1"/>
  <c r="BF259" i="8"/>
  <c r="BG259" i="8" s="1"/>
  <c r="BF163" i="8"/>
  <c r="BG163" i="8" s="1"/>
  <c r="BF1115" i="8"/>
  <c r="BG1115" i="8" s="1"/>
  <c r="BF1095" i="8"/>
  <c r="BG1095" i="8" s="1"/>
  <c r="BF1091" i="8"/>
  <c r="BG1091" i="8" s="1"/>
  <c r="BF1079" i="8"/>
  <c r="BG1079" i="8" s="1"/>
  <c r="BF1071" i="8"/>
  <c r="BG1071" i="8" s="1"/>
  <c r="BF1047" i="8"/>
  <c r="BG1047" i="8" s="1"/>
  <c r="BF1043" i="8"/>
  <c r="BG1043" i="8" s="1"/>
  <c r="BF1031" i="8"/>
  <c r="BG1031" i="8" s="1"/>
  <c r="BF1023" i="8"/>
  <c r="BG1023" i="8" s="1"/>
  <c r="BF1015" i="8"/>
  <c r="BG1015" i="8" s="1"/>
  <c r="BF999" i="8"/>
  <c r="BG999" i="8" s="1"/>
  <c r="BF995" i="8"/>
  <c r="BG995" i="8" s="1"/>
  <c r="BF983" i="8"/>
  <c r="BG983" i="8" s="1"/>
  <c r="BF975" i="8"/>
  <c r="BG975" i="8" s="1"/>
  <c r="BF967" i="8"/>
  <c r="BG967" i="8" s="1"/>
  <c r="BF951" i="8"/>
  <c r="BG951" i="8" s="1"/>
  <c r="BF935" i="8"/>
  <c r="BG935" i="8" s="1"/>
  <c r="BF927" i="8"/>
  <c r="BG927" i="8" s="1"/>
  <c r="BF923" i="8"/>
  <c r="BG923" i="8" s="1"/>
  <c r="BF903" i="8"/>
  <c r="BG903" i="8" s="1"/>
  <c r="BF887" i="8"/>
  <c r="BG887" i="8" s="1"/>
  <c r="BF879" i="8"/>
  <c r="BG879" i="8" s="1"/>
  <c r="BF875" i="8"/>
  <c r="BG875" i="8" s="1"/>
  <c r="BF855" i="8"/>
  <c r="BG855" i="8" s="1"/>
  <c r="BF851" i="8"/>
  <c r="BG851" i="8" s="1"/>
  <c r="BF835" i="8"/>
  <c r="BG835" i="8" s="1"/>
  <c r="BF831" i="8"/>
  <c r="BG831" i="8" s="1"/>
  <c r="BF823" i="8"/>
  <c r="BG823" i="8" s="1"/>
  <c r="BF815" i="8"/>
  <c r="BG815" i="8" s="1"/>
  <c r="BF803" i="8"/>
  <c r="BG803" i="8" s="1"/>
  <c r="BF791" i="8"/>
  <c r="BG791" i="8" s="1"/>
  <c r="BF783" i="8"/>
  <c r="BG783" i="8" s="1"/>
  <c r="BF767" i="8"/>
  <c r="BG767" i="8" s="1"/>
  <c r="BF759" i="8"/>
  <c r="BG759" i="8" s="1"/>
  <c r="BF743" i="8"/>
  <c r="BG743" i="8" s="1"/>
  <c r="BF735" i="8"/>
  <c r="BG735" i="8" s="1"/>
  <c r="BF719" i="8"/>
  <c r="BG719" i="8" s="1"/>
  <c r="BF711" i="8"/>
  <c r="BG711" i="8" s="1"/>
  <c r="BF695" i="8"/>
  <c r="BG695" i="8" s="1"/>
  <c r="BF687" i="8"/>
  <c r="BG687" i="8" s="1"/>
  <c r="BF671" i="8"/>
  <c r="BG671" i="8" s="1"/>
  <c r="BF663" i="8"/>
  <c r="BG663" i="8" s="1"/>
  <c r="BF647" i="8"/>
  <c r="BG647" i="8" s="1"/>
  <c r="BF639" i="8"/>
  <c r="BG639" i="8" s="1"/>
  <c r="BF623" i="8"/>
  <c r="BG623" i="8" s="1"/>
  <c r="BF611" i="8"/>
  <c r="BG611" i="8" s="1"/>
  <c r="BF599" i="8"/>
  <c r="BG599" i="8" s="1"/>
  <c r="BF591" i="8"/>
  <c r="BG591" i="8" s="1"/>
  <c r="BF567" i="8"/>
  <c r="BG567" i="8" s="1"/>
  <c r="BF563" i="8"/>
  <c r="BG563" i="8" s="1"/>
  <c r="BF547" i="8"/>
  <c r="BG547" i="8" s="1"/>
  <c r="BF539" i="8"/>
  <c r="BG539" i="8" s="1"/>
  <c r="BF523" i="8"/>
  <c r="BG523" i="8" s="1"/>
  <c r="BF519" i="8"/>
  <c r="BG519" i="8" s="1"/>
  <c r="BF515" i="8"/>
  <c r="BG515" i="8" s="1"/>
  <c r="BF503" i="8"/>
  <c r="BG503" i="8" s="1"/>
  <c r="BF495" i="8"/>
  <c r="BG495" i="8" s="1"/>
  <c r="BF479" i="8"/>
  <c r="BG479" i="8" s="1"/>
  <c r="BF467" i="8"/>
  <c r="BG467" i="8" s="1"/>
  <c r="BF463" i="8"/>
  <c r="BG463" i="8" s="1"/>
  <c r="BF443" i="8"/>
  <c r="BG443" i="8" s="1"/>
  <c r="BF423" i="8"/>
  <c r="BG423" i="8" s="1"/>
  <c r="BF419" i="8"/>
  <c r="BG419" i="8" s="1"/>
  <c r="BF407" i="8"/>
  <c r="BG407" i="8" s="1"/>
  <c r="BF399" i="8"/>
  <c r="BG399" i="8" s="1"/>
  <c r="BF383" i="8"/>
  <c r="BG383" i="8" s="1"/>
  <c r="BF375" i="8"/>
  <c r="BG375" i="8" s="1"/>
  <c r="BF355" i="8"/>
  <c r="BG355" i="8" s="1"/>
  <c r="BF351" i="8"/>
  <c r="BG351" i="8" s="1"/>
  <c r="BF331" i="8"/>
  <c r="BG331" i="8" s="1"/>
  <c r="BF327" i="8"/>
  <c r="BG327" i="8" s="1"/>
  <c r="BF311" i="8"/>
  <c r="BG311" i="8" s="1"/>
  <c r="BF299" i="8"/>
  <c r="BG299" i="8" s="1"/>
  <c r="BF283" i="8"/>
  <c r="BG283" i="8" s="1"/>
  <c r="BF279" i="8"/>
  <c r="BG279" i="8" s="1"/>
  <c r="BF251" i="8"/>
  <c r="BG251" i="8" s="1"/>
  <c r="BF239" i="8"/>
  <c r="BG239" i="8" s="1"/>
  <c r="BF235" i="8"/>
  <c r="BG235" i="8" s="1"/>
  <c r="BF231" i="8"/>
  <c r="BG231" i="8" s="1"/>
  <c r="BF215" i="8"/>
  <c r="BG215" i="8" s="1"/>
  <c r="BF207" i="8"/>
  <c r="BG207" i="8" s="1"/>
  <c r="BF203" i="8"/>
  <c r="BG203" i="8" s="1"/>
  <c r="BF191" i="8"/>
  <c r="BG191" i="8" s="1"/>
  <c r="BF187" i="8"/>
  <c r="BG187" i="8" s="1"/>
  <c r="BF183" i="8"/>
  <c r="BG183" i="8" s="1"/>
  <c r="BF167" i="8"/>
  <c r="BG167" i="8" s="1"/>
  <c r="BF155" i="8"/>
  <c r="BG155" i="8" s="1"/>
  <c r="BF151" i="8"/>
  <c r="BG151" i="8" s="1"/>
  <c r="BF119" i="8"/>
  <c r="BG119" i="8" s="1"/>
  <c r="BF111" i="8"/>
  <c r="BG111" i="8" s="1"/>
  <c r="BF103" i="8"/>
  <c r="BG103" i="8" s="1"/>
  <c r="BF91" i="8"/>
  <c r="BG91" i="8" s="1"/>
  <c r="BF87" i="8"/>
  <c r="BG87" i="8" s="1"/>
  <c r="BF67" i="8"/>
  <c r="BG67" i="8" s="1"/>
  <c r="BF63" i="8"/>
  <c r="BG63" i="8" s="1"/>
  <c r="BF47" i="8"/>
  <c r="BG47" i="8" s="1"/>
  <c r="BF39" i="8"/>
  <c r="BG39" i="8" s="1"/>
  <c r="BF23" i="8"/>
  <c r="BG23" i="8" s="1"/>
  <c r="BF1104" i="8"/>
  <c r="BG1104" i="8" s="1"/>
  <c r="BF1088" i="8"/>
  <c r="BG1088" i="8" s="1"/>
  <c r="BF1056" i="8"/>
  <c r="BG1056" i="8" s="1"/>
  <c r="BF1048" i="8"/>
  <c r="BG1048" i="8" s="1"/>
  <c r="BF1008" i="8"/>
  <c r="BG1008" i="8" s="1"/>
  <c r="BF992" i="8"/>
  <c r="BG992" i="8" s="1"/>
  <c r="BF928" i="8"/>
  <c r="BG928" i="8" s="1"/>
  <c r="BF912" i="8"/>
  <c r="BG912" i="8" s="1"/>
  <c r="BF872" i="8"/>
  <c r="BG872" i="8" s="1"/>
  <c r="BF864" i="8"/>
  <c r="BG864" i="8" s="1"/>
  <c r="BF824" i="8"/>
  <c r="BG824" i="8" s="1"/>
  <c r="BF816" i="8"/>
  <c r="BG816" i="8" s="1"/>
  <c r="BF776" i="8"/>
  <c r="BG776" i="8" s="1"/>
  <c r="BF768" i="8"/>
  <c r="BG768" i="8" s="1"/>
  <c r="BF712" i="8"/>
  <c r="BG712" i="8" s="1"/>
  <c r="BF696" i="8"/>
  <c r="BG696" i="8" s="1"/>
  <c r="BF616" i="8"/>
  <c r="BG616" i="8" s="1"/>
  <c r="BF608" i="8"/>
  <c r="BG608" i="8" s="1"/>
  <c r="BF568" i="8"/>
  <c r="BG568" i="8" s="1"/>
  <c r="BF520" i="8"/>
  <c r="BG520" i="8" s="1"/>
  <c r="BF512" i="8"/>
  <c r="BG512" i="8" s="1"/>
  <c r="BF488" i="8"/>
  <c r="BG488" i="8" s="1"/>
  <c r="BF464" i="8"/>
  <c r="BG464" i="8" s="1"/>
  <c r="BF456" i="8"/>
  <c r="BG456" i="8" s="1"/>
  <c r="BF408" i="8"/>
  <c r="BG408" i="8" s="1"/>
  <c r="BF376" i="8"/>
  <c r="BG376" i="8" s="1"/>
  <c r="BF368" i="8"/>
  <c r="BG368" i="8" s="1"/>
  <c r="BF312" i="8"/>
  <c r="BG312" i="8" s="1"/>
  <c r="BF296" i="8"/>
  <c r="BG296" i="8" s="1"/>
  <c r="BF192" i="8"/>
  <c r="BG192" i="8" s="1"/>
  <c r="BF176" i="8"/>
  <c r="BG176" i="8" s="1"/>
  <c r="BF112" i="8"/>
  <c r="BG112" i="8" s="1"/>
  <c r="BF96" i="8"/>
  <c r="BG96" i="8" s="1"/>
  <c r="BF40" i="8"/>
  <c r="BG40" i="8" s="1"/>
  <c r="BF1089" i="8"/>
  <c r="BG1089" i="8" s="1"/>
  <c r="BF685" i="8"/>
  <c r="BG685" i="8" s="1"/>
  <c r="BF613" i="8"/>
  <c r="BG613" i="8" s="1"/>
  <c r="BF541" i="8"/>
  <c r="BG541" i="8" s="1"/>
  <c r="BF377" i="8"/>
  <c r="BG377" i="8" s="1"/>
  <c r="BF373" i="8"/>
  <c r="BG373" i="8" s="1"/>
  <c r="BF1120" i="8"/>
  <c r="BG1120" i="8" s="1"/>
  <c r="BF1064" i="8"/>
  <c r="BG1064" i="8" s="1"/>
  <c r="BF1040" i="8"/>
  <c r="BG1040" i="8" s="1"/>
  <c r="BF1016" i="8"/>
  <c r="BG1016" i="8" s="1"/>
  <c r="BF976" i="8"/>
  <c r="BG976" i="8" s="1"/>
  <c r="BF944" i="8"/>
  <c r="BG944" i="8" s="1"/>
  <c r="BF904" i="8"/>
  <c r="BG904" i="8" s="1"/>
  <c r="BF896" i="8"/>
  <c r="BG896" i="8" s="1"/>
  <c r="BF856" i="8"/>
  <c r="BG856" i="8" s="1"/>
  <c r="BF848" i="8"/>
  <c r="BG848" i="8" s="1"/>
  <c r="BF800" i="8"/>
  <c r="BG800" i="8" s="1"/>
  <c r="BF784" i="8"/>
  <c r="BG784" i="8" s="1"/>
  <c r="BF760" i="8"/>
  <c r="BG760" i="8" s="1"/>
  <c r="BF728" i="8"/>
  <c r="BG728" i="8" s="1"/>
  <c r="BF688" i="8"/>
  <c r="BG688" i="8" s="1"/>
  <c r="BF664" i="8"/>
  <c r="BG664" i="8" s="1"/>
  <c r="BF648" i="8"/>
  <c r="BG648" i="8" s="1"/>
  <c r="BF600" i="8"/>
  <c r="BG600" i="8" s="1"/>
  <c r="BF560" i="8"/>
  <c r="BG560" i="8" s="1"/>
  <c r="BF536" i="8"/>
  <c r="BG536" i="8" s="1"/>
  <c r="BF504" i="8"/>
  <c r="BG504" i="8" s="1"/>
  <c r="BF472" i="8"/>
  <c r="BG472" i="8" s="1"/>
  <c r="BF440" i="8"/>
  <c r="BG440" i="8" s="1"/>
  <c r="BF424" i="8"/>
  <c r="BG424" i="8" s="1"/>
  <c r="BF392" i="8"/>
  <c r="BG392" i="8" s="1"/>
  <c r="BF384" i="8"/>
  <c r="BG384" i="8" s="1"/>
  <c r="BF360" i="8"/>
  <c r="BG360" i="8" s="1"/>
  <c r="BF352" i="8"/>
  <c r="BG352" i="8" s="1"/>
  <c r="BF304" i="8"/>
  <c r="BG304" i="8" s="1"/>
  <c r="BF224" i="8"/>
  <c r="BG224" i="8" s="1"/>
  <c r="BF208" i="8"/>
  <c r="BG208" i="8" s="1"/>
  <c r="BF144" i="8"/>
  <c r="BG144" i="8" s="1"/>
  <c r="BF128" i="8"/>
  <c r="BG128" i="8" s="1"/>
  <c r="BF80" i="8"/>
  <c r="BG80" i="8" s="1"/>
  <c r="BF64" i="8"/>
  <c r="BG64" i="8" s="1"/>
  <c r="BF1122" i="8"/>
  <c r="BG1122" i="8" s="1"/>
  <c r="BF1098" i="8"/>
  <c r="BG1098" i="8" s="1"/>
  <c r="BF1002" i="8"/>
  <c r="BG1002" i="8" s="1"/>
  <c r="BF930" i="8"/>
  <c r="BG930" i="8" s="1"/>
  <c r="BF906" i="8"/>
  <c r="BG906" i="8" s="1"/>
  <c r="BF546" i="8"/>
  <c r="BG546" i="8" s="1"/>
  <c r="BF522" i="8"/>
  <c r="BG522" i="8" s="1"/>
  <c r="BF426" i="8"/>
  <c r="BG426" i="8" s="1"/>
  <c r="BF306" i="8"/>
  <c r="BG306" i="8" s="1"/>
  <c r="BF210" i="8"/>
  <c r="BG210" i="8" s="1"/>
  <c r="BF162" i="8"/>
  <c r="BG162" i="8" s="1"/>
  <c r="BF66" i="8"/>
  <c r="BG66" i="8" s="1"/>
  <c r="BF42" i="8"/>
  <c r="BG42" i="8" s="1"/>
  <c r="Q1060" i="8"/>
  <c r="BF1100" i="8"/>
  <c r="BG1100" i="8" s="1"/>
  <c r="BF1052" i="8"/>
  <c r="BG1052" i="8" s="1"/>
  <c r="BF956" i="8"/>
  <c r="BG956" i="8" s="1"/>
  <c r="BF908" i="8"/>
  <c r="BG908" i="8" s="1"/>
  <c r="BF860" i="8"/>
  <c r="BG860" i="8" s="1"/>
  <c r="BF812" i="8"/>
  <c r="BG812" i="8" s="1"/>
  <c r="BF764" i="8"/>
  <c r="BG764" i="8" s="1"/>
  <c r="BF716" i="8"/>
  <c r="BG716" i="8" s="1"/>
  <c r="BF668" i="8"/>
  <c r="BG668" i="8" s="1"/>
  <c r="BF620" i="8"/>
  <c r="BG620" i="8" s="1"/>
  <c r="BF308" i="8"/>
  <c r="BG308" i="8" s="1"/>
  <c r="BF260" i="8"/>
  <c r="BG260" i="8" s="1"/>
  <c r="BF164" i="8"/>
  <c r="BG164" i="8" s="1"/>
  <c r="BF991" i="8"/>
  <c r="BG991" i="8" s="1"/>
  <c r="BF943" i="8"/>
  <c r="BG943" i="8" s="1"/>
  <c r="BF895" i="8"/>
  <c r="BG895" i="8" s="1"/>
  <c r="BF847" i="8"/>
  <c r="BG847" i="8" s="1"/>
  <c r="BF751" i="8"/>
  <c r="BG751" i="8" s="1"/>
  <c r="BF535" i="8"/>
  <c r="BG535" i="8" s="1"/>
  <c r="BF391" i="8"/>
  <c r="BG391" i="8" s="1"/>
  <c r="BF295" i="8"/>
  <c r="BG295" i="8" s="1"/>
  <c r="BF79" i="8"/>
  <c r="BG79" i="8" s="1"/>
  <c r="BF1086" i="8"/>
  <c r="BG1086" i="8" s="1"/>
  <c r="BF1038" i="8"/>
  <c r="BG1038" i="8" s="1"/>
  <c r="BF750" i="8"/>
  <c r="BG750" i="8" s="1"/>
  <c r="BF1099" i="8"/>
  <c r="BG1099" i="8" s="1"/>
  <c r="BF1051" i="8"/>
  <c r="BG1051" i="8" s="1"/>
  <c r="BF907" i="8"/>
  <c r="BG907" i="8" s="1"/>
  <c r="BF859" i="8"/>
  <c r="BG859" i="8" s="1"/>
  <c r="BF811" i="8"/>
  <c r="BG811" i="8" s="1"/>
  <c r="BF763" i="8"/>
  <c r="BG763" i="8" s="1"/>
  <c r="BF667" i="8"/>
  <c r="BG667" i="8" s="1"/>
  <c r="BF619" i="8"/>
  <c r="BG619" i="8" s="1"/>
  <c r="BF571" i="8"/>
  <c r="BG571" i="8" s="1"/>
  <c r="BF247" i="8"/>
  <c r="BG247" i="8" s="1"/>
  <c r="BF978" i="8"/>
  <c r="BG978" i="8" s="1"/>
  <c r="BF858" i="8"/>
  <c r="BG858" i="8" s="1"/>
  <c r="BF666" i="8"/>
  <c r="BG666" i="8" s="1"/>
  <c r="BF618" i="8"/>
  <c r="BG618" i="8" s="1"/>
  <c r="BF702" i="8"/>
  <c r="BG702" i="8" s="1"/>
  <c r="BF740" i="8"/>
  <c r="BG740" i="8" s="1"/>
  <c r="BF428" i="8"/>
  <c r="BG428" i="8" s="1"/>
  <c r="BF356" i="8"/>
  <c r="BG356" i="8" s="1"/>
  <c r="BF284" i="8"/>
  <c r="BG284" i="8" s="1"/>
  <c r="BF116" i="8"/>
  <c r="BG116" i="8" s="1"/>
  <c r="BF1112" i="8"/>
  <c r="BG1112" i="8" s="1"/>
  <c r="BF968" i="8"/>
  <c r="BG968" i="8" s="1"/>
  <c r="BF656" i="8"/>
  <c r="BG656" i="8" s="1"/>
  <c r="BF272" i="8"/>
  <c r="BG272" i="8" s="1"/>
  <c r="BF200" i="8"/>
  <c r="BG200" i="8" s="1"/>
  <c r="BF32" i="8"/>
  <c r="BG32" i="8" s="1"/>
  <c r="BF43" i="8"/>
  <c r="BG43" i="8" s="1"/>
  <c r="BF101" i="8"/>
  <c r="BG101" i="8" s="1"/>
  <c r="BF996" i="8"/>
  <c r="BG996" i="8" s="1"/>
  <c r="BF684" i="8"/>
  <c r="BG684" i="8" s="1"/>
  <c r="BF372" i="8"/>
  <c r="BG372" i="8" s="1"/>
  <c r="BF300" i="8"/>
  <c r="BG300" i="8" s="1"/>
  <c r="BF228" i="8"/>
  <c r="BG228" i="8" s="1"/>
  <c r="BF60" i="8"/>
  <c r="BG60" i="8" s="1"/>
  <c r="BF911" i="8"/>
  <c r="BG911" i="8" s="1"/>
  <c r="BF527" i="8"/>
  <c r="BG527" i="8" s="1"/>
  <c r="BF455" i="8"/>
  <c r="BG455" i="8" s="1"/>
  <c r="BF143" i="8"/>
  <c r="BG143" i="8" s="1"/>
  <c r="BF71" i="8"/>
  <c r="BG71" i="8" s="1"/>
  <c r="BF1067" i="8"/>
  <c r="BG1067" i="8" s="1"/>
  <c r="BF827" i="8"/>
  <c r="BG827" i="8" s="1"/>
  <c r="BF1054" i="8"/>
  <c r="BG1054" i="8" s="1"/>
  <c r="BF982" i="8"/>
  <c r="BG982" i="8" s="1"/>
  <c r="BF910" i="8"/>
  <c r="BG910" i="8" s="1"/>
  <c r="BF838" i="8"/>
  <c r="BG838" i="8" s="1"/>
  <c r="BF598" i="8"/>
  <c r="BG598" i="8" s="1"/>
  <c r="BF214" i="8"/>
  <c r="BG214" i="8" s="1"/>
  <c r="BF285" i="8"/>
  <c r="BG285" i="8" s="1"/>
  <c r="BF1111" i="8"/>
  <c r="BG1111" i="8" s="1"/>
  <c r="BF1039" i="8"/>
  <c r="BG1039" i="8" s="1"/>
  <c r="BF799" i="8"/>
  <c r="BG799" i="8" s="1"/>
  <c r="BF727" i="8"/>
  <c r="BG727" i="8" s="1"/>
  <c r="BF655" i="8"/>
  <c r="BG655" i="8" s="1"/>
  <c r="BF199" i="8"/>
  <c r="BG199" i="8" s="1"/>
  <c r="BF31" i="8"/>
  <c r="BG31" i="8" s="1"/>
  <c r="BF1123" i="8"/>
  <c r="BG1123" i="8" s="1"/>
  <c r="BF883" i="8"/>
  <c r="BG883" i="8" s="1"/>
  <c r="BF115" i="8"/>
  <c r="BG115" i="8" s="1"/>
  <c r="BF114" i="8"/>
  <c r="BG114" i="8" s="1"/>
  <c r="BF870" i="8"/>
  <c r="BG870" i="8" s="1"/>
  <c r="BF798" i="8"/>
  <c r="BG798" i="8" s="1"/>
  <c r="BF486" i="8"/>
  <c r="BG486" i="8" s="1"/>
  <c r="BF414" i="8"/>
  <c r="BG414" i="8" s="1"/>
  <c r="BF342" i="8"/>
  <c r="BG342" i="8" s="1"/>
  <c r="BF1026" i="8"/>
  <c r="BG1026" i="8" s="1"/>
  <c r="BF954" i="8"/>
  <c r="BG954" i="8" s="1"/>
  <c r="BF882" i="8"/>
  <c r="BG882" i="8" s="1"/>
  <c r="BF810" i="8"/>
  <c r="BG810" i="8" s="1"/>
  <c r="BF714" i="8"/>
  <c r="BG714" i="8" s="1"/>
  <c r="BF570" i="8"/>
  <c r="BG570" i="8" s="1"/>
  <c r="BF1025" i="8"/>
  <c r="BG1025" i="8" s="1"/>
  <c r="BF713" i="8"/>
  <c r="BG713" i="8" s="1"/>
  <c r="BF641" i="8"/>
  <c r="BG641" i="8" s="1"/>
  <c r="BF569" i="8"/>
  <c r="BG569" i="8" s="1"/>
  <c r="BF497" i="8"/>
  <c r="BG497" i="8" s="1"/>
  <c r="BF401" i="8"/>
  <c r="BG401" i="8" s="1"/>
  <c r="BF257" i="8"/>
  <c r="BG257" i="8" s="1"/>
  <c r="BF941" i="8"/>
  <c r="BG941" i="8" s="1"/>
  <c r="BF557" i="8"/>
  <c r="BG557" i="8" s="1"/>
  <c r="BF485" i="8"/>
  <c r="BG485" i="8" s="1"/>
  <c r="BF173" i="8"/>
  <c r="BG173" i="8" s="1"/>
  <c r="BF1024" i="8"/>
  <c r="BG1024" i="8" s="1"/>
  <c r="BF736" i="8"/>
  <c r="BG736" i="8" s="1"/>
  <c r="BF400" i="8"/>
  <c r="BG400" i="8" s="1"/>
  <c r="BF256" i="8"/>
  <c r="BG256" i="8" s="1"/>
  <c r="BF184" i="8"/>
  <c r="BG184" i="8" s="1"/>
  <c r="BF88" i="8"/>
  <c r="BG88" i="8" s="1"/>
  <c r="BF59" i="8"/>
  <c r="BG59" i="8" s="1"/>
  <c r="BF898" i="8"/>
  <c r="BG898" i="8" s="1"/>
  <c r="BF826" i="8"/>
  <c r="BG826" i="8" s="1"/>
  <c r="BF754" i="8"/>
  <c r="BG754" i="8" s="1"/>
  <c r="BF514" i="8"/>
  <c r="BG514" i="8" s="1"/>
  <c r="BF442" i="8"/>
  <c r="BG442" i="8" s="1"/>
  <c r="BF969" i="8"/>
  <c r="BG969" i="8" s="1"/>
  <c r="BF585" i="8"/>
  <c r="BG585" i="8" s="1"/>
  <c r="BF513" i="8"/>
  <c r="BG513" i="8" s="1"/>
  <c r="BF345" i="8"/>
  <c r="BG345" i="8" s="1"/>
  <c r="BF201" i="8"/>
  <c r="BG201" i="8" s="1"/>
  <c r="BF129" i="8"/>
  <c r="BG129" i="8" s="1"/>
  <c r="BF1053" i="8"/>
  <c r="BG1053" i="8" s="1"/>
  <c r="BF741" i="8"/>
  <c r="BG741" i="8" s="1"/>
  <c r="BF669" i="8"/>
  <c r="BG669" i="8" s="1"/>
  <c r="BF597" i="8"/>
  <c r="BG597" i="8" s="1"/>
  <c r="BF429" i="8"/>
  <c r="BG429" i="8" s="1"/>
  <c r="BF920" i="8"/>
  <c r="BG920" i="8" s="1"/>
  <c r="BF632" i="8"/>
  <c r="BG632" i="8" s="1"/>
  <c r="BF344" i="8"/>
  <c r="BG344" i="8" s="1"/>
  <c r="BF56" i="8"/>
  <c r="BG56" i="8" s="1"/>
  <c r="BF1076" i="8"/>
  <c r="BG1076" i="8" s="1"/>
  <c r="BF788" i="8"/>
  <c r="BG788" i="8" s="1"/>
  <c r="BF500" i="8"/>
  <c r="BG500" i="8" s="1"/>
  <c r="BF212" i="8"/>
  <c r="BG212" i="8" s="1"/>
  <c r="BF866" i="8"/>
  <c r="BG866" i="8" s="1"/>
  <c r="BF578" i="8"/>
  <c r="BG578" i="8" s="1"/>
  <c r="BF290" i="8"/>
  <c r="BG290" i="8" s="1"/>
  <c r="BF997" i="8"/>
  <c r="BG997" i="8" s="1"/>
  <c r="BF709" i="8"/>
  <c r="BG709" i="8" s="1"/>
  <c r="BF396" i="8"/>
  <c r="BG396" i="8" s="1"/>
  <c r="BF108" i="8"/>
  <c r="BG108" i="8" s="1"/>
  <c r="BF1128" i="8"/>
  <c r="BG1128" i="8" s="1"/>
  <c r="BF840" i="8"/>
  <c r="BG840" i="8" s="1"/>
  <c r="BF552" i="8"/>
  <c r="BG552" i="8" s="1"/>
  <c r="BF264" i="8"/>
  <c r="BG264" i="8" s="1"/>
  <c r="BF1127" i="8"/>
  <c r="BG1127" i="8" s="1"/>
  <c r="BF839" i="8"/>
  <c r="BG839" i="8" s="1"/>
  <c r="BF551" i="8"/>
  <c r="BG551" i="8" s="1"/>
  <c r="BF263" i="8"/>
  <c r="BG263" i="8" s="1"/>
  <c r="BF1102" i="8"/>
  <c r="BG1102" i="8" s="1"/>
  <c r="BF814" i="8"/>
  <c r="BG814" i="8" s="1"/>
  <c r="BF1075" i="8"/>
  <c r="BG1075" i="8" s="1"/>
  <c r="BF787" i="8"/>
  <c r="BG787" i="8" s="1"/>
  <c r="BF499" i="8"/>
  <c r="BG499" i="8" s="1"/>
  <c r="BF211" i="8"/>
  <c r="BG211" i="8" s="1"/>
  <c r="BF919" i="8"/>
  <c r="BG919" i="8" s="1"/>
  <c r="BF631" i="8"/>
  <c r="BG631" i="8" s="1"/>
  <c r="BF343" i="8"/>
  <c r="BG343" i="8" s="1"/>
  <c r="BF55" i="8"/>
  <c r="BG55" i="8" s="1"/>
  <c r="BF1050" i="8"/>
  <c r="BG1050" i="8" s="1"/>
  <c r="BF762" i="8"/>
  <c r="BG762" i="8" s="1"/>
  <c r="BF474" i="8"/>
  <c r="BG474" i="8" s="1"/>
  <c r="BF186" i="8"/>
  <c r="BG186" i="8" s="1"/>
  <c r="BF894" i="8"/>
  <c r="BG894" i="8" s="1"/>
  <c r="BF606" i="8"/>
  <c r="BG606" i="8" s="1"/>
  <c r="BF318" i="8"/>
  <c r="BG318" i="8" s="1"/>
  <c r="BF30" i="8"/>
  <c r="BG30" i="8" s="1"/>
  <c r="BF893" i="8"/>
  <c r="BG893" i="8" s="1"/>
  <c r="BF605" i="8"/>
  <c r="BG605" i="8" s="1"/>
  <c r="BF317" i="8"/>
  <c r="BG317" i="8" s="1"/>
  <c r="BF29" i="8"/>
  <c r="BG29" i="8" s="1"/>
  <c r="BF1049" i="8"/>
  <c r="BG1049" i="8" s="1"/>
  <c r="BF761" i="8"/>
  <c r="BG761" i="8" s="1"/>
  <c r="BF473" i="8"/>
  <c r="BG473" i="8" s="1"/>
  <c r="BF185" i="8"/>
  <c r="BG185" i="8" s="1"/>
  <c r="BF448" i="8"/>
  <c r="BG448" i="8" s="1"/>
  <c r="BF160" i="8"/>
  <c r="BG160" i="8" s="1"/>
  <c r="BF940" i="8"/>
  <c r="BG940" i="8" s="1"/>
  <c r="BF916" i="8"/>
  <c r="BG916" i="8" s="1"/>
  <c r="BF892" i="8"/>
  <c r="BG892" i="8" s="1"/>
  <c r="BF868" i="8"/>
  <c r="BG868" i="8" s="1"/>
  <c r="BF844" i="8"/>
  <c r="BG844" i="8" s="1"/>
  <c r="BF820" i="8"/>
  <c r="BG820" i="8" s="1"/>
  <c r="BF796" i="8"/>
  <c r="BG796" i="8" s="1"/>
  <c r="BF772" i="8"/>
  <c r="BG772" i="8" s="1"/>
  <c r="BF748" i="8"/>
  <c r="BG748" i="8" s="1"/>
  <c r="BF724" i="8"/>
  <c r="BG724" i="8" s="1"/>
  <c r="BF700" i="8"/>
  <c r="BG700" i="8" s="1"/>
  <c r="BF676" i="8"/>
  <c r="BG676" i="8" s="1"/>
  <c r="BF652" i="8"/>
  <c r="BG652" i="8" s="1"/>
  <c r="BF628" i="8"/>
  <c r="BG628" i="8" s="1"/>
  <c r="BF604" i="8"/>
  <c r="BG604" i="8" s="1"/>
  <c r="BF580" i="8"/>
  <c r="BG580" i="8" s="1"/>
  <c r="BF556" i="8"/>
  <c r="BG556" i="8" s="1"/>
  <c r="BF532" i="8"/>
  <c r="BG532" i="8" s="1"/>
  <c r="BF998" i="8"/>
  <c r="BG998" i="8" s="1"/>
  <c r="BF710" i="8"/>
  <c r="BG710" i="8" s="1"/>
  <c r="BF422" i="8"/>
  <c r="BG422" i="8" s="1"/>
  <c r="BF134" i="8"/>
  <c r="BG134" i="8" s="1"/>
  <c r="BF421" i="8"/>
  <c r="BG421" i="8" s="1"/>
  <c r="BF133" i="8"/>
  <c r="BG133" i="8" s="1"/>
  <c r="BF865" i="8"/>
  <c r="BG865" i="8" s="1"/>
  <c r="BF577" i="8"/>
  <c r="BG577" i="8" s="1"/>
  <c r="BF289" i="8"/>
  <c r="BG289" i="8" s="1"/>
  <c r="BF971" i="8"/>
  <c r="BG971" i="8" s="1"/>
  <c r="BF683" i="8"/>
  <c r="BG683" i="8" s="1"/>
  <c r="BF395" i="8"/>
  <c r="BG395" i="8" s="1"/>
  <c r="BF107" i="8"/>
  <c r="BG107" i="8" s="1"/>
  <c r="BF526" i="8"/>
  <c r="BG526" i="8" s="1"/>
  <c r="BF238" i="8"/>
  <c r="BG238" i="8" s="1"/>
  <c r="BF946" i="8"/>
  <c r="BG946" i="8" s="1"/>
  <c r="BF658" i="8"/>
  <c r="BG658" i="8" s="1"/>
  <c r="BF370" i="8"/>
  <c r="BG370" i="8" s="1"/>
  <c r="BF82" i="8"/>
  <c r="BG82" i="8" s="1"/>
  <c r="BF525" i="8"/>
  <c r="BG525" i="8" s="1"/>
  <c r="BF237" i="8"/>
  <c r="BG237" i="8" s="1"/>
  <c r="BF945" i="8"/>
  <c r="BG945" i="8" s="1"/>
  <c r="BF657" i="8"/>
  <c r="BG657" i="8" s="1"/>
  <c r="BF369" i="8"/>
  <c r="BG369" i="8" s="1"/>
  <c r="BF81" i="8"/>
  <c r="BG81" i="8" s="1"/>
  <c r="BF1101" i="8"/>
  <c r="BG1101" i="8" s="1"/>
  <c r="BF813" i="8"/>
  <c r="BG813" i="8" s="1"/>
  <c r="BF508" i="8"/>
  <c r="BG508" i="8" s="1"/>
  <c r="BF484" i="8"/>
  <c r="BG484" i="8" s="1"/>
  <c r="BF460" i="8"/>
  <c r="BG460" i="8" s="1"/>
  <c r="BF436" i="8"/>
  <c r="BG436" i="8" s="1"/>
  <c r="BF412" i="8"/>
  <c r="BG412" i="8" s="1"/>
  <c r="BF388" i="8"/>
  <c r="BG388" i="8" s="1"/>
  <c r="BF364" i="8"/>
  <c r="BG364" i="8" s="1"/>
  <c r="BF340" i="8"/>
  <c r="BG340" i="8" s="1"/>
  <c r="BF316" i="8"/>
  <c r="BG316" i="8" s="1"/>
  <c r="BF292" i="8"/>
  <c r="BG292" i="8" s="1"/>
  <c r="BF268" i="8"/>
  <c r="BG268" i="8" s="1"/>
  <c r="BF244" i="8"/>
  <c r="BG244" i="8" s="1"/>
  <c r="BF220" i="8"/>
  <c r="BG220" i="8" s="1"/>
  <c r="BF196" i="8"/>
  <c r="BG196" i="8" s="1"/>
  <c r="BF172" i="8"/>
  <c r="BG172" i="8" s="1"/>
  <c r="BF148" i="8"/>
  <c r="BG148" i="8" s="1"/>
  <c r="BF124" i="8"/>
  <c r="BG124" i="8" s="1"/>
  <c r="BF100" i="8"/>
  <c r="BG100" i="8" s="1"/>
  <c r="BF76" i="8"/>
  <c r="BG76" i="8" s="1"/>
  <c r="BF52" i="8"/>
  <c r="BG52" i="8" s="1"/>
  <c r="BF28" i="8"/>
  <c r="BG28" i="8" s="1"/>
  <c r="BF1108" i="8"/>
  <c r="BG1108" i="8" s="1"/>
  <c r="BF1084" i="8"/>
  <c r="BG1084" i="8" s="1"/>
  <c r="BF1060" i="8"/>
  <c r="BG1060" i="8" s="1"/>
  <c r="BF1036" i="8"/>
  <c r="BG1036" i="8" s="1"/>
  <c r="BF1012" i="8"/>
  <c r="BG1012" i="8" s="1"/>
  <c r="BF988" i="8"/>
  <c r="BG988" i="8" s="1"/>
  <c r="AQ530" i="8"/>
  <c r="AQ506" i="8"/>
  <c r="AQ482" i="8"/>
  <c r="AQ458" i="8"/>
  <c r="AQ434" i="8"/>
  <c r="AQ410" i="8"/>
  <c r="AQ386" i="8"/>
  <c r="AQ362" i="8"/>
  <c r="AQ338" i="8"/>
  <c r="AQ314" i="8"/>
  <c r="AQ290" i="8"/>
  <c r="AQ266" i="8"/>
  <c r="AQ242" i="8"/>
  <c r="AQ218" i="8"/>
  <c r="AQ194" i="8"/>
  <c r="AQ170" i="8"/>
  <c r="AQ146" i="8"/>
  <c r="AQ122" i="8"/>
  <c r="AQ98" i="8"/>
  <c r="AQ74" i="8"/>
  <c r="AQ50" i="8"/>
  <c r="AQ26" i="8"/>
  <c r="AQ846" i="8"/>
  <c r="AQ918" i="8"/>
  <c r="AQ788" i="8"/>
  <c r="AQ500" i="8"/>
  <c r="AQ262" i="8"/>
  <c r="AQ1122" i="8"/>
  <c r="AQ1098" i="8"/>
  <c r="AQ1074" i="8"/>
  <c r="AQ1050" i="8"/>
  <c r="AQ1026" i="8"/>
  <c r="AQ1002" i="8"/>
  <c r="AQ978" i="8"/>
  <c r="AQ954" i="8"/>
  <c r="AQ930" i="8"/>
  <c r="AQ906" i="8"/>
  <c r="AQ882" i="8"/>
  <c r="AQ858" i="8"/>
  <c r="AQ834" i="8"/>
  <c r="AQ810" i="8"/>
  <c r="AQ786" i="8"/>
  <c r="AQ762" i="8"/>
  <c r="AQ738" i="8"/>
  <c r="AQ714" i="8"/>
  <c r="AQ690" i="8"/>
  <c r="AQ666" i="8"/>
  <c r="AQ642" i="8"/>
  <c r="AQ618" i="8"/>
  <c r="AQ594" i="8"/>
  <c r="AQ570" i="8"/>
  <c r="AQ546" i="8"/>
  <c r="AQ522" i="8"/>
  <c r="AQ498" i="8"/>
  <c r="AQ474" i="8"/>
  <c r="AQ450" i="8"/>
  <c r="AQ426" i="8"/>
  <c r="AQ402" i="8"/>
  <c r="AQ378" i="8"/>
  <c r="AQ354" i="8"/>
  <c r="AQ330" i="8"/>
  <c r="AQ306" i="8"/>
  <c r="AQ282" i="8"/>
  <c r="AQ258" i="8"/>
  <c r="AQ234" i="8"/>
  <c r="AQ210" i="8"/>
  <c r="AQ186" i="8"/>
  <c r="AQ162" i="8"/>
  <c r="AQ138" i="8"/>
  <c r="AQ114" i="8"/>
  <c r="AQ90" i="8"/>
  <c r="AQ66" i="8"/>
  <c r="AQ42" i="8"/>
  <c r="AQ18" i="8"/>
  <c r="AQ966" i="8"/>
  <c r="AQ838" i="8"/>
  <c r="AQ812" i="8"/>
  <c r="AQ550" i="8"/>
  <c r="AQ524" i="8"/>
  <c r="AR876" i="8"/>
  <c r="AR851" i="8"/>
  <c r="AR625" i="8"/>
  <c r="AR600" i="8"/>
  <c r="AR575" i="8"/>
  <c r="AQ990" i="8"/>
  <c r="AQ863" i="8"/>
  <c r="AQ837" i="8"/>
  <c r="AQ549" i="8"/>
  <c r="AR875" i="8"/>
  <c r="AR599" i="8"/>
  <c r="AR574" i="8"/>
  <c r="AQ1014" i="8"/>
  <c r="AQ888" i="8"/>
  <c r="AQ862" i="8"/>
  <c r="AQ548" i="8"/>
  <c r="AQ286" i="8"/>
  <c r="AR573" i="8"/>
  <c r="AR22" i="8"/>
  <c r="AQ1038" i="8"/>
  <c r="AQ938" i="8"/>
  <c r="AQ913" i="8"/>
  <c r="AQ887" i="8"/>
  <c r="AQ337" i="8"/>
  <c r="AQ1062" i="8"/>
  <c r="AQ1081" i="8"/>
  <c r="AQ1105" i="8"/>
  <c r="AQ1129" i="8"/>
  <c r="AQ563" i="8"/>
  <c r="AR588" i="8"/>
  <c r="AR587" i="8"/>
  <c r="AR261" i="8"/>
  <c r="T1060" i="2"/>
  <c r="AA1060" i="2" s="1"/>
  <c r="W1060" i="2"/>
  <c r="U1060" i="2"/>
  <c r="S1060" i="2"/>
  <c r="Z1060" i="2" s="1"/>
  <c r="T497" i="2"/>
  <c r="AA497" i="2" s="1"/>
  <c r="R1060" i="2"/>
  <c r="Y1060" i="2" s="1"/>
  <c r="W497" i="2"/>
  <c r="V497" i="2"/>
  <c r="U497" i="2"/>
  <c r="S497" i="2"/>
  <c r="Z497" i="2" s="1"/>
  <c r="R497" i="2"/>
  <c r="Y497" i="2" s="1"/>
  <c r="P37" i="2" l="1"/>
  <c r="Q37" i="8" s="1"/>
  <c r="P38" i="2"/>
  <c r="P39" i="2"/>
  <c r="P40" i="2"/>
  <c r="Q40" i="8" s="1"/>
  <c r="P41" i="2"/>
  <c r="Q41" i="8" s="1"/>
  <c r="P42" i="2"/>
  <c r="W42" i="2" s="1"/>
  <c r="P43" i="2"/>
  <c r="U43" i="2" s="1"/>
  <c r="P44" i="2"/>
  <c r="Q44" i="8" s="1"/>
  <c r="P45" i="2"/>
  <c r="Q45" i="8" s="1"/>
  <c r="P46" i="2"/>
  <c r="T46" i="2" s="1"/>
  <c r="AA46" i="2" s="1"/>
  <c r="P47" i="2"/>
  <c r="P48" i="2"/>
  <c r="Q48" i="8" s="1"/>
  <c r="P49" i="2"/>
  <c r="Q49" i="8" s="1"/>
  <c r="P50" i="2"/>
  <c r="P51" i="2"/>
  <c r="P52" i="2"/>
  <c r="Q52" i="8" s="1"/>
  <c r="P53" i="2"/>
  <c r="P54" i="2"/>
  <c r="Q54" i="8" s="1"/>
  <c r="P55" i="2"/>
  <c r="W55" i="2" s="1"/>
  <c r="P56" i="2"/>
  <c r="Q56" i="8" s="1"/>
  <c r="P57" i="2"/>
  <c r="P58" i="2"/>
  <c r="P59" i="2"/>
  <c r="P60" i="2"/>
  <c r="Q60" i="8" s="1"/>
  <c r="P61" i="2"/>
  <c r="Q61" i="8" s="1"/>
  <c r="P62" i="2"/>
  <c r="U62" i="2" s="1"/>
  <c r="P63" i="2"/>
  <c r="V63" i="2" s="1"/>
  <c r="P64" i="2"/>
  <c r="Q64" i="8" s="1"/>
  <c r="P65" i="2"/>
  <c r="Q65" i="8" s="1"/>
  <c r="P66" i="2"/>
  <c r="P67" i="2"/>
  <c r="U67" i="2" s="1"/>
  <c r="P68" i="2"/>
  <c r="Q68" i="8" s="1"/>
  <c r="P69" i="2"/>
  <c r="Q69" i="8" s="1"/>
  <c r="P70" i="2"/>
  <c r="P71" i="2"/>
  <c r="W71" i="2" s="1"/>
  <c r="P72" i="2"/>
  <c r="Q72" i="8" s="1"/>
  <c r="P73" i="2"/>
  <c r="Q73" i="8" s="1"/>
  <c r="P74" i="2"/>
  <c r="Q74" i="8" s="1"/>
  <c r="P75" i="2"/>
  <c r="W75" i="2" s="1"/>
  <c r="P76" i="2"/>
  <c r="P77" i="2"/>
  <c r="P78" i="2"/>
  <c r="Q78" i="8" s="1"/>
  <c r="P79" i="2"/>
  <c r="P80" i="2"/>
  <c r="Q80" i="8" s="1"/>
  <c r="P81" i="2"/>
  <c r="P82" i="2"/>
  <c r="P83" i="2"/>
  <c r="P84" i="2"/>
  <c r="Q84" i="8" s="1"/>
  <c r="P85" i="2"/>
  <c r="Q85" i="8" s="1"/>
  <c r="P86" i="2"/>
  <c r="P87" i="2"/>
  <c r="P88" i="2"/>
  <c r="Q88" i="8" s="1"/>
  <c r="P89" i="2"/>
  <c r="Q89" i="8" s="1"/>
  <c r="P90" i="2"/>
  <c r="V90" i="2" s="1"/>
  <c r="P91" i="2"/>
  <c r="V91" i="2" s="1"/>
  <c r="P92" i="2"/>
  <c r="Q92" i="8" s="1"/>
  <c r="P93" i="2"/>
  <c r="Q93" i="8" s="1"/>
  <c r="P94" i="2"/>
  <c r="P95" i="2"/>
  <c r="V95" i="2" s="1"/>
  <c r="P96" i="2"/>
  <c r="Q96" i="8" s="1"/>
  <c r="P97" i="2"/>
  <c r="Q97" i="8" s="1"/>
  <c r="P98" i="2"/>
  <c r="P99" i="2"/>
  <c r="W99" i="2" s="1"/>
  <c r="P100" i="2"/>
  <c r="Q100" i="8" s="1"/>
  <c r="P101" i="2"/>
  <c r="Q101" i="8" s="1"/>
  <c r="P102" i="2"/>
  <c r="Q102" i="8" s="1"/>
  <c r="P103" i="2"/>
  <c r="P104" i="2"/>
  <c r="Q104" i="8" s="1"/>
  <c r="P105" i="2"/>
  <c r="P106" i="2"/>
  <c r="P107" i="2"/>
  <c r="P108" i="2"/>
  <c r="Q108" i="8" s="1"/>
  <c r="P109" i="2"/>
  <c r="Q109" i="8" s="1"/>
  <c r="P110" i="2"/>
  <c r="R110" i="2" s="1"/>
  <c r="Y110" i="2" s="1"/>
  <c r="P111" i="2"/>
  <c r="V111" i="2" s="1"/>
  <c r="P112" i="2"/>
  <c r="Q112" i="8" s="1"/>
  <c r="P113" i="2"/>
  <c r="Q113" i="8" s="1"/>
  <c r="P114" i="2"/>
  <c r="P115" i="2"/>
  <c r="U115" i="2" s="1"/>
  <c r="P116" i="2"/>
  <c r="Q116" i="8" s="1"/>
  <c r="P117" i="2"/>
  <c r="Q117" i="8" s="1"/>
  <c r="P118" i="2"/>
  <c r="P119" i="2"/>
  <c r="P120" i="2"/>
  <c r="Q120" i="8" s="1"/>
  <c r="P121" i="2"/>
  <c r="Q121" i="8" s="1"/>
  <c r="P122" i="2"/>
  <c r="P123" i="2"/>
  <c r="P124" i="2"/>
  <c r="Q124" i="8" s="1"/>
  <c r="P125" i="2"/>
  <c r="P126" i="2"/>
  <c r="Q126" i="8" s="1"/>
  <c r="P127" i="2"/>
  <c r="P128" i="2"/>
  <c r="Q128" i="8" s="1"/>
  <c r="P129" i="2"/>
  <c r="P130" i="2"/>
  <c r="P131" i="2"/>
  <c r="P132" i="2"/>
  <c r="Q132" i="8" s="1"/>
  <c r="P133" i="2"/>
  <c r="Q133" i="8" s="1"/>
  <c r="P134" i="2"/>
  <c r="U134" i="2" s="1"/>
  <c r="P135" i="2"/>
  <c r="U135" i="2" s="1"/>
  <c r="P136" i="2"/>
  <c r="Q136" i="8" s="1"/>
  <c r="P137" i="2"/>
  <c r="Q137" i="8" s="1"/>
  <c r="P138" i="2"/>
  <c r="T138" i="2" s="1"/>
  <c r="AA138" i="2" s="1"/>
  <c r="P139" i="2"/>
  <c r="U139" i="2" s="1"/>
  <c r="P140" i="2"/>
  <c r="Q140" i="8" s="1"/>
  <c r="P141" i="2"/>
  <c r="Q141" i="8" s="1"/>
  <c r="P142" i="2"/>
  <c r="W142" i="2" s="1"/>
  <c r="P143" i="2"/>
  <c r="P144" i="2"/>
  <c r="Q144" i="8" s="1"/>
  <c r="P145" i="2"/>
  <c r="Q145" i="8" s="1"/>
  <c r="P146" i="2"/>
  <c r="P147" i="2"/>
  <c r="P148" i="2"/>
  <c r="Q148" i="8" s="1"/>
  <c r="P149" i="2"/>
  <c r="P150" i="2"/>
  <c r="Q150" i="8" s="1"/>
  <c r="P151" i="2"/>
  <c r="U151" i="2" s="1"/>
  <c r="P152" i="2"/>
  <c r="Q152" i="8" s="1"/>
  <c r="P153" i="2"/>
  <c r="P154" i="2"/>
  <c r="P155" i="2"/>
  <c r="P156" i="2"/>
  <c r="Q156" i="8" s="1"/>
  <c r="P157" i="2"/>
  <c r="Q157" i="8" s="1"/>
  <c r="P158" i="2"/>
  <c r="P159" i="2"/>
  <c r="T159" i="2" s="1"/>
  <c r="AA159" i="2" s="1"/>
  <c r="P160" i="2"/>
  <c r="Q160" i="8" s="1"/>
  <c r="P161" i="2"/>
  <c r="Q161" i="8" s="1"/>
  <c r="P162" i="2"/>
  <c r="P163" i="2"/>
  <c r="P164" i="2"/>
  <c r="Q164" i="8" s="1"/>
  <c r="P165" i="2"/>
  <c r="Q165" i="8" s="1"/>
  <c r="P166" i="2"/>
  <c r="P167" i="2"/>
  <c r="V167" i="2" s="1"/>
  <c r="P168" i="2"/>
  <c r="Q168" i="8" s="1"/>
  <c r="P169" i="2"/>
  <c r="Q169" i="8" s="1"/>
  <c r="P170" i="2"/>
  <c r="P171" i="2"/>
  <c r="W171" i="2" s="1"/>
  <c r="P172" i="2"/>
  <c r="Q172" i="8" s="1"/>
  <c r="P173" i="2"/>
  <c r="P174" i="2"/>
  <c r="Q174" i="8" s="1"/>
  <c r="P175" i="2"/>
  <c r="W175" i="2" s="1"/>
  <c r="P176" i="2"/>
  <c r="Q176" i="8" s="1"/>
  <c r="P177" i="2"/>
  <c r="P178" i="2"/>
  <c r="P179" i="2"/>
  <c r="P180" i="2"/>
  <c r="Q180" i="8" s="1"/>
  <c r="P181" i="2"/>
  <c r="Q181" i="8" s="1"/>
  <c r="P182" i="2"/>
  <c r="V182" i="2" s="1"/>
  <c r="P183" i="2"/>
  <c r="P184" i="2"/>
  <c r="Q184" i="8" s="1"/>
  <c r="P185" i="2"/>
  <c r="Q185" i="8" s="1"/>
  <c r="P186" i="2"/>
  <c r="V186" i="2" s="1"/>
  <c r="P187" i="2"/>
  <c r="U187" i="2" s="1"/>
  <c r="P188" i="2"/>
  <c r="Q188" i="8" s="1"/>
  <c r="P189" i="2"/>
  <c r="Q189" i="8" s="1"/>
  <c r="P190" i="2"/>
  <c r="P191" i="2"/>
  <c r="P192" i="2"/>
  <c r="Q192" i="8" s="1"/>
  <c r="P193" i="2"/>
  <c r="Q193" i="8" s="1"/>
  <c r="P194" i="2"/>
  <c r="V194" i="2" s="1"/>
  <c r="P195" i="2"/>
  <c r="W195" i="2" s="1"/>
  <c r="P196" i="2"/>
  <c r="Q196" i="8" s="1"/>
  <c r="P197" i="2"/>
  <c r="Q197" i="8" s="1"/>
  <c r="P198" i="2"/>
  <c r="P199" i="2"/>
  <c r="P200" i="2"/>
  <c r="P201" i="2"/>
  <c r="P202" i="2"/>
  <c r="P203" i="2"/>
  <c r="P204" i="2"/>
  <c r="Q204" i="8" s="1"/>
  <c r="P205" i="2"/>
  <c r="Q205" i="8" s="1"/>
  <c r="P206" i="2"/>
  <c r="P207" i="2"/>
  <c r="R207" i="2" s="1"/>
  <c r="Y207" i="2" s="1"/>
  <c r="P208" i="2"/>
  <c r="Q208" i="8" s="1"/>
  <c r="P209" i="2"/>
  <c r="Q209" i="8" s="1"/>
  <c r="P210" i="2"/>
  <c r="P211" i="2"/>
  <c r="V211" i="2" s="1"/>
  <c r="P212" i="2"/>
  <c r="Q212" i="8" s="1"/>
  <c r="P213" i="2"/>
  <c r="Q213" i="8" s="1"/>
  <c r="P214" i="2"/>
  <c r="P215" i="2"/>
  <c r="P216" i="2"/>
  <c r="Q216" i="8" s="1"/>
  <c r="P217" i="2"/>
  <c r="U217" i="2" s="1"/>
  <c r="P218" i="2"/>
  <c r="R218" i="2" s="1"/>
  <c r="Y218" i="2" s="1"/>
  <c r="P219" i="2"/>
  <c r="T219" i="2" s="1"/>
  <c r="AA219" i="2" s="1"/>
  <c r="P220" i="2"/>
  <c r="Q220" i="8" s="1"/>
  <c r="P221" i="2"/>
  <c r="Q221" i="8" s="1"/>
  <c r="P222" i="2"/>
  <c r="Q222" i="8" s="1"/>
  <c r="P223" i="2"/>
  <c r="P224" i="2"/>
  <c r="P225" i="2"/>
  <c r="P226" i="2"/>
  <c r="P227" i="2"/>
  <c r="P228" i="2"/>
  <c r="Q228" i="8" s="1"/>
  <c r="P229" i="2"/>
  <c r="Q229" i="8" s="1"/>
  <c r="P230" i="2"/>
  <c r="W230" i="2" s="1"/>
  <c r="P231" i="2"/>
  <c r="P232" i="2"/>
  <c r="Q232" i="8" s="1"/>
  <c r="P233" i="2"/>
  <c r="Q233" i="8" s="1"/>
  <c r="P234" i="2"/>
  <c r="P235" i="2"/>
  <c r="V235" i="2" s="1"/>
  <c r="P236" i="2"/>
  <c r="Q236" i="8" s="1"/>
  <c r="P237" i="2"/>
  <c r="Q237" i="8" s="1"/>
  <c r="P238" i="2"/>
  <c r="W238" i="2" s="1"/>
  <c r="P239" i="2"/>
  <c r="P240" i="2"/>
  <c r="Q240" i="8" s="1"/>
  <c r="P241" i="2"/>
  <c r="Q241" i="8" s="1"/>
  <c r="P242" i="2"/>
  <c r="U242" i="2" s="1"/>
  <c r="P243" i="2"/>
  <c r="P244" i="2"/>
  <c r="Q244" i="8" s="1"/>
  <c r="P245" i="2"/>
  <c r="P246" i="2"/>
  <c r="Q246" i="8" s="1"/>
  <c r="P247" i="2"/>
  <c r="P248" i="2"/>
  <c r="Q248" i="8" s="1"/>
  <c r="P249" i="2"/>
  <c r="P250" i="2"/>
  <c r="P251" i="2"/>
  <c r="P252" i="2"/>
  <c r="Q252" i="8" s="1"/>
  <c r="P253" i="2"/>
  <c r="Q253" i="8" s="1"/>
  <c r="P254" i="2"/>
  <c r="P255" i="2"/>
  <c r="P256" i="2"/>
  <c r="Q256" i="8" s="1"/>
  <c r="P257" i="2"/>
  <c r="Q257" i="8" s="1"/>
  <c r="P258" i="2"/>
  <c r="P259" i="2"/>
  <c r="W259" i="2" s="1"/>
  <c r="P260" i="2"/>
  <c r="Q260" i="8" s="1"/>
  <c r="P261" i="2"/>
  <c r="Q261" i="8" s="1"/>
  <c r="P262" i="2"/>
  <c r="P263" i="2"/>
  <c r="P264" i="2"/>
  <c r="Q264" i="8" s="1"/>
  <c r="P265" i="2"/>
  <c r="Q265" i="8" s="1"/>
  <c r="P266" i="2"/>
  <c r="P267" i="2"/>
  <c r="W267" i="2" s="1"/>
  <c r="P268" i="2"/>
  <c r="Q268" i="8" s="1"/>
  <c r="P269" i="2"/>
  <c r="P270" i="2"/>
  <c r="P271" i="2"/>
  <c r="W271" i="2" s="1"/>
  <c r="P272" i="2"/>
  <c r="Q272" i="8" s="1"/>
  <c r="P273" i="2"/>
  <c r="P274" i="2"/>
  <c r="P275" i="2"/>
  <c r="P276" i="2"/>
  <c r="Q276" i="8" s="1"/>
  <c r="P277" i="2"/>
  <c r="Q277" i="8" s="1"/>
  <c r="P278" i="2"/>
  <c r="P279" i="2"/>
  <c r="P280" i="2"/>
  <c r="Q280" i="8" s="1"/>
  <c r="P281" i="2"/>
  <c r="Q281" i="8" s="1"/>
  <c r="P282" i="2"/>
  <c r="P283" i="2"/>
  <c r="V283" i="2" s="1"/>
  <c r="P284" i="2"/>
  <c r="Q284" i="8" s="1"/>
  <c r="P285" i="2"/>
  <c r="Q285" i="8" s="1"/>
  <c r="P286" i="2"/>
  <c r="P287" i="2"/>
  <c r="P288" i="2"/>
  <c r="Q288" i="8" s="1"/>
  <c r="P289" i="2"/>
  <c r="Q289" i="8" s="1"/>
  <c r="P290" i="2"/>
  <c r="P291" i="2"/>
  <c r="P292" i="2"/>
  <c r="Q292" i="8" s="1"/>
  <c r="P293" i="2"/>
  <c r="P294" i="2"/>
  <c r="Q294" i="8" s="1"/>
  <c r="P295" i="2"/>
  <c r="S295" i="2" s="1"/>
  <c r="Z295" i="2" s="1"/>
  <c r="P296" i="2"/>
  <c r="Q296" i="8" s="1"/>
  <c r="P297" i="2"/>
  <c r="P298" i="2"/>
  <c r="P299" i="2"/>
  <c r="P300" i="2"/>
  <c r="Q300" i="8" s="1"/>
  <c r="P301" i="2"/>
  <c r="Q301" i="8" s="1"/>
  <c r="P302" i="2"/>
  <c r="W302" i="2" s="1"/>
  <c r="P303" i="2"/>
  <c r="T303" i="2" s="1"/>
  <c r="AA303" i="2" s="1"/>
  <c r="P304" i="2"/>
  <c r="Q304" i="8" s="1"/>
  <c r="P305" i="2"/>
  <c r="Q305" i="8" s="1"/>
  <c r="P306" i="2"/>
  <c r="P307" i="2"/>
  <c r="P308" i="2"/>
  <c r="Q308" i="8" s="1"/>
  <c r="P309" i="2"/>
  <c r="Q309" i="8" s="1"/>
  <c r="P310" i="2"/>
  <c r="W310" i="2" s="1"/>
  <c r="P311" i="2"/>
  <c r="V311" i="2" s="1"/>
  <c r="P312" i="2"/>
  <c r="Q312" i="8" s="1"/>
  <c r="P313" i="2"/>
  <c r="Q313" i="8" s="1"/>
  <c r="P314" i="2"/>
  <c r="T314" i="2" s="1"/>
  <c r="AA314" i="2" s="1"/>
  <c r="P315" i="2"/>
  <c r="S315" i="2" s="1"/>
  <c r="Z315" i="2" s="1"/>
  <c r="P316" i="2"/>
  <c r="Q316" i="8" s="1"/>
  <c r="P317" i="2"/>
  <c r="P318" i="2"/>
  <c r="Q318" i="8" s="1"/>
  <c r="P319" i="2"/>
  <c r="R319" i="2" s="1"/>
  <c r="Y319" i="2" s="1"/>
  <c r="P320" i="2"/>
  <c r="Q320" i="8" s="1"/>
  <c r="P321" i="2"/>
  <c r="P322" i="2"/>
  <c r="P323" i="2"/>
  <c r="P324" i="2"/>
  <c r="Q324" i="8" s="1"/>
  <c r="P325" i="2"/>
  <c r="Q325" i="8" s="1"/>
  <c r="P326" i="2"/>
  <c r="U326" i="2" s="1"/>
  <c r="P327" i="2"/>
  <c r="U327" i="2" s="1"/>
  <c r="P328" i="2"/>
  <c r="Q328" i="8" s="1"/>
  <c r="P329" i="2"/>
  <c r="Q329" i="8" s="1"/>
  <c r="P330" i="2"/>
  <c r="W330" i="2" s="1"/>
  <c r="P331" i="2"/>
  <c r="V331" i="2" s="1"/>
  <c r="P332" i="2"/>
  <c r="Q332" i="8" s="1"/>
  <c r="P333" i="2"/>
  <c r="Q333" i="8" s="1"/>
  <c r="P334" i="2"/>
  <c r="P335" i="2"/>
  <c r="P336" i="2"/>
  <c r="Q336" i="8" s="1"/>
  <c r="P337" i="2"/>
  <c r="Q337" i="8" s="1"/>
  <c r="P338" i="2"/>
  <c r="W338" i="2" s="1"/>
  <c r="P339" i="2"/>
  <c r="P340" i="2"/>
  <c r="Q340" i="8" s="1"/>
  <c r="P341" i="2"/>
  <c r="P342" i="2"/>
  <c r="P343" i="2"/>
  <c r="T343" i="2" s="1"/>
  <c r="AA343" i="2" s="1"/>
  <c r="P344" i="2"/>
  <c r="P345" i="2"/>
  <c r="P346" i="2"/>
  <c r="P347" i="2"/>
  <c r="P348" i="2"/>
  <c r="Q348" i="8" s="1"/>
  <c r="P349" i="2"/>
  <c r="Q349" i="8" s="1"/>
  <c r="P350" i="2"/>
  <c r="P351" i="2"/>
  <c r="V351" i="2" s="1"/>
  <c r="P352" i="2"/>
  <c r="Q352" i="8" s="1"/>
  <c r="P353" i="2"/>
  <c r="Q353" i="8" s="1"/>
  <c r="P354" i="2"/>
  <c r="P355" i="2"/>
  <c r="P356" i="2"/>
  <c r="Q356" i="8" s="1"/>
  <c r="P357" i="2"/>
  <c r="Q357" i="8" s="1"/>
  <c r="P358" i="2"/>
  <c r="P359" i="2"/>
  <c r="V359" i="2" s="1"/>
  <c r="P360" i="2"/>
  <c r="Q360" i="8" s="1"/>
  <c r="P361" i="2"/>
  <c r="Q361" i="8" s="1"/>
  <c r="P362" i="2"/>
  <c r="P363" i="2"/>
  <c r="P364" i="2"/>
  <c r="Q364" i="8" s="1"/>
  <c r="P365" i="2"/>
  <c r="P366" i="2"/>
  <c r="Q366" i="8" s="1"/>
  <c r="P367" i="2"/>
  <c r="W367" i="2" s="1"/>
  <c r="P368" i="2"/>
  <c r="P369" i="2"/>
  <c r="P370" i="2"/>
  <c r="P371" i="2"/>
  <c r="P372" i="2"/>
  <c r="Q372" i="8" s="1"/>
  <c r="P373" i="2"/>
  <c r="Q373" i="8" s="1"/>
  <c r="P374" i="2"/>
  <c r="P375" i="2"/>
  <c r="Q375" i="2" s="1"/>
  <c r="X375" i="2" s="1"/>
  <c r="P376" i="2"/>
  <c r="Q376" i="8" s="1"/>
  <c r="P377" i="2"/>
  <c r="Q377" i="8" s="1"/>
  <c r="P378" i="2"/>
  <c r="P379" i="2"/>
  <c r="T379" i="2" s="1"/>
  <c r="AA379" i="2" s="1"/>
  <c r="P380" i="2"/>
  <c r="Q380" i="8" s="1"/>
  <c r="P381" i="2"/>
  <c r="Q381" i="8" s="1"/>
  <c r="P382" i="2"/>
  <c r="W382" i="2" s="1"/>
  <c r="P383" i="2"/>
  <c r="W383" i="2" s="1"/>
  <c r="P384" i="2"/>
  <c r="Q384" i="8" s="1"/>
  <c r="P385" i="2"/>
  <c r="Q385" i="8" s="1"/>
  <c r="P386" i="2"/>
  <c r="P387" i="2"/>
  <c r="P388" i="2"/>
  <c r="Q388" i="8" s="1"/>
  <c r="P389" i="2"/>
  <c r="Q389" i="8" s="1"/>
  <c r="P390" i="2"/>
  <c r="Q390" i="8" s="1"/>
  <c r="P391" i="2"/>
  <c r="V391" i="2" s="1"/>
  <c r="P392" i="2"/>
  <c r="Q392" i="8" s="1"/>
  <c r="P393" i="2"/>
  <c r="P394" i="2"/>
  <c r="P395" i="2"/>
  <c r="P396" i="2"/>
  <c r="Q396" i="8" s="1"/>
  <c r="P397" i="2"/>
  <c r="Q397" i="8" s="1"/>
  <c r="P398" i="2"/>
  <c r="W398" i="2" s="1"/>
  <c r="P399" i="2"/>
  <c r="W399" i="2" s="1"/>
  <c r="P400" i="2"/>
  <c r="Q400" i="8" s="1"/>
  <c r="P401" i="2"/>
  <c r="Q401" i="8" s="1"/>
  <c r="P402" i="2"/>
  <c r="W402" i="2" s="1"/>
  <c r="P403" i="2"/>
  <c r="U403" i="2" s="1"/>
  <c r="P404" i="2"/>
  <c r="Q404" i="8" s="1"/>
  <c r="P405" i="2"/>
  <c r="Q405" i="8" s="1"/>
  <c r="P406" i="2"/>
  <c r="T406" i="2" s="1"/>
  <c r="AA406" i="2" s="1"/>
  <c r="P407" i="2"/>
  <c r="W407" i="2" s="1"/>
  <c r="P408" i="2"/>
  <c r="Q408" i="8" s="1"/>
  <c r="P409" i="2"/>
  <c r="Q409" i="8" s="1"/>
  <c r="P410" i="2"/>
  <c r="W410" i="2" s="1"/>
  <c r="P411" i="2"/>
  <c r="T411" i="2" s="1"/>
  <c r="AA411" i="2" s="1"/>
  <c r="P412" i="2"/>
  <c r="Q412" i="8" s="1"/>
  <c r="P413" i="2"/>
  <c r="Q413" i="8" s="1"/>
  <c r="P414" i="2"/>
  <c r="P415" i="2"/>
  <c r="W415" i="2" s="1"/>
  <c r="P416" i="2"/>
  <c r="Q416" i="8" s="1"/>
  <c r="P417" i="2"/>
  <c r="P418" i="2"/>
  <c r="P419" i="2"/>
  <c r="P420" i="2"/>
  <c r="Q420" i="8" s="1"/>
  <c r="P421" i="2"/>
  <c r="Q421" i="8" s="1"/>
  <c r="P422" i="2"/>
  <c r="P423" i="2"/>
  <c r="U423" i="2" s="1"/>
  <c r="P424" i="2"/>
  <c r="Q424" i="8" s="1"/>
  <c r="P425" i="2"/>
  <c r="Q425" i="8" s="1"/>
  <c r="P426" i="2"/>
  <c r="P427" i="2"/>
  <c r="V427" i="2" s="1"/>
  <c r="P428" i="2"/>
  <c r="Q428" i="8" s="1"/>
  <c r="P429" i="2"/>
  <c r="Q429" i="8" s="1"/>
  <c r="P430" i="2"/>
  <c r="T430" i="2" s="1"/>
  <c r="AA430" i="2" s="1"/>
  <c r="P431" i="2"/>
  <c r="P432" i="2"/>
  <c r="Q432" i="8" s="1"/>
  <c r="P433" i="2"/>
  <c r="Q433" i="8" s="1"/>
  <c r="P434" i="2"/>
  <c r="U434" i="2" s="1"/>
  <c r="P435" i="2"/>
  <c r="P436" i="2"/>
  <c r="Q436" i="8" s="1"/>
  <c r="P437" i="2"/>
  <c r="P438" i="2"/>
  <c r="Q438" i="8" s="1"/>
  <c r="P439" i="2"/>
  <c r="R439" i="2" s="1"/>
  <c r="Y439" i="2" s="1"/>
  <c r="P440" i="2"/>
  <c r="P441" i="2"/>
  <c r="P442" i="2"/>
  <c r="P443" i="2"/>
  <c r="P444" i="2"/>
  <c r="Q444" i="8" s="1"/>
  <c r="P445" i="2"/>
  <c r="Q445" i="8" s="1"/>
  <c r="P446" i="2"/>
  <c r="P447" i="2"/>
  <c r="S447" i="2" s="1"/>
  <c r="Z447" i="2" s="1"/>
  <c r="P448" i="2"/>
  <c r="Q448" i="8" s="1"/>
  <c r="P449" i="2"/>
  <c r="Q449" i="8" s="1"/>
  <c r="P450" i="2"/>
  <c r="P451" i="2"/>
  <c r="W451" i="2" s="1"/>
  <c r="P452" i="2"/>
  <c r="Q452" i="8" s="1"/>
  <c r="P453" i="2"/>
  <c r="Q453" i="8" s="1"/>
  <c r="P454" i="2"/>
  <c r="P455" i="2"/>
  <c r="V455" i="2" s="1"/>
  <c r="P456" i="2"/>
  <c r="Q456" i="8" s="1"/>
  <c r="P457" i="2"/>
  <c r="Q457" i="8" s="1"/>
  <c r="P458" i="2"/>
  <c r="S458" i="2" s="1"/>
  <c r="Z458" i="2" s="1"/>
  <c r="P459" i="2"/>
  <c r="W459" i="2" s="1"/>
  <c r="P460" i="2"/>
  <c r="Q460" i="8" s="1"/>
  <c r="P461" i="2"/>
  <c r="P462" i="2"/>
  <c r="Q462" i="8" s="1"/>
  <c r="P463" i="2"/>
  <c r="W463" i="2" s="1"/>
  <c r="P464" i="2"/>
  <c r="P465" i="2"/>
  <c r="P466" i="2"/>
  <c r="P467" i="2"/>
  <c r="P468" i="2"/>
  <c r="Q468" i="8" s="1"/>
  <c r="P469" i="2"/>
  <c r="Q469" i="8" s="1"/>
  <c r="P470" i="2"/>
  <c r="P471" i="2"/>
  <c r="P472" i="2"/>
  <c r="Q472" i="8" s="1"/>
  <c r="P473" i="2"/>
  <c r="Q473" i="8" s="1"/>
  <c r="P474" i="2"/>
  <c r="P475" i="2"/>
  <c r="R475" i="2" s="1"/>
  <c r="Y475" i="2" s="1"/>
  <c r="P476" i="2"/>
  <c r="Q476" i="8" s="1"/>
  <c r="P477" i="2"/>
  <c r="Q477" i="8" s="1"/>
  <c r="P478" i="2"/>
  <c r="V478" i="2" s="1"/>
  <c r="P479" i="2"/>
  <c r="W479" i="2" s="1"/>
  <c r="P480" i="2"/>
  <c r="Q480" i="8" s="1"/>
  <c r="P481" i="2"/>
  <c r="Q481" i="8" s="1"/>
  <c r="P482" i="2"/>
  <c r="P483" i="2"/>
  <c r="U483" i="2" s="1"/>
  <c r="P484" i="2"/>
  <c r="Q484" i="8" s="1"/>
  <c r="P485" i="2"/>
  <c r="P486" i="2"/>
  <c r="Q486" i="8" s="1"/>
  <c r="P487" i="2"/>
  <c r="V487" i="2" s="1"/>
  <c r="P488" i="2"/>
  <c r="Q488" i="8" s="1"/>
  <c r="P489" i="2"/>
  <c r="P490" i="2"/>
  <c r="P491" i="2"/>
  <c r="P492" i="2"/>
  <c r="Q492" i="8" s="1"/>
  <c r="P493" i="2"/>
  <c r="Q493" i="8" s="1"/>
  <c r="P494" i="2"/>
  <c r="R494" i="2" s="1"/>
  <c r="Y494" i="2" s="1"/>
  <c r="P495" i="2"/>
  <c r="W495" i="2" s="1"/>
  <c r="P496" i="2"/>
  <c r="Q496" i="8" s="1"/>
  <c r="P498" i="2"/>
  <c r="Q498" i="8" s="1"/>
  <c r="P499" i="2"/>
  <c r="W499" i="2" s="1"/>
  <c r="P500" i="2"/>
  <c r="U500" i="2" s="1"/>
  <c r="P501" i="2"/>
  <c r="Q501" i="8" s="1"/>
  <c r="P502" i="2"/>
  <c r="Q502" i="8" s="1"/>
  <c r="P503" i="2"/>
  <c r="W503" i="2" s="1"/>
  <c r="P504" i="2"/>
  <c r="W504" i="2" s="1"/>
  <c r="P505" i="2"/>
  <c r="Q505" i="8" s="1"/>
  <c r="P506" i="2"/>
  <c r="Q506" i="8" s="1"/>
  <c r="P507" i="2"/>
  <c r="W507" i="2" s="1"/>
  <c r="P508" i="2"/>
  <c r="P509" i="2"/>
  <c r="Q509" i="8" s="1"/>
  <c r="P510" i="2"/>
  <c r="Q510" i="8" s="1"/>
  <c r="P511" i="2"/>
  <c r="Q511" i="8" s="1"/>
  <c r="P512" i="2"/>
  <c r="P513" i="2"/>
  <c r="Q513" i="8" s="1"/>
  <c r="P514" i="2"/>
  <c r="P515" i="2"/>
  <c r="P516" i="2"/>
  <c r="P517" i="2"/>
  <c r="Q517" i="8" s="1"/>
  <c r="P518" i="2"/>
  <c r="Q518" i="8" s="1"/>
  <c r="P519" i="2"/>
  <c r="P520" i="2"/>
  <c r="W520" i="2" s="1"/>
  <c r="P521" i="2"/>
  <c r="Q521" i="8" s="1"/>
  <c r="P522" i="2"/>
  <c r="Q522" i="8" s="1"/>
  <c r="P523" i="2"/>
  <c r="U523" i="2" s="1"/>
  <c r="P524" i="2"/>
  <c r="V524" i="2" s="1"/>
  <c r="P525" i="2"/>
  <c r="Q525" i="8" s="1"/>
  <c r="P526" i="2"/>
  <c r="Q526" i="8" s="1"/>
  <c r="P527" i="2"/>
  <c r="U527" i="2" s="1"/>
  <c r="P528" i="2"/>
  <c r="W528" i="2" s="1"/>
  <c r="P529" i="2"/>
  <c r="Q529" i="8" s="1"/>
  <c r="P530" i="2"/>
  <c r="Q530" i="8" s="1"/>
  <c r="P531" i="2"/>
  <c r="P532" i="2"/>
  <c r="V532" i="2" s="1"/>
  <c r="P533" i="2"/>
  <c r="Q533" i="8" s="1"/>
  <c r="P534" i="2"/>
  <c r="P535" i="2"/>
  <c r="Q535" i="8" s="1"/>
  <c r="P536" i="2"/>
  <c r="P537" i="2"/>
  <c r="Q537" i="8" s="1"/>
  <c r="P538" i="2"/>
  <c r="P539" i="2"/>
  <c r="P540" i="2"/>
  <c r="P541" i="2"/>
  <c r="Q541" i="8" s="1"/>
  <c r="P542" i="2"/>
  <c r="Q542" i="8" s="1"/>
  <c r="P543" i="2"/>
  <c r="Q543" i="8" s="1"/>
  <c r="P544" i="2"/>
  <c r="W544" i="2" s="1"/>
  <c r="P545" i="2"/>
  <c r="Q545" i="8" s="1"/>
  <c r="P546" i="2"/>
  <c r="Q546" i="8" s="1"/>
  <c r="P547" i="2"/>
  <c r="P548" i="2"/>
  <c r="R548" i="2" s="1"/>
  <c r="Y548" i="2" s="1"/>
  <c r="P549" i="2"/>
  <c r="Q549" i="8" s="1"/>
  <c r="P550" i="2"/>
  <c r="Q550" i="8" s="1"/>
  <c r="P551" i="2"/>
  <c r="P552" i="2"/>
  <c r="P553" i="2"/>
  <c r="Q553" i="8" s="1"/>
  <c r="P554" i="2"/>
  <c r="Q554" i="8" s="1"/>
  <c r="P555" i="2"/>
  <c r="V555" i="2" s="1"/>
  <c r="P556" i="2"/>
  <c r="W556" i="2" s="1"/>
  <c r="P557" i="2"/>
  <c r="Q557" i="8" s="1"/>
  <c r="P558" i="2"/>
  <c r="P559" i="2"/>
  <c r="P560" i="2"/>
  <c r="T560" i="2" s="1"/>
  <c r="AA560" i="2" s="1"/>
  <c r="P561" i="2"/>
  <c r="Q561" i="8" s="1"/>
  <c r="P562" i="2"/>
  <c r="P563" i="2"/>
  <c r="P564" i="2"/>
  <c r="P565" i="2"/>
  <c r="Q565" i="8" s="1"/>
  <c r="P566" i="2"/>
  <c r="Q566" i="8" s="1"/>
  <c r="P567" i="2"/>
  <c r="V567" i="2" s="1"/>
  <c r="P568" i="2"/>
  <c r="P569" i="2"/>
  <c r="Q569" i="8" s="1"/>
  <c r="P570" i="2"/>
  <c r="Q570" i="8" s="1"/>
  <c r="P571" i="2"/>
  <c r="V571" i="2" s="1"/>
  <c r="P572" i="2"/>
  <c r="P573" i="2"/>
  <c r="Q573" i="8" s="1"/>
  <c r="P574" i="2"/>
  <c r="Q574" i="8" s="1"/>
  <c r="P575" i="2"/>
  <c r="V575" i="2" s="1"/>
  <c r="P576" i="2"/>
  <c r="W576" i="2" s="1"/>
  <c r="P577" i="2"/>
  <c r="Q577" i="8" s="1"/>
  <c r="P578" i="2"/>
  <c r="Q578" i="8" s="1"/>
  <c r="P579" i="2"/>
  <c r="P580" i="2"/>
  <c r="U580" i="2" s="1"/>
  <c r="P581" i="2"/>
  <c r="Q581" i="8" s="1"/>
  <c r="P582" i="2"/>
  <c r="Q582" i="8" s="1"/>
  <c r="P583" i="2"/>
  <c r="Q583" i="8" s="1"/>
  <c r="P584" i="2"/>
  <c r="V584" i="2" s="1"/>
  <c r="P585" i="2"/>
  <c r="Q585" i="8" s="1"/>
  <c r="P586" i="2"/>
  <c r="Q586" i="8" s="1"/>
  <c r="P587" i="2"/>
  <c r="P588" i="2"/>
  <c r="Q588" i="8" s="1"/>
  <c r="P589" i="2"/>
  <c r="Q589" i="8" s="1"/>
  <c r="P590" i="2"/>
  <c r="Q590" i="8" s="1"/>
  <c r="P591" i="2"/>
  <c r="W591" i="2" s="1"/>
  <c r="P592" i="2"/>
  <c r="R592" i="2" s="1"/>
  <c r="Y592" i="2" s="1"/>
  <c r="P593" i="2"/>
  <c r="Q593" i="8" s="1"/>
  <c r="P594" i="2"/>
  <c r="Q594" i="8" s="1"/>
  <c r="P595" i="2"/>
  <c r="W595" i="2" s="1"/>
  <c r="P596" i="2"/>
  <c r="S596" i="2" s="1"/>
  <c r="Z596" i="2" s="1"/>
  <c r="P597" i="2"/>
  <c r="Q597" i="8" s="1"/>
  <c r="P598" i="2"/>
  <c r="Q598" i="8" s="1"/>
  <c r="P599" i="2"/>
  <c r="U599" i="2" s="1"/>
  <c r="P600" i="2"/>
  <c r="T600" i="2" s="1"/>
  <c r="AA600" i="2" s="1"/>
  <c r="P601" i="2"/>
  <c r="Q601" i="8" s="1"/>
  <c r="P602" i="2"/>
  <c r="Q602" i="8" s="1"/>
  <c r="P603" i="2"/>
  <c r="R603" i="2" s="1"/>
  <c r="Y603" i="2" s="1"/>
  <c r="P604" i="2"/>
  <c r="P605" i="2"/>
  <c r="Q605" i="8" s="1"/>
  <c r="P606" i="2"/>
  <c r="Q606" i="8" s="1"/>
  <c r="P607" i="2"/>
  <c r="Q607" i="8" s="1"/>
  <c r="P608" i="2"/>
  <c r="W608" i="2" s="1"/>
  <c r="P609" i="2"/>
  <c r="Q609" i="8" s="1"/>
  <c r="P610" i="2"/>
  <c r="Q610" i="8" s="1"/>
  <c r="P611" i="2"/>
  <c r="P612" i="2"/>
  <c r="Q612" i="8" s="1"/>
  <c r="P613" i="2"/>
  <c r="Q613" i="8" s="1"/>
  <c r="P614" i="2"/>
  <c r="Q614" i="8" s="1"/>
  <c r="P615" i="2"/>
  <c r="U615" i="2" s="1"/>
  <c r="P616" i="2"/>
  <c r="W616" i="2" s="1"/>
  <c r="P617" i="2"/>
  <c r="Q617" i="8" s="1"/>
  <c r="P618" i="2"/>
  <c r="Q618" i="8" s="1"/>
  <c r="P619" i="2"/>
  <c r="P620" i="2"/>
  <c r="P621" i="2"/>
  <c r="Q621" i="8" s="1"/>
  <c r="P622" i="2"/>
  <c r="Q622" i="8" s="1"/>
  <c r="P623" i="2"/>
  <c r="U623" i="2" s="1"/>
  <c r="P624" i="2"/>
  <c r="W624" i="2" s="1"/>
  <c r="P625" i="2"/>
  <c r="Q625" i="8" s="1"/>
  <c r="P626" i="2"/>
  <c r="Q626" i="8" s="1"/>
  <c r="P627" i="2"/>
  <c r="U627" i="2" s="1"/>
  <c r="P628" i="2"/>
  <c r="P629" i="2"/>
  <c r="Q629" i="8" s="1"/>
  <c r="P630" i="2"/>
  <c r="P631" i="2"/>
  <c r="P632" i="2"/>
  <c r="T632" i="2" s="1"/>
  <c r="AA632" i="2" s="1"/>
  <c r="P633" i="2"/>
  <c r="Q633" i="8" s="1"/>
  <c r="P634" i="2"/>
  <c r="P635" i="2"/>
  <c r="P636" i="2"/>
  <c r="Q636" i="8" s="1"/>
  <c r="P637" i="2"/>
  <c r="Q637" i="8" s="1"/>
  <c r="P638" i="2"/>
  <c r="Q638" i="8" s="1"/>
  <c r="P639" i="2"/>
  <c r="V639" i="2" s="1"/>
  <c r="P640" i="2"/>
  <c r="W640" i="2" s="1"/>
  <c r="P641" i="2"/>
  <c r="Q641" i="8" s="1"/>
  <c r="P642" i="2"/>
  <c r="Q642" i="8" s="1"/>
  <c r="P643" i="2"/>
  <c r="P644" i="2"/>
  <c r="P645" i="2"/>
  <c r="Q645" i="8" s="1"/>
  <c r="P646" i="2"/>
  <c r="T646" i="2" s="1"/>
  <c r="AA646" i="2" s="1"/>
  <c r="P647" i="2"/>
  <c r="P648" i="2"/>
  <c r="V648" i="2" s="1"/>
  <c r="P649" i="2"/>
  <c r="Q649" i="8" s="1"/>
  <c r="P650" i="2"/>
  <c r="Q650" i="8" s="1"/>
  <c r="P651" i="2"/>
  <c r="Q651" i="8" s="1"/>
  <c r="P652" i="2"/>
  <c r="P653" i="2"/>
  <c r="Q653" i="8" s="1"/>
  <c r="P654" i="2"/>
  <c r="P655" i="2"/>
  <c r="Q655" i="8" s="1"/>
  <c r="P656" i="2"/>
  <c r="U656" i="2" s="1"/>
  <c r="P657" i="2"/>
  <c r="Q657" i="8" s="1"/>
  <c r="P658" i="2"/>
  <c r="P659" i="2"/>
  <c r="P660" i="2"/>
  <c r="Q660" i="8" s="1"/>
  <c r="P661" i="2"/>
  <c r="Q661" i="8" s="1"/>
  <c r="P662" i="2"/>
  <c r="Q662" i="8" s="1"/>
  <c r="P663" i="2"/>
  <c r="P664" i="2"/>
  <c r="P665" i="2"/>
  <c r="Q665" i="8" s="1"/>
  <c r="P666" i="2"/>
  <c r="Q666" i="8" s="1"/>
  <c r="P667" i="2"/>
  <c r="P668" i="2"/>
  <c r="P669" i="2"/>
  <c r="Q669" i="8" s="1"/>
  <c r="P670" i="2"/>
  <c r="Q670" i="8" s="1"/>
  <c r="P671" i="2"/>
  <c r="W671" i="2" s="1"/>
  <c r="P672" i="2"/>
  <c r="T672" i="2" s="1"/>
  <c r="AA672" i="2" s="1"/>
  <c r="P673" i="2"/>
  <c r="Q673" i="8" s="1"/>
  <c r="P674" i="2"/>
  <c r="Q674" i="8" s="1"/>
  <c r="P675" i="2"/>
  <c r="P676" i="2"/>
  <c r="P677" i="2"/>
  <c r="Q677" i="8" s="1"/>
  <c r="P678" i="2"/>
  <c r="P679" i="2"/>
  <c r="Q679" i="8" s="1"/>
  <c r="P680" i="2"/>
  <c r="V680" i="2" s="1"/>
  <c r="P681" i="2"/>
  <c r="Q681" i="8" s="1"/>
  <c r="P682" i="2"/>
  <c r="P683" i="2"/>
  <c r="P684" i="2"/>
  <c r="Q684" i="8" s="1"/>
  <c r="P685" i="2"/>
  <c r="Q685" i="8" s="1"/>
  <c r="P686" i="2"/>
  <c r="Q686" i="8" s="1"/>
  <c r="P687" i="2"/>
  <c r="R687" i="2" s="1"/>
  <c r="Y687" i="2" s="1"/>
  <c r="P688" i="2"/>
  <c r="U688" i="2" s="1"/>
  <c r="P689" i="2"/>
  <c r="Q689" i="8" s="1"/>
  <c r="P690" i="2"/>
  <c r="Q690" i="8" s="1"/>
  <c r="P691" i="2"/>
  <c r="W691" i="2" s="1"/>
  <c r="P692" i="2"/>
  <c r="P693" i="2"/>
  <c r="Q693" i="8" s="1"/>
  <c r="P694" i="2"/>
  <c r="Q694" i="8" s="1"/>
  <c r="P695" i="2"/>
  <c r="W695" i="2" s="1"/>
  <c r="P696" i="2"/>
  <c r="P697" i="2"/>
  <c r="Q697" i="8" s="1"/>
  <c r="P698" i="2"/>
  <c r="Q698" i="8" s="1"/>
  <c r="P699" i="2"/>
  <c r="W699" i="2" s="1"/>
  <c r="P700" i="2"/>
  <c r="V700" i="2" s="1"/>
  <c r="P701" i="2"/>
  <c r="Q701" i="8" s="1"/>
  <c r="P702" i="2"/>
  <c r="P703" i="2"/>
  <c r="Q703" i="8" s="1"/>
  <c r="P704" i="2"/>
  <c r="P705" i="2"/>
  <c r="Q705" i="8" s="1"/>
  <c r="P706" i="2"/>
  <c r="P707" i="2"/>
  <c r="P708" i="2"/>
  <c r="Q708" i="8" s="1"/>
  <c r="P709" i="2"/>
  <c r="Q709" i="8" s="1"/>
  <c r="P710" i="2"/>
  <c r="Q710" i="8" s="1"/>
  <c r="P711" i="2"/>
  <c r="P712" i="2"/>
  <c r="P713" i="2"/>
  <c r="Q713" i="8" s="1"/>
  <c r="P714" i="2"/>
  <c r="Q714" i="8" s="1"/>
  <c r="P715" i="2"/>
  <c r="U715" i="2" s="1"/>
  <c r="P716" i="2"/>
  <c r="S716" i="2" s="1"/>
  <c r="Z716" i="2" s="1"/>
  <c r="P717" i="2"/>
  <c r="Q717" i="8" s="1"/>
  <c r="P718" i="2"/>
  <c r="Q718" i="8" s="1"/>
  <c r="P719" i="2"/>
  <c r="P720" i="2"/>
  <c r="T720" i="2" s="1"/>
  <c r="AA720" i="2" s="1"/>
  <c r="P721" i="2"/>
  <c r="Q721" i="8" s="1"/>
  <c r="P722" i="2"/>
  <c r="Q722" i="8" s="1"/>
  <c r="P723" i="2"/>
  <c r="P724" i="2"/>
  <c r="P725" i="2"/>
  <c r="Q725" i="8" s="1"/>
  <c r="P726" i="2"/>
  <c r="P727" i="2"/>
  <c r="Q727" i="8" s="1"/>
  <c r="P728" i="2"/>
  <c r="V728" i="2" s="1"/>
  <c r="P729" i="2"/>
  <c r="P730" i="2"/>
  <c r="Q730" i="8" s="1"/>
  <c r="P731" i="2"/>
  <c r="P732" i="2"/>
  <c r="Q732" i="8" s="1"/>
  <c r="P733" i="2"/>
  <c r="Q733" i="8" s="1"/>
  <c r="P734" i="2"/>
  <c r="Q734" i="8" s="1"/>
  <c r="P735" i="2"/>
  <c r="Q735" i="8" s="1"/>
  <c r="P736" i="2"/>
  <c r="T736" i="2" s="1"/>
  <c r="AA736" i="2" s="1"/>
  <c r="P737" i="2"/>
  <c r="Q737" i="8" s="1"/>
  <c r="P738" i="2"/>
  <c r="Q738" i="8" s="1"/>
  <c r="P739" i="2"/>
  <c r="P740" i="2"/>
  <c r="W740" i="2" s="1"/>
  <c r="P741" i="2"/>
  <c r="Q741" i="8" s="1"/>
  <c r="P742" i="2"/>
  <c r="Q742" i="8" s="1"/>
  <c r="P743" i="2"/>
  <c r="P744" i="2"/>
  <c r="V744" i="2" s="1"/>
  <c r="P745" i="2"/>
  <c r="Q745" i="8" s="1"/>
  <c r="P746" i="2"/>
  <c r="Q746" i="8" s="1"/>
  <c r="P747" i="2"/>
  <c r="P748" i="2"/>
  <c r="P749" i="2"/>
  <c r="Q749" i="8" s="1"/>
  <c r="P750" i="2"/>
  <c r="P751" i="2"/>
  <c r="Q751" i="8" s="1"/>
  <c r="P752" i="2"/>
  <c r="T752" i="2" s="1"/>
  <c r="AA752" i="2" s="1"/>
  <c r="P753" i="2"/>
  <c r="Q753" i="8" s="1"/>
  <c r="P754" i="2"/>
  <c r="Q754" i="8" s="1"/>
  <c r="P755" i="2"/>
  <c r="P756" i="2"/>
  <c r="Q756" i="8" s="1"/>
  <c r="P757" i="2"/>
  <c r="Q757" i="8" s="1"/>
  <c r="P758" i="2"/>
  <c r="Q758" i="8" s="1"/>
  <c r="P759" i="2"/>
  <c r="P760" i="2"/>
  <c r="P761" i="2"/>
  <c r="Q761" i="8" s="1"/>
  <c r="P762" i="2"/>
  <c r="Q762" i="8" s="1"/>
  <c r="P763" i="2"/>
  <c r="P764" i="2"/>
  <c r="V764" i="2" s="1"/>
  <c r="P765" i="2"/>
  <c r="Q765" i="8" s="1"/>
  <c r="P766" i="2"/>
  <c r="Q766" i="8" s="1"/>
  <c r="P767" i="2"/>
  <c r="W767" i="2" s="1"/>
  <c r="P768" i="2"/>
  <c r="T768" i="2" s="1"/>
  <c r="AA768" i="2" s="1"/>
  <c r="P769" i="2"/>
  <c r="Q769" i="8" s="1"/>
  <c r="P770" i="2"/>
  <c r="Q770" i="8" s="1"/>
  <c r="P771" i="2"/>
  <c r="W771" i="2" s="1"/>
  <c r="P772" i="2"/>
  <c r="V772" i="2" s="1"/>
  <c r="P773" i="2"/>
  <c r="Q773" i="8" s="1"/>
  <c r="P774" i="2"/>
  <c r="Q774" i="8" s="1"/>
  <c r="P775" i="2"/>
  <c r="P776" i="2"/>
  <c r="V776" i="2" s="1"/>
  <c r="P777" i="2"/>
  <c r="Q777" i="8" s="1"/>
  <c r="P778" i="2"/>
  <c r="P779" i="2"/>
  <c r="P780" i="2"/>
  <c r="Q780" i="8" s="1"/>
  <c r="P781" i="2"/>
  <c r="Q781" i="8" s="1"/>
  <c r="P782" i="2"/>
  <c r="Q782" i="8" s="1"/>
  <c r="P783" i="2"/>
  <c r="W783" i="2" s="1"/>
  <c r="P784" i="2"/>
  <c r="W784" i="2" s="1"/>
  <c r="P785" i="2"/>
  <c r="Q785" i="8" s="1"/>
  <c r="P786" i="2"/>
  <c r="Q786" i="8" s="1"/>
  <c r="P787" i="2"/>
  <c r="T787" i="2" s="1"/>
  <c r="AA787" i="2" s="1"/>
  <c r="P788" i="2"/>
  <c r="S788" i="2" s="1"/>
  <c r="Z788" i="2" s="1"/>
  <c r="P789" i="2"/>
  <c r="Q789" i="8" s="1"/>
  <c r="P790" i="2"/>
  <c r="Q790" i="8" s="1"/>
  <c r="P791" i="2"/>
  <c r="W791" i="2" s="1"/>
  <c r="P792" i="2"/>
  <c r="P793" i="2"/>
  <c r="Q793" i="8" s="1"/>
  <c r="P794" i="2"/>
  <c r="Q794" i="8" s="1"/>
  <c r="P795" i="2"/>
  <c r="Q795" i="8" s="1"/>
  <c r="P796" i="2"/>
  <c r="V796" i="2" s="1"/>
  <c r="P797" i="2"/>
  <c r="Q797" i="8" s="1"/>
  <c r="P798" i="2"/>
  <c r="Q798" i="8" s="1"/>
  <c r="P799" i="2"/>
  <c r="Q799" i="8" s="1"/>
  <c r="P800" i="2"/>
  <c r="P801" i="2"/>
  <c r="Q801" i="8" s="1"/>
  <c r="P802" i="2"/>
  <c r="V802" i="2" s="1"/>
  <c r="P803" i="2"/>
  <c r="P804" i="2"/>
  <c r="Q804" i="8" s="1"/>
  <c r="P805" i="2"/>
  <c r="Q805" i="8" s="1"/>
  <c r="P806" i="2"/>
  <c r="Q806" i="8" s="1"/>
  <c r="P807" i="2"/>
  <c r="P808" i="2"/>
  <c r="T808" i="2" s="1"/>
  <c r="AA808" i="2" s="1"/>
  <c r="P809" i="2"/>
  <c r="Q809" i="8" s="1"/>
  <c r="P810" i="2"/>
  <c r="Q810" i="8" s="1"/>
  <c r="P811" i="2"/>
  <c r="P812" i="2"/>
  <c r="V812" i="2" s="1"/>
  <c r="P813" i="2"/>
  <c r="Q813" i="8" s="1"/>
  <c r="P814" i="2"/>
  <c r="Q814" i="8" s="1"/>
  <c r="P815" i="2"/>
  <c r="P816" i="2"/>
  <c r="P817" i="2"/>
  <c r="Q817" i="8" s="1"/>
  <c r="P818" i="2"/>
  <c r="Q818" i="8" s="1"/>
  <c r="P819" i="2"/>
  <c r="U819" i="2" s="1"/>
  <c r="P820" i="2"/>
  <c r="P821" i="2"/>
  <c r="Q821" i="8" s="1"/>
  <c r="P822" i="2"/>
  <c r="Q822" i="8" s="1"/>
  <c r="P823" i="2"/>
  <c r="Q823" i="8" s="1"/>
  <c r="P824" i="2"/>
  <c r="R824" i="2" s="1"/>
  <c r="Y824" i="2" s="1"/>
  <c r="P825" i="2"/>
  <c r="Q825" i="8" s="1"/>
  <c r="P826" i="2"/>
  <c r="P827" i="2"/>
  <c r="P828" i="2"/>
  <c r="Q828" i="8" s="1"/>
  <c r="P829" i="2"/>
  <c r="Q829" i="8" s="1"/>
  <c r="P830" i="2"/>
  <c r="Q830" i="8" s="1"/>
  <c r="P831" i="2"/>
  <c r="P832" i="2"/>
  <c r="P833" i="2"/>
  <c r="Q833" i="8" s="1"/>
  <c r="P834" i="2"/>
  <c r="Q834" i="8" s="1"/>
  <c r="P835" i="2"/>
  <c r="P836" i="2"/>
  <c r="W836" i="2" s="1"/>
  <c r="P837" i="2"/>
  <c r="Q837" i="8" s="1"/>
  <c r="P838" i="2"/>
  <c r="Q838" i="8" s="1"/>
  <c r="P839" i="2"/>
  <c r="P840" i="2"/>
  <c r="W840" i="2" s="1"/>
  <c r="P841" i="2"/>
  <c r="Q841" i="8" s="1"/>
  <c r="P842" i="2"/>
  <c r="Q842" i="8" s="1"/>
  <c r="P843" i="2"/>
  <c r="Q843" i="8" s="1"/>
  <c r="P844" i="2"/>
  <c r="W844" i="2" s="1"/>
  <c r="P845" i="2"/>
  <c r="Q845" i="8" s="1"/>
  <c r="P846" i="2"/>
  <c r="P847" i="2"/>
  <c r="P848" i="2"/>
  <c r="U848" i="2" s="1"/>
  <c r="P849" i="2"/>
  <c r="Q849" i="8" s="1"/>
  <c r="P850" i="2"/>
  <c r="P851" i="2"/>
  <c r="P852" i="2"/>
  <c r="Q852" i="8" s="1"/>
  <c r="P853" i="2"/>
  <c r="Q853" i="8" s="1"/>
  <c r="P854" i="2"/>
  <c r="Q854" i="8" s="1"/>
  <c r="P855" i="2"/>
  <c r="P856" i="2"/>
  <c r="P857" i="2"/>
  <c r="Q857" i="8" s="1"/>
  <c r="P858" i="2"/>
  <c r="Q858" i="8" s="1"/>
  <c r="P859" i="2"/>
  <c r="T859" i="2" s="1"/>
  <c r="AA859" i="2" s="1"/>
  <c r="P860" i="2"/>
  <c r="R860" i="2" s="1"/>
  <c r="Y860" i="2" s="1"/>
  <c r="P861" i="2"/>
  <c r="Q861" i="8" s="1"/>
  <c r="P862" i="2"/>
  <c r="Q862" i="8" s="1"/>
  <c r="P863" i="2"/>
  <c r="W863" i="2" s="1"/>
  <c r="P864" i="2"/>
  <c r="V864" i="2" s="1"/>
  <c r="P865" i="2"/>
  <c r="Q865" i="8" s="1"/>
  <c r="P866" i="2"/>
  <c r="Q866" i="8" s="1"/>
  <c r="P867" i="2"/>
  <c r="W867" i="2" s="1"/>
  <c r="P868" i="2"/>
  <c r="V868" i="2" s="1"/>
  <c r="P869" i="2"/>
  <c r="Q869" i="8" s="1"/>
  <c r="P870" i="2"/>
  <c r="P871" i="2"/>
  <c r="P872" i="2"/>
  <c r="V872" i="2" s="1"/>
  <c r="P873" i="2"/>
  <c r="Q873" i="8" s="1"/>
  <c r="P874" i="2"/>
  <c r="P875" i="2"/>
  <c r="P876" i="2"/>
  <c r="Q876" i="8" s="1"/>
  <c r="P877" i="2"/>
  <c r="Q877" i="8" s="1"/>
  <c r="P878" i="2"/>
  <c r="Q878" i="8" s="1"/>
  <c r="P879" i="2"/>
  <c r="W879" i="2" s="1"/>
  <c r="P880" i="2"/>
  <c r="U880" i="2" s="1"/>
  <c r="P881" i="2"/>
  <c r="Q881" i="8" s="1"/>
  <c r="P882" i="2"/>
  <c r="Q882" i="8" s="1"/>
  <c r="P883" i="2"/>
  <c r="W883" i="2" s="1"/>
  <c r="P884" i="2"/>
  <c r="T884" i="2" s="1"/>
  <c r="AA884" i="2" s="1"/>
  <c r="P885" i="2"/>
  <c r="U885" i="2" s="1"/>
  <c r="P886" i="2"/>
  <c r="Q886" i="8" s="1"/>
  <c r="P887" i="2"/>
  <c r="Q887" i="8" s="1"/>
  <c r="P888" i="2"/>
  <c r="P889" i="2"/>
  <c r="Q889" i="8" s="1"/>
  <c r="P890" i="2"/>
  <c r="Q890" i="8" s="1"/>
  <c r="P891" i="2"/>
  <c r="Q891" i="8" s="1"/>
  <c r="P892" i="2"/>
  <c r="T892" i="2" s="1"/>
  <c r="AA892" i="2" s="1"/>
  <c r="P893" i="2"/>
  <c r="Q893" i="8" s="1"/>
  <c r="P894" i="2"/>
  <c r="P895" i="2"/>
  <c r="Q895" i="8" s="1"/>
  <c r="P896" i="2"/>
  <c r="W896" i="2" s="1"/>
  <c r="P897" i="2"/>
  <c r="Q897" i="8" s="1"/>
  <c r="P898" i="2"/>
  <c r="P899" i="2"/>
  <c r="P900" i="2"/>
  <c r="Q900" i="8" s="1"/>
  <c r="P901" i="2"/>
  <c r="Q901" i="8" s="1"/>
  <c r="P902" i="2"/>
  <c r="Q902" i="8" s="1"/>
  <c r="P903" i="2"/>
  <c r="P904" i="2"/>
  <c r="P905" i="2"/>
  <c r="Q905" i="8" s="1"/>
  <c r="P906" i="2"/>
  <c r="Q906" i="8" s="1"/>
  <c r="P907" i="2"/>
  <c r="U907" i="2" s="1"/>
  <c r="P908" i="2"/>
  <c r="V908" i="2" s="1"/>
  <c r="P909" i="2"/>
  <c r="Q909" i="8" s="1"/>
  <c r="P910" i="2"/>
  <c r="Q910" i="8" s="1"/>
  <c r="P911" i="2"/>
  <c r="Q911" i="8" s="1"/>
  <c r="P912" i="2"/>
  <c r="T912" i="2" s="1"/>
  <c r="AA912" i="2" s="1"/>
  <c r="P913" i="2"/>
  <c r="Q913" i="8" s="1"/>
  <c r="P914" i="2"/>
  <c r="Q914" i="8" s="1"/>
  <c r="P915" i="2"/>
  <c r="V915" i="2" s="1"/>
  <c r="P916" i="2"/>
  <c r="P917" i="2"/>
  <c r="Q917" i="8" s="1"/>
  <c r="P918" i="2"/>
  <c r="Q918" i="8" s="1"/>
  <c r="P919" i="2"/>
  <c r="P920" i="2"/>
  <c r="T920" i="2" s="1"/>
  <c r="AA920" i="2" s="1"/>
  <c r="P921" i="2"/>
  <c r="Q921" i="8" s="1"/>
  <c r="P922" i="2"/>
  <c r="Q922" i="8" s="1"/>
  <c r="P923" i="2"/>
  <c r="P924" i="2"/>
  <c r="Q924" i="8" s="1"/>
  <c r="P925" i="2"/>
  <c r="Q925" i="8" s="1"/>
  <c r="P926" i="2"/>
  <c r="Q926" i="8" s="1"/>
  <c r="P927" i="2"/>
  <c r="P928" i="2"/>
  <c r="T928" i="2" s="1"/>
  <c r="AA928" i="2" s="1"/>
  <c r="P929" i="2"/>
  <c r="Q929" i="8" s="1"/>
  <c r="P930" i="2"/>
  <c r="Q930" i="8" s="1"/>
  <c r="P931" i="2"/>
  <c r="V931" i="2" s="1"/>
  <c r="P932" i="2"/>
  <c r="W932" i="2" s="1"/>
  <c r="P933" i="2"/>
  <c r="Q933" i="8" s="1"/>
  <c r="P934" i="2"/>
  <c r="Q934" i="8" s="1"/>
  <c r="P935" i="2"/>
  <c r="P936" i="2"/>
  <c r="T936" i="2" s="1"/>
  <c r="AA936" i="2" s="1"/>
  <c r="P937" i="2"/>
  <c r="Q937" i="8" s="1"/>
  <c r="P938" i="2"/>
  <c r="Q938" i="8" s="1"/>
  <c r="P939" i="2"/>
  <c r="V939" i="2" s="1"/>
  <c r="P940" i="2"/>
  <c r="W940" i="2" s="1"/>
  <c r="P941" i="2"/>
  <c r="Q941" i="8" s="1"/>
  <c r="P942" i="2"/>
  <c r="P943" i="2"/>
  <c r="Q943" i="8" s="1"/>
  <c r="P944" i="2"/>
  <c r="W944" i="2" s="1"/>
  <c r="P945" i="2"/>
  <c r="Q945" i="8" s="1"/>
  <c r="P946" i="2"/>
  <c r="P947" i="2"/>
  <c r="P948" i="2"/>
  <c r="Q948" i="8" s="1"/>
  <c r="P949" i="2"/>
  <c r="Q949" i="8" s="1"/>
  <c r="P950" i="2"/>
  <c r="Q950" i="8" s="1"/>
  <c r="P951" i="2"/>
  <c r="P952" i="2"/>
  <c r="R952" i="2" s="1"/>
  <c r="Y952" i="2" s="1"/>
  <c r="P953" i="2"/>
  <c r="Q953" i="8" s="1"/>
  <c r="P954" i="2"/>
  <c r="Q954" i="8" s="1"/>
  <c r="P955" i="2"/>
  <c r="Q955" i="8" s="1"/>
  <c r="P956" i="2"/>
  <c r="V956" i="2" s="1"/>
  <c r="P957" i="2"/>
  <c r="Q957" i="8" s="1"/>
  <c r="P958" i="2"/>
  <c r="Q958" i="8" s="1"/>
  <c r="P959" i="2"/>
  <c r="Q959" i="8" s="1"/>
  <c r="P960" i="2"/>
  <c r="T960" i="2" s="1"/>
  <c r="AA960" i="2" s="1"/>
  <c r="P961" i="2"/>
  <c r="Q961" i="8" s="1"/>
  <c r="P962" i="2"/>
  <c r="Q962" i="8" s="1"/>
  <c r="P963" i="2"/>
  <c r="P964" i="2"/>
  <c r="V964" i="2" s="1"/>
  <c r="P965" i="2"/>
  <c r="Q965" i="8" s="1"/>
  <c r="P966" i="2"/>
  <c r="Q966" i="8" s="1"/>
  <c r="P967" i="2"/>
  <c r="Q967" i="8" s="1"/>
  <c r="P968" i="2"/>
  <c r="S968" i="2" s="1"/>
  <c r="Z968" i="2" s="1"/>
  <c r="P969" i="2"/>
  <c r="Q969" i="8" s="1"/>
  <c r="P970" i="2"/>
  <c r="P971" i="2"/>
  <c r="P972" i="2"/>
  <c r="Q972" i="8" s="1"/>
  <c r="P973" i="2"/>
  <c r="Q973" i="8" s="1"/>
  <c r="P974" i="2"/>
  <c r="Q974" i="8" s="1"/>
  <c r="P975" i="2"/>
  <c r="P976" i="2"/>
  <c r="P977" i="2"/>
  <c r="Q977" i="8" s="1"/>
  <c r="P978" i="2"/>
  <c r="Q978" i="8" s="1"/>
  <c r="P979" i="2"/>
  <c r="P980" i="2"/>
  <c r="W980" i="2" s="1"/>
  <c r="P981" i="2"/>
  <c r="Q981" i="8" s="1"/>
  <c r="P982" i="2"/>
  <c r="Q982" i="8" s="1"/>
  <c r="P983" i="2"/>
  <c r="Q983" i="8" s="1"/>
  <c r="P984" i="2"/>
  <c r="P985" i="2"/>
  <c r="Q985" i="8" s="1"/>
  <c r="P986" i="2"/>
  <c r="Q986" i="8" s="1"/>
  <c r="P987" i="2"/>
  <c r="Q987" i="8" s="1"/>
  <c r="P988" i="2"/>
  <c r="W988" i="2" s="1"/>
  <c r="P989" i="2"/>
  <c r="Q989" i="8" s="1"/>
  <c r="P990" i="2"/>
  <c r="Q990" i="8" s="1"/>
  <c r="P991" i="2"/>
  <c r="Q991" i="8" s="1"/>
  <c r="P992" i="2"/>
  <c r="P993" i="2"/>
  <c r="Q993" i="8" s="1"/>
  <c r="P994" i="2"/>
  <c r="Q994" i="8" s="1"/>
  <c r="P995" i="2"/>
  <c r="P996" i="2"/>
  <c r="Q996" i="8" s="1"/>
  <c r="P997" i="2"/>
  <c r="Q997" i="8" s="1"/>
  <c r="P998" i="2"/>
  <c r="Q998" i="8" s="1"/>
  <c r="P999" i="2"/>
  <c r="W999" i="2" s="1"/>
  <c r="P1000" i="2"/>
  <c r="T1000" i="2" s="1"/>
  <c r="AA1000" i="2" s="1"/>
  <c r="P1001" i="2"/>
  <c r="Q1001" i="8" s="1"/>
  <c r="P1002" i="2"/>
  <c r="Q1002" i="8" s="1"/>
  <c r="P1003" i="2"/>
  <c r="W1003" i="2" s="1"/>
  <c r="P1004" i="2"/>
  <c r="W1004" i="2" s="1"/>
  <c r="P1005" i="2"/>
  <c r="W1005" i="2" s="1"/>
  <c r="P1006" i="2"/>
  <c r="Q1006" i="8" s="1"/>
  <c r="P1007" i="2"/>
  <c r="P1008" i="2"/>
  <c r="T1008" i="2" s="1"/>
  <c r="P1009" i="2"/>
  <c r="Q1009" i="8" s="1"/>
  <c r="P1010" i="2"/>
  <c r="Q1010" i="8" s="1"/>
  <c r="P1011" i="2"/>
  <c r="Q1011" i="8" s="1"/>
  <c r="P1012" i="2"/>
  <c r="V1012" i="2" s="1"/>
  <c r="P1013" i="2"/>
  <c r="Q1013" i="8" s="1"/>
  <c r="P1014" i="2"/>
  <c r="Q1014" i="8" s="1"/>
  <c r="P1015" i="2"/>
  <c r="Q1015" i="8" s="1"/>
  <c r="P1016" i="2"/>
  <c r="V1016" i="2" s="1"/>
  <c r="P1017" i="2"/>
  <c r="Q1017" i="8" s="1"/>
  <c r="P1018" i="2"/>
  <c r="P1019" i="2"/>
  <c r="P1020" i="2"/>
  <c r="Q1020" i="8" s="1"/>
  <c r="P1021" i="2"/>
  <c r="Q1021" i="8" s="1"/>
  <c r="P1022" i="2"/>
  <c r="Q1022" i="8" s="1"/>
  <c r="P1023" i="2"/>
  <c r="Q1023" i="8" s="1"/>
  <c r="P1024" i="2"/>
  <c r="T1024" i="2" s="1"/>
  <c r="AA1024" i="2" s="1"/>
  <c r="P1025" i="2"/>
  <c r="Q1025" i="8" s="1"/>
  <c r="P1026" i="2"/>
  <c r="Q1026" i="8" s="1"/>
  <c r="P1027" i="2"/>
  <c r="V1027" i="2" s="1"/>
  <c r="P1028" i="2"/>
  <c r="P1029" i="2"/>
  <c r="Q1029" i="8" s="1"/>
  <c r="P1030" i="2"/>
  <c r="Q1030" i="8" s="1"/>
  <c r="P1031" i="2"/>
  <c r="P1032" i="2"/>
  <c r="W1032" i="2" s="1"/>
  <c r="P1033" i="2"/>
  <c r="Q1033" i="8" s="1"/>
  <c r="P1034" i="2"/>
  <c r="Q1034" i="8" s="1"/>
  <c r="P1035" i="2"/>
  <c r="P1036" i="2"/>
  <c r="P1037" i="2"/>
  <c r="Q1037" i="8" s="1"/>
  <c r="P1038" i="2"/>
  <c r="P1039" i="2"/>
  <c r="Q1039" i="8" s="1"/>
  <c r="P1040" i="2"/>
  <c r="U1040" i="2" s="1"/>
  <c r="P1041" i="2"/>
  <c r="Q1041" i="8" s="1"/>
  <c r="P1042" i="2"/>
  <c r="P1043" i="2"/>
  <c r="P1044" i="2"/>
  <c r="Q1044" i="8" s="1"/>
  <c r="P1045" i="2"/>
  <c r="Q1045" i="8" s="1"/>
  <c r="P1046" i="2"/>
  <c r="Q1046" i="8" s="1"/>
  <c r="P1047" i="2"/>
  <c r="P1048" i="2"/>
  <c r="S1048" i="2" s="1"/>
  <c r="Z1048" i="2" s="1"/>
  <c r="P1049" i="2"/>
  <c r="Q1049" i="8" s="1"/>
  <c r="P1050" i="2"/>
  <c r="Q1050" i="8" s="1"/>
  <c r="P1051" i="2"/>
  <c r="T1051" i="2" s="1"/>
  <c r="AA1051" i="2" s="1"/>
  <c r="P1052" i="2"/>
  <c r="P1053" i="2"/>
  <c r="S1053" i="2" s="1"/>
  <c r="Z1053" i="2" s="1"/>
  <c r="P1054" i="2"/>
  <c r="Q1054" i="8" s="1"/>
  <c r="P1055" i="2"/>
  <c r="Q1055" i="8" s="1"/>
  <c r="P1056" i="2"/>
  <c r="P1057" i="2"/>
  <c r="Q1057" i="8" s="1"/>
  <c r="P1058" i="2"/>
  <c r="Q1058" i="8" s="1"/>
  <c r="P1059" i="2"/>
  <c r="P1061" i="2"/>
  <c r="T1061" i="2" s="1"/>
  <c r="AA1061" i="2" s="1"/>
  <c r="P1062" i="2"/>
  <c r="Q1062" i="8" s="1"/>
  <c r="P1063" i="2"/>
  <c r="P1064" i="2"/>
  <c r="Q1064" i="8" s="1"/>
  <c r="P1065" i="2"/>
  <c r="P1066" i="2"/>
  <c r="Q1066" i="8" s="1"/>
  <c r="P1067" i="2"/>
  <c r="P1068" i="2"/>
  <c r="P1069" i="2"/>
  <c r="Q1069" i="8" s="1"/>
  <c r="P1070" i="2"/>
  <c r="Q1070" i="8" s="1"/>
  <c r="P1071" i="2"/>
  <c r="Q1071" i="8" s="1"/>
  <c r="P1072" i="2"/>
  <c r="T1072" i="2" s="1"/>
  <c r="AA1072" i="2" s="1"/>
  <c r="P1073" i="2"/>
  <c r="W1073" i="2" s="1"/>
  <c r="P1074" i="2"/>
  <c r="Q1074" i="8" s="1"/>
  <c r="P1075" i="2"/>
  <c r="Q1075" i="8" s="1"/>
  <c r="P1076" i="2"/>
  <c r="P1077" i="2"/>
  <c r="V1077" i="2" s="1"/>
  <c r="P1078" i="2"/>
  <c r="Q1078" i="8" s="1"/>
  <c r="P1079" i="2"/>
  <c r="Q1079" i="8" s="1"/>
  <c r="P1080" i="2"/>
  <c r="T1080" i="2" s="1"/>
  <c r="AA1080" i="2" s="1"/>
  <c r="P1081" i="2"/>
  <c r="P1082" i="2"/>
  <c r="Q1082" i="8" s="1"/>
  <c r="P1083" i="2"/>
  <c r="Q1083" i="8" s="1"/>
  <c r="P1084" i="2"/>
  <c r="W1084" i="2" s="1"/>
  <c r="P1085" i="2"/>
  <c r="W1085" i="2" s="1"/>
  <c r="P1086" i="2"/>
  <c r="Q1086" i="8" s="1"/>
  <c r="P1087" i="2"/>
  <c r="P1088" i="2"/>
  <c r="Q1088" i="8" s="1"/>
  <c r="P1089" i="2"/>
  <c r="P1090" i="2"/>
  <c r="Q1090" i="8" s="1"/>
  <c r="P1091" i="2"/>
  <c r="P1092" i="2"/>
  <c r="P1093" i="2"/>
  <c r="Q1093" i="8" s="1"/>
  <c r="P1094" i="2"/>
  <c r="Q1094" i="8" s="1"/>
  <c r="P1095" i="2"/>
  <c r="Q1095" i="8" s="1"/>
  <c r="P1096" i="2"/>
  <c r="P1097" i="2"/>
  <c r="S1097" i="2" s="1"/>
  <c r="Z1097" i="2" s="1"/>
  <c r="P1098" i="2"/>
  <c r="Q1098" i="8" s="1"/>
  <c r="P1099" i="2"/>
  <c r="Q1099" i="8" s="1"/>
  <c r="P1100" i="2"/>
  <c r="W1100" i="2" s="1"/>
  <c r="P1101" i="2"/>
  <c r="V1101" i="2" s="1"/>
  <c r="P1102" i="2"/>
  <c r="Q1102" i="8" s="1"/>
  <c r="P1103" i="2"/>
  <c r="Q1103" i="8" s="1"/>
  <c r="P1104" i="2"/>
  <c r="Q1104" i="8" s="1"/>
  <c r="P1105" i="2"/>
  <c r="R1105" i="2" s="1"/>
  <c r="Y1105" i="2" s="1"/>
  <c r="P1106" i="2"/>
  <c r="Q1106" i="8" s="1"/>
  <c r="P1107" i="2"/>
  <c r="Q1107" i="8" s="1"/>
  <c r="P1108" i="2"/>
  <c r="W1108" i="2" s="1"/>
  <c r="P1109" i="2"/>
  <c r="P1110" i="2"/>
  <c r="Q1110" i="8" s="1"/>
  <c r="P1111" i="2"/>
  <c r="P1112" i="2"/>
  <c r="Q1112" i="8" s="1"/>
  <c r="P1113" i="2"/>
  <c r="T1113" i="2" s="1"/>
  <c r="AA1113" i="2" s="1"/>
  <c r="P1114" i="2"/>
  <c r="Q1114" i="8" s="1"/>
  <c r="P1115" i="2"/>
  <c r="P1116" i="2"/>
  <c r="P1117" i="2"/>
  <c r="Q1117" i="8" s="1"/>
  <c r="P1118" i="2"/>
  <c r="Q1118" i="8" s="1"/>
  <c r="P1119" i="2"/>
  <c r="Q1119" i="8" s="1"/>
  <c r="P1120" i="2"/>
  <c r="P1121" i="2"/>
  <c r="T1121" i="2" s="1"/>
  <c r="AA1121" i="2" s="1"/>
  <c r="P1122" i="2"/>
  <c r="Q1122" i="8" s="1"/>
  <c r="P1123" i="2"/>
  <c r="Q1123" i="8" s="1"/>
  <c r="P1124" i="2"/>
  <c r="Q1124" i="8" s="1"/>
  <c r="P1125" i="2"/>
  <c r="W1125" i="2" s="1"/>
  <c r="P1126" i="2"/>
  <c r="Q1126" i="8" s="1"/>
  <c r="P1127" i="2"/>
  <c r="Q1127" i="8" s="1"/>
  <c r="P1128" i="2"/>
  <c r="Q1128" i="8" s="1"/>
  <c r="P1129" i="2"/>
  <c r="T1129" i="2" s="1"/>
  <c r="AA1129" i="2" s="1"/>
  <c r="P1130" i="2"/>
  <c r="Q1130" i="8" s="1"/>
  <c r="Q93" i="2"/>
  <c r="X93" i="2" s="1"/>
  <c r="Q136" i="2"/>
  <c r="X136" i="2" s="1"/>
  <c r="Q192" i="2"/>
  <c r="X192" i="2" s="1"/>
  <c r="Q208" i="2"/>
  <c r="X208" i="2" s="1"/>
  <c r="Q216" i="2"/>
  <c r="X216" i="2" s="1"/>
  <c r="Q621" i="2"/>
  <c r="X621" i="2" s="1"/>
  <c r="R40" i="2"/>
  <c r="Y40" i="2" s="1"/>
  <c r="R44" i="2"/>
  <c r="Y44" i="2" s="1"/>
  <c r="R48" i="2"/>
  <c r="Y48" i="2" s="1"/>
  <c r="R52" i="2"/>
  <c r="Y52" i="2" s="1"/>
  <c r="R55" i="2"/>
  <c r="Y55" i="2" s="1"/>
  <c r="R64" i="2"/>
  <c r="Y64" i="2" s="1"/>
  <c r="R68" i="2"/>
  <c r="Y68" i="2" s="1"/>
  <c r="R72" i="2"/>
  <c r="Y72" i="2" s="1"/>
  <c r="R75" i="2"/>
  <c r="Y75" i="2" s="1"/>
  <c r="R76" i="2"/>
  <c r="Y76" i="2" s="1"/>
  <c r="R88" i="2"/>
  <c r="Y88" i="2" s="1"/>
  <c r="R92" i="2"/>
  <c r="Y92" i="2" s="1"/>
  <c r="R100" i="2"/>
  <c r="Y100" i="2" s="1"/>
  <c r="R112" i="2"/>
  <c r="Y112" i="2" s="1"/>
  <c r="R115" i="2"/>
  <c r="Y115" i="2" s="1"/>
  <c r="R120" i="2"/>
  <c r="R124" i="2"/>
  <c r="Y124" i="2" s="1"/>
  <c r="R127" i="2"/>
  <c r="Y127" i="2" s="1"/>
  <c r="R140" i="2"/>
  <c r="Y140" i="2" s="1"/>
  <c r="R144" i="2"/>
  <c r="Y144" i="2" s="1"/>
  <c r="R148" i="2"/>
  <c r="Y148" i="2" s="1"/>
  <c r="R160" i="2"/>
  <c r="Y160" i="2" s="1"/>
  <c r="R164" i="2"/>
  <c r="Y164" i="2" s="1"/>
  <c r="R184" i="2"/>
  <c r="R188" i="2"/>
  <c r="R208" i="2"/>
  <c r="Y208" i="2" s="1"/>
  <c r="R212" i="2"/>
  <c r="Y212" i="2" s="1"/>
  <c r="R216" i="2"/>
  <c r="Y216" i="2" s="1"/>
  <c r="R232" i="2"/>
  <c r="Y232" i="2" s="1"/>
  <c r="R236" i="2"/>
  <c r="Y236" i="2" s="1"/>
  <c r="R240" i="2"/>
  <c r="Y240" i="2" s="1"/>
  <c r="R256" i="2"/>
  <c r="Y256" i="2" s="1"/>
  <c r="R260" i="2"/>
  <c r="Y260" i="2" s="1"/>
  <c r="R264" i="2"/>
  <c r="Y264" i="2" s="1"/>
  <c r="R280" i="2"/>
  <c r="Y280" i="2" s="1"/>
  <c r="R283" i="2"/>
  <c r="Y283" i="2" s="1"/>
  <c r="R288" i="2"/>
  <c r="Y288" i="2" s="1"/>
  <c r="R292" i="2"/>
  <c r="Y292" i="2" s="1"/>
  <c r="R304" i="2"/>
  <c r="Y304" i="2" s="1"/>
  <c r="R316" i="2"/>
  <c r="Y316" i="2" s="1"/>
  <c r="R328" i="2"/>
  <c r="Y328" i="2" s="1"/>
  <c r="R340" i="2"/>
  <c r="Y340" i="2" s="1"/>
  <c r="R352" i="2"/>
  <c r="Y352" i="2" s="1"/>
  <c r="R355" i="2"/>
  <c r="Y355" i="2" s="1"/>
  <c r="R360" i="2"/>
  <c r="Y360" i="2" s="1"/>
  <c r="R364" i="2"/>
  <c r="Y364" i="2" s="1"/>
  <c r="R376" i="2"/>
  <c r="Y376" i="2" s="1"/>
  <c r="R384" i="2"/>
  <c r="Y384" i="2" s="1"/>
  <c r="R387" i="2"/>
  <c r="Y387" i="2" s="1"/>
  <c r="R388" i="2"/>
  <c r="Y388" i="2" s="1"/>
  <c r="R404" i="2"/>
  <c r="Y404" i="2" s="1"/>
  <c r="R408" i="2"/>
  <c r="Y408" i="2" s="1"/>
  <c r="R424" i="2"/>
  <c r="Y424" i="2" s="1"/>
  <c r="R428" i="2"/>
  <c r="R432" i="2"/>
  <c r="Y432" i="2" s="1"/>
  <c r="R452" i="2"/>
  <c r="Y452" i="2" s="1"/>
  <c r="R456" i="2"/>
  <c r="Y456" i="2" s="1"/>
  <c r="R476" i="2"/>
  <c r="Y476" i="2" s="1"/>
  <c r="R480" i="2"/>
  <c r="Y480" i="2" s="1"/>
  <c r="R500" i="2"/>
  <c r="Y500" i="2" s="1"/>
  <c r="R501" i="2"/>
  <c r="Y501" i="2" s="1"/>
  <c r="R512" i="2"/>
  <c r="Y512" i="2" s="1"/>
  <c r="R521" i="2"/>
  <c r="Y521" i="2" s="1"/>
  <c r="R525" i="2"/>
  <c r="Y525" i="2" s="1"/>
  <c r="R533" i="2"/>
  <c r="Y533" i="2" s="1"/>
  <c r="R545" i="2"/>
  <c r="Y545" i="2" s="1"/>
  <c r="R557" i="2"/>
  <c r="Y557" i="2" s="1"/>
  <c r="R569" i="2"/>
  <c r="Y569" i="2" s="1"/>
  <c r="R581" i="2"/>
  <c r="Y581" i="2" s="1"/>
  <c r="R593" i="2"/>
  <c r="Y593" i="2" s="1"/>
  <c r="R605" i="2"/>
  <c r="Y605" i="2" s="1"/>
  <c r="R617" i="2"/>
  <c r="Y617" i="2" s="1"/>
  <c r="R629" i="2"/>
  <c r="Y629" i="2" s="1"/>
  <c r="R641" i="2"/>
  <c r="Y641" i="2" s="1"/>
  <c r="R653" i="2"/>
  <c r="Y653" i="2" s="1"/>
  <c r="R665" i="2"/>
  <c r="Y665" i="2" s="1"/>
  <c r="R668" i="2"/>
  <c r="Y668" i="2" s="1"/>
  <c r="R673" i="2"/>
  <c r="Y673" i="2" s="1"/>
  <c r="R693" i="2"/>
  <c r="Y693" i="2" s="1"/>
  <c r="R697" i="2"/>
  <c r="Y697" i="2" s="1"/>
  <c r="R701" i="2"/>
  <c r="Y701" i="2" s="1"/>
  <c r="R721" i="2"/>
  <c r="Y721" i="2" s="1"/>
  <c r="R725" i="2"/>
  <c r="Y725" i="2" s="1"/>
  <c r="R740" i="2"/>
  <c r="Y740" i="2" s="1"/>
  <c r="R741" i="2"/>
  <c r="Y741" i="2" s="1"/>
  <c r="R745" i="2"/>
  <c r="Y745" i="2" s="1"/>
  <c r="R765" i="2"/>
  <c r="Y765" i="2" s="1"/>
  <c r="R769" i="2"/>
  <c r="Y769" i="2" s="1"/>
  <c r="R772" i="2"/>
  <c r="Y772" i="2" s="1"/>
  <c r="R785" i="2"/>
  <c r="Y785" i="2" s="1"/>
  <c r="R789" i="2"/>
  <c r="Y789" i="2" s="1"/>
  <c r="R793" i="2"/>
  <c r="Y793" i="2" s="1"/>
  <c r="R809" i="2"/>
  <c r="Y809" i="2" s="1"/>
  <c r="R833" i="2"/>
  <c r="Y833" i="2" s="1"/>
  <c r="R837" i="2"/>
  <c r="Y837" i="2" s="1"/>
  <c r="R857" i="2"/>
  <c r="Y857" i="2" s="1"/>
  <c r="R861" i="2"/>
  <c r="Y861" i="2" s="1"/>
  <c r="R881" i="2"/>
  <c r="Y881" i="2" s="1"/>
  <c r="R884" i="2"/>
  <c r="Y884" i="2" s="1"/>
  <c r="R896" i="2"/>
  <c r="Y896" i="2" s="1"/>
  <c r="R905" i="2"/>
  <c r="Y905" i="2" s="1"/>
  <c r="R912" i="2"/>
  <c r="Y912" i="2" s="1"/>
  <c r="R913" i="2"/>
  <c r="Y913" i="2" s="1"/>
  <c r="R917" i="2"/>
  <c r="Y917" i="2" s="1"/>
  <c r="R929" i="2"/>
  <c r="Y929" i="2" s="1"/>
  <c r="R961" i="2"/>
  <c r="Y961" i="2" s="1"/>
  <c r="R965" i="2"/>
  <c r="Y965" i="2" s="1"/>
  <c r="R989" i="2"/>
  <c r="Y989" i="2" s="1"/>
  <c r="R1025" i="2"/>
  <c r="Y1025" i="2" s="1"/>
  <c r="R1037" i="2"/>
  <c r="Y1037" i="2" s="1"/>
  <c r="R1040" i="2"/>
  <c r="Y1040" i="2" s="1"/>
  <c r="R1062" i="2"/>
  <c r="Y1062" i="2" s="1"/>
  <c r="R1074" i="2"/>
  <c r="Y1074" i="2" s="1"/>
  <c r="R1078" i="2"/>
  <c r="Y1078" i="2" s="1"/>
  <c r="R1097" i="2"/>
  <c r="Y1097" i="2" s="1"/>
  <c r="R1110" i="2"/>
  <c r="Y1110" i="2" s="1"/>
  <c r="S40" i="2"/>
  <c r="Z40" i="2" s="1"/>
  <c r="S44" i="2"/>
  <c r="Z44" i="2" s="1"/>
  <c r="S48" i="2"/>
  <c r="Z48" i="2" s="1"/>
  <c r="S52" i="2"/>
  <c r="Z52" i="2" s="1"/>
  <c r="S63" i="2"/>
  <c r="Z63" i="2" s="1"/>
  <c r="S64" i="2"/>
  <c r="Z64" i="2" s="1"/>
  <c r="S68" i="2"/>
  <c r="Z68" i="2" s="1"/>
  <c r="S72" i="2"/>
  <c r="Z72" i="2" s="1"/>
  <c r="S76" i="2"/>
  <c r="Z76" i="2" s="1"/>
  <c r="S88" i="2"/>
  <c r="Z88" i="2" s="1"/>
  <c r="S92" i="2"/>
  <c r="Z92" i="2" s="1"/>
  <c r="S93" i="2"/>
  <c r="Z93" i="2" s="1"/>
  <c r="S96" i="2"/>
  <c r="Z96" i="2" s="1"/>
  <c r="S100" i="2"/>
  <c r="Z100" i="2" s="1"/>
  <c r="S112" i="2"/>
  <c r="Z112" i="2" s="1"/>
  <c r="S116" i="2"/>
  <c r="Z116" i="2" s="1"/>
  <c r="S120" i="2"/>
  <c r="Z120" i="2" s="1"/>
  <c r="S124" i="2"/>
  <c r="Z124" i="2" s="1"/>
  <c r="S136" i="2"/>
  <c r="Z136" i="2" s="1"/>
  <c r="S139" i="2"/>
  <c r="Z139" i="2" s="1"/>
  <c r="S140" i="2"/>
  <c r="Z140" i="2" s="1"/>
  <c r="S144" i="2"/>
  <c r="Z144" i="2" s="1"/>
  <c r="S160" i="2"/>
  <c r="Z160" i="2" s="1"/>
  <c r="S164" i="2"/>
  <c r="Z164" i="2" s="1"/>
  <c r="S184" i="2"/>
  <c r="Z184" i="2" s="1"/>
  <c r="S188" i="2"/>
  <c r="Z188" i="2" s="1"/>
  <c r="S192" i="2"/>
  <c r="S208" i="2"/>
  <c r="Z208" i="2" s="1"/>
  <c r="S211" i="2"/>
  <c r="Z211" i="2" s="1"/>
  <c r="S212" i="2"/>
  <c r="Z212" i="2" s="1"/>
  <c r="S220" i="2"/>
  <c r="Z220" i="2" s="1"/>
  <c r="S232" i="2"/>
  <c r="Z232" i="2" s="1"/>
  <c r="S236" i="2"/>
  <c r="Z236" i="2" s="1"/>
  <c r="S243" i="2"/>
  <c r="Z243" i="2" s="1"/>
  <c r="S244" i="2"/>
  <c r="S260" i="2"/>
  <c r="Z260" i="2" s="1"/>
  <c r="S264" i="2"/>
  <c r="Z264" i="2" s="1"/>
  <c r="S268" i="2"/>
  <c r="Z268" i="2" s="1"/>
  <c r="S288" i="2"/>
  <c r="Z288" i="2" s="1"/>
  <c r="S292" i="2"/>
  <c r="Z292" i="2" s="1"/>
  <c r="S312" i="2"/>
  <c r="Z312" i="2" s="1"/>
  <c r="S316" i="2"/>
  <c r="Z316" i="2" s="1"/>
  <c r="S328" i="2"/>
  <c r="Z328" i="2" s="1"/>
  <c r="S336" i="2"/>
  <c r="Z336" i="2" s="1"/>
  <c r="S340" i="2"/>
  <c r="Z340" i="2" s="1"/>
  <c r="S352" i="2"/>
  <c r="Z352" i="2" s="1"/>
  <c r="S355" i="2"/>
  <c r="Z355" i="2" s="1"/>
  <c r="S356" i="2"/>
  <c r="Z356" i="2" s="1"/>
  <c r="S360" i="2"/>
  <c r="Z360" i="2" s="1"/>
  <c r="S364" i="2"/>
  <c r="Z364" i="2" s="1"/>
  <c r="S367" i="2"/>
  <c r="Z367" i="2" s="1"/>
  <c r="S376" i="2"/>
  <c r="Z376" i="2" s="1"/>
  <c r="S380" i="2"/>
  <c r="Z380" i="2" s="1"/>
  <c r="S388" i="2"/>
  <c r="Z388" i="2" s="1"/>
  <c r="S400" i="2"/>
  <c r="Z400" i="2" s="1"/>
  <c r="S404" i="2"/>
  <c r="Z404" i="2" s="1"/>
  <c r="S424" i="2"/>
  <c r="S428" i="2"/>
  <c r="Z428" i="2" s="1"/>
  <c r="S448" i="2"/>
  <c r="Z448" i="2" s="1"/>
  <c r="S452" i="2"/>
  <c r="Z452" i="2" s="1"/>
  <c r="S472" i="2"/>
  <c r="Z472" i="2" s="1"/>
  <c r="S476" i="2"/>
  <c r="Z476" i="2" s="1"/>
  <c r="S496" i="2"/>
  <c r="Z496" i="2" s="1"/>
  <c r="S501" i="2"/>
  <c r="Z501" i="2" s="1"/>
  <c r="S505" i="2"/>
  <c r="Z505" i="2" s="1"/>
  <c r="S521" i="2"/>
  <c r="Z521" i="2" s="1"/>
  <c r="S524" i="2"/>
  <c r="Z524" i="2" s="1"/>
  <c r="S529" i="2"/>
  <c r="Z529" i="2" s="1"/>
  <c r="S533" i="2"/>
  <c r="Z533" i="2" s="1"/>
  <c r="S545" i="2"/>
  <c r="Z545" i="2" s="1"/>
  <c r="S557" i="2"/>
  <c r="Z557" i="2" s="1"/>
  <c r="S569" i="2"/>
  <c r="Z569" i="2" s="1"/>
  <c r="S581" i="2"/>
  <c r="Z581" i="2" s="1"/>
  <c r="S601" i="2"/>
  <c r="Z601" i="2" s="1"/>
  <c r="S605" i="2"/>
  <c r="Z605" i="2" s="1"/>
  <c r="S625" i="2"/>
  <c r="Z625" i="2" s="1"/>
  <c r="S628" i="2"/>
  <c r="Z628" i="2" s="1"/>
  <c r="S629" i="2"/>
  <c r="S645" i="2"/>
  <c r="Z645" i="2" s="1"/>
  <c r="S665" i="2"/>
  <c r="Z665" i="2" s="1"/>
  <c r="S669" i="2"/>
  <c r="Z669" i="2" s="1"/>
  <c r="S680" i="2"/>
  <c r="Z680" i="2" s="1"/>
  <c r="S689" i="2"/>
  <c r="Z689" i="2" s="1"/>
  <c r="S700" i="2"/>
  <c r="Z700" i="2" s="1"/>
  <c r="S701" i="2"/>
  <c r="Z701" i="2" s="1"/>
  <c r="S721" i="2"/>
  <c r="Z721" i="2" s="1"/>
  <c r="S725" i="2"/>
  <c r="Z725" i="2" s="1"/>
  <c r="S745" i="2"/>
  <c r="Z745" i="2" s="1"/>
  <c r="S749" i="2"/>
  <c r="Z749" i="2" s="1"/>
  <c r="S761" i="2"/>
  <c r="Z761" i="2" s="1"/>
  <c r="S769" i="2"/>
  <c r="Z769" i="2" s="1"/>
  <c r="S789" i="2"/>
  <c r="Z789" i="2" s="1"/>
  <c r="S793" i="2"/>
  <c r="Z793" i="2" s="1"/>
  <c r="S797" i="2"/>
  <c r="Z797" i="2" s="1"/>
  <c r="S817" i="2"/>
  <c r="Z817" i="2" s="1"/>
  <c r="S821" i="2"/>
  <c r="Z821" i="2" s="1"/>
  <c r="S832" i="2"/>
  <c r="Z832" i="2" s="1"/>
  <c r="S837" i="2"/>
  <c r="Z837" i="2" s="1"/>
  <c r="S841" i="2"/>
  <c r="Z841" i="2" s="1"/>
  <c r="S843" i="2"/>
  <c r="Z843" i="2" s="1"/>
  <c r="S857" i="2"/>
  <c r="Z857" i="2" s="1"/>
  <c r="S861" i="2"/>
  <c r="Z861" i="2" s="1"/>
  <c r="S881" i="2"/>
  <c r="Z881" i="2" s="1"/>
  <c r="S885" i="2"/>
  <c r="Z885" i="2" s="1"/>
  <c r="S889" i="2"/>
  <c r="Z889" i="2" s="1"/>
  <c r="S905" i="2"/>
  <c r="Z905" i="2" s="1"/>
  <c r="S929" i="2"/>
  <c r="Z929" i="2" s="1"/>
  <c r="S933" i="2"/>
  <c r="Z933" i="2" s="1"/>
  <c r="S953" i="2"/>
  <c r="Z953" i="2" s="1"/>
  <c r="S957" i="2"/>
  <c r="Z957" i="2" s="1"/>
  <c r="S977" i="2"/>
  <c r="Z977" i="2" s="1"/>
  <c r="S981" i="2"/>
  <c r="Z981" i="2" s="1"/>
  <c r="S1001" i="2"/>
  <c r="Z1001" i="2" s="1"/>
  <c r="S1005" i="2"/>
  <c r="Z1005" i="2" s="1"/>
  <c r="S1025" i="2"/>
  <c r="Z1025" i="2" s="1"/>
  <c r="S1029" i="2"/>
  <c r="Z1029" i="2" s="1"/>
  <c r="S1033" i="2"/>
  <c r="Z1033" i="2" s="1"/>
  <c r="S1074" i="2"/>
  <c r="Z1074" i="2" s="1"/>
  <c r="S1098" i="2"/>
  <c r="Z1098" i="2" s="1"/>
  <c r="S1122" i="2"/>
  <c r="Z1122" i="2" s="1"/>
  <c r="T40" i="2"/>
  <c r="AA40" i="2" s="1"/>
  <c r="T44" i="2"/>
  <c r="AA44" i="2" s="1"/>
  <c r="T48" i="2"/>
  <c r="AA48" i="2" s="1"/>
  <c r="T52" i="2"/>
  <c r="AA52" i="2" s="1"/>
  <c r="T64" i="2"/>
  <c r="AA64" i="2" s="1"/>
  <c r="T68" i="2"/>
  <c r="AA68" i="2" s="1"/>
  <c r="T72" i="2"/>
  <c r="AA72" i="2" s="1"/>
  <c r="T76" i="2"/>
  <c r="AA76" i="2" s="1"/>
  <c r="T79" i="2"/>
  <c r="AA79" i="2" s="1"/>
  <c r="T88" i="2"/>
  <c r="AA88" i="2" s="1"/>
  <c r="T92" i="2"/>
  <c r="T96" i="2"/>
  <c r="AA96" i="2" s="1"/>
  <c r="T100" i="2"/>
  <c r="AA100" i="2" s="1"/>
  <c r="T112" i="2"/>
  <c r="AA112" i="2" s="1"/>
  <c r="T116" i="2"/>
  <c r="AA116" i="2" s="1"/>
  <c r="T124" i="2"/>
  <c r="AA124" i="2" s="1"/>
  <c r="T136" i="2"/>
  <c r="AA136" i="2" s="1"/>
  <c r="T140" i="2"/>
  <c r="AA140" i="2" s="1"/>
  <c r="T148" i="2"/>
  <c r="AA148" i="2" s="1"/>
  <c r="T160" i="2"/>
  <c r="AA160" i="2" s="1"/>
  <c r="T164" i="2"/>
  <c r="AA164" i="2" s="1"/>
  <c r="T172" i="2"/>
  <c r="AA172" i="2" s="1"/>
  <c r="T184" i="2"/>
  <c r="AA184" i="2" s="1"/>
  <c r="T188" i="2"/>
  <c r="AA188" i="2" s="1"/>
  <c r="T195" i="2"/>
  <c r="AA195" i="2" s="1"/>
  <c r="T196" i="2"/>
  <c r="AA196" i="2" s="1"/>
  <c r="T208" i="2"/>
  <c r="AA208" i="2" s="1"/>
  <c r="T216" i="2"/>
  <c r="AA216" i="2" s="1"/>
  <c r="T220" i="2"/>
  <c r="AA220" i="2" s="1"/>
  <c r="T236" i="2"/>
  <c r="AA236" i="2" s="1"/>
  <c r="T240" i="2"/>
  <c r="AA240" i="2" s="1"/>
  <c r="T244" i="2"/>
  <c r="AA244" i="2" s="1"/>
  <c r="T264" i="2"/>
  <c r="AA264" i="2" s="1"/>
  <c r="T268" i="2"/>
  <c r="AA268" i="2" s="1"/>
  <c r="T288" i="2"/>
  <c r="AA288" i="2" s="1"/>
  <c r="T292" i="2"/>
  <c r="AA292" i="2" s="1"/>
  <c r="T304" i="2"/>
  <c r="AA304" i="2" s="1"/>
  <c r="T312" i="2"/>
  <c r="AA312" i="2" s="1"/>
  <c r="T316" i="2"/>
  <c r="AA316" i="2" s="1"/>
  <c r="T328" i="2"/>
  <c r="AA328" i="2" s="1"/>
  <c r="T336" i="2"/>
  <c r="AA336" i="2" s="1"/>
  <c r="T340" i="2"/>
  <c r="AA340" i="2" s="1"/>
  <c r="T351" i="2"/>
  <c r="AA351" i="2" s="1"/>
  <c r="T356" i="2"/>
  <c r="AA356" i="2" s="1"/>
  <c r="T360" i="2"/>
  <c r="AA360" i="2" s="1"/>
  <c r="T376" i="2"/>
  <c r="AA376" i="2" s="1"/>
  <c r="T380" i="2"/>
  <c r="AA380" i="2" s="1"/>
  <c r="T384" i="2"/>
  <c r="AA384" i="2" s="1"/>
  <c r="T404" i="2"/>
  <c r="AA404" i="2" s="1"/>
  <c r="T408" i="2"/>
  <c r="AA408" i="2" s="1"/>
  <c r="T428" i="2"/>
  <c r="AA428" i="2" s="1"/>
  <c r="T432" i="2"/>
  <c r="AA432" i="2" s="1"/>
  <c r="T452" i="2"/>
  <c r="AA452" i="2" s="1"/>
  <c r="T456" i="2"/>
  <c r="AA456" i="2" s="1"/>
  <c r="T463" i="2"/>
  <c r="AA463" i="2" s="1"/>
  <c r="T472" i="2"/>
  <c r="AA472" i="2" s="1"/>
  <c r="T476" i="2"/>
  <c r="AA476" i="2" s="1"/>
  <c r="T480" i="2"/>
  <c r="AA480" i="2" s="1"/>
  <c r="T496" i="2"/>
  <c r="AA496" i="2" s="1"/>
  <c r="T501" i="2"/>
  <c r="AA501" i="2" s="1"/>
  <c r="T509" i="2"/>
  <c r="AA509" i="2" s="1"/>
  <c r="T520" i="2"/>
  <c r="AA520" i="2" s="1"/>
  <c r="T521" i="2"/>
  <c r="AA521" i="2" s="1"/>
  <c r="T533" i="2"/>
  <c r="T545" i="2"/>
  <c r="AA545" i="2" s="1"/>
  <c r="T557" i="2"/>
  <c r="AA557" i="2" s="1"/>
  <c r="T569" i="2"/>
  <c r="AA569" i="2" s="1"/>
  <c r="T581" i="2"/>
  <c r="AA581" i="2" s="1"/>
  <c r="T592" i="2"/>
  <c r="AA592" i="2" s="1"/>
  <c r="T601" i="2"/>
  <c r="AA601" i="2" s="1"/>
  <c r="T605" i="2"/>
  <c r="AA605" i="2" s="1"/>
  <c r="T617" i="2"/>
  <c r="AA617" i="2" s="1"/>
  <c r="T625" i="2"/>
  <c r="AA625" i="2" s="1"/>
  <c r="T645" i="2"/>
  <c r="AA645" i="2" s="1"/>
  <c r="T648" i="2"/>
  <c r="AA648" i="2" s="1"/>
  <c r="T649" i="2"/>
  <c r="AA649" i="2" s="1"/>
  <c r="T669" i="2"/>
  <c r="AA669" i="2" s="1"/>
  <c r="T673" i="2"/>
  <c r="AA673" i="2" s="1"/>
  <c r="T693" i="2"/>
  <c r="AA693" i="2" s="1"/>
  <c r="T697" i="2"/>
  <c r="AA697" i="2" s="1"/>
  <c r="T717" i="2"/>
  <c r="AA717" i="2" s="1"/>
  <c r="T721" i="2"/>
  <c r="AA721" i="2" s="1"/>
  <c r="T728" i="2"/>
  <c r="AA728" i="2" s="1"/>
  <c r="T737" i="2"/>
  <c r="AA737" i="2" s="1"/>
  <c r="T741" i="2"/>
  <c r="AA741" i="2" s="1"/>
  <c r="T744" i="2"/>
  <c r="AA744" i="2" s="1"/>
  <c r="T749" i="2"/>
  <c r="AA749" i="2" s="1"/>
  <c r="T773" i="2"/>
  <c r="AA773" i="2" s="1"/>
  <c r="T782" i="2"/>
  <c r="AA782" i="2" s="1"/>
  <c r="T793" i="2"/>
  <c r="AA793" i="2" s="1"/>
  <c r="T797" i="2"/>
  <c r="AA797" i="2" s="1"/>
  <c r="T821" i="2"/>
  <c r="AA821" i="2" s="1"/>
  <c r="T841" i="2"/>
  <c r="AA841" i="2" s="1"/>
  <c r="T845" i="2"/>
  <c r="AA845" i="2" s="1"/>
  <c r="T865" i="2"/>
  <c r="AA865" i="2" s="1"/>
  <c r="T869" i="2"/>
  <c r="AA869" i="2" s="1"/>
  <c r="T880" i="2"/>
  <c r="AA880" i="2" s="1"/>
  <c r="T885" i="2"/>
  <c r="AA885" i="2" s="1"/>
  <c r="T888" i="2"/>
  <c r="AA888" i="2" s="1"/>
  <c r="T905" i="2"/>
  <c r="AA905" i="2" s="1"/>
  <c r="T909" i="2"/>
  <c r="AA909" i="2" s="1"/>
  <c r="T929" i="2"/>
  <c r="AA929" i="2" s="1"/>
  <c r="T933" i="2"/>
  <c r="AA933" i="2" s="1"/>
  <c r="T957" i="2"/>
  <c r="AA957" i="2" s="1"/>
  <c r="T977" i="2"/>
  <c r="AA977" i="2" s="1"/>
  <c r="T981" i="2"/>
  <c r="AA981" i="2" s="1"/>
  <c r="T1001" i="2"/>
  <c r="AA1001" i="2" s="1"/>
  <c r="T1005" i="2"/>
  <c r="AA1005" i="2" s="1"/>
  <c r="T1009" i="2"/>
  <c r="AA1009" i="2" s="1"/>
  <c r="T1025" i="2"/>
  <c r="AA1025" i="2" s="1"/>
  <c r="T1049" i="2"/>
  <c r="AA1049" i="2" s="1"/>
  <c r="T1053" i="2"/>
  <c r="AA1053" i="2" s="1"/>
  <c r="T1073" i="2"/>
  <c r="AA1073" i="2" s="1"/>
  <c r="T1074" i="2"/>
  <c r="AA1074" i="2" s="1"/>
  <c r="T1081" i="2"/>
  <c r="AA1081" i="2" s="1"/>
  <c r="T1086" i="2"/>
  <c r="AA1086" i="2" s="1"/>
  <c r="T1106" i="2"/>
  <c r="AA1106" i="2" s="1"/>
  <c r="T1110" i="2"/>
  <c r="AA1110" i="2" s="1"/>
  <c r="T1130" i="2"/>
  <c r="AA1130" i="2" s="1"/>
  <c r="U40" i="2"/>
  <c r="U44" i="2"/>
  <c r="U48" i="2"/>
  <c r="U52" i="2"/>
  <c r="U63" i="2"/>
  <c r="U64" i="2"/>
  <c r="U68" i="2"/>
  <c r="U72" i="2"/>
  <c r="U76" i="2"/>
  <c r="U79" i="2"/>
  <c r="U88" i="2"/>
  <c r="U92" i="2"/>
  <c r="U96" i="2"/>
  <c r="U100" i="2"/>
  <c r="U112" i="2"/>
  <c r="U116" i="2"/>
  <c r="U120" i="2"/>
  <c r="U124" i="2"/>
  <c r="U140" i="2"/>
  <c r="U144" i="2"/>
  <c r="U148" i="2"/>
  <c r="U164" i="2"/>
  <c r="U168" i="2"/>
  <c r="U172" i="2"/>
  <c r="U175" i="2"/>
  <c r="U184" i="2"/>
  <c r="U188" i="2"/>
  <c r="U196" i="2"/>
  <c r="U208" i="2"/>
  <c r="U212" i="2"/>
  <c r="U219" i="2"/>
  <c r="U220" i="2"/>
  <c r="U232" i="2"/>
  <c r="U235" i="2"/>
  <c r="U240" i="2"/>
  <c r="U244" i="2"/>
  <c r="U256" i="2"/>
  <c r="U264" i="2"/>
  <c r="U268" i="2"/>
  <c r="U280" i="2"/>
  <c r="U283" i="2"/>
  <c r="U284" i="2"/>
  <c r="U288" i="2"/>
  <c r="U291" i="2"/>
  <c r="U304" i="2"/>
  <c r="U308" i="2"/>
  <c r="U316" i="2"/>
  <c r="U328" i="2"/>
  <c r="U332" i="2"/>
  <c r="U343" i="2"/>
  <c r="U352" i="2"/>
  <c r="U364" i="2"/>
  <c r="U367" i="2"/>
  <c r="U376" i="2"/>
  <c r="U384" i="2"/>
  <c r="U388" i="2"/>
  <c r="U400" i="2"/>
  <c r="U408" i="2"/>
  <c r="U412" i="2"/>
  <c r="U424" i="2"/>
  <c r="U427" i="2"/>
  <c r="U428" i="2"/>
  <c r="U448" i="2"/>
  <c r="U452" i="2"/>
  <c r="U472" i="2"/>
  <c r="U476" i="2"/>
  <c r="U496" i="2"/>
  <c r="U501" i="2"/>
  <c r="U521" i="2"/>
  <c r="U525" i="2"/>
  <c r="U536" i="2"/>
  <c r="U544" i="2"/>
  <c r="U545" i="2"/>
  <c r="U552" i="2"/>
  <c r="U569" i="2"/>
  <c r="U572" i="2"/>
  <c r="U573" i="2"/>
  <c r="U593" i="2"/>
  <c r="U597" i="2"/>
  <c r="U604" i="2"/>
  <c r="U605" i="2"/>
  <c r="U617" i="2"/>
  <c r="U629" i="2"/>
  <c r="U641" i="2"/>
  <c r="U653" i="2"/>
  <c r="U665" i="2"/>
  <c r="U669" i="2"/>
  <c r="U677" i="2"/>
  <c r="U701" i="2"/>
  <c r="U713" i="2"/>
  <c r="U725" i="2"/>
  <c r="U728" i="2"/>
  <c r="U736" i="2"/>
  <c r="U741" i="2"/>
  <c r="U744" i="2"/>
  <c r="U761" i="2"/>
  <c r="U764" i="2"/>
  <c r="U773" i="2"/>
  <c r="U785" i="2"/>
  <c r="U789" i="2"/>
  <c r="U796" i="2"/>
  <c r="U813" i="2"/>
  <c r="U817" i="2"/>
  <c r="U821" i="2"/>
  <c r="U841" i="2"/>
  <c r="U845" i="2"/>
  <c r="U869" i="2"/>
  <c r="U889" i="2"/>
  <c r="U893" i="2"/>
  <c r="U913" i="2"/>
  <c r="U917" i="2"/>
  <c r="U920" i="2"/>
  <c r="U928" i="2"/>
  <c r="U929" i="2"/>
  <c r="U936" i="2"/>
  <c r="U941" i="2"/>
  <c r="U953" i="2"/>
  <c r="U956" i="2"/>
  <c r="U961" i="2"/>
  <c r="U965" i="2"/>
  <c r="U988" i="2"/>
  <c r="U1005" i="2"/>
  <c r="U1009" i="2"/>
  <c r="U1029" i="2"/>
  <c r="U1033" i="2"/>
  <c r="U1037" i="2"/>
  <c r="U1053" i="2"/>
  <c r="U1078" i="2"/>
  <c r="U1082" i="2"/>
  <c r="U1102" i="2"/>
  <c r="U1106" i="2"/>
  <c r="U1113" i="2"/>
  <c r="U1121" i="2"/>
  <c r="U1122" i="2"/>
  <c r="U1129" i="2"/>
  <c r="U1130" i="2"/>
  <c r="V40" i="2"/>
  <c r="V44" i="2"/>
  <c r="V48" i="2"/>
  <c r="V52" i="2"/>
  <c r="V64" i="2"/>
  <c r="V68" i="2"/>
  <c r="V71" i="2"/>
  <c r="V72" i="2"/>
  <c r="V76" i="2"/>
  <c r="V79" i="2"/>
  <c r="V88" i="2"/>
  <c r="V92" i="2"/>
  <c r="V96" i="2"/>
  <c r="V100" i="2"/>
  <c r="V112" i="2"/>
  <c r="V115" i="2"/>
  <c r="V116" i="2"/>
  <c r="V120" i="2"/>
  <c r="V121" i="2"/>
  <c r="V124" i="2"/>
  <c r="V127" i="2"/>
  <c r="V136" i="2"/>
  <c r="V140" i="2"/>
  <c r="V144" i="2"/>
  <c r="V147" i="2"/>
  <c r="V148" i="2"/>
  <c r="V163" i="2"/>
  <c r="V164" i="2"/>
  <c r="V168" i="2"/>
  <c r="V172" i="2"/>
  <c r="V183" i="2"/>
  <c r="V184" i="2"/>
  <c r="V192" i="2"/>
  <c r="V196" i="2"/>
  <c r="V208" i="2"/>
  <c r="V220" i="2"/>
  <c r="V232" i="2"/>
  <c r="V243" i="2"/>
  <c r="V244" i="2"/>
  <c r="V256" i="2"/>
  <c r="V259" i="2"/>
  <c r="V260" i="2"/>
  <c r="V264" i="2"/>
  <c r="V268" i="2"/>
  <c r="V279" i="2"/>
  <c r="V280" i="2"/>
  <c r="V284" i="2"/>
  <c r="V287" i="2"/>
  <c r="V292" i="2"/>
  <c r="V304" i="2"/>
  <c r="V312" i="2"/>
  <c r="V315" i="2"/>
  <c r="V316" i="2"/>
  <c r="V336" i="2"/>
  <c r="V340" i="2"/>
  <c r="V360" i="2"/>
  <c r="V364" i="2"/>
  <c r="V367" i="2"/>
  <c r="V380" i="2"/>
  <c r="V383" i="2"/>
  <c r="V400" i="2"/>
  <c r="V403" i="2"/>
  <c r="V404" i="2"/>
  <c r="V412" i="2"/>
  <c r="V424" i="2"/>
  <c r="V432" i="2"/>
  <c r="V436" i="2"/>
  <c r="V448" i="2"/>
  <c r="V460" i="2"/>
  <c r="V463" i="2"/>
  <c r="V480" i="2"/>
  <c r="V481" i="2"/>
  <c r="V500" i="2"/>
  <c r="V501" i="2"/>
  <c r="V508" i="2"/>
  <c r="V509" i="2"/>
  <c r="V521" i="2"/>
  <c r="V525" i="2"/>
  <c r="V533" i="2"/>
  <c r="V545" i="2"/>
  <c r="V548" i="2"/>
  <c r="V549" i="2"/>
  <c r="V553" i="2"/>
  <c r="V557" i="2"/>
  <c r="V577" i="2"/>
  <c r="V578" i="2"/>
  <c r="V592" i="2"/>
  <c r="V593" i="2"/>
  <c r="V597" i="2"/>
  <c r="V617" i="2"/>
  <c r="V621" i="2"/>
  <c r="V641" i="2"/>
  <c r="V644" i="2"/>
  <c r="V645" i="2"/>
  <c r="V653" i="2"/>
  <c r="V656" i="2"/>
  <c r="V669" i="2"/>
  <c r="V673" i="2"/>
  <c r="V677" i="2"/>
  <c r="V692" i="2"/>
  <c r="V693" i="2"/>
  <c r="V697" i="2"/>
  <c r="V717" i="2"/>
  <c r="V721" i="2"/>
  <c r="V724" i="2"/>
  <c r="V737" i="2"/>
  <c r="V740" i="2"/>
  <c r="V749" i="2"/>
  <c r="V752" i="2"/>
  <c r="V761" i="2"/>
  <c r="V769" i="2"/>
  <c r="V788" i="2"/>
  <c r="V789" i="2"/>
  <c r="V793" i="2"/>
  <c r="V808" i="2"/>
  <c r="V809" i="2"/>
  <c r="V813" i="2"/>
  <c r="V820" i="2"/>
  <c r="V833" i="2"/>
  <c r="V845" i="2"/>
  <c r="V856" i="2"/>
  <c r="V865" i="2"/>
  <c r="V869" i="2"/>
  <c r="V881" i="2"/>
  <c r="V884" i="2"/>
  <c r="V885" i="2"/>
  <c r="V904" i="2"/>
  <c r="V905" i="2"/>
  <c r="V909" i="2"/>
  <c r="V916" i="2"/>
  <c r="V917" i="2"/>
  <c r="V929" i="2"/>
  <c r="V941" i="2"/>
  <c r="V944" i="2"/>
  <c r="V952" i="2"/>
  <c r="V953" i="2"/>
  <c r="V957" i="2"/>
  <c r="V960" i="2"/>
  <c r="V965" i="2"/>
  <c r="V977" i="2"/>
  <c r="V980" i="2"/>
  <c r="V988" i="2"/>
  <c r="V1005" i="2"/>
  <c r="V1009" i="2"/>
  <c r="V1029" i="2"/>
  <c r="V1033" i="2"/>
  <c r="V1040" i="2"/>
  <c r="V1053" i="2"/>
  <c r="V1056" i="2"/>
  <c r="V1062" i="2"/>
  <c r="V1065" i="2"/>
  <c r="V1082" i="2"/>
  <c r="V1085" i="2"/>
  <c r="V1086" i="2"/>
  <c r="V1102" i="2"/>
  <c r="V1109" i="2"/>
  <c r="V1122" i="2"/>
  <c r="W40" i="2"/>
  <c r="W44" i="2"/>
  <c r="W48" i="2"/>
  <c r="W52" i="2"/>
  <c r="W64" i="2"/>
  <c r="W68" i="2"/>
  <c r="W72" i="2"/>
  <c r="W76" i="2"/>
  <c r="W79" i="2"/>
  <c r="W88" i="2"/>
  <c r="W92" i="2"/>
  <c r="W96" i="2"/>
  <c r="W100" i="2"/>
  <c r="W111" i="2"/>
  <c r="W112" i="2"/>
  <c r="W116" i="2"/>
  <c r="W120" i="2"/>
  <c r="W122" i="2"/>
  <c r="W123" i="2"/>
  <c r="W124" i="2"/>
  <c r="W136" i="2"/>
  <c r="W140" i="2"/>
  <c r="W144" i="2"/>
  <c r="W148" i="2"/>
  <c r="W159" i="2"/>
  <c r="W160" i="2"/>
  <c r="W164" i="2"/>
  <c r="W172" i="2"/>
  <c r="W184" i="2"/>
  <c r="W187" i="2"/>
  <c r="W192" i="2"/>
  <c r="W196" i="2"/>
  <c r="W207" i="2"/>
  <c r="W212" i="2"/>
  <c r="W216" i="2"/>
  <c r="W219" i="2"/>
  <c r="W232" i="2"/>
  <c r="W236" i="2"/>
  <c r="W240" i="2"/>
  <c r="W244" i="2"/>
  <c r="W247" i="2"/>
  <c r="W255" i="2"/>
  <c r="W260" i="2"/>
  <c r="W263" i="2"/>
  <c r="W280" i="2"/>
  <c r="W283" i="2"/>
  <c r="W284" i="2"/>
  <c r="W291" i="2"/>
  <c r="W292" i="2"/>
  <c r="W304" i="2"/>
  <c r="W312" i="2"/>
  <c r="W316" i="2"/>
  <c r="W328" i="2"/>
  <c r="W336" i="2"/>
  <c r="W340" i="2"/>
  <c r="W343" i="2"/>
  <c r="W351" i="2"/>
  <c r="W352" i="2"/>
  <c r="W356" i="2"/>
  <c r="W359" i="2"/>
  <c r="W364" i="2"/>
  <c r="W376" i="2"/>
  <c r="W387" i="2"/>
  <c r="W388" i="2"/>
  <c r="W400" i="2"/>
  <c r="W403" i="2"/>
  <c r="W404" i="2"/>
  <c r="W408" i="2"/>
  <c r="W411" i="2"/>
  <c r="W424" i="2"/>
  <c r="W428" i="2"/>
  <c r="W431" i="2"/>
  <c r="W436" i="2"/>
  <c r="W439" i="2"/>
  <c r="W447" i="2"/>
  <c r="W448" i="2"/>
  <c r="W452" i="2"/>
  <c r="W455" i="2"/>
  <c r="W472" i="2"/>
  <c r="W476" i="2"/>
  <c r="W483" i="2"/>
  <c r="W484" i="2"/>
  <c r="W496" i="2"/>
  <c r="W500" i="2"/>
  <c r="W505" i="2"/>
  <c r="W508" i="2"/>
  <c r="W525" i="2"/>
  <c r="W529" i="2"/>
  <c r="W533" i="2"/>
  <c r="W536" i="2"/>
  <c r="W545" i="2"/>
  <c r="W549" i="2"/>
  <c r="W552" i="2"/>
  <c r="W557" i="2"/>
  <c r="W560" i="2"/>
  <c r="W577" i="2"/>
  <c r="W580" i="2"/>
  <c r="W596" i="2"/>
  <c r="W597" i="2"/>
  <c r="W604" i="2"/>
  <c r="W605" i="2"/>
  <c r="W617" i="2"/>
  <c r="W629" i="2"/>
  <c r="W632" i="2"/>
  <c r="W641" i="2"/>
  <c r="W648" i="2"/>
  <c r="W656" i="2"/>
  <c r="W665" i="2"/>
  <c r="W669" i="2"/>
  <c r="W676" i="2"/>
  <c r="W677" i="2"/>
  <c r="W689" i="2"/>
  <c r="W692" i="2"/>
  <c r="W696" i="2"/>
  <c r="W697" i="2"/>
  <c r="W712" i="2"/>
  <c r="W713" i="2"/>
  <c r="W717" i="2"/>
  <c r="W720" i="2"/>
  <c r="W725" i="2"/>
  <c r="W736" i="2"/>
  <c r="W737" i="2"/>
  <c r="W745" i="2"/>
  <c r="W765" i="2"/>
  <c r="W768" i="2"/>
  <c r="W769" i="2"/>
  <c r="W787" i="2"/>
  <c r="W788" i="2"/>
  <c r="W792" i="2"/>
  <c r="W797" i="2"/>
  <c r="W808" i="2"/>
  <c r="W813" i="2"/>
  <c r="W816" i="2"/>
  <c r="W832" i="2"/>
  <c r="W833" i="2"/>
  <c r="W837" i="2"/>
  <c r="W845" i="2"/>
  <c r="W864" i="2"/>
  <c r="W865" i="2"/>
  <c r="W869" i="2"/>
  <c r="W880" i="2"/>
  <c r="W885" i="2"/>
  <c r="W888" i="2"/>
  <c r="W904" i="2"/>
  <c r="W905" i="2"/>
  <c r="W912" i="2"/>
  <c r="W913" i="2"/>
  <c r="W917" i="2"/>
  <c r="W936" i="2"/>
  <c r="W937" i="2"/>
  <c r="W941" i="2"/>
  <c r="W956" i="2"/>
  <c r="W964" i="2"/>
  <c r="W965" i="2"/>
  <c r="W977" i="2"/>
  <c r="W989" i="2"/>
  <c r="W1000" i="2"/>
  <c r="W1013" i="2"/>
  <c r="W1033" i="2"/>
  <c r="W1037" i="2"/>
  <c r="W1052" i="2"/>
  <c r="W1053" i="2"/>
  <c r="W1061" i="2"/>
  <c r="W1074" i="2"/>
  <c r="W1098" i="2"/>
  <c r="W1102" i="2"/>
  <c r="W1113" i="2"/>
  <c r="W1121" i="2"/>
  <c r="W1129" i="2"/>
  <c r="W1130" i="2"/>
  <c r="Y184" i="2"/>
  <c r="Y188" i="2"/>
  <c r="Y428" i="2"/>
  <c r="Z244" i="2"/>
  <c r="Z424" i="2"/>
  <c r="AA92" i="2"/>
  <c r="AA533" i="2"/>
  <c r="B7" i="3"/>
  <c r="B6" i="3" s="1"/>
  <c r="W1086" i="2" l="1"/>
  <c r="V1110" i="2"/>
  <c r="U937" i="2"/>
  <c r="U697" i="2"/>
  <c r="U445" i="2"/>
  <c r="T1037" i="2"/>
  <c r="AA1037" i="2" s="1"/>
  <c r="T769" i="2"/>
  <c r="AA769" i="2" s="1"/>
  <c r="S1057" i="2"/>
  <c r="Z1057" i="2" s="1"/>
  <c r="S917" i="2"/>
  <c r="Z917" i="2" s="1"/>
  <c r="S662" i="2"/>
  <c r="Z662" i="2" s="1"/>
  <c r="R957" i="2"/>
  <c r="Y957" i="2" s="1"/>
  <c r="W553" i="2"/>
  <c r="V1001" i="2"/>
  <c r="U1074" i="2"/>
  <c r="T893" i="2"/>
  <c r="AA893" i="2" s="1"/>
  <c r="R1102" i="2"/>
  <c r="Y1102" i="2" s="1"/>
  <c r="R821" i="2"/>
  <c r="Y821" i="2" s="1"/>
  <c r="R553" i="2"/>
  <c r="Y553" i="2" s="1"/>
  <c r="W1082" i="2"/>
  <c r="W961" i="2"/>
  <c r="W861" i="2"/>
  <c r="W761" i="2"/>
  <c r="W653" i="2"/>
  <c r="W237" i="2"/>
  <c r="V989" i="2"/>
  <c r="V893" i="2"/>
  <c r="V785" i="2"/>
  <c r="V665" i="2"/>
  <c r="V428" i="2"/>
  <c r="V308" i="2"/>
  <c r="V188" i="2"/>
  <c r="U1062" i="2"/>
  <c r="U809" i="2"/>
  <c r="U693" i="2"/>
  <c r="U557" i="2"/>
  <c r="U436" i="2"/>
  <c r="U312" i="2"/>
  <c r="U192" i="2"/>
  <c r="T1033" i="2"/>
  <c r="AA1033" i="2" s="1"/>
  <c r="T889" i="2"/>
  <c r="AA889" i="2" s="1"/>
  <c r="T765" i="2"/>
  <c r="AA765" i="2" s="1"/>
  <c r="T641" i="2"/>
  <c r="AA641" i="2" s="1"/>
  <c r="T505" i="2"/>
  <c r="AA505" i="2" s="1"/>
  <c r="T364" i="2"/>
  <c r="AA364" i="2" s="1"/>
  <c r="T232" i="2"/>
  <c r="AA232" i="2" s="1"/>
  <c r="S913" i="2"/>
  <c r="Z913" i="2" s="1"/>
  <c r="S785" i="2"/>
  <c r="Z785" i="2" s="1"/>
  <c r="S653" i="2"/>
  <c r="Z653" i="2" s="1"/>
  <c r="S525" i="2"/>
  <c r="Z525" i="2" s="1"/>
  <c r="S384" i="2"/>
  <c r="Z384" i="2" s="1"/>
  <c r="S256" i="2"/>
  <c r="Z256" i="2" s="1"/>
  <c r="R1098" i="2"/>
  <c r="Y1098" i="2" s="1"/>
  <c r="R953" i="2"/>
  <c r="Y953" i="2" s="1"/>
  <c r="R817" i="2"/>
  <c r="Y817" i="2" s="1"/>
  <c r="R689" i="2"/>
  <c r="Y689" i="2" s="1"/>
  <c r="R549" i="2"/>
  <c r="Y549" i="2" s="1"/>
  <c r="R412" i="2"/>
  <c r="Y412" i="2" s="1"/>
  <c r="R284" i="2"/>
  <c r="Y284" i="2" s="1"/>
  <c r="R145" i="2"/>
  <c r="Y145" i="2" s="1"/>
  <c r="Q961" i="2"/>
  <c r="X961" i="2" s="1"/>
  <c r="W1078" i="2"/>
  <c r="W957" i="2"/>
  <c r="W857" i="2"/>
  <c r="W749" i="2"/>
  <c r="W649" i="2"/>
  <c r="V1106" i="2"/>
  <c r="V889" i="2"/>
  <c r="V773" i="2"/>
  <c r="U1057" i="2"/>
  <c r="U933" i="2"/>
  <c r="U797" i="2"/>
  <c r="U689" i="2"/>
  <c r="U553" i="2"/>
  <c r="U432" i="2"/>
  <c r="T1029" i="2"/>
  <c r="AA1029" i="2" s="1"/>
  <c r="T761" i="2"/>
  <c r="AA761" i="2" s="1"/>
  <c r="T629" i="2"/>
  <c r="AA629" i="2" s="1"/>
  <c r="S1049" i="2"/>
  <c r="Z1049" i="2" s="1"/>
  <c r="S909" i="2"/>
  <c r="Z909" i="2" s="1"/>
  <c r="S773" i="2"/>
  <c r="Z773" i="2" s="1"/>
  <c r="S649" i="2"/>
  <c r="Z649" i="2" s="1"/>
  <c r="R941" i="2"/>
  <c r="Y941" i="2" s="1"/>
  <c r="R813" i="2"/>
  <c r="Y813" i="2" s="1"/>
  <c r="R677" i="2"/>
  <c r="Y677" i="2" s="1"/>
  <c r="Q725" i="2"/>
  <c r="X725" i="2" s="1"/>
  <c r="V1119" i="2"/>
  <c r="R1106" i="2"/>
  <c r="Y1106" i="2" s="1"/>
  <c r="V985" i="2"/>
  <c r="S1037" i="2"/>
  <c r="Z1037" i="2" s="1"/>
  <c r="R1086" i="2"/>
  <c r="Y1086" i="2" s="1"/>
  <c r="R937" i="2"/>
  <c r="Y937" i="2" s="1"/>
  <c r="S1062" i="2"/>
  <c r="Z1062" i="2" s="1"/>
  <c r="W1062" i="2"/>
  <c r="W953" i="2"/>
  <c r="W841" i="2"/>
  <c r="W741" i="2"/>
  <c r="W645" i="2"/>
  <c r="W432" i="2"/>
  <c r="W332" i="2"/>
  <c r="W220" i="2"/>
  <c r="V1098" i="2"/>
  <c r="V981" i="2"/>
  <c r="V765" i="2"/>
  <c r="V649" i="2"/>
  <c r="V529" i="2"/>
  <c r="V408" i="2"/>
  <c r="V288" i="2"/>
  <c r="U1049" i="2"/>
  <c r="U793" i="2"/>
  <c r="U673" i="2"/>
  <c r="U549" i="2"/>
  <c r="U292" i="2"/>
  <c r="T1013" i="2"/>
  <c r="AA1013" i="2" s="1"/>
  <c r="T881" i="2"/>
  <c r="AA881" i="2" s="1"/>
  <c r="T745" i="2"/>
  <c r="AA745" i="2" s="1"/>
  <c r="T621" i="2"/>
  <c r="AA621" i="2" s="1"/>
  <c r="T484" i="2"/>
  <c r="AA484" i="2" s="1"/>
  <c r="T352" i="2"/>
  <c r="AA352" i="2" s="1"/>
  <c r="T212" i="2"/>
  <c r="AA212" i="2" s="1"/>
  <c r="S1034" i="2"/>
  <c r="Z1034" i="2" s="1"/>
  <c r="S893" i="2"/>
  <c r="Z893" i="2" s="1"/>
  <c r="S765" i="2"/>
  <c r="Z765" i="2" s="1"/>
  <c r="S641" i="2"/>
  <c r="Z641" i="2" s="1"/>
  <c r="S509" i="2"/>
  <c r="Z509" i="2" s="1"/>
  <c r="S240" i="2"/>
  <c r="Z240" i="2" s="1"/>
  <c r="R1082" i="2"/>
  <c r="Y1082" i="2" s="1"/>
  <c r="R933" i="2"/>
  <c r="R797" i="2"/>
  <c r="Y797" i="2" s="1"/>
  <c r="R669" i="2"/>
  <c r="Y669" i="2" s="1"/>
  <c r="R529" i="2"/>
  <c r="Y529" i="2" s="1"/>
  <c r="R400" i="2"/>
  <c r="Y400" i="2" s="1"/>
  <c r="R268" i="2"/>
  <c r="Y268" i="2" s="1"/>
  <c r="R136" i="2"/>
  <c r="Y136" i="2" s="1"/>
  <c r="Q549" i="2"/>
  <c r="X549" i="2" s="1"/>
  <c r="W1057" i="2"/>
  <c r="W933" i="2"/>
  <c r="W821" i="2"/>
  <c r="W721" i="2"/>
  <c r="W625" i="2"/>
  <c r="W521" i="2"/>
  <c r="W412" i="2"/>
  <c r="W308" i="2"/>
  <c r="W208" i="2"/>
  <c r="V1078" i="2"/>
  <c r="V961" i="2"/>
  <c r="V861" i="2"/>
  <c r="V745" i="2"/>
  <c r="V629" i="2"/>
  <c r="V388" i="2"/>
  <c r="V160" i="2"/>
  <c r="U1025" i="2"/>
  <c r="U909" i="2"/>
  <c r="U769" i="2"/>
  <c r="U649" i="2"/>
  <c r="U533" i="2"/>
  <c r="U404" i="2"/>
  <c r="U160" i="2"/>
  <c r="T1126" i="2"/>
  <c r="AA1126" i="2" s="1"/>
  <c r="T989" i="2"/>
  <c r="AA989" i="2" s="1"/>
  <c r="T861" i="2"/>
  <c r="AA861" i="2" s="1"/>
  <c r="T597" i="2"/>
  <c r="AA597" i="2" s="1"/>
  <c r="T332" i="2"/>
  <c r="AA332" i="2" s="1"/>
  <c r="T192" i="2"/>
  <c r="AA192" i="2" s="1"/>
  <c r="S1013" i="2"/>
  <c r="Z1013" i="2" s="1"/>
  <c r="S869" i="2"/>
  <c r="Z869" i="2" s="1"/>
  <c r="S741" i="2"/>
  <c r="Z741" i="2" s="1"/>
  <c r="S621" i="2"/>
  <c r="Z621" i="2" s="1"/>
  <c r="S484" i="2"/>
  <c r="Z484" i="2" s="1"/>
  <c r="S216" i="2"/>
  <c r="Z216" i="2" s="1"/>
  <c r="R1057" i="2"/>
  <c r="Y1057" i="2" s="1"/>
  <c r="R773" i="2"/>
  <c r="Y773" i="2" s="1"/>
  <c r="R649" i="2"/>
  <c r="Y649" i="2" s="1"/>
  <c r="R509" i="2"/>
  <c r="Y509" i="2" s="1"/>
  <c r="R380" i="2"/>
  <c r="Y380" i="2" s="1"/>
  <c r="R244" i="2"/>
  <c r="Y244" i="2" s="1"/>
  <c r="R116" i="2"/>
  <c r="Y116" i="2" s="1"/>
  <c r="Q148" i="2"/>
  <c r="X148" i="2" s="1"/>
  <c r="W1049" i="2"/>
  <c r="W929" i="2"/>
  <c r="W817" i="2"/>
  <c r="W621" i="2"/>
  <c r="W509" i="2"/>
  <c r="V1074" i="2"/>
  <c r="V857" i="2"/>
  <c r="V741" i="2"/>
  <c r="V625" i="2"/>
  <c r="V505" i="2"/>
  <c r="V384" i="2"/>
  <c r="U1013" i="2"/>
  <c r="U905" i="2"/>
  <c r="U765" i="2"/>
  <c r="U645" i="2"/>
  <c r="U529" i="2"/>
  <c r="T1122" i="2"/>
  <c r="AA1122" i="2" s="1"/>
  <c r="T985" i="2"/>
  <c r="AA985" i="2" s="1"/>
  <c r="T857" i="2"/>
  <c r="AA857" i="2" s="1"/>
  <c r="T725" i="2"/>
  <c r="AA725" i="2" s="1"/>
  <c r="T593" i="2"/>
  <c r="AA593" i="2" s="1"/>
  <c r="T460" i="2"/>
  <c r="AA460" i="2" s="1"/>
  <c r="S1009" i="2"/>
  <c r="Z1009" i="2" s="1"/>
  <c r="S865" i="2"/>
  <c r="Z865" i="2" s="1"/>
  <c r="S737" i="2"/>
  <c r="Z737" i="2" s="1"/>
  <c r="S617" i="2"/>
  <c r="Z617" i="2" s="1"/>
  <c r="S480" i="2"/>
  <c r="R1049" i="2"/>
  <c r="Y1049" i="2" s="1"/>
  <c r="R909" i="2"/>
  <c r="Y909" i="2" s="1"/>
  <c r="R645" i="2"/>
  <c r="Y645" i="2" s="1"/>
  <c r="R505" i="2"/>
  <c r="Y505" i="2" s="1"/>
  <c r="W1029" i="2"/>
  <c r="W809" i="2"/>
  <c r="W501" i="2"/>
  <c r="W288" i="2"/>
  <c r="W188" i="2"/>
  <c r="V1057" i="2"/>
  <c r="V841" i="2"/>
  <c r="V725" i="2"/>
  <c r="V605" i="2"/>
  <c r="V496" i="2"/>
  <c r="V376" i="2"/>
  <c r="U1001" i="2"/>
  <c r="U749" i="2"/>
  <c r="U625" i="2"/>
  <c r="U509" i="2"/>
  <c r="U380" i="2"/>
  <c r="U260" i="2"/>
  <c r="U136" i="2"/>
  <c r="T1102" i="2"/>
  <c r="AA1102" i="2" s="1"/>
  <c r="T965" i="2"/>
  <c r="AA965" i="2" s="1"/>
  <c r="T837" i="2"/>
  <c r="AA837" i="2" s="1"/>
  <c r="T713" i="2"/>
  <c r="AA713" i="2" s="1"/>
  <c r="T577" i="2"/>
  <c r="AA577" i="2" s="1"/>
  <c r="T448" i="2"/>
  <c r="AA448" i="2" s="1"/>
  <c r="T308" i="2"/>
  <c r="AA308" i="2" s="1"/>
  <c r="T168" i="2"/>
  <c r="AA168" i="2" s="1"/>
  <c r="S1130" i="2"/>
  <c r="Z1130" i="2" s="1"/>
  <c r="S989" i="2"/>
  <c r="Z989" i="2" s="1"/>
  <c r="S845" i="2"/>
  <c r="Z845" i="2" s="1"/>
  <c r="S717" i="2"/>
  <c r="Z717" i="2" s="1"/>
  <c r="S597" i="2"/>
  <c r="Z597" i="2" s="1"/>
  <c r="S460" i="2"/>
  <c r="Z460" i="2" s="1"/>
  <c r="S332" i="2"/>
  <c r="Z332" i="2" s="1"/>
  <c r="S196" i="2"/>
  <c r="Z196" i="2" s="1"/>
  <c r="R1033" i="2"/>
  <c r="Y1033" i="2" s="1"/>
  <c r="R893" i="2"/>
  <c r="Y893" i="2" s="1"/>
  <c r="R761" i="2"/>
  <c r="Y761" i="2" s="1"/>
  <c r="R625" i="2"/>
  <c r="Y625" i="2" s="1"/>
  <c r="R496" i="2"/>
  <c r="Y496" i="2" s="1"/>
  <c r="R356" i="2"/>
  <c r="Y356" i="2" s="1"/>
  <c r="R220" i="2"/>
  <c r="Y220" i="2" s="1"/>
  <c r="R96" i="2"/>
  <c r="Y96" i="2" s="1"/>
  <c r="W1025" i="2"/>
  <c r="W909" i="2"/>
  <c r="W701" i="2"/>
  <c r="W601" i="2"/>
  <c r="V837" i="2"/>
  <c r="V601" i="2"/>
  <c r="V484" i="2"/>
  <c r="U1126" i="2"/>
  <c r="U989" i="2"/>
  <c r="U881" i="2"/>
  <c r="U745" i="2"/>
  <c r="U621" i="2"/>
  <c r="U505" i="2"/>
  <c r="T1098" i="2"/>
  <c r="AA1098" i="2" s="1"/>
  <c r="T961" i="2"/>
  <c r="AA961" i="2" s="1"/>
  <c r="T833" i="2"/>
  <c r="AA833" i="2" s="1"/>
  <c r="T701" i="2"/>
  <c r="AA701" i="2" s="1"/>
  <c r="T573" i="2"/>
  <c r="AA573" i="2" s="1"/>
  <c r="T436" i="2"/>
  <c r="AA436" i="2" s="1"/>
  <c r="S1126" i="2"/>
  <c r="Z1126" i="2" s="1"/>
  <c r="S985" i="2"/>
  <c r="Z985" i="2" s="1"/>
  <c r="S713" i="2"/>
  <c r="Z713" i="2" s="1"/>
  <c r="S593" i="2"/>
  <c r="Z593" i="2" s="1"/>
  <c r="S456" i="2"/>
  <c r="Z456" i="2" s="1"/>
  <c r="R1029" i="2"/>
  <c r="Y1029" i="2" s="1"/>
  <c r="R889" i="2"/>
  <c r="Y889" i="2" s="1"/>
  <c r="R749" i="2"/>
  <c r="Y749" i="2" s="1"/>
  <c r="R621" i="2"/>
  <c r="Y621" i="2" s="1"/>
  <c r="R484" i="2"/>
  <c r="Y484" i="2" s="1"/>
  <c r="W1009" i="2"/>
  <c r="W793" i="2"/>
  <c r="V1049" i="2"/>
  <c r="V938" i="2"/>
  <c r="U985" i="2"/>
  <c r="U865" i="2"/>
  <c r="T1082" i="2"/>
  <c r="AA1082" i="2" s="1"/>
  <c r="T953" i="2"/>
  <c r="AA953" i="2" s="1"/>
  <c r="T817" i="2"/>
  <c r="AA817" i="2" s="1"/>
  <c r="S1110" i="2"/>
  <c r="Z1110" i="2" s="1"/>
  <c r="S578" i="2"/>
  <c r="Z578" i="2" s="1"/>
  <c r="R1013" i="2"/>
  <c r="Y1013" i="2" s="1"/>
  <c r="W1126" i="2"/>
  <c r="W893" i="2"/>
  <c r="W693" i="2"/>
  <c r="W593" i="2"/>
  <c r="W384" i="2"/>
  <c r="W268" i="2"/>
  <c r="W168" i="2"/>
  <c r="V937" i="2"/>
  <c r="V713" i="2"/>
  <c r="V476" i="2"/>
  <c r="V356" i="2"/>
  <c r="V240" i="2"/>
  <c r="U981" i="2"/>
  <c r="U861" i="2"/>
  <c r="U737" i="2"/>
  <c r="U484" i="2"/>
  <c r="U360" i="2"/>
  <c r="U236" i="2"/>
  <c r="T941" i="2"/>
  <c r="AA941" i="2" s="1"/>
  <c r="T813" i="2"/>
  <c r="AA813" i="2" s="1"/>
  <c r="T689" i="2"/>
  <c r="AA689" i="2" s="1"/>
  <c r="T553" i="2"/>
  <c r="AA553" i="2" s="1"/>
  <c r="T424" i="2"/>
  <c r="AA424" i="2" s="1"/>
  <c r="T284" i="2"/>
  <c r="AA284" i="2" s="1"/>
  <c r="T144" i="2"/>
  <c r="AA144" i="2" s="1"/>
  <c r="S1106" i="2"/>
  <c r="Z1106" i="2" s="1"/>
  <c r="S965" i="2"/>
  <c r="Z965" i="2" s="1"/>
  <c r="S833" i="2"/>
  <c r="Z833" i="2" s="1"/>
  <c r="S697" i="2"/>
  <c r="Z697" i="2" s="1"/>
  <c r="S577" i="2"/>
  <c r="Z577" i="2" s="1"/>
  <c r="S436" i="2"/>
  <c r="Z436" i="2" s="1"/>
  <c r="S308" i="2"/>
  <c r="Z308" i="2" s="1"/>
  <c r="S172" i="2"/>
  <c r="Z172" i="2" s="1"/>
  <c r="R1009" i="2"/>
  <c r="Y1009" i="2" s="1"/>
  <c r="R869" i="2"/>
  <c r="Y869" i="2" s="1"/>
  <c r="R601" i="2"/>
  <c r="Y601" i="2" s="1"/>
  <c r="R472" i="2"/>
  <c r="Y472" i="2" s="1"/>
  <c r="R336" i="2"/>
  <c r="Y336" i="2" s="1"/>
  <c r="R196" i="2"/>
  <c r="Y196" i="2" s="1"/>
  <c r="V821" i="2"/>
  <c r="W1122" i="2"/>
  <c r="W1001" i="2"/>
  <c r="W889" i="2"/>
  <c r="W789" i="2"/>
  <c r="W581" i="2"/>
  <c r="W480" i="2"/>
  <c r="W380" i="2"/>
  <c r="W264" i="2"/>
  <c r="V1037" i="2"/>
  <c r="V933" i="2"/>
  <c r="V817" i="2"/>
  <c r="V701" i="2"/>
  <c r="V581" i="2"/>
  <c r="V472" i="2"/>
  <c r="V352" i="2"/>
  <c r="V236" i="2"/>
  <c r="U1110" i="2"/>
  <c r="U977" i="2"/>
  <c r="U857" i="2"/>
  <c r="U601" i="2"/>
  <c r="U480" i="2"/>
  <c r="U356" i="2"/>
  <c r="T1078" i="2"/>
  <c r="AA1078" i="2" s="1"/>
  <c r="T937" i="2"/>
  <c r="AA937" i="2" s="1"/>
  <c r="T809" i="2"/>
  <c r="AA809" i="2" s="1"/>
  <c r="T677" i="2"/>
  <c r="AA677" i="2" s="1"/>
  <c r="T549" i="2"/>
  <c r="AA549" i="2" s="1"/>
  <c r="T412" i="2"/>
  <c r="AA412" i="2" s="1"/>
  <c r="T280" i="2"/>
  <c r="AA280" i="2" s="1"/>
  <c r="S1102" i="2"/>
  <c r="Z1102" i="2" s="1"/>
  <c r="S961" i="2"/>
  <c r="Z961" i="2" s="1"/>
  <c r="S693" i="2"/>
  <c r="Z693" i="2" s="1"/>
  <c r="S573" i="2"/>
  <c r="Z573" i="2" s="1"/>
  <c r="S432" i="2"/>
  <c r="Z432" i="2" s="1"/>
  <c r="S304" i="2"/>
  <c r="Z304" i="2" s="1"/>
  <c r="S168" i="2"/>
  <c r="Z168" i="2" s="1"/>
  <c r="R1001" i="2"/>
  <c r="Y1001" i="2" s="1"/>
  <c r="R865" i="2"/>
  <c r="Y865" i="2" s="1"/>
  <c r="R737" i="2"/>
  <c r="Y737" i="2" s="1"/>
  <c r="R597" i="2"/>
  <c r="Y597" i="2" s="1"/>
  <c r="R460" i="2"/>
  <c r="Y460" i="2" s="1"/>
  <c r="R332" i="2"/>
  <c r="Y332" i="2" s="1"/>
  <c r="R192" i="2"/>
  <c r="Y192" i="2" s="1"/>
  <c r="R1130" i="2"/>
  <c r="Y1130" i="2" s="1"/>
  <c r="W1110" i="2"/>
  <c r="W985" i="2"/>
  <c r="W881" i="2"/>
  <c r="W785" i="2"/>
  <c r="W573" i="2"/>
  <c r="W460" i="2"/>
  <c r="W360" i="2"/>
  <c r="W256" i="2"/>
  <c r="V1130" i="2"/>
  <c r="V1025" i="2"/>
  <c r="V573" i="2"/>
  <c r="V456" i="2"/>
  <c r="V332" i="2"/>
  <c r="V216" i="2"/>
  <c r="U1098" i="2"/>
  <c r="U957" i="2"/>
  <c r="U837" i="2"/>
  <c r="U721" i="2"/>
  <c r="U581" i="2"/>
  <c r="U460" i="2"/>
  <c r="U340" i="2"/>
  <c r="T1062" i="2"/>
  <c r="AA1062" i="2" s="1"/>
  <c r="T917" i="2"/>
  <c r="AA917" i="2" s="1"/>
  <c r="T789" i="2"/>
  <c r="AA789" i="2" s="1"/>
  <c r="T665" i="2"/>
  <c r="AA665" i="2" s="1"/>
  <c r="T529" i="2"/>
  <c r="AA529" i="2" s="1"/>
  <c r="T400" i="2"/>
  <c r="AA400" i="2" s="1"/>
  <c r="T260" i="2"/>
  <c r="AA260" i="2" s="1"/>
  <c r="T120" i="2"/>
  <c r="AA120" i="2" s="1"/>
  <c r="S1082" i="2"/>
  <c r="Z1082" i="2" s="1"/>
  <c r="S941" i="2"/>
  <c r="Z941" i="2" s="1"/>
  <c r="S813" i="2"/>
  <c r="Z813" i="2" s="1"/>
  <c r="S677" i="2"/>
  <c r="Z677" i="2" s="1"/>
  <c r="S553" i="2"/>
  <c r="Z553" i="2" s="1"/>
  <c r="S412" i="2"/>
  <c r="Z412" i="2" s="1"/>
  <c r="S284" i="2"/>
  <c r="Z284" i="2" s="1"/>
  <c r="S148" i="2"/>
  <c r="Z148" i="2" s="1"/>
  <c r="R1126" i="2"/>
  <c r="Y1126" i="2" s="1"/>
  <c r="R981" i="2"/>
  <c r="Y981" i="2" s="1"/>
  <c r="R845" i="2"/>
  <c r="Y845" i="2" s="1"/>
  <c r="R717" i="2"/>
  <c r="Y717" i="2" s="1"/>
  <c r="R577" i="2"/>
  <c r="Y577" i="2" s="1"/>
  <c r="R448" i="2"/>
  <c r="Y448" i="2" s="1"/>
  <c r="R312" i="2"/>
  <c r="Y312" i="2" s="1"/>
  <c r="R172" i="2"/>
  <c r="Y172" i="2" s="1"/>
  <c r="S1086" i="2"/>
  <c r="Z1086" i="2" s="1"/>
  <c r="R985" i="2"/>
  <c r="Y985" i="2" s="1"/>
  <c r="W1106" i="2"/>
  <c r="W981" i="2"/>
  <c r="W773" i="2"/>
  <c r="W673" i="2"/>
  <c r="W569" i="2"/>
  <c r="W456" i="2"/>
  <c r="V1126" i="2"/>
  <c r="V1013" i="2"/>
  <c r="V913" i="2"/>
  <c r="V797" i="2"/>
  <c r="V689" i="2"/>
  <c r="V569" i="2"/>
  <c r="V452" i="2"/>
  <c r="V328" i="2"/>
  <c r="V212" i="2"/>
  <c r="U1086" i="2"/>
  <c r="U833" i="2"/>
  <c r="U717" i="2"/>
  <c r="U577" i="2"/>
  <c r="U456" i="2"/>
  <c r="U336" i="2"/>
  <c r="U216" i="2"/>
  <c r="T1057" i="2"/>
  <c r="AA1057" i="2" s="1"/>
  <c r="T913" i="2"/>
  <c r="AA913" i="2" s="1"/>
  <c r="T785" i="2"/>
  <c r="AA785" i="2" s="1"/>
  <c r="T653" i="2"/>
  <c r="AA653" i="2" s="1"/>
  <c r="T525" i="2"/>
  <c r="AA525" i="2" s="1"/>
  <c r="T388" i="2"/>
  <c r="AA388" i="2" s="1"/>
  <c r="T256" i="2"/>
  <c r="AA256" i="2" s="1"/>
  <c r="S1078" i="2"/>
  <c r="Z1078" i="2" s="1"/>
  <c r="S937" i="2"/>
  <c r="Z937" i="2" s="1"/>
  <c r="S809" i="2"/>
  <c r="Z809" i="2" s="1"/>
  <c r="S673" i="2"/>
  <c r="Z673" i="2" s="1"/>
  <c r="S549" i="2"/>
  <c r="Z549" i="2" s="1"/>
  <c r="S408" i="2"/>
  <c r="Z408" i="2" s="1"/>
  <c r="S280" i="2"/>
  <c r="Z280" i="2" s="1"/>
  <c r="R1122" i="2"/>
  <c r="Y1122" i="2" s="1"/>
  <c r="R977" i="2"/>
  <c r="Y977" i="2" s="1"/>
  <c r="R841" i="2"/>
  <c r="Y841" i="2" s="1"/>
  <c r="R713" i="2"/>
  <c r="Y713" i="2" s="1"/>
  <c r="R573" i="2"/>
  <c r="Y573" i="2" s="1"/>
  <c r="R436" i="2"/>
  <c r="Y436" i="2" s="1"/>
  <c r="R308" i="2"/>
  <c r="Y308" i="2" s="1"/>
  <c r="R168" i="2"/>
  <c r="Y168" i="2" s="1"/>
  <c r="W931" i="2"/>
  <c r="W1040" i="2"/>
  <c r="W920" i="2"/>
  <c r="W892" i="2"/>
  <c r="W884" i="2"/>
  <c r="W868" i="2"/>
  <c r="W824" i="2"/>
  <c r="W796" i="2"/>
  <c r="W772" i="2"/>
  <c r="W744" i="2"/>
  <c r="W728" i="2"/>
  <c r="W700" i="2"/>
  <c r="W688" i="2"/>
  <c r="W672" i="2"/>
  <c r="W600" i="2"/>
  <c r="W592" i="2"/>
  <c r="W167" i="2"/>
  <c r="W151" i="2"/>
  <c r="W91" i="2"/>
  <c r="W63" i="2"/>
  <c r="V1108" i="2"/>
  <c r="V1097" i="2"/>
  <c r="V968" i="2"/>
  <c r="V892" i="2"/>
  <c r="V848" i="2"/>
  <c r="V736" i="2"/>
  <c r="V640" i="2"/>
  <c r="V600" i="2"/>
  <c r="V556" i="2"/>
  <c r="V447" i="2"/>
  <c r="V407" i="2"/>
  <c r="V295" i="2"/>
  <c r="V267" i="2"/>
  <c r="V219" i="2"/>
  <c r="V207" i="2"/>
  <c r="V187" i="2"/>
  <c r="V171" i="2"/>
  <c r="U1073" i="2"/>
  <c r="U964" i="2"/>
  <c r="U772" i="2"/>
  <c r="U475" i="2"/>
  <c r="T1105" i="2"/>
  <c r="AA1105" i="2" s="1"/>
  <c r="T1085" i="2"/>
  <c r="AA1085" i="2" s="1"/>
  <c r="T1077" i="2"/>
  <c r="AA1077" i="2" s="1"/>
  <c r="T1040" i="2"/>
  <c r="AA1040" i="2" s="1"/>
  <c r="T868" i="2"/>
  <c r="AA868" i="2" s="1"/>
  <c r="T848" i="2"/>
  <c r="AA848" i="2" s="1"/>
  <c r="T359" i="2"/>
  <c r="AA359" i="2" s="1"/>
  <c r="S1077" i="2"/>
  <c r="Z1077" i="2" s="1"/>
  <c r="S988" i="2"/>
  <c r="Z988" i="2" s="1"/>
  <c r="S908" i="2"/>
  <c r="Z908" i="2" s="1"/>
  <c r="S752" i="2"/>
  <c r="Z752" i="2" s="1"/>
  <c r="S740" i="2"/>
  <c r="Z740" i="2" s="1"/>
  <c r="R1024" i="2"/>
  <c r="Y1024" i="2" s="1"/>
  <c r="R911" i="2"/>
  <c r="Y911" i="2" s="1"/>
  <c r="T575" i="2"/>
  <c r="AA575" i="2" s="1"/>
  <c r="W1016" i="2"/>
  <c r="W848" i="2"/>
  <c r="W795" i="2"/>
  <c r="W752" i="2"/>
  <c r="W478" i="2"/>
  <c r="W423" i="2"/>
  <c r="W315" i="2"/>
  <c r="W303" i="2"/>
  <c r="V1048" i="2"/>
  <c r="V1011" i="2"/>
  <c r="V1000" i="2"/>
  <c r="V716" i="2"/>
  <c r="V608" i="2"/>
  <c r="V415" i="2"/>
  <c r="U411" i="2"/>
  <c r="U211" i="2"/>
  <c r="T596" i="2"/>
  <c r="AA596" i="2" s="1"/>
  <c r="R844" i="2"/>
  <c r="Y844" i="2" s="1"/>
  <c r="R459" i="2"/>
  <c r="Y459" i="2" s="1"/>
  <c r="W405" i="2"/>
  <c r="W401" i="2"/>
  <c r="W49" i="2"/>
  <c r="V674" i="2"/>
  <c r="V405" i="2"/>
  <c r="U906" i="2"/>
  <c r="U265" i="2"/>
  <c r="T145" i="2"/>
  <c r="AA145" i="2" s="1"/>
  <c r="S1026" i="2"/>
  <c r="Z1026" i="2" s="1"/>
  <c r="W1107" i="2"/>
  <c r="W1030" i="2"/>
  <c r="W575" i="2"/>
  <c r="W406" i="2"/>
  <c r="W218" i="2"/>
  <c r="W41" i="2"/>
  <c r="V666" i="2"/>
  <c r="V109" i="2"/>
  <c r="U257" i="2"/>
  <c r="T1083" i="2"/>
  <c r="AA1083" i="2" s="1"/>
  <c r="T982" i="2"/>
  <c r="AA982" i="2" s="1"/>
  <c r="S866" i="2"/>
  <c r="Z866" i="2" s="1"/>
  <c r="S758" i="2"/>
  <c r="Z758" i="2" s="1"/>
  <c r="R806" i="2"/>
  <c r="Y806" i="2" s="1"/>
  <c r="R722" i="2"/>
  <c r="Y722" i="2" s="1"/>
  <c r="R237" i="2"/>
  <c r="Y237" i="2" s="1"/>
  <c r="R49" i="2"/>
  <c r="Y49" i="2" s="1"/>
  <c r="W409" i="2"/>
  <c r="W397" i="2"/>
  <c r="W229" i="2"/>
  <c r="V930" i="2"/>
  <c r="U522" i="2"/>
  <c r="S766" i="2"/>
  <c r="Z766" i="2" s="1"/>
  <c r="S570" i="2"/>
  <c r="Z570" i="2" s="1"/>
  <c r="S85" i="2"/>
  <c r="Z85" i="2" s="1"/>
  <c r="R814" i="2"/>
  <c r="Y814" i="2" s="1"/>
  <c r="R137" i="2"/>
  <c r="Y137" i="2" s="1"/>
  <c r="W1099" i="2"/>
  <c r="W1022" i="2"/>
  <c r="W794" i="2"/>
  <c r="W790" i="2"/>
  <c r="W786" i="2"/>
  <c r="W782" i="2"/>
  <c r="W687" i="2"/>
  <c r="V1127" i="2"/>
  <c r="U1095" i="2"/>
  <c r="U1011" i="2"/>
  <c r="U710" i="2"/>
  <c r="U453" i="2"/>
  <c r="T974" i="2"/>
  <c r="AA974" i="2" s="1"/>
  <c r="T890" i="2"/>
  <c r="AA890" i="2" s="1"/>
  <c r="T790" i="2"/>
  <c r="AA790" i="2" s="1"/>
  <c r="T425" i="2"/>
  <c r="S934" i="2"/>
  <c r="Z934" i="2" s="1"/>
  <c r="S858" i="2"/>
  <c r="Z858" i="2" s="1"/>
  <c r="S670" i="2"/>
  <c r="Z670" i="2" s="1"/>
  <c r="R1046" i="2"/>
  <c r="Y1046" i="2" s="1"/>
  <c r="R714" i="2"/>
  <c r="Y714" i="2" s="1"/>
  <c r="R229" i="2"/>
  <c r="Y229" i="2" s="1"/>
  <c r="R41" i="2"/>
  <c r="Y41" i="2" s="1"/>
  <c r="W886" i="2"/>
  <c r="W878" i="2"/>
  <c r="W506" i="2"/>
  <c r="W498" i="2"/>
  <c r="W493" i="2"/>
  <c r="W333" i="2"/>
  <c r="W325" i="2"/>
  <c r="W137" i="2"/>
  <c r="V838" i="2"/>
  <c r="V830" i="2"/>
  <c r="V770" i="2"/>
  <c r="V762" i="2"/>
  <c r="V566" i="2"/>
  <c r="V477" i="2"/>
  <c r="V401" i="2"/>
  <c r="V305" i="2"/>
  <c r="V217" i="2"/>
  <c r="V209" i="2"/>
  <c r="U998" i="2"/>
  <c r="U914" i="2"/>
  <c r="U818" i="2"/>
  <c r="U810" i="2"/>
  <c r="U622" i="2"/>
  <c r="U530" i="2"/>
  <c r="U361" i="2"/>
  <c r="U353" i="2"/>
  <c r="U165" i="2"/>
  <c r="U101" i="2"/>
  <c r="U93" i="2"/>
  <c r="T1079" i="2"/>
  <c r="AA1079" i="2" s="1"/>
  <c r="T698" i="2"/>
  <c r="AA698" i="2" s="1"/>
  <c r="T690" i="2"/>
  <c r="AA690" i="2" s="1"/>
  <c r="T598" i="2"/>
  <c r="AA598" i="2" s="1"/>
  <c r="T433" i="2"/>
  <c r="AA433" i="2" s="1"/>
  <c r="T333" i="2"/>
  <c r="AA333" i="2" s="1"/>
  <c r="T325" i="2"/>
  <c r="AA325" i="2" s="1"/>
  <c r="T241" i="2"/>
  <c r="AA241" i="2" s="1"/>
  <c r="T233" i="2"/>
  <c r="AA233" i="2" s="1"/>
  <c r="T133" i="2"/>
  <c r="AA133" i="2" s="1"/>
  <c r="S1127" i="2"/>
  <c r="Z1127" i="2" s="1"/>
  <c r="S477" i="2"/>
  <c r="Z477" i="2" s="1"/>
  <c r="S469" i="2"/>
  <c r="Z469" i="2" s="1"/>
  <c r="S385" i="2"/>
  <c r="Z385" i="2" s="1"/>
  <c r="S377" i="2"/>
  <c r="Z377" i="2" s="1"/>
  <c r="R530" i="2"/>
  <c r="Y530" i="2" s="1"/>
  <c r="R433" i="2"/>
  <c r="Y433" i="2" s="1"/>
  <c r="W1103" i="2"/>
  <c r="W1095" i="2"/>
  <c r="W1034" i="2"/>
  <c r="W1026" i="2"/>
  <c r="W891" i="2"/>
  <c r="W887" i="2"/>
  <c r="W602" i="2"/>
  <c r="W598" i="2"/>
  <c r="W594" i="2"/>
  <c r="W590" i="2"/>
  <c r="W494" i="2"/>
  <c r="W314" i="2"/>
  <c r="W241" i="2"/>
  <c r="W233" i="2"/>
  <c r="W45" i="2"/>
  <c r="W37" i="2"/>
  <c r="V1123" i="2"/>
  <c r="V934" i="2"/>
  <c r="V926" i="2"/>
  <c r="V819" i="2"/>
  <c r="V670" i="2"/>
  <c r="V662" i="2"/>
  <c r="V574" i="2"/>
  <c r="V313" i="2"/>
  <c r="V205" i="2"/>
  <c r="V117" i="2"/>
  <c r="U1099" i="2"/>
  <c r="U902" i="2"/>
  <c r="U714" i="2"/>
  <c r="U518" i="2"/>
  <c r="U457" i="2"/>
  <c r="U449" i="2"/>
  <c r="U261" i="2"/>
  <c r="U253" i="2"/>
  <c r="T1075" i="2"/>
  <c r="AA1075" i="2" s="1"/>
  <c r="T986" i="2"/>
  <c r="AA986" i="2" s="1"/>
  <c r="T978" i="2"/>
  <c r="AA978" i="2" s="1"/>
  <c r="T882" i="2"/>
  <c r="AA882" i="2" s="1"/>
  <c r="T794" i="2"/>
  <c r="AA794" i="2" s="1"/>
  <c r="T786" i="2"/>
  <c r="AA786" i="2" s="1"/>
  <c r="T594" i="2"/>
  <c r="AA594" i="2" s="1"/>
  <c r="T429" i="2"/>
  <c r="AA429" i="2" s="1"/>
  <c r="T421" i="2"/>
  <c r="AA421" i="2" s="1"/>
  <c r="T141" i="2"/>
  <c r="AA141" i="2" s="1"/>
  <c r="T49" i="2"/>
  <c r="AA49" i="2" s="1"/>
  <c r="S1104" i="2"/>
  <c r="Z1104" i="2" s="1"/>
  <c r="S1030" i="2"/>
  <c r="Z1030" i="2" s="1"/>
  <c r="S1022" i="2"/>
  <c r="Z1022" i="2" s="1"/>
  <c r="S938" i="2"/>
  <c r="Z938" i="2" s="1"/>
  <c r="S931" i="2"/>
  <c r="Z931" i="2" s="1"/>
  <c r="S862" i="2"/>
  <c r="Z862" i="2" s="1"/>
  <c r="S854" i="2"/>
  <c r="Z854" i="2" s="1"/>
  <c r="S770" i="2"/>
  <c r="Z770" i="2" s="1"/>
  <c r="S762" i="2"/>
  <c r="Z762" i="2" s="1"/>
  <c r="S674" i="2"/>
  <c r="Z674" i="2" s="1"/>
  <c r="S666" i="2"/>
  <c r="Z666" i="2" s="1"/>
  <c r="S574" i="2"/>
  <c r="Z574" i="2" s="1"/>
  <c r="S566" i="2"/>
  <c r="Z566" i="2" s="1"/>
  <c r="S97" i="2"/>
  <c r="Z97" i="2" s="1"/>
  <c r="S89" i="2"/>
  <c r="Z89" i="2" s="1"/>
  <c r="S74" i="2"/>
  <c r="Z74" i="2" s="1"/>
  <c r="R1050" i="2"/>
  <c r="Y1050" i="2" s="1"/>
  <c r="R818" i="2"/>
  <c r="Y818" i="2" s="1"/>
  <c r="R810" i="2"/>
  <c r="Y810" i="2" s="1"/>
  <c r="R718" i="2"/>
  <c r="Y718" i="2" s="1"/>
  <c r="R710" i="2"/>
  <c r="Y710" i="2" s="1"/>
  <c r="R241" i="2"/>
  <c r="Y241" i="2" s="1"/>
  <c r="R233" i="2"/>
  <c r="Y233" i="2" s="1"/>
  <c r="R141" i="2"/>
  <c r="Y141" i="2" s="1"/>
  <c r="R133" i="2"/>
  <c r="Y133" i="2" s="1"/>
  <c r="R45" i="2"/>
  <c r="Y45" i="2" s="1"/>
  <c r="R37" i="2"/>
  <c r="Y37" i="2" s="1"/>
  <c r="W890" i="2"/>
  <c r="W882" i="2"/>
  <c r="W502" i="2"/>
  <c r="W145" i="2"/>
  <c r="V1034" i="2"/>
  <c r="V1026" i="2"/>
  <c r="V469" i="2"/>
  <c r="U1103" i="2"/>
  <c r="U1006" i="2"/>
  <c r="U718" i="2"/>
  <c r="U614" i="2"/>
  <c r="U157" i="2"/>
  <c r="U85" i="2"/>
  <c r="T886" i="2"/>
  <c r="AA886" i="2" s="1"/>
  <c r="T41" i="2"/>
  <c r="AA41" i="2" s="1"/>
  <c r="S1119" i="2"/>
  <c r="Z1119" i="2" s="1"/>
  <c r="S930" i="2"/>
  <c r="Z930" i="2" s="1"/>
  <c r="S289" i="2"/>
  <c r="Z289" i="2" s="1"/>
  <c r="S281" i="2"/>
  <c r="Z281" i="2" s="1"/>
  <c r="S189" i="2"/>
  <c r="Z189" i="2" s="1"/>
  <c r="S181" i="2"/>
  <c r="Z181" i="2" s="1"/>
  <c r="R1079" i="2"/>
  <c r="Y1079" i="2" s="1"/>
  <c r="R1071" i="2"/>
  <c r="Y1071" i="2" s="1"/>
  <c r="R934" i="2"/>
  <c r="Y934" i="2" s="1"/>
  <c r="R926" i="2"/>
  <c r="Y926" i="2" s="1"/>
  <c r="R622" i="2"/>
  <c r="Y622" i="2" s="1"/>
  <c r="R614" i="2"/>
  <c r="Y614" i="2" s="1"/>
  <c r="R522" i="2"/>
  <c r="Y522" i="2" s="1"/>
  <c r="R425" i="2"/>
  <c r="Y425" i="2" s="1"/>
  <c r="R333" i="2"/>
  <c r="Y333" i="2" s="1"/>
  <c r="R325" i="2"/>
  <c r="Y325" i="2" s="1"/>
  <c r="W698" i="2"/>
  <c r="W694" i="2"/>
  <c r="W690" i="2"/>
  <c r="W686" i="2"/>
  <c r="W603" i="2"/>
  <c r="W599" i="2"/>
  <c r="W337" i="2"/>
  <c r="W329" i="2"/>
  <c r="W141" i="2"/>
  <c r="W133" i="2"/>
  <c r="V1030" i="2"/>
  <c r="V1022" i="2"/>
  <c r="V842" i="2"/>
  <c r="V834" i="2"/>
  <c r="V766" i="2"/>
  <c r="V758" i="2"/>
  <c r="V735" i="2"/>
  <c r="V570" i="2"/>
  <c r="V473" i="2"/>
  <c r="V409" i="2"/>
  <c r="V397" i="2"/>
  <c r="V309" i="2"/>
  <c r="V301" i="2"/>
  <c r="V213" i="2"/>
  <c r="V113" i="2"/>
  <c r="U1107" i="2"/>
  <c r="U1100" i="2"/>
  <c r="U1010" i="2"/>
  <c r="U1002" i="2"/>
  <c r="U910" i="2"/>
  <c r="U814" i="2"/>
  <c r="U806" i="2"/>
  <c r="U722" i="2"/>
  <c r="U626" i="2"/>
  <c r="U618" i="2"/>
  <c r="U526" i="2"/>
  <c r="U357" i="2"/>
  <c r="U349" i="2"/>
  <c r="U169" i="2"/>
  <c r="U161" i="2"/>
  <c r="U97" i="2"/>
  <c r="U89" i="2"/>
  <c r="T1071" i="2"/>
  <c r="AA1071" i="2" s="1"/>
  <c r="T878" i="2"/>
  <c r="AA878" i="2" s="1"/>
  <c r="T694" i="2"/>
  <c r="AA694" i="2" s="1"/>
  <c r="T686" i="2"/>
  <c r="AA686" i="2" s="1"/>
  <c r="T602" i="2"/>
  <c r="AA602" i="2" s="1"/>
  <c r="T590" i="2"/>
  <c r="AA590" i="2" s="1"/>
  <c r="T337" i="2"/>
  <c r="AA337" i="2" s="1"/>
  <c r="T329" i="2"/>
  <c r="AA329" i="2" s="1"/>
  <c r="T237" i="2"/>
  <c r="AA237" i="2" s="1"/>
  <c r="T229" i="2"/>
  <c r="AA229" i="2" s="1"/>
  <c r="T137" i="2"/>
  <c r="AA137" i="2" s="1"/>
  <c r="T45" i="2"/>
  <c r="AA45" i="2" s="1"/>
  <c r="T37" i="2"/>
  <c r="AA37" i="2" s="1"/>
  <c r="S1123" i="2"/>
  <c r="Z1123" i="2" s="1"/>
  <c r="S926" i="2"/>
  <c r="Z926" i="2" s="1"/>
  <c r="S481" i="2"/>
  <c r="Z481" i="2" s="1"/>
  <c r="S473" i="2"/>
  <c r="Z473" i="2" s="1"/>
  <c r="S381" i="2"/>
  <c r="Z381" i="2" s="1"/>
  <c r="S373" i="2"/>
  <c r="Z373" i="2" s="1"/>
  <c r="S285" i="2"/>
  <c r="Z285" i="2" s="1"/>
  <c r="S277" i="2"/>
  <c r="Z277" i="2" s="1"/>
  <c r="S193" i="2"/>
  <c r="Z193" i="2" s="1"/>
  <c r="S185" i="2"/>
  <c r="Z185" i="2" s="1"/>
  <c r="R1083" i="2"/>
  <c r="Y1083" i="2" s="1"/>
  <c r="R1075" i="2"/>
  <c r="Y1075" i="2" s="1"/>
  <c r="R1003" i="2"/>
  <c r="Y1003" i="2" s="1"/>
  <c r="R938" i="2"/>
  <c r="Y938" i="2" s="1"/>
  <c r="R930" i="2"/>
  <c r="Y930" i="2" s="1"/>
  <c r="R626" i="2"/>
  <c r="Y626" i="2" s="1"/>
  <c r="R618" i="2"/>
  <c r="Y618" i="2" s="1"/>
  <c r="R526" i="2"/>
  <c r="Y526" i="2" s="1"/>
  <c r="R518" i="2"/>
  <c r="Y518" i="2" s="1"/>
  <c r="R429" i="2"/>
  <c r="Y429" i="2" s="1"/>
  <c r="R421" i="2"/>
  <c r="Y421" i="2" s="1"/>
  <c r="R337" i="2"/>
  <c r="Y337" i="2" s="1"/>
  <c r="R329" i="2"/>
  <c r="Y329" i="2" s="1"/>
  <c r="Q1096" i="8"/>
  <c r="S1096" i="2"/>
  <c r="Z1096" i="2" s="1"/>
  <c r="Q1084" i="8"/>
  <c r="R1084" i="2"/>
  <c r="Y1084" i="2" s="1"/>
  <c r="Q1076" i="8"/>
  <c r="R1076" i="2"/>
  <c r="Y1076" i="2" s="1"/>
  <c r="U1076" i="2"/>
  <c r="Q1047" i="8"/>
  <c r="R1047" i="2"/>
  <c r="Y1047" i="2" s="1"/>
  <c r="T1047" i="2"/>
  <c r="AA1047" i="2" s="1"/>
  <c r="Q1035" i="8"/>
  <c r="R1035" i="2"/>
  <c r="Y1035" i="2" s="1"/>
  <c r="Q1007" i="8"/>
  <c r="S1007" i="2"/>
  <c r="Z1007" i="2" s="1"/>
  <c r="Q999" i="8"/>
  <c r="R999" i="2"/>
  <c r="Y999" i="2" s="1"/>
  <c r="S999" i="2"/>
  <c r="Z999" i="2" s="1"/>
  <c r="Q975" i="8"/>
  <c r="U975" i="2"/>
  <c r="Q963" i="8"/>
  <c r="T963" i="2"/>
  <c r="AA963" i="2" s="1"/>
  <c r="Q935" i="8"/>
  <c r="R935" i="2"/>
  <c r="Y935" i="2" s="1"/>
  <c r="Q927" i="8"/>
  <c r="R927" i="2"/>
  <c r="Y927" i="2" s="1"/>
  <c r="S927" i="2"/>
  <c r="Z927" i="2" s="1"/>
  <c r="Q903" i="8"/>
  <c r="R903" i="2"/>
  <c r="Y903" i="2" s="1"/>
  <c r="Q883" i="8"/>
  <c r="R883" i="2"/>
  <c r="Y883" i="2" s="1"/>
  <c r="U883" i="2"/>
  <c r="Q879" i="8"/>
  <c r="U879" i="2"/>
  <c r="Q863" i="8"/>
  <c r="S863" i="2"/>
  <c r="Z863" i="2" s="1"/>
  <c r="Q855" i="8"/>
  <c r="S855" i="2"/>
  <c r="Z855" i="2" s="1"/>
  <c r="T855" i="2"/>
  <c r="AA855" i="2" s="1"/>
  <c r="Q839" i="8"/>
  <c r="S839" i="2"/>
  <c r="Z839" i="2" s="1"/>
  <c r="Q831" i="8"/>
  <c r="S831" i="2"/>
  <c r="Z831" i="2" s="1"/>
  <c r="Q815" i="8"/>
  <c r="R815" i="2"/>
  <c r="Y815" i="2" s="1"/>
  <c r="Q807" i="8"/>
  <c r="R807" i="2"/>
  <c r="Y807" i="2" s="1"/>
  <c r="Q791" i="8"/>
  <c r="R791" i="2"/>
  <c r="Y791" i="2" s="1"/>
  <c r="Q783" i="8"/>
  <c r="R783" i="2"/>
  <c r="Y783" i="2" s="1"/>
  <c r="U783" i="2"/>
  <c r="Q767" i="8"/>
  <c r="S767" i="2"/>
  <c r="Z767" i="2" s="1"/>
  <c r="Q763" i="8"/>
  <c r="S763" i="2"/>
  <c r="Z763" i="2" s="1"/>
  <c r="Q747" i="8"/>
  <c r="S747" i="2"/>
  <c r="Z747" i="2" s="1"/>
  <c r="Q739" i="8"/>
  <c r="S739" i="2"/>
  <c r="Z739" i="2" s="1"/>
  <c r="Q719" i="8"/>
  <c r="R719" i="2"/>
  <c r="Y719" i="2" s="1"/>
  <c r="Q711" i="8"/>
  <c r="R711" i="2"/>
  <c r="Y711" i="2" s="1"/>
  <c r="Q695" i="8"/>
  <c r="R695" i="2"/>
  <c r="Y695" i="2" s="1"/>
  <c r="T695" i="2"/>
  <c r="AA695" i="2" s="1"/>
  <c r="Q691" i="8"/>
  <c r="R691" i="2"/>
  <c r="Y691" i="2" s="1"/>
  <c r="T691" i="2"/>
  <c r="AA691" i="2" s="1"/>
  <c r="U691" i="2"/>
  <c r="Q675" i="8"/>
  <c r="S675" i="2"/>
  <c r="Z675" i="2" s="1"/>
  <c r="T675" i="2"/>
  <c r="AA675" i="2" s="1"/>
  <c r="Q667" i="8"/>
  <c r="S667" i="2"/>
  <c r="Z667" i="2" s="1"/>
  <c r="Q643" i="8"/>
  <c r="S643" i="2"/>
  <c r="Z643" i="2" s="1"/>
  <c r="Q627" i="8"/>
  <c r="R627" i="2"/>
  <c r="Y627" i="2" s="1"/>
  <c r="Q619" i="8"/>
  <c r="R619" i="2"/>
  <c r="Y619" i="2" s="1"/>
  <c r="Q603" i="8"/>
  <c r="T603" i="2"/>
  <c r="AA603" i="2" s="1"/>
  <c r="Q595" i="8"/>
  <c r="R595" i="2"/>
  <c r="Y595" i="2" s="1"/>
  <c r="U595" i="2"/>
  <c r="T595" i="2"/>
  <c r="AA595" i="2" s="1"/>
  <c r="Q579" i="8"/>
  <c r="S579" i="2"/>
  <c r="Z579" i="2" s="1"/>
  <c r="T579" i="2"/>
  <c r="AA579" i="2" s="1"/>
  <c r="Q571" i="8"/>
  <c r="S571" i="2"/>
  <c r="Z571" i="2" s="1"/>
  <c r="T571" i="2"/>
  <c r="AA571" i="2" s="1"/>
  <c r="Q551" i="8"/>
  <c r="S551" i="2"/>
  <c r="Z551" i="2" s="1"/>
  <c r="Q531" i="8"/>
  <c r="R531" i="2"/>
  <c r="Y531" i="2" s="1"/>
  <c r="Q523" i="8"/>
  <c r="R523" i="2"/>
  <c r="Y523" i="2" s="1"/>
  <c r="Q507" i="8"/>
  <c r="R507" i="2"/>
  <c r="Y507" i="2" s="1"/>
  <c r="Q499" i="8"/>
  <c r="T499" i="2"/>
  <c r="AA499" i="2" s="1"/>
  <c r="R499" i="2"/>
  <c r="Y499" i="2" s="1"/>
  <c r="Q482" i="8"/>
  <c r="S482" i="2"/>
  <c r="Z482" i="2" s="1"/>
  <c r="Q474" i="8"/>
  <c r="S474" i="2"/>
  <c r="Z474" i="2" s="1"/>
  <c r="Q454" i="8"/>
  <c r="S454" i="2"/>
  <c r="Z454" i="2" s="1"/>
  <c r="U454" i="2"/>
  <c r="Q446" i="8"/>
  <c r="U446" i="2"/>
  <c r="S446" i="2"/>
  <c r="Z446" i="2" s="1"/>
  <c r="Q434" i="8"/>
  <c r="R434" i="2"/>
  <c r="Y434" i="2" s="1"/>
  <c r="Q426" i="8"/>
  <c r="R426" i="2"/>
  <c r="Y426" i="2" s="1"/>
  <c r="T426" i="2"/>
  <c r="AA426" i="2" s="1"/>
  <c r="U426" i="2"/>
  <c r="Q410" i="8"/>
  <c r="T410" i="2"/>
  <c r="AA410" i="2" s="1"/>
  <c r="V410" i="2"/>
  <c r="Q402" i="8"/>
  <c r="T402" i="2"/>
  <c r="AA402" i="2" s="1"/>
  <c r="R402" i="2"/>
  <c r="Y402" i="2" s="1"/>
  <c r="V402" i="2"/>
  <c r="Q386" i="8"/>
  <c r="S386" i="2"/>
  <c r="Z386" i="2" s="1"/>
  <c r="Q378" i="8"/>
  <c r="S378" i="2"/>
  <c r="Z378" i="2" s="1"/>
  <c r="Q358" i="8"/>
  <c r="S358" i="2"/>
  <c r="Z358" i="2" s="1"/>
  <c r="U358" i="2"/>
  <c r="Q350" i="8"/>
  <c r="U350" i="2"/>
  <c r="Q334" i="8"/>
  <c r="R334" i="2"/>
  <c r="Y334" i="2" s="1"/>
  <c r="U334" i="2"/>
  <c r="T334" i="2"/>
  <c r="AA334" i="2" s="1"/>
  <c r="Q326" i="8"/>
  <c r="R326" i="2"/>
  <c r="Y326" i="2" s="1"/>
  <c r="Q314" i="8"/>
  <c r="R314" i="2"/>
  <c r="Y314" i="2" s="1"/>
  <c r="V314" i="2"/>
  <c r="Q306" i="8"/>
  <c r="T306" i="2"/>
  <c r="AA306" i="2" s="1"/>
  <c r="R306" i="2"/>
  <c r="Y306" i="2" s="1"/>
  <c r="V306" i="2"/>
  <c r="Q290" i="8"/>
  <c r="S290" i="2"/>
  <c r="Z290" i="2" s="1"/>
  <c r="Q282" i="8"/>
  <c r="S282" i="2"/>
  <c r="Z282" i="2" s="1"/>
  <c r="Q278" i="8"/>
  <c r="S278" i="2"/>
  <c r="Z278" i="2" s="1"/>
  <c r="Q262" i="8"/>
  <c r="S262" i="2"/>
  <c r="Z262" i="2" s="1"/>
  <c r="U262" i="2"/>
  <c r="Q254" i="8"/>
  <c r="U254" i="2"/>
  <c r="S254" i="2"/>
  <c r="Z254" i="2" s="1"/>
  <c r="Q242" i="8"/>
  <c r="R242" i="2"/>
  <c r="Y242" i="2" s="1"/>
  <c r="Q234" i="8"/>
  <c r="R234" i="2"/>
  <c r="Y234" i="2" s="1"/>
  <c r="T234" i="2"/>
  <c r="AA234" i="2" s="1"/>
  <c r="U234" i="2"/>
  <c r="Q214" i="8"/>
  <c r="R214" i="2"/>
  <c r="Y214" i="2" s="1"/>
  <c r="V214" i="2"/>
  <c r="Q206" i="8"/>
  <c r="T206" i="2"/>
  <c r="AA206" i="2" s="1"/>
  <c r="R206" i="2"/>
  <c r="Y206" i="2" s="1"/>
  <c r="V206" i="2"/>
  <c r="Q190" i="8"/>
  <c r="S190" i="2"/>
  <c r="Z190" i="2" s="1"/>
  <c r="V190" i="2"/>
  <c r="Q182" i="8"/>
  <c r="S182" i="2"/>
  <c r="Z182" i="2" s="1"/>
  <c r="Q166" i="8"/>
  <c r="S166" i="2"/>
  <c r="Z166" i="2" s="1"/>
  <c r="U166" i="2"/>
  <c r="Q158" i="8"/>
  <c r="U158" i="2"/>
  <c r="Q146" i="8"/>
  <c r="R146" i="2"/>
  <c r="Y146" i="2" s="1"/>
  <c r="T146" i="2"/>
  <c r="AA146" i="2" s="1"/>
  <c r="Q138" i="8"/>
  <c r="R138" i="2"/>
  <c r="Y138" i="2" s="1"/>
  <c r="U138" i="2"/>
  <c r="Q122" i="8"/>
  <c r="R122" i="2"/>
  <c r="Y122" i="2" s="1"/>
  <c r="V122" i="2"/>
  <c r="Q114" i="8"/>
  <c r="T114" i="2"/>
  <c r="AA114" i="2" s="1"/>
  <c r="R114" i="2"/>
  <c r="Y114" i="2" s="1"/>
  <c r="V114" i="2"/>
  <c r="Q98" i="8"/>
  <c r="S98" i="2"/>
  <c r="Z98" i="2" s="1"/>
  <c r="U98" i="2"/>
  <c r="Q94" i="8"/>
  <c r="Q94" i="2"/>
  <c r="X94" i="2" s="1"/>
  <c r="S94" i="2"/>
  <c r="Z94" i="2" s="1"/>
  <c r="U94" i="2"/>
  <c r="V94" i="2"/>
  <c r="Q86" i="8"/>
  <c r="S86" i="2"/>
  <c r="Z86" i="2" s="1"/>
  <c r="U86" i="2"/>
  <c r="Q70" i="8"/>
  <c r="S70" i="2"/>
  <c r="Z70" i="2" s="1"/>
  <c r="U70" i="2"/>
  <c r="Q66" i="8"/>
  <c r="S66" i="2"/>
  <c r="Z66" i="2" s="1"/>
  <c r="U66" i="2"/>
  <c r="Q62" i="8"/>
  <c r="S62" i="2"/>
  <c r="Z62" i="2" s="1"/>
  <c r="Q50" i="8"/>
  <c r="R50" i="2"/>
  <c r="Y50" i="2" s="1"/>
  <c r="Q46" i="8"/>
  <c r="R46" i="2"/>
  <c r="Y46" i="2" s="1"/>
  <c r="Q38" i="8"/>
  <c r="R38" i="2"/>
  <c r="Y38" i="2" s="1"/>
  <c r="T38" i="2"/>
  <c r="AA38" i="2" s="1"/>
  <c r="Q1129" i="8"/>
  <c r="S1129" i="2"/>
  <c r="Z1129" i="2" s="1"/>
  <c r="R1129" i="2"/>
  <c r="Y1129" i="2" s="1"/>
  <c r="Q1121" i="8"/>
  <c r="S1121" i="2"/>
  <c r="Z1121" i="2" s="1"/>
  <c r="Q1113" i="8"/>
  <c r="S1113" i="2"/>
  <c r="Z1113" i="2" s="1"/>
  <c r="R1113" i="2"/>
  <c r="Y1113" i="2" s="1"/>
  <c r="Q1105" i="8"/>
  <c r="S1105" i="2"/>
  <c r="Z1105" i="2" s="1"/>
  <c r="U1105" i="2"/>
  <c r="Q1097" i="8"/>
  <c r="U1097" i="2"/>
  <c r="Q1089" i="8"/>
  <c r="S1089" i="2"/>
  <c r="Z1089" i="2" s="1"/>
  <c r="R1089" i="2"/>
  <c r="Y1089" i="2" s="1"/>
  <c r="T1089" i="2"/>
  <c r="AA1089" i="2" s="1"/>
  <c r="U1089" i="2"/>
  <c r="Q1077" i="8"/>
  <c r="R1077" i="2"/>
  <c r="Y1077" i="2" s="1"/>
  <c r="U1077" i="2"/>
  <c r="Q1061" i="8"/>
  <c r="S1061" i="2"/>
  <c r="Z1061" i="2" s="1"/>
  <c r="R1061" i="2"/>
  <c r="Y1061" i="2" s="1"/>
  <c r="Q1052" i="8"/>
  <c r="R1052" i="2"/>
  <c r="Y1052" i="2" s="1"/>
  <c r="S1052" i="2"/>
  <c r="Z1052" i="2" s="1"/>
  <c r="T1052" i="2"/>
  <c r="AA1052" i="2" s="1"/>
  <c r="Q1036" i="8"/>
  <c r="R1036" i="2"/>
  <c r="Y1036" i="2" s="1"/>
  <c r="S1036" i="2"/>
  <c r="Z1036" i="2" s="1"/>
  <c r="T1036" i="2"/>
  <c r="AA1036" i="2" s="1"/>
  <c r="U1036" i="2"/>
  <c r="Q1028" i="8"/>
  <c r="S1028" i="2"/>
  <c r="Z1028" i="2" s="1"/>
  <c r="R1028" i="2"/>
  <c r="Y1028" i="2" s="1"/>
  <c r="T1028" i="2"/>
  <c r="AA1028" i="2" s="1"/>
  <c r="U1028" i="2"/>
  <c r="Q1012" i="8"/>
  <c r="R1012" i="2"/>
  <c r="Y1012" i="2" s="1"/>
  <c r="T1012" i="2"/>
  <c r="AA1012" i="2" s="1"/>
  <c r="U1012" i="2"/>
  <c r="Q1004" i="8"/>
  <c r="R1004" i="2"/>
  <c r="Y1004" i="2" s="1"/>
  <c r="S1004" i="2"/>
  <c r="Z1004" i="2" s="1"/>
  <c r="T1004" i="2"/>
  <c r="AA1004" i="2" s="1"/>
  <c r="U1004" i="2"/>
  <c r="Q1000" i="8"/>
  <c r="R1000" i="2"/>
  <c r="Y1000" i="2" s="1"/>
  <c r="U1000" i="2"/>
  <c r="S1000" i="2"/>
  <c r="Z1000" i="2" s="1"/>
  <c r="Q992" i="8"/>
  <c r="S992" i="2"/>
  <c r="Z992" i="2" s="1"/>
  <c r="R992" i="2"/>
  <c r="Y992" i="2" s="1"/>
  <c r="T992" i="2"/>
  <c r="AA992" i="2" s="1"/>
  <c r="U992" i="2"/>
  <c r="Q984" i="8"/>
  <c r="S984" i="2"/>
  <c r="Z984" i="2" s="1"/>
  <c r="U984" i="2"/>
  <c r="R984" i="2"/>
  <c r="Y984" i="2" s="1"/>
  <c r="Q976" i="8"/>
  <c r="S976" i="2"/>
  <c r="Z976" i="2" s="1"/>
  <c r="Q968" i="8"/>
  <c r="T968" i="2"/>
  <c r="AA968" i="2" s="1"/>
  <c r="U968" i="2"/>
  <c r="R968" i="2"/>
  <c r="Y968" i="2" s="1"/>
  <c r="Q960" i="8"/>
  <c r="U960" i="2"/>
  <c r="Q952" i="8"/>
  <c r="S952" i="2"/>
  <c r="Z952" i="2" s="1"/>
  <c r="U952" i="2"/>
  <c r="T952" i="2"/>
  <c r="AA952" i="2" s="1"/>
  <c r="Q944" i="8"/>
  <c r="R944" i="2"/>
  <c r="Y944" i="2" s="1"/>
  <c r="Q936" i="8"/>
  <c r="S936" i="2"/>
  <c r="Z936" i="2" s="1"/>
  <c r="R936" i="2"/>
  <c r="Y936" i="2" s="1"/>
  <c r="Q928" i="8"/>
  <c r="S928" i="2"/>
  <c r="Z928" i="2" s="1"/>
  <c r="R928" i="2"/>
  <c r="Y928" i="2" s="1"/>
  <c r="Q920" i="8"/>
  <c r="R920" i="2"/>
  <c r="Y920" i="2" s="1"/>
  <c r="S920" i="2"/>
  <c r="Z920" i="2" s="1"/>
  <c r="Q912" i="8"/>
  <c r="S912" i="2"/>
  <c r="Z912" i="2" s="1"/>
  <c r="U912" i="2"/>
  <c r="Q892" i="8"/>
  <c r="R892" i="2"/>
  <c r="Y892" i="2" s="1"/>
  <c r="Q884" i="8"/>
  <c r="S884" i="2"/>
  <c r="Z884" i="2" s="1"/>
  <c r="U884" i="2"/>
  <c r="Q880" i="8"/>
  <c r="S880" i="2"/>
  <c r="Z880" i="2" s="1"/>
  <c r="R880" i="2"/>
  <c r="Y880" i="2" s="1"/>
  <c r="Q872" i="8"/>
  <c r="R872" i="2"/>
  <c r="Y872" i="2" s="1"/>
  <c r="T872" i="2"/>
  <c r="AA872" i="2" s="1"/>
  <c r="U872" i="2"/>
  <c r="Q864" i="8"/>
  <c r="R864" i="2"/>
  <c r="Y864" i="2" s="1"/>
  <c r="S864" i="2"/>
  <c r="Z864" i="2" s="1"/>
  <c r="U864" i="2"/>
  <c r="Q856" i="8"/>
  <c r="R856" i="2"/>
  <c r="Y856" i="2" s="1"/>
  <c r="S856" i="2"/>
  <c r="Z856" i="2" s="1"/>
  <c r="U856" i="2"/>
  <c r="T856" i="2"/>
  <c r="AA856" i="2" s="1"/>
  <c r="Q848" i="8"/>
  <c r="R848" i="2"/>
  <c r="Y848" i="2" s="1"/>
  <c r="S848" i="2"/>
  <c r="Z848" i="2" s="1"/>
  <c r="Q840" i="8"/>
  <c r="R840" i="2"/>
  <c r="Y840" i="2" s="1"/>
  <c r="S840" i="2"/>
  <c r="Z840" i="2" s="1"/>
  <c r="Q832" i="8"/>
  <c r="R832" i="2"/>
  <c r="Y832" i="2" s="1"/>
  <c r="Q824" i="8"/>
  <c r="S824" i="2"/>
  <c r="Z824" i="2" s="1"/>
  <c r="Q816" i="8"/>
  <c r="R816" i="2"/>
  <c r="Y816" i="2" s="1"/>
  <c r="S816" i="2"/>
  <c r="Z816" i="2" s="1"/>
  <c r="U816" i="2"/>
  <c r="Q800" i="8"/>
  <c r="S800" i="2"/>
  <c r="Z800" i="2" s="1"/>
  <c r="R800" i="2"/>
  <c r="Y800" i="2" s="1"/>
  <c r="T800" i="2"/>
  <c r="AA800" i="2" s="1"/>
  <c r="U800" i="2"/>
  <c r="Q792" i="8"/>
  <c r="S792" i="2"/>
  <c r="Z792" i="2" s="1"/>
  <c r="R792" i="2"/>
  <c r="Y792" i="2" s="1"/>
  <c r="U792" i="2"/>
  <c r="Q784" i="8"/>
  <c r="S784" i="2"/>
  <c r="Z784" i="2" s="1"/>
  <c r="Q776" i="8"/>
  <c r="R776" i="2"/>
  <c r="Y776" i="2" s="1"/>
  <c r="S776" i="2"/>
  <c r="Z776" i="2" s="1"/>
  <c r="T776" i="2"/>
  <c r="AA776" i="2" s="1"/>
  <c r="U776" i="2"/>
  <c r="Q768" i="8"/>
  <c r="R768" i="2"/>
  <c r="Y768" i="2" s="1"/>
  <c r="S768" i="2"/>
  <c r="Z768" i="2" s="1"/>
  <c r="U768" i="2"/>
  <c r="Q760" i="8"/>
  <c r="R760" i="2"/>
  <c r="Y760" i="2" s="1"/>
  <c r="S760" i="2"/>
  <c r="Z760" i="2" s="1"/>
  <c r="U760" i="2"/>
  <c r="T760" i="2"/>
  <c r="AA760" i="2" s="1"/>
  <c r="Q748" i="8"/>
  <c r="S748" i="2"/>
  <c r="Z748" i="2" s="1"/>
  <c r="R748" i="2"/>
  <c r="Y748" i="2" s="1"/>
  <c r="T748" i="2"/>
  <c r="AA748" i="2" s="1"/>
  <c r="U748" i="2"/>
  <c r="Q720" i="8"/>
  <c r="R720" i="2"/>
  <c r="Y720" i="2" s="1"/>
  <c r="S720" i="2"/>
  <c r="Z720" i="2" s="1"/>
  <c r="U720" i="2"/>
  <c r="Q712" i="8"/>
  <c r="R712" i="2"/>
  <c r="Y712" i="2" s="1"/>
  <c r="S712" i="2"/>
  <c r="Z712" i="2" s="1"/>
  <c r="T712" i="2"/>
  <c r="AA712" i="2" s="1"/>
  <c r="U712" i="2"/>
  <c r="Q704" i="8"/>
  <c r="S704" i="2"/>
  <c r="Z704" i="2" s="1"/>
  <c r="U704" i="2"/>
  <c r="Q692" i="8"/>
  <c r="S692" i="2"/>
  <c r="Z692" i="2" s="1"/>
  <c r="T692" i="2"/>
  <c r="AA692" i="2" s="1"/>
  <c r="U692" i="2"/>
  <c r="Q688" i="8"/>
  <c r="S688" i="2"/>
  <c r="Z688" i="2" s="1"/>
  <c r="R688" i="2"/>
  <c r="Y688" i="2" s="1"/>
  <c r="T688" i="2"/>
  <c r="AA688" i="2" s="1"/>
  <c r="Q680" i="8"/>
  <c r="T680" i="2"/>
  <c r="AA680" i="2" s="1"/>
  <c r="R680" i="2"/>
  <c r="Y680" i="2" s="1"/>
  <c r="U680" i="2"/>
  <c r="Q676" i="8"/>
  <c r="S676" i="2"/>
  <c r="Z676" i="2" s="1"/>
  <c r="R676" i="2"/>
  <c r="Y676" i="2" s="1"/>
  <c r="T676" i="2"/>
  <c r="AA676" i="2" s="1"/>
  <c r="Q668" i="8"/>
  <c r="T668" i="2"/>
  <c r="AA668" i="2" s="1"/>
  <c r="S668" i="2"/>
  <c r="Z668" i="2" s="1"/>
  <c r="Q664" i="8"/>
  <c r="R664" i="2"/>
  <c r="Y664" i="2" s="1"/>
  <c r="S664" i="2"/>
  <c r="Z664" i="2" s="1"/>
  <c r="T664" i="2"/>
  <c r="AA664" i="2" s="1"/>
  <c r="U664" i="2"/>
  <c r="Q656" i="8"/>
  <c r="R656" i="2"/>
  <c r="Y656" i="2" s="1"/>
  <c r="S656" i="2"/>
  <c r="Z656" i="2" s="1"/>
  <c r="T656" i="2"/>
  <c r="AA656" i="2" s="1"/>
  <c r="Q652" i="8"/>
  <c r="S652" i="2"/>
  <c r="Z652" i="2" s="1"/>
  <c r="T652" i="2"/>
  <c r="AA652" i="2" s="1"/>
  <c r="U652" i="2"/>
  <c r="Q644" i="8"/>
  <c r="T644" i="2"/>
  <c r="AA644" i="2" s="1"/>
  <c r="R644" i="2"/>
  <c r="Y644" i="2" s="1"/>
  <c r="S644" i="2"/>
  <c r="Z644" i="2" s="1"/>
  <c r="U644" i="2"/>
  <c r="Q640" i="8"/>
  <c r="R640" i="2"/>
  <c r="Y640" i="2" s="1"/>
  <c r="Q632" i="8"/>
  <c r="S632" i="2"/>
  <c r="Z632" i="2" s="1"/>
  <c r="V632" i="2"/>
  <c r="Q620" i="8"/>
  <c r="T620" i="2"/>
  <c r="AA620" i="2" s="1"/>
  <c r="R620" i="2"/>
  <c r="Y620" i="2" s="1"/>
  <c r="S620" i="2"/>
  <c r="Z620" i="2" s="1"/>
  <c r="U620" i="2"/>
  <c r="Q604" i="8"/>
  <c r="R604" i="2"/>
  <c r="Y604" i="2" s="1"/>
  <c r="S604" i="2"/>
  <c r="Z604" i="2" s="1"/>
  <c r="Q596" i="8"/>
  <c r="R596" i="2"/>
  <c r="Y596" i="2" s="1"/>
  <c r="U596" i="2"/>
  <c r="Q592" i="8"/>
  <c r="S592" i="2"/>
  <c r="Z592" i="2" s="1"/>
  <c r="Q584" i="8"/>
  <c r="T584" i="2"/>
  <c r="AA584" i="2" s="1"/>
  <c r="R584" i="2"/>
  <c r="Y584" i="2" s="1"/>
  <c r="S584" i="2"/>
  <c r="Z584" i="2" s="1"/>
  <c r="U584" i="2"/>
  <c r="Q576" i="8"/>
  <c r="R576" i="2"/>
  <c r="Y576" i="2" s="1"/>
  <c r="S576" i="2"/>
  <c r="Z576" i="2" s="1"/>
  <c r="T576" i="2"/>
  <c r="AA576" i="2" s="1"/>
  <c r="U576" i="2"/>
  <c r="V576" i="2"/>
  <c r="Q568" i="8"/>
  <c r="R568" i="2"/>
  <c r="Y568" i="2" s="1"/>
  <c r="S568" i="2"/>
  <c r="Z568" i="2" s="1"/>
  <c r="T568" i="2"/>
  <c r="AA568" i="2" s="1"/>
  <c r="U568" i="2"/>
  <c r="V568" i="2"/>
  <c r="Q560" i="8"/>
  <c r="R560" i="2"/>
  <c r="Y560" i="2" s="1"/>
  <c r="Q552" i="8"/>
  <c r="R552" i="2"/>
  <c r="Y552" i="2" s="1"/>
  <c r="S552" i="2"/>
  <c r="Z552" i="2" s="1"/>
  <c r="T552" i="2"/>
  <c r="AA552" i="2" s="1"/>
  <c r="V552" i="2"/>
  <c r="Q544" i="8"/>
  <c r="R544" i="2"/>
  <c r="Y544" i="2" s="1"/>
  <c r="S544" i="2"/>
  <c r="Z544" i="2" s="1"/>
  <c r="T544" i="2"/>
  <c r="AA544" i="2" s="1"/>
  <c r="Q536" i="8"/>
  <c r="S536" i="2"/>
  <c r="Z536" i="2" s="1"/>
  <c r="R536" i="2"/>
  <c r="Y536" i="2" s="1"/>
  <c r="T536" i="2"/>
  <c r="AA536" i="2" s="1"/>
  <c r="V536" i="2"/>
  <c r="Q528" i="8"/>
  <c r="R528" i="2"/>
  <c r="Y528" i="2" s="1"/>
  <c r="S528" i="2"/>
  <c r="Z528" i="2" s="1"/>
  <c r="U528" i="2"/>
  <c r="T528" i="2"/>
  <c r="AA528" i="2" s="1"/>
  <c r="V528" i="2"/>
  <c r="Q520" i="8"/>
  <c r="R520" i="2"/>
  <c r="Y520" i="2" s="1"/>
  <c r="S520" i="2"/>
  <c r="Z520" i="2" s="1"/>
  <c r="U520" i="2"/>
  <c r="V520" i="2"/>
  <c r="Q512" i="8"/>
  <c r="S512" i="2"/>
  <c r="Z512" i="2" s="1"/>
  <c r="T512" i="2"/>
  <c r="AA512" i="2" s="1"/>
  <c r="U512" i="2"/>
  <c r="Q504" i="8"/>
  <c r="S504" i="2"/>
  <c r="Z504" i="2" s="1"/>
  <c r="T504" i="2"/>
  <c r="AA504" i="2" s="1"/>
  <c r="R504" i="2"/>
  <c r="Y504" i="2" s="1"/>
  <c r="U504" i="2"/>
  <c r="Q495" i="8"/>
  <c r="S495" i="2"/>
  <c r="Z495" i="2" s="1"/>
  <c r="R495" i="2"/>
  <c r="Y495" i="2" s="1"/>
  <c r="U495" i="2"/>
  <c r="Q487" i="8"/>
  <c r="T487" i="2"/>
  <c r="AA487" i="2" s="1"/>
  <c r="R487" i="2"/>
  <c r="Y487" i="2" s="1"/>
  <c r="U487" i="2"/>
  <c r="Q479" i="8"/>
  <c r="T479" i="2"/>
  <c r="AA479" i="2" s="1"/>
  <c r="R479" i="2"/>
  <c r="Y479" i="2" s="1"/>
  <c r="S479" i="2"/>
  <c r="Z479" i="2" s="1"/>
  <c r="U479" i="2"/>
  <c r="Q479" i="2"/>
  <c r="X479" i="2" s="1"/>
  <c r="V479" i="2"/>
  <c r="Q471" i="8"/>
  <c r="T471" i="2"/>
  <c r="AA471" i="2" s="1"/>
  <c r="R471" i="2"/>
  <c r="Y471" i="2" s="1"/>
  <c r="S471" i="2"/>
  <c r="Z471" i="2" s="1"/>
  <c r="U471" i="2"/>
  <c r="V471" i="2"/>
  <c r="Q463" i="8"/>
  <c r="R463" i="2"/>
  <c r="Y463" i="2" s="1"/>
  <c r="S463" i="2"/>
  <c r="Z463" i="2" s="1"/>
  <c r="Q455" i="8"/>
  <c r="R455" i="2"/>
  <c r="Y455" i="2" s="1"/>
  <c r="S455" i="2"/>
  <c r="Z455" i="2" s="1"/>
  <c r="T455" i="2"/>
  <c r="AA455" i="2" s="1"/>
  <c r="U455" i="2"/>
  <c r="Q447" i="8"/>
  <c r="R447" i="2"/>
  <c r="Y447" i="2" s="1"/>
  <c r="T447" i="2"/>
  <c r="AA447" i="2" s="1"/>
  <c r="U447" i="2"/>
  <c r="Q439" i="8"/>
  <c r="S439" i="2"/>
  <c r="Z439" i="2" s="1"/>
  <c r="T439" i="2"/>
  <c r="AA439" i="2" s="1"/>
  <c r="V439" i="2"/>
  <c r="Q431" i="8"/>
  <c r="T431" i="2"/>
  <c r="AA431" i="2" s="1"/>
  <c r="R431" i="2"/>
  <c r="Y431" i="2" s="1"/>
  <c r="S431" i="2"/>
  <c r="Z431" i="2" s="1"/>
  <c r="U431" i="2"/>
  <c r="V431" i="2"/>
  <c r="Q411" i="8"/>
  <c r="R411" i="2"/>
  <c r="Y411" i="2" s="1"/>
  <c r="S411" i="2"/>
  <c r="Z411" i="2" s="1"/>
  <c r="Q403" i="8"/>
  <c r="T403" i="2"/>
  <c r="AA403" i="2" s="1"/>
  <c r="R403" i="2"/>
  <c r="Y403" i="2" s="1"/>
  <c r="Q387" i="8"/>
  <c r="S387" i="2"/>
  <c r="Z387" i="2" s="1"/>
  <c r="V387" i="2"/>
  <c r="Q379" i="8"/>
  <c r="S379" i="2"/>
  <c r="Z379" i="2" s="1"/>
  <c r="R379" i="2"/>
  <c r="Y379" i="2" s="1"/>
  <c r="Q363" i="8"/>
  <c r="S363" i="2"/>
  <c r="Z363" i="2" s="1"/>
  <c r="T363" i="2"/>
  <c r="AA363" i="2" s="1"/>
  <c r="R363" i="2"/>
  <c r="Y363" i="2" s="1"/>
  <c r="U363" i="2"/>
  <c r="Q355" i="8"/>
  <c r="T355" i="2"/>
  <c r="AA355" i="2" s="1"/>
  <c r="U355" i="2"/>
  <c r="Q339" i="8"/>
  <c r="T339" i="2"/>
  <c r="AA339" i="2" s="1"/>
  <c r="R339" i="2"/>
  <c r="Y339" i="2" s="1"/>
  <c r="U339" i="2"/>
  <c r="S339" i="2"/>
  <c r="Z339" i="2" s="1"/>
  <c r="Q331" i="8"/>
  <c r="T331" i="2"/>
  <c r="AA331" i="2" s="1"/>
  <c r="R331" i="2"/>
  <c r="Y331" i="2" s="1"/>
  <c r="Q315" i="8"/>
  <c r="R315" i="2"/>
  <c r="Y315" i="2" s="1"/>
  <c r="T315" i="2"/>
  <c r="AA315" i="2" s="1"/>
  <c r="Q307" i="8"/>
  <c r="T307" i="2"/>
  <c r="AA307" i="2" s="1"/>
  <c r="S307" i="2"/>
  <c r="Z307" i="2" s="1"/>
  <c r="Q303" i="8"/>
  <c r="S303" i="2"/>
  <c r="Z303" i="2" s="1"/>
  <c r="R303" i="2"/>
  <c r="Y303" i="2" s="1"/>
  <c r="U303" i="2"/>
  <c r="Q295" i="8"/>
  <c r="T295" i="2"/>
  <c r="AA295" i="2" s="1"/>
  <c r="R295" i="2"/>
  <c r="Y295" i="2" s="1"/>
  <c r="U295" i="2"/>
  <c r="Q287" i="8"/>
  <c r="T287" i="2"/>
  <c r="AA287" i="2" s="1"/>
  <c r="R287" i="2"/>
  <c r="Y287" i="2" s="1"/>
  <c r="S287" i="2"/>
  <c r="Z287" i="2" s="1"/>
  <c r="U287" i="2"/>
  <c r="Q279" i="8"/>
  <c r="T279" i="2"/>
  <c r="AA279" i="2" s="1"/>
  <c r="R279" i="2"/>
  <c r="Y279" i="2" s="1"/>
  <c r="S279" i="2"/>
  <c r="Z279" i="2" s="1"/>
  <c r="U279" i="2"/>
  <c r="Q271" i="8"/>
  <c r="R271" i="2"/>
  <c r="Y271" i="2" s="1"/>
  <c r="S271" i="2"/>
  <c r="Z271" i="2" s="1"/>
  <c r="Q263" i="8"/>
  <c r="R263" i="2"/>
  <c r="Y263" i="2" s="1"/>
  <c r="S263" i="2"/>
  <c r="Z263" i="2" s="1"/>
  <c r="T263" i="2"/>
  <c r="AA263" i="2" s="1"/>
  <c r="U263" i="2"/>
  <c r="Q255" i="8"/>
  <c r="R255" i="2"/>
  <c r="Y255" i="2" s="1"/>
  <c r="Q255" i="2"/>
  <c r="X255" i="2" s="1"/>
  <c r="T255" i="2"/>
  <c r="AA255" i="2" s="1"/>
  <c r="U255" i="2"/>
  <c r="Q247" i="8"/>
  <c r="S247" i="2"/>
  <c r="Z247" i="2" s="1"/>
  <c r="T247" i="2"/>
  <c r="AA247" i="2" s="1"/>
  <c r="V247" i="2"/>
  <c r="Q239" i="8"/>
  <c r="T239" i="2"/>
  <c r="AA239" i="2" s="1"/>
  <c r="R239" i="2"/>
  <c r="Y239" i="2" s="1"/>
  <c r="S239" i="2"/>
  <c r="Z239" i="2" s="1"/>
  <c r="U239" i="2"/>
  <c r="V239" i="2"/>
  <c r="Q231" i="8"/>
  <c r="T231" i="2"/>
  <c r="AA231" i="2" s="1"/>
  <c r="R231" i="2"/>
  <c r="Y231" i="2" s="1"/>
  <c r="S231" i="2"/>
  <c r="Z231" i="2" s="1"/>
  <c r="V231" i="2"/>
  <c r="Q223" i="8"/>
  <c r="S223" i="2"/>
  <c r="Z223" i="2" s="1"/>
  <c r="T223" i="2"/>
  <c r="AA223" i="2" s="1"/>
  <c r="R223" i="2"/>
  <c r="Y223" i="2" s="1"/>
  <c r="U223" i="2"/>
  <c r="Q215" i="8"/>
  <c r="S215" i="2"/>
  <c r="Z215" i="2" s="1"/>
  <c r="T215" i="2"/>
  <c r="AA215" i="2" s="1"/>
  <c r="R215" i="2"/>
  <c r="Y215" i="2" s="1"/>
  <c r="U215" i="2"/>
  <c r="Q207" i="8"/>
  <c r="S207" i="2"/>
  <c r="Z207" i="2" s="1"/>
  <c r="T207" i="2"/>
  <c r="AA207" i="2" s="1"/>
  <c r="U207" i="2"/>
  <c r="Q199" i="8"/>
  <c r="T199" i="2"/>
  <c r="AA199" i="2" s="1"/>
  <c r="R199" i="2"/>
  <c r="Y199" i="2" s="1"/>
  <c r="S199" i="2"/>
  <c r="Z199" i="2" s="1"/>
  <c r="U199" i="2"/>
  <c r="Q191" i="8"/>
  <c r="T191" i="2"/>
  <c r="AA191" i="2" s="1"/>
  <c r="R191" i="2"/>
  <c r="Y191" i="2" s="1"/>
  <c r="S191" i="2"/>
  <c r="Z191" i="2" s="1"/>
  <c r="U191" i="2"/>
  <c r="Q183" i="8"/>
  <c r="T183" i="2"/>
  <c r="AA183" i="2" s="1"/>
  <c r="R183" i="2"/>
  <c r="Y183" i="2" s="1"/>
  <c r="S183" i="2"/>
  <c r="Z183" i="2" s="1"/>
  <c r="U183" i="2"/>
  <c r="Q175" i="8"/>
  <c r="R175" i="2"/>
  <c r="Y175" i="2" s="1"/>
  <c r="T175" i="2"/>
  <c r="AA175" i="2" s="1"/>
  <c r="Q163" i="8"/>
  <c r="T163" i="2"/>
  <c r="AA163" i="2" s="1"/>
  <c r="Q163" i="2"/>
  <c r="X163" i="2" s="1"/>
  <c r="U163" i="2"/>
  <c r="Q147" i="8"/>
  <c r="T147" i="2"/>
  <c r="AA147" i="2" s="1"/>
  <c r="R147" i="2"/>
  <c r="Y147" i="2" s="1"/>
  <c r="U147" i="2"/>
  <c r="S147" i="2"/>
  <c r="Z147" i="2" s="1"/>
  <c r="Q143" i="8"/>
  <c r="T143" i="2"/>
  <c r="AA143" i="2" s="1"/>
  <c r="R143" i="2"/>
  <c r="Y143" i="2" s="1"/>
  <c r="S143" i="2"/>
  <c r="Z143" i="2" s="1"/>
  <c r="U143" i="2"/>
  <c r="V143" i="2"/>
  <c r="Q135" i="8"/>
  <c r="T135" i="2"/>
  <c r="AA135" i="2" s="1"/>
  <c r="R135" i="2"/>
  <c r="Y135" i="2" s="1"/>
  <c r="S135" i="2"/>
  <c r="Z135" i="2" s="1"/>
  <c r="V135" i="2"/>
  <c r="Q127" i="8"/>
  <c r="S127" i="2"/>
  <c r="Z127" i="2" s="1"/>
  <c r="T127" i="2"/>
  <c r="AA127" i="2" s="1"/>
  <c r="U127" i="2"/>
  <c r="Q119" i="8"/>
  <c r="S119" i="2"/>
  <c r="Z119" i="2" s="1"/>
  <c r="T119" i="2"/>
  <c r="AA119" i="2" s="1"/>
  <c r="R119" i="2"/>
  <c r="Y119" i="2" s="1"/>
  <c r="U119" i="2"/>
  <c r="Q111" i="8"/>
  <c r="S111" i="2"/>
  <c r="Z111" i="2" s="1"/>
  <c r="R111" i="2"/>
  <c r="Y111" i="2" s="1"/>
  <c r="U111" i="2"/>
  <c r="Q103" i="8"/>
  <c r="T103" i="2"/>
  <c r="AA103" i="2" s="1"/>
  <c r="R103" i="2"/>
  <c r="Y103" i="2" s="1"/>
  <c r="U103" i="2"/>
  <c r="Q91" i="8"/>
  <c r="S91" i="2"/>
  <c r="Z91" i="2" s="1"/>
  <c r="T91" i="2"/>
  <c r="AA91" i="2" s="1"/>
  <c r="U91" i="2"/>
  <c r="Q39" i="8"/>
  <c r="T39" i="2"/>
  <c r="AA39" i="2" s="1"/>
  <c r="R39" i="2"/>
  <c r="Y39" i="2" s="1"/>
  <c r="S39" i="2"/>
  <c r="Z39" i="2" s="1"/>
  <c r="U39" i="2"/>
  <c r="V39" i="2"/>
  <c r="W1096" i="2"/>
  <c r="W1080" i="2"/>
  <c r="W859" i="2"/>
  <c r="W667" i="2"/>
  <c r="W378" i="2"/>
  <c r="W326" i="2"/>
  <c r="W214" i="2"/>
  <c r="W50" i="2"/>
  <c r="V1124" i="2"/>
  <c r="V1035" i="2"/>
  <c r="V1023" i="2"/>
  <c r="V1007" i="2"/>
  <c r="V927" i="2"/>
  <c r="V911" i="2"/>
  <c r="V839" i="2"/>
  <c r="V815" i="2"/>
  <c r="V747" i="2"/>
  <c r="V651" i="2"/>
  <c r="V543" i="2"/>
  <c r="V474" i="2"/>
  <c r="V98" i="2"/>
  <c r="V86" i="2"/>
  <c r="U1096" i="2"/>
  <c r="U1007" i="2"/>
  <c r="U983" i="2"/>
  <c r="U891" i="2"/>
  <c r="U711" i="2"/>
  <c r="T983" i="2"/>
  <c r="AA983" i="2" s="1"/>
  <c r="T975" i="2"/>
  <c r="AA975" i="2" s="1"/>
  <c r="T955" i="2"/>
  <c r="AA955" i="2" s="1"/>
  <c r="T795" i="2"/>
  <c r="AA795" i="2" s="1"/>
  <c r="T763" i="2"/>
  <c r="AA763" i="2" s="1"/>
  <c r="T667" i="2"/>
  <c r="AA667" i="2" s="1"/>
  <c r="T242" i="2"/>
  <c r="AA242" i="2" s="1"/>
  <c r="S1035" i="2"/>
  <c r="Z1035" i="2" s="1"/>
  <c r="S543" i="2"/>
  <c r="Z543" i="2" s="1"/>
  <c r="W1089" i="2"/>
  <c r="W1077" i="2"/>
  <c r="W1072" i="2"/>
  <c r="W1036" i="2"/>
  <c r="W1028" i="2"/>
  <c r="W1024" i="2"/>
  <c r="W1008" i="2"/>
  <c r="W992" i="2"/>
  <c r="W984" i="2"/>
  <c r="W976" i="2"/>
  <c r="W935" i="2"/>
  <c r="W856" i="2"/>
  <c r="W800" i="2"/>
  <c r="W760" i="2"/>
  <c r="W748" i="2"/>
  <c r="W704" i="2"/>
  <c r="W675" i="2"/>
  <c r="W664" i="2"/>
  <c r="W652" i="2"/>
  <c r="W644" i="2"/>
  <c r="W579" i="2"/>
  <c r="W568" i="2"/>
  <c r="W548" i="2"/>
  <c r="W512" i="2"/>
  <c r="W482" i="2"/>
  <c r="W471" i="2"/>
  <c r="W386" i="2"/>
  <c r="W375" i="2"/>
  <c r="W363" i="2"/>
  <c r="W355" i="2"/>
  <c r="W319" i="2"/>
  <c r="W307" i="2"/>
  <c r="W223" i="2"/>
  <c r="W211" i="2"/>
  <c r="W206" i="2"/>
  <c r="W163" i="2"/>
  <c r="W127" i="2"/>
  <c r="W115" i="2"/>
  <c r="W110" i="2"/>
  <c r="W67" i="2"/>
  <c r="V1113" i="2"/>
  <c r="V1096" i="2"/>
  <c r="V1061" i="2"/>
  <c r="V1052" i="2"/>
  <c r="V1004" i="2"/>
  <c r="V999" i="2"/>
  <c r="V920" i="2"/>
  <c r="V903" i="2"/>
  <c r="V860" i="2"/>
  <c r="V824" i="2"/>
  <c r="V807" i="2"/>
  <c r="V768" i="2"/>
  <c r="V760" i="2"/>
  <c r="V739" i="2"/>
  <c r="V720" i="2"/>
  <c r="V712" i="2"/>
  <c r="V676" i="2"/>
  <c r="V672" i="2"/>
  <c r="V668" i="2"/>
  <c r="V664" i="2"/>
  <c r="V643" i="2"/>
  <c r="V620" i="2"/>
  <c r="V604" i="2"/>
  <c r="V596" i="2"/>
  <c r="V560" i="2"/>
  <c r="V482" i="2"/>
  <c r="V411" i="2"/>
  <c r="V375" i="2"/>
  <c r="V363" i="2"/>
  <c r="V355" i="2"/>
  <c r="V339" i="2"/>
  <c r="V303" i="2"/>
  <c r="V290" i="2"/>
  <c r="V278" i="2"/>
  <c r="V223" i="2"/>
  <c r="V175" i="2"/>
  <c r="V159" i="2"/>
  <c r="V119" i="2"/>
  <c r="V103" i="2"/>
  <c r="V43" i="2"/>
  <c r="U1104" i="2"/>
  <c r="U1080" i="2"/>
  <c r="U1052" i="2"/>
  <c r="U1024" i="2"/>
  <c r="U999" i="2"/>
  <c r="U987" i="2"/>
  <c r="U944" i="2"/>
  <c r="U911" i="2"/>
  <c r="U887" i="2"/>
  <c r="U860" i="2"/>
  <c r="U832" i="2"/>
  <c r="U807" i="2"/>
  <c r="U795" i="2"/>
  <c r="U752" i="2"/>
  <c r="U719" i="2"/>
  <c r="U695" i="2"/>
  <c r="U668" i="2"/>
  <c r="U640" i="2"/>
  <c r="U603" i="2"/>
  <c r="U560" i="2"/>
  <c r="U463" i="2"/>
  <c r="U379" i="2"/>
  <c r="U331" i="2"/>
  <c r="U307" i="2"/>
  <c r="U271" i="2"/>
  <c r="U231" i="2"/>
  <c r="T1084" i="2"/>
  <c r="AA1084" i="2" s="1"/>
  <c r="T1076" i="2"/>
  <c r="AA1076" i="2" s="1"/>
  <c r="T959" i="2"/>
  <c r="AA959" i="2" s="1"/>
  <c r="T944" i="2"/>
  <c r="AA944" i="2" s="1"/>
  <c r="T891" i="2"/>
  <c r="AA891" i="2" s="1"/>
  <c r="T887" i="2"/>
  <c r="AA887" i="2" s="1"/>
  <c r="T883" i="2"/>
  <c r="AA883" i="2" s="1"/>
  <c r="T879" i="2"/>
  <c r="AA879" i="2" s="1"/>
  <c r="T832" i="2"/>
  <c r="AA832" i="2" s="1"/>
  <c r="T816" i="2"/>
  <c r="AA816" i="2" s="1"/>
  <c r="T767" i="2"/>
  <c r="AA767" i="2" s="1"/>
  <c r="T434" i="2"/>
  <c r="AA434" i="2" s="1"/>
  <c r="T387" i="2"/>
  <c r="AA387" i="2" s="1"/>
  <c r="T326" i="2"/>
  <c r="AA326" i="2" s="1"/>
  <c r="T271" i="2"/>
  <c r="AA271" i="2" s="1"/>
  <c r="T50" i="2"/>
  <c r="AA50" i="2" s="1"/>
  <c r="S1012" i="2"/>
  <c r="Z1012" i="2" s="1"/>
  <c r="S944" i="2"/>
  <c r="Z944" i="2" s="1"/>
  <c r="S935" i="2"/>
  <c r="Z935" i="2" s="1"/>
  <c r="S735" i="2"/>
  <c r="Z735" i="2" s="1"/>
  <c r="S560" i="2"/>
  <c r="Z560" i="2" s="1"/>
  <c r="S548" i="2"/>
  <c r="Z548" i="2" s="1"/>
  <c r="S403" i="2"/>
  <c r="Z403" i="2" s="1"/>
  <c r="S350" i="2"/>
  <c r="Z350" i="2" s="1"/>
  <c r="S331" i="2"/>
  <c r="Z331" i="2" s="1"/>
  <c r="S175" i="2"/>
  <c r="Z175" i="2" s="1"/>
  <c r="S163" i="2"/>
  <c r="Z163" i="2" s="1"/>
  <c r="R1121" i="2"/>
  <c r="Y1121" i="2" s="1"/>
  <c r="R1023" i="2"/>
  <c r="Y1023" i="2" s="1"/>
  <c r="R960" i="2"/>
  <c r="Y960" i="2" s="1"/>
  <c r="R879" i="2"/>
  <c r="Y879" i="2" s="1"/>
  <c r="R704" i="2"/>
  <c r="Y704" i="2" s="1"/>
  <c r="R692" i="2"/>
  <c r="Y692" i="2" s="1"/>
  <c r="R307" i="2"/>
  <c r="Y307" i="2" s="1"/>
  <c r="R163" i="2"/>
  <c r="Y163" i="2" s="1"/>
  <c r="R91" i="2"/>
  <c r="Y91" i="2" s="1"/>
  <c r="Q1120" i="8"/>
  <c r="S1120" i="2"/>
  <c r="Z1120" i="2" s="1"/>
  <c r="Q1108" i="8"/>
  <c r="S1108" i="2"/>
  <c r="Z1108" i="2" s="1"/>
  <c r="Q1100" i="8"/>
  <c r="S1100" i="2"/>
  <c r="Z1100" i="2" s="1"/>
  <c r="Q1080" i="8"/>
  <c r="R1080" i="2"/>
  <c r="Y1080" i="2" s="1"/>
  <c r="Q1072" i="8"/>
  <c r="R1072" i="2"/>
  <c r="Y1072" i="2" s="1"/>
  <c r="U1072" i="2"/>
  <c r="Q1059" i="8"/>
  <c r="R1059" i="2"/>
  <c r="Y1059" i="2" s="1"/>
  <c r="T1059" i="2"/>
  <c r="AA1059" i="2" s="1"/>
  <c r="Q1051" i="8"/>
  <c r="R1051" i="2"/>
  <c r="Y1051" i="2" s="1"/>
  <c r="Q1031" i="8"/>
  <c r="R1031" i="2"/>
  <c r="Y1031" i="2" s="1"/>
  <c r="S1031" i="2"/>
  <c r="Z1031" i="2" s="1"/>
  <c r="Q1027" i="8"/>
  <c r="R1027" i="2"/>
  <c r="Y1027" i="2" s="1"/>
  <c r="S1027" i="2"/>
  <c r="Z1027" i="2" s="1"/>
  <c r="Q1003" i="8"/>
  <c r="S1003" i="2"/>
  <c r="Z1003" i="2" s="1"/>
  <c r="Q979" i="8"/>
  <c r="U979" i="2"/>
  <c r="Q951" i="8"/>
  <c r="T951" i="2"/>
  <c r="AA951" i="2" s="1"/>
  <c r="Q939" i="8"/>
  <c r="R939" i="2"/>
  <c r="Y939" i="2" s="1"/>
  <c r="S939" i="2"/>
  <c r="Z939" i="2" s="1"/>
  <c r="Q931" i="8"/>
  <c r="R931" i="2"/>
  <c r="Y931" i="2" s="1"/>
  <c r="Q915" i="8"/>
  <c r="R915" i="2"/>
  <c r="Y915" i="2" s="1"/>
  <c r="Q907" i="8"/>
  <c r="R907" i="2"/>
  <c r="Y907" i="2" s="1"/>
  <c r="Q867" i="8"/>
  <c r="S867" i="2"/>
  <c r="Z867" i="2" s="1"/>
  <c r="T867" i="2"/>
  <c r="AA867" i="2" s="1"/>
  <c r="Q859" i="8"/>
  <c r="S859" i="2"/>
  <c r="Z859" i="2" s="1"/>
  <c r="Q835" i="8"/>
  <c r="S835" i="2"/>
  <c r="Z835" i="2" s="1"/>
  <c r="Q819" i="8"/>
  <c r="R819" i="2"/>
  <c r="Y819" i="2" s="1"/>
  <c r="Q811" i="8"/>
  <c r="R811" i="2"/>
  <c r="Y811" i="2" s="1"/>
  <c r="Q787" i="8"/>
  <c r="R787" i="2"/>
  <c r="Y787" i="2" s="1"/>
  <c r="U787" i="2"/>
  <c r="Q771" i="8"/>
  <c r="S771" i="2"/>
  <c r="Z771" i="2" s="1"/>
  <c r="T771" i="2"/>
  <c r="AA771" i="2" s="1"/>
  <c r="Q759" i="8"/>
  <c r="S759" i="2"/>
  <c r="Z759" i="2" s="1"/>
  <c r="T759" i="2"/>
  <c r="AA759" i="2" s="1"/>
  <c r="Q743" i="8"/>
  <c r="S743" i="2"/>
  <c r="Z743" i="2" s="1"/>
  <c r="Q723" i="8"/>
  <c r="R723" i="2"/>
  <c r="Y723" i="2" s="1"/>
  <c r="Q715" i="8"/>
  <c r="R715" i="2"/>
  <c r="Y715" i="2" s="1"/>
  <c r="Q699" i="8"/>
  <c r="T699" i="2"/>
  <c r="AA699" i="2" s="1"/>
  <c r="R699" i="2"/>
  <c r="Y699" i="2" s="1"/>
  <c r="Q687" i="8"/>
  <c r="T687" i="2"/>
  <c r="AA687" i="2" s="1"/>
  <c r="U687" i="2"/>
  <c r="Q671" i="8"/>
  <c r="S671" i="2"/>
  <c r="Z671" i="2" s="1"/>
  <c r="T671" i="2"/>
  <c r="AA671" i="2" s="1"/>
  <c r="Q663" i="8"/>
  <c r="S663" i="2"/>
  <c r="Z663" i="2" s="1"/>
  <c r="T663" i="2"/>
  <c r="AA663" i="2" s="1"/>
  <c r="Q647" i="8"/>
  <c r="S647" i="2"/>
  <c r="Z647" i="2" s="1"/>
  <c r="Q639" i="8"/>
  <c r="S639" i="2"/>
  <c r="Z639" i="2" s="1"/>
  <c r="Q623" i="8"/>
  <c r="R623" i="2"/>
  <c r="Y623" i="2" s="1"/>
  <c r="Q615" i="8"/>
  <c r="R615" i="2"/>
  <c r="Y615" i="2" s="1"/>
  <c r="Q599" i="8"/>
  <c r="R599" i="2"/>
  <c r="Y599" i="2" s="1"/>
  <c r="T599" i="2"/>
  <c r="AA599" i="2" s="1"/>
  <c r="Q591" i="8"/>
  <c r="R591" i="2"/>
  <c r="Y591" i="2" s="1"/>
  <c r="T591" i="2"/>
  <c r="AA591" i="2" s="1"/>
  <c r="U591" i="2"/>
  <c r="Q575" i="8"/>
  <c r="S575" i="2"/>
  <c r="Z575" i="2" s="1"/>
  <c r="Q567" i="8"/>
  <c r="S567" i="2"/>
  <c r="Z567" i="2" s="1"/>
  <c r="T567" i="2"/>
  <c r="AA567" i="2" s="1"/>
  <c r="Q555" i="8"/>
  <c r="S555" i="2"/>
  <c r="Z555" i="2" s="1"/>
  <c r="Q547" i="8"/>
  <c r="S547" i="2"/>
  <c r="Z547" i="2" s="1"/>
  <c r="V547" i="2"/>
  <c r="Q527" i="8"/>
  <c r="R527" i="2"/>
  <c r="Y527" i="2" s="1"/>
  <c r="Q519" i="8"/>
  <c r="R519" i="2"/>
  <c r="Y519" i="2" s="1"/>
  <c r="Q503" i="8"/>
  <c r="R503" i="2"/>
  <c r="Y503" i="2" s="1"/>
  <c r="T503" i="2"/>
  <c r="AA503" i="2" s="1"/>
  <c r="Q494" i="8"/>
  <c r="T494" i="2"/>
  <c r="AA494" i="2" s="1"/>
  <c r="Q478" i="8"/>
  <c r="S478" i="2"/>
  <c r="Z478" i="2" s="1"/>
  <c r="Q470" i="8"/>
  <c r="S470" i="2"/>
  <c r="Z470" i="2" s="1"/>
  <c r="Q458" i="8"/>
  <c r="U458" i="2"/>
  <c r="Q450" i="8"/>
  <c r="S450" i="2"/>
  <c r="Z450" i="2" s="1"/>
  <c r="U450" i="2"/>
  <c r="Q430" i="8"/>
  <c r="R430" i="2"/>
  <c r="Y430" i="2" s="1"/>
  <c r="U430" i="2"/>
  <c r="Q422" i="8"/>
  <c r="R422" i="2"/>
  <c r="Y422" i="2" s="1"/>
  <c r="T422" i="2"/>
  <c r="AA422" i="2" s="1"/>
  <c r="Q406" i="8"/>
  <c r="R406" i="2"/>
  <c r="Y406" i="2" s="1"/>
  <c r="V406" i="2"/>
  <c r="Q398" i="8"/>
  <c r="T398" i="2"/>
  <c r="AA398" i="2" s="1"/>
  <c r="Q398" i="2"/>
  <c r="X398" i="2" s="1"/>
  <c r="R398" i="2"/>
  <c r="Y398" i="2" s="1"/>
  <c r="V398" i="2"/>
  <c r="Q382" i="8"/>
  <c r="S382" i="2"/>
  <c r="Z382" i="2" s="1"/>
  <c r="V382" i="2"/>
  <c r="Q374" i="8"/>
  <c r="S374" i="2"/>
  <c r="Z374" i="2" s="1"/>
  <c r="Q362" i="8"/>
  <c r="U362" i="2"/>
  <c r="S362" i="2"/>
  <c r="Z362" i="2" s="1"/>
  <c r="Q354" i="8"/>
  <c r="S354" i="2"/>
  <c r="Z354" i="2" s="1"/>
  <c r="U354" i="2"/>
  <c r="Q338" i="8"/>
  <c r="R338" i="2"/>
  <c r="Y338" i="2" s="1"/>
  <c r="T338" i="2"/>
  <c r="AA338" i="2" s="1"/>
  <c r="Q330" i="8"/>
  <c r="R330" i="2"/>
  <c r="Y330" i="2" s="1"/>
  <c r="U330" i="2"/>
  <c r="Q310" i="8"/>
  <c r="R310" i="2"/>
  <c r="Y310" i="2" s="1"/>
  <c r="T310" i="2"/>
  <c r="AA310" i="2" s="1"/>
  <c r="V310" i="2"/>
  <c r="Q302" i="8"/>
  <c r="T302" i="2"/>
  <c r="AA302" i="2" s="1"/>
  <c r="V302" i="2"/>
  <c r="Q286" i="8"/>
  <c r="S286" i="2"/>
  <c r="Z286" i="2" s="1"/>
  <c r="V286" i="2"/>
  <c r="Q266" i="8"/>
  <c r="U266" i="2"/>
  <c r="Q258" i="8"/>
  <c r="S258" i="2"/>
  <c r="Z258" i="2" s="1"/>
  <c r="U258" i="2"/>
  <c r="Q238" i="8"/>
  <c r="R238" i="2"/>
  <c r="Y238" i="2" s="1"/>
  <c r="U238" i="2"/>
  <c r="Q230" i="8"/>
  <c r="R230" i="2"/>
  <c r="Y230" i="2" s="1"/>
  <c r="T230" i="2"/>
  <c r="AA230" i="2" s="1"/>
  <c r="Q218" i="8"/>
  <c r="T218" i="2"/>
  <c r="AA218" i="2" s="1"/>
  <c r="V218" i="2"/>
  <c r="Q210" i="8"/>
  <c r="T210" i="2"/>
  <c r="AA210" i="2" s="1"/>
  <c r="R210" i="2"/>
  <c r="Y210" i="2" s="1"/>
  <c r="V210" i="2"/>
  <c r="Q194" i="8"/>
  <c r="S194" i="2"/>
  <c r="Z194" i="2" s="1"/>
  <c r="Q186" i="8"/>
  <c r="S186" i="2"/>
  <c r="Z186" i="2" s="1"/>
  <c r="Q170" i="8"/>
  <c r="U170" i="2"/>
  <c r="S170" i="2"/>
  <c r="Z170" i="2" s="1"/>
  <c r="Q162" i="8"/>
  <c r="Q162" i="2"/>
  <c r="X162" i="2" s="1"/>
  <c r="S162" i="2"/>
  <c r="Z162" i="2" s="1"/>
  <c r="U162" i="2"/>
  <c r="Q142" i="8"/>
  <c r="R142" i="2"/>
  <c r="Y142" i="2" s="1"/>
  <c r="U142" i="2"/>
  <c r="T142" i="2"/>
  <c r="AA142" i="2" s="1"/>
  <c r="Q134" i="8"/>
  <c r="R134" i="2"/>
  <c r="Y134" i="2" s="1"/>
  <c r="Q118" i="8"/>
  <c r="R118" i="2"/>
  <c r="Y118" i="2" s="1"/>
  <c r="T118" i="2"/>
  <c r="AA118" i="2" s="1"/>
  <c r="V118" i="2"/>
  <c r="Q110" i="8"/>
  <c r="T110" i="2"/>
  <c r="AA110" i="2" s="1"/>
  <c r="V110" i="2"/>
  <c r="Q90" i="8"/>
  <c r="S90" i="2"/>
  <c r="Z90" i="2" s="1"/>
  <c r="U90" i="2"/>
  <c r="Q42" i="8"/>
  <c r="R42" i="2"/>
  <c r="Y42" i="2" s="1"/>
  <c r="T42" i="2"/>
  <c r="AA42" i="2" s="1"/>
  <c r="Q1125" i="8"/>
  <c r="S1125" i="2"/>
  <c r="Z1125" i="2" s="1"/>
  <c r="R1125" i="2"/>
  <c r="Y1125" i="2" s="1"/>
  <c r="T1125" i="2"/>
  <c r="AA1125" i="2" s="1"/>
  <c r="U1125" i="2"/>
  <c r="Q1109" i="8"/>
  <c r="R1109" i="2"/>
  <c r="Y1109" i="2" s="1"/>
  <c r="T1109" i="2"/>
  <c r="AA1109" i="2" s="1"/>
  <c r="U1109" i="2"/>
  <c r="S1109" i="2"/>
  <c r="Z1109" i="2" s="1"/>
  <c r="Q1101" i="8"/>
  <c r="R1101" i="2"/>
  <c r="Y1101" i="2" s="1"/>
  <c r="S1101" i="2"/>
  <c r="Z1101" i="2" s="1"/>
  <c r="T1101" i="2"/>
  <c r="AA1101" i="2" s="1"/>
  <c r="U1101" i="2"/>
  <c r="Q1085" i="8"/>
  <c r="R1085" i="2"/>
  <c r="Y1085" i="2" s="1"/>
  <c r="S1085" i="2"/>
  <c r="Z1085" i="2" s="1"/>
  <c r="S1081" i="2"/>
  <c r="Z1081" i="2" s="1"/>
  <c r="U1081" i="2"/>
  <c r="R1081" i="2"/>
  <c r="Y1081" i="2" s="1"/>
  <c r="Q1073" i="8"/>
  <c r="S1073" i="2"/>
  <c r="Z1073" i="2" s="1"/>
  <c r="R1073" i="2"/>
  <c r="Y1073" i="2" s="1"/>
  <c r="Q1065" i="8"/>
  <c r="R1065" i="2"/>
  <c r="Y1065" i="2" s="1"/>
  <c r="S1065" i="2"/>
  <c r="Z1065" i="2" s="1"/>
  <c r="T1065" i="2"/>
  <c r="AA1065" i="2" s="1"/>
  <c r="U1065" i="2"/>
  <c r="Q1056" i="8"/>
  <c r="U1056" i="2"/>
  <c r="S1056" i="2"/>
  <c r="Z1056" i="2" s="1"/>
  <c r="Q1048" i="8"/>
  <c r="R1048" i="2"/>
  <c r="Y1048" i="2" s="1"/>
  <c r="U1048" i="2"/>
  <c r="T1048" i="2"/>
  <c r="AA1048" i="2" s="1"/>
  <c r="Q1040" i="8"/>
  <c r="S1040" i="2"/>
  <c r="Z1040" i="2" s="1"/>
  <c r="Q1032" i="8"/>
  <c r="S1032" i="2"/>
  <c r="Z1032" i="2" s="1"/>
  <c r="R1032" i="2"/>
  <c r="Y1032" i="2" s="1"/>
  <c r="Q1024" i="8"/>
  <c r="S1024" i="2"/>
  <c r="Z1024" i="2" s="1"/>
  <c r="Q1016" i="8"/>
  <c r="R1016" i="2"/>
  <c r="Y1016" i="2" s="1"/>
  <c r="S1016" i="2"/>
  <c r="Z1016" i="2" s="1"/>
  <c r="Q1008" i="8"/>
  <c r="S1008" i="2"/>
  <c r="Z1008" i="2" s="1"/>
  <c r="R1008" i="2"/>
  <c r="Y1008" i="2" s="1"/>
  <c r="U1008" i="2"/>
  <c r="Q988" i="8"/>
  <c r="R988" i="2"/>
  <c r="Y988" i="2" s="1"/>
  <c r="Q980" i="8"/>
  <c r="R980" i="2"/>
  <c r="Y980" i="2" s="1"/>
  <c r="S980" i="2"/>
  <c r="Z980" i="2" s="1"/>
  <c r="U980" i="2"/>
  <c r="Q964" i="8"/>
  <c r="R964" i="2"/>
  <c r="Y964" i="2" s="1"/>
  <c r="S964" i="2"/>
  <c r="Z964" i="2" s="1"/>
  <c r="Q956" i="8"/>
  <c r="R956" i="2"/>
  <c r="Y956" i="2" s="1"/>
  <c r="S956" i="2"/>
  <c r="Z956" i="2" s="1"/>
  <c r="T956" i="2"/>
  <c r="AA956" i="2" s="1"/>
  <c r="Q940" i="8"/>
  <c r="S940" i="2"/>
  <c r="Z940" i="2" s="1"/>
  <c r="R940" i="2"/>
  <c r="Y940" i="2" s="1"/>
  <c r="T940" i="2"/>
  <c r="AA940" i="2" s="1"/>
  <c r="U940" i="2"/>
  <c r="Q932" i="8"/>
  <c r="S932" i="2"/>
  <c r="Z932" i="2" s="1"/>
  <c r="R932" i="2"/>
  <c r="Y932" i="2" s="1"/>
  <c r="T932" i="2"/>
  <c r="AA932" i="2" s="1"/>
  <c r="U932" i="2"/>
  <c r="Q916" i="8"/>
  <c r="T916" i="2"/>
  <c r="AA916" i="2" s="1"/>
  <c r="U916" i="2"/>
  <c r="R916" i="2"/>
  <c r="Y916" i="2" s="1"/>
  <c r="S916" i="2"/>
  <c r="Z916" i="2" s="1"/>
  <c r="Q908" i="8"/>
  <c r="R908" i="2"/>
  <c r="Y908" i="2" s="1"/>
  <c r="T908" i="2"/>
  <c r="AA908" i="2" s="1"/>
  <c r="U908" i="2"/>
  <c r="Q904" i="8"/>
  <c r="R904" i="2"/>
  <c r="Y904" i="2" s="1"/>
  <c r="S904" i="2"/>
  <c r="Z904" i="2" s="1"/>
  <c r="U904" i="2"/>
  <c r="Q896" i="8"/>
  <c r="S896" i="2"/>
  <c r="Z896" i="2" s="1"/>
  <c r="T896" i="2"/>
  <c r="AA896" i="2" s="1"/>
  <c r="U896" i="2"/>
  <c r="Q888" i="8"/>
  <c r="S888" i="2"/>
  <c r="Z888" i="2" s="1"/>
  <c r="U888" i="2"/>
  <c r="Q868" i="8"/>
  <c r="S868" i="2"/>
  <c r="Z868" i="2" s="1"/>
  <c r="R868" i="2"/>
  <c r="Y868" i="2" s="1"/>
  <c r="Q860" i="8"/>
  <c r="S860" i="2"/>
  <c r="Z860" i="2" s="1"/>
  <c r="T860" i="2"/>
  <c r="AA860" i="2" s="1"/>
  <c r="Q844" i="8"/>
  <c r="S844" i="2"/>
  <c r="Z844" i="2" s="1"/>
  <c r="T844" i="2"/>
  <c r="AA844" i="2" s="1"/>
  <c r="U844" i="2"/>
  <c r="Q836" i="8"/>
  <c r="R836" i="2"/>
  <c r="Y836" i="2" s="1"/>
  <c r="S836" i="2"/>
  <c r="Z836" i="2" s="1"/>
  <c r="T836" i="2"/>
  <c r="AA836" i="2" s="1"/>
  <c r="U836" i="2"/>
  <c r="Q820" i="8"/>
  <c r="R820" i="2"/>
  <c r="Y820" i="2" s="1"/>
  <c r="T820" i="2"/>
  <c r="AA820" i="2" s="1"/>
  <c r="U820" i="2"/>
  <c r="Q812" i="8"/>
  <c r="R812" i="2"/>
  <c r="Y812" i="2" s="1"/>
  <c r="S812" i="2"/>
  <c r="Z812" i="2" s="1"/>
  <c r="T812" i="2"/>
  <c r="AA812" i="2" s="1"/>
  <c r="U812" i="2"/>
  <c r="Q808" i="8"/>
  <c r="R808" i="2"/>
  <c r="Y808" i="2" s="1"/>
  <c r="S808" i="2"/>
  <c r="Z808" i="2" s="1"/>
  <c r="U808" i="2"/>
  <c r="Q796" i="8"/>
  <c r="R796" i="2"/>
  <c r="Y796" i="2" s="1"/>
  <c r="S796" i="2"/>
  <c r="Z796" i="2" s="1"/>
  <c r="Q788" i="8"/>
  <c r="R788" i="2"/>
  <c r="Y788" i="2" s="1"/>
  <c r="U788" i="2"/>
  <c r="Q772" i="8"/>
  <c r="S772" i="2"/>
  <c r="Z772" i="2" s="1"/>
  <c r="Q764" i="8"/>
  <c r="S764" i="2"/>
  <c r="Z764" i="2" s="1"/>
  <c r="R764" i="2"/>
  <c r="Y764" i="2" s="1"/>
  <c r="T764" i="2"/>
  <c r="AA764" i="2" s="1"/>
  <c r="Q752" i="8"/>
  <c r="R752" i="2"/>
  <c r="Y752" i="2" s="1"/>
  <c r="Q744" i="8"/>
  <c r="R744" i="2"/>
  <c r="Y744" i="2" s="1"/>
  <c r="S744" i="2"/>
  <c r="Z744" i="2" s="1"/>
  <c r="Q740" i="8"/>
  <c r="T740" i="2"/>
  <c r="AA740" i="2" s="1"/>
  <c r="U740" i="2"/>
  <c r="Q736" i="8"/>
  <c r="R736" i="2"/>
  <c r="Y736" i="2" s="1"/>
  <c r="S736" i="2"/>
  <c r="Z736" i="2" s="1"/>
  <c r="Q728" i="8"/>
  <c r="S728" i="2"/>
  <c r="Z728" i="2" s="1"/>
  <c r="R728" i="2"/>
  <c r="Y728" i="2" s="1"/>
  <c r="Q724" i="8"/>
  <c r="T724" i="2"/>
  <c r="AA724" i="2" s="1"/>
  <c r="R724" i="2"/>
  <c r="Y724" i="2" s="1"/>
  <c r="U724" i="2"/>
  <c r="S724" i="2"/>
  <c r="Z724" i="2" s="1"/>
  <c r="Q716" i="8"/>
  <c r="T716" i="2"/>
  <c r="AA716" i="2" s="1"/>
  <c r="R716" i="2"/>
  <c r="Y716" i="2" s="1"/>
  <c r="U716" i="2"/>
  <c r="Q700" i="8"/>
  <c r="R700" i="2"/>
  <c r="Y700" i="2" s="1"/>
  <c r="T700" i="2"/>
  <c r="AA700" i="2" s="1"/>
  <c r="Q696" i="8"/>
  <c r="S696" i="2"/>
  <c r="Z696" i="2" s="1"/>
  <c r="R696" i="2"/>
  <c r="Y696" i="2" s="1"/>
  <c r="U696" i="2"/>
  <c r="T696" i="2"/>
  <c r="AA696" i="2" s="1"/>
  <c r="Q672" i="8"/>
  <c r="R672" i="2"/>
  <c r="Y672" i="2" s="1"/>
  <c r="S672" i="2"/>
  <c r="Z672" i="2" s="1"/>
  <c r="U672" i="2"/>
  <c r="Q648" i="8"/>
  <c r="R648" i="2"/>
  <c r="Y648" i="2" s="1"/>
  <c r="S648" i="2"/>
  <c r="Z648" i="2" s="1"/>
  <c r="Q628" i="8"/>
  <c r="T628" i="2"/>
  <c r="AA628" i="2" s="1"/>
  <c r="R628" i="2"/>
  <c r="Y628" i="2" s="1"/>
  <c r="U628" i="2"/>
  <c r="Q624" i="8"/>
  <c r="R624" i="2"/>
  <c r="Y624" i="2" s="1"/>
  <c r="S624" i="2"/>
  <c r="Z624" i="2" s="1"/>
  <c r="U624" i="2"/>
  <c r="V624" i="2"/>
  <c r="Q616" i="8"/>
  <c r="R616" i="2"/>
  <c r="Y616" i="2" s="1"/>
  <c r="S616" i="2"/>
  <c r="Z616" i="2" s="1"/>
  <c r="T616" i="2"/>
  <c r="AA616" i="2" s="1"/>
  <c r="U616" i="2"/>
  <c r="V616" i="2"/>
  <c r="Q608" i="8"/>
  <c r="S608" i="2"/>
  <c r="Z608" i="2" s="1"/>
  <c r="T608" i="2"/>
  <c r="AA608" i="2" s="1"/>
  <c r="R608" i="2"/>
  <c r="Y608" i="2" s="1"/>
  <c r="U608" i="2"/>
  <c r="Q600" i="8"/>
  <c r="S600" i="2"/>
  <c r="Z600" i="2" s="1"/>
  <c r="R600" i="2"/>
  <c r="Y600" i="2" s="1"/>
  <c r="U600" i="2"/>
  <c r="Q580" i="8"/>
  <c r="S580" i="2"/>
  <c r="Z580" i="2" s="1"/>
  <c r="V580" i="2"/>
  <c r="Q572" i="8"/>
  <c r="T572" i="2"/>
  <c r="AA572" i="2" s="1"/>
  <c r="S572" i="2"/>
  <c r="Z572" i="2" s="1"/>
  <c r="R572" i="2"/>
  <c r="Y572" i="2" s="1"/>
  <c r="V572" i="2"/>
  <c r="Q556" i="8"/>
  <c r="S556" i="2"/>
  <c r="Z556" i="2" s="1"/>
  <c r="T556" i="2"/>
  <c r="AA556" i="2" s="1"/>
  <c r="R556" i="2"/>
  <c r="Y556" i="2" s="1"/>
  <c r="U556" i="2"/>
  <c r="Q548" i="8"/>
  <c r="T548" i="2"/>
  <c r="AA548" i="2" s="1"/>
  <c r="U548" i="2"/>
  <c r="Q532" i="8"/>
  <c r="T532" i="2"/>
  <c r="AA532" i="2" s="1"/>
  <c r="R532" i="2"/>
  <c r="Y532" i="2" s="1"/>
  <c r="U532" i="2"/>
  <c r="S532" i="2"/>
  <c r="Z532" i="2" s="1"/>
  <c r="Q524" i="8"/>
  <c r="T524" i="2"/>
  <c r="AA524" i="2" s="1"/>
  <c r="R524" i="2"/>
  <c r="Y524" i="2" s="1"/>
  <c r="U524" i="2"/>
  <c r="Q508" i="8"/>
  <c r="R508" i="2"/>
  <c r="Y508" i="2" s="1"/>
  <c r="T508" i="2"/>
  <c r="AA508" i="2" s="1"/>
  <c r="Q500" i="8"/>
  <c r="T500" i="2"/>
  <c r="AA500" i="2" s="1"/>
  <c r="S500" i="2"/>
  <c r="Z500" i="2" s="1"/>
  <c r="Q483" i="8"/>
  <c r="S483" i="2"/>
  <c r="Z483" i="2" s="1"/>
  <c r="T483" i="2"/>
  <c r="AA483" i="2" s="1"/>
  <c r="R483" i="2"/>
  <c r="Y483" i="2" s="1"/>
  <c r="V483" i="2"/>
  <c r="Q475" i="8"/>
  <c r="S475" i="2"/>
  <c r="Z475" i="2" s="1"/>
  <c r="T475" i="2"/>
  <c r="AA475" i="2" s="1"/>
  <c r="V475" i="2"/>
  <c r="Q459" i="8"/>
  <c r="S459" i="2"/>
  <c r="Z459" i="2" s="1"/>
  <c r="T459" i="2"/>
  <c r="AA459" i="2" s="1"/>
  <c r="U459" i="2"/>
  <c r="Q451" i="8"/>
  <c r="T451" i="2"/>
  <c r="AA451" i="2" s="1"/>
  <c r="R451" i="2"/>
  <c r="Y451" i="2" s="1"/>
  <c r="S451" i="2"/>
  <c r="Z451" i="2" s="1"/>
  <c r="U451" i="2"/>
  <c r="Q435" i="8"/>
  <c r="T435" i="2"/>
  <c r="AA435" i="2" s="1"/>
  <c r="R435" i="2"/>
  <c r="Y435" i="2" s="1"/>
  <c r="U435" i="2"/>
  <c r="Q427" i="8"/>
  <c r="T427" i="2"/>
  <c r="AA427" i="2" s="1"/>
  <c r="R427" i="2"/>
  <c r="Y427" i="2" s="1"/>
  <c r="S427" i="2"/>
  <c r="Z427" i="2" s="1"/>
  <c r="Q423" i="8"/>
  <c r="T423" i="2"/>
  <c r="AA423" i="2" s="1"/>
  <c r="R423" i="2"/>
  <c r="Y423" i="2" s="1"/>
  <c r="S423" i="2"/>
  <c r="Z423" i="2" s="1"/>
  <c r="V423" i="2"/>
  <c r="Q415" i="8"/>
  <c r="S415" i="2"/>
  <c r="Z415" i="2" s="1"/>
  <c r="T415" i="2"/>
  <c r="AA415" i="2" s="1"/>
  <c r="R415" i="2"/>
  <c r="Y415" i="2" s="1"/>
  <c r="U415" i="2"/>
  <c r="Q407" i="8"/>
  <c r="S407" i="2"/>
  <c r="Z407" i="2" s="1"/>
  <c r="T407" i="2"/>
  <c r="AA407" i="2" s="1"/>
  <c r="Q407" i="2"/>
  <c r="X407" i="2" s="1"/>
  <c r="R407" i="2"/>
  <c r="Y407" i="2" s="1"/>
  <c r="U407" i="2"/>
  <c r="Q399" i="8"/>
  <c r="Q399" i="2"/>
  <c r="X399" i="2" s="1"/>
  <c r="S399" i="2"/>
  <c r="Z399" i="2" s="1"/>
  <c r="T399" i="2"/>
  <c r="AA399" i="2" s="1"/>
  <c r="U399" i="2"/>
  <c r="Q391" i="8"/>
  <c r="T391" i="2"/>
  <c r="AA391" i="2" s="1"/>
  <c r="R391" i="2"/>
  <c r="Y391" i="2" s="1"/>
  <c r="S391" i="2"/>
  <c r="Z391" i="2" s="1"/>
  <c r="U391" i="2"/>
  <c r="Q383" i="8"/>
  <c r="T383" i="2"/>
  <c r="AA383" i="2" s="1"/>
  <c r="R383" i="2"/>
  <c r="Y383" i="2" s="1"/>
  <c r="S383" i="2"/>
  <c r="Z383" i="2" s="1"/>
  <c r="U383" i="2"/>
  <c r="Q375" i="8"/>
  <c r="T375" i="2"/>
  <c r="AA375" i="2" s="1"/>
  <c r="R375" i="2"/>
  <c r="Y375" i="2" s="1"/>
  <c r="S375" i="2"/>
  <c r="Z375" i="2" s="1"/>
  <c r="U375" i="2"/>
  <c r="Q367" i="8"/>
  <c r="R367" i="2"/>
  <c r="Y367" i="2" s="1"/>
  <c r="T367" i="2"/>
  <c r="AA367" i="2" s="1"/>
  <c r="Q359" i="8"/>
  <c r="R359" i="2"/>
  <c r="Y359" i="2" s="1"/>
  <c r="S359" i="2"/>
  <c r="Z359" i="2" s="1"/>
  <c r="U359" i="2"/>
  <c r="Q351" i="8"/>
  <c r="R351" i="2"/>
  <c r="Y351" i="2" s="1"/>
  <c r="S351" i="2"/>
  <c r="Z351" i="2" s="1"/>
  <c r="U351" i="2"/>
  <c r="Q343" i="8"/>
  <c r="S343" i="2"/>
  <c r="Z343" i="2" s="1"/>
  <c r="R343" i="2"/>
  <c r="Y343" i="2" s="1"/>
  <c r="V343" i="2"/>
  <c r="Q335" i="8"/>
  <c r="T335" i="2"/>
  <c r="AA335" i="2" s="1"/>
  <c r="R335" i="2"/>
  <c r="Y335" i="2" s="1"/>
  <c r="S335" i="2"/>
  <c r="Z335" i="2" s="1"/>
  <c r="U335" i="2"/>
  <c r="V335" i="2"/>
  <c r="Q327" i="8"/>
  <c r="T327" i="2"/>
  <c r="AA327" i="2" s="1"/>
  <c r="R327" i="2"/>
  <c r="Y327" i="2" s="1"/>
  <c r="S327" i="2"/>
  <c r="Z327" i="2" s="1"/>
  <c r="V327" i="2"/>
  <c r="Q319" i="8"/>
  <c r="S319" i="2"/>
  <c r="Z319" i="2" s="1"/>
  <c r="T319" i="2"/>
  <c r="AA319" i="2" s="1"/>
  <c r="U319" i="2"/>
  <c r="Q311" i="8"/>
  <c r="S311" i="2"/>
  <c r="Z311" i="2" s="1"/>
  <c r="T311" i="2"/>
  <c r="AA311" i="2" s="1"/>
  <c r="R311" i="2"/>
  <c r="Y311" i="2" s="1"/>
  <c r="U311" i="2"/>
  <c r="Q291" i="8"/>
  <c r="S291" i="2"/>
  <c r="Z291" i="2" s="1"/>
  <c r="T291" i="2"/>
  <c r="AA291" i="2" s="1"/>
  <c r="R291" i="2"/>
  <c r="Y291" i="2" s="1"/>
  <c r="V291" i="2"/>
  <c r="Q283" i="8"/>
  <c r="S283" i="2"/>
  <c r="Z283" i="2" s="1"/>
  <c r="T283" i="2"/>
  <c r="AA283" i="2" s="1"/>
  <c r="Q267" i="8"/>
  <c r="S267" i="2"/>
  <c r="Z267" i="2" s="1"/>
  <c r="T267" i="2"/>
  <c r="AA267" i="2" s="1"/>
  <c r="U267" i="2"/>
  <c r="Q259" i="8"/>
  <c r="T259" i="2"/>
  <c r="AA259" i="2" s="1"/>
  <c r="R259" i="2"/>
  <c r="Y259" i="2" s="1"/>
  <c r="S259" i="2"/>
  <c r="Z259" i="2" s="1"/>
  <c r="U259" i="2"/>
  <c r="Q243" i="8"/>
  <c r="T243" i="2"/>
  <c r="AA243" i="2" s="1"/>
  <c r="R243" i="2"/>
  <c r="Y243" i="2" s="1"/>
  <c r="U243" i="2"/>
  <c r="Q235" i="8"/>
  <c r="T235" i="2"/>
  <c r="AA235" i="2" s="1"/>
  <c r="R235" i="2"/>
  <c r="Y235" i="2" s="1"/>
  <c r="S235" i="2"/>
  <c r="Z235" i="2" s="1"/>
  <c r="Q219" i="8"/>
  <c r="Q219" i="2"/>
  <c r="X219" i="2" s="1"/>
  <c r="R219" i="2"/>
  <c r="Y219" i="2" s="1"/>
  <c r="S219" i="2"/>
  <c r="Z219" i="2" s="1"/>
  <c r="Q211" i="8"/>
  <c r="T211" i="2"/>
  <c r="AA211" i="2" s="1"/>
  <c r="R211" i="2"/>
  <c r="Y211" i="2" s="1"/>
  <c r="Q195" i="8"/>
  <c r="S195" i="2"/>
  <c r="Z195" i="2" s="1"/>
  <c r="V195" i="2"/>
  <c r="Q187" i="8"/>
  <c r="S187" i="2"/>
  <c r="Z187" i="2" s="1"/>
  <c r="R187" i="2"/>
  <c r="Y187" i="2" s="1"/>
  <c r="Q171" i="8"/>
  <c r="S171" i="2"/>
  <c r="Z171" i="2" s="1"/>
  <c r="T171" i="2"/>
  <c r="AA171" i="2" s="1"/>
  <c r="R171" i="2"/>
  <c r="Y171" i="2" s="1"/>
  <c r="U171" i="2"/>
  <c r="Q167" i="8"/>
  <c r="R167" i="2"/>
  <c r="Y167" i="2" s="1"/>
  <c r="S167" i="2"/>
  <c r="Z167" i="2" s="1"/>
  <c r="U167" i="2"/>
  <c r="Q159" i="8"/>
  <c r="Q159" i="2"/>
  <c r="X159" i="2" s="1"/>
  <c r="R159" i="2"/>
  <c r="Y159" i="2" s="1"/>
  <c r="S159" i="2"/>
  <c r="Z159" i="2" s="1"/>
  <c r="U159" i="2"/>
  <c r="Q151" i="8"/>
  <c r="S151" i="2"/>
  <c r="Z151" i="2" s="1"/>
  <c r="R151" i="2"/>
  <c r="Y151" i="2" s="1"/>
  <c r="V151" i="2"/>
  <c r="Q139" i="8"/>
  <c r="T139" i="2"/>
  <c r="AA139" i="2" s="1"/>
  <c r="R139" i="2"/>
  <c r="Y139" i="2" s="1"/>
  <c r="Q123" i="8"/>
  <c r="R123" i="2"/>
  <c r="Y123" i="2" s="1"/>
  <c r="Q123" i="2"/>
  <c r="X123" i="2" s="1"/>
  <c r="T123" i="2"/>
  <c r="AA123" i="2" s="1"/>
  <c r="Q115" i="8"/>
  <c r="T115" i="2"/>
  <c r="AA115" i="2" s="1"/>
  <c r="S115" i="2"/>
  <c r="Z115" i="2" s="1"/>
  <c r="Q99" i="8"/>
  <c r="S99" i="2"/>
  <c r="Z99" i="2" s="1"/>
  <c r="T99" i="2"/>
  <c r="AA99" i="2" s="1"/>
  <c r="R99" i="2"/>
  <c r="Y99" i="2" s="1"/>
  <c r="U99" i="2"/>
  <c r="V99" i="2"/>
  <c r="Q95" i="8"/>
  <c r="T95" i="2"/>
  <c r="AA95" i="2" s="1"/>
  <c r="R95" i="2"/>
  <c r="Y95" i="2" s="1"/>
  <c r="S95" i="2"/>
  <c r="Z95" i="2" s="1"/>
  <c r="U95" i="2"/>
  <c r="Q87" i="8"/>
  <c r="T87" i="2"/>
  <c r="AA87" i="2" s="1"/>
  <c r="R87" i="2"/>
  <c r="Y87" i="2" s="1"/>
  <c r="S87" i="2"/>
  <c r="Z87" i="2" s="1"/>
  <c r="U87" i="2"/>
  <c r="Q79" i="8"/>
  <c r="R79" i="2"/>
  <c r="Y79" i="2" s="1"/>
  <c r="S79" i="2"/>
  <c r="Z79" i="2" s="1"/>
  <c r="Q75" i="8"/>
  <c r="S75" i="2"/>
  <c r="Z75" i="2" s="1"/>
  <c r="T75" i="2"/>
  <c r="AA75" i="2" s="1"/>
  <c r="U75" i="2"/>
  <c r="Q71" i="8"/>
  <c r="R71" i="2"/>
  <c r="Y71" i="2" s="1"/>
  <c r="S71" i="2"/>
  <c r="Z71" i="2" s="1"/>
  <c r="T71" i="2"/>
  <c r="AA71" i="2" s="1"/>
  <c r="Q71" i="2"/>
  <c r="X71" i="2" s="1"/>
  <c r="U71" i="2"/>
  <c r="Q67" i="8"/>
  <c r="T67" i="2"/>
  <c r="AA67" i="2" s="1"/>
  <c r="R67" i="2"/>
  <c r="Y67" i="2" s="1"/>
  <c r="S67" i="2"/>
  <c r="Z67" i="2" s="1"/>
  <c r="Q63" i="8"/>
  <c r="R63" i="2"/>
  <c r="Y63" i="2" s="1"/>
  <c r="Q63" i="2"/>
  <c r="X63" i="2" s="1"/>
  <c r="T63" i="2"/>
  <c r="AA63" i="2" s="1"/>
  <c r="Q55" i="8"/>
  <c r="S55" i="2"/>
  <c r="T55" i="2"/>
  <c r="AA55" i="2" s="1"/>
  <c r="U55" i="2"/>
  <c r="V55" i="2"/>
  <c r="Q51" i="8"/>
  <c r="T51" i="2"/>
  <c r="AA51" i="2" s="1"/>
  <c r="R51" i="2"/>
  <c r="Y51" i="2" s="1"/>
  <c r="Q47" i="8"/>
  <c r="T47" i="2"/>
  <c r="AA47" i="2" s="1"/>
  <c r="R47" i="2"/>
  <c r="Y47" i="2" s="1"/>
  <c r="S47" i="2"/>
  <c r="Z47" i="2" s="1"/>
  <c r="U47" i="2"/>
  <c r="V47" i="2"/>
  <c r="Q43" i="8"/>
  <c r="T43" i="2"/>
  <c r="AA43" i="2" s="1"/>
  <c r="R43" i="2"/>
  <c r="Y43" i="2" s="1"/>
  <c r="S43" i="2"/>
  <c r="Z43" i="2" s="1"/>
  <c r="W1104" i="2"/>
  <c r="W1011" i="2"/>
  <c r="W927" i="2"/>
  <c r="W763" i="2"/>
  <c r="W571" i="2"/>
  <c r="W474" i="2"/>
  <c r="W334" i="2"/>
  <c r="W242" i="2"/>
  <c r="W234" i="2"/>
  <c r="W146" i="2"/>
  <c r="W138" i="2"/>
  <c r="W134" i="2"/>
  <c r="W118" i="2"/>
  <c r="W46" i="2"/>
  <c r="W38" i="2"/>
  <c r="V1128" i="2"/>
  <c r="V1120" i="2"/>
  <c r="V1104" i="2"/>
  <c r="V1031" i="2"/>
  <c r="V935" i="2"/>
  <c r="V843" i="2"/>
  <c r="V835" i="2"/>
  <c r="V831" i="2"/>
  <c r="V378" i="2"/>
  <c r="U1084" i="2"/>
  <c r="U903" i="2"/>
  <c r="U815" i="2"/>
  <c r="U791" i="2"/>
  <c r="U699" i="2"/>
  <c r="U519" i="2"/>
  <c r="T1055" i="2"/>
  <c r="AA1055" i="2" s="1"/>
  <c r="T987" i="2"/>
  <c r="AA987" i="2" s="1"/>
  <c r="T979" i="2"/>
  <c r="AA979" i="2" s="1"/>
  <c r="T863" i="2"/>
  <c r="AA863" i="2" s="1"/>
  <c r="T791" i="2"/>
  <c r="AA791" i="2" s="1"/>
  <c r="T783" i="2"/>
  <c r="AA783" i="2" s="1"/>
  <c r="T214" i="2"/>
  <c r="AA214" i="2" s="1"/>
  <c r="T134" i="2"/>
  <c r="AA134" i="2" s="1"/>
  <c r="S1128" i="2"/>
  <c r="Z1128" i="2" s="1"/>
  <c r="S158" i="2"/>
  <c r="Z158" i="2" s="1"/>
  <c r="R1055" i="2"/>
  <c r="Y1055" i="2" s="1"/>
  <c r="R302" i="2"/>
  <c r="Y302" i="2" s="1"/>
  <c r="W1109" i="2"/>
  <c r="W1105" i="2"/>
  <c r="W1101" i="2"/>
  <c r="W1097" i="2"/>
  <c r="W1081" i="2"/>
  <c r="W1076" i="2"/>
  <c r="W1065" i="2"/>
  <c r="W1056" i="2"/>
  <c r="W1048" i="2"/>
  <c r="W1035" i="2"/>
  <c r="W1031" i="2"/>
  <c r="W1027" i="2"/>
  <c r="W1023" i="2"/>
  <c r="W1012" i="2"/>
  <c r="W1007" i="2"/>
  <c r="W968" i="2"/>
  <c r="W960" i="2"/>
  <c r="W952" i="2"/>
  <c r="W939" i="2"/>
  <c r="W928" i="2"/>
  <c r="W916" i="2"/>
  <c r="W908" i="2"/>
  <c r="W872" i="2"/>
  <c r="W860" i="2"/>
  <c r="W855" i="2"/>
  <c r="W820" i="2"/>
  <c r="W812" i="2"/>
  <c r="W776" i="2"/>
  <c r="W764" i="2"/>
  <c r="W759" i="2"/>
  <c r="W724" i="2"/>
  <c r="W716" i="2"/>
  <c r="W680" i="2"/>
  <c r="W668" i="2"/>
  <c r="W663" i="2"/>
  <c r="W628" i="2"/>
  <c r="W620" i="2"/>
  <c r="W584" i="2"/>
  <c r="W572" i="2"/>
  <c r="W567" i="2"/>
  <c r="W532" i="2"/>
  <c r="W524" i="2"/>
  <c r="W487" i="2"/>
  <c r="W475" i="2"/>
  <c r="W470" i="2"/>
  <c r="W435" i="2"/>
  <c r="W427" i="2"/>
  <c r="W391" i="2"/>
  <c r="W379" i="2"/>
  <c r="W374" i="2"/>
  <c r="W339" i="2"/>
  <c r="W335" i="2"/>
  <c r="W331" i="2"/>
  <c r="W327" i="2"/>
  <c r="W311" i="2"/>
  <c r="W306" i="2"/>
  <c r="W295" i="2"/>
  <c r="W287" i="2"/>
  <c r="W279" i="2"/>
  <c r="W243" i="2"/>
  <c r="W239" i="2"/>
  <c r="W235" i="2"/>
  <c r="W231" i="2"/>
  <c r="W215" i="2"/>
  <c r="W210" i="2"/>
  <c r="W199" i="2"/>
  <c r="W191" i="2"/>
  <c r="W183" i="2"/>
  <c r="W147" i="2"/>
  <c r="W143" i="2"/>
  <c r="W139" i="2"/>
  <c r="W135" i="2"/>
  <c r="W119" i="2"/>
  <c r="W114" i="2"/>
  <c r="W103" i="2"/>
  <c r="W95" i="2"/>
  <c r="W87" i="2"/>
  <c r="W51" i="2"/>
  <c r="W47" i="2"/>
  <c r="W43" i="2"/>
  <c r="W39" i="2"/>
  <c r="V1129" i="2"/>
  <c r="V1125" i="2"/>
  <c r="V1121" i="2"/>
  <c r="V1105" i="2"/>
  <c r="V1100" i="2"/>
  <c r="V1089" i="2"/>
  <c r="V1081" i="2"/>
  <c r="V1073" i="2"/>
  <c r="V1036" i="2"/>
  <c r="V1032" i="2"/>
  <c r="V1028" i="2"/>
  <c r="V1024" i="2"/>
  <c r="V1008" i="2"/>
  <c r="V1003" i="2"/>
  <c r="V992" i="2"/>
  <c r="V984" i="2"/>
  <c r="V976" i="2"/>
  <c r="V940" i="2"/>
  <c r="V936" i="2"/>
  <c r="V932" i="2"/>
  <c r="V928" i="2"/>
  <c r="V912" i="2"/>
  <c r="V907" i="2"/>
  <c r="V896" i="2"/>
  <c r="V888" i="2"/>
  <c r="V880" i="2"/>
  <c r="V844" i="2"/>
  <c r="V840" i="2"/>
  <c r="V836" i="2"/>
  <c r="V832" i="2"/>
  <c r="V816" i="2"/>
  <c r="V811" i="2"/>
  <c r="V800" i="2"/>
  <c r="V792" i="2"/>
  <c r="V784" i="2"/>
  <c r="V771" i="2"/>
  <c r="V767" i="2"/>
  <c r="V763" i="2"/>
  <c r="V759" i="2"/>
  <c r="V748" i="2"/>
  <c r="V743" i="2"/>
  <c r="V704" i="2"/>
  <c r="V696" i="2"/>
  <c r="V688" i="2"/>
  <c r="V675" i="2"/>
  <c r="V671" i="2"/>
  <c r="V667" i="2"/>
  <c r="V663" i="2"/>
  <c r="V652" i="2"/>
  <c r="V647" i="2"/>
  <c r="V628" i="2"/>
  <c r="V579" i="2"/>
  <c r="V551" i="2"/>
  <c r="V544" i="2"/>
  <c r="V512" i="2"/>
  <c r="V504" i="2"/>
  <c r="V495" i="2"/>
  <c r="V470" i="2"/>
  <c r="V459" i="2"/>
  <c r="V451" i="2"/>
  <c r="V435" i="2"/>
  <c r="V399" i="2"/>
  <c r="V386" i="2"/>
  <c r="V379" i="2"/>
  <c r="V374" i="2"/>
  <c r="V319" i="2"/>
  <c r="V307" i="2"/>
  <c r="V282" i="2"/>
  <c r="V271" i="2"/>
  <c r="V263" i="2"/>
  <c r="V255" i="2"/>
  <c r="V215" i="2"/>
  <c r="V199" i="2"/>
  <c r="V191" i="2"/>
  <c r="V139" i="2"/>
  <c r="V123" i="2"/>
  <c r="V87" i="2"/>
  <c r="V75" i="2"/>
  <c r="V67" i="2"/>
  <c r="V51" i="2"/>
  <c r="U1108" i="2"/>
  <c r="U1085" i="2"/>
  <c r="U1061" i="2"/>
  <c r="U1032" i="2"/>
  <c r="U1016" i="2"/>
  <c r="U1003" i="2"/>
  <c r="U976" i="2"/>
  <c r="U915" i="2"/>
  <c r="U892" i="2"/>
  <c r="U868" i="2"/>
  <c r="U840" i="2"/>
  <c r="U824" i="2"/>
  <c r="U811" i="2"/>
  <c r="U784" i="2"/>
  <c r="U723" i="2"/>
  <c r="U700" i="2"/>
  <c r="U676" i="2"/>
  <c r="U648" i="2"/>
  <c r="U632" i="2"/>
  <c r="U619" i="2"/>
  <c r="U592" i="2"/>
  <c r="U531" i="2"/>
  <c r="U508" i="2"/>
  <c r="U439" i="2"/>
  <c r="U422" i="2"/>
  <c r="U387" i="2"/>
  <c r="U338" i="2"/>
  <c r="U315" i="2"/>
  <c r="U247" i="2"/>
  <c r="U230" i="2"/>
  <c r="U195" i="2"/>
  <c r="U146" i="2"/>
  <c r="U123" i="2"/>
  <c r="U74" i="2"/>
  <c r="U51" i="2"/>
  <c r="T1097" i="2"/>
  <c r="AA1097" i="2" s="1"/>
  <c r="T1056" i="2"/>
  <c r="AA1056" i="2" s="1"/>
  <c r="T1032" i="2"/>
  <c r="AA1032" i="2" s="1"/>
  <c r="T1016" i="2"/>
  <c r="AA1016" i="2" s="1"/>
  <c r="T988" i="2"/>
  <c r="AA988" i="2" s="1"/>
  <c r="T984" i="2"/>
  <c r="AA984" i="2" s="1"/>
  <c r="T980" i="2"/>
  <c r="AA980" i="2" s="1"/>
  <c r="T976" i="2"/>
  <c r="AA976" i="2" s="1"/>
  <c r="T964" i="2"/>
  <c r="AA964" i="2" s="1"/>
  <c r="T904" i="2"/>
  <c r="AA904" i="2" s="1"/>
  <c r="T864" i="2"/>
  <c r="AA864" i="2" s="1"/>
  <c r="T840" i="2"/>
  <c r="AA840" i="2" s="1"/>
  <c r="T824" i="2"/>
  <c r="AA824" i="2" s="1"/>
  <c r="T796" i="2"/>
  <c r="AA796" i="2" s="1"/>
  <c r="T792" i="2"/>
  <c r="AA792" i="2" s="1"/>
  <c r="T788" i="2"/>
  <c r="AA788" i="2" s="1"/>
  <c r="T784" i="2"/>
  <c r="AA784" i="2" s="1"/>
  <c r="T772" i="2"/>
  <c r="AA772" i="2" s="1"/>
  <c r="T704" i="2"/>
  <c r="AA704" i="2" s="1"/>
  <c r="T640" i="2"/>
  <c r="AA640" i="2" s="1"/>
  <c r="T624" i="2"/>
  <c r="AA624" i="2" s="1"/>
  <c r="T604" i="2"/>
  <c r="AA604" i="2" s="1"/>
  <c r="T580" i="2"/>
  <c r="AA580" i="2" s="1"/>
  <c r="T507" i="2"/>
  <c r="AA507" i="2" s="1"/>
  <c r="T495" i="2"/>
  <c r="AA495" i="2" s="1"/>
  <c r="T330" i="2"/>
  <c r="AA330" i="2" s="1"/>
  <c r="T238" i="2"/>
  <c r="AA238" i="2" s="1"/>
  <c r="T187" i="2"/>
  <c r="AA187" i="2" s="1"/>
  <c r="T167" i="2"/>
  <c r="AA167" i="2" s="1"/>
  <c r="T151" i="2"/>
  <c r="AA151" i="2" s="1"/>
  <c r="T122" i="2"/>
  <c r="AA122" i="2" s="1"/>
  <c r="T111" i="2"/>
  <c r="AA111" i="2" s="1"/>
  <c r="S1124" i="2"/>
  <c r="Z1124" i="2" s="1"/>
  <c r="S1023" i="2"/>
  <c r="Z1023" i="2" s="1"/>
  <c r="S1011" i="2"/>
  <c r="Z1011" i="2" s="1"/>
  <c r="S960" i="2"/>
  <c r="Z960" i="2" s="1"/>
  <c r="S892" i="2"/>
  <c r="Z892" i="2" s="1"/>
  <c r="S872" i="2"/>
  <c r="Z872" i="2" s="1"/>
  <c r="S820" i="2"/>
  <c r="Z820" i="2" s="1"/>
  <c r="S651" i="2"/>
  <c r="Z651" i="2" s="1"/>
  <c r="S640" i="2"/>
  <c r="Z640" i="2" s="1"/>
  <c r="S508" i="2"/>
  <c r="Z508" i="2" s="1"/>
  <c r="S487" i="2"/>
  <c r="Z487" i="2" s="1"/>
  <c r="S435" i="2"/>
  <c r="Z435" i="2" s="1"/>
  <c r="S266" i="2"/>
  <c r="Z266" i="2" s="1"/>
  <c r="S255" i="2"/>
  <c r="Z255" i="2" s="1"/>
  <c r="S123" i="2"/>
  <c r="Z123" i="2" s="1"/>
  <c r="S103" i="2"/>
  <c r="Z103" i="2" s="1"/>
  <c r="S51" i="2"/>
  <c r="Z51" i="2" s="1"/>
  <c r="R1056" i="2"/>
  <c r="Y1056" i="2" s="1"/>
  <c r="R976" i="2"/>
  <c r="Y976" i="2" s="1"/>
  <c r="R888" i="2"/>
  <c r="Y888" i="2" s="1"/>
  <c r="R795" i="2"/>
  <c r="Y795" i="2" s="1"/>
  <c r="R784" i="2"/>
  <c r="Y784" i="2" s="1"/>
  <c r="R652" i="2"/>
  <c r="Y652" i="2" s="1"/>
  <c r="R632" i="2"/>
  <c r="Y632" i="2" s="1"/>
  <c r="R580" i="2"/>
  <c r="Y580" i="2" s="1"/>
  <c r="R410" i="2"/>
  <c r="Y410" i="2" s="1"/>
  <c r="R399" i="2"/>
  <c r="Y399" i="2" s="1"/>
  <c r="R267" i="2"/>
  <c r="Y267" i="2" s="1"/>
  <c r="R247" i="2"/>
  <c r="Y247" i="2" s="1"/>
  <c r="R195" i="2"/>
  <c r="Y195" i="2" s="1"/>
  <c r="Q218" i="2"/>
  <c r="X218" i="2" s="1"/>
  <c r="Q183" i="2"/>
  <c r="X183" i="2" s="1"/>
  <c r="S1111" i="2"/>
  <c r="Z1111" i="2" s="1"/>
  <c r="Q1111" i="8"/>
  <c r="T1087" i="2"/>
  <c r="AA1087" i="2" s="1"/>
  <c r="Q1087" i="8"/>
  <c r="U1063" i="2"/>
  <c r="Q1063" i="8"/>
  <c r="S1042" i="2"/>
  <c r="Z1042" i="2" s="1"/>
  <c r="Q1042" i="8"/>
  <c r="U970" i="2"/>
  <c r="Q970" i="8"/>
  <c r="R942" i="2"/>
  <c r="Y942" i="2" s="1"/>
  <c r="Q942" i="8"/>
  <c r="T894" i="2"/>
  <c r="AA894" i="2" s="1"/>
  <c r="Q894" i="8"/>
  <c r="T850" i="2"/>
  <c r="AA850" i="2" s="1"/>
  <c r="Q850" i="8"/>
  <c r="R778" i="2"/>
  <c r="Y778" i="2" s="1"/>
  <c r="Q778" i="8"/>
  <c r="S726" i="2"/>
  <c r="Z726" i="2" s="1"/>
  <c r="Q726" i="8"/>
  <c r="T706" i="2"/>
  <c r="AA706" i="2" s="1"/>
  <c r="Q706" i="8"/>
  <c r="U682" i="2"/>
  <c r="Q682" i="8"/>
  <c r="V634" i="2"/>
  <c r="Q634" i="8"/>
  <c r="R558" i="2"/>
  <c r="Y558" i="2" s="1"/>
  <c r="Q558" i="8"/>
  <c r="U538" i="2"/>
  <c r="Q538" i="8"/>
  <c r="U489" i="2"/>
  <c r="Q489" i="8"/>
  <c r="V461" i="2"/>
  <c r="Q461" i="8"/>
  <c r="W437" i="2"/>
  <c r="Q437" i="8"/>
  <c r="T417" i="2"/>
  <c r="AA417" i="2" s="1"/>
  <c r="Q417" i="8"/>
  <c r="U393" i="2"/>
  <c r="Q393" i="8"/>
  <c r="T369" i="2"/>
  <c r="AA369" i="2" s="1"/>
  <c r="Q369" i="8"/>
  <c r="S341" i="2"/>
  <c r="Z341" i="2" s="1"/>
  <c r="Q341" i="8"/>
  <c r="T317" i="2"/>
  <c r="AA317" i="2" s="1"/>
  <c r="Q317" i="8"/>
  <c r="T273" i="2"/>
  <c r="AA273" i="2" s="1"/>
  <c r="Q273" i="8"/>
  <c r="U249" i="2"/>
  <c r="Q249" i="8"/>
  <c r="S177" i="2"/>
  <c r="Z177" i="2" s="1"/>
  <c r="Q177" i="8"/>
  <c r="S153" i="2"/>
  <c r="Z153" i="2" s="1"/>
  <c r="Q153" i="8"/>
  <c r="T129" i="2"/>
  <c r="AA129" i="2" s="1"/>
  <c r="Q129" i="8"/>
  <c r="U105" i="2"/>
  <c r="Q105" i="8"/>
  <c r="R81" i="2"/>
  <c r="Y81" i="2" s="1"/>
  <c r="Q81" i="8"/>
  <c r="Q77" i="2"/>
  <c r="X77" i="2" s="1"/>
  <c r="Q77" i="8"/>
  <c r="S57" i="2"/>
  <c r="Z57" i="2" s="1"/>
  <c r="Q57" i="8"/>
  <c r="V53" i="2"/>
  <c r="Q53" i="8"/>
  <c r="S1068" i="2"/>
  <c r="Z1068" i="2" s="1"/>
  <c r="Q1068" i="8"/>
  <c r="U971" i="2"/>
  <c r="Q971" i="8"/>
  <c r="W947" i="2"/>
  <c r="Q947" i="8"/>
  <c r="W919" i="2"/>
  <c r="Q919" i="8"/>
  <c r="T899" i="2"/>
  <c r="AA899" i="2" s="1"/>
  <c r="Q899" i="8"/>
  <c r="W871" i="2"/>
  <c r="Q871" i="8"/>
  <c r="T851" i="2"/>
  <c r="AA851" i="2" s="1"/>
  <c r="Q851" i="8"/>
  <c r="W827" i="2"/>
  <c r="Q827" i="8"/>
  <c r="T755" i="2"/>
  <c r="AA755" i="2" s="1"/>
  <c r="Q755" i="8"/>
  <c r="S731" i="2"/>
  <c r="Z731" i="2" s="1"/>
  <c r="Q731" i="8"/>
  <c r="R683" i="2"/>
  <c r="Y683" i="2" s="1"/>
  <c r="Q683" i="8"/>
  <c r="T659" i="2"/>
  <c r="AA659" i="2" s="1"/>
  <c r="Q659" i="8"/>
  <c r="S631" i="2"/>
  <c r="Z631" i="2" s="1"/>
  <c r="Q631" i="8"/>
  <c r="V611" i="2"/>
  <c r="Q611" i="8"/>
  <c r="S587" i="2"/>
  <c r="Z587" i="2" s="1"/>
  <c r="Q587" i="8"/>
  <c r="V559" i="2"/>
  <c r="Q559" i="8"/>
  <c r="V515" i="2"/>
  <c r="Q515" i="8"/>
  <c r="T466" i="2"/>
  <c r="AA466" i="2" s="1"/>
  <c r="Q466" i="8"/>
  <c r="T414" i="2"/>
  <c r="AA414" i="2" s="1"/>
  <c r="Q414" i="8"/>
  <c r="U394" i="2"/>
  <c r="Q394" i="8"/>
  <c r="W346" i="2"/>
  <c r="Q346" i="8"/>
  <c r="V322" i="2"/>
  <c r="Q322" i="8"/>
  <c r="R270" i="2"/>
  <c r="Y270" i="2" s="1"/>
  <c r="Q270" i="8"/>
  <c r="W250" i="2"/>
  <c r="Q250" i="8"/>
  <c r="V226" i="2"/>
  <c r="Q226" i="8"/>
  <c r="U202" i="2"/>
  <c r="Q202" i="8"/>
  <c r="W154" i="2"/>
  <c r="Q154" i="8"/>
  <c r="V130" i="2"/>
  <c r="Q130" i="8"/>
  <c r="R106" i="2"/>
  <c r="Y106" i="2" s="1"/>
  <c r="Q106" i="8"/>
  <c r="T82" i="2"/>
  <c r="AA82" i="2" s="1"/>
  <c r="Q82" i="8"/>
  <c r="W58" i="2"/>
  <c r="Q58" i="8"/>
  <c r="Q1081" i="2"/>
  <c r="X1081" i="2" s="1"/>
  <c r="Q1081" i="8"/>
  <c r="U564" i="2"/>
  <c r="Q564" i="8"/>
  <c r="W540" i="2"/>
  <c r="Q540" i="8"/>
  <c r="R516" i="2"/>
  <c r="Y516" i="2" s="1"/>
  <c r="Q516" i="8"/>
  <c r="R491" i="2"/>
  <c r="Y491" i="2" s="1"/>
  <c r="Q491" i="8"/>
  <c r="R467" i="2"/>
  <c r="Y467" i="2" s="1"/>
  <c r="Q467" i="8"/>
  <c r="T443" i="2"/>
  <c r="AA443" i="2" s="1"/>
  <c r="Q443" i="8"/>
  <c r="R419" i="2"/>
  <c r="Y419" i="2" s="1"/>
  <c r="Q419" i="8"/>
  <c r="R395" i="2"/>
  <c r="Y395" i="2" s="1"/>
  <c r="Q395" i="8"/>
  <c r="R371" i="2"/>
  <c r="Y371" i="2" s="1"/>
  <c r="Q371" i="8"/>
  <c r="R347" i="2"/>
  <c r="Y347" i="2" s="1"/>
  <c r="Q347" i="8"/>
  <c r="R323" i="2"/>
  <c r="Y323" i="2" s="1"/>
  <c r="Q323" i="8"/>
  <c r="T299" i="2"/>
  <c r="AA299" i="2" s="1"/>
  <c r="Q299" i="8"/>
  <c r="R275" i="2"/>
  <c r="Y275" i="2" s="1"/>
  <c r="Q275" i="8"/>
  <c r="R251" i="2"/>
  <c r="Y251" i="2" s="1"/>
  <c r="Q251" i="8"/>
  <c r="R227" i="2"/>
  <c r="Y227" i="2" s="1"/>
  <c r="Q227" i="8"/>
  <c r="R203" i="2"/>
  <c r="Y203" i="2" s="1"/>
  <c r="Q203" i="8"/>
  <c r="S179" i="2"/>
  <c r="Z179" i="2" s="1"/>
  <c r="Q179" i="8"/>
  <c r="T155" i="2"/>
  <c r="AA155" i="2" s="1"/>
  <c r="Q155" i="8"/>
  <c r="R131" i="2"/>
  <c r="Y131" i="2" s="1"/>
  <c r="Q131" i="8"/>
  <c r="R107" i="2"/>
  <c r="Y107" i="2" s="1"/>
  <c r="Q107" i="8"/>
  <c r="R83" i="2"/>
  <c r="Y83" i="2" s="1"/>
  <c r="Q83" i="8"/>
  <c r="U59" i="2"/>
  <c r="Q59" i="8"/>
  <c r="W1123" i="2"/>
  <c r="W1042" i="2"/>
  <c r="W962" i="2"/>
  <c r="W954" i="2"/>
  <c r="W950" i="2"/>
  <c r="W914" i="2"/>
  <c r="W910" i="2"/>
  <c r="W902" i="2"/>
  <c r="W818" i="2"/>
  <c r="W814" i="2"/>
  <c r="W806" i="2"/>
  <c r="W718" i="2"/>
  <c r="W710" i="2"/>
  <c r="W626" i="2"/>
  <c r="W622" i="2"/>
  <c r="W614" i="2"/>
  <c r="W526" i="2"/>
  <c r="W518" i="2"/>
  <c r="W433" i="2"/>
  <c r="W425" i="2"/>
  <c r="W261" i="2"/>
  <c r="W253" i="2"/>
  <c r="W165" i="2"/>
  <c r="W69" i="2"/>
  <c r="V1054" i="2"/>
  <c r="V1046" i="2"/>
  <c r="V958" i="2"/>
  <c r="V858" i="2"/>
  <c r="V790" i="2"/>
  <c r="V782" i="2"/>
  <c r="V698" i="2"/>
  <c r="V690" i="2"/>
  <c r="V598" i="2"/>
  <c r="V502" i="2"/>
  <c r="V493" i="2"/>
  <c r="V433" i="2"/>
  <c r="V429" i="2"/>
  <c r="V421" i="2"/>
  <c r="V333" i="2"/>
  <c r="V237" i="2"/>
  <c r="V229" i="2"/>
  <c r="V145" i="2"/>
  <c r="V137" i="2"/>
  <c r="V133" i="2"/>
  <c r="V49" i="2"/>
  <c r="V41" i="2"/>
  <c r="U1127" i="2"/>
  <c r="U1119" i="2"/>
  <c r="U1030" i="2"/>
  <c r="U934" i="2"/>
  <c r="U838" i="2"/>
  <c r="U830" i="2"/>
  <c r="U742" i="2"/>
  <c r="U646" i="2"/>
  <c r="U550" i="2"/>
  <c r="U473" i="2"/>
  <c r="U381" i="2"/>
  <c r="U373" i="2"/>
  <c r="U289" i="2"/>
  <c r="U285" i="2"/>
  <c r="U277" i="2"/>
  <c r="U189" i="2"/>
  <c r="T1103" i="2"/>
  <c r="AA1103" i="2" s="1"/>
  <c r="T1095" i="2"/>
  <c r="AA1095" i="2" s="1"/>
  <c r="T1006" i="2"/>
  <c r="AA1006" i="2" s="1"/>
  <c r="T998" i="2"/>
  <c r="AA998" i="2" s="1"/>
  <c r="T910" i="2"/>
  <c r="AA910" i="2" s="1"/>
  <c r="T902" i="2"/>
  <c r="AA902" i="2" s="1"/>
  <c r="T814" i="2"/>
  <c r="AA814" i="2" s="1"/>
  <c r="T806" i="2"/>
  <c r="AA806" i="2" s="1"/>
  <c r="T718" i="2"/>
  <c r="AA718" i="2" s="1"/>
  <c r="T626" i="2"/>
  <c r="AA626" i="2" s="1"/>
  <c r="T618" i="2"/>
  <c r="AA618" i="2" s="1"/>
  <c r="T614" i="2"/>
  <c r="AA614" i="2" s="1"/>
  <c r="T530" i="2"/>
  <c r="AA530" i="2" s="1"/>
  <c r="T453" i="2"/>
  <c r="AA453" i="2" s="1"/>
  <c r="T445" i="2"/>
  <c r="AA445" i="2" s="1"/>
  <c r="T357" i="2"/>
  <c r="AA357" i="2" s="1"/>
  <c r="T349" i="2"/>
  <c r="AA349" i="2" s="1"/>
  <c r="T261" i="2"/>
  <c r="AA261" i="2" s="1"/>
  <c r="T257" i="2"/>
  <c r="AA257" i="2" s="1"/>
  <c r="T253" i="2"/>
  <c r="AA253" i="2" s="1"/>
  <c r="T169" i="2"/>
  <c r="AA169" i="2" s="1"/>
  <c r="T161" i="2"/>
  <c r="AA161" i="2" s="1"/>
  <c r="T73" i="2"/>
  <c r="AA73" i="2" s="1"/>
  <c r="T69" i="2"/>
  <c r="AA69" i="2" s="1"/>
  <c r="T61" i="2"/>
  <c r="AA61" i="2" s="1"/>
  <c r="S1054" i="2"/>
  <c r="Z1054" i="2" s="1"/>
  <c r="S1050" i="2"/>
  <c r="Z1050" i="2" s="1"/>
  <c r="S1046" i="2"/>
  <c r="Z1046" i="2" s="1"/>
  <c r="S962" i="2"/>
  <c r="Z962" i="2" s="1"/>
  <c r="S954" i="2"/>
  <c r="Z954" i="2" s="1"/>
  <c r="S886" i="2"/>
  <c r="Z886" i="2" s="1"/>
  <c r="S882" i="2"/>
  <c r="Z882" i="2" s="1"/>
  <c r="S878" i="2"/>
  <c r="Z878" i="2" s="1"/>
  <c r="S794" i="2"/>
  <c r="Z794" i="2" s="1"/>
  <c r="S786" i="2"/>
  <c r="Z786" i="2" s="1"/>
  <c r="S694" i="2"/>
  <c r="Z694" i="2" s="1"/>
  <c r="S598" i="2"/>
  <c r="Z598" i="2" s="1"/>
  <c r="S506" i="2"/>
  <c r="Z506" i="2" s="1"/>
  <c r="S409" i="2"/>
  <c r="Z409" i="2" s="1"/>
  <c r="S401" i="2"/>
  <c r="Z401" i="2" s="1"/>
  <c r="S313" i="2"/>
  <c r="Z313" i="2" s="1"/>
  <c r="S217" i="2"/>
  <c r="S117" i="2"/>
  <c r="Z117" i="2" s="1"/>
  <c r="R1103" i="2"/>
  <c r="Y1103" i="2" s="1"/>
  <c r="R958" i="2"/>
  <c r="Y958" i="2" s="1"/>
  <c r="R950" i="2"/>
  <c r="Y950" i="2" s="1"/>
  <c r="R842" i="2"/>
  <c r="Y842" i="2" s="1"/>
  <c r="R646" i="2"/>
  <c r="Y646" i="2" s="1"/>
  <c r="R638" i="2"/>
  <c r="Y638" i="2" s="1"/>
  <c r="R550" i="2"/>
  <c r="Y550" i="2" s="1"/>
  <c r="R546" i="2"/>
  <c r="Y546" i="2" s="1"/>
  <c r="R542" i="2"/>
  <c r="Y542" i="2" s="1"/>
  <c r="R453" i="2"/>
  <c r="Y453" i="2" s="1"/>
  <c r="R357" i="2"/>
  <c r="Y357" i="2" s="1"/>
  <c r="R349" i="2"/>
  <c r="Y349" i="2" s="1"/>
  <c r="R265" i="2"/>
  <c r="Y265" i="2" s="1"/>
  <c r="R257" i="2"/>
  <c r="Y257" i="2" s="1"/>
  <c r="R253" i="2"/>
  <c r="Y253" i="2" s="1"/>
  <c r="R169" i="2"/>
  <c r="Y169" i="2" s="1"/>
  <c r="R161" i="2"/>
  <c r="Y161" i="2" s="1"/>
  <c r="R157" i="2"/>
  <c r="Y157" i="2" s="1"/>
  <c r="R69" i="2"/>
  <c r="Y69" i="2" s="1"/>
  <c r="R65" i="2"/>
  <c r="Y65" i="2" s="1"/>
  <c r="Q686" i="2"/>
  <c r="X686" i="2" s="1"/>
  <c r="Q133" i="2"/>
  <c r="X133" i="2" s="1"/>
  <c r="Q65" i="2"/>
  <c r="X65" i="2" s="1"/>
  <c r="W1128" i="2"/>
  <c r="W1124" i="2"/>
  <c r="W1120" i="2"/>
  <c r="W1058" i="2"/>
  <c r="W1054" i="2"/>
  <c r="W1050" i="2"/>
  <c r="W1046" i="2"/>
  <c r="W986" i="2"/>
  <c r="W982" i="2"/>
  <c r="W978" i="2"/>
  <c r="W974" i="2"/>
  <c r="W963" i="2"/>
  <c r="W959" i="2"/>
  <c r="W955" i="2"/>
  <c r="W951" i="2"/>
  <c r="W922" i="2"/>
  <c r="W915" i="2"/>
  <c r="W911" i="2"/>
  <c r="W907" i="2"/>
  <c r="W903" i="2"/>
  <c r="W842" i="2"/>
  <c r="W838" i="2"/>
  <c r="W834" i="2"/>
  <c r="W830" i="2"/>
  <c r="W819" i="2"/>
  <c r="W815" i="2"/>
  <c r="W811" i="2"/>
  <c r="W807" i="2"/>
  <c r="W746" i="2"/>
  <c r="W742" i="2"/>
  <c r="W738" i="2"/>
  <c r="W734" i="2"/>
  <c r="W723" i="2"/>
  <c r="W719" i="2"/>
  <c r="W715" i="2"/>
  <c r="W711" i="2"/>
  <c r="W650" i="2"/>
  <c r="W646" i="2"/>
  <c r="W642" i="2"/>
  <c r="W638" i="2"/>
  <c r="W627" i="2"/>
  <c r="W623" i="2"/>
  <c r="W619" i="2"/>
  <c r="W615" i="2"/>
  <c r="W554" i="2"/>
  <c r="W550" i="2"/>
  <c r="W546" i="2"/>
  <c r="W542" i="2"/>
  <c r="W531" i="2"/>
  <c r="W527" i="2"/>
  <c r="W523" i="2"/>
  <c r="W519" i="2"/>
  <c r="W457" i="2"/>
  <c r="W453" i="2"/>
  <c r="W449" i="2"/>
  <c r="W445" i="2"/>
  <c r="W434" i="2"/>
  <c r="W430" i="2"/>
  <c r="W426" i="2"/>
  <c r="W422" i="2"/>
  <c r="W361" i="2"/>
  <c r="W357" i="2"/>
  <c r="W353" i="2"/>
  <c r="W349" i="2"/>
  <c r="W289" i="2"/>
  <c r="W285" i="2"/>
  <c r="W281" i="2"/>
  <c r="W277" i="2"/>
  <c r="W266" i="2"/>
  <c r="W262" i="2"/>
  <c r="W258" i="2"/>
  <c r="W254" i="2"/>
  <c r="W193" i="2"/>
  <c r="W189" i="2"/>
  <c r="W185" i="2"/>
  <c r="W181" i="2"/>
  <c r="W170" i="2"/>
  <c r="W166" i="2"/>
  <c r="W162" i="2"/>
  <c r="W158" i="2"/>
  <c r="W97" i="2"/>
  <c r="W93" i="2"/>
  <c r="W89" i="2"/>
  <c r="W85" i="2"/>
  <c r="W74" i="2"/>
  <c r="W70" i="2"/>
  <c r="W66" i="2"/>
  <c r="W62" i="2"/>
  <c r="V1083" i="2"/>
  <c r="V1079" i="2"/>
  <c r="V1075" i="2"/>
  <c r="V1071" i="2"/>
  <c r="V1059" i="2"/>
  <c r="V1055" i="2"/>
  <c r="V1051" i="2"/>
  <c r="V1047" i="2"/>
  <c r="V986" i="2"/>
  <c r="V982" i="2"/>
  <c r="V978" i="2"/>
  <c r="V974" i="2"/>
  <c r="V963" i="2"/>
  <c r="V959" i="2"/>
  <c r="V955" i="2"/>
  <c r="V951" i="2"/>
  <c r="V890" i="2"/>
  <c r="V886" i="2"/>
  <c r="V882" i="2"/>
  <c r="V878" i="2"/>
  <c r="V867" i="2"/>
  <c r="V863" i="2"/>
  <c r="V859" i="2"/>
  <c r="V855" i="2"/>
  <c r="V795" i="2"/>
  <c r="V791" i="2"/>
  <c r="V787" i="2"/>
  <c r="V783" i="2"/>
  <c r="V722" i="2"/>
  <c r="V718" i="2"/>
  <c r="V714" i="2"/>
  <c r="V710" i="2"/>
  <c r="V699" i="2"/>
  <c r="V695" i="2"/>
  <c r="V691" i="2"/>
  <c r="V687" i="2"/>
  <c r="V626" i="2"/>
  <c r="V622" i="2"/>
  <c r="V618" i="2"/>
  <c r="V614" i="2"/>
  <c r="V603" i="2"/>
  <c r="V599" i="2"/>
  <c r="V595" i="2"/>
  <c r="V591" i="2"/>
  <c r="V530" i="2"/>
  <c r="V526" i="2"/>
  <c r="V522" i="2"/>
  <c r="V518" i="2"/>
  <c r="V507" i="2"/>
  <c r="V503" i="2"/>
  <c r="V499" i="2"/>
  <c r="V494" i="2"/>
  <c r="V457" i="2"/>
  <c r="V453" i="2"/>
  <c r="V449" i="2"/>
  <c r="V445" i="2"/>
  <c r="V434" i="2"/>
  <c r="V430" i="2"/>
  <c r="V426" i="2"/>
  <c r="V422" i="2"/>
  <c r="V361" i="2"/>
  <c r="V357" i="2"/>
  <c r="V353" i="2"/>
  <c r="V349" i="2"/>
  <c r="V338" i="2"/>
  <c r="V334" i="2"/>
  <c r="V330" i="2"/>
  <c r="V326" i="2"/>
  <c r="V265" i="2"/>
  <c r="V261" i="2"/>
  <c r="V257" i="2"/>
  <c r="V253" i="2"/>
  <c r="V242" i="2"/>
  <c r="V238" i="2"/>
  <c r="V234" i="2"/>
  <c r="V230" i="2"/>
  <c r="V169" i="2"/>
  <c r="V165" i="2"/>
  <c r="V161" i="2"/>
  <c r="V157" i="2"/>
  <c r="V146" i="2"/>
  <c r="V142" i="2"/>
  <c r="V138" i="2"/>
  <c r="V134" i="2"/>
  <c r="V73" i="2"/>
  <c r="V69" i="2"/>
  <c r="V65" i="2"/>
  <c r="V61" i="2"/>
  <c r="V50" i="2"/>
  <c r="V46" i="2"/>
  <c r="V42" i="2"/>
  <c r="V38" i="2"/>
  <c r="U1128" i="2"/>
  <c r="U1124" i="2"/>
  <c r="U1120" i="2"/>
  <c r="U1058" i="2"/>
  <c r="U1054" i="2"/>
  <c r="U1050" i="2"/>
  <c r="U1046" i="2"/>
  <c r="U1035" i="2"/>
  <c r="U1031" i="2"/>
  <c r="U1027" i="2"/>
  <c r="U1023" i="2"/>
  <c r="U962" i="2"/>
  <c r="U958" i="2"/>
  <c r="U954" i="2"/>
  <c r="U950" i="2"/>
  <c r="U939" i="2"/>
  <c r="U935" i="2"/>
  <c r="U931" i="2"/>
  <c r="U927" i="2"/>
  <c r="U866" i="2"/>
  <c r="U862" i="2"/>
  <c r="U858" i="2"/>
  <c r="U854" i="2"/>
  <c r="U843" i="2"/>
  <c r="U839" i="2"/>
  <c r="U835" i="2"/>
  <c r="U831" i="2"/>
  <c r="U770" i="2"/>
  <c r="U766" i="2"/>
  <c r="U762" i="2"/>
  <c r="U758" i="2"/>
  <c r="U747" i="2"/>
  <c r="U743" i="2"/>
  <c r="U739" i="2"/>
  <c r="U735" i="2"/>
  <c r="U674" i="2"/>
  <c r="U670" i="2"/>
  <c r="U666" i="2"/>
  <c r="U662" i="2"/>
  <c r="U651" i="2"/>
  <c r="U647" i="2"/>
  <c r="U643" i="2"/>
  <c r="U639" i="2"/>
  <c r="U578" i="2"/>
  <c r="U574" i="2"/>
  <c r="U570" i="2"/>
  <c r="U566" i="2"/>
  <c r="U555" i="2"/>
  <c r="U551" i="2"/>
  <c r="U547" i="2"/>
  <c r="U543" i="2"/>
  <c r="U506" i="2"/>
  <c r="U502" i="2"/>
  <c r="U498" i="2"/>
  <c r="U493" i="2"/>
  <c r="U482" i="2"/>
  <c r="U478" i="2"/>
  <c r="U474" i="2"/>
  <c r="U470" i="2"/>
  <c r="U409" i="2"/>
  <c r="U405" i="2"/>
  <c r="U401" i="2"/>
  <c r="U397" i="2"/>
  <c r="U386" i="2"/>
  <c r="U382" i="2"/>
  <c r="U378" i="2"/>
  <c r="U374" i="2"/>
  <c r="U313" i="2"/>
  <c r="U309" i="2"/>
  <c r="U305" i="2"/>
  <c r="U301" i="2"/>
  <c r="U290" i="2"/>
  <c r="U286" i="2"/>
  <c r="U282" i="2"/>
  <c r="U278" i="2"/>
  <c r="U213" i="2"/>
  <c r="U209" i="2"/>
  <c r="U205" i="2"/>
  <c r="U194" i="2"/>
  <c r="U190" i="2"/>
  <c r="U186" i="2"/>
  <c r="U182" i="2"/>
  <c r="U121" i="2"/>
  <c r="U117" i="2"/>
  <c r="U113" i="2"/>
  <c r="U109" i="2"/>
  <c r="U49" i="2"/>
  <c r="U45" i="2"/>
  <c r="U41" i="2"/>
  <c r="U37" i="2"/>
  <c r="T1127" i="2"/>
  <c r="AA1127" i="2" s="1"/>
  <c r="T1123" i="2"/>
  <c r="AA1123" i="2" s="1"/>
  <c r="T1119" i="2"/>
  <c r="AA1119" i="2" s="1"/>
  <c r="T1108" i="2"/>
  <c r="AA1108" i="2" s="1"/>
  <c r="T1104" i="2"/>
  <c r="AA1104" i="2" s="1"/>
  <c r="T1100" i="2"/>
  <c r="AA1100" i="2" s="1"/>
  <c r="T1096" i="2"/>
  <c r="AA1096" i="2" s="1"/>
  <c r="T1034" i="2"/>
  <c r="AA1034" i="2" s="1"/>
  <c r="T1030" i="2"/>
  <c r="AA1030" i="2" s="1"/>
  <c r="T1026" i="2"/>
  <c r="AA1026" i="2" s="1"/>
  <c r="T1022" i="2"/>
  <c r="AA1022" i="2" s="1"/>
  <c r="T1011" i="2"/>
  <c r="AA1011" i="2" s="1"/>
  <c r="T1007" i="2"/>
  <c r="AA1007" i="2" s="1"/>
  <c r="T1003" i="2"/>
  <c r="AA1003" i="2" s="1"/>
  <c r="T999" i="2"/>
  <c r="AA999" i="2" s="1"/>
  <c r="T938" i="2"/>
  <c r="AA938" i="2" s="1"/>
  <c r="T934" i="2"/>
  <c r="AA934" i="2" s="1"/>
  <c r="T930" i="2"/>
  <c r="AA930" i="2" s="1"/>
  <c r="T926" i="2"/>
  <c r="AA926" i="2" s="1"/>
  <c r="T915" i="2"/>
  <c r="AA915" i="2" s="1"/>
  <c r="T911" i="2"/>
  <c r="AA911" i="2" s="1"/>
  <c r="T907" i="2"/>
  <c r="AA907" i="2" s="1"/>
  <c r="T903" i="2"/>
  <c r="AA903" i="2" s="1"/>
  <c r="T842" i="2"/>
  <c r="AA842" i="2" s="1"/>
  <c r="T838" i="2"/>
  <c r="AA838" i="2" s="1"/>
  <c r="T834" i="2"/>
  <c r="AA834" i="2" s="1"/>
  <c r="T830" i="2"/>
  <c r="AA830" i="2" s="1"/>
  <c r="T819" i="2"/>
  <c r="AA819" i="2" s="1"/>
  <c r="T815" i="2"/>
  <c r="AA815" i="2" s="1"/>
  <c r="T811" i="2"/>
  <c r="AA811" i="2" s="1"/>
  <c r="T807" i="2"/>
  <c r="AA807" i="2" s="1"/>
  <c r="T746" i="2"/>
  <c r="AA746" i="2" s="1"/>
  <c r="T742" i="2"/>
  <c r="AA742" i="2" s="1"/>
  <c r="T738" i="2"/>
  <c r="AA738" i="2" s="1"/>
  <c r="T734" i="2"/>
  <c r="AA734" i="2" s="1"/>
  <c r="T723" i="2"/>
  <c r="AA723" i="2" s="1"/>
  <c r="T719" i="2"/>
  <c r="AA719" i="2" s="1"/>
  <c r="T715" i="2"/>
  <c r="AA715" i="2" s="1"/>
  <c r="T711" i="2"/>
  <c r="AA711" i="2" s="1"/>
  <c r="T650" i="2"/>
  <c r="AA650" i="2" s="1"/>
  <c r="T642" i="2"/>
  <c r="AA642" i="2" s="1"/>
  <c r="T638" i="2"/>
  <c r="AA638" i="2" s="1"/>
  <c r="T627" i="2"/>
  <c r="AA627" i="2" s="1"/>
  <c r="T623" i="2"/>
  <c r="AA623" i="2" s="1"/>
  <c r="T619" i="2"/>
  <c r="AA619" i="2" s="1"/>
  <c r="T615" i="2"/>
  <c r="AA615" i="2" s="1"/>
  <c r="T554" i="2"/>
  <c r="AA554" i="2" s="1"/>
  <c r="T550" i="2"/>
  <c r="AA550" i="2" s="1"/>
  <c r="T546" i="2"/>
  <c r="AA546" i="2" s="1"/>
  <c r="T542" i="2"/>
  <c r="AA542" i="2" s="1"/>
  <c r="T531" i="2"/>
  <c r="AA531" i="2" s="1"/>
  <c r="T527" i="2"/>
  <c r="AA527" i="2" s="1"/>
  <c r="T523" i="2"/>
  <c r="AA523" i="2" s="1"/>
  <c r="T519" i="2"/>
  <c r="AA519" i="2" s="1"/>
  <c r="T481" i="2"/>
  <c r="AA481" i="2" s="1"/>
  <c r="T477" i="2"/>
  <c r="AA477" i="2" s="1"/>
  <c r="T473" i="2"/>
  <c r="AA473" i="2" s="1"/>
  <c r="T469" i="2"/>
  <c r="AA469" i="2" s="1"/>
  <c r="T458" i="2"/>
  <c r="AA458" i="2" s="1"/>
  <c r="T454" i="2"/>
  <c r="AA454" i="2" s="1"/>
  <c r="T450" i="2"/>
  <c r="AA450" i="2" s="1"/>
  <c r="T446" i="2"/>
  <c r="AA446" i="2" s="1"/>
  <c r="T385" i="2"/>
  <c r="AA385" i="2" s="1"/>
  <c r="T381" i="2"/>
  <c r="AA381" i="2" s="1"/>
  <c r="T377" i="2"/>
  <c r="AA377" i="2" s="1"/>
  <c r="T373" i="2"/>
  <c r="AA373" i="2" s="1"/>
  <c r="T362" i="2"/>
  <c r="AA362" i="2" s="1"/>
  <c r="T358" i="2"/>
  <c r="AA358" i="2" s="1"/>
  <c r="T354" i="2"/>
  <c r="AA354" i="2" s="1"/>
  <c r="T350" i="2"/>
  <c r="AA350" i="2" s="1"/>
  <c r="T289" i="2"/>
  <c r="AA289" i="2" s="1"/>
  <c r="T285" i="2"/>
  <c r="AA285" i="2" s="1"/>
  <c r="T281" i="2"/>
  <c r="AA281" i="2" s="1"/>
  <c r="T277" i="2"/>
  <c r="AA277" i="2" s="1"/>
  <c r="T266" i="2"/>
  <c r="AA266" i="2" s="1"/>
  <c r="T262" i="2"/>
  <c r="AA262" i="2" s="1"/>
  <c r="T258" i="2"/>
  <c r="AA258" i="2" s="1"/>
  <c r="T254" i="2"/>
  <c r="AA254" i="2" s="1"/>
  <c r="T193" i="2"/>
  <c r="AA193" i="2" s="1"/>
  <c r="T189" i="2"/>
  <c r="AA189" i="2" s="1"/>
  <c r="T185" i="2"/>
  <c r="AA185" i="2" s="1"/>
  <c r="T181" i="2"/>
  <c r="AA181" i="2" s="1"/>
  <c r="T170" i="2"/>
  <c r="AA170" i="2" s="1"/>
  <c r="T166" i="2"/>
  <c r="AA166" i="2" s="1"/>
  <c r="T162" i="2"/>
  <c r="AA162" i="2" s="1"/>
  <c r="T158" i="2"/>
  <c r="AA158" i="2" s="1"/>
  <c r="T97" i="2"/>
  <c r="AA97" i="2" s="1"/>
  <c r="T93" i="2"/>
  <c r="AA93" i="2" s="1"/>
  <c r="T89" i="2"/>
  <c r="AA89" i="2" s="1"/>
  <c r="T85" i="2"/>
  <c r="AA85" i="2" s="1"/>
  <c r="T74" i="2"/>
  <c r="AA74" i="2" s="1"/>
  <c r="T70" i="2"/>
  <c r="AA70" i="2" s="1"/>
  <c r="T66" i="2"/>
  <c r="AA66" i="2" s="1"/>
  <c r="T62" i="2"/>
  <c r="AA62" i="2" s="1"/>
  <c r="S1083" i="2"/>
  <c r="Z1083" i="2" s="1"/>
  <c r="S1079" i="2"/>
  <c r="Z1079" i="2" s="1"/>
  <c r="S1075" i="2"/>
  <c r="Z1075" i="2" s="1"/>
  <c r="S1071" i="2"/>
  <c r="Z1071" i="2" s="1"/>
  <c r="S1059" i="2"/>
  <c r="Z1059" i="2" s="1"/>
  <c r="S1055" i="2"/>
  <c r="Z1055" i="2" s="1"/>
  <c r="S1051" i="2"/>
  <c r="Z1051" i="2" s="1"/>
  <c r="S1047" i="2"/>
  <c r="Z1047" i="2" s="1"/>
  <c r="S986" i="2"/>
  <c r="Z986" i="2" s="1"/>
  <c r="S982" i="2"/>
  <c r="Z982" i="2" s="1"/>
  <c r="S978" i="2"/>
  <c r="Z978" i="2" s="1"/>
  <c r="S974" i="2"/>
  <c r="Z974" i="2" s="1"/>
  <c r="S963" i="2"/>
  <c r="Z963" i="2" s="1"/>
  <c r="S959" i="2"/>
  <c r="Z959" i="2" s="1"/>
  <c r="S955" i="2"/>
  <c r="Z955" i="2" s="1"/>
  <c r="S951" i="2"/>
  <c r="Z951" i="2" s="1"/>
  <c r="S918" i="2"/>
  <c r="Z918" i="2" s="1"/>
  <c r="S914" i="2"/>
  <c r="Z914" i="2" s="1"/>
  <c r="S910" i="2"/>
  <c r="Z910" i="2" s="1"/>
  <c r="S906" i="2"/>
  <c r="Z906" i="2" s="1"/>
  <c r="S902" i="2"/>
  <c r="Z902" i="2" s="1"/>
  <c r="S891" i="2"/>
  <c r="Z891" i="2" s="1"/>
  <c r="S887" i="2"/>
  <c r="Z887" i="2" s="1"/>
  <c r="S883" i="2"/>
  <c r="Z883" i="2" s="1"/>
  <c r="S879" i="2"/>
  <c r="Z879" i="2" s="1"/>
  <c r="S818" i="2"/>
  <c r="Z818" i="2" s="1"/>
  <c r="S814" i="2"/>
  <c r="Z814" i="2" s="1"/>
  <c r="S810" i="2"/>
  <c r="Z810" i="2" s="1"/>
  <c r="S806" i="2"/>
  <c r="Z806" i="2" s="1"/>
  <c r="S795" i="2"/>
  <c r="Z795" i="2" s="1"/>
  <c r="S791" i="2"/>
  <c r="Z791" i="2" s="1"/>
  <c r="S787" i="2"/>
  <c r="Z787" i="2" s="1"/>
  <c r="S783" i="2"/>
  <c r="Z783" i="2" s="1"/>
  <c r="S722" i="2"/>
  <c r="Z722" i="2" s="1"/>
  <c r="S718" i="2"/>
  <c r="Z718" i="2" s="1"/>
  <c r="S714" i="2"/>
  <c r="Z714" i="2" s="1"/>
  <c r="S710" i="2"/>
  <c r="Z710" i="2" s="1"/>
  <c r="S699" i="2"/>
  <c r="Z699" i="2" s="1"/>
  <c r="S695" i="2"/>
  <c r="Z695" i="2" s="1"/>
  <c r="S691" i="2"/>
  <c r="Z691" i="2" s="1"/>
  <c r="S687" i="2"/>
  <c r="Z687" i="2" s="1"/>
  <c r="S626" i="2"/>
  <c r="Z626" i="2" s="1"/>
  <c r="S622" i="2"/>
  <c r="Z622" i="2" s="1"/>
  <c r="S618" i="2"/>
  <c r="Z618" i="2" s="1"/>
  <c r="S614" i="2"/>
  <c r="Z614" i="2" s="1"/>
  <c r="S603" i="2"/>
  <c r="Z603" i="2" s="1"/>
  <c r="S599" i="2"/>
  <c r="Z599" i="2" s="1"/>
  <c r="S595" i="2"/>
  <c r="Z595" i="2" s="1"/>
  <c r="S591" i="2"/>
  <c r="Z591" i="2" s="1"/>
  <c r="S530" i="2"/>
  <c r="Z530" i="2" s="1"/>
  <c r="S526" i="2"/>
  <c r="Z526" i="2" s="1"/>
  <c r="S522" i="2"/>
  <c r="Z522" i="2" s="1"/>
  <c r="S518" i="2"/>
  <c r="Z518" i="2" s="1"/>
  <c r="S507" i="2"/>
  <c r="Z507" i="2" s="1"/>
  <c r="S503" i="2"/>
  <c r="Z503" i="2" s="1"/>
  <c r="S499" i="2"/>
  <c r="Z499" i="2" s="1"/>
  <c r="S494" i="2"/>
  <c r="Z494" i="2" s="1"/>
  <c r="S433" i="2"/>
  <c r="Z433" i="2" s="1"/>
  <c r="S429" i="2"/>
  <c r="Z429" i="2" s="1"/>
  <c r="S425" i="2"/>
  <c r="Z425" i="2" s="1"/>
  <c r="S421" i="2"/>
  <c r="Z421" i="2" s="1"/>
  <c r="S410" i="2"/>
  <c r="Z410" i="2" s="1"/>
  <c r="S406" i="2"/>
  <c r="Z406" i="2" s="1"/>
  <c r="S402" i="2"/>
  <c r="Z402" i="2" s="1"/>
  <c r="S398" i="2"/>
  <c r="Z398" i="2" s="1"/>
  <c r="S337" i="2"/>
  <c r="Z337" i="2" s="1"/>
  <c r="S333" i="2"/>
  <c r="Z333" i="2" s="1"/>
  <c r="S329" i="2"/>
  <c r="Z329" i="2" s="1"/>
  <c r="S325" i="2"/>
  <c r="Z325" i="2" s="1"/>
  <c r="S314" i="2"/>
  <c r="Z314" i="2" s="1"/>
  <c r="S310" i="2"/>
  <c r="Z310" i="2" s="1"/>
  <c r="S306" i="2"/>
  <c r="Z306" i="2" s="1"/>
  <c r="S302" i="2"/>
  <c r="Z302" i="2" s="1"/>
  <c r="S241" i="2"/>
  <c r="Z241" i="2" s="1"/>
  <c r="S237" i="2"/>
  <c r="Z237" i="2" s="1"/>
  <c r="S233" i="2"/>
  <c r="Z233" i="2" s="1"/>
  <c r="S229" i="2"/>
  <c r="Z229" i="2" s="1"/>
  <c r="S218" i="2"/>
  <c r="Z218" i="2" s="1"/>
  <c r="S214" i="2"/>
  <c r="Z214" i="2" s="1"/>
  <c r="S210" i="2"/>
  <c r="Z210" i="2" s="1"/>
  <c r="S206" i="2"/>
  <c r="Z206" i="2" s="1"/>
  <c r="S145" i="2"/>
  <c r="Z145" i="2" s="1"/>
  <c r="S141" i="2"/>
  <c r="Z141" i="2" s="1"/>
  <c r="S137" i="2"/>
  <c r="Z137" i="2" s="1"/>
  <c r="S133" i="2"/>
  <c r="Z133" i="2" s="1"/>
  <c r="S122" i="2"/>
  <c r="Z122" i="2" s="1"/>
  <c r="S118" i="2"/>
  <c r="Z118" i="2" s="1"/>
  <c r="S114" i="2"/>
  <c r="Z114" i="2" s="1"/>
  <c r="S110" i="2"/>
  <c r="Z110" i="2" s="1"/>
  <c r="S49" i="2"/>
  <c r="Z49" i="2" s="1"/>
  <c r="S45" i="2"/>
  <c r="Z45" i="2" s="1"/>
  <c r="S41" i="2"/>
  <c r="Z41" i="2" s="1"/>
  <c r="S37" i="2"/>
  <c r="Z37" i="2" s="1"/>
  <c r="R1127" i="2"/>
  <c r="Y1127" i="2" s="1"/>
  <c r="R1123" i="2"/>
  <c r="Y1123" i="2" s="1"/>
  <c r="R1119" i="2"/>
  <c r="Y1119" i="2" s="1"/>
  <c r="R1108" i="2"/>
  <c r="Y1108" i="2" s="1"/>
  <c r="R1104" i="2"/>
  <c r="Y1104" i="2" s="1"/>
  <c r="R1100" i="2"/>
  <c r="Y1100" i="2" s="1"/>
  <c r="R1096" i="2"/>
  <c r="Y1096" i="2" s="1"/>
  <c r="R1010" i="2"/>
  <c r="Y1010" i="2" s="1"/>
  <c r="R1006" i="2"/>
  <c r="Y1006" i="2" s="1"/>
  <c r="R986" i="2"/>
  <c r="Y986" i="2" s="1"/>
  <c r="R982" i="2"/>
  <c r="Y982" i="2" s="1"/>
  <c r="R978" i="2"/>
  <c r="Y978" i="2" s="1"/>
  <c r="R974" i="2"/>
  <c r="Y974" i="2" s="1"/>
  <c r="R963" i="2"/>
  <c r="Y963" i="2" s="1"/>
  <c r="R959" i="2"/>
  <c r="Y959" i="2" s="1"/>
  <c r="R955" i="2"/>
  <c r="Y955" i="2" s="1"/>
  <c r="R951" i="2"/>
  <c r="Y951" i="2" s="1"/>
  <c r="R890" i="2"/>
  <c r="Y890" i="2" s="1"/>
  <c r="R886" i="2"/>
  <c r="Y886" i="2" s="1"/>
  <c r="R866" i="2"/>
  <c r="Y866" i="2" s="1"/>
  <c r="R862" i="2"/>
  <c r="Y862" i="2" s="1"/>
  <c r="R858" i="2"/>
  <c r="Y858" i="2" s="1"/>
  <c r="R854" i="2"/>
  <c r="Y854" i="2" s="1"/>
  <c r="R843" i="2"/>
  <c r="Y843" i="2" s="1"/>
  <c r="R839" i="2"/>
  <c r="Y839" i="2" s="1"/>
  <c r="R835" i="2"/>
  <c r="Y835" i="2" s="1"/>
  <c r="R831" i="2"/>
  <c r="Y831" i="2" s="1"/>
  <c r="R770" i="2"/>
  <c r="Y770" i="2" s="1"/>
  <c r="R766" i="2"/>
  <c r="Y766" i="2" s="1"/>
  <c r="R762" i="2"/>
  <c r="Y762" i="2" s="1"/>
  <c r="R758" i="2"/>
  <c r="Y758" i="2" s="1"/>
  <c r="R747" i="2"/>
  <c r="Y747" i="2" s="1"/>
  <c r="R743" i="2"/>
  <c r="Y743" i="2" s="1"/>
  <c r="R739" i="2"/>
  <c r="Y739" i="2" s="1"/>
  <c r="R735" i="2"/>
  <c r="Y735" i="2" s="1"/>
  <c r="R674" i="2"/>
  <c r="Y674" i="2" s="1"/>
  <c r="R670" i="2"/>
  <c r="Y670" i="2" s="1"/>
  <c r="R666" i="2"/>
  <c r="Y666" i="2" s="1"/>
  <c r="R662" i="2"/>
  <c r="Y662" i="2" s="1"/>
  <c r="R651" i="2"/>
  <c r="Y651" i="2" s="1"/>
  <c r="R647" i="2"/>
  <c r="Y647" i="2" s="1"/>
  <c r="R643" i="2"/>
  <c r="Y643" i="2" s="1"/>
  <c r="R639" i="2"/>
  <c r="Y639" i="2" s="1"/>
  <c r="R578" i="2"/>
  <c r="Y578" i="2" s="1"/>
  <c r="R574" i="2"/>
  <c r="Y574" i="2" s="1"/>
  <c r="R570" i="2"/>
  <c r="Y570" i="2" s="1"/>
  <c r="R566" i="2"/>
  <c r="Y566" i="2" s="1"/>
  <c r="R555" i="2"/>
  <c r="Y555" i="2" s="1"/>
  <c r="R551" i="2"/>
  <c r="Y551" i="2" s="1"/>
  <c r="R547" i="2"/>
  <c r="Y547" i="2" s="1"/>
  <c r="R543" i="2"/>
  <c r="Y543" i="2" s="1"/>
  <c r="R481" i="2"/>
  <c r="Y481" i="2" s="1"/>
  <c r="R477" i="2"/>
  <c r="Y477" i="2" s="1"/>
  <c r="R473" i="2"/>
  <c r="Y473" i="2" s="1"/>
  <c r="R469" i="2"/>
  <c r="Y469" i="2" s="1"/>
  <c r="R458" i="2"/>
  <c r="Y458" i="2" s="1"/>
  <c r="R454" i="2"/>
  <c r="Y454" i="2" s="1"/>
  <c r="R450" i="2"/>
  <c r="Y450" i="2" s="1"/>
  <c r="R446" i="2"/>
  <c r="Y446" i="2" s="1"/>
  <c r="R385" i="2"/>
  <c r="Y385" i="2" s="1"/>
  <c r="R381" i="2"/>
  <c r="Y381" i="2" s="1"/>
  <c r="R377" i="2"/>
  <c r="Y377" i="2" s="1"/>
  <c r="R373" i="2"/>
  <c r="Y373" i="2" s="1"/>
  <c r="R362" i="2"/>
  <c r="Y362" i="2" s="1"/>
  <c r="R358" i="2"/>
  <c r="Y358" i="2" s="1"/>
  <c r="R354" i="2"/>
  <c r="Y354" i="2" s="1"/>
  <c r="R350" i="2"/>
  <c r="Y350" i="2" s="1"/>
  <c r="R289" i="2"/>
  <c r="Y289" i="2" s="1"/>
  <c r="R285" i="2"/>
  <c r="Y285" i="2" s="1"/>
  <c r="R281" i="2"/>
  <c r="Y281" i="2" s="1"/>
  <c r="R277" i="2"/>
  <c r="Y277" i="2" s="1"/>
  <c r="R266" i="2"/>
  <c r="Y266" i="2" s="1"/>
  <c r="R262" i="2"/>
  <c r="Y262" i="2" s="1"/>
  <c r="R258" i="2"/>
  <c r="Y258" i="2" s="1"/>
  <c r="R254" i="2"/>
  <c r="Y254" i="2" s="1"/>
  <c r="R193" i="2"/>
  <c r="Y193" i="2" s="1"/>
  <c r="R189" i="2"/>
  <c r="Y189" i="2" s="1"/>
  <c r="R185" i="2"/>
  <c r="Y185" i="2" s="1"/>
  <c r="R181" i="2"/>
  <c r="Y181" i="2" s="1"/>
  <c r="R170" i="2"/>
  <c r="Y170" i="2" s="1"/>
  <c r="R166" i="2"/>
  <c r="Y166" i="2" s="1"/>
  <c r="R162" i="2"/>
  <c r="Y162" i="2" s="1"/>
  <c r="R158" i="2"/>
  <c r="Y158" i="2" s="1"/>
  <c r="R97" i="2"/>
  <c r="Y97" i="2" s="1"/>
  <c r="R93" i="2"/>
  <c r="Y93" i="2" s="1"/>
  <c r="R89" i="2"/>
  <c r="Y89" i="2" s="1"/>
  <c r="R85" i="2"/>
  <c r="Y85" i="2" s="1"/>
  <c r="R74" i="2"/>
  <c r="Y74" i="2" s="1"/>
  <c r="R70" i="2"/>
  <c r="Y70" i="2" s="1"/>
  <c r="R66" i="2"/>
  <c r="Y66" i="2" s="1"/>
  <c r="R62" i="2"/>
  <c r="Y62" i="2" s="1"/>
  <c r="Q210" i="2"/>
  <c r="X210" i="2" s="1"/>
  <c r="Q113" i="2"/>
  <c r="X113" i="2" s="1"/>
  <c r="W1115" i="2"/>
  <c r="Q1115" i="8"/>
  <c r="R1091" i="2"/>
  <c r="Y1091" i="2" s="1"/>
  <c r="Q1091" i="8"/>
  <c r="W1067" i="2"/>
  <c r="Q1067" i="8"/>
  <c r="V1038" i="2"/>
  <c r="Q1038" i="8"/>
  <c r="V1018" i="2"/>
  <c r="Q1018" i="8"/>
  <c r="T946" i="2"/>
  <c r="AA946" i="2" s="1"/>
  <c r="Q946" i="8"/>
  <c r="S898" i="2"/>
  <c r="Z898" i="2" s="1"/>
  <c r="Q898" i="8"/>
  <c r="W874" i="2"/>
  <c r="Q874" i="8"/>
  <c r="U870" i="2"/>
  <c r="Q870" i="8"/>
  <c r="V846" i="2"/>
  <c r="Q846" i="8"/>
  <c r="V826" i="2"/>
  <c r="Q826" i="8"/>
  <c r="S802" i="2"/>
  <c r="Z802" i="2" s="1"/>
  <c r="Q802" i="8"/>
  <c r="W750" i="2"/>
  <c r="Q750" i="8"/>
  <c r="T702" i="2"/>
  <c r="AA702" i="2" s="1"/>
  <c r="Q702" i="8"/>
  <c r="U678" i="2"/>
  <c r="Q678" i="8"/>
  <c r="R658" i="2"/>
  <c r="Y658" i="2" s="1"/>
  <c r="Q658" i="8"/>
  <c r="V654" i="2"/>
  <c r="Q654" i="8"/>
  <c r="Q646" i="2"/>
  <c r="X646" i="2" s="1"/>
  <c r="Q646" i="8"/>
  <c r="W630" i="2"/>
  <c r="Q630" i="8"/>
  <c r="R562" i="2"/>
  <c r="Y562" i="2" s="1"/>
  <c r="Q562" i="8"/>
  <c r="S534" i="2"/>
  <c r="Z534" i="2" s="1"/>
  <c r="Q534" i="8"/>
  <c r="R514" i="2"/>
  <c r="Y514" i="2" s="1"/>
  <c r="Q514" i="8"/>
  <c r="U485" i="2"/>
  <c r="Q485" i="8"/>
  <c r="U465" i="2"/>
  <c r="Q465" i="8"/>
  <c r="R441" i="2"/>
  <c r="Y441" i="2" s="1"/>
  <c r="Q441" i="8"/>
  <c r="R365" i="2"/>
  <c r="Y365" i="2" s="1"/>
  <c r="Q365" i="8"/>
  <c r="U345" i="2"/>
  <c r="Q345" i="8"/>
  <c r="R321" i="2"/>
  <c r="Y321" i="2" s="1"/>
  <c r="Q321" i="8"/>
  <c r="S297" i="2"/>
  <c r="Z297" i="2" s="1"/>
  <c r="Q297" i="8"/>
  <c r="U293" i="2"/>
  <c r="Q293" i="8"/>
  <c r="V269" i="2"/>
  <c r="Q269" i="8"/>
  <c r="W245" i="2"/>
  <c r="Q245" i="8"/>
  <c r="T225" i="2"/>
  <c r="AA225" i="2" s="1"/>
  <c r="Q225" i="8"/>
  <c r="Q217" i="2"/>
  <c r="X217" i="2" s="1"/>
  <c r="Q217" i="8"/>
  <c r="R201" i="2"/>
  <c r="Y201" i="2" s="1"/>
  <c r="Q201" i="8"/>
  <c r="R173" i="2"/>
  <c r="Y173" i="2" s="1"/>
  <c r="Q173" i="8"/>
  <c r="S149" i="2"/>
  <c r="Z149" i="2" s="1"/>
  <c r="Q149" i="8"/>
  <c r="T125" i="2"/>
  <c r="AA125" i="2" s="1"/>
  <c r="Q125" i="8"/>
  <c r="W1116" i="2"/>
  <c r="Q1116" i="8"/>
  <c r="V1092" i="2"/>
  <c r="Q1092" i="8"/>
  <c r="T1043" i="2"/>
  <c r="AA1043" i="2" s="1"/>
  <c r="Q1043" i="8"/>
  <c r="R1019" i="2"/>
  <c r="Y1019" i="2" s="1"/>
  <c r="Q1019" i="8"/>
  <c r="V995" i="2"/>
  <c r="Q995" i="8"/>
  <c r="S923" i="2"/>
  <c r="Z923" i="2" s="1"/>
  <c r="Q923" i="8"/>
  <c r="U875" i="2"/>
  <c r="Q875" i="8"/>
  <c r="R847" i="2"/>
  <c r="Y847" i="2" s="1"/>
  <c r="Q847" i="8"/>
  <c r="S803" i="2"/>
  <c r="Z803" i="2" s="1"/>
  <c r="Q803" i="8"/>
  <c r="S779" i="2"/>
  <c r="Z779" i="2" s="1"/>
  <c r="Q779" i="8"/>
  <c r="U775" i="2"/>
  <c r="Q775" i="8"/>
  <c r="R707" i="2"/>
  <c r="Y707" i="2" s="1"/>
  <c r="Q707" i="8"/>
  <c r="W635" i="2"/>
  <c r="Q635" i="8"/>
  <c r="T563" i="2"/>
  <c r="AA563" i="2" s="1"/>
  <c r="Q563" i="8"/>
  <c r="W539" i="2"/>
  <c r="Q539" i="8"/>
  <c r="U490" i="2"/>
  <c r="Q490" i="8"/>
  <c r="W442" i="2"/>
  <c r="Q442" i="8"/>
  <c r="V418" i="2"/>
  <c r="Q418" i="8"/>
  <c r="T370" i="2"/>
  <c r="AA370" i="2" s="1"/>
  <c r="Q370" i="8"/>
  <c r="W342" i="2"/>
  <c r="Q342" i="8"/>
  <c r="U298" i="2"/>
  <c r="Q298" i="8"/>
  <c r="T274" i="2"/>
  <c r="AA274" i="2" s="1"/>
  <c r="Q274" i="8"/>
  <c r="U198" i="2"/>
  <c r="Q198" i="8"/>
  <c r="T178" i="2"/>
  <c r="AA178" i="2" s="1"/>
  <c r="Q178" i="8"/>
  <c r="R1053" i="2"/>
  <c r="Y1053" i="2" s="1"/>
  <c r="Q1053" i="8"/>
  <c r="R1005" i="2"/>
  <c r="Y1005" i="2" s="1"/>
  <c r="Q1005" i="8"/>
  <c r="R885" i="2"/>
  <c r="Y885" i="2" s="1"/>
  <c r="Q885" i="8"/>
  <c r="W729" i="2"/>
  <c r="Q729" i="8"/>
  <c r="T464" i="2"/>
  <c r="AA464" i="2" s="1"/>
  <c r="Q464" i="8"/>
  <c r="W440" i="2"/>
  <c r="Q440" i="8"/>
  <c r="U368" i="2"/>
  <c r="Q368" i="8"/>
  <c r="U344" i="2"/>
  <c r="Q344" i="8"/>
  <c r="V224" i="2"/>
  <c r="Q224" i="8"/>
  <c r="V200" i="2"/>
  <c r="Q200" i="8"/>
  <c r="Q76" i="2"/>
  <c r="X76" i="2" s="1"/>
  <c r="Q76" i="8"/>
  <c r="W1127" i="2"/>
  <c r="W1119" i="2"/>
  <c r="W958" i="2"/>
  <c r="W906" i="2"/>
  <c r="W810" i="2"/>
  <c r="W722" i="2"/>
  <c r="W714" i="2"/>
  <c r="W618" i="2"/>
  <c r="W530" i="2"/>
  <c r="W522" i="2"/>
  <c r="W429" i="2"/>
  <c r="W421" i="2"/>
  <c r="W345" i="2"/>
  <c r="W265" i="2"/>
  <c r="W257" i="2"/>
  <c r="W169" i="2"/>
  <c r="W161" i="2"/>
  <c r="W157" i="2"/>
  <c r="W73" i="2"/>
  <c r="W65" i="2"/>
  <c r="W61" i="2"/>
  <c r="V1058" i="2"/>
  <c r="V1050" i="2"/>
  <c r="V962" i="2"/>
  <c r="V954" i="2"/>
  <c r="V950" i="2"/>
  <c r="V866" i="2"/>
  <c r="V862" i="2"/>
  <c r="V854" i="2"/>
  <c r="V794" i="2"/>
  <c r="V786" i="2"/>
  <c r="V694" i="2"/>
  <c r="V686" i="2"/>
  <c r="V602" i="2"/>
  <c r="V594" i="2"/>
  <c r="V590" i="2"/>
  <c r="V506" i="2"/>
  <c r="V498" i="2"/>
  <c r="V425" i="2"/>
  <c r="V337" i="2"/>
  <c r="V329" i="2"/>
  <c r="V325" i="2"/>
  <c r="V241" i="2"/>
  <c r="V233" i="2"/>
  <c r="V141" i="2"/>
  <c r="V45" i="2"/>
  <c r="V37" i="2"/>
  <c r="U1123" i="2"/>
  <c r="U1034" i="2"/>
  <c r="U1026" i="2"/>
  <c r="U1022" i="2"/>
  <c r="U938" i="2"/>
  <c r="U930" i="2"/>
  <c r="U926" i="2"/>
  <c r="U842" i="2"/>
  <c r="U834" i="2"/>
  <c r="U746" i="2"/>
  <c r="U738" i="2"/>
  <c r="U734" i="2"/>
  <c r="U650" i="2"/>
  <c r="U642" i="2"/>
  <c r="U638" i="2"/>
  <c r="U554" i="2"/>
  <c r="U546" i="2"/>
  <c r="U542" i="2"/>
  <c r="U481" i="2"/>
  <c r="U477" i="2"/>
  <c r="U469" i="2"/>
  <c r="U385" i="2"/>
  <c r="U377" i="2"/>
  <c r="U281" i="2"/>
  <c r="U193" i="2"/>
  <c r="U185" i="2"/>
  <c r="U181" i="2"/>
  <c r="T1107" i="2"/>
  <c r="AA1107" i="2" s="1"/>
  <c r="T1099" i="2"/>
  <c r="AA1099" i="2" s="1"/>
  <c r="T1010" i="2"/>
  <c r="AA1010" i="2" s="1"/>
  <c r="T1002" i="2"/>
  <c r="AA1002" i="2" s="1"/>
  <c r="T914" i="2"/>
  <c r="AA914" i="2" s="1"/>
  <c r="T906" i="2"/>
  <c r="AA906" i="2" s="1"/>
  <c r="T818" i="2"/>
  <c r="AA818" i="2" s="1"/>
  <c r="T810" i="2"/>
  <c r="AA810" i="2" s="1"/>
  <c r="T722" i="2"/>
  <c r="AA722" i="2" s="1"/>
  <c r="T714" i="2"/>
  <c r="AA714" i="2" s="1"/>
  <c r="T710" i="2"/>
  <c r="AA710" i="2" s="1"/>
  <c r="T622" i="2"/>
  <c r="AA622" i="2" s="1"/>
  <c r="T526" i="2"/>
  <c r="AA526" i="2" s="1"/>
  <c r="T522" i="2"/>
  <c r="AA522" i="2" s="1"/>
  <c r="T518" i="2"/>
  <c r="AA518" i="2" s="1"/>
  <c r="T457" i="2"/>
  <c r="AA457" i="2" s="1"/>
  <c r="T449" i="2"/>
  <c r="AA449" i="2" s="1"/>
  <c r="T361" i="2"/>
  <c r="AA361" i="2" s="1"/>
  <c r="T353" i="2"/>
  <c r="AA353" i="2" s="1"/>
  <c r="T265" i="2"/>
  <c r="AA265" i="2" s="1"/>
  <c r="T165" i="2"/>
  <c r="AA165" i="2" s="1"/>
  <c r="T157" i="2"/>
  <c r="AA157" i="2" s="1"/>
  <c r="T65" i="2"/>
  <c r="AA65" i="2" s="1"/>
  <c r="S1058" i="2"/>
  <c r="Z1058" i="2" s="1"/>
  <c r="S958" i="2"/>
  <c r="Z958" i="2" s="1"/>
  <c r="S950" i="2"/>
  <c r="Z950" i="2" s="1"/>
  <c r="S890" i="2"/>
  <c r="Z890" i="2" s="1"/>
  <c r="S790" i="2"/>
  <c r="Z790" i="2" s="1"/>
  <c r="S782" i="2"/>
  <c r="Z782" i="2" s="1"/>
  <c r="S698" i="2"/>
  <c r="Z698" i="2" s="1"/>
  <c r="S690" i="2"/>
  <c r="Z690" i="2" s="1"/>
  <c r="S686" i="2"/>
  <c r="Z686" i="2" s="1"/>
  <c r="S602" i="2"/>
  <c r="Z602" i="2" s="1"/>
  <c r="S594" i="2"/>
  <c r="Z594" i="2" s="1"/>
  <c r="S590" i="2"/>
  <c r="Z590" i="2" s="1"/>
  <c r="S502" i="2"/>
  <c r="Z502" i="2" s="1"/>
  <c r="S498" i="2"/>
  <c r="Z498" i="2" s="1"/>
  <c r="S493" i="2"/>
  <c r="Z493" i="2" s="1"/>
  <c r="S405" i="2"/>
  <c r="Z405" i="2" s="1"/>
  <c r="S397" i="2"/>
  <c r="Z397" i="2" s="1"/>
  <c r="S309" i="2"/>
  <c r="Z309" i="2" s="1"/>
  <c r="S305" i="2"/>
  <c r="Z305" i="2" s="1"/>
  <c r="S301" i="2"/>
  <c r="Z301" i="2" s="1"/>
  <c r="S213" i="2"/>
  <c r="Z213" i="2" s="1"/>
  <c r="S209" i="2"/>
  <c r="Z209" i="2" s="1"/>
  <c r="S205" i="2"/>
  <c r="Z205" i="2" s="1"/>
  <c r="S121" i="2"/>
  <c r="Z121" i="2" s="1"/>
  <c r="S113" i="2"/>
  <c r="Z113" i="2" s="1"/>
  <c r="S109" i="2"/>
  <c r="Z109" i="2" s="1"/>
  <c r="R1107" i="2"/>
  <c r="Y1107" i="2" s="1"/>
  <c r="R1099" i="2"/>
  <c r="Y1099" i="2" s="1"/>
  <c r="R1095" i="2"/>
  <c r="Y1095" i="2" s="1"/>
  <c r="R962" i="2"/>
  <c r="Y962" i="2" s="1"/>
  <c r="R954" i="2"/>
  <c r="Y954" i="2" s="1"/>
  <c r="R838" i="2"/>
  <c r="Y838" i="2" s="1"/>
  <c r="R834" i="2"/>
  <c r="Y834" i="2" s="1"/>
  <c r="R830" i="2"/>
  <c r="Y830" i="2" s="1"/>
  <c r="R746" i="2"/>
  <c r="Y746" i="2" s="1"/>
  <c r="R742" i="2"/>
  <c r="Y742" i="2" s="1"/>
  <c r="R738" i="2"/>
  <c r="Y738" i="2" s="1"/>
  <c r="R734" i="2"/>
  <c r="Y734" i="2" s="1"/>
  <c r="R650" i="2"/>
  <c r="Y650" i="2" s="1"/>
  <c r="R642" i="2"/>
  <c r="Y642" i="2" s="1"/>
  <c r="R554" i="2"/>
  <c r="Y554" i="2" s="1"/>
  <c r="R457" i="2"/>
  <c r="Y457" i="2" s="1"/>
  <c r="R449" i="2"/>
  <c r="Y449" i="2" s="1"/>
  <c r="R445" i="2"/>
  <c r="Y445" i="2" s="1"/>
  <c r="R361" i="2"/>
  <c r="Y361" i="2" s="1"/>
  <c r="R353" i="2"/>
  <c r="Y353" i="2" s="1"/>
  <c r="R261" i="2"/>
  <c r="Y261" i="2" s="1"/>
  <c r="R165" i="2"/>
  <c r="Y165" i="2" s="1"/>
  <c r="R73" i="2"/>
  <c r="Y73" i="2" s="1"/>
  <c r="R61" i="2"/>
  <c r="Y61" i="2" s="1"/>
  <c r="Q518" i="2"/>
  <c r="X518" i="2" s="1"/>
  <c r="W1083" i="2"/>
  <c r="W1079" i="2"/>
  <c r="W1075" i="2"/>
  <c r="W1071" i="2"/>
  <c r="W1059" i="2"/>
  <c r="W1055" i="2"/>
  <c r="W1051" i="2"/>
  <c r="W1047" i="2"/>
  <c r="W1010" i="2"/>
  <c r="W1006" i="2"/>
  <c r="W1002" i="2"/>
  <c r="W998" i="2"/>
  <c r="W987" i="2"/>
  <c r="W983" i="2"/>
  <c r="W979" i="2"/>
  <c r="W975" i="2"/>
  <c r="W942" i="2"/>
  <c r="W938" i="2"/>
  <c r="W934" i="2"/>
  <c r="W930" i="2"/>
  <c r="W926" i="2"/>
  <c r="W866" i="2"/>
  <c r="W862" i="2"/>
  <c r="W858" i="2"/>
  <c r="W854" i="2"/>
  <c r="W843" i="2"/>
  <c r="W839" i="2"/>
  <c r="W835" i="2"/>
  <c r="W831" i="2"/>
  <c r="W770" i="2"/>
  <c r="W766" i="2"/>
  <c r="W762" i="2"/>
  <c r="W758" i="2"/>
  <c r="W747" i="2"/>
  <c r="W743" i="2"/>
  <c r="W739" i="2"/>
  <c r="W735" i="2"/>
  <c r="W674" i="2"/>
  <c r="W670" i="2"/>
  <c r="W666" i="2"/>
  <c r="W662" i="2"/>
  <c r="W651" i="2"/>
  <c r="W647" i="2"/>
  <c r="W643" i="2"/>
  <c r="W639" i="2"/>
  <c r="W578" i="2"/>
  <c r="W574" i="2"/>
  <c r="W570" i="2"/>
  <c r="W566" i="2"/>
  <c r="W555" i="2"/>
  <c r="W551" i="2"/>
  <c r="W547" i="2"/>
  <c r="W543" i="2"/>
  <c r="W481" i="2"/>
  <c r="W477" i="2"/>
  <c r="W473" i="2"/>
  <c r="W469" i="2"/>
  <c r="W458" i="2"/>
  <c r="W454" i="2"/>
  <c r="W450" i="2"/>
  <c r="W446" i="2"/>
  <c r="W385" i="2"/>
  <c r="W381" i="2"/>
  <c r="W377" i="2"/>
  <c r="W373" i="2"/>
  <c r="W362" i="2"/>
  <c r="W358" i="2"/>
  <c r="W354" i="2"/>
  <c r="W350" i="2"/>
  <c r="W313" i="2"/>
  <c r="W309" i="2"/>
  <c r="W305" i="2"/>
  <c r="W301" i="2"/>
  <c r="W290" i="2"/>
  <c r="W286" i="2"/>
  <c r="W282" i="2"/>
  <c r="W278" i="2"/>
  <c r="W217" i="2"/>
  <c r="W213" i="2"/>
  <c r="W209" i="2"/>
  <c r="W205" i="2"/>
  <c r="W194" i="2"/>
  <c r="W190" i="2"/>
  <c r="W186" i="2"/>
  <c r="W182" i="2"/>
  <c r="W121" i="2"/>
  <c r="W117" i="2"/>
  <c r="W113" i="2"/>
  <c r="W109" i="2"/>
  <c r="W98" i="2"/>
  <c r="W94" i="2"/>
  <c r="W90" i="2"/>
  <c r="W86" i="2"/>
  <c r="V1107" i="2"/>
  <c r="V1103" i="2"/>
  <c r="V1099" i="2"/>
  <c r="V1095" i="2"/>
  <c r="V1084" i="2"/>
  <c r="V1080" i="2"/>
  <c r="V1076" i="2"/>
  <c r="V1072" i="2"/>
  <c r="V1010" i="2"/>
  <c r="V1006" i="2"/>
  <c r="V1002" i="2"/>
  <c r="V998" i="2"/>
  <c r="V987" i="2"/>
  <c r="V983" i="2"/>
  <c r="V979" i="2"/>
  <c r="V975" i="2"/>
  <c r="V914" i="2"/>
  <c r="V910" i="2"/>
  <c r="V906" i="2"/>
  <c r="V902" i="2"/>
  <c r="V891" i="2"/>
  <c r="V887" i="2"/>
  <c r="V883" i="2"/>
  <c r="V879" i="2"/>
  <c r="V818" i="2"/>
  <c r="V814" i="2"/>
  <c r="V810" i="2"/>
  <c r="V806" i="2"/>
  <c r="V746" i="2"/>
  <c r="V742" i="2"/>
  <c r="V738" i="2"/>
  <c r="V734" i="2"/>
  <c r="V723" i="2"/>
  <c r="V719" i="2"/>
  <c r="V715" i="2"/>
  <c r="V711" i="2"/>
  <c r="V650" i="2"/>
  <c r="V646" i="2"/>
  <c r="V642" i="2"/>
  <c r="V638" i="2"/>
  <c r="V627" i="2"/>
  <c r="V623" i="2"/>
  <c r="V619" i="2"/>
  <c r="V615" i="2"/>
  <c r="V554" i="2"/>
  <c r="V550" i="2"/>
  <c r="V546" i="2"/>
  <c r="V542" i="2"/>
  <c r="V531" i="2"/>
  <c r="V527" i="2"/>
  <c r="V523" i="2"/>
  <c r="V519" i="2"/>
  <c r="V465" i="2"/>
  <c r="V458" i="2"/>
  <c r="V454" i="2"/>
  <c r="V450" i="2"/>
  <c r="V446" i="2"/>
  <c r="V385" i="2"/>
  <c r="V381" i="2"/>
  <c r="V377" i="2"/>
  <c r="V373" i="2"/>
  <c r="V362" i="2"/>
  <c r="V358" i="2"/>
  <c r="V354" i="2"/>
  <c r="V350" i="2"/>
  <c r="V289" i="2"/>
  <c r="V285" i="2"/>
  <c r="V281" i="2"/>
  <c r="V277" i="2"/>
  <c r="V266" i="2"/>
  <c r="V262" i="2"/>
  <c r="V258" i="2"/>
  <c r="V254" i="2"/>
  <c r="V193" i="2"/>
  <c r="V189" i="2"/>
  <c r="V185" i="2"/>
  <c r="V181" i="2"/>
  <c r="V170" i="2"/>
  <c r="V166" i="2"/>
  <c r="V162" i="2"/>
  <c r="V158" i="2"/>
  <c r="V97" i="2"/>
  <c r="V93" i="2"/>
  <c r="V89" i="2"/>
  <c r="V85" i="2"/>
  <c r="V74" i="2"/>
  <c r="V70" i="2"/>
  <c r="V66" i="2"/>
  <c r="V62" i="2"/>
  <c r="U1083" i="2"/>
  <c r="U1079" i="2"/>
  <c r="U1075" i="2"/>
  <c r="U1071" i="2"/>
  <c r="U1059" i="2"/>
  <c r="U1055" i="2"/>
  <c r="U1051" i="2"/>
  <c r="U1047" i="2"/>
  <c r="U986" i="2"/>
  <c r="U982" i="2"/>
  <c r="U978" i="2"/>
  <c r="U974" i="2"/>
  <c r="U963" i="2"/>
  <c r="U959" i="2"/>
  <c r="U955" i="2"/>
  <c r="U951" i="2"/>
  <c r="U890" i="2"/>
  <c r="U886" i="2"/>
  <c r="U882" i="2"/>
  <c r="U878" i="2"/>
  <c r="U867" i="2"/>
  <c r="U863" i="2"/>
  <c r="U859" i="2"/>
  <c r="U855" i="2"/>
  <c r="U794" i="2"/>
  <c r="U790" i="2"/>
  <c r="U786" i="2"/>
  <c r="U782" i="2"/>
  <c r="U771" i="2"/>
  <c r="U767" i="2"/>
  <c r="U763" i="2"/>
  <c r="U759" i="2"/>
  <c r="U698" i="2"/>
  <c r="U694" i="2"/>
  <c r="U690" i="2"/>
  <c r="U686" i="2"/>
  <c r="U675" i="2"/>
  <c r="U671" i="2"/>
  <c r="U667" i="2"/>
  <c r="U663" i="2"/>
  <c r="U602" i="2"/>
  <c r="U598" i="2"/>
  <c r="U594" i="2"/>
  <c r="U590" i="2"/>
  <c r="U579" i="2"/>
  <c r="U575" i="2"/>
  <c r="U571" i="2"/>
  <c r="U567" i="2"/>
  <c r="U514" i="2"/>
  <c r="U507" i="2"/>
  <c r="U503" i="2"/>
  <c r="U499" i="2"/>
  <c r="U494" i="2"/>
  <c r="U433" i="2"/>
  <c r="U429" i="2"/>
  <c r="U425" i="2"/>
  <c r="U421" i="2"/>
  <c r="U410" i="2"/>
  <c r="U406" i="2"/>
  <c r="U402" i="2"/>
  <c r="U398" i="2"/>
  <c r="U337" i="2"/>
  <c r="U333" i="2"/>
  <c r="U329" i="2"/>
  <c r="U325" i="2"/>
  <c r="U314" i="2"/>
  <c r="U310" i="2"/>
  <c r="U306" i="2"/>
  <c r="U302" i="2"/>
  <c r="U241" i="2"/>
  <c r="U237" i="2"/>
  <c r="U233" i="2"/>
  <c r="U229" i="2"/>
  <c r="U218" i="2"/>
  <c r="U214" i="2"/>
  <c r="U210" i="2"/>
  <c r="U206" i="2"/>
  <c r="U145" i="2"/>
  <c r="U141" i="2"/>
  <c r="U137" i="2"/>
  <c r="U133" i="2"/>
  <c r="U122" i="2"/>
  <c r="U118" i="2"/>
  <c r="U114" i="2"/>
  <c r="U110" i="2"/>
  <c r="U73" i="2"/>
  <c r="U69" i="2"/>
  <c r="U65" i="2"/>
  <c r="U61" i="2"/>
  <c r="U50" i="2"/>
  <c r="U46" i="2"/>
  <c r="U42" i="2"/>
  <c r="U38" i="2"/>
  <c r="T1128" i="2"/>
  <c r="AA1128" i="2" s="1"/>
  <c r="T1124" i="2"/>
  <c r="AA1124" i="2" s="1"/>
  <c r="T1120" i="2"/>
  <c r="AA1120" i="2" s="1"/>
  <c r="T1058" i="2"/>
  <c r="AA1058" i="2" s="1"/>
  <c r="T1054" i="2"/>
  <c r="AA1054" i="2" s="1"/>
  <c r="T1050" i="2"/>
  <c r="AA1050" i="2" s="1"/>
  <c r="T1046" i="2"/>
  <c r="AA1046" i="2" s="1"/>
  <c r="T1035" i="2"/>
  <c r="AA1035" i="2" s="1"/>
  <c r="T1031" i="2"/>
  <c r="AA1031" i="2" s="1"/>
  <c r="T1027" i="2"/>
  <c r="AA1027" i="2" s="1"/>
  <c r="T1023" i="2"/>
  <c r="AA1023" i="2" s="1"/>
  <c r="T962" i="2"/>
  <c r="AA962" i="2" s="1"/>
  <c r="T958" i="2"/>
  <c r="AA958" i="2" s="1"/>
  <c r="T954" i="2"/>
  <c r="AA954" i="2" s="1"/>
  <c r="T950" i="2"/>
  <c r="AA950" i="2" s="1"/>
  <c r="T939" i="2"/>
  <c r="AA939" i="2" s="1"/>
  <c r="T935" i="2"/>
  <c r="AA935" i="2" s="1"/>
  <c r="T931" i="2"/>
  <c r="AA931" i="2" s="1"/>
  <c r="T927" i="2"/>
  <c r="AA927" i="2" s="1"/>
  <c r="T866" i="2"/>
  <c r="AA866" i="2" s="1"/>
  <c r="T862" i="2"/>
  <c r="AA862" i="2" s="1"/>
  <c r="T858" i="2"/>
  <c r="AA858" i="2" s="1"/>
  <c r="T854" i="2"/>
  <c r="AA854" i="2" s="1"/>
  <c r="T843" i="2"/>
  <c r="AA843" i="2" s="1"/>
  <c r="T839" i="2"/>
  <c r="AA839" i="2" s="1"/>
  <c r="T835" i="2"/>
  <c r="AA835" i="2" s="1"/>
  <c r="T831" i="2"/>
  <c r="AA831" i="2" s="1"/>
  <c r="T770" i="2"/>
  <c r="AA770" i="2" s="1"/>
  <c r="T766" i="2"/>
  <c r="AA766" i="2" s="1"/>
  <c r="T762" i="2"/>
  <c r="AA762" i="2" s="1"/>
  <c r="T758" i="2"/>
  <c r="AA758" i="2" s="1"/>
  <c r="T747" i="2"/>
  <c r="AA747" i="2" s="1"/>
  <c r="T743" i="2"/>
  <c r="AA743" i="2" s="1"/>
  <c r="T739" i="2"/>
  <c r="AA739" i="2" s="1"/>
  <c r="T735" i="2"/>
  <c r="AA735" i="2" s="1"/>
  <c r="T674" i="2"/>
  <c r="AA674" i="2" s="1"/>
  <c r="T670" i="2"/>
  <c r="AA670" i="2" s="1"/>
  <c r="T666" i="2"/>
  <c r="AA666" i="2" s="1"/>
  <c r="T662" i="2"/>
  <c r="AA662" i="2" s="1"/>
  <c r="T651" i="2"/>
  <c r="AA651" i="2" s="1"/>
  <c r="T647" i="2"/>
  <c r="AA647" i="2" s="1"/>
  <c r="T643" i="2"/>
  <c r="AA643" i="2" s="1"/>
  <c r="T639" i="2"/>
  <c r="AA639" i="2" s="1"/>
  <c r="T578" i="2"/>
  <c r="AA578" i="2" s="1"/>
  <c r="T574" i="2"/>
  <c r="AA574" i="2" s="1"/>
  <c r="T570" i="2"/>
  <c r="AA570" i="2" s="1"/>
  <c r="T566" i="2"/>
  <c r="AA566" i="2" s="1"/>
  <c r="T555" i="2"/>
  <c r="AA555" i="2" s="1"/>
  <c r="T551" i="2"/>
  <c r="AA551" i="2" s="1"/>
  <c r="T547" i="2"/>
  <c r="AA547" i="2" s="1"/>
  <c r="T543" i="2"/>
  <c r="AA543" i="2" s="1"/>
  <c r="T510" i="2"/>
  <c r="AA510" i="2" s="1"/>
  <c r="T506" i="2"/>
  <c r="AA506" i="2" s="1"/>
  <c r="T502" i="2"/>
  <c r="AA502" i="2" s="1"/>
  <c r="T498" i="2"/>
  <c r="AA498" i="2" s="1"/>
  <c r="T493" i="2"/>
  <c r="AA493" i="2" s="1"/>
  <c r="T482" i="2"/>
  <c r="AA482" i="2" s="1"/>
  <c r="T478" i="2"/>
  <c r="AA478" i="2" s="1"/>
  <c r="T474" i="2"/>
  <c r="AA474" i="2" s="1"/>
  <c r="T470" i="2"/>
  <c r="AA470" i="2" s="1"/>
  <c r="T409" i="2"/>
  <c r="AA409" i="2" s="1"/>
  <c r="T405" i="2"/>
  <c r="AA405" i="2" s="1"/>
  <c r="T401" i="2"/>
  <c r="AA401" i="2" s="1"/>
  <c r="T397" i="2"/>
  <c r="AA397" i="2" s="1"/>
  <c r="T386" i="2"/>
  <c r="AA386" i="2" s="1"/>
  <c r="T382" i="2"/>
  <c r="AA382" i="2" s="1"/>
  <c r="T378" i="2"/>
  <c r="AA378" i="2" s="1"/>
  <c r="T374" i="2"/>
  <c r="AA374" i="2" s="1"/>
  <c r="T313" i="2"/>
  <c r="AA313" i="2" s="1"/>
  <c r="T309" i="2"/>
  <c r="AA309" i="2" s="1"/>
  <c r="T305" i="2"/>
  <c r="AA305" i="2" s="1"/>
  <c r="T301" i="2"/>
  <c r="AA301" i="2" s="1"/>
  <c r="T290" i="2"/>
  <c r="AA290" i="2" s="1"/>
  <c r="T286" i="2"/>
  <c r="AA286" i="2" s="1"/>
  <c r="T282" i="2"/>
  <c r="AA282" i="2" s="1"/>
  <c r="T278" i="2"/>
  <c r="AA278" i="2" s="1"/>
  <c r="T217" i="2"/>
  <c r="AA217" i="2" s="1"/>
  <c r="T213" i="2"/>
  <c r="AA213" i="2" s="1"/>
  <c r="T209" i="2"/>
  <c r="AA209" i="2" s="1"/>
  <c r="T205" i="2"/>
  <c r="AA205" i="2" s="1"/>
  <c r="T194" i="2"/>
  <c r="AA194" i="2" s="1"/>
  <c r="T190" i="2"/>
  <c r="AA190" i="2" s="1"/>
  <c r="T186" i="2"/>
  <c r="AA186" i="2" s="1"/>
  <c r="T182" i="2"/>
  <c r="AA182" i="2" s="1"/>
  <c r="T121" i="2"/>
  <c r="AA121" i="2" s="1"/>
  <c r="T117" i="2"/>
  <c r="AA117" i="2" s="1"/>
  <c r="T113" i="2"/>
  <c r="AA113" i="2" s="1"/>
  <c r="T109" i="2"/>
  <c r="AA109" i="2" s="1"/>
  <c r="T98" i="2"/>
  <c r="AA98" i="2" s="1"/>
  <c r="T94" i="2"/>
  <c r="AA94" i="2" s="1"/>
  <c r="T90" i="2"/>
  <c r="AA90" i="2" s="1"/>
  <c r="T86" i="2"/>
  <c r="AA86" i="2" s="1"/>
  <c r="S1107" i="2"/>
  <c r="Z1107" i="2" s="1"/>
  <c r="S1103" i="2"/>
  <c r="Z1103" i="2" s="1"/>
  <c r="S1099" i="2"/>
  <c r="Z1099" i="2" s="1"/>
  <c r="S1095" i="2"/>
  <c r="Z1095" i="2" s="1"/>
  <c r="S1084" i="2"/>
  <c r="Z1084" i="2" s="1"/>
  <c r="S1080" i="2"/>
  <c r="Z1080" i="2" s="1"/>
  <c r="S1076" i="2"/>
  <c r="Z1076" i="2" s="1"/>
  <c r="S1072" i="2"/>
  <c r="Z1072" i="2" s="1"/>
  <c r="S1010" i="2"/>
  <c r="Z1010" i="2" s="1"/>
  <c r="S1006" i="2"/>
  <c r="Z1006" i="2" s="1"/>
  <c r="S1002" i="2"/>
  <c r="Z1002" i="2" s="1"/>
  <c r="S998" i="2"/>
  <c r="Z998" i="2" s="1"/>
  <c r="S987" i="2"/>
  <c r="Z987" i="2" s="1"/>
  <c r="S983" i="2"/>
  <c r="Z983" i="2" s="1"/>
  <c r="S979" i="2"/>
  <c r="Z979" i="2" s="1"/>
  <c r="S975" i="2"/>
  <c r="Z975" i="2" s="1"/>
  <c r="S915" i="2"/>
  <c r="Z915" i="2" s="1"/>
  <c r="S911" i="2"/>
  <c r="Z911" i="2" s="1"/>
  <c r="S907" i="2"/>
  <c r="Z907" i="2" s="1"/>
  <c r="S903" i="2"/>
  <c r="Z903" i="2" s="1"/>
  <c r="S842" i="2"/>
  <c r="Z842" i="2" s="1"/>
  <c r="S838" i="2"/>
  <c r="Z838" i="2" s="1"/>
  <c r="S834" i="2"/>
  <c r="Z834" i="2" s="1"/>
  <c r="S830" i="2"/>
  <c r="Z830" i="2" s="1"/>
  <c r="S819" i="2"/>
  <c r="Z819" i="2" s="1"/>
  <c r="S815" i="2"/>
  <c r="Z815" i="2" s="1"/>
  <c r="S811" i="2"/>
  <c r="Z811" i="2" s="1"/>
  <c r="S807" i="2"/>
  <c r="Z807" i="2" s="1"/>
  <c r="S746" i="2"/>
  <c r="Z746" i="2" s="1"/>
  <c r="S742" i="2"/>
  <c r="Z742" i="2" s="1"/>
  <c r="S738" i="2"/>
  <c r="Z738" i="2" s="1"/>
  <c r="S734" i="2"/>
  <c r="Z734" i="2" s="1"/>
  <c r="S723" i="2"/>
  <c r="Z723" i="2" s="1"/>
  <c r="S719" i="2"/>
  <c r="Z719" i="2" s="1"/>
  <c r="S715" i="2"/>
  <c r="Z715" i="2" s="1"/>
  <c r="S711" i="2"/>
  <c r="Z711" i="2" s="1"/>
  <c r="S650" i="2"/>
  <c r="Z650" i="2" s="1"/>
  <c r="S646" i="2"/>
  <c r="Z646" i="2" s="1"/>
  <c r="S642" i="2"/>
  <c r="Z642" i="2" s="1"/>
  <c r="S638" i="2"/>
  <c r="Z638" i="2" s="1"/>
  <c r="S627" i="2"/>
  <c r="Z627" i="2" s="1"/>
  <c r="S623" i="2"/>
  <c r="Z623" i="2" s="1"/>
  <c r="S619" i="2"/>
  <c r="Z619" i="2" s="1"/>
  <c r="S615" i="2"/>
  <c r="Z615" i="2" s="1"/>
  <c r="S554" i="2"/>
  <c r="Z554" i="2" s="1"/>
  <c r="S550" i="2"/>
  <c r="Z550" i="2" s="1"/>
  <c r="S546" i="2"/>
  <c r="Z546" i="2" s="1"/>
  <c r="S542" i="2"/>
  <c r="Z542" i="2" s="1"/>
  <c r="S531" i="2"/>
  <c r="Z531" i="2" s="1"/>
  <c r="S527" i="2"/>
  <c r="Z527" i="2" s="1"/>
  <c r="S523" i="2"/>
  <c r="Z523" i="2" s="1"/>
  <c r="S519" i="2"/>
  <c r="Z519" i="2" s="1"/>
  <c r="S457" i="2"/>
  <c r="Z457" i="2" s="1"/>
  <c r="S453" i="2"/>
  <c r="Z453" i="2" s="1"/>
  <c r="S449" i="2"/>
  <c r="Z449" i="2" s="1"/>
  <c r="S445" i="2"/>
  <c r="Z445" i="2" s="1"/>
  <c r="S434" i="2"/>
  <c r="Z434" i="2" s="1"/>
  <c r="S430" i="2"/>
  <c r="Z430" i="2" s="1"/>
  <c r="S426" i="2"/>
  <c r="Z426" i="2" s="1"/>
  <c r="S422" i="2"/>
  <c r="Z422" i="2" s="1"/>
  <c r="S361" i="2"/>
  <c r="Z361" i="2" s="1"/>
  <c r="S357" i="2"/>
  <c r="Z357" i="2" s="1"/>
  <c r="S353" i="2"/>
  <c r="Z353" i="2" s="1"/>
  <c r="S349" i="2"/>
  <c r="Z349" i="2" s="1"/>
  <c r="S338" i="2"/>
  <c r="Z338" i="2" s="1"/>
  <c r="S334" i="2"/>
  <c r="Z334" i="2" s="1"/>
  <c r="S330" i="2"/>
  <c r="Z330" i="2" s="1"/>
  <c r="S326" i="2"/>
  <c r="Z326" i="2" s="1"/>
  <c r="S265" i="2"/>
  <c r="Z265" i="2" s="1"/>
  <c r="S261" i="2"/>
  <c r="Z261" i="2" s="1"/>
  <c r="S257" i="2"/>
  <c r="Z257" i="2" s="1"/>
  <c r="S253" i="2"/>
  <c r="Z253" i="2" s="1"/>
  <c r="S242" i="2"/>
  <c r="Z242" i="2" s="1"/>
  <c r="S238" i="2"/>
  <c r="Z238" i="2" s="1"/>
  <c r="S234" i="2"/>
  <c r="Z234" i="2" s="1"/>
  <c r="S230" i="2"/>
  <c r="Z230" i="2" s="1"/>
  <c r="S169" i="2"/>
  <c r="Z169" i="2" s="1"/>
  <c r="S165" i="2"/>
  <c r="Z165" i="2" s="1"/>
  <c r="S161" i="2"/>
  <c r="Z161" i="2" s="1"/>
  <c r="S157" i="2"/>
  <c r="Z157" i="2" s="1"/>
  <c r="S146" i="2"/>
  <c r="Z146" i="2" s="1"/>
  <c r="S142" i="2"/>
  <c r="Z142" i="2" s="1"/>
  <c r="S138" i="2"/>
  <c r="Z138" i="2" s="1"/>
  <c r="S134" i="2"/>
  <c r="Z134" i="2" s="1"/>
  <c r="S73" i="2"/>
  <c r="Z73" i="2" s="1"/>
  <c r="S69" i="2"/>
  <c r="Z69" i="2" s="1"/>
  <c r="S65" i="2"/>
  <c r="Z65" i="2" s="1"/>
  <c r="S61" i="2"/>
  <c r="Z61" i="2" s="1"/>
  <c r="S50" i="2"/>
  <c r="Z50" i="2" s="1"/>
  <c r="S46" i="2"/>
  <c r="Z46" i="2" s="1"/>
  <c r="S42" i="2"/>
  <c r="Z42" i="2" s="1"/>
  <c r="S38" i="2"/>
  <c r="Z38" i="2" s="1"/>
  <c r="R1128" i="2"/>
  <c r="Y1128" i="2" s="1"/>
  <c r="R1124" i="2"/>
  <c r="Y1124" i="2" s="1"/>
  <c r="R1120" i="2"/>
  <c r="Y1120" i="2" s="1"/>
  <c r="R1058" i="2"/>
  <c r="Y1058" i="2" s="1"/>
  <c r="R1054" i="2"/>
  <c r="Y1054" i="2" s="1"/>
  <c r="R1034" i="2"/>
  <c r="Y1034" i="2" s="1"/>
  <c r="R1030" i="2"/>
  <c r="Y1030" i="2" s="1"/>
  <c r="R1026" i="2"/>
  <c r="Y1026" i="2" s="1"/>
  <c r="R1022" i="2"/>
  <c r="Y1022" i="2" s="1"/>
  <c r="R1011" i="2"/>
  <c r="Y1011" i="2" s="1"/>
  <c r="R1007" i="2"/>
  <c r="Y1007" i="2" s="1"/>
  <c r="R1002" i="2"/>
  <c r="Y1002" i="2" s="1"/>
  <c r="R998" i="2"/>
  <c r="Y998" i="2" s="1"/>
  <c r="R987" i="2"/>
  <c r="Y987" i="2" s="1"/>
  <c r="R983" i="2"/>
  <c r="Y983" i="2" s="1"/>
  <c r="R979" i="2"/>
  <c r="Y979" i="2" s="1"/>
  <c r="R975" i="2"/>
  <c r="Y975" i="2" s="1"/>
  <c r="R914" i="2"/>
  <c r="Y914" i="2" s="1"/>
  <c r="R910" i="2"/>
  <c r="Y910" i="2" s="1"/>
  <c r="R906" i="2"/>
  <c r="Y906" i="2" s="1"/>
  <c r="R902" i="2"/>
  <c r="Y902" i="2" s="1"/>
  <c r="R891" i="2"/>
  <c r="Y891" i="2" s="1"/>
  <c r="R887" i="2"/>
  <c r="Y887" i="2" s="1"/>
  <c r="R882" i="2"/>
  <c r="Y882" i="2" s="1"/>
  <c r="R878" i="2"/>
  <c r="Y878" i="2" s="1"/>
  <c r="R867" i="2"/>
  <c r="Y867" i="2" s="1"/>
  <c r="R863" i="2"/>
  <c r="Y863" i="2" s="1"/>
  <c r="R859" i="2"/>
  <c r="Y859" i="2" s="1"/>
  <c r="R855" i="2"/>
  <c r="Y855" i="2" s="1"/>
  <c r="R794" i="2"/>
  <c r="Y794" i="2" s="1"/>
  <c r="R790" i="2"/>
  <c r="Y790" i="2" s="1"/>
  <c r="R786" i="2"/>
  <c r="Y786" i="2" s="1"/>
  <c r="R782" i="2"/>
  <c r="Y782" i="2" s="1"/>
  <c r="R771" i="2"/>
  <c r="Y771" i="2" s="1"/>
  <c r="R767" i="2"/>
  <c r="Y767" i="2" s="1"/>
  <c r="R763" i="2"/>
  <c r="Y763" i="2" s="1"/>
  <c r="R759" i="2"/>
  <c r="Y759" i="2" s="1"/>
  <c r="R698" i="2"/>
  <c r="Y698" i="2" s="1"/>
  <c r="R694" i="2"/>
  <c r="Y694" i="2" s="1"/>
  <c r="R690" i="2"/>
  <c r="Y690" i="2" s="1"/>
  <c r="R686" i="2"/>
  <c r="Y686" i="2" s="1"/>
  <c r="R675" i="2"/>
  <c r="Y675" i="2" s="1"/>
  <c r="R671" i="2"/>
  <c r="Y671" i="2" s="1"/>
  <c r="R667" i="2"/>
  <c r="Y667" i="2" s="1"/>
  <c r="R663" i="2"/>
  <c r="Y663" i="2" s="1"/>
  <c r="R602" i="2"/>
  <c r="Y602" i="2" s="1"/>
  <c r="R598" i="2"/>
  <c r="Y598" i="2" s="1"/>
  <c r="R594" i="2"/>
  <c r="Y594" i="2" s="1"/>
  <c r="R590" i="2"/>
  <c r="Y590" i="2" s="1"/>
  <c r="R579" i="2"/>
  <c r="Y579" i="2" s="1"/>
  <c r="R575" i="2"/>
  <c r="Y575" i="2" s="1"/>
  <c r="R571" i="2"/>
  <c r="Y571" i="2" s="1"/>
  <c r="R567" i="2"/>
  <c r="Y567" i="2" s="1"/>
  <c r="R506" i="2"/>
  <c r="Y506" i="2" s="1"/>
  <c r="R502" i="2"/>
  <c r="Y502" i="2" s="1"/>
  <c r="R498" i="2"/>
  <c r="Y498" i="2" s="1"/>
  <c r="R493" i="2"/>
  <c r="Y493" i="2" s="1"/>
  <c r="R482" i="2"/>
  <c r="Y482" i="2" s="1"/>
  <c r="R478" i="2"/>
  <c r="Y478" i="2" s="1"/>
  <c r="R474" i="2"/>
  <c r="Y474" i="2" s="1"/>
  <c r="R470" i="2"/>
  <c r="Y470" i="2" s="1"/>
  <c r="R409" i="2"/>
  <c r="Y409" i="2" s="1"/>
  <c r="R405" i="2"/>
  <c r="Y405" i="2" s="1"/>
  <c r="R401" i="2"/>
  <c r="Y401" i="2" s="1"/>
  <c r="R397" i="2"/>
  <c r="Y397" i="2" s="1"/>
  <c r="R386" i="2"/>
  <c r="Y386" i="2" s="1"/>
  <c r="R382" i="2"/>
  <c r="Y382" i="2" s="1"/>
  <c r="R378" i="2"/>
  <c r="Y378" i="2" s="1"/>
  <c r="R374" i="2"/>
  <c r="Y374" i="2" s="1"/>
  <c r="R313" i="2"/>
  <c r="Y313" i="2" s="1"/>
  <c r="R309" i="2"/>
  <c r="Y309" i="2" s="1"/>
  <c r="R305" i="2"/>
  <c r="Y305" i="2" s="1"/>
  <c r="R301" i="2"/>
  <c r="Y301" i="2" s="1"/>
  <c r="R290" i="2"/>
  <c r="Y290" i="2" s="1"/>
  <c r="R286" i="2"/>
  <c r="Y286" i="2" s="1"/>
  <c r="R282" i="2"/>
  <c r="Y282" i="2" s="1"/>
  <c r="R278" i="2"/>
  <c r="Y278" i="2" s="1"/>
  <c r="R217" i="2"/>
  <c r="Y217" i="2" s="1"/>
  <c r="R213" i="2"/>
  <c r="Y213" i="2" s="1"/>
  <c r="R209" i="2"/>
  <c r="Y209" i="2" s="1"/>
  <c r="R205" i="2"/>
  <c r="Y205" i="2" s="1"/>
  <c r="R194" i="2"/>
  <c r="Y194" i="2" s="1"/>
  <c r="R190" i="2"/>
  <c r="Y190" i="2" s="1"/>
  <c r="R186" i="2"/>
  <c r="Y186" i="2" s="1"/>
  <c r="R182" i="2"/>
  <c r="Y182" i="2" s="1"/>
  <c r="R121" i="2"/>
  <c r="Y121" i="2" s="1"/>
  <c r="R117" i="2"/>
  <c r="Y117" i="2" s="1"/>
  <c r="R113" i="2"/>
  <c r="Y113" i="2" s="1"/>
  <c r="R109" i="2"/>
  <c r="Y109" i="2" s="1"/>
  <c r="R98" i="2"/>
  <c r="Y98" i="2" s="1"/>
  <c r="R94" i="2"/>
  <c r="Y94" i="2" s="1"/>
  <c r="R90" i="2"/>
  <c r="Y90" i="2" s="1"/>
  <c r="R86" i="2"/>
  <c r="Y86" i="2" s="1"/>
  <c r="Q566" i="2"/>
  <c r="X566" i="2" s="1"/>
  <c r="Q310" i="2"/>
  <c r="X310" i="2" s="1"/>
  <c r="Q117" i="2"/>
  <c r="X117" i="2" s="1"/>
  <c r="Q86" i="2"/>
  <c r="X86" i="2" s="1"/>
  <c r="T106" i="2"/>
  <c r="AA106" i="2" s="1"/>
  <c r="W659" i="2"/>
  <c r="R58" i="2"/>
  <c r="Y58" i="2" s="1"/>
  <c r="W851" i="2"/>
  <c r="V539" i="2"/>
  <c r="V635" i="2"/>
  <c r="R899" i="2"/>
  <c r="Y899" i="2" s="1"/>
  <c r="W755" i="2"/>
  <c r="V731" i="2"/>
  <c r="T394" i="2"/>
  <c r="AA394" i="2" s="1"/>
  <c r="W370" i="2"/>
  <c r="T490" i="2"/>
  <c r="AA490" i="2" s="1"/>
  <c r="W466" i="2"/>
  <c r="W563" i="2"/>
  <c r="W274" i="2"/>
  <c r="W178" i="2"/>
  <c r="W82" i="2"/>
  <c r="V1116" i="2"/>
  <c r="V1019" i="2"/>
  <c r="V923" i="2"/>
  <c r="V827" i="2"/>
  <c r="T875" i="2"/>
  <c r="AA875" i="2" s="1"/>
  <c r="T779" i="2"/>
  <c r="AA779" i="2" s="1"/>
  <c r="T683" i="2"/>
  <c r="AA683" i="2" s="1"/>
  <c r="T587" i="2"/>
  <c r="AA587" i="2" s="1"/>
  <c r="S875" i="2"/>
  <c r="Z875" i="2" s="1"/>
  <c r="R1068" i="2"/>
  <c r="Y1068" i="2" s="1"/>
  <c r="R539" i="2"/>
  <c r="Y539" i="2" s="1"/>
  <c r="R442" i="2"/>
  <c r="Y442" i="2" s="1"/>
  <c r="R346" i="2"/>
  <c r="Y346" i="2" s="1"/>
  <c r="R250" i="2"/>
  <c r="Y250" i="2" s="1"/>
  <c r="R154" i="2"/>
  <c r="Y154" i="2" s="1"/>
  <c r="W1068" i="2"/>
  <c r="V442" i="2"/>
  <c r="V346" i="2"/>
  <c r="V250" i="2"/>
  <c r="V154" i="2"/>
  <c r="V58" i="2"/>
  <c r="U1092" i="2"/>
  <c r="U995" i="2"/>
  <c r="U899" i="2"/>
  <c r="U803" i="2"/>
  <c r="U707" i="2"/>
  <c r="U611" i="2"/>
  <c r="U515" i="2"/>
  <c r="S707" i="2"/>
  <c r="Z707" i="2" s="1"/>
  <c r="S611" i="2"/>
  <c r="Z611" i="2" s="1"/>
  <c r="S515" i="2"/>
  <c r="Z515" i="2" s="1"/>
  <c r="S418" i="2"/>
  <c r="Z418" i="2" s="1"/>
  <c r="S322" i="2"/>
  <c r="Z322" i="2" s="1"/>
  <c r="S226" i="2"/>
  <c r="Z226" i="2" s="1"/>
  <c r="S130" i="2"/>
  <c r="Z130" i="2" s="1"/>
  <c r="W971" i="2"/>
  <c r="U418" i="2"/>
  <c r="U322" i="2"/>
  <c r="U226" i="2"/>
  <c r="U130" i="2"/>
  <c r="T1068" i="2"/>
  <c r="AA1068" i="2" s="1"/>
  <c r="W875" i="2"/>
  <c r="W779" i="2"/>
  <c r="W683" i="2"/>
  <c r="W587" i="2"/>
  <c r="W490" i="2"/>
  <c r="W394" i="2"/>
  <c r="R827" i="2"/>
  <c r="Y827" i="2" s="1"/>
  <c r="R82" i="2"/>
  <c r="Y82" i="2" s="1"/>
  <c r="W298" i="2"/>
  <c r="W202" i="2"/>
  <c r="W106" i="2"/>
  <c r="V1043" i="2"/>
  <c r="V947" i="2"/>
  <c r="V851" i="2"/>
  <c r="T803" i="2"/>
  <c r="AA803" i="2" s="1"/>
  <c r="T707" i="2"/>
  <c r="AA707" i="2" s="1"/>
  <c r="T611" i="2"/>
  <c r="AA611" i="2" s="1"/>
  <c r="T515" i="2"/>
  <c r="AA515" i="2" s="1"/>
  <c r="S899" i="2"/>
  <c r="Z899" i="2" s="1"/>
  <c r="R563" i="2"/>
  <c r="Y563" i="2" s="1"/>
  <c r="R466" i="2"/>
  <c r="Y466" i="2" s="1"/>
  <c r="R370" i="2"/>
  <c r="Y370" i="2" s="1"/>
  <c r="R274" i="2"/>
  <c r="Y274" i="2" s="1"/>
  <c r="R178" i="2"/>
  <c r="Y178" i="2" s="1"/>
  <c r="V755" i="2"/>
  <c r="V659" i="2"/>
  <c r="V563" i="2"/>
  <c r="V466" i="2"/>
  <c r="T418" i="2"/>
  <c r="AA418" i="2" s="1"/>
  <c r="T322" i="2"/>
  <c r="AA322" i="2" s="1"/>
  <c r="T226" i="2"/>
  <c r="AA226" i="2" s="1"/>
  <c r="T130" i="2"/>
  <c r="AA130" i="2" s="1"/>
  <c r="R659" i="2"/>
  <c r="Y659" i="2" s="1"/>
  <c r="W1092" i="2"/>
  <c r="V370" i="2"/>
  <c r="V274" i="2"/>
  <c r="V178" i="2"/>
  <c r="V82" i="2"/>
  <c r="U1116" i="2"/>
  <c r="U1019" i="2"/>
  <c r="U923" i="2"/>
  <c r="U827" i="2"/>
  <c r="U731" i="2"/>
  <c r="U635" i="2"/>
  <c r="U539" i="2"/>
  <c r="T995" i="2"/>
  <c r="AA995" i="2" s="1"/>
  <c r="S635" i="2"/>
  <c r="Z635" i="2" s="1"/>
  <c r="S539" i="2"/>
  <c r="Z539" i="2" s="1"/>
  <c r="S442" i="2"/>
  <c r="Z442" i="2" s="1"/>
  <c r="S346" i="2"/>
  <c r="Z346" i="2" s="1"/>
  <c r="S250" i="2"/>
  <c r="Z250" i="2" s="1"/>
  <c r="S154" i="2"/>
  <c r="Z154" i="2" s="1"/>
  <c r="S58" i="2"/>
  <c r="Z58" i="2" s="1"/>
  <c r="W995" i="2"/>
  <c r="U442" i="2"/>
  <c r="U346" i="2"/>
  <c r="U250" i="2"/>
  <c r="U154" i="2"/>
  <c r="T1092" i="2"/>
  <c r="AA1092" i="2" s="1"/>
  <c r="U58" i="2"/>
  <c r="Q58" i="2"/>
  <c r="X58" i="2" s="1"/>
  <c r="W899" i="2"/>
  <c r="W803" i="2"/>
  <c r="W707" i="2"/>
  <c r="W611" i="2"/>
  <c r="W515" i="2"/>
  <c r="W418" i="2"/>
  <c r="S827" i="2"/>
  <c r="Z827" i="2" s="1"/>
  <c r="T202" i="2"/>
  <c r="AA202" i="2" s="1"/>
  <c r="W322" i="2"/>
  <c r="W226" i="2"/>
  <c r="W130" i="2"/>
  <c r="V1068" i="2"/>
  <c r="V971" i="2"/>
  <c r="V875" i="2"/>
  <c r="T827" i="2"/>
  <c r="AA827" i="2" s="1"/>
  <c r="T731" i="2"/>
  <c r="AA731" i="2" s="1"/>
  <c r="T635" i="2"/>
  <c r="AA635" i="2" s="1"/>
  <c r="T539" i="2"/>
  <c r="AA539" i="2" s="1"/>
  <c r="R587" i="2"/>
  <c r="Y587" i="2" s="1"/>
  <c r="R490" i="2"/>
  <c r="Y490" i="2" s="1"/>
  <c r="R394" i="2"/>
  <c r="Y394" i="2" s="1"/>
  <c r="R298" i="2"/>
  <c r="Y298" i="2" s="1"/>
  <c r="R202" i="2"/>
  <c r="Y202" i="2" s="1"/>
  <c r="V779" i="2"/>
  <c r="V683" i="2"/>
  <c r="V587" i="2"/>
  <c r="V490" i="2"/>
  <c r="T923" i="2"/>
  <c r="AA923" i="2" s="1"/>
  <c r="T442" i="2"/>
  <c r="AA442" i="2" s="1"/>
  <c r="T346" i="2"/>
  <c r="AA346" i="2" s="1"/>
  <c r="T250" i="2"/>
  <c r="AA250" i="2" s="1"/>
  <c r="T154" i="2"/>
  <c r="AA154" i="2" s="1"/>
  <c r="T58" i="2"/>
  <c r="AA58" i="2" s="1"/>
  <c r="T298" i="2"/>
  <c r="AA298" i="2" s="1"/>
  <c r="V394" i="2"/>
  <c r="V298" i="2"/>
  <c r="V202" i="2"/>
  <c r="V106" i="2"/>
  <c r="U1043" i="2"/>
  <c r="U947" i="2"/>
  <c r="U851" i="2"/>
  <c r="U755" i="2"/>
  <c r="U659" i="2"/>
  <c r="U563" i="2"/>
  <c r="T1019" i="2"/>
  <c r="AA1019" i="2" s="1"/>
  <c r="S659" i="2"/>
  <c r="Z659" i="2" s="1"/>
  <c r="S563" i="2"/>
  <c r="Z563" i="2" s="1"/>
  <c r="S466" i="2"/>
  <c r="Z466" i="2" s="1"/>
  <c r="S370" i="2"/>
  <c r="Z370" i="2" s="1"/>
  <c r="S274" i="2"/>
  <c r="Z274" i="2" s="1"/>
  <c r="S178" i="2"/>
  <c r="Z178" i="2" s="1"/>
  <c r="S82" i="2"/>
  <c r="Z82" i="2" s="1"/>
  <c r="R947" i="2"/>
  <c r="Y947" i="2" s="1"/>
  <c r="U466" i="2"/>
  <c r="U274" i="2"/>
  <c r="U370" i="2"/>
  <c r="U178" i="2"/>
  <c r="S755" i="2"/>
  <c r="Z755" i="2" s="1"/>
  <c r="W923" i="2"/>
  <c r="U82" i="2"/>
  <c r="R779" i="2"/>
  <c r="Y779" i="2" s="1"/>
  <c r="V899" i="2"/>
  <c r="V803" i="2"/>
  <c r="S947" i="2"/>
  <c r="Z947" i="2" s="1"/>
  <c r="R611" i="2"/>
  <c r="Y611" i="2" s="1"/>
  <c r="R515" i="2"/>
  <c r="Y515" i="2" s="1"/>
  <c r="R418" i="2"/>
  <c r="Y418" i="2" s="1"/>
  <c r="R322" i="2"/>
  <c r="Y322" i="2" s="1"/>
  <c r="R226" i="2"/>
  <c r="Y226" i="2" s="1"/>
  <c r="R130" i="2"/>
  <c r="Y130" i="2" s="1"/>
  <c r="V707" i="2"/>
  <c r="T947" i="2"/>
  <c r="AA947" i="2" s="1"/>
  <c r="W731" i="2"/>
  <c r="W1043" i="2"/>
  <c r="U1068" i="2"/>
  <c r="U779" i="2"/>
  <c r="U683" i="2"/>
  <c r="U587" i="2"/>
  <c r="S683" i="2"/>
  <c r="Z683" i="2" s="1"/>
  <c r="S490" i="2"/>
  <c r="Z490" i="2" s="1"/>
  <c r="S394" i="2"/>
  <c r="Z394" i="2" s="1"/>
  <c r="S298" i="2"/>
  <c r="Z298" i="2" s="1"/>
  <c r="S202" i="2"/>
  <c r="Z202" i="2" s="1"/>
  <c r="S106" i="2"/>
  <c r="Z106" i="2" s="1"/>
  <c r="U106" i="2"/>
  <c r="W1019" i="2"/>
  <c r="W682" i="2"/>
  <c r="W105" i="2"/>
  <c r="V682" i="2"/>
  <c r="V225" i="2"/>
  <c r="U297" i="2"/>
  <c r="W802" i="2"/>
  <c r="W225" i="2"/>
  <c r="V345" i="2"/>
  <c r="T441" i="2"/>
  <c r="AA441" i="2" s="1"/>
  <c r="W465" i="2"/>
  <c r="W586" i="2"/>
  <c r="V586" i="2"/>
  <c r="V129" i="2"/>
  <c r="U417" i="2"/>
  <c r="T249" i="2"/>
  <c r="AA249" i="2" s="1"/>
  <c r="W706" i="2"/>
  <c r="W129" i="2"/>
  <c r="V1042" i="2"/>
  <c r="V706" i="2"/>
  <c r="V249" i="2"/>
  <c r="U946" i="2"/>
  <c r="T153" i="2"/>
  <c r="AA153" i="2" s="1"/>
  <c r="W946" i="2"/>
  <c r="W826" i="2"/>
  <c r="W249" i="2"/>
  <c r="V369" i="2"/>
  <c r="W369" i="2"/>
  <c r="U850" i="2"/>
  <c r="W489" i="2"/>
  <c r="U225" i="2"/>
  <c r="W610" i="2"/>
  <c r="V946" i="2"/>
  <c r="V610" i="2"/>
  <c r="V153" i="2"/>
  <c r="U441" i="2"/>
  <c r="T682" i="2"/>
  <c r="AA682" i="2" s="1"/>
  <c r="R105" i="2"/>
  <c r="Y105" i="2" s="1"/>
  <c r="W730" i="2"/>
  <c r="W153" i="2"/>
  <c r="V730" i="2"/>
  <c r="V273" i="2"/>
  <c r="U129" i="2"/>
  <c r="T586" i="2"/>
  <c r="AA586" i="2" s="1"/>
  <c r="R682" i="2"/>
  <c r="Y682" i="2" s="1"/>
  <c r="W970" i="2"/>
  <c r="W850" i="2"/>
  <c r="W273" i="2"/>
  <c r="V393" i="2"/>
  <c r="U658" i="2"/>
  <c r="W1091" i="2"/>
  <c r="W393" i="2"/>
  <c r="V850" i="2"/>
  <c r="U874" i="2"/>
  <c r="U730" i="2"/>
  <c r="W514" i="2"/>
  <c r="V514" i="2"/>
  <c r="V57" i="2"/>
  <c r="U562" i="2"/>
  <c r="W634" i="2"/>
  <c r="W57" i="2"/>
  <c r="V970" i="2"/>
  <c r="V177" i="2"/>
  <c r="U1091" i="2"/>
  <c r="T393" i="2"/>
  <c r="AA393" i="2" s="1"/>
  <c r="W177" i="2"/>
  <c r="V754" i="2"/>
  <c r="V297" i="2"/>
  <c r="U153" i="2"/>
  <c r="T297" i="2"/>
  <c r="AA297" i="2" s="1"/>
  <c r="S586" i="2"/>
  <c r="Z586" i="2" s="1"/>
  <c r="V1091" i="2"/>
  <c r="V417" i="2"/>
  <c r="U994" i="2"/>
  <c r="W417" i="2"/>
  <c r="V874" i="2"/>
  <c r="U369" i="2"/>
  <c r="T1091" i="2"/>
  <c r="AA1091" i="2" s="1"/>
  <c r="W754" i="2"/>
  <c r="V538" i="2"/>
  <c r="V81" i="2"/>
  <c r="U586" i="2"/>
  <c r="T105" i="2"/>
  <c r="AA105" i="2" s="1"/>
  <c r="W658" i="2"/>
  <c r="W81" i="2"/>
  <c r="V994" i="2"/>
  <c r="V658" i="2"/>
  <c r="V201" i="2"/>
  <c r="U273" i="2"/>
  <c r="W778" i="2"/>
  <c r="W201" i="2"/>
  <c r="V321" i="2"/>
  <c r="U802" i="2"/>
  <c r="S706" i="2"/>
  <c r="Z706" i="2" s="1"/>
  <c r="W297" i="2"/>
  <c r="W1018" i="2"/>
  <c r="W898" i="2"/>
  <c r="W321" i="2"/>
  <c r="V1115" i="2"/>
  <c r="V441" i="2"/>
  <c r="U1018" i="2"/>
  <c r="W994" i="2"/>
  <c r="W441" i="2"/>
  <c r="V898" i="2"/>
  <c r="U706" i="2"/>
  <c r="S321" i="2"/>
  <c r="Z321" i="2" s="1"/>
  <c r="W538" i="2"/>
  <c r="W562" i="2"/>
  <c r="V562" i="2"/>
  <c r="V105" i="2"/>
  <c r="T538" i="2"/>
  <c r="AA538" i="2" s="1"/>
  <c r="R898" i="2"/>
  <c r="Y898" i="2" s="1"/>
  <c r="R994" i="2"/>
  <c r="Y994" i="2" s="1"/>
  <c r="S588" i="2"/>
  <c r="Z588" i="2" s="1"/>
  <c r="W1020" i="2"/>
  <c r="T1020" i="2"/>
  <c r="AA1020" i="2" s="1"/>
  <c r="T874" i="2"/>
  <c r="AA874" i="2" s="1"/>
  <c r="T730" i="2"/>
  <c r="AA730" i="2" s="1"/>
  <c r="S946" i="2"/>
  <c r="Z946" i="2" s="1"/>
  <c r="S826" i="2"/>
  <c r="Z826" i="2" s="1"/>
  <c r="S467" i="2"/>
  <c r="Z467" i="2" s="1"/>
  <c r="S201" i="2"/>
  <c r="Z201" i="2" s="1"/>
  <c r="S83" i="2"/>
  <c r="Z83" i="2" s="1"/>
  <c r="W876" i="2"/>
  <c r="W732" i="2"/>
  <c r="W588" i="2"/>
  <c r="W443" i="2"/>
  <c r="W299" i="2"/>
  <c r="W155" i="2"/>
  <c r="V1020" i="2"/>
  <c r="V876" i="2"/>
  <c r="V732" i="2"/>
  <c r="V588" i="2"/>
  <c r="V443" i="2"/>
  <c r="V299" i="2"/>
  <c r="V155" i="2"/>
  <c r="U1020" i="2"/>
  <c r="U876" i="2"/>
  <c r="U732" i="2"/>
  <c r="U588" i="2"/>
  <c r="U443" i="2"/>
  <c r="U299" i="2"/>
  <c r="U155" i="2"/>
  <c r="T612" i="2"/>
  <c r="AA612" i="2" s="1"/>
  <c r="T467" i="2"/>
  <c r="AA467" i="2" s="1"/>
  <c r="T323" i="2"/>
  <c r="AA323" i="2" s="1"/>
  <c r="T179" i="2"/>
  <c r="AA179" i="2" s="1"/>
  <c r="R588" i="2"/>
  <c r="Y588" i="2" s="1"/>
  <c r="T1018" i="2"/>
  <c r="AA1018" i="2" s="1"/>
  <c r="T756" i="2"/>
  <c r="AA756" i="2" s="1"/>
  <c r="S1067" i="2"/>
  <c r="Z1067" i="2" s="1"/>
  <c r="S465" i="2"/>
  <c r="Z465" i="2" s="1"/>
  <c r="S81" i="2"/>
  <c r="Z81" i="2" s="1"/>
  <c r="R802" i="2"/>
  <c r="Y802" i="2" s="1"/>
  <c r="R465" i="2"/>
  <c r="Y465" i="2" s="1"/>
  <c r="R345" i="2"/>
  <c r="Y345" i="2" s="1"/>
  <c r="R225" i="2"/>
  <c r="Y225" i="2" s="1"/>
  <c r="T900" i="2"/>
  <c r="AA900" i="2" s="1"/>
  <c r="T610" i="2"/>
  <c r="AA610" i="2" s="1"/>
  <c r="T465" i="2"/>
  <c r="AA465" i="2" s="1"/>
  <c r="T321" i="2"/>
  <c r="AA321" i="2" s="1"/>
  <c r="T177" i="2"/>
  <c r="AA177" i="2" s="1"/>
  <c r="S732" i="2"/>
  <c r="Z732" i="2" s="1"/>
  <c r="S612" i="2"/>
  <c r="Z612" i="2" s="1"/>
  <c r="S345" i="2"/>
  <c r="Z345" i="2" s="1"/>
  <c r="S227" i="2"/>
  <c r="Z227" i="2" s="1"/>
  <c r="R1115" i="2"/>
  <c r="Y1115" i="2" s="1"/>
  <c r="R586" i="2"/>
  <c r="Y586" i="2" s="1"/>
  <c r="W1044" i="2"/>
  <c r="T898" i="2"/>
  <c r="AA898" i="2" s="1"/>
  <c r="T754" i="2"/>
  <c r="AA754" i="2" s="1"/>
  <c r="S972" i="2"/>
  <c r="Z972" i="2" s="1"/>
  <c r="S730" i="2"/>
  <c r="Z730" i="2" s="1"/>
  <c r="R1020" i="2"/>
  <c r="Y1020" i="2" s="1"/>
  <c r="W900" i="2"/>
  <c r="W756" i="2"/>
  <c r="W612" i="2"/>
  <c r="W467" i="2"/>
  <c r="W323" i="2"/>
  <c r="W179" i="2"/>
  <c r="V1044" i="2"/>
  <c r="V900" i="2"/>
  <c r="V756" i="2"/>
  <c r="V612" i="2"/>
  <c r="V467" i="2"/>
  <c r="V323" i="2"/>
  <c r="V179" i="2"/>
  <c r="U1044" i="2"/>
  <c r="U900" i="2"/>
  <c r="U756" i="2"/>
  <c r="U612" i="2"/>
  <c r="U467" i="2"/>
  <c r="U323" i="2"/>
  <c r="U179" i="2"/>
  <c r="T1044" i="2"/>
  <c r="AA1044" i="2" s="1"/>
  <c r="T636" i="2"/>
  <c r="AA636" i="2" s="1"/>
  <c r="T491" i="2"/>
  <c r="AA491" i="2" s="1"/>
  <c r="T347" i="2"/>
  <c r="AA347" i="2" s="1"/>
  <c r="T203" i="2"/>
  <c r="AA203" i="2" s="1"/>
  <c r="T59" i="2"/>
  <c r="AA59" i="2" s="1"/>
  <c r="S970" i="2"/>
  <c r="Z970" i="2" s="1"/>
  <c r="S850" i="2"/>
  <c r="Z850" i="2" s="1"/>
  <c r="S610" i="2"/>
  <c r="Z610" i="2" s="1"/>
  <c r="S225" i="2"/>
  <c r="Z225" i="2" s="1"/>
  <c r="R1018" i="2"/>
  <c r="Y1018" i="2" s="1"/>
  <c r="R706" i="2"/>
  <c r="Y706" i="2" s="1"/>
  <c r="T1042" i="2"/>
  <c r="AA1042" i="2" s="1"/>
  <c r="T780" i="2"/>
  <c r="AA780" i="2" s="1"/>
  <c r="S489" i="2"/>
  <c r="Z489" i="2" s="1"/>
  <c r="S371" i="2"/>
  <c r="Z371" i="2" s="1"/>
  <c r="S105" i="2"/>
  <c r="Z105" i="2" s="1"/>
  <c r="R922" i="2"/>
  <c r="Y922" i="2" s="1"/>
  <c r="U1042" i="2"/>
  <c r="U898" i="2"/>
  <c r="U754" i="2"/>
  <c r="U610" i="2"/>
  <c r="U321" i="2"/>
  <c r="U177" i="2"/>
  <c r="T924" i="2"/>
  <c r="AA924" i="2" s="1"/>
  <c r="T634" i="2"/>
  <c r="AA634" i="2" s="1"/>
  <c r="T489" i="2"/>
  <c r="AA489" i="2" s="1"/>
  <c r="T345" i="2"/>
  <c r="AA345" i="2" s="1"/>
  <c r="T201" i="2"/>
  <c r="AA201" i="2" s="1"/>
  <c r="T57" i="2"/>
  <c r="AA57" i="2" s="1"/>
  <c r="S756" i="2"/>
  <c r="Z756" i="2" s="1"/>
  <c r="R610" i="2"/>
  <c r="Y610" i="2" s="1"/>
  <c r="R489" i="2"/>
  <c r="Y489" i="2" s="1"/>
  <c r="R369" i="2"/>
  <c r="Y369" i="2" s="1"/>
  <c r="R249" i="2"/>
  <c r="Y249" i="2" s="1"/>
  <c r="R129" i="2"/>
  <c r="Y129" i="2" s="1"/>
  <c r="W1069" i="2"/>
  <c r="T778" i="2"/>
  <c r="AA778" i="2" s="1"/>
  <c r="T516" i="2"/>
  <c r="AA516" i="2" s="1"/>
  <c r="S1091" i="2"/>
  <c r="Z1091" i="2" s="1"/>
  <c r="S369" i="2"/>
  <c r="Z369" i="2" s="1"/>
  <c r="R826" i="2"/>
  <c r="Y826" i="2" s="1"/>
  <c r="Q682" i="2"/>
  <c r="X682" i="2" s="1"/>
  <c r="W924" i="2"/>
  <c r="W780" i="2"/>
  <c r="W636" i="2"/>
  <c r="W491" i="2"/>
  <c r="W347" i="2"/>
  <c r="W203" i="2"/>
  <c r="W59" i="2"/>
  <c r="V1069" i="2"/>
  <c r="V924" i="2"/>
  <c r="V780" i="2"/>
  <c r="V636" i="2"/>
  <c r="V491" i="2"/>
  <c r="V347" i="2"/>
  <c r="V203" i="2"/>
  <c r="V59" i="2"/>
  <c r="U1069" i="2"/>
  <c r="U924" i="2"/>
  <c r="U780" i="2"/>
  <c r="U636" i="2"/>
  <c r="U491" i="2"/>
  <c r="U347" i="2"/>
  <c r="U203" i="2"/>
  <c r="T1069" i="2"/>
  <c r="AA1069" i="2" s="1"/>
  <c r="T922" i="2"/>
  <c r="AA922" i="2" s="1"/>
  <c r="T660" i="2"/>
  <c r="AA660" i="2" s="1"/>
  <c r="T371" i="2"/>
  <c r="AA371" i="2" s="1"/>
  <c r="T227" i="2"/>
  <c r="AA227" i="2" s="1"/>
  <c r="T83" i="2"/>
  <c r="AA83" i="2" s="1"/>
  <c r="S876" i="2"/>
  <c r="Z876" i="2" s="1"/>
  <c r="S754" i="2"/>
  <c r="Z754" i="2" s="1"/>
  <c r="S634" i="2"/>
  <c r="Z634" i="2" s="1"/>
  <c r="S516" i="2"/>
  <c r="Z516" i="2" s="1"/>
  <c r="S249" i="2"/>
  <c r="Z249" i="2" s="1"/>
  <c r="R732" i="2"/>
  <c r="Y732" i="2" s="1"/>
  <c r="T804" i="2"/>
  <c r="AA804" i="2" s="1"/>
  <c r="T514" i="2"/>
  <c r="AA514" i="2" s="1"/>
  <c r="S994" i="2"/>
  <c r="Z994" i="2" s="1"/>
  <c r="R1042" i="2"/>
  <c r="Y1042" i="2" s="1"/>
  <c r="R730" i="2"/>
  <c r="Y730" i="2" s="1"/>
  <c r="R155" i="2"/>
  <c r="Y155" i="2" s="1"/>
  <c r="V1067" i="2"/>
  <c r="V922" i="2"/>
  <c r="V778" i="2"/>
  <c r="V489" i="2"/>
  <c r="U1067" i="2"/>
  <c r="U922" i="2"/>
  <c r="U778" i="2"/>
  <c r="U634" i="2"/>
  <c r="U201" i="2"/>
  <c r="T1067" i="2"/>
  <c r="AA1067" i="2" s="1"/>
  <c r="T948" i="2"/>
  <c r="AA948" i="2" s="1"/>
  <c r="T658" i="2"/>
  <c r="AA658" i="2" s="1"/>
  <c r="T81" i="2"/>
  <c r="AA81" i="2" s="1"/>
  <c r="S874" i="2"/>
  <c r="Z874" i="2" s="1"/>
  <c r="S514" i="2"/>
  <c r="Z514" i="2" s="1"/>
  <c r="S129" i="2"/>
  <c r="Z129" i="2" s="1"/>
  <c r="W1093" i="2"/>
  <c r="W948" i="2"/>
  <c r="U57" i="2"/>
  <c r="T802" i="2"/>
  <c r="AA802" i="2" s="1"/>
  <c r="T540" i="2"/>
  <c r="AA540" i="2" s="1"/>
  <c r="S660" i="2"/>
  <c r="Z660" i="2" s="1"/>
  <c r="S393" i="2"/>
  <c r="Z393" i="2" s="1"/>
  <c r="R946" i="2"/>
  <c r="Y946" i="2" s="1"/>
  <c r="R634" i="2"/>
  <c r="Y634" i="2" s="1"/>
  <c r="R393" i="2"/>
  <c r="Y393" i="2" s="1"/>
  <c r="R273" i="2"/>
  <c r="Y273" i="2" s="1"/>
  <c r="R153" i="2"/>
  <c r="Y153" i="2" s="1"/>
  <c r="W804" i="2"/>
  <c r="W660" i="2"/>
  <c r="W516" i="2"/>
  <c r="W371" i="2"/>
  <c r="W227" i="2"/>
  <c r="W83" i="2"/>
  <c r="V1093" i="2"/>
  <c r="V948" i="2"/>
  <c r="V804" i="2"/>
  <c r="V660" i="2"/>
  <c r="V516" i="2"/>
  <c r="V371" i="2"/>
  <c r="V227" i="2"/>
  <c r="V83" i="2"/>
  <c r="U1093" i="2"/>
  <c r="U948" i="2"/>
  <c r="U804" i="2"/>
  <c r="U660" i="2"/>
  <c r="U516" i="2"/>
  <c r="U371" i="2"/>
  <c r="U227" i="2"/>
  <c r="T1093" i="2"/>
  <c r="AA1093" i="2" s="1"/>
  <c r="T684" i="2"/>
  <c r="AA684" i="2" s="1"/>
  <c r="T395" i="2"/>
  <c r="AA395" i="2" s="1"/>
  <c r="T251" i="2"/>
  <c r="AA251" i="2" s="1"/>
  <c r="T107" i="2"/>
  <c r="AA107" i="2" s="1"/>
  <c r="S1117" i="2"/>
  <c r="Z1117" i="2" s="1"/>
  <c r="S900" i="2"/>
  <c r="Z900" i="2" s="1"/>
  <c r="S778" i="2"/>
  <c r="Z778" i="2" s="1"/>
  <c r="R850" i="2"/>
  <c r="Y850" i="2" s="1"/>
  <c r="U83" i="2"/>
  <c r="T828" i="2"/>
  <c r="AA828" i="2" s="1"/>
  <c r="S1115" i="2"/>
  <c r="Z1115" i="2" s="1"/>
  <c r="S658" i="2"/>
  <c r="Z658" i="2" s="1"/>
  <c r="S273" i="2"/>
  <c r="Z273" i="2" s="1"/>
  <c r="S155" i="2"/>
  <c r="Z155" i="2" s="1"/>
  <c r="S1020" i="2"/>
  <c r="Z1020" i="2" s="1"/>
  <c r="S538" i="2"/>
  <c r="Z538" i="2" s="1"/>
  <c r="R754" i="2"/>
  <c r="Y754" i="2" s="1"/>
  <c r="R299" i="2"/>
  <c r="Y299" i="2" s="1"/>
  <c r="R57" i="2"/>
  <c r="Y57" i="2" s="1"/>
  <c r="W1117" i="2"/>
  <c r="W972" i="2"/>
  <c r="U81" i="2"/>
  <c r="T972" i="2"/>
  <c r="AA972" i="2" s="1"/>
  <c r="T826" i="2"/>
  <c r="AA826" i="2" s="1"/>
  <c r="S1018" i="2"/>
  <c r="Z1018" i="2" s="1"/>
  <c r="R1067" i="2"/>
  <c r="Y1067" i="2" s="1"/>
  <c r="R177" i="2"/>
  <c r="Y177" i="2" s="1"/>
  <c r="V540" i="2"/>
  <c r="V395" i="2"/>
  <c r="V251" i="2"/>
  <c r="U1117" i="2"/>
  <c r="U972" i="2"/>
  <c r="U828" i="2"/>
  <c r="U684" i="2"/>
  <c r="U540" i="2"/>
  <c r="U395" i="2"/>
  <c r="U251" i="2"/>
  <c r="U107" i="2"/>
  <c r="T970" i="2"/>
  <c r="AA970" i="2" s="1"/>
  <c r="T419" i="2"/>
  <c r="AA419" i="2" s="1"/>
  <c r="T275" i="2"/>
  <c r="AA275" i="2" s="1"/>
  <c r="T131" i="2"/>
  <c r="AA131" i="2" s="1"/>
  <c r="S417" i="2"/>
  <c r="Z417" i="2" s="1"/>
  <c r="S299" i="2"/>
  <c r="Z299" i="2" s="1"/>
  <c r="R970" i="2"/>
  <c r="Y970" i="2" s="1"/>
  <c r="R538" i="2"/>
  <c r="Y538" i="2" s="1"/>
  <c r="R417" i="2"/>
  <c r="Y417" i="2" s="1"/>
  <c r="R297" i="2"/>
  <c r="Y297" i="2" s="1"/>
  <c r="W251" i="2"/>
  <c r="V107" i="2"/>
  <c r="T1117" i="2"/>
  <c r="AA1117" i="2" s="1"/>
  <c r="T852" i="2"/>
  <c r="AA852" i="2" s="1"/>
  <c r="T562" i="2"/>
  <c r="AA562" i="2" s="1"/>
  <c r="S922" i="2"/>
  <c r="Z922" i="2" s="1"/>
  <c r="S804" i="2"/>
  <c r="Z804" i="2" s="1"/>
  <c r="S682" i="2"/>
  <c r="Z682" i="2" s="1"/>
  <c r="W684" i="2"/>
  <c r="W107" i="2"/>
  <c r="U1115" i="2"/>
  <c r="U826" i="2"/>
  <c r="T1115" i="2"/>
  <c r="AA1115" i="2" s="1"/>
  <c r="R874" i="2"/>
  <c r="Y874" i="2" s="1"/>
  <c r="W828" i="2"/>
  <c r="W996" i="2"/>
  <c r="T996" i="2"/>
  <c r="AA996" i="2" s="1"/>
  <c r="S1044" i="2"/>
  <c r="Z1044" i="2" s="1"/>
  <c r="S562" i="2"/>
  <c r="Z562" i="2" s="1"/>
  <c r="S443" i="2"/>
  <c r="Z443" i="2" s="1"/>
  <c r="R443" i="2"/>
  <c r="Y443" i="2" s="1"/>
  <c r="W395" i="2"/>
  <c r="V1117" i="2"/>
  <c r="V972" i="2"/>
  <c r="W852" i="2"/>
  <c r="W708" i="2"/>
  <c r="W564" i="2"/>
  <c r="W419" i="2"/>
  <c r="W275" i="2"/>
  <c r="W131" i="2"/>
  <c r="V996" i="2"/>
  <c r="V852" i="2"/>
  <c r="V708" i="2"/>
  <c r="V564" i="2"/>
  <c r="V419" i="2"/>
  <c r="V275" i="2"/>
  <c r="V131" i="2"/>
  <c r="U996" i="2"/>
  <c r="U852" i="2"/>
  <c r="U708" i="2"/>
  <c r="U419" i="2"/>
  <c r="U275" i="2"/>
  <c r="U131" i="2"/>
  <c r="T588" i="2"/>
  <c r="AA588" i="2" s="1"/>
  <c r="S323" i="2"/>
  <c r="Z323" i="2" s="1"/>
  <c r="V828" i="2"/>
  <c r="V684" i="2"/>
  <c r="T994" i="2"/>
  <c r="AA994" i="2" s="1"/>
  <c r="T876" i="2"/>
  <c r="AA876" i="2" s="1"/>
  <c r="T732" i="2"/>
  <c r="AA732" i="2" s="1"/>
  <c r="S441" i="2"/>
  <c r="Z441" i="2" s="1"/>
  <c r="S1092" i="2"/>
  <c r="Z1092" i="2" s="1"/>
  <c r="R1092" i="2"/>
  <c r="Y1092" i="2" s="1"/>
  <c r="R971" i="2"/>
  <c r="Y971" i="2" s="1"/>
  <c r="R851" i="2"/>
  <c r="Y851" i="2" s="1"/>
  <c r="R731" i="2"/>
  <c r="Y731" i="2" s="1"/>
  <c r="Q1043" i="2"/>
  <c r="X1043" i="2" s="1"/>
  <c r="S971" i="2"/>
  <c r="Z971" i="2" s="1"/>
  <c r="S851" i="2"/>
  <c r="Z851" i="2" s="1"/>
  <c r="S1116" i="2"/>
  <c r="Z1116" i="2" s="1"/>
  <c r="R876" i="2"/>
  <c r="Y876" i="2" s="1"/>
  <c r="R755" i="2"/>
  <c r="Y755" i="2" s="1"/>
  <c r="R635" i="2"/>
  <c r="Y635" i="2" s="1"/>
  <c r="T1116" i="2"/>
  <c r="AA1116" i="2" s="1"/>
  <c r="T971" i="2"/>
  <c r="AA971" i="2" s="1"/>
  <c r="S995" i="2"/>
  <c r="Z995" i="2" s="1"/>
  <c r="R1116" i="2"/>
  <c r="Y1116" i="2" s="1"/>
  <c r="R995" i="2"/>
  <c r="Y995" i="2" s="1"/>
  <c r="R875" i="2"/>
  <c r="Y875" i="2" s="1"/>
  <c r="S1019" i="2"/>
  <c r="Z1019" i="2" s="1"/>
  <c r="S1043" i="2"/>
  <c r="Z1043" i="2" s="1"/>
  <c r="R1043" i="2"/>
  <c r="Y1043" i="2" s="1"/>
  <c r="R923" i="2"/>
  <c r="Y923" i="2" s="1"/>
  <c r="R803" i="2"/>
  <c r="Y803" i="2" s="1"/>
  <c r="Q83" i="2"/>
  <c r="X83" i="2" s="1"/>
  <c r="R1044" i="2"/>
  <c r="Y1044" i="2" s="1"/>
  <c r="R900" i="2"/>
  <c r="Y900" i="2" s="1"/>
  <c r="R756" i="2"/>
  <c r="Y756" i="2" s="1"/>
  <c r="R612" i="2"/>
  <c r="Y612" i="2" s="1"/>
  <c r="R179" i="2"/>
  <c r="Y179" i="2" s="1"/>
  <c r="S1069" i="2"/>
  <c r="Z1069" i="2" s="1"/>
  <c r="S924" i="2"/>
  <c r="Z924" i="2" s="1"/>
  <c r="S780" i="2"/>
  <c r="Z780" i="2" s="1"/>
  <c r="S636" i="2"/>
  <c r="Z636" i="2" s="1"/>
  <c r="S491" i="2"/>
  <c r="Z491" i="2" s="1"/>
  <c r="S347" i="2"/>
  <c r="Z347" i="2" s="1"/>
  <c r="S203" i="2"/>
  <c r="Z203" i="2" s="1"/>
  <c r="S59" i="2"/>
  <c r="Z59" i="2" s="1"/>
  <c r="R1069" i="2"/>
  <c r="Y1069" i="2" s="1"/>
  <c r="R924" i="2"/>
  <c r="Y924" i="2" s="1"/>
  <c r="R780" i="2"/>
  <c r="Y780" i="2" s="1"/>
  <c r="R636" i="2"/>
  <c r="Y636" i="2" s="1"/>
  <c r="R59" i="2"/>
  <c r="Y59" i="2" s="1"/>
  <c r="S1093" i="2"/>
  <c r="Z1093" i="2" s="1"/>
  <c r="S948" i="2"/>
  <c r="Z948" i="2" s="1"/>
  <c r="R1093" i="2"/>
  <c r="Y1093" i="2" s="1"/>
  <c r="R948" i="2"/>
  <c r="Y948" i="2" s="1"/>
  <c r="R804" i="2"/>
  <c r="Y804" i="2" s="1"/>
  <c r="R660" i="2"/>
  <c r="Y660" i="2" s="1"/>
  <c r="Q275" i="2"/>
  <c r="X275" i="2" s="1"/>
  <c r="S828" i="2"/>
  <c r="Z828" i="2" s="1"/>
  <c r="S684" i="2"/>
  <c r="Z684" i="2" s="1"/>
  <c r="S540" i="2"/>
  <c r="Z540" i="2" s="1"/>
  <c r="S395" i="2"/>
  <c r="Z395" i="2" s="1"/>
  <c r="S251" i="2"/>
  <c r="Z251" i="2" s="1"/>
  <c r="S107" i="2"/>
  <c r="Z107" i="2" s="1"/>
  <c r="R1117" i="2"/>
  <c r="Y1117" i="2" s="1"/>
  <c r="R972" i="2"/>
  <c r="Y972" i="2" s="1"/>
  <c r="R828" i="2"/>
  <c r="Y828" i="2" s="1"/>
  <c r="R684" i="2"/>
  <c r="Y684" i="2" s="1"/>
  <c r="R540" i="2"/>
  <c r="Y540" i="2" s="1"/>
  <c r="T708" i="2"/>
  <c r="AA708" i="2" s="1"/>
  <c r="T564" i="2"/>
  <c r="AA564" i="2" s="1"/>
  <c r="S996" i="2"/>
  <c r="Z996" i="2" s="1"/>
  <c r="S852" i="2"/>
  <c r="Z852" i="2" s="1"/>
  <c r="S708" i="2"/>
  <c r="Z708" i="2" s="1"/>
  <c r="S564" i="2"/>
  <c r="Z564" i="2" s="1"/>
  <c r="S419" i="2"/>
  <c r="Z419" i="2" s="1"/>
  <c r="S275" i="2"/>
  <c r="Z275" i="2" s="1"/>
  <c r="S131" i="2"/>
  <c r="Z131" i="2" s="1"/>
  <c r="R996" i="2"/>
  <c r="Y996" i="2" s="1"/>
  <c r="R852" i="2"/>
  <c r="Y852" i="2" s="1"/>
  <c r="R708" i="2"/>
  <c r="Y708" i="2" s="1"/>
  <c r="R564" i="2"/>
  <c r="Y564" i="2" s="1"/>
  <c r="W53" i="2"/>
  <c r="V77" i="2"/>
  <c r="AA425" i="2"/>
  <c r="Z480" i="2"/>
  <c r="W1111" i="2"/>
  <c r="V1111" i="2"/>
  <c r="U1111" i="2"/>
  <c r="T1111" i="2"/>
  <c r="AA1111" i="2" s="1"/>
  <c r="R1111" i="2"/>
  <c r="Y1111" i="2" s="1"/>
  <c r="S1087" i="2"/>
  <c r="Z1087" i="2" s="1"/>
  <c r="R1087" i="2"/>
  <c r="Y1087" i="2" s="1"/>
  <c r="W1087" i="2"/>
  <c r="V1087" i="2"/>
  <c r="U1087" i="2"/>
  <c r="T1063" i="2"/>
  <c r="AA1063" i="2" s="1"/>
  <c r="S1063" i="2"/>
  <c r="Z1063" i="2" s="1"/>
  <c r="R1063" i="2"/>
  <c r="Y1063" i="2" s="1"/>
  <c r="W1063" i="2"/>
  <c r="V1063" i="2"/>
  <c r="U1038" i="2"/>
  <c r="T1038" i="2"/>
  <c r="AA1038" i="2" s="1"/>
  <c r="S1038" i="2"/>
  <c r="Z1038" i="2" s="1"/>
  <c r="R1038" i="2"/>
  <c r="Y1038" i="2" s="1"/>
  <c r="W1038" i="2"/>
  <c r="V1014" i="2"/>
  <c r="U1014" i="2"/>
  <c r="T1014" i="2"/>
  <c r="AA1014" i="2" s="1"/>
  <c r="S1014" i="2"/>
  <c r="Z1014" i="2" s="1"/>
  <c r="R1014" i="2"/>
  <c r="Y1014" i="2" s="1"/>
  <c r="W1014" i="2"/>
  <c r="W990" i="2"/>
  <c r="V990" i="2"/>
  <c r="U990" i="2"/>
  <c r="T990" i="2"/>
  <c r="AA990" i="2" s="1"/>
  <c r="S990" i="2"/>
  <c r="Z990" i="2" s="1"/>
  <c r="R990" i="2"/>
  <c r="Y990" i="2" s="1"/>
  <c r="W966" i="2"/>
  <c r="V966" i="2"/>
  <c r="U966" i="2"/>
  <c r="T966" i="2"/>
  <c r="AA966" i="2" s="1"/>
  <c r="S966" i="2"/>
  <c r="Z966" i="2" s="1"/>
  <c r="R966" i="2"/>
  <c r="Y966" i="2" s="1"/>
  <c r="V942" i="2"/>
  <c r="U942" i="2"/>
  <c r="T942" i="2"/>
  <c r="AA942" i="2" s="1"/>
  <c r="S942" i="2"/>
  <c r="Z942" i="2" s="1"/>
  <c r="W918" i="2"/>
  <c r="V918" i="2"/>
  <c r="U918" i="2"/>
  <c r="T918" i="2"/>
  <c r="AA918" i="2" s="1"/>
  <c r="R918" i="2"/>
  <c r="Y918" i="2" s="1"/>
  <c r="S894" i="2"/>
  <c r="Z894" i="2" s="1"/>
  <c r="R894" i="2"/>
  <c r="Y894" i="2" s="1"/>
  <c r="W894" i="2"/>
  <c r="V894" i="2"/>
  <c r="U894" i="2"/>
  <c r="T870" i="2"/>
  <c r="AA870" i="2" s="1"/>
  <c r="S870" i="2"/>
  <c r="Z870" i="2" s="1"/>
  <c r="R870" i="2"/>
  <c r="Y870" i="2" s="1"/>
  <c r="W870" i="2"/>
  <c r="V870" i="2"/>
  <c r="U846" i="2"/>
  <c r="T846" i="2"/>
  <c r="AA846" i="2" s="1"/>
  <c r="S846" i="2"/>
  <c r="Z846" i="2" s="1"/>
  <c r="R846" i="2"/>
  <c r="Y846" i="2" s="1"/>
  <c r="W846" i="2"/>
  <c r="V822" i="2"/>
  <c r="U822" i="2"/>
  <c r="T822" i="2"/>
  <c r="AA822" i="2" s="1"/>
  <c r="S822" i="2"/>
  <c r="Z822" i="2" s="1"/>
  <c r="R822" i="2"/>
  <c r="Y822" i="2" s="1"/>
  <c r="W822" i="2"/>
  <c r="W798" i="2"/>
  <c r="V798" i="2"/>
  <c r="U798" i="2"/>
  <c r="T798" i="2"/>
  <c r="AA798" i="2" s="1"/>
  <c r="S798" i="2"/>
  <c r="Z798" i="2" s="1"/>
  <c r="R798" i="2"/>
  <c r="Y798" i="2" s="1"/>
  <c r="W774" i="2"/>
  <c r="V774" i="2"/>
  <c r="U774" i="2"/>
  <c r="T774" i="2"/>
  <c r="AA774" i="2" s="1"/>
  <c r="S774" i="2"/>
  <c r="Z774" i="2" s="1"/>
  <c r="R774" i="2"/>
  <c r="Y774" i="2" s="1"/>
  <c r="V750" i="2"/>
  <c r="U750" i="2"/>
  <c r="T750" i="2"/>
  <c r="AA750" i="2" s="1"/>
  <c r="S750" i="2"/>
  <c r="Z750" i="2" s="1"/>
  <c r="Q726" i="2"/>
  <c r="X726" i="2" s="1"/>
  <c r="W726" i="2"/>
  <c r="V726" i="2"/>
  <c r="U726" i="2"/>
  <c r="T726" i="2"/>
  <c r="AA726" i="2" s="1"/>
  <c r="R726" i="2"/>
  <c r="Y726" i="2" s="1"/>
  <c r="S702" i="2"/>
  <c r="Z702" i="2" s="1"/>
  <c r="R702" i="2"/>
  <c r="Y702" i="2" s="1"/>
  <c r="W702" i="2"/>
  <c r="V702" i="2"/>
  <c r="U702" i="2"/>
  <c r="T678" i="2"/>
  <c r="AA678" i="2" s="1"/>
  <c r="S678" i="2"/>
  <c r="Z678" i="2" s="1"/>
  <c r="R678" i="2"/>
  <c r="Y678" i="2" s="1"/>
  <c r="W678" i="2"/>
  <c r="V678" i="2"/>
  <c r="U654" i="2"/>
  <c r="T654" i="2"/>
  <c r="AA654" i="2" s="1"/>
  <c r="S654" i="2"/>
  <c r="Z654" i="2" s="1"/>
  <c r="R654" i="2"/>
  <c r="Y654" i="2" s="1"/>
  <c r="W654" i="2"/>
  <c r="V630" i="2"/>
  <c r="U630" i="2"/>
  <c r="T630" i="2"/>
  <c r="AA630" i="2" s="1"/>
  <c r="S630" i="2"/>
  <c r="Z630" i="2" s="1"/>
  <c r="R630" i="2"/>
  <c r="Y630" i="2" s="1"/>
  <c r="W606" i="2"/>
  <c r="V606" i="2"/>
  <c r="U606" i="2"/>
  <c r="T606" i="2"/>
  <c r="AA606" i="2" s="1"/>
  <c r="S606" i="2"/>
  <c r="Z606" i="2" s="1"/>
  <c r="R606" i="2"/>
  <c r="Y606" i="2" s="1"/>
  <c r="W582" i="2"/>
  <c r="V582" i="2"/>
  <c r="U582" i="2"/>
  <c r="T582" i="2"/>
  <c r="AA582" i="2" s="1"/>
  <c r="S582" i="2"/>
  <c r="Z582" i="2" s="1"/>
  <c r="R582" i="2"/>
  <c r="Y582" i="2" s="1"/>
  <c r="W558" i="2"/>
  <c r="V558" i="2"/>
  <c r="U558" i="2"/>
  <c r="T558" i="2"/>
  <c r="AA558" i="2" s="1"/>
  <c r="S558" i="2"/>
  <c r="Z558" i="2" s="1"/>
  <c r="W534" i="2"/>
  <c r="V534" i="2"/>
  <c r="U534" i="2"/>
  <c r="T534" i="2"/>
  <c r="AA534" i="2" s="1"/>
  <c r="R534" i="2"/>
  <c r="Y534" i="2" s="1"/>
  <c r="R510" i="2"/>
  <c r="Y510" i="2" s="1"/>
  <c r="W510" i="2"/>
  <c r="V510" i="2"/>
  <c r="U510" i="2"/>
  <c r="S510" i="2"/>
  <c r="Z510" i="2" s="1"/>
  <c r="T485" i="2"/>
  <c r="AA485" i="2" s="1"/>
  <c r="S485" i="2"/>
  <c r="Z485" i="2" s="1"/>
  <c r="R485" i="2"/>
  <c r="Y485" i="2" s="1"/>
  <c r="W485" i="2"/>
  <c r="V485" i="2"/>
  <c r="U461" i="2"/>
  <c r="T461" i="2"/>
  <c r="AA461" i="2" s="1"/>
  <c r="S461" i="2"/>
  <c r="Z461" i="2" s="1"/>
  <c r="R461" i="2"/>
  <c r="Y461" i="2" s="1"/>
  <c r="W461" i="2"/>
  <c r="V437" i="2"/>
  <c r="U437" i="2"/>
  <c r="T437" i="2"/>
  <c r="AA437" i="2" s="1"/>
  <c r="S437" i="2"/>
  <c r="Z437" i="2" s="1"/>
  <c r="R437" i="2"/>
  <c r="Y437" i="2" s="1"/>
  <c r="W413" i="2"/>
  <c r="V413" i="2"/>
  <c r="U413" i="2"/>
  <c r="T413" i="2"/>
  <c r="AA413" i="2" s="1"/>
  <c r="S413" i="2"/>
  <c r="Z413" i="2" s="1"/>
  <c r="R413" i="2"/>
  <c r="Y413" i="2" s="1"/>
  <c r="W389" i="2"/>
  <c r="V389" i="2"/>
  <c r="U389" i="2"/>
  <c r="T389" i="2"/>
  <c r="AA389" i="2" s="1"/>
  <c r="S389" i="2"/>
  <c r="Z389" i="2" s="1"/>
  <c r="R389" i="2"/>
  <c r="Y389" i="2" s="1"/>
  <c r="W365" i="2"/>
  <c r="V365" i="2"/>
  <c r="U365" i="2"/>
  <c r="T365" i="2"/>
  <c r="AA365" i="2" s="1"/>
  <c r="S365" i="2"/>
  <c r="Z365" i="2" s="1"/>
  <c r="W341" i="2"/>
  <c r="V341" i="2"/>
  <c r="U341" i="2"/>
  <c r="T341" i="2"/>
  <c r="AA341" i="2" s="1"/>
  <c r="R341" i="2"/>
  <c r="Y341" i="2" s="1"/>
  <c r="R317" i="2"/>
  <c r="Y317" i="2" s="1"/>
  <c r="W317" i="2"/>
  <c r="V317" i="2"/>
  <c r="U317" i="2"/>
  <c r="S317" i="2"/>
  <c r="Z317" i="2" s="1"/>
  <c r="T293" i="2"/>
  <c r="AA293" i="2" s="1"/>
  <c r="S293" i="2"/>
  <c r="Z293" i="2" s="1"/>
  <c r="R293" i="2"/>
  <c r="Y293" i="2" s="1"/>
  <c r="W293" i="2"/>
  <c r="V293" i="2"/>
  <c r="U269" i="2"/>
  <c r="T269" i="2"/>
  <c r="AA269" i="2" s="1"/>
  <c r="S269" i="2"/>
  <c r="Z269" i="2" s="1"/>
  <c r="R269" i="2"/>
  <c r="Y269" i="2" s="1"/>
  <c r="Q269" i="2"/>
  <c r="W269" i="2"/>
  <c r="V245" i="2"/>
  <c r="U245" i="2"/>
  <c r="T245" i="2"/>
  <c r="AA245" i="2" s="1"/>
  <c r="S245" i="2"/>
  <c r="Z245" i="2" s="1"/>
  <c r="R245" i="2"/>
  <c r="Y245" i="2" s="1"/>
  <c r="Q221" i="2"/>
  <c r="X221" i="2" s="1"/>
  <c r="W221" i="2"/>
  <c r="V221" i="2"/>
  <c r="U221" i="2"/>
  <c r="T221" i="2"/>
  <c r="AA221" i="2" s="1"/>
  <c r="S221" i="2"/>
  <c r="Z221" i="2" s="1"/>
  <c r="R221" i="2"/>
  <c r="Y221" i="2" s="1"/>
  <c r="W197" i="2"/>
  <c r="V197" i="2"/>
  <c r="U197" i="2"/>
  <c r="T197" i="2"/>
  <c r="AA197" i="2" s="1"/>
  <c r="S197" i="2"/>
  <c r="Z197" i="2" s="1"/>
  <c r="R197" i="2"/>
  <c r="Y197" i="2" s="1"/>
  <c r="W173" i="2"/>
  <c r="V173" i="2"/>
  <c r="U173" i="2"/>
  <c r="T173" i="2"/>
  <c r="AA173" i="2" s="1"/>
  <c r="S173" i="2"/>
  <c r="Z173" i="2" s="1"/>
  <c r="W149" i="2"/>
  <c r="V149" i="2"/>
  <c r="U149" i="2"/>
  <c r="T149" i="2"/>
  <c r="AA149" i="2" s="1"/>
  <c r="R149" i="2"/>
  <c r="Y149" i="2" s="1"/>
  <c r="R125" i="2"/>
  <c r="Y125" i="2" s="1"/>
  <c r="W125" i="2"/>
  <c r="V125" i="2"/>
  <c r="U125" i="2"/>
  <c r="S125" i="2"/>
  <c r="Z125" i="2" s="1"/>
  <c r="T101" i="2"/>
  <c r="AA101" i="2" s="1"/>
  <c r="S101" i="2"/>
  <c r="Z101" i="2" s="1"/>
  <c r="R101" i="2"/>
  <c r="Y101" i="2" s="1"/>
  <c r="W101" i="2"/>
  <c r="V101" i="2"/>
  <c r="U77" i="2"/>
  <c r="T77" i="2"/>
  <c r="AA77" i="2" s="1"/>
  <c r="S77" i="2"/>
  <c r="Z77" i="2" s="1"/>
  <c r="R77" i="2"/>
  <c r="Y77" i="2" s="1"/>
  <c r="W77" i="2"/>
  <c r="AB216" i="2"/>
  <c r="R750" i="2"/>
  <c r="Y750" i="2" s="1"/>
  <c r="Y120" i="2"/>
  <c r="R53" i="2"/>
  <c r="Y53" i="2" s="1"/>
  <c r="S53" i="2"/>
  <c r="Z53" i="2" s="1"/>
  <c r="T53" i="2"/>
  <c r="AA53" i="2" s="1"/>
  <c r="U53" i="2"/>
  <c r="AB961" i="2"/>
  <c r="S1114" i="2"/>
  <c r="Z1114" i="2" s="1"/>
  <c r="U1114" i="2"/>
  <c r="W1114" i="2"/>
  <c r="V1114" i="2"/>
  <c r="S1090" i="2"/>
  <c r="Z1090" i="2" s="1"/>
  <c r="U1090" i="2"/>
  <c r="W1090" i="2"/>
  <c r="V1090" i="2"/>
  <c r="S1066" i="2"/>
  <c r="Z1066" i="2" s="1"/>
  <c r="V1066" i="2"/>
  <c r="U1066" i="2"/>
  <c r="V1041" i="2"/>
  <c r="T1041" i="2"/>
  <c r="AA1041" i="2" s="1"/>
  <c r="U1041" i="2"/>
  <c r="W1017" i="2"/>
  <c r="V1017" i="2"/>
  <c r="T1017" i="2"/>
  <c r="AA1017" i="2" s="1"/>
  <c r="U1017" i="2"/>
  <c r="W993" i="2"/>
  <c r="V993" i="2"/>
  <c r="T993" i="2"/>
  <c r="AA993" i="2" s="1"/>
  <c r="U993" i="2"/>
  <c r="T969" i="2"/>
  <c r="AA969" i="2" s="1"/>
  <c r="W969" i="2"/>
  <c r="V969" i="2"/>
  <c r="U969" i="2"/>
  <c r="T945" i="2"/>
  <c r="AA945" i="2" s="1"/>
  <c r="W945" i="2"/>
  <c r="V945" i="2"/>
  <c r="U945" i="2"/>
  <c r="T921" i="2"/>
  <c r="AA921" i="2" s="1"/>
  <c r="W921" i="2"/>
  <c r="V921" i="2"/>
  <c r="U921" i="2"/>
  <c r="T897" i="2"/>
  <c r="AA897" i="2" s="1"/>
  <c r="W897" i="2"/>
  <c r="V897" i="2"/>
  <c r="R897" i="2"/>
  <c r="Y897" i="2" s="1"/>
  <c r="U897" i="2"/>
  <c r="T873" i="2"/>
  <c r="AA873" i="2" s="1"/>
  <c r="W873" i="2"/>
  <c r="V873" i="2"/>
  <c r="T849" i="2"/>
  <c r="AA849" i="2" s="1"/>
  <c r="W849" i="2"/>
  <c r="V849" i="2"/>
  <c r="R849" i="2"/>
  <c r="Y849" i="2" s="1"/>
  <c r="R825" i="2"/>
  <c r="Y825" i="2" s="1"/>
  <c r="U825" i="2"/>
  <c r="T825" i="2"/>
  <c r="AA825" i="2" s="1"/>
  <c r="W825" i="2"/>
  <c r="V825" i="2"/>
  <c r="R801" i="2"/>
  <c r="Y801" i="2" s="1"/>
  <c r="U801" i="2"/>
  <c r="W801" i="2"/>
  <c r="V801" i="2"/>
  <c r="R777" i="2"/>
  <c r="Y777" i="2" s="1"/>
  <c r="V777" i="2"/>
  <c r="U777" i="2"/>
  <c r="W777" i="2"/>
  <c r="R753" i="2"/>
  <c r="Y753" i="2" s="1"/>
  <c r="V753" i="2"/>
  <c r="U753" i="2"/>
  <c r="U729" i="2"/>
  <c r="V729" i="2"/>
  <c r="U705" i="2"/>
  <c r="W705" i="2"/>
  <c r="V705" i="2"/>
  <c r="U681" i="2"/>
  <c r="W681" i="2"/>
  <c r="V681" i="2"/>
  <c r="S681" i="2"/>
  <c r="Z681" i="2" s="1"/>
  <c r="U657" i="2"/>
  <c r="W657" i="2"/>
  <c r="V657" i="2"/>
  <c r="U633" i="2"/>
  <c r="S633" i="2"/>
  <c r="Z633" i="2" s="1"/>
  <c r="W633" i="2"/>
  <c r="V633" i="2"/>
  <c r="S609" i="2"/>
  <c r="Z609" i="2" s="1"/>
  <c r="W609" i="2"/>
  <c r="V609" i="2"/>
  <c r="S585" i="2"/>
  <c r="Z585" i="2" s="1"/>
  <c r="U585" i="2"/>
  <c r="W585" i="2"/>
  <c r="V585" i="2"/>
  <c r="S561" i="2"/>
  <c r="Z561" i="2" s="1"/>
  <c r="U561" i="2"/>
  <c r="W561" i="2"/>
  <c r="V561" i="2"/>
  <c r="W128" i="2"/>
  <c r="V128" i="2"/>
  <c r="W753" i="2"/>
  <c r="U176" i="2"/>
  <c r="V176" i="2"/>
  <c r="W176" i="2"/>
  <c r="U152" i="2"/>
  <c r="V152" i="2"/>
  <c r="W152" i="2"/>
  <c r="S513" i="2"/>
  <c r="Z513" i="2" s="1"/>
  <c r="W513" i="2"/>
  <c r="T272" i="2"/>
  <c r="AA272" i="2" s="1"/>
  <c r="U272" i="2"/>
  <c r="W272" i="2"/>
  <c r="R272" i="2"/>
  <c r="Y272" i="2" s="1"/>
  <c r="V272" i="2"/>
  <c r="R248" i="2"/>
  <c r="Y248" i="2" s="1"/>
  <c r="U248" i="2"/>
  <c r="W248" i="2"/>
  <c r="V248" i="2"/>
  <c r="W488" i="2"/>
  <c r="W80" i="2"/>
  <c r="V80" i="2"/>
  <c r="R200" i="2"/>
  <c r="Y200" i="2" s="1"/>
  <c r="U200" i="2"/>
  <c r="W200" i="2"/>
  <c r="W104" i="2"/>
  <c r="V104" i="2"/>
  <c r="S104" i="2"/>
  <c r="Z104" i="2" s="1"/>
  <c r="U609" i="2"/>
  <c r="Y933" i="2"/>
  <c r="R224" i="2"/>
  <c r="Y224" i="2" s="1"/>
  <c r="U224" i="2"/>
  <c r="W224" i="2"/>
  <c r="W1041" i="2"/>
  <c r="T296" i="2"/>
  <c r="AA296" i="2" s="1"/>
  <c r="U296" i="2"/>
  <c r="W296" i="2"/>
  <c r="V296" i="2"/>
  <c r="Z192" i="2"/>
  <c r="AB192" i="2" s="1"/>
  <c r="Z55" i="2"/>
  <c r="T320" i="2"/>
  <c r="AA320" i="2" s="1"/>
  <c r="U320" i="2"/>
  <c r="W320" i="2"/>
  <c r="R320" i="2"/>
  <c r="Y320" i="2" s="1"/>
  <c r="V320" i="2"/>
  <c r="W1066" i="2"/>
  <c r="T344" i="2"/>
  <c r="AA344" i="2" s="1"/>
  <c r="W344" i="2"/>
  <c r="V344" i="2"/>
  <c r="W464" i="2"/>
  <c r="Z629" i="2"/>
  <c r="Z217" i="2"/>
  <c r="T392" i="2"/>
  <c r="AA392" i="2" s="1"/>
  <c r="W392" i="2"/>
  <c r="V392" i="2"/>
  <c r="U392" i="2"/>
  <c r="U849" i="2"/>
  <c r="T368" i="2"/>
  <c r="AA368" i="2" s="1"/>
  <c r="W368" i="2"/>
  <c r="V368" i="2"/>
  <c r="AB136" i="2"/>
  <c r="W416" i="2"/>
  <c r="T416" i="2"/>
  <c r="AA416" i="2" s="1"/>
  <c r="V416" i="2"/>
  <c r="U416" i="2"/>
  <c r="V488" i="2"/>
  <c r="U873" i="2"/>
  <c r="V464" i="2"/>
  <c r="U464" i="2"/>
  <c r="V440" i="2"/>
  <c r="U440" i="2"/>
  <c r="V513" i="2"/>
  <c r="S537" i="2"/>
  <c r="Z537" i="2" s="1"/>
  <c r="U537" i="2"/>
  <c r="W537" i="2"/>
  <c r="V537" i="2"/>
  <c r="AA1008" i="2"/>
  <c r="S56" i="2"/>
  <c r="Z56" i="2" s="1"/>
  <c r="AB549" i="2"/>
  <c r="V56" i="2"/>
  <c r="W56" i="2"/>
  <c r="AB621" i="2"/>
  <c r="S1112" i="2"/>
  <c r="Z1112" i="2" s="1"/>
  <c r="U1112" i="2"/>
  <c r="R1112" i="2"/>
  <c r="Y1112" i="2" s="1"/>
  <c r="W1112" i="2"/>
  <c r="T1112" i="2"/>
  <c r="AA1112" i="2" s="1"/>
  <c r="V1112" i="2"/>
  <c r="S1088" i="2"/>
  <c r="Z1088" i="2" s="1"/>
  <c r="U1088" i="2"/>
  <c r="R1088" i="2"/>
  <c r="Y1088" i="2" s="1"/>
  <c r="W1088" i="2"/>
  <c r="T1088" i="2"/>
  <c r="AA1088" i="2" s="1"/>
  <c r="V1088" i="2"/>
  <c r="V1064" i="2"/>
  <c r="S1064" i="2"/>
  <c r="Z1064" i="2" s="1"/>
  <c r="U1064" i="2"/>
  <c r="R1064" i="2"/>
  <c r="Y1064" i="2" s="1"/>
  <c r="W1064" i="2"/>
  <c r="T1064" i="2"/>
  <c r="AA1064" i="2" s="1"/>
  <c r="V1039" i="2"/>
  <c r="S1039" i="2"/>
  <c r="Z1039" i="2" s="1"/>
  <c r="U1039" i="2"/>
  <c r="R1039" i="2"/>
  <c r="Y1039" i="2" s="1"/>
  <c r="W1039" i="2"/>
  <c r="T1039" i="2"/>
  <c r="AA1039" i="2" s="1"/>
  <c r="V1015" i="2"/>
  <c r="S1015" i="2"/>
  <c r="Z1015" i="2" s="1"/>
  <c r="U1015" i="2"/>
  <c r="R1015" i="2"/>
  <c r="Y1015" i="2" s="1"/>
  <c r="W1015" i="2"/>
  <c r="T1015" i="2"/>
  <c r="AA1015" i="2" s="1"/>
  <c r="V991" i="2"/>
  <c r="S991" i="2"/>
  <c r="Z991" i="2" s="1"/>
  <c r="U991" i="2"/>
  <c r="R991" i="2"/>
  <c r="Y991" i="2" s="1"/>
  <c r="W991" i="2"/>
  <c r="V967" i="2"/>
  <c r="S967" i="2"/>
  <c r="Z967" i="2" s="1"/>
  <c r="U967" i="2"/>
  <c r="R967" i="2"/>
  <c r="Y967" i="2" s="1"/>
  <c r="W967" i="2"/>
  <c r="T967" i="2"/>
  <c r="AA967" i="2" s="1"/>
  <c r="V943" i="2"/>
  <c r="S943" i="2"/>
  <c r="Z943" i="2" s="1"/>
  <c r="U943" i="2"/>
  <c r="R943" i="2"/>
  <c r="Y943" i="2" s="1"/>
  <c r="W943" i="2"/>
  <c r="T943" i="2"/>
  <c r="AA943" i="2" s="1"/>
  <c r="T919" i="2"/>
  <c r="AA919" i="2" s="1"/>
  <c r="V919" i="2"/>
  <c r="S919" i="2"/>
  <c r="Z919" i="2" s="1"/>
  <c r="U919" i="2"/>
  <c r="R919" i="2"/>
  <c r="Y919" i="2" s="1"/>
  <c r="T895" i="2"/>
  <c r="AA895" i="2" s="1"/>
  <c r="V895" i="2"/>
  <c r="S895" i="2"/>
  <c r="Z895" i="2" s="1"/>
  <c r="U895" i="2"/>
  <c r="R895" i="2"/>
  <c r="Y895" i="2" s="1"/>
  <c r="W895" i="2"/>
  <c r="T871" i="2"/>
  <c r="AA871" i="2" s="1"/>
  <c r="V871" i="2"/>
  <c r="S871" i="2"/>
  <c r="Z871" i="2" s="1"/>
  <c r="U871" i="2"/>
  <c r="R871" i="2"/>
  <c r="Y871" i="2" s="1"/>
  <c r="W847" i="2"/>
  <c r="T847" i="2"/>
  <c r="AA847" i="2" s="1"/>
  <c r="V847" i="2"/>
  <c r="S847" i="2"/>
  <c r="Z847" i="2" s="1"/>
  <c r="U847" i="2"/>
  <c r="W823" i="2"/>
  <c r="T823" i="2"/>
  <c r="AA823" i="2" s="1"/>
  <c r="V823" i="2"/>
  <c r="S823" i="2"/>
  <c r="Z823" i="2" s="1"/>
  <c r="U823" i="2"/>
  <c r="R823" i="2"/>
  <c r="Y823" i="2" s="1"/>
  <c r="W799" i="2"/>
  <c r="T799" i="2"/>
  <c r="AA799" i="2" s="1"/>
  <c r="V799" i="2"/>
  <c r="S799" i="2"/>
  <c r="Z799" i="2" s="1"/>
  <c r="U799" i="2"/>
  <c r="R799" i="2"/>
  <c r="Y799" i="2" s="1"/>
  <c r="R775" i="2"/>
  <c r="Y775" i="2" s="1"/>
  <c r="W775" i="2"/>
  <c r="T775" i="2"/>
  <c r="AA775" i="2" s="1"/>
  <c r="V775" i="2"/>
  <c r="S775" i="2"/>
  <c r="Z775" i="2" s="1"/>
  <c r="R751" i="2"/>
  <c r="Y751" i="2" s="1"/>
  <c r="W751" i="2"/>
  <c r="T751" i="2"/>
  <c r="AA751" i="2" s="1"/>
  <c r="V751" i="2"/>
  <c r="S751" i="2"/>
  <c r="Z751" i="2" s="1"/>
  <c r="U751" i="2"/>
  <c r="R727" i="2"/>
  <c r="Y727" i="2" s="1"/>
  <c r="W727" i="2"/>
  <c r="T727" i="2"/>
  <c r="AA727" i="2" s="1"/>
  <c r="V727" i="2"/>
  <c r="S727" i="2"/>
  <c r="Z727" i="2" s="1"/>
  <c r="U727" i="2"/>
  <c r="U703" i="2"/>
  <c r="R703" i="2"/>
  <c r="Y703" i="2" s="1"/>
  <c r="W703" i="2"/>
  <c r="T703" i="2"/>
  <c r="AA703" i="2" s="1"/>
  <c r="V703" i="2"/>
  <c r="S703" i="2"/>
  <c r="Z703" i="2" s="1"/>
  <c r="U679" i="2"/>
  <c r="R679" i="2"/>
  <c r="Y679" i="2" s="1"/>
  <c r="W679" i="2"/>
  <c r="T679" i="2"/>
  <c r="AA679" i="2" s="1"/>
  <c r="V679" i="2"/>
  <c r="S679" i="2"/>
  <c r="Z679" i="2" s="1"/>
  <c r="U655" i="2"/>
  <c r="R655" i="2"/>
  <c r="Y655" i="2" s="1"/>
  <c r="W655" i="2"/>
  <c r="T655" i="2"/>
  <c r="AA655" i="2" s="1"/>
  <c r="V655" i="2"/>
  <c r="S655" i="2"/>
  <c r="Z655" i="2" s="1"/>
  <c r="U631" i="2"/>
  <c r="R631" i="2"/>
  <c r="Y631" i="2" s="1"/>
  <c r="W631" i="2"/>
  <c r="T631" i="2"/>
  <c r="AA631" i="2" s="1"/>
  <c r="V631" i="2"/>
  <c r="U607" i="2"/>
  <c r="R607" i="2"/>
  <c r="Y607" i="2" s="1"/>
  <c r="W607" i="2"/>
  <c r="T607" i="2"/>
  <c r="AA607" i="2" s="1"/>
  <c r="V607" i="2"/>
  <c r="S607" i="2"/>
  <c r="Z607" i="2" s="1"/>
  <c r="U583" i="2"/>
  <c r="R583" i="2"/>
  <c r="Y583" i="2" s="1"/>
  <c r="W583" i="2"/>
  <c r="T583" i="2"/>
  <c r="AA583" i="2" s="1"/>
  <c r="V583" i="2"/>
  <c r="S583" i="2"/>
  <c r="Z583" i="2" s="1"/>
  <c r="S559" i="2"/>
  <c r="Z559" i="2" s="1"/>
  <c r="U559" i="2"/>
  <c r="R559" i="2"/>
  <c r="Y559" i="2" s="1"/>
  <c r="W559" i="2"/>
  <c r="T559" i="2"/>
  <c r="AA559" i="2" s="1"/>
  <c r="S535" i="2"/>
  <c r="Z535" i="2" s="1"/>
  <c r="U535" i="2"/>
  <c r="R535" i="2"/>
  <c r="Y535" i="2" s="1"/>
  <c r="W535" i="2"/>
  <c r="T535" i="2"/>
  <c r="AA535" i="2" s="1"/>
  <c r="Q535" i="2"/>
  <c r="X535" i="2" s="1"/>
  <c r="V535" i="2"/>
  <c r="S511" i="2"/>
  <c r="Z511" i="2" s="1"/>
  <c r="U511" i="2"/>
  <c r="R511" i="2"/>
  <c r="Y511" i="2" s="1"/>
  <c r="W511" i="2"/>
  <c r="T511" i="2"/>
  <c r="AA511" i="2" s="1"/>
  <c r="V511" i="2"/>
  <c r="V486" i="2"/>
  <c r="S486" i="2"/>
  <c r="Z486" i="2" s="1"/>
  <c r="U486" i="2"/>
  <c r="R486" i="2"/>
  <c r="Y486" i="2" s="1"/>
  <c r="W486" i="2"/>
  <c r="T486" i="2"/>
  <c r="AA486" i="2" s="1"/>
  <c r="V462" i="2"/>
  <c r="S462" i="2"/>
  <c r="Z462" i="2" s="1"/>
  <c r="U462" i="2"/>
  <c r="R462" i="2"/>
  <c r="Y462" i="2" s="1"/>
  <c r="W462" i="2"/>
  <c r="T462" i="2"/>
  <c r="AA462" i="2" s="1"/>
  <c r="V438" i="2"/>
  <c r="S438" i="2"/>
  <c r="Z438" i="2" s="1"/>
  <c r="U438" i="2"/>
  <c r="R438" i="2"/>
  <c r="Y438" i="2" s="1"/>
  <c r="W438" i="2"/>
  <c r="T438" i="2"/>
  <c r="AA438" i="2" s="1"/>
  <c r="V414" i="2"/>
  <c r="S414" i="2"/>
  <c r="Z414" i="2" s="1"/>
  <c r="U414" i="2"/>
  <c r="R414" i="2"/>
  <c r="Y414" i="2" s="1"/>
  <c r="W414" i="2"/>
  <c r="V390" i="2"/>
  <c r="S390" i="2"/>
  <c r="Z390" i="2" s="1"/>
  <c r="U390" i="2"/>
  <c r="R390" i="2"/>
  <c r="Y390" i="2" s="1"/>
  <c r="W390" i="2"/>
  <c r="T390" i="2"/>
  <c r="AA390" i="2" s="1"/>
  <c r="V366" i="2"/>
  <c r="S366" i="2"/>
  <c r="Z366" i="2" s="1"/>
  <c r="U366" i="2"/>
  <c r="R366" i="2"/>
  <c r="Y366" i="2" s="1"/>
  <c r="W366" i="2"/>
  <c r="T366" i="2"/>
  <c r="AA366" i="2" s="1"/>
  <c r="T342" i="2"/>
  <c r="AA342" i="2" s="1"/>
  <c r="V342" i="2"/>
  <c r="S342" i="2"/>
  <c r="Z342" i="2" s="1"/>
  <c r="U342" i="2"/>
  <c r="R342" i="2"/>
  <c r="Y342" i="2" s="1"/>
  <c r="T318" i="2"/>
  <c r="AA318" i="2" s="1"/>
  <c r="V318" i="2"/>
  <c r="S318" i="2"/>
  <c r="Z318" i="2" s="1"/>
  <c r="U318" i="2"/>
  <c r="R318" i="2"/>
  <c r="Y318" i="2" s="1"/>
  <c r="W318" i="2"/>
  <c r="T294" i="2"/>
  <c r="AA294" i="2" s="1"/>
  <c r="V294" i="2"/>
  <c r="S294" i="2"/>
  <c r="Z294" i="2" s="1"/>
  <c r="U294" i="2"/>
  <c r="R294" i="2"/>
  <c r="Y294" i="2" s="1"/>
  <c r="W294" i="2"/>
  <c r="W270" i="2"/>
  <c r="T270" i="2"/>
  <c r="AA270" i="2" s="1"/>
  <c r="V270" i="2"/>
  <c r="S270" i="2"/>
  <c r="Z270" i="2" s="1"/>
  <c r="U270" i="2"/>
  <c r="W246" i="2"/>
  <c r="T246" i="2"/>
  <c r="AA246" i="2" s="1"/>
  <c r="V246" i="2"/>
  <c r="S246" i="2"/>
  <c r="Z246" i="2" s="1"/>
  <c r="U246" i="2"/>
  <c r="R246" i="2"/>
  <c r="Y246" i="2" s="1"/>
  <c r="W222" i="2"/>
  <c r="T222" i="2"/>
  <c r="AA222" i="2" s="1"/>
  <c r="V222" i="2"/>
  <c r="S222" i="2"/>
  <c r="Z222" i="2" s="1"/>
  <c r="U222" i="2"/>
  <c r="R222" i="2"/>
  <c r="Y222" i="2" s="1"/>
  <c r="R198" i="2"/>
  <c r="Y198" i="2" s="1"/>
  <c r="W198" i="2"/>
  <c r="T198" i="2"/>
  <c r="AA198" i="2" s="1"/>
  <c r="V198" i="2"/>
  <c r="S198" i="2"/>
  <c r="Z198" i="2" s="1"/>
  <c r="R174" i="2"/>
  <c r="Y174" i="2" s="1"/>
  <c r="W174" i="2"/>
  <c r="T174" i="2"/>
  <c r="AA174" i="2" s="1"/>
  <c r="V174" i="2"/>
  <c r="S174" i="2"/>
  <c r="Z174" i="2" s="1"/>
  <c r="U174" i="2"/>
  <c r="R150" i="2"/>
  <c r="Y150" i="2" s="1"/>
  <c r="W150" i="2"/>
  <c r="T150" i="2"/>
  <c r="AA150" i="2" s="1"/>
  <c r="V150" i="2"/>
  <c r="S150" i="2"/>
  <c r="Z150" i="2" s="1"/>
  <c r="U150" i="2"/>
  <c r="U126" i="2"/>
  <c r="R126" i="2"/>
  <c r="Y126" i="2" s="1"/>
  <c r="W126" i="2"/>
  <c r="T126" i="2"/>
  <c r="AA126" i="2" s="1"/>
  <c r="V126" i="2"/>
  <c r="S126" i="2"/>
  <c r="Z126" i="2" s="1"/>
  <c r="U102" i="2"/>
  <c r="R102" i="2"/>
  <c r="Y102" i="2" s="1"/>
  <c r="W102" i="2"/>
  <c r="T102" i="2"/>
  <c r="AA102" i="2" s="1"/>
  <c r="V102" i="2"/>
  <c r="S102" i="2"/>
  <c r="Z102" i="2" s="1"/>
  <c r="U78" i="2"/>
  <c r="R78" i="2"/>
  <c r="Y78" i="2" s="1"/>
  <c r="W78" i="2"/>
  <c r="T78" i="2"/>
  <c r="AA78" i="2" s="1"/>
  <c r="V78" i="2"/>
  <c r="S78" i="2"/>
  <c r="Z78" i="2" s="1"/>
  <c r="U54" i="2"/>
  <c r="R54" i="2"/>
  <c r="Y54" i="2" s="1"/>
  <c r="W54" i="2"/>
  <c r="T54" i="2"/>
  <c r="AA54" i="2" s="1"/>
  <c r="V54" i="2"/>
  <c r="T991" i="2"/>
  <c r="AA991" i="2" s="1"/>
  <c r="S54" i="2"/>
  <c r="Z54" i="2" s="1"/>
  <c r="T440" i="2"/>
  <c r="AA440" i="2" s="1"/>
  <c r="S657" i="2"/>
  <c r="Z657" i="2" s="1"/>
  <c r="S80" i="2"/>
  <c r="Z80" i="2" s="1"/>
  <c r="R873" i="2"/>
  <c r="Y873" i="2" s="1"/>
  <c r="R296" i="2"/>
  <c r="Y296" i="2" s="1"/>
  <c r="AB148" i="2"/>
  <c r="T1066" i="2"/>
  <c r="AA1066" i="2" s="1"/>
  <c r="T488" i="2"/>
  <c r="AA488" i="2" s="1"/>
  <c r="S705" i="2"/>
  <c r="Z705" i="2" s="1"/>
  <c r="S128" i="2"/>
  <c r="Z128" i="2" s="1"/>
  <c r="R921" i="2"/>
  <c r="Y921" i="2" s="1"/>
  <c r="R344" i="2"/>
  <c r="Y344" i="2" s="1"/>
  <c r="T1090" i="2"/>
  <c r="AA1090" i="2" s="1"/>
  <c r="T513" i="2"/>
  <c r="AA513" i="2" s="1"/>
  <c r="S729" i="2"/>
  <c r="Z729" i="2" s="1"/>
  <c r="S152" i="2"/>
  <c r="Z152" i="2" s="1"/>
  <c r="R945" i="2"/>
  <c r="Y945" i="2" s="1"/>
  <c r="R368" i="2"/>
  <c r="Y368" i="2" s="1"/>
  <c r="T1114" i="2"/>
  <c r="AA1114" i="2" s="1"/>
  <c r="T537" i="2"/>
  <c r="AA537" i="2" s="1"/>
  <c r="S753" i="2"/>
  <c r="Z753" i="2" s="1"/>
  <c r="S176" i="2"/>
  <c r="Z176" i="2" s="1"/>
  <c r="R969" i="2"/>
  <c r="Y969" i="2" s="1"/>
  <c r="R392" i="2"/>
  <c r="Y392" i="2" s="1"/>
  <c r="T561" i="2"/>
  <c r="AA561" i="2" s="1"/>
  <c r="S777" i="2"/>
  <c r="Z777" i="2" s="1"/>
  <c r="S200" i="2"/>
  <c r="Z200" i="2" s="1"/>
  <c r="R993" i="2"/>
  <c r="Y993" i="2" s="1"/>
  <c r="R416" i="2"/>
  <c r="Y416" i="2" s="1"/>
  <c r="T585" i="2"/>
  <c r="AA585" i="2" s="1"/>
  <c r="S801" i="2"/>
  <c r="Z801" i="2" s="1"/>
  <c r="S224" i="2"/>
  <c r="Z224" i="2" s="1"/>
  <c r="R1017" i="2"/>
  <c r="Y1017" i="2" s="1"/>
  <c r="R440" i="2"/>
  <c r="Y440" i="2" s="1"/>
  <c r="T609" i="2"/>
  <c r="AA609" i="2" s="1"/>
  <c r="S825" i="2"/>
  <c r="Z825" i="2" s="1"/>
  <c r="S248" i="2"/>
  <c r="Z248" i="2" s="1"/>
  <c r="R1041" i="2"/>
  <c r="Y1041" i="2" s="1"/>
  <c r="R464" i="2"/>
  <c r="Y464" i="2" s="1"/>
  <c r="T633" i="2"/>
  <c r="AA633" i="2" s="1"/>
  <c r="T56" i="2"/>
  <c r="AA56" i="2" s="1"/>
  <c r="S849" i="2"/>
  <c r="Z849" i="2" s="1"/>
  <c r="S272" i="2"/>
  <c r="Z272" i="2" s="1"/>
  <c r="R1066" i="2"/>
  <c r="Y1066" i="2" s="1"/>
  <c r="R488" i="2"/>
  <c r="Y488" i="2" s="1"/>
  <c r="T657" i="2"/>
  <c r="AA657" i="2" s="1"/>
  <c r="T80" i="2"/>
  <c r="AA80" i="2" s="1"/>
  <c r="S873" i="2"/>
  <c r="Z873" i="2" s="1"/>
  <c r="S296" i="2"/>
  <c r="Z296" i="2" s="1"/>
  <c r="R1090" i="2"/>
  <c r="Y1090" i="2" s="1"/>
  <c r="R513" i="2"/>
  <c r="Y513" i="2" s="1"/>
  <c r="T681" i="2"/>
  <c r="AA681" i="2" s="1"/>
  <c r="T104" i="2"/>
  <c r="AA104" i="2" s="1"/>
  <c r="S897" i="2"/>
  <c r="Z897" i="2" s="1"/>
  <c r="S320" i="2"/>
  <c r="Z320" i="2" s="1"/>
  <c r="R1114" i="2"/>
  <c r="Y1114" i="2" s="1"/>
  <c r="R537" i="2"/>
  <c r="U488" i="2"/>
  <c r="T705" i="2"/>
  <c r="AA705" i="2" s="1"/>
  <c r="T128" i="2"/>
  <c r="AA128" i="2" s="1"/>
  <c r="S921" i="2"/>
  <c r="Z921" i="2" s="1"/>
  <c r="S344" i="2"/>
  <c r="Z344" i="2" s="1"/>
  <c r="R561" i="2"/>
  <c r="Y561" i="2" s="1"/>
  <c r="U513" i="2"/>
  <c r="T729" i="2"/>
  <c r="AA729" i="2" s="1"/>
  <c r="T152" i="2"/>
  <c r="AA152" i="2" s="1"/>
  <c r="S945" i="2"/>
  <c r="Z945" i="2" s="1"/>
  <c r="S368" i="2"/>
  <c r="Z368" i="2" s="1"/>
  <c r="R585" i="2"/>
  <c r="Y585" i="2" s="1"/>
  <c r="T753" i="2"/>
  <c r="AA753" i="2" s="1"/>
  <c r="T176" i="2"/>
  <c r="AA176" i="2" s="1"/>
  <c r="S969" i="2"/>
  <c r="Z969" i="2" s="1"/>
  <c r="S392" i="2"/>
  <c r="Z392" i="2" s="1"/>
  <c r="R609" i="2"/>
  <c r="Y609" i="2" s="1"/>
  <c r="T777" i="2"/>
  <c r="AA777" i="2" s="1"/>
  <c r="T200" i="2"/>
  <c r="AA200" i="2" s="1"/>
  <c r="S993" i="2"/>
  <c r="Z993" i="2" s="1"/>
  <c r="S416" i="2"/>
  <c r="Z416" i="2" s="1"/>
  <c r="R633" i="2"/>
  <c r="Y633" i="2" s="1"/>
  <c r="R56" i="2"/>
  <c r="Y56" i="2" s="1"/>
  <c r="T801" i="2"/>
  <c r="AA801" i="2" s="1"/>
  <c r="T224" i="2"/>
  <c r="AA224" i="2" s="1"/>
  <c r="S1017" i="2"/>
  <c r="Z1017" i="2" s="1"/>
  <c r="S440" i="2"/>
  <c r="Z440" i="2" s="1"/>
  <c r="R657" i="2"/>
  <c r="Y657" i="2" s="1"/>
  <c r="R80" i="2"/>
  <c r="Y80" i="2" s="1"/>
  <c r="T248" i="2"/>
  <c r="AA248" i="2" s="1"/>
  <c r="S1041" i="2"/>
  <c r="Z1041" i="2" s="1"/>
  <c r="S464" i="2"/>
  <c r="Z464" i="2" s="1"/>
  <c r="R681" i="2"/>
  <c r="Y681" i="2" s="1"/>
  <c r="R104" i="2"/>
  <c r="Y104" i="2" s="1"/>
  <c r="AB208" i="2"/>
  <c r="U56" i="2"/>
  <c r="S488" i="2"/>
  <c r="Z488" i="2" s="1"/>
  <c r="R705" i="2"/>
  <c r="Y705" i="2" s="1"/>
  <c r="R128" i="2"/>
  <c r="Y128" i="2" s="1"/>
  <c r="U80" i="2"/>
  <c r="R729" i="2"/>
  <c r="Y729" i="2" s="1"/>
  <c r="R152" i="2"/>
  <c r="Y152" i="2" s="1"/>
  <c r="U104" i="2"/>
  <c r="R176" i="2"/>
  <c r="Y176" i="2" s="1"/>
  <c r="U128" i="2"/>
  <c r="AB725" i="2"/>
  <c r="R1118" i="2"/>
  <c r="Y1118" i="2" s="1"/>
  <c r="T1118" i="2"/>
  <c r="AA1118" i="2" s="1"/>
  <c r="V1118" i="2"/>
  <c r="S1118" i="2"/>
  <c r="Z1118" i="2" s="1"/>
  <c r="U1118" i="2"/>
  <c r="W1118" i="2"/>
  <c r="R1094" i="2"/>
  <c r="Y1094" i="2" s="1"/>
  <c r="T1094" i="2"/>
  <c r="AA1094" i="2" s="1"/>
  <c r="V1094" i="2"/>
  <c r="S1094" i="2"/>
  <c r="Z1094" i="2" s="1"/>
  <c r="U1094" i="2"/>
  <c r="W1094" i="2"/>
  <c r="R1070" i="2"/>
  <c r="Y1070" i="2" s="1"/>
  <c r="T1070" i="2"/>
  <c r="AA1070" i="2" s="1"/>
  <c r="V1070" i="2"/>
  <c r="S1070" i="2"/>
  <c r="Z1070" i="2" s="1"/>
  <c r="U1070" i="2"/>
  <c r="W1070" i="2"/>
  <c r="R1045" i="2"/>
  <c r="Y1045" i="2" s="1"/>
  <c r="T1045" i="2"/>
  <c r="AA1045" i="2" s="1"/>
  <c r="V1045" i="2"/>
  <c r="S1045" i="2"/>
  <c r="Z1045" i="2" s="1"/>
  <c r="U1045" i="2"/>
  <c r="W1045" i="2"/>
  <c r="R1021" i="2"/>
  <c r="Y1021" i="2" s="1"/>
  <c r="T1021" i="2"/>
  <c r="AA1021" i="2" s="1"/>
  <c r="V1021" i="2"/>
  <c r="S1021" i="2"/>
  <c r="Z1021" i="2" s="1"/>
  <c r="U1021" i="2"/>
  <c r="W1021" i="2"/>
  <c r="S997" i="2"/>
  <c r="Z997" i="2" s="1"/>
  <c r="R997" i="2"/>
  <c r="Y997" i="2" s="1"/>
  <c r="T997" i="2"/>
  <c r="AA997" i="2" s="1"/>
  <c r="V997" i="2"/>
  <c r="U997" i="2"/>
  <c r="W997" i="2"/>
  <c r="S973" i="2"/>
  <c r="Z973" i="2" s="1"/>
  <c r="R973" i="2"/>
  <c r="Y973" i="2" s="1"/>
  <c r="T973" i="2"/>
  <c r="AA973" i="2" s="1"/>
  <c r="V973" i="2"/>
  <c r="U973" i="2"/>
  <c r="W973" i="2"/>
  <c r="S949" i="2"/>
  <c r="Z949" i="2" s="1"/>
  <c r="R949" i="2"/>
  <c r="Y949" i="2" s="1"/>
  <c r="T949" i="2"/>
  <c r="AA949" i="2" s="1"/>
  <c r="V949" i="2"/>
  <c r="U949" i="2"/>
  <c r="W949" i="2"/>
  <c r="S925" i="2"/>
  <c r="Z925" i="2" s="1"/>
  <c r="R925" i="2"/>
  <c r="Y925" i="2" s="1"/>
  <c r="T925" i="2"/>
  <c r="AA925" i="2" s="1"/>
  <c r="V925" i="2"/>
  <c r="U925" i="2"/>
  <c r="W925" i="2"/>
  <c r="S901" i="2"/>
  <c r="Z901" i="2" s="1"/>
  <c r="R901" i="2"/>
  <c r="Y901" i="2" s="1"/>
  <c r="T901" i="2"/>
  <c r="AA901" i="2" s="1"/>
  <c r="V901" i="2"/>
  <c r="U901" i="2"/>
  <c r="W901" i="2"/>
  <c r="S877" i="2"/>
  <c r="Z877" i="2" s="1"/>
  <c r="R877" i="2"/>
  <c r="Y877" i="2" s="1"/>
  <c r="T877" i="2"/>
  <c r="AA877" i="2" s="1"/>
  <c r="V877" i="2"/>
  <c r="U877" i="2"/>
  <c r="W877" i="2"/>
  <c r="S853" i="2"/>
  <c r="Z853" i="2" s="1"/>
  <c r="R853" i="2"/>
  <c r="Y853" i="2" s="1"/>
  <c r="T853" i="2"/>
  <c r="AA853" i="2" s="1"/>
  <c r="V853" i="2"/>
  <c r="U853" i="2"/>
  <c r="W853" i="2"/>
  <c r="S829" i="2"/>
  <c r="Z829" i="2" s="1"/>
  <c r="R829" i="2"/>
  <c r="Y829" i="2" s="1"/>
  <c r="T829" i="2"/>
  <c r="AA829" i="2" s="1"/>
  <c r="V829" i="2"/>
  <c r="U829" i="2"/>
  <c r="W829" i="2"/>
  <c r="S805" i="2"/>
  <c r="Z805" i="2" s="1"/>
  <c r="R805" i="2"/>
  <c r="Y805" i="2" s="1"/>
  <c r="T805" i="2"/>
  <c r="AA805" i="2" s="1"/>
  <c r="V805" i="2"/>
  <c r="U805" i="2"/>
  <c r="W805" i="2"/>
  <c r="S781" i="2"/>
  <c r="Z781" i="2" s="1"/>
  <c r="R781" i="2"/>
  <c r="Y781" i="2" s="1"/>
  <c r="T781" i="2"/>
  <c r="AA781" i="2" s="1"/>
  <c r="V781" i="2"/>
  <c r="U781" i="2"/>
  <c r="W781" i="2"/>
  <c r="S757" i="2"/>
  <c r="Z757" i="2" s="1"/>
  <c r="R757" i="2"/>
  <c r="Y757" i="2" s="1"/>
  <c r="T757" i="2"/>
  <c r="AA757" i="2" s="1"/>
  <c r="V757" i="2"/>
  <c r="U757" i="2"/>
  <c r="W757" i="2"/>
  <c r="S733" i="2"/>
  <c r="Z733" i="2" s="1"/>
  <c r="R733" i="2"/>
  <c r="Y733" i="2" s="1"/>
  <c r="T733" i="2"/>
  <c r="AA733" i="2" s="1"/>
  <c r="V733" i="2"/>
  <c r="U733" i="2"/>
  <c r="W733" i="2"/>
  <c r="S709" i="2"/>
  <c r="Z709" i="2" s="1"/>
  <c r="R709" i="2"/>
  <c r="Y709" i="2" s="1"/>
  <c r="T709" i="2"/>
  <c r="AA709" i="2" s="1"/>
  <c r="V709" i="2"/>
  <c r="U709" i="2"/>
  <c r="W709" i="2"/>
  <c r="S685" i="2"/>
  <c r="Z685" i="2" s="1"/>
  <c r="R685" i="2"/>
  <c r="Y685" i="2" s="1"/>
  <c r="T685" i="2"/>
  <c r="AA685" i="2" s="1"/>
  <c r="V685" i="2"/>
  <c r="U685" i="2"/>
  <c r="W685" i="2"/>
  <c r="S661" i="2"/>
  <c r="Z661" i="2" s="1"/>
  <c r="R661" i="2"/>
  <c r="Y661" i="2" s="1"/>
  <c r="T661" i="2"/>
  <c r="AA661" i="2" s="1"/>
  <c r="V661" i="2"/>
  <c r="U661" i="2"/>
  <c r="W661" i="2"/>
  <c r="S637" i="2"/>
  <c r="Z637" i="2" s="1"/>
  <c r="R637" i="2"/>
  <c r="Y637" i="2" s="1"/>
  <c r="T637" i="2"/>
  <c r="AA637" i="2" s="1"/>
  <c r="V637" i="2"/>
  <c r="U637" i="2"/>
  <c r="W637" i="2"/>
  <c r="S613" i="2"/>
  <c r="Z613" i="2" s="1"/>
  <c r="R613" i="2"/>
  <c r="Y613" i="2" s="1"/>
  <c r="T613" i="2"/>
  <c r="AA613" i="2" s="1"/>
  <c r="V613" i="2"/>
  <c r="U613" i="2"/>
  <c r="W613" i="2"/>
  <c r="S589" i="2"/>
  <c r="Z589" i="2" s="1"/>
  <c r="R589" i="2"/>
  <c r="Y589" i="2" s="1"/>
  <c r="T589" i="2"/>
  <c r="AA589" i="2" s="1"/>
  <c r="V589" i="2"/>
  <c r="U589" i="2"/>
  <c r="W589" i="2"/>
  <c r="S565" i="2"/>
  <c r="Z565" i="2" s="1"/>
  <c r="R565" i="2"/>
  <c r="Y565" i="2" s="1"/>
  <c r="T565" i="2"/>
  <c r="AA565" i="2" s="1"/>
  <c r="V565" i="2"/>
  <c r="U565" i="2"/>
  <c r="W565" i="2"/>
  <c r="S541" i="2"/>
  <c r="Z541" i="2" s="1"/>
  <c r="R541" i="2"/>
  <c r="Y541" i="2" s="1"/>
  <c r="T541" i="2"/>
  <c r="AA541" i="2" s="1"/>
  <c r="V541" i="2"/>
  <c r="U541" i="2"/>
  <c r="W541" i="2"/>
  <c r="S517" i="2"/>
  <c r="Z517" i="2" s="1"/>
  <c r="R517" i="2"/>
  <c r="Y517" i="2" s="1"/>
  <c r="T517" i="2"/>
  <c r="AA517" i="2" s="1"/>
  <c r="V517" i="2"/>
  <c r="U517" i="2"/>
  <c r="W517" i="2"/>
  <c r="S492" i="2"/>
  <c r="Z492" i="2" s="1"/>
  <c r="R492" i="2"/>
  <c r="Y492" i="2" s="1"/>
  <c r="T492" i="2"/>
  <c r="AA492" i="2" s="1"/>
  <c r="V492" i="2"/>
  <c r="U492" i="2"/>
  <c r="W492" i="2"/>
  <c r="S468" i="2"/>
  <c r="Z468" i="2" s="1"/>
  <c r="R468" i="2"/>
  <c r="Y468" i="2" s="1"/>
  <c r="T468" i="2"/>
  <c r="AA468" i="2" s="1"/>
  <c r="V468" i="2"/>
  <c r="U468" i="2"/>
  <c r="W468" i="2"/>
  <c r="S444" i="2"/>
  <c r="Z444" i="2" s="1"/>
  <c r="R444" i="2"/>
  <c r="Y444" i="2" s="1"/>
  <c r="T444" i="2"/>
  <c r="AA444" i="2" s="1"/>
  <c r="V444" i="2"/>
  <c r="U444" i="2"/>
  <c r="W444" i="2"/>
  <c r="S420" i="2"/>
  <c r="Z420" i="2" s="1"/>
  <c r="R420" i="2"/>
  <c r="Y420" i="2" s="1"/>
  <c r="T420" i="2"/>
  <c r="AA420" i="2" s="1"/>
  <c r="V420" i="2"/>
  <c r="U420" i="2"/>
  <c r="W420" i="2"/>
  <c r="S396" i="2"/>
  <c r="Z396" i="2" s="1"/>
  <c r="R396" i="2"/>
  <c r="Y396" i="2" s="1"/>
  <c r="T396" i="2"/>
  <c r="AA396" i="2" s="1"/>
  <c r="V396" i="2"/>
  <c r="U396" i="2"/>
  <c r="W396" i="2"/>
  <c r="S372" i="2"/>
  <c r="Z372" i="2" s="1"/>
  <c r="R372" i="2"/>
  <c r="Y372" i="2" s="1"/>
  <c r="T372" i="2"/>
  <c r="AA372" i="2" s="1"/>
  <c r="V372" i="2"/>
  <c r="U372" i="2"/>
  <c r="W372" i="2"/>
  <c r="S348" i="2"/>
  <c r="Z348" i="2" s="1"/>
  <c r="R348" i="2"/>
  <c r="Y348" i="2" s="1"/>
  <c r="T348" i="2"/>
  <c r="AA348" i="2" s="1"/>
  <c r="V348" i="2"/>
  <c r="U348" i="2"/>
  <c r="W348" i="2"/>
  <c r="S324" i="2"/>
  <c r="Z324" i="2" s="1"/>
  <c r="R324" i="2"/>
  <c r="Y324" i="2" s="1"/>
  <c r="T324" i="2"/>
  <c r="AA324" i="2" s="1"/>
  <c r="V324" i="2"/>
  <c r="U324" i="2"/>
  <c r="W324" i="2"/>
  <c r="S300" i="2"/>
  <c r="Z300" i="2" s="1"/>
  <c r="R300" i="2"/>
  <c r="Y300" i="2" s="1"/>
  <c r="T300" i="2"/>
  <c r="AA300" i="2" s="1"/>
  <c r="V300" i="2"/>
  <c r="U300" i="2"/>
  <c r="W300" i="2"/>
  <c r="S276" i="2"/>
  <c r="Z276" i="2" s="1"/>
  <c r="R276" i="2"/>
  <c r="Y276" i="2" s="1"/>
  <c r="T276" i="2"/>
  <c r="AA276" i="2" s="1"/>
  <c r="V276" i="2"/>
  <c r="U276" i="2"/>
  <c r="W276" i="2"/>
  <c r="S252" i="2"/>
  <c r="Z252" i="2" s="1"/>
  <c r="R252" i="2"/>
  <c r="Y252" i="2" s="1"/>
  <c r="T252" i="2"/>
  <c r="AA252" i="2" s="1"/>
  <c r="V252" i="2"/>
  <c r="U252" i="2"/>
  <c r="W252" i="2"/>
  <c r="S228" i="2"/>
  <c r="Z228" i="2" s="1"/>
  <c r="R228" i="2"/>
  <c r="Y228" i="2" s="1"/>
  <c r="T228" i="2"/>
  <c r="AA228" i="2" s="1"/>
  <c r="V228" i="2"/>
  <c r="U228" i="2"/>
  <c r="W228" i="2"/>
  <c r="S204" i="2"/>
  <c r="Z204" i="2" s="1"/>
  <c r="R204" i="2"/>
  <c r="Y204" i="2" s="1"/>
  <c r="T204" i="2"/>
  <c r="AA204" i="2" s="1"/>
  <c r="V204" i="2"/>
  <c r="U204" i="2"/>
  <c r="W204" i="2"/>
  <c r="S180" i="2"/>
  <c r="Z180" i="2" s="1"/>
  <c r="R180" i="2"/>
  <c r="Y180" i="2" s="1"/>
  <c r="T180" i="2"/>
  <c r="AA180" i="2" s="1"/>
  <c r="V180" i="2"/>
  <c r="U180" i="2"/>
  <c r="W180" i="2"/>
  <c r="S156" i="2"/>
  <c r="Z156" i="2" s="1"/>
  <c r="R156" i="2"/>
  <c r="Y156" i="2" s="1"/>
  <c r="T156" i="2"/>
  <c r="AA156" i="2" s="1"/>
  <c r="V156" i="2"/>
  <c r="U156" i="2"/>
  <c r="W156" i="2"/>
  <c r="S132" i="2"/>
  <c r="Z132" i="2" s="1"/>
  <c r="R132" i="2"/>
  <c r="Y132" i="2" s="1"/>
  <c r="T132" i="2"/>
  <c r="AA132" i="2" s="1"/>
  <c r="V132" i="2"/>
  <c r="U132" i="2"/>
  <c r="W132" i="2"/>
  <c r="S108" i="2"/>
  <c r="Z108" i="2" s="1"/>
  <c r="R108" i="2"/>
  <c r="Y108" i="2" s="1"/>
  <c r="T108" i="2"/>
  <c r="AA108" i="2" s="1"/>
  <c r="V108" i="2"/>
  <c r="U108" i="2"/>
  <c r="W108" i="2"/>
  <c r="S84" i="2"/>
  <c r="Z84" i="2" s="1"/>
  <c r="R84" i="2"/>
  <c r="Y84" i="2" s="1"/>
  <c r="T84" i="2"/>
  <c r="AA84" i="2" s="1"/>
  <c r="V84" i="2"/>
  <c r="U84" i="2"/>
  <c r="W84" i="2"/>
  <c r="Q60" i="2"/>
  <c r="S60" i="2"/>
  <c r="Z60" i="2" s="1"/>
  <c r="R60" i="2"/>
  <c r="Y60" i="2" s="1"/>
  <c r="T60" i="2"/>
  <c r="AA60" i="2" s="1"/>
  <c r="V60" i="2"/>
  <c r="U60" i="2"/>
  <c r="W60" i="2"/>
  <c r="AB76" i="2" l="1"/>
  <c r="AC76" i="2" s="1"/>
  <c r="AE76" i="2" s="1" a="1"/>
  <c r="AE76" i="2" s="1"/>
  <c r="AB133" i="2"/>
  <c r="AT133" i="8" s="1"/>
  <c r="AB218" i="2"/>
  <c r="AT218" i="8" s="1"/>
  <c r="AB183" i="2"/>
  <c r="AB93" i="2"/>
  <c r="AT93" i="8" s="1"/>
  <c r="AB159" i="2"/>
  <c r="AT159" i="8" s="1"/>
  <c r="AB407" i="2"/>
  <c r="AT407" i="8" s="1"/>
  <c r="AB399" i="2"/>
  <c r="AC399" i="2" s="1"/>
  <c r="AE399" i="2" s="1" a="1"/>
  <c r="AE399" i="2" s="1"/>
  <c r="AB375" i="2"/>
  <c r="AC375" i="2" s="1"/>
  <c r="AE375" i="2" s="1" a="1"/>
  <c r="AE375" i="2" s="1"/>
  <c r="AB217" i="2"/>
  <c r="AT217" i="8" s="1"/>
  <c r="AB123" i="2"/>
  <c r="AT123" i="8" s="1"/>
  <c r="AB255" i="2"/>
  <c r="AC255" i="2" s="1"/>
  <c r="AE255" i="2" s="1" a="1"/>
  <c r="AE255" i="2" s="1"/>
  <c r="AB163" i="2"/>
  <c r="AC163" i="2" s="1"/>
  <c r="AE163" i="2" s="1" a="1"/>
  <c r="AE163" i="2" s="1"/>
  <c r="AB219" i="2"/>
  <c r="AT219" i="8" s="1"/>
  <c r="AB398" i="2"/>
  <c r="AC398" i="2" s="1"/>
  <c r="AE398" i="2" s="1" a="1"/>
  <c r="AE398" i="2" s="1"/>
  <c r="AB479" i="2"/>
  <c r="AC479" i="2" s="1"/>
  <c r="AE479" i="2" s="1" a="1"/>
  <c r="AE479" i="2" s="1"/>
  <c r="AB63" i="2"/>
  <c r="AT63" i="8" s="1"/>
  <c r="AB686" i="2"/>
  <c r="AC686" i="2" s="1"/>
  <c r="AE686" i="2" s="1" a="1"/>
  <c r="AE686" i="2" s="1"/>
  <c r="AB71" i="2"/>
  <c r="AC71" i="2" s="1"/>
  <c r="AE71" i="2" s="1" a="1"/>
  <c r="AE71" i="2" s="1"/>
  <c r="AB646" i="2"/>
  <c r="AC646" i="2" s="1"/>
  <c r="AE646" i="2" s="1" a="1"/>
  <c r="AE646" i="2" s="1"/>
  <c r="AB94" i="2"/>
  <c r="AT94" i="8" s="1"/>
  <c r="AT646" i="8"/>
  <c r="AC725" i="2"/>
  <c r="AE725" i="2" s="1" a="1"/>
  <c r="AE725" i="2" s="1"/>
  <c r="AT725" i="8"/>
  <c r="AC63" i="2"/>
  <c r="AE63" i="2" s="1" a="1"/>
  <c r="AE63" i="2" s="1"/>
  <c r="AC136" i="2"/>
  <c r="AE136" i="2" s="1" a="1"/>
  <c r="AE136" i="2" s="1"/>
  <c r="AT136" i="8"/>
  <c r="AC192" i="2"/>
  <c r="AE192" i="2" s="1" a="1"/>
  <c r="AE192" i="2" s="1"/>
  <c r="AT192" i="8"/>
  <c r="AC216" i="2"/>
  <c r="AT216" i="8"/>
  <c r="AC183" i="2"/>
  <c r="AE183" i="2" s="1" a="1"/>
  <c r="AE183" i="2" s="1"/>
  <c r="AT183" i="8"/>
  <c r="AC961" i="2"/>
  <c r="AE961" i="2" s="1" a="1"/>
  <c r="AE961" i="2" s="1"/>
  <c r="AT961" i="8"/>
  <c r="AB310" i="2"/>
  <c r="AB86" i="2"/>
  <c r="AB210" i="2"/>
  <c r="AB65" i="2"/>
  <c r="AB162" i="2"/>
  <c r="AT76" i="8"/>
  <c r="AC159" i="2"/>
  <c r="AE159" i="2" s="1" a="1"/>
  <c r="AE159" i="2" s="1"/>
  <c r="AT255" i="8"/>
  <c r="AC208" i="2"/>
  <c r="AE208" i="2" s="1" a="1"/>
  <c r="AE208" i="2" s="1"/>
  <c r="AT208" i="8"/>
  <c r="AT479" i="8"/>
  <c r="AC148" i="2"/>
  <c r="AE148" i="2" s="1" a="1"/>
  <c r="AE148" i="2" s="1"/>
  <c r="AT148" i="8"/>
  <c r="AC621" i="2"/>
  <c r="AE621" i="2" s="1" a="1"/>
  <c r="AE621" i="2" s="1"/>
  <c r="AT621" i="8"/>
  <c r="AC549" i="2"/>
  <c r="AE549" i="2" s="1" a="1"/>
  <c r="AE549" i="2" s="1"/>
  <c r="AT549" i="8"/>
  <c r="AB117" i="2"/>
  <c r="AB1081" i="2"/>
  <c r="AB113" i="2"/>
  <c r="AB518" i="2"/>
  <c r="AB566" i="2"/>
  <c r="AB1043" i="2"/>
  <c r="AE216" i="2" a="1"/>
  <c r="AE216" i="2" s="1"/>
  <c r="AB682" i="2"/>
  <c r="AB83" i="2"/>
  <c r="AB58" i="2"/>
  <c r="AB275" i="2"/>
  <c r="AB726" i="2"/>
  <c r="AB77" i="2"/>
  <c r="X269" i="2"/>
  <c r="AB269" i="2" s="1"/>
  <c r="AB221" i="2"/>
  <c r="AB535" i="2"/>
  <c r="Y537" i="2"/>
  <c r="X60" i="2"/>
  <c r="AB60" i="2" s="1"/>
  <c r="AC123" i="2" l="1"/>
  <c r="AE123" i="2" s="1" a="1"/>
  <c r="AE123" i="2" s="1"/>
  <c r="AC133" i="2"/>
  <c r="AE133" i="2" s="1" a="1"/>
  <c r="AE133" i="2" s="1"/>
  <c r="AT163" i="8"/>
  <c r="AT375" i="8"/>
  <c r="AC93" i="2"/>
  <c r="AE93" i="2" s="1" a="1"/>
  <c r="AE93" i="2" s="1"/>
  <c r="AC94" i="2"/>
  <c r="AE94" i="2" s="1" a="1"/>
  <c r="AE94" i="2" s="1"/>
  <c r="AC218" i="2"/>
  <c r="AE218" i="2" s="1" a="1"/>
  <c r="AE218" i="2" s="1"/>
  <c r="AC217" i="2"/>
  <c r="AE217" i="2" s="1" a="1"/>
  <c r="AE217" i="2" s="1"/>
  <c r="AC407" i="2"/>
  <c r="AE407" i="2" s="1" a="1"/>
  <c r="AE407" i="2" s="1"/>
  <c r="AT71" i="8"/>
  <c r="AT399" i="8"/>
  <c r="AC219" i="2"/>
  <c r="AE219" i="2" s="1" a="1"/>
  <c r="AE219" i="2" s="1"/>
  <c r="AT686" i="8"/>
  <c r="AT398" i="8"/>
  <c r="AC269" i="2"/>
  <c r="AE269" i="2" s="1" a="1"/>
  <c r="AE269" i="2" s="1"/>
  <c r="AT269" i="8"/>
  <c r="AC535" i="2"/>
  <c r="AE535" i="2" s="1" a="1"/>
  <c r="AE535" i="2" s="1"/>
  <c r="AT535" i="8"/>
  <c r="AC726" i="2"/>
  <c r="AE726" i="2" s="1" a="1"/>
  <c r="AE726" i="2" s="1"/>
  <c r="AT726" i="8"/>
  <c r="AC682" i="2"/>
  <c r="AE682" i="2" s="1" a="1"/>
  <c r="AE682" i="2" s="1"/>
  <c r="AT682" i="8"/>
  <c r="AC113" i="2"/>
  <c r="AE113" i="2" s="1" a="1"/>
  <c r="AE113" i="2" s="1"/>
  <c r="AT113" i="8"/>
  <c r="AC65" i="2"/>
  <c r="AE65" i="2" s="1" a="1"/>
  <c r="AE65" i="2" s="1"/>
  <c r="AT65" i="8"/>
  <c r="AC77" i="2"/>
  <c r="AE77" i="2" s="1" a="1"/>
  <c r="AE77" i="2" s="1"/>
  <c r="AT77" i="8"/>
  <c r="AC83" i="2"/>
  <c r="AE83" i="2" s="1" a="1"/>
  <c r="AE83" i="2" s="1"/>
  <c r="AT83" i="8"/>
  <c r="AC518" i="2"/>
  <c r="AE518" i="2" s="1" a="1"/>
  <c r="AE518" i="2" s="1"/>
  <c r="AT518" i="8"/>
  <c r="AC162" i="2"/>
  <c r="AE162" i="2" s="1" a="1"/>
  <c r="AE162" i="2" s="1"/>
  <c r="AT162" i="8"/>
  <c r="AC310" i="2"/>
  <c r="AE310" i="2" s="1" a="1"/>
  <c r="AE310" i="2" s="1"/>
  <c r="AT310" i="8"/>
  <c r="AC60" i="2"/>
  <c r="AE60" i="2" s="1" a="1"/>
  <c r="AE60" i="2" s="1"/>
  <c r="AT60" i="8"/>
  <c r="AC58" i="2"/>
  <c r="AE58" i="2" s="1" a="1"/>
  <c r="AE58" i="2" s="1"/>
  <c r="AT58" i="8"/>
  <c r="AC566" i="2"/>
  <c r="AE566" i="2" s="1" a="1"/>
  <c r="AE566" i="2" s="1"/>
  <c r="AT566" i="8"/>
  <c r="AC117" i="2"/>
  <c r="AE117" i="2" s="1" a="1"/>
  <c r="AE117" i="2" s="1"/>
  <c r="AT117" i="8"/>
  <c r="AC86" i="2"/>
  <c r="AE86" i="2" s="1" a="1"/>
  <c r="AE86" i="2" s="1"/>
  <c r="AT86" i="8"/>
  <c r="AC221" i="2"/>
  <c r="AE221" i="2" s="1" a="1"/>
  <c r="AE221" i="2" s="1"/>
  <c r="AT221" i="8"/>
  <c r="AC275" i="2"/>
  <c r="AE275" i="2" s="1" a="1"/>
  <c r="AE275" i="2" s="1"/>
  <c r="AT275" i="8"/>
  <c r="AC1043" i="2"/>
  <c r="AE1043" i="2" s="1" a="1"/>
  <c r="AE1043" i="2" s="1"/>
  <c r="AT1043" i="8"/>
  <c r="AC1081" i="2"/>
  <c r="AE1081" i="2" s="1" a="1"/>
  <c r="AE1081" i="2" s="1"/>
  <c r="AT1081" i="8"/>
  <c r="AC210" i="2"/>
  <c r="AE210" i="2" s="1" a="1"/>
  <c r="AE210" i="2" s="1"/>
  <c r="AT210" i="8"/>
  <c r="C46" i="9"/>
  <c r="C45" i="9"/>
  <c r="S1131" i="8" l="1"/>
  <c r="T1131" i="8"/>
  <c r="U1131" i="8"/>
  <c r="V1131" i="8"/>
  <c r="W1131" i="8"/>
  <c r="X1131" i="8"/>
  <c r="Y1131" i="8"/>
  <c r="Z1131" i="8"/>
  <c r="AA1131" i="8"/>
  <c r="AB1131" i="8"/>
  <c r="AC1131" i="8"/>
  <c r="AD1131"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W1131" i="8"/>
  <c r="AY1131" i="8"/>
  <c r="BB1131" i="8"/>
  <c r="BD1131" i="8"/>
  <c r="BF13" i="8"/>
  <c r="AV1131" i="8"/>
  <c r="AX1131" i="8"/>
  <c r="AZ1131" i="8"/>
  <c r="BA1131" i="8"/>
  <c r="BC1131" i="8"/>
  <c r="BE1131"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31" i="8" l="1"/>
  <c r="AO1131" i="8"/>
  <c r="N1131" i="8"/>
  <c r="AN1131" i="8"/>
  <c r="M1131" i="8"/>
  <c r="AM1131" i="8"/>
  <c r="K1131" i="8"/>
  <c r="L1131"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Q29"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X29" i="2" l="1"/>
  <c r="AB29" i="2" s="1"/>
  <c r="AC29" i="2" l="1"/>
  <c r="AE29" i="2" s="1" a="1"/>
  <c r="AE29" i="2" s="1"/>
  <c r="AT29" i="8"/>
  <c r="AL5" i="8"/>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31" i="2"/>
  <c r="G1131" i="2"/>
  <c r="T3" i="8"/>
  <c r="I3" i="8"/>
  <c r="H3" i="8"/>
  <c r="I3" i="2"/>
  <c r="H3" i="2"/>
  <c r="G3" i="2"/>
  <c r="C48" i="9"/>
  <c r="C3" i="8"/>
  <c r="D3" i="8"/>
  <c r="B3" i="2"/>
  <c r="C3" i="2"/>
  <c r="C42" i="9"/>
  <c r="D1131" i="8" l="1"/>
  <c r="AE1131" i="8"/>
  <c r="I1131" i="8"/>
  <c r="AJ1131" i="8"/>
  <c r="O1131" i="8"/>
  <c r="F1131" i="8"/>
  <c r="AF1131" i="8"/>
  <c r="H1131" i="8"/>
  <c r="AK1131" i="8"/>
  <c r="C1131" i="8"/>
  <c r="AH1131" i="8"/>
  <c r="AI1131" i="8"/>
  <c r="E1131" i="8"/>
  <c r="J1131" i="8"/>
  <c r="P1131" i="8"/>
  <c r="AG1131" i="8"/>
  <c r="G1131" i="8"/>
  <c r="AL1131"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U964" i="8" l="1"/>
  <c r="BF964" i="8" s="1"/>
  <c r="BG964" i="8" s="1"/>
  <c r="AU972" i="8"/>
  <c r="BF972" i="8" s="1"/>
  <c r="BG972" i="8" s="1"/>
  <c r="AU328" i="8"/>
  <c r="AU1072" i="8"/>
  <c r="BF1072" i="8" s="1"/>
  <c r="BG1072" i="8" s="1"/>
  <c r="AG65" i="2"/>
  <c r="AG218" i="2"/>
  <c r="AG133" i="2"/>
  <c r="AG479" i="2"/>
  <c r="AG93" i="2"/>
  <c r="AG94" i="2"/>
  <c r="AG219" i="2"/>
  <c r="AG375" i="2"/>
  <c r="AG117" i="2"/>
  <c r="AG566" i="2"/>
  <c r="AG407" i="2"/>
  <c r="AG961" i="2"/>
  <c r="AG399" i="2"/>
  <c r="AG210" i="2"/>
  <c r="AG725" i="2"/>
  <c r="AG136" i="2"/>
  <c r="AG163" i="2"/>
  <c r="AG76" i="2"/>
  <c r="AG86" i="2"/>
  <c r="AG208" i="2"/>
  <c r="AG162" i="2"/>
  <c r="AG113" i="2"/>
  <c r="AG159" i="2"/>
  <c r="AG310" i="2"/>
  <c r="AG621" i="2"/>
  <c r="AG63" i="2"/>
  <c r="AG192" i="2"/>
  <c r="AG549" i="2"/>
  <c r="AG148" i="2"/>
  <c r="AG398" i="2"/>
  <c r="AG646" i="2"/>
  <c r="AG217" i="2"/>
  <c r="AG71" i="2"/>
  <c r="AG1081" i="2"/>
  <c r="AG518" i="2"/>
  <c r="AG123" i="2"/>
  <c r="AG183" i="2"/>
  <c r="AG686" i="2"/>
  <c r="AG216" i="2"/>
  <c r="AG255" i="2"/>
  <c r="AG83" i="2"/>
  <c r="AG221" i="2"/>
  <c r="AG726" i="2"/>
  <c r="AG1043" i="2"/>
  <c r="AG77" i="2"/>
  <c r="AG682" i="2"/>
  <c r="AG269" i="2"/>
  <c r="AG275" i="2"/>
  <c r="AG535" i="2"/>
  <c r="AG60" i="2"/>
  <c r="AG58" i="2"/>
  <c r="AG29" i="2"/>
  <c r="Q1131" i="8"/>
  <c r="AQ1131" i="8"/>
  <c r="AR1131" i="8"/>
  <c r="BG5" i="8"/>
  <c r="BF328" i="8" l="1"/>
  <c r="AU1131" i="8"/>
  <c r="C44" i="9"/>
  <c r="B14" i="3"/>
  <c r="A1" i="9"/>
  <c r="B40" i="9"/>
  <c r="B35" i="9"/>
  <c r="B24" i="3"/>
  <c r="BG328" i="8" l="1"/>
  <c r="BF1131" i="8"/>
  <c r="B7" i="9"/>
  <c r="BO1" i="8" l="1"/>
  <c r="A1" i="2"/>
  <c r="F1131" i="2"/>
  <c r="I1131" i="2"/>
  <c r="W3" i="2"/>
  <c r="T3" i="2"/>
  <c r="S3" i="2"/>
  <c r="R3" i="2"/>
  <c r="Q3" i="2"/>
  <c r="BA3" i="8"/>
  <c r="AX3" i="8"/>
  <c r="AW3" i="8"/>
  <c r="AV3" i="8"/>
  <c r="AU3" i="8"/>
  <c r="AL3" i="8"/>
  <c r="AI3" i="8"/>
  <c r="AH3" i="8"/>
  <c r="AG3" i="8"/>
  <c r="AE3" i="8"/>
  <c r="AF3" i="8"/>
  <c r="Z3" i="8"/>
  <c r="W3" i="8"/>
  <c r="V3" i="8"/>
  <c r="U3" i="8"/>
  <c r="S3" i="8"/>
  <c r="J3" i="8"/>
  <c r="G3" i="8"/>
  <c r="F3" i="8"/>
  <c r="E3" i="8"/>
  <c r="F3" i="2"/>
  <c r="E3" i="2"/>
  <c r="D3" i="2"/>
  <c r="D1131" i="2" l="1"/>
  <c r="E1131" i="2"/>
  <c r="A3" i="6" l="1"/>
  <c r="A4" i="6"/>
  <c r="A5" i="6"/>
  <c r="A6" i="6"/>
  <c r="A7" i="6"/>
  <c r="A8" i="6"/>
  <c r="A9" i="6"/>
  <c r="A10" i="6"/>
  <c r="A11" i="6"/>
  <c r="A12" i="6"/>
  <c r="A1" i="8"/>
  <c r="A1" i="6"/>
  <c r="B1131" i="2" l="1"/>
  <c r="C1131" i="2"/>
  <c r="N1131" i="2"/>
  <c r="O1131" i="2"/>
  <c r="A1131" i="2"/>
  <c r="Q625" i="2" l="1"/>
  <c r="Q626" i="2"/>
  <c r="Q629" i="2"/>
  <c r="Q640" i="2"/>
  <c r="Q1074" i="2"/>
  <c r="Q648" i="2"/>
  <c r="Q1098" i="2"/>
  <c r="Q915" i="2"/>
  <c r="Q649" i="2"/>
  <c r="Q650" i="2"/>
  <c r="Q670" i="2"/>
  <c r="Q676" i="2"/>
  <c r="Q696" i="2"/>
  <c r="Q699" i="2"/>
  <c r="Q623" i="2"/>
  <c r="Q704" i="2"/>
  <c r="Q711" i="2"/>
  <c r="Q720" i="2"/>
  <c r="Q722" i="2"/>
  <c r="Q748" i="2"/>
  <c r="Q782" i="2"/>
  <c r="Q789" i="2"/>
  <c r="Q622" i="2"/>
  <c r="Q838" i="2"/>
  <c r="Q958" i="2"/>
  <c r="Q703" i="2"/>
  <c r="Q694" i="2"/>
  <c r="Q955" i="2"/>
  <c r="Q678" i="2"/>
  <c r="Q679" i="2"/>
  <c r="X679" i="2" s="1"/>
  <c r="AB679" i="2" s="1"/>
  <c r="AT679" i="8" s="1"/>
  <c r="Q945" i="2"/>
  <c r="Q1068" i="2"/>
  <c r="Q751" i="2"/>
  <c r="X751" i="2" s="1"/>
  <c r="AB751" i="2" s="1"/>
  <c r="AT751" i="8" s="1"/>
  <c r="Q637" i="2"/>
  <c r="X637" i="2" s="1"/>
  <c r="AB637" i="2" s="1"/>
  <c r="AT637" i="8" s="1"/>
  <c r="Q738" i="2"/>
  <c r="Q690" i="2"/>
  <c r="Q1042" i="2"/>
  <c r="Q681" i="2"/>
  <c r="X681" i="2" s="1"/>
  <c r="AB681" i="2" s="1"/>
  <c r="AT681" i="8" s="1"/>
  <c r="Q636" i="2"/>
  <c r="Q756" i="2"/>
  <c r="Q612" i="2"/>
  <c r="Q1060" i="2"/>
  <c r="Q568" i="2"/>
  <c r="Q599" i="2"/>
  <c r="Q638" i="2"/>
  <c r="Q671" i="2"/>
  <c r="Q710" i="2"/>
  <c r="Q743" i="2"/>
  <c r="Q814" i="2"/>
  <c r="Q848" i="2"/>
  <c r="Q887" i="2"/>
  <c r="Q927" i="2"/>
  <c r="Q963" i="2"/>
  <c r="Q1080" i="2"/>
  <c r="Q1121" i="2"/>
  <c r="Q772" i="2"/>
  <c r="Q569" i="2"/>
  <c r="Q600" i="2"/>
  <c r="Q639" i="2"/>
  <c r="Q672" i="2"/>
  <c r="Q744" i="2"/>
  <c r="Q783" i="2"/>
  <c r="Q815" i="2"/>
  <c r="Q854" i="2"/>
  <c r="Q888" i="2"/>
  <c r="Q928" i="2"/>
  <c r="Q964" i="2"/>
  <c r="Q1040" i="2"/>
  <c r="Q1122" i="2"/>
  <c r="Q668" i="2"/>
  <c r="Q570" i="2"/>
  <c r="Q601" i="2"/>
  <c r="Q673" i="2"/>
  <c r="Q712" i="2"/>
  <c r="Q745" i="2"/>
  <c r="Q784" i="2"/>
  <c r="Q816" i="2"/>
  <c r="Q855" i="2"/>
  <c r="Q889" i="2"/>
  <c r="Q929" i="2"/>
  <c r="Q965" i="2"/>
  <c r="Q1005" i="2"/>
  <c r="Q1046" i="2"/>
  <c r="Q1082" i="2"/>
  <c r="Q1124" i="2"/>
  <c r="Q843" i="2"/>
  <c r="Q571" i="2"/>
  <c r="Q602" i="2"/>
  <c r="Q641" i="2"/>
  <c r="Q674" i="2"/>
  <c r="Q713" i="2"/>
  <c r="Q746" i="2"/>
  <c r="Q785" i="2"/>
  <c r="Q817" i="2"/>
  <c r="Q856" i="2"/>
  <c r="Q890" i="2"/>
  <c r="Q931" i="2"/>
  <c r="Q968" i="2"/>
  <c r="Q1006" i="2"/>
  <c r="Q1047" i="2"/>
  <c r="Q1083" i="2"/>
  <c r="Q811" i="2"/>
  <c r="Q572" i="2"/>
  <c r="Q603" i="2"/>
  <c r="Q643" i="2"/>
  <c r="Q675" i="2"/>
  <c r="Q715" i="2"/>
  <c r="Q747" i="2"/>
  <c r="Q818" i="2"/>
  <c r="Q857" i="2"/>
  <c r="Q891" i="2"/>
  <c r="Q932" i="2"/>
  <c r="Q974" i="2"/>
  <c r="Q1007" i="2"/>
  <c r="Q1048" i="2"/>
  <c r="Q1084" i="2"/>
  <c r="Q1126" i="2"/>
  <c r="Q1034" i="2"/>
  <c r="Q573" i="2"/>
  <c r="Q604" i="2"/>
  <c r="Q644" i="2"/>
  <c r="Q716" i="2"/>
  <c r="Q787" i="2"/>
  <c r="Q819" i="2"/>
  <c r="Q859" i="2"/>
  <c r="Q892" i="2"/>
  <c r="Q934" i="2"/>
  <c r="Q975" i="2"/>
  <c r="Q1008" i="2"/>
  <c r="Q1049" i="2"/>
  <c r="Q1085" i="2"/>
  <c r="Q1127" i="2"/>
  <c r="Q1076" i="2"/>
  <c r="Q574" i="2"/>
  <c r="Q608" i="2"/>
  <c r="Q645" i="2"/>
  <c r="Q677" i="2"/>
  <c r="Q717" i="2"/>
  <c r="Q749" i="2"/>
  <c r="Q788" i="2"/>
  <c r="Q820" i="2"/>
  <c r="Q860" i="2"/>
  <c r="Q893" i="2"/>
  <c r="Q935" i="2"/>
  <c r="Q976" i="2"/>
  <c r="Q1009" i="2"/>
  <c r="Q1051" i="2"/>
  <c r="Q1086" i="2"/>
  <c r="Q1128" i="2"/>
  <c r="Q575" i="2"/>
  <c r="Q614" i="2"/>
  <c r="Q680" i="2"/>
  <c r="Q718" i="2"/>
  <c r="Q752" i="2"/>
  <c r="Q821" i="2"/>
  <c r="Q861" i="2"/>
  <c r="Q896" i="2"/>
  <c r="Q936" i="2"/>
  <c r="Q977" i="2"/>
  <c r="Q1010" i="2"/>
  <c r="Q1052" i="2"/>
  <c r="Q1089" i="2"/>
  <c r="Q1129" i="2"/>
  <c r="Q576" i="2"/>
  <c r="Q615" i="2"/>
  <c r="Q647" i="2"/>
  <c r="Q719" i="2"/>
  <c r="Q758" i="2"/>
  <c r="X758" i="2" s="1"/>
  <c r="AB758" i="2" s="1"/>
  <c r="AT758" i="8" s="1"/>
  <c r="Q790" i="2"/>
  <c r="Q824" i="2"/>
  <c r="Q862" i="2"/>
  <c r="Q902" i="2"/>
  <c r="Q937" i="2"/>
  <c r="Q978" i="2"/>
  <c r="Q1011" i="2"/>
  <c r="Q1053" i="2"/>
  <c r="Q1095" i="2"/>
  <c r="Q1130" i="2"/>
  <c r="Q577" i="2"/>
  <c r="Q616" i="2"/>
  <c r="Q687" i="2"/>
  <c r="Q759" i="2"/>
  <c r="Q791" i="2"/>
  <c r="Q830" i="2"/>
  <c r="Q863" i="2"/>
  <c r="Q903" i="2"/>
  <c r="Q938" i="2"/>
  <c r="Q979" i="2"/>
  <c r="Q1012" i="2"/>
  <c r="Q1054" i="2"/>
  <c r="Q1096" i="2"/>
  <c r="Q999" i="2"/>
  <c r="Q578" i="2"/>
  <c r="Q617" i="2"/>
  <c r="Q688" i="2"/>
  <c r="Q721" i="2"/>
  <c r="Q760" i="2"/>
  <c r="Q792" i="2"/>
  <c r="Q831" i="2"/>
  <c r="Q864" i="2"/>
  <c r="Q904" i="2"/>
  <c r="Q939" i="2"/>
  <c r="Q1055" i="2"/>
  <c r="Q1097" i="2"/>
  <c r="Q740" i="2"/>
  <c r="Q579" i="2"/>
  <c r="Q618" i="2"/>
  <c r="Q689" i="2"/>
  <c r="Q761" i="2"/>
  <c r="Q793" i="2"/>
  <c r="Q832" i="2"/>
  <c r="Q865" i="2"/>
  <c r="Q905" i="2"/>
  <c r="Q940" i="2"/>
  <c r="Q981" i="2"/>
  <c r="Q1016" i="2"/>
  <c r="Q1056" i="2"/>
  <c r="Q883" i="2"/>
  <c r="Q580" i="2"/>
  <c r="X580" i="2" s="1"/>
  <c r="AB580" i="2" s="1"/>
  <c r="AT580" i="8" s="1"/>
  <c r="Q619" i="2"/>
  <c r="Q651" i="2"/>
  <c r="Q691" i="2"/>
  <c r="Q723" i="2"/>
  <c r="Q763" i="2"/>
  <c r="Q794" i="2"/>
  <c r="Q833" i="2"/>
  <c r="Q866" i="2"/>
  <c r="Q907" i="2"/>
  <c r="Q982" i="2"/>
  <c r="Q1022" i="2"/>
  <c r="Q1057" i="2"/>
  <c r="Q596" i="2"/>
  <c r="Q581" i="2"/>
  <c r="X581" i="2" s="1"/>
  <c r="AB581" i="2" s="1"/>
  <c r="AT581" i="8" s="1"/>
  <c r="Q620" i="2"/>
  <c r="Q652" i="2"/>
  <c r="Q692" i="2"/>
  <c r="Q724" i="2"/>
  <c r="Q764" i="2"/>
  <c r="Q795" i="2"/>
  <c r="Q835" i="2"/>
  <c r="Q867" i="2"/>
  <c r="Q908" i="2"/>
  <c r="Q944" i="2"/>
  <c r="Q983" i="2"/>
  <c r="Q1023" i="2"/>
  <c r="Q1058" i="2"/>
  <c r="Q1103" i="2"/>
  <c r="Q584" i="2"/>
  <c r="Q653" i="2"/>
  <c r="Q693" i="2"/>
  <c r="Q765" i="2"/>
  <c r="Q796" i="2"/>
  <c r="Q836" i="2"/>
  <c r="Q868" i="2"/>
  <c r="Q909" i="2"/>
  <c r="X909" i="2" s="1"/>
  <c r="AB909" i="2" s="1"/>
  <c r="AT909" i="8" s="1"/>
  <c r="Q950" i="2"/>
  <c r="Q984" i="2"/>
  <c r="Q1024" i="2"/>
  <c r="Q1059" i="2"/>
  <c r="Q1104" i="2"/>
  <c r="Q960" i="2"/>
  <c r="Q590" i="2"/>
  <c r="Q656" i="2"/>
  <c r="Q728" i="2"/>
  <c r="Q766" i="2"/>
  <c r="Q797" i="2"/>
  <c r="Q837" i="2"/>
  <c r="Q869" i="2"/>
  <c r="Q910" i="2"/>
  <c r="Q951" i="2"/>
  <c r="Q985" i="2"/>
  <c r="Q1025" i="2"/>
  <c r="Q1061" i="2"/>
  <c r="Q1105" i="2"/>
  <c r="Q628" i="2"/>
  <c r="Q1113" i="2"/>
  <c r="Q591" i="2"/>
  <c r="Q662" i="2"/>
  <c r="Q695" i="2"/>
  <c r="Q734" i="2"/>
  <c r="Q767" i="2"/>
  <c r="Q800" i="2"/>
  <c r="Q872" i="2"/>
  <c r="Q911" i="2"/>
  <c r="Q952" i="2"/>
  <c r="Q986" i="2"/>
  <c r="Q1027" i="2"/>
  <c r="Q1065" i="2"/>
  <c r="Q1106" i="2"/>
  <c r="X1106" i="2" s="1"/>
  <c r="AB1106" i="2" s="1"/>
  <c r="AT1106" i="8" s="1"/>
  <c r="Q74" i="2"/>
  <c r="Q592" i="2"/>
  <c r="Q624" i="2"/>
  <c r="Q663" i="2"/>
  <c r="Q735" i="2"/>
  <c r="Q768" i="2"/>
  <c r="Q806" i="2"/>
  <c r="Q839" i="2"/>
  <c r="Q878" i="2"/>
  <c r="Q912" i="2"/>
  <c r="Q953" i="2"/>
  <c r="Q987" i="2"/>
  <c r="Q1030" i="2"/>
  <c r="Q1071" i="2"/>
  <c r="Q1107" i="2"/>
  <c r="Q593" i="2"/>
  <c r="Q664" i="2"/>
  <c r="Q697" i="2"/>
  <c r="Q736" i="2"/>
  <c r="Q769" i="2"/>
  <c r="Q807" i="2"/>
  <c r="Q840" i="2"/>
  <c r="Q879" i="2"/>
  <c r="Q913" i="2"/>
  <c r="Q988" i="2"/>
  <c r="Q1031" i="2"/>
  <c r="Q1072" i="2"/>
  <c r="Q1108" i="2"/>
  <c r="Q87" i="2"/>
  <c r="Q594" i="2"/>
  <c r="Q665" i="2"/>
  <c r="Q698" i="2"/>
  <c r="Q737" i="2"/>
  <c r="Q770" i="2"/>
  <c r="Q808" i="2"/>
  <c r="Q841" i="2"/>
  <c r="Q880" i="2"/>
  <c r="Q914" i="2"/>
  <c r="Q992" i="2"/>
  <c r="Q1032" i="2"/>
  <c r="Q1073" i="2"/>
  <c r="Q1109" i="2"/>
  <c r="Q595" i="2"/>
  <c r="Q627" i="2"/>
  <c r="Q667" i="2"/>
  <c r="Q739" i="2"/>
  <c r="Q771" i="2"/>
  <c r="Q809" i="2"/>
  <c r="Q842" i="2"/>
  <c r="Q881" i="2"/>
  <c r="Q959" i="2"/>
  <c r="Q998" i="2"/>
  <c r="Q1033" i="2"/>
  <c r="Q1110" i="2"/>
  <c r="Q916" i="2"/>
  <c r="Q597" i="2"/>
  <c r="Q669" i="2"/>
  <c r="Q701" i="2"/>
  <c r="Q741" i="2"/>
  <c r="Q773" i="2"/>
  <c r="Q812" i="2"/>
  <c r="Q844" i="2"/>
  <c r="Q884" i="2"/>
  <c r="Q920" i="2"/>
  <c r="Q1000" i="2"/>
  <c r="Q1035" i="2"/>
  <c r="Q1077" i="2"/>
  <c r="Q1119" i="2"/>
  <c r="Q700" i="2"/>
  <c r="Q598" i="2"/>
  <c r="Q632" i="2"/>
  <c r="Q742" i="2"/>
  <c r="Q776" i="2"/>
  <c r="Q813" i="2"/>
  <c r="Q845" i="2"/>
  <c r="Q886" i="2"/>
  <c r="Q926" i="2"/>
  <c r="Q962" i="2"/>
  <c r="Q1001" i="2"/>
  <c r="Q1036" i="2"/>
  <c r="Q1079" i="2"/>
  <c r="Q1120" i="2"/>
  <c r="Q1037" i="2"/>
  <c r="Q732" i="2"/>
  <c r="Q707" i="2"/>
  <c r="Q1029" i="2"/>
  <c r="Q1026" i="2"/>
  <c r="Q850" i="2"/>
  <c r="Q779" i="2"/>
  <c r="Q894" i="2"/>
  <c r="Q873" i="2"/>
  <c r="Q997" i="2"/>
  <c r="X997" i="2" s="1"/>
  <c r="AB997" i="2" s="1"/>
  <c r="AT997" i="8" s="1"/>
  <c r="Q829" i="2"/>
  <c r="X829" i="2" s="1"/>
  <c r="AB829" i="2" s="1"/>
  <c r="AT829" i="8" s="1"/>
  <c r="Q970" i="2"/>
  <c r="Q1013" i="2"/>
  <c r="Q708" i="2"/>
  <c r="Q659" i="2"/>
  <c r="Q957" i="2"/>
  <c r="Q1002" i="2"/>
  <c r="Q702" i="2"/>
  <c r="Q871" i="2"/>
  <c r="X871" i="2" s="1"/>
  <c r="AB871" i="2" s="1"/>
  <c r="AT871" i="8" s="1"/>
  <c r="Q609" i="2"/>
  <c r="X609" i="2" s="1"/>
  <c r="AB609" i="2" s="1"/>
  <c r="AT609" i="8" s="1"/>
  <c r="Q777" i="2"/>
  <c r="Q941" i="2"/>
  <c r="Q684" i="2"/>
  <c r="Q635" i="2"/>
  <c r="Q933" i="2"/>
  <c r="Q954" i="2"/>
  <c r="Q661" i="2"/>
  <c r="X661" i="2" s="1"/>
  <c r="AB661" i="2" s="1"/>
  <c r="AT661" i="8" s="1"/>
  <c r="Q1099" i="2"/>
  <c r="Q1125" i="2"/>
  <c r="Q660" i="2"/>
  <c r="Q611" i="2"/>
  <c r="Q1062" i="2"/>
  <c r="Q885" i="2"/>
  <c r="Q930" i="2"/>
  <c r="Q969" i="2"/>
  <c r="Q1070" i="2"/>
  <c r="X1070" i="2" s="1"/>
  <c r="AB1070" i="2" s="1"/>
  <c r="AT1070" i="8" s="1"/>
  <c r="Q1004" i="2"/>
  <c r="Q588" i="2"/>
  <c r="Q587" i="2"/>
  <c r="Q989" i="2"/>
  <c r="Q906" i="2"/>
  <c r="Q990" i="2"/>
  <c r="Q943" i="2"/>
  <c r="Q705" i="2"/>
  <c r="X705" i="2" s="1"/>
  <c r="AB705" i="2" s="1"/>
  <c r="AT705" i="8" s="1"/>
  <c r="Q901" i="2"/>
  <c r="X901" i="2" s="1"/>
  <c r="AB901" i="2" s="1"/>
  <c r="AT901" i="8" s="1"/>
  <c r="Q980" i="2"/>
  <c r="Q922" i="2"/>
  <c r="Q82" i="2"/>
  <c r="Q917" i="2"/>
  <c r="Q882" i="2"/>
  <c r="X882" i="2" s="1"/>
  <c r="AB882" i="2" s="1"/>
  <c r="AT882" i="8" s="1"/>
  <c r="Q798" i="2"/>
  <c r="X798" i="2" s="1"/>
  <c r="AB798" i="2" s="1"/>
  <c r="AT798" i="8" s="1"/>
  <c r="Q606" i="2"/>
  <c r="X606" i="2" s="1"/>
  <c r="AB606" i="2" s="1"/>
  <c r="AT606" i="8" s="1"/>
  <c r="Q582" i="2"/>
  <c r="Q775" i="2"/>
  <c r="Q607" i="2"/>
  <c r="X607" i="2" s="1"/>
  <c r="AB607" i="2" s="1"/>
  <c r="AT607" i="8" s="1"/>
  <c r="Q733" i="2"/>
  <c r="Q851" i="2"/>
  <c r="Q1100" i="2"/>
  <c r="Q730" i="2"/>
  <c r="Q605" i="2"/>
  <c r="Q858" i="2"/>
  <c r="X858" i="2" s="1"/>
  <c r="AB858" i="2" s="1"/>
  <c r="AT858" i="8" s="1"/>
  <c r="Q1063" i="2"/>
  <c r="Q966" i="2"/>
  <c r="X966" i="2" s="1"/>
  <c r="AB966" i="2" s="1"/>
  <c r="AT966" i="8" s="1"/>
  <c r="Q1003" i="2"/>
  <c r="Q586" i="2"/>
  <c r="Q1018" i="2"/>
  <c r="Q1101" i="2"/>
  <c r="Q834" i="2"/>
  <c r="Q778" i="2"/>
  <c r="Q870" i="2"/>
  <c r="Q1039" i="2"/>
  <c r="X1039" i="2" s="1"/>
  <c r="AB1039" i="2" s="1"/>
  <c r="AT1039" i="8" s="1"/>
  <c r="Q633" i="2"/>
  <c r="X633" i="2" s="1"/>
  <c r="AB633" i="2" s="1"/>
  <c r="AT633" i="8" s="1"/>
  <c r="Q973" i="2"/>
  <c r="X973" i="2" s="1"/>
  <c r="AB973" i="2" s="1"/>
  <c r="AT973" i="8" s="1"/>
  <c r="Q786" i="2"/>
  <c r="Q754" i="2"/>
  <c r="Q1028" i="2"/>
  <c r="Q810" i="2"/>
  <c r="Q847" i="2"/>
  <c r="X847" i="2" s="1"/>
  <c r="AB847" i="2" s="1"/>
  <c r="AT847" i="8" s="1"/>
  <c r="Q801" i="2"/>
  <c r="Q805" i="2"/>
  <c r="X805" i="2" s="1"/>
  <c r="AB805" i="2" s="1"/>
  <c r="AT805" i="8" s="1"/>
  <c r="Q923" i="2"/>
  <c r="Q799" i="2"/>
  <c r="Q1090" i="2"/>
  <c r="Q1117" i="2"/>
  <c r="Q610" i="2"/>
  <c r="Q956" i="2"/>
  <c r="Q762" i="2"/>
  <c r="Q774" i="2"/>
  <c r="Q1066" i="2"/>
  <c r="Q1064" i="2"/>
  <c r="Q709" i="2"/>
  <c r="X709" i="2" s="1"/>
  <c r="AB709" i="2" s="1"/>
  <c r="AT709" i="8" s="1"/>
  <c r="Q658" i="2"/>
  <c r="Q1093" i="2"/>
  <c r="Q714" i="2"/>
  <c r="Q1041" i="2"/>
  <c r="Q1112" i="2"/>
  <c r="Q897" i="2"/>
  <c r="Q1045" i="2"/>
  <c r="X1045" i="2" s="1"/>
  <c r="AB1045" i="2" s="1"/>
  <c r="AT1045" i="8" s="1"/>
  <c r="Q706" i="2"/>
  <c r="Q822" i="2"/>
  <c r="Q1069" i="2"/>
  <c r="Q666" i="2"/>
  <c r="Q899" i="2"/>
  <c r="Q729" i="2"/>
  <c r="Q877" i="2"/>
  <c r="Q1044" i="2"/>
  <c r="Q1067" i="2"/>
  <c r="Q826" i="2"/>
  <c r="Q642" i="2"/>
  <c r="Q802" i="2"/>
  <c r="Q1019" i="2"/>
  <c r="Q919" i="2"/>
  <c r="Q583" i="2"/>
  <c r="X583" i="2" s="1"/>
  <c r="AB583" i="2" s="1"/>
  <c r="AT583" i="8" s="1"/>
  <c r="Q1020" i="2"/>
  <c r="Q1115" i="2"/>
  <c r="Q874" i="2"/>
  <c r="Q1038" i="2"/>
  <c r="Q657" i="2"/>
  <c r="X657" i="2" s="1"/>
  <c r="AB657" i="2" s="1"/>
  <c r="AT657" i="8" s="1"/>
  <c r="Q1118" i="2"/>
  <c r="X1118" i="2" s="1"/>
  <c r="AB1118" i="2" s="1"/>
  <c r="AT1118" i="8" s="1"/>
  <c r="Q631" i="2"/>
  <c r="X631" i="2" s="1"/>
  <c r="AB631" i="2" s="1"/>
  <c r="AT631" i="8" s="1"/>
  <c r="Q996" i="2"/>
  <c r="Q634" i="2"/>
  <c r="Q683" i="2"/>
  <c r="Q846" i="2"/>
  <c r="Q1017" i="2"/>
  <c r="Q1015" i="2"/>
  <c r="Q823" i="2"/>
  <c r="Q825" i="2"/>
  <c r="Q949" i="2"/>
  <c r="X949" i="2" s="1"/>
  <c r="AB949" i="2" s="1"/>
  <c r="AT949" i="8" s="1"/>
  <c r="Q972" i="2"/>
  <c r="Q1116" i="2"/>
  <c r="Q994" i="2"/>
  <c r="Q1111" i="2"/>
  <c r="Q942" i="2"/>
  <c r="X942" i="2" s="1"/>
  <c r="AB942" i="2" s="1"/>
  <c r="AT942" i="8" s="1"/>
  <c r="Q654" i="2"/>
  <c r="Q991" i="2"/>
  <c r="X991" i="2" s="1"/>
  <c r="AB991" i="2" s="1"/>
  <c r="AT991" i="8" s="1"/>
  <c r="Q585" i="2"/>
  <c r="Q781" i="2"/>
  <c r="X781" i="2" s="1"/>
  <c r="AB781" i="2" s="1"/>
  <c r="AT781" i="8" s="1"/>
  <c r="Q828" i="2"/>
  <c r="Q967" i="2"/>
  <c r="X967" i="2" s="1"/>
  <c r="AB967" i="2" s="1"/>
  <c r="AT967" i="8" s="1"/>
  <c r="Q1087" i="2"/>
  <c r="Q948" i="2"/>
  <c r="Q1092" i="2"/>
  <c r="Q918" i="2"/>
  <c r="Q750" i="2"/>
  <c r="Q655" i="2"/>
  <c r="X655" i="2" s="1"/>
  <c r="AB655" i="2" s="1"/>
  <c r="AT655" i="8" s="1"/>
  <c r="Q613" i="2"/>
  <c r="X613" i="2" s="1"/>
  <c r="AB613" i="2" s="1"/>
  <c r="AT613" i="8" s="1"/>
  <c r="Q924" i="2"/>
  <c r="Q995" i="2"/>
  <c r="Q1088" i="2"/>
  <c r="Q1021" i="2"/>
  <c r="X1021" i="2" s="1"/>
  <c r="AB1021" i="2" s="1"/>
  <c r="AT1021" i="8" s="1"/>
  <c r="Q900" i="2"/>
  <c r="Q971" i="2"/>
  <c r="Q895" i="2"/>
  <c r="X895" i="2" s="1"/>
  <c r="AB895" i="2" s="1"/>
  <c r="AT895" i="8" s="1"/>
  <c r="Q727" i="2"/>
  <c r="Q753" i="2"/>
  <c r="Q853" i="2"/>
  <c r="X853" i="2" s="1"/>
  <c r="AB853" i="2" s="1"/>
  <c r="AT853" i="8" s="1"/>
  <c r="Q876" i="2"/>
  <c r="Q947" i="2"/>
  <c r="Q946" i="2"/>
  <c r="Q1091" i="2"/>
  <c r="Q993" i="2"/>
  <c r="Q921" i="2"/>
  <c r="X921" i="2" s="1"/>
  <c r="AB921" i="2" s="1"/>
  <c r="AT921" i="8" s="1"/>
  <c r="Q685" i="2"/>
  <c r="Q925" i="2"/>
  <c r="X925" i="2" s="1"/>
  <c r="AB925" i="2" s="1"/>
  <c r="AT925" i="8" s="1"/>
  <c r="Q1050" i="2"/>
  <c r="Q1114" i="2"/>
  <c r="Q589" i="2"/>
  <c r="X589" i="2" s="1"/>
  <c r="AB589" i="2" s="1"/>
  <c r="AT589" i="8" s="1"/>
  <c r="Q852" i="2"/>
  <c r="Q875" i="2"/>
  <c r="Q1123" i="2"/>
  <c r="Q898" i="2"/>
  <c r="Q1014" i="2"/>
  <c r="Q1094" i="2"/>
  <c r="X1094" i="2" s="1"/>
  <c r="AB1094" i="2" s="1"/>
  <c r="AT1094" i="8" s="1"/>
  <c r="Q1078" i="2"/>
  <c r="Q804" i="2"/>
  <c r="Q827" i="2"/>
  <c r="Q1102" i="2"/>
  <c r="Q1075" i="2"/>
  <c r="Q731" i="2"/>
  <c r="Q803" i="2"/>
  <c r="Q630" i="2"/>
  <c r="Q849" i="2"/>
  <c r="Q757" i="2"/>
  <c r="X757" i="2" s="1"/>
  <c r="AB757" i="2" s="1"/>
  <c r="AT757" i="8" s="1"/>
  <c r="Q780" i="2"/>
  <c r="Q755" i="2"/>
  <c r="Q497" i="2"/>
  <c r="Q75" i="2"/>
  <c r="Q184" i="2"/>
  <c r="Q223" i="2"/>
  <c r="Q302" i="2"/>
  <c r="Q377" i="2"/>
  <c r="Q436" i="2"/>
  <c r="Q501" i="2"/>
  <c r="Q301" i="2"/>
  <c r="Q79" i="2"/>
  <c r="Q185" i="2"/>
  <c r="Q303" i="2"/>
  <c r="Q382" i="2"/>
  <c r="Q503" i="2"/>
  <c r="Q134" i="2"/>
  <c r="Q186" i="2"/>
  <c r="Q232" i="2"/>
  <c r="Q307" i="2"/>
  <c r="Q383" i="2"/>
  <c r="Q445" i="2"/>
  <c r="Q504" i="2"/>
  <c r="Q187" i="2"/>
  <c r="Q234" i="2"/>
  <c r="Q308" i="2"/>
  <c r="Q384" i="2"/>
  <c r="Q446" i="2"/>
  <c r="Q507" i="2"/>
  <c r="Q129" i="2"/>
  <c r="Q137" i="2"/>
  <c r="Q189" i="2"/>
  <c r="Q235" i="2"/>
  <c r="Q309" i="2"/>
  <c r="Q385" i="2"/>
  <c r="Q447" i="2"/>
  <c r="Q508" i="2"/>
  <c r="Q88" i="2"/>
  <c r="Q138" i="2"/>
  <c r="Q190" i="2"/>
  <c r="Q236" i="2"/>
  <c r="Q386" i="2"/>
  <c r="Q451" i="2"/>
  <c r="Q509" i="2"/>
  <c r="Q430" i="2"/>
  <c r="Q89" i="2"/>
  <c r="Q140" i="2"/>
  <c r="Q191" i="2"/>
  <c r="Q237" i="2"/>
  <c r="Q319" i="2"/>
  <c r="Q387" i="2"/>
  <c r="Q452" i="2"/>
  <c r="Q514" i="2"/>
  <c r="Q90" i="2"/>
  <c r="Q141" i="2"/>
  <c r="Q242" i="2"/>
  <c r="Q332" i="2"/>
  <c r="Q388" i="2"/>
  <c r="Q454" i="2"/>
  <c r="Q91" i="2"/>
  <c r="Q142" i="2"/>
  <c r="Q194" i="2"/>
  <c r="Q243" i="2"/>
  <c r="Q333" i="2"/>
  <c r="Q391" i="2"/>
  <c r="Q455" i="2"/>
  <c r="Q519" i="2"/>
  <c r="Q92" i="2"/>
  <c r="Q143" i="2"/>
  <c r="Q195" i="2"/>
  <c r="Q244" i="2"/>
  <c r="Q335" i="2"/>
  <c r="Q465" i="2"/>
  <c r="Q520" i="2"/>
  <c r="Q144" i="2"/>
  <c r="Q196" i="2"/>
  <c r="Q249" i="2"/>
  <c r="Q337" i="2"/>
  <c r="Q397" i="2"/>
  <c r="Q469" i="2"/>
  <c r="Q525" i="2"/>
  <c r="Q146" i="2"/>
  <c r="Q199" i="2"/>
  <c r="Q253" i="2"/>
  <c r="Q338" i="2"/>
  <c r="Q470" i="2"/>
  <c r="Q527" i="2"/>
  <c r="Q37" i="2"/>
  <c r="Q97" i="2"/>
  <c r="Q201" i="2"/>
  <c r="Q340" i="2"/>
  <c r="Q471" i="2"/>
  <c r="Q528" i="2"/>
  <c r="Q38" i="2"/>
  <c r="Q99" i="2"/>
  <c r="Q257" i="2"/>
  <c r="Q345" i="2"/>
  <c r="Q402" i="2"/>
  <c r="Q473" i="2"/>
  <c r="Q531" i="2"/>
  <c r="Q44" i="2"/>
  <c r="Q110" i="2"/>
  <c r="Q205" i="2"/>
  <c r="Q261" i="2"/>
  <c r="Q349" i="2"/>
  <c r="Q404" i="2"/>
  <c r="Q475" i="2"/>
  <c r="Q542" i="2"/>
  <c r="Q57" i="2"/>
  <c r="Q263" i="2"/>
  <c r="Q350" i="2"/>
  <c r="Q405" i="2"/>
  <c r="Q478" i="2"/>
  <c r="Q546" i="2"/>
  <c r="Q500" i="2"/>
  <c r="Q115" i="2"/>
  <c r="Q268" i="2"/>
  <c r="Q352" i="2"/>
  <c r="Q376" i="2"/>
  <c r="Q116" i="2"/>
  <c r="Q164" i="2"/>
  <c r="Q211" i="2"/>
  <c r="Q271" i="2"/>
  <c r="Q354" i="2"/>
  <c r="Q415" i="2"/>
  <c r="Q481" i="2"/>
  <c r="Q554" i="2"/>
  <c r="X554" i="2" s="1"/>
  <c r="AB554" i="2" s="1"/>
  <c r="AT554" i="8" s="1"/>
  <c r="Q64" i="2"/>
  <c r="Q166" i="2"/>
  <c r="Q212" i="2"/>
  <c r="Q356" i="2"/>
  <c r="Q484" i="2"/>
  <c r="Q555" i="2"/>
  <c r="Q118" i="2"/>
  <c r="Q168" i="2"/>
  <c r="Q214" i="2"/>
  <c r="Q280" i="2"/>
  <c r="Q363" i="2"/>
  <c r="Q421" i="2"/>
  <c r="Q494" i="2"/>
  <c r="Q557" i="2"/>
  <c r="Q66" i="2"/>
  <c r="Q119" i="2"/>
  <c r="Q170" i="2"/>
  <c r="Q215" i="2"/>
  <c r="Q284" i="2"/>
  <c r="Q364" i="2"/>
  <c r="Q424" i="2"/>
  <c r="Q496" i="2"/>
  <c r="Q562" i="2"/>
  <c r="Q68" i="2"/>
  <c r="Q172" i="2"/>
  <c r="Q295" i="2"/>
  <c r="Q370" i="2"/>
  <c r="Q428" i="2"/>
  <c r="Q498" i="2"/>
  <c r="Q127" i="2"/>
  <c r="Q178" i="2"/>
  <c r="Q297" i="2"/>
  <c r="Q429" i="2"/>
  <c r="Q499" i="2"/>
  <c r="Q567" i="2"/>
  <c r="Q442" i="2"/>
  <c r="Q395" i="2"/>
  <c r="Q418" i="2"/>
  <c r="Q173" i="2"/>
  <c r="Q394" i="2"/>
  <c r="Q467" i="2"/>
  <c r="Q492" i="2"/>
  <c r="X492" i="2" s="1"/>
  <c r="AB492" i="2" s="1"/>
  <c r="AT492" i="8" s="1"/>
  <c r="Q274" i="2"/>
  <c r="X274" i="2" s="1"/>
  <c r="AB274" i="2" s="1"/>
  <c r="AT274" i="8" s="1"/>
  <c r="Q440" i="2"/>
  <c r="Q368" i="2"/>
  <c r="Q226" i="2"/>
  <c r="Q248" i="2"/>
  <c r="Q84" i="2"/>
  <c r="X84" i="2" s="1"/>
  <c r="AB84" i="2" s="1"/>
  <c r="AT84" i="8" s="1"/>
  <c r="Q420" i="2"/>
  <c r="Q202" i="2"/>
  <c r="Q461" i="2"/>
  <c r="Q486" i="2"/>
  <c r="Q396" i="2"/>
  <c r="X396" i="2" s="1"/>
  <c r="AB396" i="2" s="1"/>
  <c r="AT396" i="8" s="1"/>
  <c r="Q154" i="2"/>
  <c r="Q462" i="2"/>
  <c r="Q198" i="2"/>
  <c r="X198" i="2" s="1"/>
  <c r="AB198" i="2" s="1"/>
  <c r="AT198" i="8" s="1"/>
  <c r="Q565" i="2"/>
  <c r="X565" i="2" s="1"/>
  <c r="AB565" i="2" s="1"/>
  <c r="AT565" i="8" s="1"/>
  <c r="Q300" i="2"/>
  <c r="Q130" i="2"/>
  <c r="Q534" i="2"/>
  <c r="Q341" i="2"/>
  <c r="Q149" i="2"/>
  <c r="Q540" i="2"/>
  <c r="Q491" i="2"/>
  <c r="Q559" i="2"/>
  <c r="X559" i="2" s="1"/>
  <c r="AB559" i="2" s="1"/>
  <c r="AT559" i="8" s="1"/>
  <c r="Q443" i="2"/>
  <c r="Q107" i="2"/>
  <c r="Q53" i="2"/>
  <c r="Q128" i="2"/>
  <c r="Q270" i="2"/>
  <c r="X270" i="2" s="1"/>
  <c r="AB270" i="2" s="1"/>
  <c r="AT270" i="8" s="1"/>
  <c r="Q392" i="2"/>
  <c r="X392" i="2" s="1"/>
  <c r="AB392" i="2" s="1"/>
  <c r="AT392" i="8" s="1"/>
  <c r="Q108" i="2"/>
  <c r="X108" i="2" s="1"/>
  <c r="AB108" i="2" s="1"/>
  <c r="AT108" i="8" s="1"/>
  <c r="Q179" i="2"/>
  <c r="Q272" i="2"/>
  <c r="X272" i="2" s="1"/>
  <c r="AB272" i="2" s="1"/>
  <c r="AT272" i="8" s="1"/>
  <c r="Q320" i="2"/>
  <c r="X320" i="2" s="1"/>
  <c r="AB320" i="2" s="1"/>
  <c r="AT320" i="8" s="1"/>
  <c r="Q155" i="2"/>
  <c r="Q437" i="2"/>
  <c r="Q174" i="2"/>
  <c r="X174" i="2" s="1"/>
  <c r="AB174" i="2" s="1"/>
  <c r="AT174" i="8" s="1"/>
  <c r="Q252" i="2"/>
  <c r="X252" i="2" s="1"/>
  <c r="AB252" i="2" s="1"/>
  <c r="AT252" i="8" s="1"/>
  <c r="Q510" i="2"/>
  <c r="Q125" i="2"/>
  <c r="X125" i="2" s="1"/>
  <c r="AB125" i="2" s="1"/>
  <c r="AT125" i="8" s="1"/>
  <c r="Q416" i="2"/>
  <c r="Q54" i="2"/>
  <c r="Q180" i="2"/>
  <c r="X180" i="2" s="1"/>
  <c r="AB180" i="2" s="1"/>
  <c r="AT180" i="8" s="1"/>
  <c r="Q530" i="2"/>
  <c r="Q150" i="2"/>
  <c r="Q444" i="2"/>
  <c r="X444" i="2" s="1"/>
  <c r="AB444" i="2" s="1"/>
  <c r="AT444" i="8" s="1"/>
  <c r="Q156" i="2"/>
  <c r="X156" i="2" s="1"/>
  <c r="AB156" i="2" s="1"/>
  <c r="AT156" i="8" s="1"/>
  <c r="Q409" i="2"/>
  <c r="Q289" i="2"/>
  <c r="Q488" i="2"/>
  <c r="Q197" i="2"/>
  <c r="Q389" i="2"/>
  <c r="Q176" i="2"/>
  <c r="Q318" i="2"/>
  <c r="Q561" i="2"/>
  <c r="Q344" i="2"/>
  <c r="Q517" i="2"/>
  <c r="X517" i="2" s="1"/>
  <c r="AB517" i="2" s="1"/>
  <c r="AT517" i="8" s="1"/>
  <c r="Q80" i="2"/>
  <c r="Q485" i="2"/>
  <c r="Q101" i="2"/>
  <c r="Q245" i="2"/>
  <c r="X245" i="2" s="1"/>
  <c r="AB245" i="2" s="1"/>
  <c r="AT245" i="8" s="1"/>
  <c r="Q222" i="2"/>
  <c r="X222" i="2" s="1"/>
  <c r="AB222" i="2" s="1"/>
  <c r="AT222" i="8" s="1"/>
  <c r="Q26" i="2"/>
  <c r="X26" i="2" s="1"/>
  <c r="AB26" i="2" s="1"/>
  <c r="AT26" i="8" s="1"/>
  <c r="Q15" i="2"/>
  <c r="X15" i="2" s="1"/>
  <c r="AB15" i="2" s="1"/>
  <c r="AT15" i="8" s="1"/>
  <c r="Q23" i="2"/>
  <c r="X23" i="2" s="1"/>
  <c r="AB23" i="2" s="1"/>
  <c r="AT23" i="8" s="1"/>
  <c r="Q20" i="2"/>
  <c r="X20" i="2" s="1"/>
  <c r="AB20" i="2" s="1"/>
  <c r="AT20" i="8" s="1"/>
  <c r="Q32" i="2"/>
  <c r="X32" i="2" s="1"/>
  <c r="AB32" i="2" s="1"/>
  <c r="AT32" i="8" s="1"/>
  <c r="Q34" i="2"/>
  <c r="X34" i="2" s="1"/>
  <c r="AB34" i="2" s="1"/>
  <c r="AT34" i="8" s="1"/>
  <c r="Q145" i="2"/>
  <c r="Q177" i="2"/>
  <c r="Q207" i="2"/>
  <c r="Q264" i="2"/>
  <c r="Q325" i="2"/>
  <c r="Q353" i="2"/>
  <c r="Q381" i="2"/>
  <c r="Q410" i="2"/>
  <c r="Q502" i="2"/>
  <c r="Q532" i="2"/>
  <c r="Q563" i="2"/>
  <c r="Q408" i="2"/>
  <c r="Q61" i="2"/>
  <c r="Q265" i="2"/>
  <c r="Q326" i="2"/>
  <c r="Q411" i="2"/>
  <c r="Q474" i="2"/>
  <c r="Q533" i="2"/>
  <c r="Q62" i="2"/>
  <c r="Q147" i="2"/>
  <c r="Q209" i="2"/>
  <c r="Q238" i="2"/>
  <c r="Q266" i="2"/>
  <c r="Q298" i="2"/>
  <c r="Q327" i="2"/>
  <c r="Q355" i="2"/>
  <c r="Q412" i="2"/>
  <c r="Q536" i="2"/>
  <c r="Q120" i="2"/>
  <c r="Q181" i="2"/>
  <c r="Q239" i="2"/>
  <c r="Q267" i="2"/>
  <c r="Q328" i="2"/>
  <c r="Q476" i="2"/>
  <c r="Q505" i="2"/>
  <c r="Q538" i="2"/>
  <c r="Q121" i="2"/>
  <c r="Q151" i="2"/>
  <c r="Q182" i="2"/>
  <c r="Q240" i="2"/>
  <c r="Q329" i="2"/>
  <c r="X329" i="2" s="1"/>
  <c r="AB329" i="2" s="1"/>
  <c r="AT329" i="8" s="1"/>
  <c r="Q357" i="2"/>
  <c r="Q417" i="2"/>
  <c r="Q477" i="2"/>
  <c r="Q539" i="2"/>
  <c r="Q122" i="2"/>
  <c r="Q153" i="2"/>
  <c r="Q241" i="2"/>
  <c r="Q330" i="2"/>
  <c r="Q358" i="2"/>
  <c r="Q448" i="2"/>
  <c r="Q95" i="2"/>
  <c r="Q213" i="2"/>
  <c r="Q273" i="2"/>
  <c r="Q331" i="2"/>
  <c r="Q359" i="2"/>
  <c r="Q449" i="2"/>
  <c r="Q67" i="2"/>
  <c r="Q96" i="2"/>
  <c r="Q124" i="2"/>
  <c r="Q304" i="2"/>
  <c r="Q360" i="2"/>
  <c r="Q450" i="2"/>
  <c r="Q480" i="2"/>
  <c r="Q512" i="2"/>
  <c r="Q543" i="2"/>
  <c r="Q157" i="2"/>
  <c r="Q305" i="2"/>
  <c r="Q361" i="2"/>
  <c r="Q422" i="2"/>
  <c r="Q544" i="2"/>
  <c r="Q69" i="2"/>
  <c r="Q98" i="2"/>
  <c r="Q158" i="2"/>
  <c r="Q247" i="2"/>
  <c r="Q277" i="2"/>
  <c r="Q306" i="2"/>
  <c r="Q334" i="2"/>
  <c r="Q362" i="2"/>
  <c r="Q393" i="2"/>
  <c r="Q423" i="2"/>
  <c r="Q482" i="2"/>
  <c r="Q515" i="2"/>
  <c r="Q545" i="2"/>
  <c r="Q70" i="2"/>
  <c r="Q188" i="2"/>
  <c r="Q278" i="2"/>
  <c r="Q453" i="2"/>
  <c r="Q483" i="2"/>
  <c r="Q323" i="2"/>
  <c r="Q100" i="2"/>
  <c r="Q160" i="2"/>
  <c r="Q250" i="2"/>
  <c r="Q279" i="2"/>
  <c r="Q336" i="2"/>
  <c r="Q425" i="2"/>
  <c r="Q547" i="2"/>
  <c r="Q292" i="2"/>
  <c r="Q72" i="2"/>
  <c r="Q103" i="2"/>
  <c r="Q161" i="2"/>
  <c r="Q220" i="2"/>
  <c r="Q367" i="2"/>
  <c r="Q426" i="2"/>
  <c r="Q487" i="2"/>
  <c r="Q548" i="2"/>
  <c r="Q175" i="2"/>
  <c r="Q380" i="2"/>
  <c r="Q73" i="2"/>
  <c r="Q105" i="2"/>
  <c r="Q281" i="2"/>
  <c r="Q369" i="2"/>
  <c r="Q427" i="2"/>
  <c r="Q458" i="2"/>
  <c r="Q489" i="2"/>
  <c r="Q39" i="2"/>
  <c r="Q106" i="2"/>
  <c r="Q135" i="2"/>
  <c r="Q225" i="2"/>
  <c r="Q254" i="2"/>
  <c r="Q282" i="2"/>
  <c r="Q311" i="2"/>
  <c r="Q339" i="2"/>
  <c r="Q459" i="2"/>
  <c r="Q490" i="2"/>
  <c r="Q521" i="2"/>
  <c r="Q550" i="2"/>
  <c r="Q40" i="2"/>
  <c r="Q283" i="2"/>
  <c r="Q312" i="2"/>
  <c r="Q400" i="2"/>
  <c r="Q460" i="2"/>
  <c r="Q522" i="2"/>
  <c r="Q551" i="2"/>
  <c r="Q42" i="2"/>
  <c r="Q109" i="2"/>
  <c r="Q165" i="2"/>
  <c r="Q256" i="2"/>
  <c r="Q313" i="2"/>
  <c r="Q343" i="2"/>
  <c r="Q373" i="2"/>
  <c r="Q401" i="2"/>
  <c r="Q463" i="2"/>
  <c r="Q493" i="2"/>
  <c r="Q523" i="2"/>
  <c r="Q552" i="2"/>
  <c r="Q43" i="2"/>
  <c r="X43" i="2" s="1"/>
  <c r="AB43" i="2" s="1"/>
  <c r="AT43" i="8" s="1"/>
  <c r="Q81" i="2"/>
  <c r="X81" i="2" s="1"/>
  <c r="AB81" i="2" s="1"/>
  <c r="AT81" i="8" s="1"/>
  <c r="Q229" i="2"/>
  <c r="Q285" i="2"/>
  <c r="Q314" i="2"/>
  <c r="Q374" i="2"/>
  <c r="Q431" i="2"/>
  <c r="Q524" i="2"/>
  <c r="Q553" i="2"/>
  <c r="Q111" i="2"/>
  <c r="Q139" i="2"/>
  <c r="Q167" i="2"/>
  <c r="Q230" i="2"/>
  <c r="Q258" i="2"/>
  <c r="Q286" i="2"/>
  <c r="X286" i="2" s="1"/>
  <c r="AB286" i="2" s="1"/>
  <c r="AT286" i="8" s="1"/>
  <c r="Q315" i="2"/>
  <c r="Q346" i="2"/>
  <c r="Q403" i="2"/>
  <c r="Q432" i="2"/>
  <c r="Q466" i="2"/>
  <c r="Q495" i="2"/>
  <c r="Q472" i="2"/>
  <c r="Q51" i="2"/>
  <c r="Q112" i="2"/>
  <c r="Q231" i="2"/>
  <c r="Q259" i="2"/>
  <c r="Q287" i="2"/>
  <c r="Q316" i="2"/>
  <c r="Q434" i="2"/>
  <c r="Q526" i="2"/>
  <c r="Q52" i="2"/>
  <c r="Q85" i="2"/>
  <c r="Q260" i="2"/>
  <c r="Q288" i="2"/>
  <c r="Q435" i="2"/>
  <c r="Q556" i="2"/>
  <c r="Q55" i="2"/>
  <c r="Q114" i="2"/>
  <c r="Q171" i="2"/>
  <c r="Q233" i="2"/>
  <c r="Q290" i="2"/>
  <c r="Q321" i="2"/>
  <c r="Q378" i="2"/>
  <c r="Q406" i="2"/>
  <c r="Q262" i="2"/>
  <c r="Q291" i="2"/>
  <c r="Q322" i="2"/>
  <c r="Q351" i="2"/>
  <c r="Q379" i="2"/>
  <c r="Q439" i="2"/>
  <c r="Q529" i="2"/>
  <c r="Q560" i="2"/>
  <c r="Q206" i="2"/>
  <c r="Q441" i="2"/>
  <c r="Q564" i="2"/>
  <c r="Q102" i="2"/>
  <c r="X102" i="2" s="1"/>
  <c r="AB102" i="2" s="1"/>
  <c r="AT102" i="8" s="1"/>
  <c r="Q299" i="2"/>
  <c r="Q78" i="2"/>
  <c r="X78" i="2" s="1"/>
  <c r="AB78" i="2" s="1"/>
  <c r="AT78" i="8" s="1"/>
  <c r="Q59" i="2"/>
  <c r="Q342" i="2"/>
  <c r="Q324" i="2"/>
  <c r="Q203" i="2"/>
  <c r="Q513" i="2"/>
  <c r="Q46" i="2"/>
  <c r="Q414" i="2"/>
  <c r="Q347" i="2"/>
  <c r="Q464" i="2"/>
  <c r="Q246" i="2"/>
  <c r="Q45" i="2"/>
  <c r="Q317" i="2"/>
  <c r="Q47" i="2"/>
  <c r="Q56" i="2"/>
  <c r="Q50" i="2"/>
  <c r="Q419" i="2"/>
  <c r="Q104" i="2"/>
  <c r="Q251" i="2"/>
  <c r="Q506" i="2"/>
  <c r="Q413" i="2"/>
  <c r="Q228" i="2"/>
  <c r="X228" i="2" s="1"/>
  <c r="AB228" i="2" s="1"/>
  <c r="AT228" i="8" s="1"/>
  <c r="Q457" i="2"/>
  <c r="Q390" i="2"/>
  <c r="Q433" i="2"/>
  <c r="Q468" i="2"/>
  <c r="Q193" i="2"/>
  <c r="Q276" i="2"/>
  <c r="Q227" i="2"/>
  <c r="Q169" i="2"/>
  <c r="Q224" i="2"/>
  <c r="Q132" i="2"/>
  <c r="X132" i="2" s="1"/>
  <c r="AB132" i="2" s="1"/>
  <c r="AT132" i="8" s="1"/>
  <c r="Q49" i="2"/>
  <c r="Q293" i="2"/>
  <c r="Q294" i="2"/>
  <c r="Q200" i="2"/>
  <c r="Q541" i="2"/>
  <c r="X541" i="2" s="1"/>
  <c r="AB541" i="2" s="1"/>
  <c r="AT541" i="8" s="1"/>
  <c r="Q372" i="2"/>
  <c r="Q371" i="2"/>
  <c r="Q131" i="2"/>
  <c r="Q41" i="2"/>
  <c r="Q126" i="2"/>
  <c r="Q204" i="2"/>
  <c r="X204" i="2" s="1"/>
  <c r="AB204" i="2" s="1"/>
  <c r="AT204" i="8" s="1"/>
  <c r="Q456" i="2"/>
  <c r="Q365" i="2"/>
  <c r="X365" i="2" s="1"/>
  <c r="AB365" i="2" s="1"/>
  <c r="AT365" i="8" s="1"/>
  <c r="Q537" i="2"/>
  <c r="Q366" i="2"/>
  <c r="X366" i="2" s="1"/>
  <c r="AB366" i="2" s="1"/>
  <c r="AT366" i="8" s="1"/>
  <c r="Q48" i="2"/>
  <c r="Q348" i="2"/>
  <c r="X348" i="2" s="1"/>
  <c r="AB348" i="2" s="1"/>
  <c r="AT348" i="8" s="1"/>
  <c r="Q558" i="2"/>
  <c r="X558" i="2" s="1"/>
  <c r="AB558" i="2" s="1"/>
  <c r="AT558" i="8" s="1"/>
  <c r="Q152" i="2"/>
  <c r="Q511" i="2"/>
  <c r="Q296" i="2"/>
  <c r="Q516" i="2"/>
  <c r="Q438" i="2"/>
  <c r="X438" i="2" s="1"/>
  <c r="AB438" i="2" s="1"/>
  <c r="AT438" i="8" s="1"/>
  <c r="Q17" i="2"/>
  <c r="Q18" i="2"/>
  <c r="X18" i="2" s="1"/>
  <c r="AB18" i="2" s="1"/>
  <c r="AT18" i="8" s="1"/>
  <c r="Q33" i="2"/>
  <c r="X33" i="2" s="1"/>
  <c r="AB33" i="2" s="1"/>
  <c r="Q25" i="2"/>
  <c r="X25" i="2" s="1"/>
  <c r="AB25" i="2" s="1"/>
  <c r="AT25" i="8" s="1"/>
  <c r="Q27" i="2"/>
  <c r="X27" i="2" s="1"/>
  <c r="AB27" i="2" s="1"/>
  <c r="AT27" i="8" s="1"/>
  <c r="Q28" i="2"/>
  <c r="X28" i="2" s="1"/>
  <c r="AB28" i="2" s="1"/>
  <c r="AT28" i="8" s="1"/>
  <c r="Q24" i="2"/>
  <c r="X24" i="2" s="1"/>
  <c r="AB24" i="2" s="1"/>
  <c r="AT24" i="8" s="1"/>
  <c r="Q30" i="2"/>
  <c r="X30" i="2" s="1"/>
  <c r="AB30" i="2" s="1"/>
  <c r="AT30" i="8" s="1"/>
  <c r="Q22" i="2"/>
  <c r="X22" i="2" s="1"/>
  <c r="AB22" i="2" s="1"/>
  <c r="AT22" i="8" s="1"/>
  <c r="Q36" i="2"/>
  <c r="X36" i="2" s="1"/>
  <c r="AB36" i="2" s="1"/>
  <c r="AT36" i="8" s="1"/>
  <c r="Q16" i="2"/>
  <c r="X16" i="2" s="1"/>
  <c r="AB16" i="2" s="1"/>
  <c r="AT16" i="8" s="1"/>
  <c r="Q35" i="2"/>
  <c r="X35" i="2" s="1"/>
  <c r="AB35" i="2" s="1"/>
  <c r="AT35" i="8" s="1"/>
  <c r="Q31" i="2"/>
  <c r="X31" i="2" s="1"/>
  <c r="AB31" i="2" s="1"/>
  <c r="AT31" i="8" s="1"/>
  <c r="Q19" i="2"/>
  <c r="X19" i="2" s="1"/>
  <c r="AB19" i="2" s="1"/>
  <c r="AT19" i="8" s="1"/>
  <c r="Q21" i="2"/>
  <c r="X21" i="2" s="1"/>
  <c r="AB21" i="2" s="1"/>
  <c r="AT21"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31" i="8"/>
  <c r="AC33" i="2" l="1"/>
  <c r="AG33" i="2" s="1"/>
  <c r="AT33" i="8"/>
  <c r="X789" i="2"/>
  <c r="AB789" i="2" s="1"/>
  <c r="AT789" i="8" s="1"/>
  <c r="X782" i="2"/>
  <c r="AB782" i="2" s="1"/>
  <c r="AT782" i="8" s="1"/>
  <c r="X748" i="2"/>
  <c r="AB748" i="2" s="1"/>
  <c r="AT748" i="8" s="1"/>
  <c r="X722" i="2"/>
  <c r="AB722" i="2" s="1"/>
  <c r="AT722" i="8" s="1"/>
  <c r="X720" i="2"/>
  <c r="AB720" i="2" s="1"/>
  <c r="AT720" i="8" s="1"/>
  <c r="X612" i="2"/>
  <c r="AB612" i="2" s="1"/>
  <c r="AT612" i="8" s="1"/>
  <c r="X711" i="2"/>
  <c r="AB711" i="2" s="1"/>
  <c r="AT711" i="8" s="1"/>
  <c r="X756" i="2"/>
  <c r="AB756" i="2" s="1"/>
  <c r="AT756" i="8" s="1"/>
  <c r="X704" i="2"/>
  <c r="AB704" i="2" s="1"/>
  <c r="AT704" i="8" s="1"/>
  <c r="X636" i="2"/>
  <c r="AB636" i="2" s="1"/>
  <c r="AT636" i="8" s="1"/>
  <c r="X623" i="2"/>
  <c r="AB623" i="2" s="1"/>
  <c r="AT623" i="8" s="1"/>
  <c r="X622" i="2"/>
  <c r="AB622" i="2" s="1"/>
  <c r="AT622" i="8" s="1"/>
  <c r="X699" i="2"/>
  <c r="AB699" i="2" s="1"/>
  <c r="AT699" i="8" s="1"/>
  <c r="X1042" i="2"/>
  <c r="AB1042" i="2" s="1"/>
  <c r="AT1042" i="8" s="1"/>
  <c r="X696" i="2"/>
  <c r="AB696" i="2" s="1"/>
  <c r="AT696" i="8" s="1"/>
  <c r="X690" i="2"/>
  <c r="AB690" i="2" s="1"/>
  <c r="AT690" i="8" s="1"/>
  <c r="X676" i="2"/>
  <c r="AB676" i="2" s="1"/>
  <c r="AT676" i="8" s="1"/>
  <c r="X738" i="2"/>
  <c r="AB738" i="2" s="1"/>
  <c r="AT738" i="8" s="1"/>
  <c r="X670" i="2"/>
  <c r="AB670" i="2" s="1"/>
  <c r="AT670" i="8" s="1"/>
  <c r="X650" i="2"/>
  <c r="AB650" i="2" s="1"/>
  <c r="AT650" i="8" s="1"/>
  <c r="X649" i="2"/>
  <c r="AB649" i="2" s="1"/>
  <c r="AT649" i="8" s="1"/>
  <c r="X1068" i="2"/>
  <c r="AB1068" i="2" s="1"/>
  <c r="AT1068" i="8" s="1"/>
  <c r="X915" i="2"/>
  <c r="AB915" i="2" s="1"/>
  <c r="AT915" i="8" s="1"/>
  <c r="X945" i="2"/>
  <c r="AB945" i="2" s="1"/>
  <c r="AT945" i="8" s="1"/>
  <c r="X1098" i="2"/>
  <c r="AB1098" i="2" s="1"/>
  <c r="AT1098" i="8" s="1"/>
  <c r="X648" i="2"/>
  <c r="AB648" i="2" s="1"/>
  <c r="AT648" i="8" s="1"/>
  <c r="X678" i="2"/>
  <c r="AB678" i="2" s="1"/>
  <c r="AT678" i="8" s="1"/>
  <c r="X1074" i="2"/>
  <c r="AB1074" i="2" s="1"/>
  <c r="AT1074" i="8" s="1"/>
  <c r="X955" i="2"/>
  <c r="AB955" i="2" s="1"/>
  <c r="AT955" i="8" s="1"/>
  <c r="X640" i="2"/>
  <c r="AB640" i="2" s="1"/>
  <c r="AT640" i="8" s="1"/>
  <c r="X694" i="2"/>
  <c r="AB694" i="2" s="1"/>
  <c r="AT694" i="8" s="1"/>
  <c r="X629" i="2"/>
  <c r="AB629" i="2" s="1"/>
  <c r="AT629" i="8" s="1"/>
  <c r="X703" i="2"/>
  <c r="AB703" i="2" s="1"/>
  <c r="AT703" i="8" s="1"/>
  <c r="X626" i="2"/>
  <c r="AB626" i="2" s="1"/>
  <c r="AT626" i="8" s="1"/>
  <c r="X838" i="2"/>
  <c r="AB838" i="2" s="1"/>
  <c r="AT838" i="8" s="1"/>
  <c r="X958" i="2"/>
  <c r="AB958" i="2" s="1"/>
  <c r="AT958" i="8" s="1"/>
  <c r="X625" i="2"/>
  <c r="AB625" i="2" s="1"/>
  <c r="AT625" i="8" s="1"/>
  <c r="X660" i="2"/>
  <c r="AB660" i="2" s="1"/>
  <c r="AT660" i="8" s="1"/>
  <c r="X1014" i="2"/>
  <c r="AB1014" i="2" s="1"/>
  <c r="AT1014" i="8" s="1"/>
  <c r="X995" i="2"/>
  <c r="AB995" i="2" s="1"/>
  <c r="AT995" i="8" s="1"/>
  <c r="X1017" i="2"/>
  <c r="AB1017" i="2" s="1"/>
  <c r="AT1017" i="8" s="1"/>
  <c r="X1069" i="2"/>
  <c r="AB1069" i="2" s="1"/>
  <c r="AT1069" i="8" s="1"/>
  <c r="X810" i="2"/>
  <c r="AB810" i="2" s="1"/>
  <c r="AT810" i="8" s="1"/>
  <c r="X582" i="2"/>
  <c r="AB582" i="2" s="1"/>
  <c r="AT582" i="8" s="1"/>
  <c r="X1125" i="2"/>
  <c r="AB1125" i="2" s="1"/>
  <c r="AT1125" i="8" s="1"/>
  <c r="X1026" i="2"/>
  <c r="AB1026" i="2" s="1"/>
  <c r="AT1026" i="8" s="1"/>
  <c r="X884" i="2"/>
  <c r="AB884" i="2" s="1"/>
  <c r="AT884" i="8" s="1"/>
  <c r="X992" i="2"/>
  <c r="AB992" i="2" s="1"/>
  <c r="AT992" i="8" s="1"/>
  <c r="X1107" i="2"/>
  <c r="AB1107" i="2" s="1"/>
  <c r="AT1107" i="8" s="1"/>
  <c r="X734" i="2"/>
  <c r="AB734" i="2" s="1"/>
  <c r="AT734" i="8" s="1"/>
  <c r="X950" i="2"/>
  <c r="AB950" i="2" s="1"/>
  <c r="AT950" i="8" s="1"/>
  <c r="X596" i="2"/>
  <c r="AB596" i="2" s="1"/>
  <c r="AT596" i="8" s="1"/>
  <c r="X689" i="2"/>
  <c r="AB689" i="2" s="1"/>
  <c r="AT689" i="8" s="1"/>
  <c r="X830" i="2"/>
  <c r="AB830" i="2" s="1"/>
  <c r="AT830" i="8" s="1"/>
  <c r="X1010" i="2"/>
  <c r="AB1010" i="2" s="1"/>
  <c r="AT1010" i="8" s="1"/>
  <c r="X645" i="2"/>
  <c r="AB645" i="2" s="1"/>
  <c r="AT645" i="8" s="1"/>
  <c r="X932" i="2"/>
  <c r="AB932" i="2" s="1"/>
  <c r="AT932" i="8" s="1"/>
  <c r="X602" i="2"/>
  <c r="AB602" i="2" s="1"/>
  <c r="AT602" i="8" s="1"/>
  <c r="X854" i="2"/>
  <c r="AB854" i="2" s="1"/>
  <c r="AT854" i="8" s="1"/>
  <c r="X898" i="2"/>
  <c r="AB898" i="2" s="1"/>
  <c r="AT898" i="8" s="1"/>
  <c r="X924" i="2"/>
  <c r="AB924" i="2" s="1"/>
  <c r="AT924" i="8" s="1"/>
  <c r="X846" i="2"/>
  <c r="AB846" i="2" s="1"/>
  <c r="AT846" i="8" s="1"/>
  <c r="X822" i="2"/>
  <c r="AB822" i="2" s="1"/>
  <c r="AT822" i="8" s="1"/>
  <c r="X1028" i="2"/>
  <c r="AB1028" i="2" s="1"/>
  <c r="AT1028" i="8" s="1"/>
  <c r="X1099" i="2"/>
  <c r="AB1099" i="2" s="1"/>
  <c r="AT1099" i="8" s="1"/>
  <c r="X1029" i="2"/>
  <c r="AB1029" i="2" s="1"/>
  <c r="AT1029" i="8" s="1"/>
  <c r="X844" i="2"/>
  <c r="AB844" i="2" s="1"/>
  <c r="AT844" i="8" s="1"/>
  <c r="X914" i="2"/>
  <c r="AB914" i="2" s="1"/>
  <c r="AT914" i="8" s="1"/>
  <c r="X1071" i="2"/>
  <c r="AB1071" i="2" s="1"/>
  <c r="AT1071" i="8" s="1"/>
  <c r="X695" i="2"/>
  <c r="AB695" i="2" s="1"/>
  <c r="AT695" i="8" s="1"/>
  <c r="X1057" i="2"/>
  <c r="AB1057" i="2" s="1"/>
  <c r="AT1057" i="8" s="1"/>
  <c r="X618" i="2"/>
  <c r="AB618" i="2" s="1"/>
  <c r="AT618" i="8" s="1"/>
  <c r="X791" i="2"/>
  <c r="AB791" i="2" s="1"/>
  <c r="AT791" i="8" s="1"/>
  <c r="X977" i="2"/>
  <c r="AB977" i="2" s="1"/>
  <c r="AT977" i="8" s="1"/>
  <c r="X608" i="2"/>
  <c r="AB608" i="2" s="1"/>
  <c r="AT608" i="8" s="1"/>
  <c r="X891" i="2"/>
  <c r="AB891" i="2" s="1"/>
  <c r="AT891" i="8" s="1"/>
  <c r="X571" i="2"/>
  <c r="AB571" i="2" s="1"/>
  <c r="AT571" i="8" s="1"/>
  <c r="X815" i="2"/>
  <c r="AB815" i="2" s="1"/>
  <c r="AT815" i="8" s="1"/>
  <c r="X666" i="2"/>
  <c r="AB666" i="2" s="1"/>
  <c r="AT666" i="8" s="1"/>
  <c r="X1123" i="2"/>
  <c r="AB1123" i="2" s="1"/>
  <c r="AT1123" i="8" s="1"/>
  <c r="X683" i="2"/>
  <c r="AB683" i="2" s="1"/>
  <c r="AT683" i="8" s="1"/>
  <c r="X706" i="2"/>
  <c r="AB706" i="2" s="1"/>
  <c r="AT706" i="8" s="1"/>
  <c r="X754" i="2"/>
  <c r="AB754" i="2" s="1"/>
  <c r="AT754" i="8" s="1"/>
  <c r="X707" i="2"/>
  <c r="AB707" i="2" s="1"/>
  <c r="AT707" i="8" s="1"/>
  <c r="X812" i="2"/>
  <c r="AB812" i="2" s="1"/>
  <c r="AT812" i="8" s="1"/>
  <c r="X880" i="2"/>
  <c r="AB880" i="2" s="1"/>
  <c r="AT880" i="8" s="1"/>
  <c r="X1030" i="2"/>
  <c r="AB1030" i="2" s="1"/>
  <c r="AT1030" i="8" s="1"/>
  <c r="X662" i="2"/>
  <c r="AB662" i="2" s="1"/>
  <c r="AT662" i="8" s="1"/>
  <c r="X868" i="2"/>
  <c r="AB868" i="2" s="1"/>
  <c r="AT868" i="8" s="1"/>
  <c r="X1022" i="2"/>
  <c r="AB1022" i="2" s="1"/>
  <c r="AT1022" i="8" s="1"/>
  <c r="X579" i="2"/>
  <c r="AB579" i="2" s="1"/>
  <c r="AT579" i="8" s="1"/>
  <c r="X759" i="2"/>
  <c r="AB759" i="2" s="1"/>
  <c r="AT759" i="8" s="1"/>
  <c r="X936" i="2"/>
  <c r="AB936" i="2" s="1"/>
  <c r="AT936" i="8" s="1"/>
  <c r="X574" i="2"/>
  <c r="AB574" i="2" s="1"/>
  <c r="AT574" i="8" s="1"/>
  <c r="X857" i="2"/>
  <c r="AB857" i="2" s="1"/>
  <c r="AT857" i="8" s="1"/>
  <c r="X843" i="2"/>
  <c r="AB843" i="2" s="1"/>
  <c r="AT843" i="8" s="1"/>
  <c r="X783" i="2"/>
  <c r="AB783" i="2" s="1"/>
  <c r="AT783" i="8" s="1"/>
  <c r="X1015" i="2"/>
  <c r="AB1015" i="2" s="1"/>
  <c r="AT1015" i="8" s="1"/>
  <c r="X875" i="2"/>
  <c r="AB875" i="2" s="1"/>
  <c r="AT875" i="8" s="1"/>
  <c r="X634" i="2"/>
  <c r="AB634" i="2" s="1"/>
  <c r="X786" i="2"/>
  <c r="AB786" i="2" s="1"/>
  <c r="AT786" i="8" s="1"/>
  <c r="X954" i="2"/>
  <c r="AB954" i="2" s="1"/>
  <c r="AT954" i="8" s="1"/>
  <c r="X732" i="2"/>
  <c r="AB732" i="2" s="1"/>
  <c r="AT732" i="8" s="1"/>
  <c r="X773" i="2"/>
  <c r="AB773" i="2" s="1"/>
  <c r="AT773" i="8" s="1"/>
  <c r="X841" i="2"/>
  <c r="AB841" i="2" s="1"/>
  <c r="AT841" i="8" s="1"/>
  <c r="X987" i="2"/>
  <c r="AB987" i="2" s="1"/>
  <c r="AT987" i="8" s="1"/>
  <c r="X591" i="2"/>
  <c r="AB591" i="2" s="1"/>
  <c r="AT591" i="8" s="1"/>
  <c r="X836" i="2"/>
  <c r="AB836" i="2" s="1"/>
  <c r="AT836" i="8" s="1"/>
  <c r="X982" i="2"/>
  <c r="AB982" i="2" s="1"/>
  <c r="AT982" i="8" s="1"/>
  <c r="X740" i="2"/>
  <c r="AB740" i="2" s="1"/>
  <c r="AT740" i="8" s="1"/>
  <c r="X687" i="2"/>
  <c r="AB687" i="2" s="1"/>
  <c r="AT687" i="8" s="1"/>
  <c r="X896" i="2"/>
  <c r="AB896" i="2" s="1"/>
  <c r="AT896" i="8" s="1"/>
  <c r="X1076" i="2"/>
  <c r="AB1076" i="2" s="1"/>
  <c r="AT1076" i="8" s="1"/>
  <c r="X818" i="2"/>
  <c r="AB818" i="2" s="1"/>
  <c r="AT818" i="8" s="1"/>
  <c r="X1124" i="2"/>
  <c r="AB1124" i="2" s="1"/>
  <c r="AT1124" i="8" s="1"/>
  <c r="X744" i="2"/>
  <c r="AB744" i="2" s="1"/>
  <c r="AT744" i="8" s="1"/>
  <c r="X593" i="2"/>
  <c r="AB593" i="2" s="1"/>
  <c r="AT593" i="8" s="1"/>
  <c r="X852" i="2"/>
  <c r="AB852" i="2" s="1"/>
  <c r="AT852" i="8" s="1"/>
  <c r="X750" i="2"/>
  <c r="AB750" i="2" s="1"/>
  <c r="AT750" i="8" s="1"/>
  <c r="X996" i="2"/>
  <c r="AB996" i="2" s="1"/>
  <c r="AT996" i="8" s="1"/>
  <c r="X897" i="2"/>
  <c r="AB897" i="2" s="1"/>
  <c r="AT897" i="8" s="1"/>
  <c r="X917" i="2"/>
  <c r="AB917" i="2" s="1"/>
  <c r="AT917" i="8" s="1"/>
  <c r="X933" i="2"/>
  <c r="AB933" i="2" s="1"/>
  <c r="AT933" i="8" s="1"/>
  <c r="X1037" i="2"/>
  <c r="AB1037" i="2" s="1"/>
  <c r="AT1037" i="8" s="1"/>
  <c r="X741" i="2"/>
  <c r="AB741" i="2" s="1"/>
  <c r="AT741" i="8" s="1"/>
  <c r="X808" i="2"/>
  <c r="AB808" i="2" s="1"/>
  <c r="AT808" i="8" s="1"/>
  <c r="X953" i="2"/>
  <c r="AB953" i="2" s="1"/>
  <c r="AT953" i="8" s="1"/>
  <c r="X1113" i="2"/>
  <c r="AB1113" i="2" s="1"/>
  <c r="AT1113" i="8" s="1"/>
  <c r="X796" i="2"/>
  <c r="AB796" i="2" s="1"/>
  <c r="AT796" i="8" s="1"/>
  <c r="X907" i="2"/>
  <c r="AB907" i="2" s="1"/>
  <c r="AT907" i="8" s="1"/>
  <c r="X1097" i="2"/>
  <c r="AB1097" i="2" s="1"/>
  <c r="AT1097" i="8" s="1"/>
  <c r="X616" i="2"/>
  <c r="AB616" i="2" s="1"/>
  <c r="AT616" i="8" s="1"/>
  <c r="X861" i="2"/>
  <c r="AB861" i="2" s="1"/>
  <c r="AT861" i="8" s="1"/>
  <c r="X1127" i="2"/>
  <c r="AB1127" i="2" s="1"/>
  <c r="AT1127" i="8" s="1"/>
  <c r="X747" i="2"/>
  <c r="AB747" i="2" s="1"/>
  <c r="AT747" i="8" s="1"/>
  <c r="X1082" i="2"/>
  <c r="AB1082" i="2" s="1"/>
  <c r="AT1082" i="8" s="1"/>
  <c r="X672" i="2"/>
  <c r="AB672" i="2" s="1"/>
  <c r="AT672" i="8" s="1"/>
  <c r="X984" i="2"/>
  <c r="AB984" i="2" s="1"/>
  <c r="AT984" i="8" s="1"/>
  <c r="X918" i="2"/>
  <c r="AB918" i="2" s="1"/>
  <c r="AT918" i="8" s="1"/>
  <c r="X1112" i="2"/>
  <c r="AB1112" i="2" s="1"/>
  <c r="AT1112" i="8" s="1"/>
  <c r="X82" i="2"/>
  <c r="AB82" i="2" s="1"/>
  <c r="AT82" i="8" s="1"/>
  <c r="X635" i="2"/>
  <c r="AB635" i="2" s="1"/>
  <c r="AT635" i="8" s="1"/>
  <c r="X1120" i="2"/>
  <c r="AB1120" i="2" s="1"/>
  <c r="AT1120" i="8" s="1"/>
  <c r="X701" i="2"/>
  <c r="AB701" i="2" s="1"/>
  <c r="AT701" i="8" s="1"/>
  <c r="X770" i="2"/>
  <c r="AB770" i="2" s="1"/>
  <c r="AT770" i="8" s="1"/>
  <c r="X912" i="2"/>
  <c r="AB912" i="2" s="1"/>
  <c r="AT912" i="8" s="1"/>
  <c r="X628" i="2"/>
  <c r="AB628" i="2" s="1"/>
  <c r="AT628" i="8" s="1"/>
  <c r="X765" i="2"/>
  <c r="AB765" i="2" s="1"/>
  <c r="AT765" i="8" s="1"/>
  <c r="X866" i="2"/>
  <c r="AB866" i="2" s="1"/>
  <c r="AT866" i="8" s="1"/>
  <c r="X1055" i="2"/>
  <c r="AB1055" i="2" s="1"/>
  <c r="AT1055" i="8" s="1"/>
  <c r="X577" i="2"/>
  <c r="AB577" i="2" s="1"/>
  <c r="AT577" i="8" s="1"/>
  <c r="X821" i="2"/>
  <c r="AB821" i="2" s="1"/>
  <c r="AT821" i="8" s="1"/>
  <c r="X1085" i="2"/>
  <c r="AB1085" i="2" s="1"/>
  <c r="AT1085" i="8" s="1"/>
  <c r="X715" i="2"/>
  <c r="AB715" i="2" s="1"/>
  <c r="AT715" i="8" s="1"/>
  <c r="X1046" i="2"/>
  <c r="AB1046" i="2" s="1"/>
  <c r="AT1046" i="8" s="1"/>
  <c r="X639" i="2"/>
  <c r="AB639" i="2" s="1"/>
  <c r="AT639" i="8" s="1"/>
  <c r="X1052" i="2"/>
  <c r="AB1052" i="2" s="1"/>
  <c r="AT1052" i="8" s="1"/>
  <c r="X1114" i="2"/>
  <c r="AB1114" i="2" s="1"/>
  <c r="AT1114" i="8" s="1"/>
  <c r="X1092" i="2"/>
  <c r="AB1092" i="2" s="1"/>
  <c r="AT1092" i="8" s="1"/>
  <c r="X1041" i="2"/>
  <c r="AB1041" i="2" s="1"/>
  <c r="AT1041" i="8" s="1"/>
  <c r="X922" i="2"/>
  <c r="AB922" i="2" s="1"/>
  <c r="AT922" i="8" s="1"/>
  <c r="X684" i="2"/>
  <c r="AB684" i="2" s="1"/>
  <c r="AT684" i="8" s="1"/>
  <c r="X1079" i="2"/>
  <c r="AB1079" i="2" s="1"/>
  <c r="AT1079" i="8" s="1"/>
  <c r="X669" i="2"/>
  <c r="AB669" i="2" s="1"/>
  <c r="AT669" i="8" s="1"/>
  <c r="X737" i="2"/>
  <c r="AB737" i="2" s="1"/>
  <c r="AT737" i="8" s="1"/>
  <c r="X878" i="2"/>
  <c r="AB878" i="2" s="1"/>
  <c r="AT878" i="8" s="1"/>
  <c r="X1105" i="2"/>
  <c r="AB1105" i="2" s="1"/>
  <c r="AT1105" i="8" s="1"/>
  <c r="X693" i="2"/>
  <c r="AB693" i="2" s="1"/>
  <c r="AT693" i="8" s="1"/>
  <c r="X833" i="2"/>
  <c r="AB833" i="2" s="1"/>
  <c r="AT833" i="8" s="1"/>
  <c r="X939" i="2"/>
  <c r="AB939" i="2" s="1"/>
  <c r="AT939" i="8" s="1"/>
  <c r="X1130" i="2"/>
  <c r="AB1130" i="2" s="1"/>
  <c r="AT1130" i="8" s="1"/>
  <c r="X752" i="2"/>
  <c r="AB752" i="2" s="1"/>
  <c r="AT752" i="8" s="1"/>
  <c r="X1049" i="2"/>
  <c r="AB1049" i="2" s="1"/>
  <c r="AT1049" i="8" s="1"/>
  <c r="X675" i="2"/>
  <c r="AB675" i="2" s="1"/>
  <c r="AT675" i="8" s="1"/>
  <c r="X1005" i="2"/>
  <c r="AB1005" i="2" s="1"/>
  <c r="AT1005" i="8" s="1"/>
  <c r="X600" i="2"/>
  <c r="AB600" i="2" s="1"/>
  <c r="AT600" i="8" s="1"/>
  <c r="X1032" i="2"/>
  <c r="AB1032" i="2" s="1"/>
  <c r="AT1032" i="8" s="1"/>
  <c r="X1050" i="2"/>
  <c r="AB1050" i="2" s="1"/>
  <c r="AT1050" i="8" s="1"/>
  <c r="X948" i="2"/>
  <c r="AB948" i="2" s="1"/>
  <c r="AT948" i="8" s="1"/>
  <c r="X714" i="2"/>
  <c r="AB714" i="2" s="1"/>
  <c r="AT714" i="8" s="1"/>
  <c r="X870" i="2"/>
  <c r="AB870" i="2" s="1"/>
  <c r="AT870" i="8" s="1"/>
  <c r="X980" i="2"/>
  <c r="AB980" i="2" s="1"/>
  <c r="AT980" i="8" s="1"/>
  <c r="X941" i="2"/>
  <c r="AB941" i="2" s="1"/>
  <c r="AT941" i="8" s="1"/>
  <c r="X1036" i="2"/>
  <c r="AB1036" i="2" s="1"/>
  <c r="AT1036" i="8" s="1"/>
  <c r="X597" i="2"/>
  <c r="AB597" i="2" s="1"/>
  <c r="AT597" i="8" s="1"/>
  <c r="X698" i="2"/>
  <c r="AB698" i="2" s="1"/>
  <c r="AT698" i="8" s="1"/>
  <c r="X839" i="2"/>
  <c r="AB839" i="2" s="1"/>
  <c r="AT839" i="8" s="1"/>
  <c r="X1061" i="2"/>
  <c r="AB1061" i="2" s="1"/>
  <c r="AT1061" i="8" s="1"/>
  <c r="X653" i="2"/>
  <c r="AB653" i="2" s="1"/>
  <c r="AT653" i="8" s="1"/>
  <c r="X794" i="2"/>
  <c r="AB794" i="2" s="1"/>
  <c r="AT794" i="8" s="1"/>
  <c r="X904" i="2"/>
  <c r="AB904" i="2" s="1"/>
  <c r="AT904" i="8" s="1"/>
  <c r="X1095" i="2"/>
  <c r="AB1095" i="2" s="1"/>
  <c r="AT1095" i="8" s="1"/>
  <c r="X718" i="2"/>
  <c r="AB718" i="2" s="1"/>
  <c r="AT718" i="8" s="1"/>
  <c r="X1008" i="2"/>
  <c r="AB1008" i="2" s="1"/>
  <c r="AT1008" i="8" s="1"/>
  <c r="X643" i="2"/>
  <c r="AB643" i="2" s="1"/>
  <c r="AT643" i="8" s="1"/>
  <c r="X965" i="2"/>
  <c r="AB965" i="2" s="1"/>
  <c r="AT965" i="8" s="1"/>
  <c r="X569" i="2"/>
  <c r="AB569" i="2" s="1"/>
  <c r="AT569" i="8" s="1"/>
  <c r="X1087" i="2"/>
  <c r="AB1087" i="2" s="1"/>
  <c r="AT1087" i="8" s="1"/>
  <c r="X1038" i="2"/>
  <c r="AB1038" i="2" s="1"/>
  <c r="AT1038" i="8" s="1"/>
  <c r="X1093" i="2"/>
  <c r="AB1093" i="2" s="1"/>
  <c r="AT1093" i="8" s="1"/>
  <c r="X778" i="2"/>
  <c r="AB778" i="2" s="1"/>
  <c r="AT778" i="8" s="1"/>
  <c r="X777" i="2"/>
  <c r="AB777" i="2" s="1"/>
  <c r="AT777" i="8" s="1"/>
  <c r="X1001" i="2"/>
  <c r="AB1001" i="2" s="1"/>
  <c r="AT1001" i="8" s="1"/>
  <c r="X916" i="2"/>
  <c r="AB916" i="2" s="1"/>
  <c r="AT916" i="8" s="1"/>
  <c r="X665" i="2"/>
  <c r="AB665" i="2" s="1"/>
  <c r="AT665" i="8" s="1"/>
  <c r="X806" i="2"/>
  <c r="AB806" i="2" s="1"/>
  <c r="AT806" i="8" s="1"/>
  <c r="X1025" i="2"/>
  <c r="AB1025" i="2" s="1"/>
  <c r="AT1025" i="8" s="1"/>
  <c r="X584" i="2"/>
  <c r="AB584" i="2" s="1"/>
  <c r="AT584" i="8" s="1"/>
  <c r="X763" i="2"/>
  <c r="AB763" i="2" s="1"/>
  <c r="AT763" i="8" s="1"/>
  <c r="X864" i="2"/>
  <c r="AB864" i="2" s="1"/>
  <c r="AT864" i="8" s="1"/>
  <c r="X1053" i="2"/>
  <c r="AB1053" i="2" s="1"/>
  <c r="AT1053" i="8" s="1"/>
  <c r="X680" i="2"/>
  <c r="AB680" i="2" s="1"/>
  <c r="AT680" i="8" s="1"/>
  <c r="X975" i="2"/>
  <c r="AB975" i="2" s="1"/>
  <c r="AT975" i="8" s="1"/>
  <c r="X603" i="2"/>
  <c r="AB603" i="2" s="1"/>
  <c r="AT603" i="8" s="1"/>
  <c r="X929" i="2"/>
  <c r="AB929" i="2" s="1"/>
  <c r="AT929" i="8" s="1"/>
  <c r="X772" i="2"/>
  <c r="AB772" i="2" s="1"/>
  <c r="AT772" i="8" s="1"/>
  <c r="X775" i="2"/>
  <c r="AB775" i="2" s="1"/>
  <c r="AT775" i="8" s="1"/>
  <c r="X685" i="2"/>
  <c r="AB685" i="2" s="1"/>
  <c r="AT685" i="8" s="1"/>
  <c r="X874" i="2"/>
  <c r="AB874" i="2" s="1"/>
  <c r="AT874" i="8" s="1"/>
  <c r="X658" i="2"/>
  <c r="AB658" i="2" s="1"/>
  <c r="AT658" i="8" s="1"/>
  <c r="X834" i="2"/>
  <c r="AB834" i="2" s="1"/>
  <c r="AT834" i="8" s="1"/>
  <c r="X962" i="2"/>
  <c r="AB962" i="2" s="1"/>
  <c r="AT962" i="8" s="1"/>
  <c r="X1110" i="2"/>
  <c r="AB1110" i="2" s="1"/>
  <c r="AT1110" i="8" s="1"/>
  <c r="X594" i="2"/>
  <c r="AB594" i="2" s="1"/>
  <c r="AT594" i="8" s="1"/>
  <c r="X768" i="2"/>
  <c r="AB768" i="2" s="1"/>
  <c r="AT768" i="8" s="1"/>
  <c r="X985" i="2"/>
  <c r="AB985" i="2" s="1"/>
  <c r="AT985" i="8" s="1"/>
  <c r="X1103" i="2"/>
  <c r="AB1103" i="2" s="1"/>
  <c r="AT1103" i="8" s="1"/>
  <c r="X723" i="2"/>
  <c r="AB723" i="2" s="1"/>
  <c r="AT723" i="8" s="1"/>
  <c r="X831" i="2"/>
  <c r="AB831" i="2" s="1"/>
  <c r="AT831" i="8" s="1"/>
  <c r="X1011" i="2"/>
  <c r="AB1011" i="2" s="1"/>
  <c r="AT1011" i="8" s="1"/>
  <c r="X614" i="2"/>
  <c r="AB614" i="2" s="1"/>
  <c r="AT614" i="8" s="1"/>
  <c r="X934" i="2"/>
  <c r="AB934" i="2" s="1"/>
  <c r="AT934" i="8" s="1"/>
  <c r="X572" i="2"/>
  <c r="AB572" i="2" s="1"/>
  <c r="AT572" i="8" s="1"/>
  <c r="X889" i="2"/>
  <c r="AB889" i="2" s="1"/>
  <c r="AT889" i="8" s="1"/>
  <c r="X1121" i="2"/>
  <c r="AB1121" i="2" s="1"/>
  <c r="AT1121" i="8" s="1"/>
  <c r="X850" i="2"/>
  <c r="AB850" i="2" s="1"/>
  <c r="AT850" i="8" s="1"/>
  <c r="X828" i="2"/>
  <c r="AB828" i="2" s="1"/>
  <c r="AT828" i="8" s="1"/>
  <c r="X1115" i="2"/>
  <c r="AB1115" i="2" s="1"/>
  <c r="AT1115" i="8" s="1"/>
  <c r="X1101" i="2"/>
  <c r="AB1101" i="2" s="1"/>
  <c r="AT1101" i="8" s="1"/>
  <c r="X943" i="2"/>
  <c r="AB943" i="2" s="1"/>
  <c r="AT943" i="8" s="1"/>
  <c r="X926" i="2"/>
  <c r="AB926" i="2" s="1"/>
  <c r="AT926" i="8" s="1"/>
  <c r="X1033" i="2"/>
  <c r="AB1033" i="2" s="1"/>
  <c r="AT1033" i="8" s="1"/>
  <c r="X87" i="2"/>
  <c r="AB87" i="2" s="1"/>
  <c r="AT87" i="8" s="1"/>
  <c r="X735" i="2"/>
  <c r="AB735" i="2" s="1"/>
  <c r="AT735" i="8" s="1"/>
  <c r="X951" i="2"/>
  <c r="AB951" i="2" s="1"/>
  <c r="AT951" i="8" s="1"/>
  <c r="X1058" i="2"/>
  <c r="AB1058" i="2" s="1"/>
  <c r="AT1058" i="8" s="1"/>
  <c r="X691" i="2"/>
  <c r="AB691" i="2" s="1"/>
  <c r="AT691" i="8" s="1"/>
  <c r="X792" i="2"/>
  <c r="AB792" i="2" s="1"/>
  <c r="AT792" i="8" s="1"/>
  <c r="X978" i="2"/>
  <c r="AB978" i="2" s="1"/>
  <c r="AT978" i="8" s="1"/>
  <c r="X575" i="2"/>
  <c r="AB575" i="2" s="1"/>
  <c r="AT575" i="8" s="1"/>
  <c r="X892" i="2"/>
  <c r="AB892" i="2" s="1"/>
  <c r="AT892" i="8" s="1"/>
  <c r="X811" i="2"/>
  <c r="AB811" i="2" s="1"/>
  <c r="AT811" i="8" s="1"/>
  <c r="X855" i="2"/>
  <c r="AB855" i="2" s="1"/>
  <c r="AT855" i="8" s="1"/>
  <c r="X1080" i="2"/>
  <c r="AB1080" i="2" s="1"/>
  <c r="AT1080" i="8" s="1"/>
  <c r="X767" i="2"/>
  <c r="AB767" i="2" s="1"/>
  <c r="AT767" i="8" s="1"/>
  <c r="X755" i="2"/>
  <c r="AB755" i="2" s="1"/>
  <c r="AT755" i="8" s="1"/>
  <c r="X993" i="2"/>
  <c r="AB993" i="2" s="1"/>
  <c r="AT993" i="8" s="1"/>
  <c r="X1020" i="2"/>
  <c r="AB1020" i="2" s="1"/>
  <c r="AT1020" i="8" s="1"/>
  <c r="X1064" i="2"/>
  <c r="AB1064" i="2" s="1"/>
  <c r="AT1064" i="8" s="1"/>
  <c r="X1018" i="2"/>
  <c r="AB1018" i="2" s="1"/>
  <c r="AT1018" i="8" s="1"/>
  <c r="X990" i="2"/>
  <c r="AB990" i="2" s="1"/>
  <c r="AT990" i="8" s="1"/>
  <c r="X702" i="2"/>
  <c r="AB702" i="2" s="1"/>
  <c r="AT702" i="8" s="1"/>
  <c r="X886" i="2"/>
  <c r="AB886" i="2" s="1"/>
  <c r="AT886" i="8" s="1"/>
  <c r="X998" i="2"/>
  <c r="AB998" i="2" s="1"/>
  <c r="AT998" i="8" s="1"/>
  <c r="X1108" i="2"/>
  <c r="AB1108" i="2" s="1"/>
  <c r="AT1108" i="8" s="1"/>
  <c r="X663" i="2"/>
  <c r="AB663" i="2" s="1"/>
  <c r="AT663" i="8" s="1"/>
  <c r="X910" i="2"/>
  <c r="AB910" i="2" s="1"/>
  <c r="AT910" i="8" s="1"/>
  <c r="X1023" i="2"/>
  <c r="AB1023" i="2" s="1"/>
  <c r="AT1023" i="8" s="1"/>
  <c r="X651" i="2"/>
  <c r="AB651" i="2" s="1"/>
  <c r="AT651" i="8" s="1"/>
  <c r="X760" i="2"/>
  <c r="AB760" i="2" s="1"/>
  <c r="AT760" i="8" s="1"/>
  <c r="X937" i="2"/>
  <c r="AB937" i="2" s="1"/>
  <c r="AT937" i="8" s="1"/>
  <c r="X1128" i="2"/>
  <c r="AB1128" i="2" s="1"/>
  <c r="AT1128" i="8" s="1"/>
  <c r="X859" i="2"/>
  <c r="AB859" i="2" s="1"/>
  <c r="AT859" i="8" s="1"/>
  <c r="X1083" i="2"/>
  <c r="AB1083" i="2" s="1"/>
  <c r="AT1083" i="8" s="1"/>
  <c r="X816" i="2"/>
  <c r="AB816" i="2" s="1"/>
  <c r="AT816" i="8" s="1"/>
  <c r="X963" i="2"/>
  <c r="AB963" i="2" s="1"/>
  <c r="AT963" i="8" s="1"/>
  <c r="X920" i="2"/>
  <c r="AB920" i="2" s="1"/>
  <c r="AT920" i="8" s="1"/>
  <c r="X780" i="2"/>
  <c r="AB780" i="2" s="1"/>
  <c r="AT780" i="8" s="1"/>
  <c r="X1091" i="2"/>
  <c r="AB1091" i="2" s="1"/>
  <c r="AT1091" i="8" s="1"/>
  <c r="X585" i="2"/>
  <c r="AB585" i="2" s="1"/>
  <c r="AT585" i="8" s="1"/>
  <c r="X1066" i="2"/>
  <c r="AB1066" i="2" s="1"/>
  <c r="AT1066" i="8" s="1"/>
  <c r="X586" i="2"/>
  <c r="AB586" i="2" s="1"/>
  <c r="AT586" i="8" s="1"/>
  <c r="X906" i="2"/>
  <c r="AB906" i="2" s="1"/>
  <c r="AT906" i="8" s="1"/>
  <c r="X1002" i="2"/>
  <c r="AB1002" i="2" s="1"/>
  <c r="AT1002" i="8" s="1"/>
  <c r="X845" i="2"/>
  <c r="AB845" i="2" s="1"/>
  <c r="AT845" i="8" s="1"/>
  <c r="X959" i="2"/>
  <c r="AB959" i="2" s="1"/>
  <c r="AT959" i="8" s="1"/>
  <c r="X1072" i="2"/>
  <c r="AB1072" i="2" s="1"/>
  <c r="AT1072" i="8" s="1"/>
  <c r="X624" i="2"/>
  <c r="AB624" i="2" s="1"/>
  <c r="AT624" i="8" s="1"/>
  <c r="X869" i="2"/>
  <c r="AB869" i="2" s="1"/>
  <c r="AT869" i="8" s="1"/>
  <c r="X983" i="2"/>
  <c r="AB983" i="2" s="1"/>
  <c r="AT983" i="8" s="1"/>
  <c r="X619" i="2"/>
  <c r="AB619" i="2" s="1"/>
  <c r="AT619" i="8" s="1"/>
  <c r="X721" i="2"/>
  <c r="AB721" i="2" s="1"/>
  <c r="AT721" i="8" s="1"/>
  <c r="X902" i="2"/>
  <c r="AB902" i="2" s="1"/>
  <c r="AT902" i="8" s="1"/>
  <c r="X1086" i="2"/>
  <c r="AB1086" i="2" s="1"/>
  <c r="AT1086" i="8" s="1"/>
  <c r="X819" i="2"/>
  <c r="AB819" i="2" s="1"/>
  <c r="AT819" i="8" s="1"/>
  <c r="X1047" i="2"/>
  <c r="AB1047" i="2" s="1"/>
  <c r="AT1047" i="8" s="1"/>
  <c r="X784" i="2"/>
  <c r="AB784" i="2" s="1"/>
  <c r="AT784" i="8" s="1"/>
  <c r="X927" i="2"/>
  <c r="AB927" i="2" s="1"/>
  <c r="AT927" i="8" s="1"/>
  <c r="X1088" i="2"/>
  <c r="AB1088" i="2" s="1"/>
  <c r="AT1088" i="8" s="1"/>
  <c r="X946" i="2"/>
  <c r="AB946" i="2" s="1"/>
  <c r="AT946" i="8" s="1"/>
  <c r="X919" i="2"/>
  <c r="AB919" i="2" s="1"/>
  <c r="AT919" i="8" s="1"/>
  <c r="X774" i="2"/>
  <c r="AB774" i="2" s="1"/>
  <c r="AT774" i="8" s="1"/>
  <c r="X1003" i="2"/>
  <c r="AB1003" i="2" s="1"/>
  <c r="AT1003" i="8" s="1"/>
  <c r="X989" i="2"/>
  <c r="AB989" i="2" s="1"/>
  <c r="AT989" i="8" s="1"/>
  <c r="X957" i="2"/>
  <c r="AB957" i="2" s="1"/>
  <c r="AT957" i="8" s="1"/>
  <c r="X813" i="2"/>
  <c r="AB813" i="2" s="1"/>
  <c r="AT813" i="8" s="1"/>
  <c r="X881" i="2"/>
  <c r="AB881" i="2" s="1"/>
  <c r="AT881" i="8" s="1"/>
  <c r="X1031" i="2"/>
  <c r="AB1031" i="2" s="1"/>
  <c r="AT1031" i="8" s="1"/>
  <c r="X592" i="2"/>
  <c r="AB592" i="2" s="1"/>
  <c r="AT592" i="8" s="1"/>
  <c r="X837" i="2"/>
  <c r="AB837" i="2" s="1"/>
  <c r="AT837" i="8" s="1"/>
  <c r="X944" i="2"/>
  <c r="AB944" i="2" s="1"/>
  <c r="AT944" i="8" s="1"/>
  <c r="X688" i="2"/>
  <c r="AB688" i="2" s="1"/>
  <c r="AT688" i="8" s="1"/>
  <c r="X862" i="2"/>
  <c r="AB862" i="2" s="1"/>
  <c r="AT862" i="8" s="1"/>
  <c r="X1051" i="2"/>
  <c r="AB1051" i="2" s="1"/>
  <c r="AT1051" i="8" s="1"/>
  <c r="X787" i="2"/>
  <c r="AB787" i="2" s="1"/>
  <c r="AT787" i="8" s="1"/>
  <c r="X1006" i="2"/>
  <c r="AB1006" i="2" s="1"/>
  <c r="AT1006" i="8" s="1"/>
  <c r="X745" i="2"/>
  <c r="AB745" i="2" s="1"/>
  <c r="AT745" i="8" s="1"/>
  <c r="X887" i="2"/>
  <c r="AB887" i="2" s="1"/>
  <c r="AT887" i="8" s="1"/>
  <c r="X849" i="2"/>
  <c r="AB849" i="2" s="1"/>
  <c r="AT849" i="8" s="1"/>
  <c r="X947" i="2"/>
  <c r="AB947" i="2" s="1"/>
  <c r="AT947" i="8" s="1"/>
  <c r="X654" i="2"/>
  <c r="AB654" i="2" s="1"/>
  <c r="AT654" i="8" s="1"/>
  <c r="X1019" i="2"/>
  <c r="AB1019" i="2" s="1"/>
  <c r="AT1019" i="8" s="1"/>
  <c r="X762" i="2"/>
  <c r="AB762" i="2" s="1"/>
  <c r="AT762" i="8" s="1"/>
  <c r="X587" i="2"/>
  <c r="AB587" i="2" s="1"/>
  <c r="AT587" i="8" s="1"/>
  <c r="X659" i="2"/>
  <c r="AB659" i="2" s="1"/>
  <c r="AT659" i="8" s="1"/>
  <c r="X776" i="2"/>
  <c r="AB776" i="2" s="1"/>
  <c r="AT776" i="8" s="1"/>
  <c r="X842" i="2"/>
  <c r="AB842" i="2" s="1"/>
  <c r="AT842" i="8" s="1"/>
  <c r="X988" i="2"/>
  <c r="AB988" i="2" s="1"/>
  <c r="AT988" i="8" s="1"/>
  <c r="X74" i="2"/>
  <c r="AB74" i="2" s="1"/>
  <c r="AT74" i="8" s="1"/>
  <c r="X797" i="2"/>
  <c r="AB797" i="2" s="1"/>
  <c r="AT797" i="8" s="1"/>
  <c r="X908" i="2"/>
  <c r="AB908" i="2" s="1"/>
  <c r="AT908" i="8" s="1"/>
  <c r="X883" i="2"/>
  <c r="AB883" i="2" s="1"/>
  <c r="AT883" i="8" s="1"/>
  <c r="X617" i="2"/>
  <c r="AB617" i="2" s="1"/>
  <c r="AT617" i="8" s="1"/>
  <c r="X824" i="2"/>
  <c r="AB824" i="2" s="1"/>
  <c r="AT824" i="8" s="1"/>
  <c r="X1009" i="2"/>
  <c r="AB1009" i="2" s="1"/>
  <c r="AT1009" i="8" s="1"/>
  <c r="X716" i="2"/>
  <c r="AB716" i="2" s="1"/>
  <c r="AT716" i="8" s="1"/>
  <c r="X968" i="2"/>
  <c r="AB968" i="2" s="1"/>
  <c r="AT968" i="8" s="1"/>
  <c r="X712" i="2"/>
  <c r="AB712" i="2" s="1"/>
  <c r="AT712" i="8" s="1"/>
  <c r="X848" i="2"/>
  <c r="AB848" i="2" s="1"/>
  <c r="AT848" i="8" s="1"/>
  <c r="X630" i="2"/>
  <c r="AB630" i="2" s="1"/>
  <c r="AT630" i="8" s="1"/>
  <c r="X876" i="2"/>
  <c r="AB876" i="2" s="1"/>
  <c r="AT876" i="8" s="1"/>
  <c r="X802" i="2"/>
  <c r="AB802" i="2" s="1"/>
  <c r="AT802" i="8" s="1"/>
  <c r="X956" i="2"/>
  <c r="AB956" i="2" s="1"/>
  <c r="AT956" i="8" s="1"/>
  <c r="X1063" i="2"/>
  <c r="AB1063" i="2" s="1"/>
  <c r="AT1063" i="8" s="1"/>
  <c r="X588" i="2"/>
  <c r="AB588" i="2" s="1"/>
  <c r="AT588" i="8" s="1"/>
  <c r="X708" i="2"/>
  <c r="AB708" i="2" s="1"/>
  <c r="AT708" i="8" s="1"/>
  <c r="X742" i="2"/>
  <c r="AB742" i="2" s="1"/>
  <c r="AT742" i="8" s="1"/>
  <c r="X809" i="2"/>
  <c r="AB809" i="2" s="1"/>
  <c r="AT809" i="8" s="1"/>
  <c r="X913" i="2"/>
  <c r="AB913" i="2" s="1"/>
  <c r="AT913" i="8" s="1"/>
  <c r="X766" i="2"/>
  <c r="AB766" i="2" s="1"/>
  <c r="AT766" i="8" s="1"/>
  <c r="X867" i="2"/>
  <c r="AB867" i="2" s="1"/>
  <c r="AT867" i="8" s="1"/>
  <c r="X1056" i="2"/>
  <c r="AB1056" i="2" s="1"/>
  <c r="AT1056" i="8" s="1"/>
  <c r="X578" i="2"/>
  <c r="AB578" i="2" s="1"/>
  <c r="AT578" i="8" s="1"/>
  <c r="X790" i="2"/>
  <c r="AB790" i="2" s="1"/>
  <c r="AT790" i="8" s="1"/>
  <c r="X976" i="2"/>
  <c r="AB976" i="2" s="1"/>
  <c r="AT976" i="8" s="1"/>
  <c r="X644" i="2"/>
  <c r="AB644" i="2" s="1"/>
  <c r="AT644" i="8" s="1"/>
  <c r="X931" i="2"/>
  <c r="AB931" i="2" s="1"/>
  <c r="AT931" i="8" s="1"/>
  <c r="X673" i="2"/>
  <c r="AB673" i="2" s="1"/>
  <c r="AT673" i="8" s="1"/>
  <c r="X814" i="2"/>
  <c r="AB814" i="2" s="1"/>
  <c r="AT814" i="8" s="1"/>
  <c r="X888" i="2"/>
  <c r="AB888" i="2" s="1"/>
  <c r="AT888" i="8" s="1"/>
  <c r="X803" i="2"/>
  <c r="AB803" i="2" s="1"/>
  <c r="AT803" i="8" s="1"/>
  <c r="X1111" i="2"/>
  <c r="AB1111" i="2" s="1"/>
  <c r="AT1111" i="8" s="1"/>
  <c r="X642" i="2"/>
  <c r="AB642" i="2" s="1"/>
  <c r="AT642" i="8" s="1"/>
  <c r="X610" i="2"/>
  <c r="AB610" i="2" s="1"/>
  <c r="AT610" i="8" s="1"/>
  <c r="X1004" i="2"/>
  <c r="AB1004" i="2" s="1"/>
  <c r="AT1004" i="8" s="1"/>
  <c r="X1013" i="2"/>
  <c r="AB1013" i="2" s="1"/>
  <c r="AT1013" i="8" s="1"/>
  <c r="X632" i="2"/>
  <c r="AB632" i="2" s="1"/>
  <c r="AT632" i="8" s="1"/>
  <c r="X771" i="2"/>
  <c r="AB771" i="2" s="1"/>
  <c r="AT771" i="8" s="1"/>
  <c r="X879" i="2"/>
  <c r="AB879" i="2" s="1"/>
  <c r="AT879" i="8" s="1"/>
  <c r="X1065" i="2"/>
  <c r="AB1065" i="2" s="1"/>
  <c r="AT1065" i="8" s="1"/>
  <c r="X728" i="2"/>
  <c r="AB728" i="2" s="1"/>
  <c r="AT728" i="8" s="1"/>
  <c r="X835" i="2"/>
  <c r="AB835" i="2" s="1"/>
  <c r="AT835" i="8" s="1"/>
  <c r="X1016" i="2"/>
  <c r="AB1016" i="2" s="1"/>
  <c r="AT1016" i="8" s="1"/>
  <c r="X999" i="2"/>
  <c r="AB999" i="2" s="1"/>
  <c r="AT999" i="8" s="1"/>
  <c r="X935" i="2"/>
  <c r="AB935" i="2" s="1"/>
  <c r="AT935" i="8" s="1"/>
  <c r="X604" i="2"/>
  <c r="AB604" i="2" s="1"/>
  <c r="AT604" i="8" s="1"/>
  <c r="X890" i="2"/>
  <c r="AB890" i="2" s="1"/>
  <c r="AT890" i="8" s="1"/>
  <c r="X601" i="2"/>
  <c r="AB601" i="2" s="1"/>
  <c r="AT601" i="8" s="1"/>
  <c r="X743" i="2"/>
  <c r="AB743" i="2" s="1"/>
  <c r="AT743" i="8" s="1"/>
  <c r="X761" i="2"/>
  <c r="AB761" i="2" s="1"/>
  <c r="AT761" i="8" s="1"/>
  <c r="X731" i="2"/>
  <c r="AB731" i="2" s="1"/>
  <c r="AT731" i="8" s="1"/>
  <c r="X753" i="2"/>
  <c r="AB753" i="2" s="1"/>
  <c r="AT753" i="8" s="1"/>
  <c r="X994" i="2"/>
  <c r="AB994" i="2" s="1"/>
  <c r="AT994" i="8" s="1"/>
  <c r="X826" i="2"/>
  <c r="AB826" i="2" s="1"/>
  <c r="AT826" i="8" s="1"/>
  <c r="X1117" i="2"/>
  <c r="AB1117" i="2" s="1"/>
  <c r="AT1117" i="8" s="1"/>
  <c r="X605" i="2"/>
  <c r="AB605" i="2" s="1"/>
  <c r="AT605" i="8" s="1"/>
  <c r="X970" i="2"/>
  <c r="AB970" i="2" s="1"/>
  <c r="AT970" i="8" s="1"/>
  <c r="X598" i="2"/>
  <c r="AB598" i="2" s="1"/>
  <c r="AT598" i="8" s="1"/>
  <c r="X739" i="2"/>
  <c r="AB739" i="2" s="1"/>
  <c r="AT739" i="8" s="1"/>
  <c r="X840" i="2"/>
  <c r="AB840" i="2" s="1"/>
  <c r="AT840" i="8" s="1"/>
  <c r="X1027" i="2"/>
  <c r="AB1027" i="2" s="1"/>
  <c r="AT1027" i="8" s="1"/>
  <c r="X656" i="2"/>
  <c r="AB656" i="2" s="1"/>
  <c r="AT656" i="8" s="1"/>
  <c r="X795" i="2"/>
  <c r="AB795" i="2" s="1"/>
  <c r="AT795" i="8" s="1"/>
  <c r="X981" i="2"/>
  <c r="AB981" i="2" s="1"/>
  <c r="AT981" i="8" s="1"/>
  <c r="X1096" i="2"/>
  <c r="AB1096" i="2" s="1"/>
  <c r="AT1096" i="8" s="1"/>
  <c r="X719" i="2"/>
  <c r="AB719" i="2" s="1"/>
  <c r="AT719" i="8" s="1"/>
  <c r="X893" i="2"/>
  <c r="AB893" i="2" s="1"/>
  <c r="AT893" i="8" s="1"/>
  <c r="X573" i="2"/>
  <c r="AB573" i="2" s="1"/>
  <c r="AT573" i="8" s="1"/>
  <c r="X856" i="2"/>
  <c r="AB856" i="2" s="1"/>
  <c r="AT856" i="8" s="1"/>
  <c r="X570" i="2"/>
  <c r="AB570" i="2" s="1"/>
  <c r="AT570" i="8" s="1"/>
  <c r="X710" i="2"/>
  <c r="AB710" i="2" s="1"/>
  <c r="AT710" i="8" s="1"/>
  <c r="X641" i="2"/>
  <c r="AB641" i="2" s="1"/>
  <c r="AT641" i="8" s="1"/>
  <c r="X1075" i="2"/>
  <c r="AB1075" i="2" s="1"/>
  <c r="AT1075" i="8" s="1"/>
  <c r="X727" i="2"/>
  <c r="AB727" i="2" s="1"/>
  <c r="AT727" i="8" s="1"/>
  <c r="X1116" i="2"/>
  <c r="AB1116" i="2" s="1"/>
  <c r="AT1116" i="8" s="1"/>
  <c r="X1067" i="2"/>
  <c r="AB1067" i="2" s="1"/>
  <c r="AT1067" i="8" s="1"/>
  <c r="X1090" i="2"/>
  <c r="AB1090" i="2" s="1"/>
  <c r="AT1090" i="8" s="1"/>
  <c r="X730" i="2"/>
  <c r="AB730" i="2" s="1"/>
  <c r="AT730" i="8" s="1"/>
  <c r="X969" i="2"/>
  <c r="AB969" i="2" s="1"/>
  <c r="AT969" i="8" s="1"/>
  <c r="X700" i="2"/>
  <c r="AB700" i="2" s="1"/>
  <c r="AT700" i="8" s="1"/>
  <c r="X667" i="2"/>
  <c r="AB667" i="2" s="1"/>
  <c r="AT667" i="8" s="1"/>
  <c r="X807" i="2"/>
  <c r="AB807" i="2" s="1"/>
  <c r="AT807" i="8" s="1"/>
  <c r="X986" i="2"/>
  <c r="AB986" i="2" s="1"/>
  <c r="AT986" i="8" s="1"/>
  <c r="X590" i="2"/>
  <c r="AB590" i="2" s="1"/>
  <c r="AT590" i="8" s="1"/>
  <c r="X764" i="2"/>
  <c r="AB764" i="2" s="1"/>
  <c r="AT764" i="8" s="1"/>
  <c r="X940" i="2"/>
  <c r="AB940" i="2" s="1"/>
  <c r="AT940" i="8" s="1"/>
  <c r="X1054" i="2"/>
  <c r="AB1054" i="2" s="1"/>
  <c r="AT1054" i="8" s="1"/>
  <c r="X647" i="2"/>
  <c r="AB647" i="2" s="1"/>
  <c r="AT647" i="8" s="1"/>
  <c r="X860" i="2"/>
  <c r="AB860" i="2" s="1"/>
  <c r="AT860" i="8" s="1"/>
  <c r="X1034" i="2"/>
  <c r="AB1034" i="2" s="1"/>
  <c r="AT1034" i="8" s="1"/>
  <c r="X817" i="2"/>
  <c r="AB817" i="2" s="1"/>
  <c r="AT817" i="8" s="1"/>
  <c r="X668" i="2"/>
  <c r="AB668" i="2" s="1"/>
  <c r="AT668" i="8" s="1"/>
  <c r="X671" i="2"/>
  <c r="AB671" i="2" s="1"/>
  <c r="AT671" i="8" s="1"/>
  <c r="X863" i="2"/>
  <c r="AB863" i="2" s="1"/>
  <c r="AT863" i="8" s="1"/>
  <c r="X1102" i="2"/>
  <c r="AB1102" i="2" s="1"/>
  <c r="AT1102" i="8" s="1"/>
  <c r="X972" i="2"/>
  <c r="AB972" i="2" s="1"/>
  <c r="AT972" i="8" s="1"/>
  <c r="X1044" i="2"/>
  <c r="AB1044" i="2" s="1"/>
  <c r="AT1044" i="8" s="1"/>
  <c r="X799" i="2"/>
  <c r="AB799" i="2" s="1"/>
  <c r="AT799" i="8" s="1"/>
  <c r="X1100" i="2"/>
  <c r="AB1100" i="2" s="1"/>
  <c r="AT1100" i="8" s="1"/>
  <c r="X930" i="2"/>
  <c r="AB930" i="2" s="1"/>
  <c r="AT930" i="8" s="1"/>
  <c r="X1119" i="2"/>
  <c r="AB1119" i="2" s="1"/>
  <c r="AT1119" i="8" s="1"/>
  <c r="X627" i="2"/>
  <c r="AB627" i="2" s="1"/>
  <c r="AT627" i="8" s="1"/>
  <c r="X769" i="2"/>
  <c r="AB769" i="2" s="1"/>
  <c r="AT769" i="8" s="1"/>
  <c r="X952" i="2"/>
  <c r="AB952" i="2" s="1"/>
  <c r="AT952" i="8" s="1"/>
  <c r="X960" i="2"/>
  <c r="AB960" i="2" s="1"/>
  <c r="AT960" i="8" s="1"/>
  <c r="X724" i="2"/>
  <c r="AB724" i="2" s="1"/>
  <c r="AT724" i="8" s="1"/>
  <c r="X905" i="2"/>
  <c r="AB905" i="2" s="1"/>
  <c r="AT905" i="8" s="1"/>
  <c r="X1012" i="2"/>
  <c r="AB1012" i="2" s="1"/>
  <c r="AT1012" i="8" s="1"/>
  <c r="X615" i="2"/>
  <c r="AB615" i="2" s="1"/>
  <c r="AT615" i="8" s="1"/>
  <c r="X820" i="2"/>
  <c r="AB820" i="2" s="1"/>
  <c r="AT820" i="8" s="1"/>
  <c r="X1126" i="2"/>
  <c r="AB1126" i="2" s="1"/>
  <c r="AT1126" i="8" s="1"/>
  <c r="X785" i="2"/>
  <c r="AB785" i="2" s="1"/>
  <c r="AT785" i="8" s="1"/>
  <c r="X1122" i="2"/>
  <c r="AB1122" i="2" s="1"/>
  <c r="AT1122" i="8" s="1"/>
  <c r="X638" i="2"/>
  <c r="AB638" i="2" s="1"/>
  <c r="AT638" i="8" s="1"/>
  <c r="X974" i="2"/>
  <c r="AB974" i="2" s="1"/>
  <c r="AT974" i="8" s="1"/>
  <c r="X827" i="2"/>
  <c r="AB827" i="2" s="1"/>
  <c r="AT827" i="8" s="1"/>
  <c r="X971" i="2"/>
  <c r="AB971" i="2" s="1"/>
  <c r="AT971" i="8" s="1"/>
  <c r="X877" i="2"/>
  <c r="AB877" i="2" s="1"/>
  <c r="AT877" i="8" s="1"/>
  <c r="X923" i="2"/>
  <c r="AB923" i="2" s="1"/>
  <c r="AT923" i="8" s="1"/>
  <c r="X851" i="2"/>
  <c r="AB851" i="2" s="1"/>
  <c r="AT851" i="8" s="1"/>
  <c r="X885" i="2"/>
  <c r="AB885" i="2" s="1"/>
  <c r="AT885" i="8" s="1"/>
  <c r="X873" i="2"/>
  <c r="AB873" i="2" s="1"/>
  <c r="AT873" i="8" s="1"/>
  <c r="X1077" i="2"/>
  <c r="AB1077" i="2" s="1"/>
  <c r="AT1077" i="8" s="1"/>
  <c r="X595" i="2"/>
  <c r="AB595" i="2" s="1"/>
  <c r="AT595" i="8" s="1"/>
  <c r="X736" i="2"/>
  <c r="AB736" i="2" s="1"/>
  <c r="AT736" i="8" s="1"/>
  <c r="X911" i="2"/>
  <c r="AB911" i="2" s="1"/>
  <c r="AT911" i="8" s="1"/>
  <c r="X1104" i="2"/>
  <c r="AB1104" i="2" s="1"/>
  <c r="AT1104" i="8" s="1"/>
  <c r="X692" i="2"/>
  <c r="AB692" i="2" s="1"/>
  <c r="AT692" i="8" s="1"/>
  <c r="X865" i="2"/>
  <c r="AB865" i="2" s="1"/>
  <c r="AT865" i="8" s="1"/>
  <c r="X979" i="2"/>
  <c r="AB979" i="2" s="1"/>
  <c r="AT979" i="8" s="1"/>
  <c r="X576" i="2"/>
  <c r="AB576" i="2" s="1"/>
  <c r="AT576" i="8" s="1"/>
  <c r="X788" i="2"/>
  <c r="AB788" i="2" s="1"/>
  <c r="AT788" i="8" s="1"/>
  <c r="X1084" i="2"/>
  <c r="AB1084" i="2" s="1"/>
  <c r="AT1084" i="8" s="1"/>
  <c r="X746" i="2"/>
  <c r="AB746" i="2" s="1"/>
  <c r="AT746" i="8" s="1"/>
  <c r="X1040" i="2"/>
  <c r="AB1040" i="2" s="1"/>
  <c r="AT1040" i="8" s="1"/>
  <c r="X599" i="2"/>
  <c r="AB599" i="2" s="1"/>
  <c r="AT599" i="8" s="1"/>
  <c r="X677" i="2"/>
  <c r="AB677" i="2" s="1"/>
  <c r="AT677" i="8" s="1"/>
  <c r="X804" i="2"/>
  <c r="AB804" i="2" s="1"/>
  <c r="AT804" i="8" s="1"/>
  <c r="X900" i="2"/>
  <c r="AB900" i="2" s="1"/>
  <c r="AT900" i="8" s="1"/>
  <c r="X825" i="2"/>
  <c r="AB825" i="2" s="1"/>
  <c r="AT825" i="8" s="1"/>
  <c r="X729" i="2"/>
  <c r="AB729" i="2" s="1"/>
  <c r="AT729" i="8" s="1"/>
  <c r="X733" i="2"/>
  <c r="AB733" i="2" s="1"/>
  <c r="AT733" i="8" s="1"/>
  <c r="X1062" i="2"/>
  <c r="AB1062" i="2" s="1"/>
  <c r="AT1062" i="8" s="1"/>
  <c r="X894" i="2"/>
  <c r="AB894" i="2" s="1"/>
  <c r="AT894" i="8" s="1"/>
  <c r="X1035" i="2"/>
  <c r="AB1035" i="2" s="1"/>
  <c r="AT1035" i="8" s="1"/>
  <c r="X1109" i="2"/>
  <c r="AB1109" i="2" s="1"/>
  <c r="AT1109" i="8" s="1"/>
  <c r="X697" i="2"/>
  <c r="AB697" i="2" s="1"/>
  <c r="AT697" i="8" s="1"/>
  <c r="X872" i="2"/>
  <c r="AB872" i="2" s="1"/>
  <c r="AT872" i="8" s="1"/>
  <c r="X1059" i="2"/>
  <c r="AB1059" i="2" s="1"/>
  <c r="AT1059" i="8" s="1"/>
  <c r="X652" i="2"/>
  <c r="AB652" i="2" s="1"/>
  <c r="AT652" i="8" s="1"/>
  <c r="X832" i="2"/>
  <c r="AB832" i="2" s="1"/>
  <c r="AT832" i="8" s="1"/>
  <c r="X938" i="2"/>
  <c r="AB938" i="2" s="1"/>
  <c r="AT938" i="8" s="1"/>
  <c r="X1129" i="2"/>
  <c r="AB1129" i="2" s="1"/>
  <c r="AT1129" i="8" s="1"/>
  <c r="X749" i="2"/>
  <c r="AB749" i="2" s="1"/>
  <c r="AT749" i="8" s="1"/>
  <c r="X1048" i="2"/>
  <c r="AB1048" i="2" s="1"/>
  <c r="AT1048" i="8" s="1"/>
  <c r="X713" i="2"/>
  <c r="AB713" i="2" s="1"/>
  <c r="AT713" i="8" s="1"/>
  <c r="X964" i="2"/>
  <c r="AB964" i="2" s="1"/>
  <c r="AT964" i="8" s="1"/>
  <c r="X568" i="2"/>
  <c r="AB568" i="2" s="1"/>
  <c r="AT568" i="8" s="1"/>
  <c r="X1078" i="2"/>
  <c r="AB1078" i="2" s="1"/>
  <c r="AT1078" i="8" s="1"/>
  <c r="X823" i="2"/>
  <c r="AB823" i="2" s="1"/>
  <c r="AT823" i="8" s="1"/>
  <c r="X899" i="2"/>
  <c r="AB899" i="2" s="1"/>
  <c r="AT899" i="8" s="1"/>
  <c r="X801" i="2"/>
  <c r="AB801" i="2" s="1"/>
  <c r="AT801" i="8" s="1"/>
  <c r="X611" i="2"/>
  <c r="AB611" i="2" s="1"/>
  <c r="AT611" i="8" s="1"/>
  <c r="X779" i="2"/>
  <c r="AB779" i="2" s="1"/>
  <c r="AT779" i="8" s="1"/>
  <c r="X1000" i="2"/>
  <c r="AB1000" i="2" s="1"/>
  <c r="AT1000" i="8" s="1"/>
  <c r="X1073" i="2"/>
  <c r="AB1073" i="2" s="1"/>
  <c r="AT1073" i="8" s="1"/>
  <c r="X664" i="2"/>
  <c r="AB664" i="2" s="1"/>
  <c r="AT664" i="8" s="1"/>
  <c r="X800" i="2"/>
  <c r="AB800" i="2" s="1"/>
  <c r="AT800" i="8" s="1"/>
  <c r="X1024" i="2"/>
  <c r="AB1024" i="2" s="1"/>
  <c r="AT1024" i="8" s="1"/>
  <c r="X620" i="2"/>
  <c r="AB620" i="2" s="1"/>
  <c r="AT620" i="8" s="1"/>
  <c r="X793" i="2"/>
  <c r="AB793" i="2" s="1"/>
  <c r="AT793" i="8" s="1"/>
  <c r="X903" i="2"/>
  <c r="AB903" i="2" s="1"/>
  <c r="AT903" i="8" s="1"/>
  <c r="X1089" i="2"/>
  <c r="AB1089" i="2" s="1"/>
  <c r="AT1089" i="8" s="1"/>
  <c r="X717" i="2"/>
  <c r="AB717" i="2" s="1"/>
  <c r="AT717" i="8" s="1"/>
  <c r="X1007" i="2"/>
  <c r="AB1007" i="2" s="1"/>
  <c r="AT1007" i="8" s="1"/>
  <c r="X674" i="2"/>
  <c r="AB674" i="2" s="1"/>
  <c r="AT674" i="8" s="1"/>
  <c r="X928" i="2"/>
  <c r="AB928" i="2" s="1"/>
  <c r="AT928" i="8" s="1"/>
  <c r="X1060" i="2"/>
  <c r="AB1060" i="2" s="1"/>
  <c r="AT1060" i="8" s="1"/>
  <c r="X488" i="2"/>
  <c r="AB488" i="2" s="1"/>
  <c r="AT488" i="8" s="1"/>
  <c r="X107" i="2"/>
  <c r="AB107" i="2" s="1"/>
  <c r="AT107" i="8" s="1"/>
  <c r="X284" i="2"/>
  <c r="AB284" i="2" s="1"/>
  <c r="AT284" i="8" s="1"/>
  <c r="X211" i="2"/>
  <c r="AB211" i="2" s="1"/>
  <c r="AT211" i="8" s="1"/>
  <c r="X402" i="2"/>
  <c r="AB402" i="2" s="1"/>
  <c r="AT402" i="8" s="1"/>
  <c r="X520" i="2"/>
  <c r="AB520" i="2" s="1"/>
  <c r="AT520" i="8" s="1"/>
  <c r="X319" i="2"/>
  <c r="AB319" i="2" s="1"/>
  <c r="AT319" i="8" s="1"/>
  <c r="X308" i="2"/>
  <c r="AB308" i="2" s="1"/>
  <c r="AT308" i="8" s="1"/>
  <c r="X289" i="2"/>
  <c r="AB289" i="2" s="1"/>
  <c r="AT289" i="8" s="1"/>
  <c r="X443" i="2"/>
  <c r="AB443" i="2" s="1"/>
  <c r="AT443" i="8" s="1"/>
  <c r="X215" i="2"/>
  <c r="AB215" i="2" s="1"/>
  <c r="AT215" i="8" s="1"/>
  <c r="X164" i="2"/>
  <c r="AB164" i="2" s="1"/>
  <c r="AT164" i="8" s="1"/>
  <c r="X345" i="2"/>
  <c r="AB345" i="2" s="1"/>
  <c r="AT345" i="8" s="1"/>
  <c r="X465" i="2"/>
  <c r="AB465" i="2" s="1"/>
  <c r="AT465" i="8" s="1"/>
  <c r="X237" i="2"/>
  <c r="AB237" i="2" s="1"/>
  <c r="AT237" i="8" s="1"/>
  <c r="X234" i="2"/>
  <c r="AB234" i="2" s="1"/>
  <c r="AT234" i="8" s="1"/>
  <c r="X409" i="2"/>
  <c r="AB409" i="2" s="1"/>
  <c r="AT409" i="8" s="1"/>
  <c r="X467" i="2"/>
  <c r="AB467" i="2" s="1"/>
  <c r="AT467" i="8" s="1"/>
  <c r="X170" i="2"/>
  <c r="AB170" i="2" s="1"/>
  <c r="AT170" i="8" s="1"/>
  <c r="X116" i="2"/>
  <c r="AB116" i="2" s="1"/>
  <c r="AT116" i="8" s="1"/>
  <c r="X257" i="2"/>
  <c r="AB257" i="2" s="1"/>
  <c r="AT257" i="8" s="1"/>
  <c r="X335" i="2"/>
  <c r="AB335" i="2" s="1"/>
  <c r="AT335" i="8" s="1"/>
  <c r="X191" i="2"/>
  <c r="AB191" i="2" s="1"/>
  <c r="AT191" i="8" s="1"/>
  <c r="X187" i="2"/>
  <c r="AB187" i="2" s="1"/>
  <c r="AT187" i="8" s="1"/>
  <c r="X491" i="2"/>
  <c r="AB491" i="2" s="1"/>
  <c r="AT491" i="8" s="1"/>
  <c r="X394" i="2"/>
  <c r="AB394" i="2" s="1"/>
  <c r="AT394" i="8" s="1"/>
  <c r="X119" i="2"/>
  <c r="AB119" i="2" s="1"/>
  <c r="AT119" i="8" s="1"/>
  <c r="X376" i="2"/>
  <c r="AB376" i="2" s="1"/>
  <c r="AT376" i="8" s="1"/>
  <c r="X99" i="2"/>
  <c r="AB99" i="2" s="1"/>
  <c r="AT99" i="8" s="1"/>
  <c r="X244" i="2"/>
  <c r="AB244" i="2" s="1"/>
  <c r="AT244" i="8" s="1"/>
  <c r="X140" i="2"/>
  <c r="AB140" i="2" s="1"/>
  <c r="AT140" i="8" s="1"/>
  <c r="X504" i="2"/>
  <c r="AB504" i="2" s="1"/>
  <c r="AT504" i="8" s="1"/>
  <c r="X540" i="2"/>
  <c r="AB540" i="2" s="1"/>
  <c r="AT540" i="8" s="1"/>
  <c r="X173" i="2"/>
  <c r="AB173" i="2" s="1"/>
  <c r="AT173" i="8" s="1"/>
  <c r="X66" i="2"/>
  <c r="AB66" i="2" s="1"/>
  <c r="AT66" i="8" s="1"/>
  <c r="X352" i="2"/>
  <c r="AB352" i="2" s="1"/>
  <c r="AT352" i="8" s="1"/>
  <c r="X38" i="2"/>
  <c r="AB38" i="2" s="1"/>
  <c r="AT38" i="8" s="1"/>
  <c r="X195" i="2"/>
  <c r="AB195" i="2" s="1"/>
  <c r="AT195" i="8" s="1"/>
  <c r="X89" i="2"/>
  <c r="AB89" i="2" s="1"/>
  <c r="AT89" i="8" s="1"/>
  <c r="X445" i="2"/>
  <c r="AB445" i="2" s="1"/>
  <c r="AT445" i="8" s="1"/>
  <c r="X150" i="2"/>
  <c r="AB150" i="2" s="1"/>
  <c r="AT150" i="8" s="1"/>
  <c r="X149" i="2"/>
  <c r="AB149" i="2" s="1"/>
  <c r="AT149" i="8" s="1"/>
  <c r="X418" i="2"/>
  <c r="AB418" i="2" s="1"/>
  <c r="AT418" i="8" s="1"/>
  <c r="X557" i="2"/>
  <c r="AB557" i="2" s="1"/>
  <c r="AT557" i="8" s="1"/>
  <c r="X268" i="2"/>
  <c r="AB268" i="2" s="1"/>
  <c r="AT268" i="8" s="1"/>
  <c r="X528" i="2"/>
  <c r="AB528" i="2" s="1"/>
  <c r="AT528" i="8" s="1"/>
  <c r="X143" i="2"/>
  <c r="AB143" i="2" s="1"/>
  <c r="AT143" i="8" s="1"/>
  <c r="X430" i="2"/>
  <c r="AB430" i="2" s="1"/>
  <c r="AT430" i="8" s="1"/>
  <c r="X383" i="2"/>
  <c r="AB383" i="2" s="1"/>
  <c r="AT383" i="8" s="1"/>
  <c r="X530" i="2"/>
  <c r="AB530" i="2" s="1"/>
  <c r="AT530" i="8" s="1"/>
  <c r="X341" i="2"/>
  <c r="AB341" i="2" s="1"/>
  <c r="AT341" i="8" s="1"/>
  <c r="X395" i="2"/>
  <c r="AB395" i="2" s="1"/>
  <c r="AT395" i="8" s="1"/>
  <c r="X494" i="2"/>
  <c r="AB494" i="2" s="1"/>
  <c r="AT494" i="8" s="1"/>
  <c r="X115" i="2"/>
  <c r="AB115" i="2" s="1"/>
  <c r="AT115" i="8" s="1"/>
  <c r="X471" i="2"/>
  <c r="AB471" i="2" s="1"/>
  <c r="AT471" i="8" s="1"/>
  <c r="X92" i="2"/>
  <c r="AB92" i="2" s="1"/>
  <c r="AT92" i="8" s="1"/>
  <c r="X509" i="2"/>
  <c r="AB509" i="2" s="1"/>
  <c r="AT509" i="8" s="1"/>
  <c r="X307" i="2"/>
  <c r="AB307" i="2" s="1"/>
  <c r="AT307" i="8" s="1"/>
  <c r="X534" i="2"/>
  <c r="AB534" i="2" s="1"/>
  <c r="AT534" i="8" s="1"/>
  <c r="X442" i="2"/>
  <c r="AB442" i="2" s="1"/>
  <c r="AT442" i="8" s="1"/>
  <c r="X421" i="2"/>
  <c r="AB421" i="2" s="1"/>
  <c r="AT421" i="8" s="1"/>
  <c r="X500" i="2"/>
  <c r="AB500" i="2" s="1"/>
  <c r="AT500" i="8" s="1"/>
  <c r="X340" i="2"/>
  <c r="AB340" i="2" s="1"/>
  <c r="AT340" i="8" s="1"/>
  <c r="X519" i="2"/>
  <c r="AB519" i="2" s="1"/>
  <c r="AT519" i="8" s="1"/>
  <c r="X451" i="2"/>
  <c r="AB451" i="2" s="1"/>
  <c r="AT451" i="8" s="1"/>
  <c r="X232" i="2"/>
  <c r="AB232" i="2" s="1"/>
  <c r="AT232" i="8" s="1"/>
  <c r="X54" i="2"/>
  <c r="AB54" i="2" s="1"/>
  <c r="AT54" i="8" s="1"/>
  <c r="X130" i="2"/>
  <c r="AB130" i="2" s="1"/>
  <c r="AT130" i="8" s="1"/>
  <c r="X567" i="2"/>
  <c r="AB567" i="2" s="1"/>
  <c r="AT567" i="8" s="1"/>
  <c r="X363" i="2"/>
  <c r="AB363" i="2" s="1"/>
  <c r="AT363" i="8" s="1"/>
  <c r="X546" i="2"/>
  <c r="AB546" i="2" s="1"/>
  <c r="AT546" i="8" s="1"/>
  <c r="X201" i="2"/>
  <c r="AB201" i="2" s="1"/>
  <c r="AT201" i="8" s="1"/>
  <c r="X455" i="2"/>
  <c r="AB455" i="2" s="1"/>
  <c r="AT455" i="8" s="1"/>
  <c r="X386" i="2"/>
  <c r="AB386" i="2" s="1"/>
  <c r="AT386" i="8" s="1"/>
  <c r="X186" i="2"/>
  <c r="AB186" i="2" s="1"/>
  <c r="AT186" i="8" s="1"/>
  <c r="X416" i="2"/>
  <c r="AB416" i="2" s="1"/>
  <c r="AT416" i="8" s="1"/>
  <c r="X300" i="2"/>
  <c r="AB300" i="2" s="1"/>
  <c r="AT300" i="8" s="1"/>
  <c r="X499" i="2"/>
  <c r="AB499" i="2" s="1"/>
  <c r="AT499" i="8" s="1"/>
  <c r="X280" i="2"/>
  <c r="AB280" i="2" s="1"/>
  <c r="AT280" i="8" s="1"/>
  <c r="X478" i="2"/>
  <c r="AB478" i="2" s="1"/>
  <c r="AT478" i="8" s="1"/>
  <c r="X97" i="2"/>
  <c r="AB97" i="2" s="1"/>
  <c r="AT97" i="8" s="1"/>
  <c r="X391" i="2"/>
  <c r="AB391" i="2" s="1"/>
  <c r="AT391" i="8" s="1"/>
  <c r="X236" i="2"/>
  <c r="AB236" i="2" s="1"/>
  <c r="AT236" i="8" s="1"/>
  <c r="X134" i="2"/>
  <c r="AB134" i="2" s="1"/>
  <c r="AT134" i="8" s="1"/>
  <c r="X429" i="2"/>
  <c r="AB429" i="2" s="1"/>
  <c r="AT429" i="8" s="1"/>
  <c r="X214" i="2"/>
  <c r="AB214" i="2" s="1"/>
  <c r="AT214" i="8" s="1"/>
  <c r="X405" i="2"/>
  <c r="AB405" i="2" s="1"/>
  <c r="AT405" i="8" s="1"/>
  <c r="X37" i="2"/>
  <c r="AB37" i="2" s="1"/>
  <c r="AT37" i="8" s="1"/>
  <c r="X333" i="2"/>
  <c r="AB333" i="2" s="1"/>
  <c r="AT333" i="8" s="1"/>
  <c r="X190" i="2"/>
  <c r="AB190" i="2" s="1"/>
  <c r="AT190" i="8" s="1"/>
  <c r="X503" i="2"/>
  <c r="AB503" i="2" s="1"/>
  <c r="AT503" i="8" s="1"/>
  <c r="X510" i="2"/>
  <c r="AB510" i="2" s="1"/>
  <c r="AT510" i="8" s="1"/>
  <c r="X297" i="2"/>
  <c r="AB297" i="2" s="1"/>
  <c r="AT297" i="8" s="1"/>
  <c r="X168" i="2"/>
  <c r="AB168" i="2" s="1"/>
  <c r="AT168" i="8" s="1"/>
  <c r="X350" i="2"/>
  <c r="AB350" i="2" s="1"/>
  <c r="AT350" i="8" s="1"/>
  <c r="X527" i="2"/>
  <c r="AB527" i="2" s="1"/>
  <c r="AT527" i="8" s="1"/>
  <c r="X243" i="2"/>
  <c r="AB243" i="2" s="1"/>
  <c r="AT243" i="8" s="1"/>
  <c r="X138" i="2"/>
  <c r="AB138" i="2" s="1"/>
  <c r="AT138" i="8" s="1"/>
  <c r="X382" i="2"/>
  <c r="AB382" i="2" s="1"/>
  <c r="AT382" i="8" s="1"/>
  <c r="X462" i="2"/>
  <c r="AB462" i="2" s="1"/>
  <c r="AT462" i="8" s="1"/>
  <c r="X178" i="2"/>
  <c r="AB178" i="2" s="1"/>
  <c r="AT178" i="8" s="1"/>
  <c r="X118" i="2"/>
  <c r="AB118" i="2" s="1"/>
  <c r="AT118" i="8" s="1"/>
  <c r="X263" i="2"/>
  <c r="AB263" i="2" s="1"/>
  <c r="AT263" i="8" s="1"/>
  <c r="X470" i="2"/>
  <c r="AB470" i="2" s="1"/>
  <c r="AT470" i="8" s="1"/>
  <c r="X194" i="2"/>
  <c r="AB194" i="2" s="1"/>
  <c r="AT194" i="8" s="1"/>
  <c r="X88" i="2"/>
  <c r="AB88" i="2" s="1"/>
  <c r="AT88" i="8" s="1"/>
  <c r="X303" i="2"/>
  <c r="AB303" i="2" s="1"/>
  <c r="AT303" i="8" s="1"/>
  <c r="X154" i="2"/>
  <c r="AB154" i="2" s="1"/>
  <c r="AT154" i="8" s="1"/>
  <c r="X127" i="2"/>
  <c r="AB127" i="2" s="1"/>
  <c r="AT127" i="8" s="1"/>
  <c r="X555" i="2"/>
  <c r="AB555" i="2" s="1"/>
  <c r="AT555" i="8" s="1"/>
  <c r="X57" i="2"/>
  <c r="AB57" i="2" s="1"/>
  <c r="AT57" i="8" s="1"/>
  <c r="X338" i="2"/>
  <c r="AB338" i="2" s="1"/>
  <c r="AT338" i="8" s="1"/>
  <c r="X142" i="2"/>
  <c r="AB142" i="2" s="1"/>
  <c r="AT142" i="8" s="1"/>
  <c r="X508" i="2"/>
  <c r="AB508" i="2" s="1"/>
  <c r="AT508" i="8" s="1"/>
  <c r="X185" i="2"/>
  <c r="AB185" i="2" s="1"/>
  <c r="AT185" i="8" s="1"/>
  <c r="X101" i="2"/>
  <c r="AB101" i="2" s="1"/>
  <c r="AT101" i="8" s="1"/>
  <c r="X437" i="2"/>
  <c r="AB437" i="2" s="1"/>
  <c r="AT437" i="8" s="1"/>
  <c r="X498" i="2"/>
  <c r="AB498" i="2" s="1"/>
  <c r="AT498" i="8" s="1"/>
  <c r="X484" i="2"/>
  <c r="AB484" i="2" s="1"/>
  <c r="AT484" i="8" s="1"/>
  <c r="X542" i="2"/>
  <c r="AB542" i="2" s="1"/>
  <c r="AT542" i="8" s="1"/>
  <c r="X253" i="2"/>
  <c r="AB253" i="2" s="1"/>
  <c r="AT253" i="8" s="1"/>
  <c r="X91" i="2"/>
  <c r="AB91" i="2" s="1"/>
  <c r="AT91" i="8" s="1"/>
  <c r="X447" i="2"/>
  <c r="AB447" i="2" s="1"/>
  <c r="AT447" i="8" s="1"/>
  <c r="X79" i="2"/>
  <c r="AB79" i="2" s="1"/>
  <c r="AT79" i="8" s="1"/>
  <c r="X485" i="2"/>
  <c r="AB485" i="2" s="1"/>
  <c r="AT485" i="8" s="1"/>
  <c r="X155" i="2"/>
  <c r="AB155" i="2" s="1"/>
  <c r="AT155" i="8" s="1"/>
  <c r="X486" i="2"/>
  <c r="AB486" i="2" s="1"/>
  <c r="AT486" i="8" s="1"/>
  <c r="X428" i="2"/>
  <c r="AB428" i="2" s="1"/>
  <c r="AT428" i="8" s="1"/>
  <c r="X356" i="2"/>
  <c r="AB356" i="2" s="1"/>
  <c r="AT356" i="8" s="1"/>
  <c r="X475" i="2"/>
  <c r="AB475" i="2" s="1"/>
  <c r="AT475" i="8" s="1"/>
  <c r="X199" i="2"/>
  <c r="AB199" i="2" s="1"/>
  <c r="AT199" i="8" s="1"/>
  <c r="X454" i="2"/>
  <c r="AB454" i="2" s="1"/>
  <c r="AT454" i="8" s="1"/>
  <c r="X385" i="2"/>
  <c r="AB385" i="2" s="1"/>
  <c r="AT385" i="8" s="1"/>
  <c r="X301" i="2"/>
  <c r="AB301" i="2" s="1"/>
  <c r="AT301" i="8" s="1"/>
  <c r="X80" i="2"/>
  <c r="AB80" i="2" s="1"/>
  <c r="AT80" i="8" s="1"/>
  <c r="X461" i="2"/>
  <c r="AB461" i="2" s="1"/>
  <c r="AT461" i="8" s="1"/>
  <c r="X370" i="2"/>
  <c r="AB370" i="2" s="1"/>
  <c r="AT370" i="8" s="1"/>
  <c r="X212" i="2"/>
  <c r="AB212" i="2" s="1"/>
  <c r="AT212" i="8" s="1"/>
  <c r="X404" i="2"/>
  <c r="AB404" i="2" s="1"/>
  <c r="AT404" i="8" s="1"/>
  <c r="X146" i="2"/>
  <c r="AB146" i="2" s="1"/>
  <c r="AT146" i="8" s="1"/>
  <c r="X388" i="2"/>
  <c r="AB388" i="2" s="1"/>
  <c r="AT388" i="8" s="1"/>
  <c r="X309" i="2"/>
  <c r="AB309" i="2" s="1"/>
  <c r="AT309" i="8" s="1"/>
  <c r="X501" i="2"/>
  <c r="AB501" i="2" s="1"/>
  <c r="AT501" i="8" s="1"/>
  <c r="X202" i="2"/>
  <c r="AB202" i="2" s="1"/>
  <c r="AT202" i="8" s="1"/>
  <c r="X295" i="2"/>
  <c r="AB295" i="2" s="1"/>
  <c r="AT295" i="8" s="1"/>
  <c r="X166" i="2"/>
  <c r="AB166" i="2" s="1"/>
  <c r="AT166" i="8" s="1"/>
  <c r="X349" i="2"/>
  <c r="AB349" i="2" s="1"/>
  <c r="AT349" i="8" s="1"/>
  <c r="X525" i="2"/>
  <c r="AB525" i="2" s="1"/>
  <c r="AT525" i="8" s="1"/>
  <c r="X332" i="2"/>
  <c r="AB332" i="2" s="1"/>
  <c r="AT332" i="8" s="1"/>
  <c r="X235" i="2"/>
  <c r="AB235" i="2" s="1"/>
  <c r="AT235" i="8" s="1"/>
  <c r="X436" i="2"/>
  <c r="AB436" i="2" s="1"/>
  <c r="AT436" i="8" s="1"/>
  <c r="X344" i="2"/>
  <c r="AB344" i="2" s="1"/>
  <c r="AT344" i="8" s="1"/>
  <c r="X179" i="2"/>
  <c r="AB179" i="2" s="1"/>
  <c r="AT179" i="8" s="1"/>
  <c r="X420" i="2"/>
  <c r="AB420" i="2" s="1"/>
  <c r="AT420" i="8" s="1"/>
  <c r="X172" i="2"/>
  <c r="AB172" i="2" s="1"/>
  <c r="AT172" i="8" s="1"/>
  <c r="X64" i="2"/>
  <c r="AB64" i="2" s="1"/>
  <c r="AT64" i="8" s="1"/>
  <c r="X261" i="2"/>
  <c r="AB261" i="2" s="1"/>
  <c r="AT261" i="8" s="1"/>
  <c r="X469" i="2"/>
  <c r="AB469" i="2" s="1"/>
  <c r="AT469" i="8" s="1"/>
  <c r="X242" i="2"/>
  <c r="AB242" i="2" s="1"/>
  <c r="AT242" i="8" s="1"/>
  <c r="X189" i="2"/>
  <c r="AB189" i="2" s="1"/>
  <c r="AT189" i="8" s="1"/>
  <c r="X377" i="2"/>
  <c r="AB377" i="2" s="1"/>
  <c r="AT377" i="8" s="1"/>
  <c r="X561" i="2"/>
  <c r="AB561" i="2" s="1"/>
  <c r="AT561" i="8" s="1"/>
  <c r="X68" i="2"/>
  <c r="AB68" i="2" s="1"/>
  <c r="AT68" i="8" s="1"/>
  <c r="X205" i="2"/>
  <c r="AB205" i="2" s="1"/>
  <c r="AT205" i="8" s="1"/>
  <c r="X397" i="2"/>
  <c r="AB397" i="2" s="1"/>
  <c r="AT397" i="8" s="1"/>
  <c r="X141" i="2"/>
  <c r="AB141" i="2" s="1"/>
  <c r="AT141" i="8" s="1"/>
  <c r="X137" i="2"/>
  <c r="AB137" i="2" s="1"/>
  <c r="AT137" i="8" s="1"/>
  <c r="X302" i="2"/>
  <c r="AB302" i="2" s="1"/>
  <c r="AT302" i="8" s="1"/>
  <c r="X318" i="2"/>
  <c r="AB318" i="2" s="1"/>
  <c r="AT318" i="8" s="1"/>
  <c r="X248" i="2"/>
  <c r="AB248" i="2" s="1"/>
  <c r="AT248" i="8" s="1"/>
  <c r="X562" i="2"/>
  <c r="AB562" i="2" s="1"/>
  <c r="AT562" i="8" s="1"/>
  <c r="X481" i="2"/>
  <c r="AB481" i="2" s="1"/>
  <c r="AT481" i="8" s="1"/>
  <c r="X110" i="2"/>
  <c r="AB110" i="2" s="1"/>
  <c r="AT110" i="8" s="1"/>
  <c r="X337" i="2"/>
  <c r="AB337" i="2" s="1"/>
  <c r="AT337" i="8" s="1"/>
  <c r="X90" i="2"/>
  <c r="AB90" i="2" s="1"/>
  <c r="AT90" i="8" s="1"/>
  <c r="X129" i="2"/>
  <c r="AB129" i="2" s="1"/>
  <c r="AT129" i="8" s="1"/>
  <c r="X223" i="2"/>
  <c r="AB223" i="2" s="1"/>
  <c r="AT223" i="8" s="1"/>
  <c r="X176" i="2"/>
  <c r="AB176" i="2" s="1"/>
  <c r="AT176" i="8" s="1"/>
  <c r="X226" i="2"/>
  <c r="AB226" i="2" s="1"/>
  <c r="AT226" i="8" s="1"/>
  <c r="X496" i="2"/>
  <c r="AB496" i="2" s="1"/>
  <c r="AT496" i="8" s="1"/>
  <c r="X415" i="2"/>
  <c r="AB415" i="2" s="1"/>
  <c r="AT415" i="8" s="1"/>
  <c r="X44" i="2"/>
  <c r="AB44" i="2" s="1"/>
  <c r="AT44" i="8" s="1"/>
  <c r="X249" i="2"/>
  <c r="AB249" i="2" s="1"/>
  <c r="AT249" i="8" s="1"/>
  <c r="X514" i="2"/>
  <c r="AB514" i="2" s="1"/>
  <c r="AT514" i="8" s="1"/>
  <c r="X507" i="2"/>
  <c r="AB507" i="2" s="1"/>
  <c r="AT507" i="8" s="1"/>
  <c r="X184" i="2"/>
  <c r="AB184" i="2" s="1"/>
  <c r="AT184" i="8" s="1"/>
  <c r="X389" i="2"/>
  <c r="AB389" i="2" s="1"/>
  <c r="AT389" i="8" s="1"/>
  <c r="X128" i="2"/>
  <c r="AB128" i="2" s="1"/>
  <c r="AT128" i="8" s="1"/>
  <c r="X368" i="2"/>
  <c r="AB368" i="2" s="1"/>
  <c r="AT368" i="8" s="1"/>
  <c r="X424" i="2"/>
  <c r="AB424" i="2" s="1"/>
  <c r="AT424" i="8" s="1"/>
  <c r="X354" i="2"/>
  <c r="AB354" i="2" s="1"/>
  <c r="AT354" i="8" s="1"/>
  <c r="X531" i="2"/>
  <c r="AB531" i="2" s="1"/>
  <c r="AT531" i="8" s="1"/>
  <c r="X196" i="2"/>
  <c r="AB196" i="2" s="1"/>
  <c r="AT196" i="8" s="1"/>
  <c r="X452" i="2"/>
  <c r="AB452" i="2" s="1"/>
  <c r="AT452" i="8" s="1"/>
  <c r="X446" i="2"/>
  <c r="AB446" i="2" s="1"/>
  <c r="AT446" i="8" s="1"/>
  <c r="X75" i="2"/>
  <c r="AB75" i="2" s="1"/>
  <c r="AT75" i="8" s="1"/>
  <c r="X197" i="2"/>
  <c r="AB197" i="2" s="1"/>
  <c r="AT197" i="8" s="1"/>
  <c r="X53" i="2"/>
  <c r="AB53" i="2" s="1"/>
  <c r="AT53" i="8" s="1"/>
  <c r="X440" i="2"/>
  <c r="AB440" i="2" s="1"/>
  <c r="AT440" i="8" s="1"/>
  <c r="X364" i="2"/>
  <c r="AB364" i="2" s="1"/>
  <c r="AT364" i="8" s="1"/>
  <c r="X271" i="2"/>
  <c r="AB271" i="2" s="1"/>
  <c r="AT271" i="8" s="1"/>
  <c r="X473" i="2"/>
  <c r="AB473" i="2" s="1"/>
  <c r="AT473" i="8" s="1"/>
  <c r="X144" i="2"/>
  <c r="AB144" i="2" s="1"/>
  <c r="AT144" i="8" s="1"/>
  <c r="X387" i="2"/>
  <c r="AB387" i="2" s="1"/>
  <c r="AT387" i="8" s="1"/>
  <c r="X384" i="2"/>
  <c r="AB384" i="2" s="1"/>
  <c r="AT384" i="8" s="1"/>
  <c r="X497" i="2"/>
  <c r="AB497" i="2" s="1"/>
  <c r="AT497" i="8" s="1"/>
  <c r="X495" i="2"/>
  <c r="AB495" i="2" s="1"/>
  <c r="AT495" i="8" s="1"/>
  <c r="X463" i="2"/>
  <c r="AB463" i="2" s="1"/>
  <c r="AT463" i="8" s="1"/>
  <c r="X225" i="2"/>
  <c r="AB225" i="2" s="1"/>
  <c r="AT225" i="8" s="1"/>
  <c r="X336" i="2"/>
  <c r="AB336" i="2" s="1"/>
  <c r="AT336" i="8" s="1"/>
  <c r="X544" i="2"/>
  <c r="AB544" i="2" s="1"/>
  <c r="AT544" i="8" s="1"/>
  <c r="X153" i="2"/>
  <c r="AB153" i="2" s="1"/>
  <c r="AT153" i="8" s="1"/>
  <c r="X266" i="2"/>
  <c r="AB266" i="2" s="1"/>
  <c r="AT266" i="8" s="1"/>
  <c r="X291" i="2"/>
  <c r="AB291" i="2" s="1"/>
  <c r="AT291" i="8" s="1"/>
  <c r="X246" i="2"/>
  <c r="AB246" i="2" s="1"/>
  <c r="AT246" i="8" s="1"/>
  <c r="X466" i="2"/>
  <c r="AB466" i="2" s="1"/>
  <c r="AT466" i="8" s="1"/>
  <c r="X401" i="2"/>
  <c r="AB401" i="2" s="1"/>
  <c r="AT401" i="8" s="1"/>
  <c r="X135" i="2"/>
  <c r="AB135" i="2" s="1"/>
  <c r="AT135" i="8" s="1"/>
  <c r="X279" i="2"/>
  <c r="AB279" i="2" s="1"/>
  <c r="AT279" i="8" s="1"/>
  <c r="X422" i="2"/>
  <c r="AB422" i="2" s="1"/>
  <c r="AT422" i="8" s="1"/>
  <c r="X122" i="2"/>
  <c r="AB122" i="2" s="1"/>
  <c r="AT122" i="8" s="1"/>
  <c r="X238" i="2"/>
  <c r="AB238" i="2" s="1"/>
  <c r="AT238" i="8" s="1"/>
  <c r="X472" i="2"/>
  <c r="AB472" i="2" s="1"/>
  <c r="AT472" i="8" s="1"/>
  <c r="X464" i="2"/>
  <c r="AB464" i="2" s="1"/>
  <c r="AT464" i="8" s="1"/>
  <c r="X378" i="2"/>
  <c r="AB378" i="2" s="1"/>
  <c r="AT378" i="8" s="1"/>
  <c r="X432" i="2"/>
  <c r="AB432" i="2" s="1"/>
  <c r="AT432" i="8" s="1"/>
  <c r="X373" i="2"/>
  <c r="AB373" i="2" s="1"/>
  <c r="AT373" i="8" s="1"/>
  <c r="X106" i="2"/>
  <c r="AB106" i="2" s="1"/>
  <c r="X250" i="2"/>
  <c r="AB250" i="2" s="1"/>
  <c r="AT250" i="8" s="1"/>
  <c r="X361" i="2"/>
  <c r="AB361" i="2" s="1"/>
  <c r="AT361" i="8" s="1"/>
  <c r="X539" i="2"/>
  <c r="AB539" i="2" s="1"/>
  <c r="AT539" i="8" s="1"/>
  <c r="X209" i="2"/>
  <c r="AB209" i="2" s="1"/>
  <c r="AT209" i="8" s="1"/>
  <c r="X317" i="2"/>
  <c r="AB317" i="2" s="1"/>
  <c r="AT317" i="8" s="1"/>
  <c r="X49" i="2"/>
  <c r="AB49" i="2" s="1"/>
  <c r="AT49" i="8" s="1"/>
  <c r="X321" i="2"/>
  <c r="AB321" i="2" s="1"/>
  <c r="AT321" i="8" s="1"/>
  <c r="X403" i="2"/>
  <c r="AB403" i="2" s="1"/>
  <c r="AT403" i="8" s="1"/>
  <c r="X343" i="2"/>
  <c r="AB343" i="2" s="1"/>
  <c r="AT343" i="8" s="1"/>
  <c r="X39" i="2"/>
  <c r="AB39" i="2" s="1"/>
  <c r="AT39" i="8" s="1"/>
  <c r="X160" i="2"/>
  <c r="AB160" i="2" s="1"/>
  <c r="X305" i="2"/>
  <c r="AB305" i="2" s="1"/>
  <c r="AT305" i="8" s="1"/>
  <c r="X477" i="2"/>
  <c r="AB477" i="2" s="1"/>
  <c r="AT477" i="8" s="1"/>
  <c r="X147" i="2"/>
  <c r="AB147" i="2" s="1"/>
  <c r="AT147" i="8" s="1"/>
  <c r="X414" i="2"/>
  <c r="AB414" i="2" s="1"/>
  <c r="AT414" i="8" s="1"/>
  <c r="X290" i="2"/>
  <c r="AB290" i="2" s="1"/>
  <c r="AT290" i="8" s="1"/>
  <c r="X346" i="2"/>
  <c r="AB346" i="2" s="1"/>
  <c r="AT346" i="8" s="1"/>
  <c r="X313" i="2"/>
  <c r="AB313" i="2" s="1"/>
  <c r="AT313" i="8" s="1"/>
  <c r="X489" i="2"/>
  <c r="AB489" i="2" s="1"/>
  <c r="AT489" i="8" s="1"/>
  <c r="X100" i="2"/>
  <c r="AB100" i="2" s="1"/>
  <c r="AT100" i="8" s="1"/>
  <c r="X157" i="2"/>
  <c r="AB157" i="2" s="1"/>
  <c r="AT157" i="8" s="1"/>
  <c r="X417" i="2"/>
  <c r="AB417" i="2" s="1"/>
  <c r="AT417" i="8" s="1"/>
  <c r="X62" i="2"/>
  <c r="AB62" i="2" s="1"/>
  <c r="AT62" i="8" s="1"/>
  <c r="X224" i="2"/>
  <c r="AB224" i="2" s="1"/>
  <c r="AT224" i="8" s="1"/>
  <c r="X46" i="2"/>
  <c r="AB46" i="2" s="1"/>
  <c r="AT46" i="8" s="1"/>
  <c r="X233" i="2"/>
  <c r="AB233" i="2" s="1"/>
  <c r="AT233" i="8" s="1"/>
  <c r="X315" i="2"/>
  <c r="AB315" i="2" s="1"/>
  <c r="AT315" i="8" s="1"/>
  <c r="X256" i="2"/>
  <c r="AB256" i="2" s="1"/>
  <c r="AT256" i="8" s="1"/>
  <c r="X458" i="2"/>
  <c r="AB458" i="2" s="1"/>
  <c r="AT458" i="8" s="1"/>
  <c r="X323" i="2"/>
  <c r="AB323" i="2" s="1"/>
  <c r="AT323" i="8" s="1"/>
  <c r="X543" i="2"/>
  <c r="AB543" i="2" s="1"/>
  <c r="AT543" i="8" s="1"/>
  <c r="X357" i="2"/>
  <c r="AB357" i="2" s="1"/>
  <c r="AT357" i="8" s="1"/>
  <c r="X533" i="2"/>
  <c r="AB533" i="2" s="1"/>
  <c r="AT533" i="8" s="1"/>
  <c r="X262" i="2"/>
  <c r="AB262" i="2" s="1"/>
  <c r="AT262" i="8" s="1"/>
  <c r="X169" i="2"/>
  <c r="AB169" i="2" s="1"/>
  <c r="AT169" i="8" s="1"/>
  <c r="X165" i="2"/>
  <c r="AB165" i="2" s="1"/>
  <c r="AT165" i="8" s="1"/>
  <c r="X427" i="2"/>
  <c r="AB427" i="2" s="1"/>
  <c r="AT427" i="8" s="1"/>
  <c r="X483" i="2"/>
  <c r="AB483" i="2" s="1"/>
  <c r="AT483" i="8" s="1"/>
  <c r="X512" i="2"/>
  <c r="AB512" i="2" s="1"/>
  <c r="AT512" i="8" s="1"/>
  <c r="X474" i="2"/>
  <c r="AB474" i="2" s="1"/>
  <c r="AT474" i="8" s="1"/>
  <c r="X45" i="2"/>
  <c r="AB45" i="2" s="1"/>
  <c r="AT45" i="8" s="1"/>
  <c r="X171" i="2"/>
  <c r="AB171" i="2" s="1"/>
  <c r="AT171" i="8" s="1"/>
  <c r="X296" i="2"/>
  <c r="AB296" i="2" s="1"/>
  <c r="AT296" i="8" s="1"/>
  <c r="X227" i="2"/>
  <c r="AB227" i="2" s="1"/>
  <c r="AT227" i="8" s="1"/>
  <c r="X203" i="2"/>
  <c r="AB203" i="2" s="1"/>
  <c r="AT203" i="8" s="1"/>
  <c r="X114" i="2"/>
  <c r="AB114" i="2" s="1"/>
  <c r="AT114" i="8" s="1"/>
  <c r="X258" i="2"/>
  <c r="AB258" i="2" s="1"/>
  <c r="AT258" i="8" s="1"/>
  <c r="X109" i="2"/>
  <c r="AB109" i="2" s="1"/>
  <c r="AT109" i="8" s="1"/>
  <c r="X369" i="2"/>
  <c r="AB369" i="2" s="1"/>
  <c r="AT369" i="8" s="1"/>
  <c r="X453" i="2"/>
  <c r="AB453" i="2" s="1"/>
  <c r="AT453" i="8" s="1"/>
  <c r="X480" i="2"/>
  <c r="AB480" i="2" s="1"/>
  <c r="X240" i="2"/>
  <c r="AB240" i="2" s="1"/>
  <c r="AT240" i="8" s="1"/>
  <c r="X411" i="2"/>
  <c r="AB411" i="2" s="1"/>
  <c r="AT411" i="8" s="1"/>
  <c r="X425" i="2"/>
  <c r="AB425" i="2" s="1"/>
  <c r="AT425" i="8" s="1"/>
  <c r="X516" i="2"/>
  <c r="AB516" i="2" s="1"/>
  <c r="AT516" i="8" s="1"/>
  <c r="X513" i="2"/>
  <c r="AB513" i="2" s="1"/>
  <c r="AT513" i="8" s="1"/>
  <c r="X511" i="2"/>
  <c r="AB511" i="2" s="1"/>
  <c r="AT511" i="8" s="1"/>
  <c r="X276" i="2"/>
  <c r="AB276" i="2" s="1"/>
  <c r="AT276" i="8" s="1"/>
  <c r="X324" i="2"/>
  <c r="AB324" i="2" s="1"/>
  <c r="AT324" i="8" s="1"/>
  <c r="X55" i="2"/>
  <c r="AB55" i="2" s="1"/>
  <c r="AT55" i="8" s="1"/>
  <c r="X230" i="2"/>
  <c r="AB230" i="2" s="1"/>
  <c r="AT230" i="8" s="1"/>
  <c r="X42" i="2"/>
  <c r="AB42" i="2" s="1"/>
  <c r="AT42" i="8" s="1"/>
  <c r="X281" i="2"/>
  <c r="AB281" i="2" s="1"/>
  <c r="AT281" i="8" s="1"/>
  <c r="X278" i="2"/>
  <c r="AB278" i="2" s="1"/>
  <c r="AT278" i="8" s="1"/>
  <c r="X450" i="2"/>
  <c r="AB450" i="2" s="1"/>
  <c r="AT450" i="8" s="1"/>
  <c r="X182" i="2"/>
  <c r="AB182" i="2" s="1"/>
  <c r="AT182" i="8" s="1"/>
  <c r="X326" i="2"/>
  <c r="AB326" i="2" s="1"/>
  <c r="AT326" i="8" s="1"/>
  <c r="X152" i="2"/>
  <c r="AB152" i="2" s="1"/>
  <c r="AT152" i="8" s="1"/>
  <c r="X193" i="2"/>
  <c r="AB193" i="2" s="1"/>
  <c r="AT193" i="8" s="1"/>
  <c r="X342" i="2"/>
  <c r="AB342" i="2" s="1"/>
  <c r="AT342" i="8" s="1"/>
  <c r="X556" i="2"/>
  <c r="AB556" i="2" s="1"/>
  <c r="AT556" i="8" s="1"/>
  <c r="X167" i="2"/>
  <c r="AB167" i="2" s="1"/>
  <c r="AT167" i="8" s="1"/>
  <c r="X551" i="2"/>
  <c r="AB551" i="2" s="1"/>
  <c r="AT551" i="8" s="1"/>
  <c r="X105" i="2"/>
  <c r="AB105" i="2" s="1"/>
  <c r="AT105" i="8" s="1"/>
  <c r="X188" i="2"/>
  <c r="AB188" i="2" s="1"/>
  <c r="AT188" i="8" s="1"/>
  <c r="X360" i="2"/>
  <c r="AB360" i="2" s="1"/>
  <c r="AT360" i="8" s="1"/>
  <c r="X151" i="2"/>
  <c r="AB151" i="2" s="1"/>
  <c r="AT151" i="8" s="1"/>
  <c r="X265" i="2"/>
  <c r="AB265" i="2" s="1"/>
  <c r="AT265" i="8" s="1"/>
  <c r="X200" i="2"/>
  <c r="AB200" i="2" s="1"/>
  <c r="AT200" i="8" s="1"/>
  <c r="X468" i="2"/>
  <c r="AB468" i="2" s="1"/>
  <c r="AT468" i="8" s="1"/>
  <c r="X59" i="2"/>
  <c r="AB59" i="2" s="1"/>
  <c r="AT59" i="8" s="1"/>
  <c r="X435" i="2"/>
  <c r="AB435" i="2" s="1"/>
  <c r="AT435" i="8" s="1"/>
  <c r="X139" i="2"/>
  <c r="AB139" i="2" s="1"/>
  <c r="AT139" i="8" s="1"/>
  <c r="X522" i="2"/>
  <c r="AB522" i="2" s="1"/>
  <c r="AT522" i="8" s="1"/>
  <c r="X73" i="2"/>
  <c r="AB73" i="2" s="1"/>
  <c r="X70" i="2"/>
  <c r="AB70" i="2" s="1"/>
  <c r="X304" i="2"/>
  <c r="AB304" i="2" s="1"/>
  <c r="AT304" i="8" s="1"/>
  <c r="X121" i="2"/>
  <c r="AB121" i="2" s="1"/>
  <c r="AT121" i="8" s="1"/>
  <c r="X61" i="2"/>
  <c r="AB61" i="2" s="1"/>
  <c r="X69" i="2"/>
  <c r="AB69" i="2" s="1"/>
  <c r="AT69" i="8" s="1"/>
  <c r="X293" i="2"/>
  <c r="AB293" i="2" s="1"/>
  <c r="AT293" i="8" s="1"/>
  <c r="X433" i="2"/>
  <c r="AB433" i="2" s="1"/>
  <c r="AT433" i="8" s="1"/>
  <c r="X288" i="2"/>
  <c r="AB288" i="2" s="1"/>
  <c r="AT288" i="8" s="1"/>
  <c r="X111" i="2"/>
  <c r="AB111" i="2" s="1"/>
  <c r="AT111" i="8" s="1"/>
  <c r="X460" i="2"/>
  <c r="AB460" i="2" s="1"/>
  <c r="AT460" i="8" s="1"/>
  <c r="X380" i="2"/>
  <c r="AB380" i="2" s="1"/>
  <c r="AT380" i="8" s="1"/>
  <c r="X545" i="2"/>
  <c r="AB545" i="2" s="1"/>
  <c r="AT545" i="8" s="1"/>
  <c r="X124" i="2"/>
  <c r="AB124" i="2" s="1"/>
  <c r="AT124" i="8" s="1"/>
  <c r="X538" i="2"/>
  <c r="AB538" i="2" s="1"/>
  <c r="AT538" i="8" s="1"/>
  <c r="X408" i="2"/>
  <c r="AB408" i="2" s="1"/>
  <c r="AT408" i="8" s="1"/>
  <c r="X406" i="2"/>
  <c r="AB406" i="2" s="1"/>
  <c r="AT406" i="8" s="1"/>
  <c r="X48" i="2"/>
  <c r="AB48" i="2" s="1"/>
  <c r="AT48" i="8" s="1"/>
  <c r="X390" i="2"/>
  <c r="AB390" i="2" s="1"/>
  <c r="AT390" i="8" s="1"/>
  <c r="X299" i="2"/>
  <c r="AB299" i="2" s="1"/>
  <c r="AT299" i="8" s="1"/>
  <c r="X260" i="2"/>
  <c r="AB260" i="2" s="1"/>
  <c r="AT260" i="8" s="1"/>
  <c r="X553" i="2"/>
  <c r="AB553" i="2" s="1"/>
  <c r="AT553" i="8" s="1"/>
  <c r="X400" i="2"/>
  <c r="AB400" i="2" s="1"/>
  <c r="AT400" i="8" s="1"/>
  <c r="X175" i="2"/>
  <c r="AB175" i="2" s="1"/>
  <c r="AT175" i="8" s="1"/>
  <c r="X515" i="2"/>
  <c r="AB515" i="2" s="1"/>
  <c r="AT515" i="8" s="1"/>
  <c r="X96" i="2"/>
  <c r="AB96" i="2" s="1"/>
  <c r="X505" i="2"/>
  <c r="AB505" i="2" s="1"/>
  <c r="X563" i="2"/>
  <c r="AB563" i="2" s="1"/>
  <c r="AT563" i="8" s="1"/>
  <c r="X457" i="2"/>
  <c r="AB457" i="2" s="1"/>
  <c r="AT457" i="8" s="1"/>
  <c r="X85" i="2"/>
  <c r="AB85" i="2" s="1"/>
  <c r="AT85" i="8" s="1"/>
  <c r="X524" i="2"/>
  <c r="AB524" i="2" s="1"/>
  <c r="AT524" i="8" s="1"/>
  <c r="X312" i="2"/>
  <c r="AB312" i="2" s="1"/>
  <c r="AT312" i="8" s="1"/>
  <c r="X548" i="2"/>
  <c r="AB548" i="2" s="1"/>
  <c r="AT548" i="8" s="1"/>
  <c r="X482" i="2"/>
  <c r="AB482" i="2" s="1"/>
  <c r="AT482" i="8" s="1"/>
  <c r="X67" i="2"/>
  <c r="AB67" i="2" s="1"/>
  <c r="X476" i="2"/>
  <c r="AB476" i="2" s="1"/>
  <c r="AT476" i="8" s="1"/>
  <c r="X532" i="2"/>
  <c r="AB532" i="2" s="1"/>
  <c r="AT532" i="8" s="1"/>
  <c r="X564" i="2"/>
  <c r="AB564" i="2" s="1"/>
  <c r="AT564" i="8" s="1"/>
  <c r="X431" i="2"/>
  <c r="AB431" i="2" s="1"/>
  <c r="AT431" i="8" s="1"/>
  <c r="X283" i="2"/>
  <c r="AB283" i="2" s="1"/>
  <c r="AT283" i="8" s="1"/>
  <c r="X487" i="2"/>
  <c r="AB487" i="2" s="1"/>
  <c r="AT487" i="8" s="1"/>
  <c r="X423" i="2"/>
  <c r="AB423" i="2" s="1"/>
  <c r="AT423" i="8" s="1"/>
  <c r="X449" i="2"/>
  <c r="AB449" i="2" s="1"/>
  <c r="AT449" i="8" s="1"/>
  <c r="X328" i="2"/>
  <c r="AB328" i="2" s="1"/>
  <c r="AT328" i="8" s="1"/>
  <c r="X502" i="2"/>
  <c r="AB502" i="2" s="1"/>
  <c r="AT502" i="8" s="1"/>
  <c r="X441" i="2"/>
  <c r="AB441" i="2" s="1"/>
  <c r="AT441" i="8" s="1"/>
  <c r="X40" i="2"/>
  <c r="AB40" i="2" s="1"/>
  <c r="AT40" i="8" s="1"/>
  <c r="X426" i="2"/>
  <c r="AB426" i="2" s="1"/>
  <c r="AT426" i="8" s="1"/>
  <c r="X393" i="2"/>
  <c r="AB393" i="2" s="1"/>
  <c r="AT393" i="8" s="1"/>
  <c r="X359" i="2"/>
  <c r="AB359" i="2" s="1"/>
  <c r="AT359" i="8" s="1"/>
  <c r="X267" i="2"/>
  <c r="AB267" i="2" s="1"/>
  <c r="AT267" i="8" s="1"/>
  <c r="X410" i="2"/>
  <c r="AB410" i="2" s="1"/>
  <c r="AT410" i="8" s="1"/>
  <c r="X298" i="2"/>
  <c r="AB298" i="2" s="1"/>
  <c r="AT298" i="8" s="1"/>
  <c r="X456" i="2"/>
  <c r="AB456" i="2" s="1"/>
  <c r="AT456" i="8" s="1"/>
  <c r="X206" i="2"/>
  <c r="AB206" i="2" s="1"/>
  <c r="AT206" i="8" s="1"/>
  <c r="X434" i="2"/>
  <c r="AB434" i="2" s="1"/>
  <c r="AT434" i="8" s="1"/>
  <c r="X314" i="2"/>
  <c r="AB314" i="2" s="1"/>
  <c r="AT314" i="8" s="1"/>
  <c r="X550" i="2"/>
  <c r="AB550" i="2" s="1"/>
  <c r="AT550" i="8" s="1"/>
  <c r="X367" i="2"/>
  <c r="AB367" i="2" s="1"/>
  <c r="AT367" i="8" s="1"/>
  <c r="X362" i="2"/>
  <c r="AB362" i="2" s="1"/>
  <c r="AT362" i="8" s="1"/>
  <c r="X331" i="2"/>
  <c r="AB331" i="2" s="1"/>
  <c r="AT331" i="8" s="1"/>
  <c r="X239" i="2"/>
  <c r="AB239" i="2" s="1"/>
  <c r="AT239" i="8" s="1"/>
  <c r="X381" i="2"/>
  <c r="AB381" i="2" s="1"/>
  <c r="AT381" i="8" s="1"/>
  <c r="X537" i="2"/>
  <c r="AB537" i="2" s="1"/>
  <c r="AT537" i="8" s="1"/>
  <c r="X413" i="2"/>
  <c r="AB413" i="2" s="1"/>
  <c r="AT413" i="8" s="1"/>
  <c r="X251" i="2"/>
  <c r="AB251" i="2" s="1"/>
  <c r="AT251" i="8" s="1"/>
  <c r="X560" i="2"/>
  <c r="AB560" i="2" s="1"/>
  <c r="AT560" i="8" s="1"/>
  <c r="X316" i="2"/>
  <c r="AB316" i="2" s="1"/>
  <c r="AT316" i="8" s="1"/>
  <c r="X285" i="2"/>
  <c r="AB285" i="2" s="1"/>
  <c r="AT285" i="8" s="1"/>
  <c r="X521" i="2"/>
  <c r="AB521" i="2" s="1"/>
  <c r="AT521" i="8" s="1"/>
  <c r="X220" i="2"/>
  <c r="AB220" i="2" s="1"/>
  <c r="AT220" i="8" s="1"/>
  <c r="X334" i="2"/>
  <c r="AB334" i="2" s="1"/>
  <c r="AT334" i="8" s="1"/>
  <c r="X273" i="2"/>
  <c r="AB273" i="2" s="1"/>
  <c r="AT273" i="8" s="1"/>
  <c r="X181" i="2"/>
  <c r="AB181" i="2" s="1"/>
  <c r="AT181" i="8" s="1"/>
  <c r="X353" i="2"/>
  <c r="AB353" i="2" s="1"/>
  <c r="AT353" i="8" s="1"/>
  <c r="X347" i="2"/>
  <c r="AB347" i="2" s="1"/>
  <c r="AT347" i="8" s="1"/>
  <c r="X126" i="2"/>
  <c r="AB126" i="2" s="1"/>
  <c r="AT126" i="8" s="1"/>
  <c r="X104" i="2"/>
  <c r="AB104" i="2" s="1"/>
  <c r="AT104" i="8" s="1"/>
  <c r="X529" i="2"/>
  <c r="AB529" i="2" s="1"/>
  <c r="AT529" i="8" s="1"/>
  <c r="X287" i="2"/>
  <c r="AB287" i="2" s="1"/>
  <c r="AT287" i="8" s="1"/>
  <c r="X229" i="2"/>
  <c r="AB229" i="2" s="1"/>
  <c r="AT229" i="8" s="1"/>
  <c r="X490" i="2"/>
  <c r="AB490" i="2" s="1"/>
  <c r="AT490" i="8" s="1"/>
  <c r="X161" i="2"/>
  <c r="AB161" i="2" s="1"/>
  <c r="AT161" i="8" s="1"/>
  <c r="X306" i="2"/>
  <c r="AB306" i="2" s="1"/>
  <c r="AT306" i="8" s="1"/>
  <c r="X213" i="2"/>
  <c r="AB213" i="2" s="1"/>
  <c r="AT213" i="8" s="1"/>
  <c r="X120" i="2"/>
  <c r="AB120" i="2" s="1"/>
  <c r="AT120" i="8" s="1"/>
  <c r="X325" i="2"/>
  <c r="AB325" i="2" s="1"/>
  <c r="AT325" i="8" s="1"/>
  <c r="X493" i="2"/>
  <c r="AB493" i="2" s="1"/>
  <c r="AT493" i="8" s="1"/>
  <c r="X526" i="2"/>
  <c r="AB526" i="2" s="1"/>
  <c r="AT526" i="8" s="1"/>
  <c r="X506" i="2"/>
  <c r="AB506" i="2" s="1"/>
  <c r="AT506" i="8" s="1"/>
  <c r="X41" i="2"/>
  <c r="AB41" i="2" s="1"/>
  <c r="AT41" i="8" s="1"/>
  <c r="X419" i="2"/>
  <c r="AB419" i="2" s="1"/>
  <c r="AT419" i="8" s="1"/>
  <c r="X439" i="2"/>
  <c r="AB439" i="2" s="1"/>
  <c r="AT439" i="8" s="1"/>
  <c r="X259" i="2"/>
  <c r="AB259" i="2" s="1"/>
  <c r="AT259" i="8" s="1"/>
  <c r="X459" i="2"/>
  <c r="AB459" i="2" s="1"/>
  <c r="AT459" i="8" s="1"/>
  <c r="X103" i="2"/>
  <c r="AB103" i="2" s="1"/>
  <c r="AT103" i="8" s="1"/>
  <c r="X277" i="2"/>
  <c r="AB277" i="2" s="1"/>
  <c r="AT277" i="8" s="1"/>
  <c r="X95" i="2"/>
  <c r="AB95" i="2" s="1"/>
  <c r="AT95" i="8" s="1"/>
  <c r="X536" i="2"/>
  <c r="AB536" i="2" s="1"/>
  <c r="AT536" i="8" s="1"/>
  <c r="X264" i="2"/>
  <c r="AB264" i="2" s="1"/>
  <c r="AT264" i="8" s="1"/>
  <c r="X254" i="2"/>
  <c r="AB254" i="2" s="1"/>
  <c r="AT254" i="8" s="1"/>
  <c r="X294" i="2"/>
  <c r="AB294" i="2" s="1"/>
  <c r="AT294" i="8" s="1"/>
  <c r="X52" i="2"/>
  <c r="AB52" i="2" s="1"/>
  <c r="AT52" i="8" s="1"/>
  <c r="X50" i="2"/>
  <c r="AB50" i="2" s="1"/>
  <c r="AT50" i="8" s="1"/>
  <c r="X379" i="2"/>
  <c r="AB379" i="2" s="1"/>
  <c r="AT379" i="8" s="1"/>
  <c r="X231" i="2"/>
  <c r="AB231" i="2" s="1"/>
  <c r="AT231" i="8" s="1"/>
  <c r="X339" i="2"/>
  <c r="AB339" i="2" s="1"/>
  <c r="AT339" i="8" s="1"/>
  <c r="X72" i="2"/>
  <c r="AB72" i="2" s="1"/>
  <c r="AT72" i="8" s="1"/>
  <c r="X247" i="2"/>
  <c r="AB247" i="2" s="1"/>
  <c r="AT247" i="8" s="1"/>
  <c r="X448" i="2"/>
  <c r="AB448" i="2" s="1"/>
  <c r="AT448" i="8" s="1"/>
  <c r="X412" i="2"/>
  <c r="AB412" i="2" s="1"/>
  <c r="AT412" i="8" s="1"/>
  <c r="X207" i="2"/>
  <c r="AB207" i="2" s="1"/>
  <c r="AT207" i="8" s="1"/>
  <c r="X17" i="2"/>
  <c r="AB17" i="2" s="1"/>
  <c r="AT17" i="8" s="1"/>
  <c r="X374" i="2"/>
  <c r="AB374" i="2" s="1"/>
  <c r="AT374" i="8" s="1"/>
  <c r="X351" i="2"/>
  <c r="AB351" i="2" s="1"/>
  <c r="AT351" i="8" s="1"/>
  <c r="X552" i="2"/>
  <c r="AB552" i="2" s="1"/>
  <c r="AT552" i="8" s="1"/>
  <c r="X311" i="2"/>
  <c r="AB311" i="2" s="1"/>
  <c r="AT311" i="8" s="1"/>
  <c r="X292" i="2"/>
  <c r="AB292" i="2" s="1"/>
  <c r="AT292" i="8" s="1"/>
  <c r="X158" i="2"/>
  <c r="AB158" i="2" s="1"/>
  <c r="AT158" i="8" s="1"/>
  <c r="X358" i="2"/>
  <c r="AB358" i="2" s="1"/>
  <c r="AT358" i="8" s="1"/>
  <c r="X355" i="2"/>
  <c r="AB355" i="2" s="1"/>
  <c r="AT355" i="8" s="1"/>
  <c r="X177" i="2"/>
  <c r="AB177" i="2" s="1"/>
  <c r="AT177" i="8" s="1"/>
  <c r="X241" i="2"/>
  <c r="AB241" i="2" s="1"/>
  <c r="AT241" i="8" s="1"/>
  <c r="X131" i="2"/>
  <c r="AB131" i="2" s="1"/>
  <c r="AT131" i="8" s="1"/>
  <c r="X371" i="2"/>
  <c r="AB371" i="2" s="1"/>
  <c r="AT371" i="8" s="1"/>
  <c r="X56" i="2"/>
  <c r="AB56" i="2" s="1"/>
  <c r="AT56" i="8" s="1"/>
  <c r="X112" i="2"/>
  <c r="AB112" i="2" s="1"/>
  <c r="AT112" i="8" s="1"/>
  <c r="X372" i="2"/>
  <c r="AB372" i="2" s="1"/>
  <c r="X47" i="2"/>
  <c r="AB47" i="2" s="1"/>
  <c r="AT47" i="8" s="1"/>
  <c r="X322" i="2"/>
  <c r="AB322" i="2" s="1"/>
  <c r="AT322" i="8" s="1"/>
  <c r="X51" i="2"/>
  <c r="AB51" i="2" s="1"/>
  <c r="AT51" i="8" s="1"/>
  <c r="X523" i="2"/>
  <c r="AB523" i="2" s="1"/>
  <c r="AT523" i="8" s="1"/>
  <c r="X282" i="2"/>
  <c r="AB282" i="2" s="1"/>
  <c r="AT282" i="8" s="1"/>
  <c r="X547" i="2"/>
  <c r="AB547" i="2" s="1"/>
  <c r="AT547" i="8" s="1"/>
  <c r="X98" i="2"/>
  <c r="AB98" i="2" s="1"/>
  <c r="AT98" i="8" s="1"/>
  <c r="X330" i="2"/>
  <c r="AB330" i="2" s="1"/>
  <c r="AT330" i="8" s="1"/>
  <c r="X327" i="2"/>
  <c r="AB327" i="2" s="1"/>
  <c r="AT327" i="8" s="1"/>
  <c r="X145" i="2"/>
  <c r="AB145" i="2" s="1"/>
  <c r="AT145"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31" i="2"/>
  <c r="U8" i="2"/>
  <c r="U1131" i="2" s="1"/>
  <c r="P1131" i="2"/>
  <c r="Q8" i="2"/>
  <c r="T8" i="2"/>
  <c r="AA8" i="2" s="1"/>
  <c r="W8" i="2"/>
  <c r="W1131" i="2" s="1"/>
  <c r="R8" i="2"/>
  <c r="Y8" i="2" s="1"/>
  <c r="S8" i="2"/>
  <c r="Z8" i="2" s="1"/>
  <c r="AC96" i="2" l="1"/>
  <c r="AG96" i="2" s="1"/>
  <c r="AT96" i="8"/>
  <c r="AC70" i="2"/>
  <c r="AG70" i="2" s="1"/>
  <c r="AT70" i="8"/>
  <c r="AC634" i="2"/>
  <c r="AE634" i="2" s="1" a="1"/>
  <c r="AE634" i="2" s="1"/>
  <c r="AT634" i="8"/>
  <c r="AC372" i="2"/>
  <c r="AG372" i="2" s="1"/>
  <c r="AT372" i="8"/>
  <c r="AC67" i="2"/>
  <c r="AG67" i="2" s="1"/>
  <c r="AT67" i="8"/>
  <c r="AC505" i="2"/>
  <c r="AE505" i="2" s="1" a="1"/>
  <c r="AE505" i="2" s="1"/>
  <c r="AT505" i="8"/>
  <c r="AC160" i="2"/>
  <c r="AE160" i="2" s="1" a="1"/>
  <c r="AE160" i="2" s="1"/>
  <c r="AT160" i="8"/>
  <c r="AC106" i="2"/>
  <c r="AE106" i="2" s="1" a="1"/>
  <c r="AE106" i="2" s="1"/>
  <c r="AT106" i="8"/>
  <c r="AE33" i="2" a="1"/>
  <c r="AE33" i="2" s="1"/>
  <c r="AC480" i="2"/>
  <c r="AE480" i="2" s="1" a="1"/>
  <c r="AE480" i="2" s="1"/>
  <c r="AT480" i="8"/>
  <c r="AC61" i="2"/>
  <c r="AG61" i="2" s="1"/>
  <c r="AT61" i="8"/>
  <c r="AC73" i="2"/>
  <c r="AG73" i="2" s="1"/>
  <c r="AT73" i="8"/>
  <c r="AE372" i="2" a="1"/>
  <c r="AE372" i="2" s="1"/>
  <c r="AE70" i="2" a="1"/>
  <c r="AE70" i="2" s="1"/>
  <c r="X8" i="2"/>
  <c r="AB8" i="2" s="1"/>
  <c r="AT8" i="8" s="1"/>
  <c r="Y1131" i="2"/>
  <c r="T1131" i="2"/>
  <c r="AA1131" i="2"/>
  <c r="S1131" i="2"/>
  <c r="Z1131" i="2"/>
  <c r="Q1131" i="2"/>
  <c r="B10" i="3"/>
  <c r="B23" i="3" s="1"/>
  <c r="AE61" i="2" l="1" a="1"/>
  <c r="AE61" i="2" s="1"/>
  <c r="AG505" i="2"/>
  <c r="AE73" i="2" a="1"/>
  <c r="AE73" i="2" s="1"/>
  <c r="AG106" i="2"/>
  <c r="AG160" i="2"/>
  <c r="AG480" i="2"/>
  <c r="AE96" i="2" a="1"/>
  <c r="AE96" i="2" s="1"/>
  <c r="AE67" i="2" a="1"/>
  <c r="AE67" i="2" s="1"/>
  <c r="AG634" i="2"/>
  <c r="X1131" i="2"/>
  <c r="BG12" i="8"/>
  <c r="BG14" i="8"/>
  <c r="BG8" i="8"/>
  <c r="BG10" i="8"/>
  <c r="BG6" i="8" l="1"/>
  <c r="BG1131" i="8" s="1"/>
  <c r="AT14" i="8"/>
  <c r="AT13" i="8"/>
  <c r="AT12" i="8" l="1"/>
  <c r="AT1131" i="8" s="1"/>
  <c r="R1131" i="2"/>
  <c r="BH19" i="8" l="1"/>
  <c r="BH43" i="8"/>
  <c r="BH67" i="8"/>
  <c r="BH91" i="8"/>
  <c r="BH115" i="8"/>
  <c r="BH139" i="8"/>
  <c r="BH163" i="8"/>
  <c r="BH187" i="8"/>
  <c r="BH211" i="8"/>
  <c r="BH235" i="8"/>
  <c r="BH259" i="8"/>
  <c r="BH31" i="8"/>
  <c r="BH55" i="8"/>
  <c r="BH79" i="8"/>
  <c r="BH103" i="8"/>
  <c r="BH127" i="8"/>
  <c r="BH151" i="8"/>
  <c r="BH32" i="8"/>
  <c r="BH56" i="8"/>
  <c r="BH80" i="8"/>
  <c r="BH104" i="8"/>
  <c r="BH128" i="8"/>
  <c r="BH152" i="8"/>
  <c r="BH176" i="8"/>
  <c r="BH200" i="8"/>
  <c r="BH224" i="8"/>
  <c r="BH248" i="8"/>
  <c r="BH272" i="8"/>
  <c r="BH296" i="8"/>
  <c r="BH35" i="8"/>
  <c r="BH62" i="8"/>
  <c r="BH89" i="8"/>
  <c r="BH117" i="8"/>
  <c r="BH144" i="8"/>
  <c r="BH171" i="8"/>
  <c r="BH197" i="8"/>
  <c r="BH223" i="8"/>
  <c r="BH250" i="8"/>
  <c r="BH276" i="8"/>
  <c r="BH301" i="8"/>
  <c r="BH325" i="8"/>
  <c r="BH349" i="8"/>
  <c r="BH373" i="8"/>
  <c r="BH397" i="8"/>
  <c r="BH421" i="8"/>
  <c r="BH445" i="8"/>
  <c r="BH469" i="8"/>
  <c r="BH493" i="8"/>
  <c r="BH37" i="8"/>
  <c r="BH64" i="8"/>
  <c r="BH92" i="8"/>
  <c r="BH119" i="8"/>
  <c r="BH146" i="8"/>
  <c r="BH173" i="8"/>
  <c r="BH199" i="8"/>
  <c r="BH226" i="8"/>
  <c r="BH252" i="8"/>
  <c r="BH278" i="8"/>
  <c r="BH303" i="8"/>
  <c r="BH327" i="8"/>
  <c r="BH351" i="8"/>
  <c r="BH375" i="8"/>
  <c r="BH399" i="8"/>
  <c r="BH423" i="8"/>
  <c r="BH447" i="8"/>
  <c r="BH471" i="8"/>
  <c r="BH495" i="8"/>
  <c r="BH519" i="8"/>
  <c r="BH543" i="8"/>
  <c r="BH567" i="8"/>
  <c r="BH591" i="8"/>
  <c r="BH615" i="8"/>
  <c r="BH639" i="8"/>
  <c r="BH663" i="8"/>
  <c r="BH687" i="8"/>
  <c r="BH711" i="8"/>
  <c r="BH735" i="8"/>
  <c r="BH759" i="8"/>
  <c r="BH783" i="8"/>
  <c r="BH807" i="8"/>
  <c r="BH831" i="8"/>
  <c r="BH855" i="8"/>
  <c r="BH879" i="8"/>
  <c r="BH903" i="8"/>
  <c r="BH38" i="8"/>
  <c r="BH65" i="8"/>
  <c r="BH93" i="8"/>
  <c r="BH120" i="8"/>
  <c r="BH147" i="8"/>
  <c r="BH174" i="8"/>
  <c r="BH201" i="8"/>
  <c r="BH227" i="8"/>
  <c r="BH253" i="8"/>
  <c r="BH279" i="8"/>
  <c r="BH304" i="8"/>
  <c r="BH328" i="8"/>
  <c r="BH352" i="8"/>
  <c r="BH376" i="8"/>
  <c r="BH400" i="8"/>
  <c r="BH424" i="8"/>
  <c r="BH448" i="8"/>
  <c r="BH472" i="8"/>
  <c r="BH496" i="8"/>
  <c r="BH520" i="8"/>
  <c r="BH544" i="8"/>
  <c r="BH568" i="8"/>
  <c r="BH592" i="8"/>
  <c r="BH616" i="8"/>
  <c r="BH640" i="8"/>
  <c r="BH664" i="8"/>
  <c r="BH688" i="8"/>
  <c r="BH712" i="8"/>
  <c r="BH736" i="8"/>
  <c r="BH760" i="8"/>
  <c r="BH784" i="8"/>
  <c r="BH808" i="8"/>
  <c r="BH832" i="8"/>
  <c r="BH856" i="8"/>
  <c r="BH880" i="8"/>
  <c r="BH904" i="8"/>
  <c r="BH928" i="8"/>
  <c r="BH952" i="8"/>
  <c r="BH976" i="8"/>
  <c r="BH1000" i="8"/>
  <c r="BH1024" i="8"/>
  <c r="BH1048" i="8"/>
  <c r="BH1072" i="8"/>
  <c r="BH1096" i="8"/>
  <c r="BH1120" i="8"/>
  <c r="BH22" i="8"/>
  <c r="BH49" i="8"/>
  <c r="BH76" i="8"/>
  <c r="BH105" i="8"/>
  <c r="BH132" i="8"/>
  <c r="BH159" i="8"/>
  <c r="BH185" i="8"/>
  <c r="BH212" i="8"/>
  <c r="BH238" i="8"/>
  <c r="BH264" i="8"/>
  <c r="BH289" i="8"/>
  <c r="BH314" i="8"/>
  <c r="BH338" i="8"/>
  <c r="BH23" i="8"/>
  <c r="BH50" i="8"/>
  <c r="BH77" i="8"/>
  <c r="BH106" i="8"/>
  <c r="BH133" i="8"/>
  <c r="BH160" i="8"/>
  <c r="BH186" i="8"/>
  <c r="BH213" i="8"/>
  <c r="BH239" i="8"/>
  <c r="BH265" i="8"/>
  <c r="BH290" i="8"/>
  <c r="BH315" i="8"/>
  <c r="BH339" i="8"/>
  <c r="BH363" i="8"/>
  <c r="BH387" i="8"/>
  <c r="BH411" i="8"/>
  <c r="BH435" i="8"/>
  <c r="BH459" i="8"/>
  <c r="BH483" i="8"/>
  <c r="BH507" i="8"/>
  <c r="BH531" i="8"/>
  <c r="BH555" i="8"/>
  <c r="BH24" i="8"/>
  <c r="BH51" i="8"/>
  <c r="BH78" i="8"/>
  <c r="BH107" i="8"/>
  <c r="BH134" i="8"/>
  <c r="BH161" i="8"/>
  <c r="BH188" i="8"/>
  <c r="BH214" i="8"/>
  <c r="BH240" i="8"/>
  <c r="BH266" i="8"/>
  <c r="BH291" i="8"/>
  <c r="BH316" i="8"/>
  <c r="BH340" i="8"/>
  <c r="BH364" i="8"/>
  <c r="BH388" i="8"/>
  <c r="BH412" i="8"/>
  <c r="BH436" i="8"/>
  <c r="BH460" i="8"/>
  <c r="BH484" i="8"/>
  <c r="BH508" i="8"/>
  <c r="BH532" i="8"/>
  <c r="BH556" i="8"/>
  <c r="BH580" i="8"/>
  <c r="BH604" i="8"/>
  <c r="BH628" i="8"/>
  <c r="BH25" i="8"/>
  <c r="BH52" i="8"/>
  <c r="BH81" i="8"/>
  <c r="BH108" i="8"/>
  <c r="BH135" i="8"/>
  <c r="BH162" i="8"/>
  <c r="BH189" i="8"/>
  <c r="BH215" i="8"/>
  <c r="BH241" i="8"/>
  <c r="BH267" i="8"/>
  <c r="BH292" i="8"/>
  <c r="BH317" i="8"/>
  <c r="BH341" i="8"/>
  <c r="BH365" i="8"/>
  <c r="BH389" i="8"/>
  <c r="BH413" i="8"/>
  <c r="BH437" i="8"/>
  <c r="BH461" i="8"/>
  <c r="BH485" i="8"/>
  <c r="BH509" i="8"/>
  <c r="BH533" i="8"/>
  <c r="BH557" i="8"/>
  <c r="BH581" i="8"/>
  <c r="BH605" i="8"/>
  <c r="BH629" i="8"/>
  <c r="BH653" i="8"/>
  <c r="BH677" i="8"/>
  <c r="BH701" i="8"/>
  <c r="BH725" i="8"/>
  <c r="BH749" i="8"/>
  <c r="BH773" i="8"/>
  <c r="BH797" i="8"/>
  <c r="BH821" i="8"/>
  <c r="BH845" i="8"/>
  <c r="BH869" i="8"/>
  <c r="BH893" i="8"/>
  <c r="BH917" i="8"/>
  <c r="BH941" i="8"/>
  <c r="BH965" i="8"/>
  <c r="BH33" i="8"/>
  <c r="BH71" i="8"/>
  <c r="BH111" i="8"/>
  <c r="BH149" i="8"/>
  <c r="BH184" i="8"/>
  <c r="BH222" i="8"/>
  <c r="BH260" i="8"/>
  <c r="BH297" i="8"/>
  <c r="BH331" i="8"/>
  <c r="BH362" i="8"/>
  <c r="BH395" i="8"/>
  <c r="BH428" i="8"/>
  <c r="BH458" i="8"/>
  <c r="BH34" i="8"/>
  <c r="BH72" i="8"/>
  <c r="BH112" i="8"/>
  <c r="BH150" i="8"/>
  <c r="BH190" i="8"/>
  <c r="BH225" i="8"/>
  <c r="BH261" i="8"/>
  <c r="BH298" i="8"/>
  <c r="BH332" i="8"/>
  <c r="BH366" i="8"/>
  <c r="BH396" i="8"/>
  <c r="BH429" i="8"/>
  <c r="BH462" i="8"/>
  <c r="BH492" i="8"/>
  <c r="BH524" i="8"/>
  <c r="BH553" i="8"/>
  <c r="BH584" i="8"/>
  <c r="BH612" i="8"/>
  <c r="BH642" i="8"/>
  <c r="BH669" i="8"/>
  <c r="BH696" i="8"/>
  <c r="BH723" i="8"/>
  <c r="BH751" i="8"/>
  <c r="BH778" i="8"/>
  <c r="BH805" i="8"/>
  <c r="BH834" i="8"/>
  <c r="BH861" i="8"/>
  <c r="BH888" i="8"/>
  <c r="BH915" i="8"/>
  <c r="BH942" i="8"/>
  <c r="BH968" i="8"/>
  <c r="BH993" i="8"/>
  <c r="BH1018" i="8"/>
  <c r="BH1043" i="8"/>
  <c r="BH1068" i="8"/>
  <c r="BH1093" i="8"/>
  <c r="BH1118" i="8"/>
  <c r="BH36" i="8"/>
  <c r="BH73" i="8"/>
  <c r="BH113" i="8"/>
  <c r="BH153" i="8"/>
  <c r="BH191" i="8"/>
  <c r="BH228" i="8"/>
  <c r="BH262" i="8"/>
  <c r="BH299" i="8"/>
  <c r="BH333" i="8"/>
  <c r="BH367" i="8"/>
  <c r="BH398" i="8"/>
  <c r="BH430" i="8"/>
  <c r="BH463" i="8"/>
  <c r="BH494" i="8"/>
  <c r="BH525" i="8"/>
  <c r="BH554" i="8"/>
  <c r="BH585" i="8"/>
  <c r="BH613" i="8"/>
  <c r="BH643" i="8"/>
  <c r="BH670" i="8"/>
  <c r="BH697" i="8"/>
  <c r="BH724" i="8"/>
  <c r="BH752" i="8"/>
  <c r="BH779" i="8"/>
  <c r="BH806" i="8"/>
  <c r="BH835" i="8"/>
  <c r="BH862" i="8"/>
  <c r="BH889" i="8"/>
  <c r="BH916" i="8"/>
  <c r="BH943" i="8"/>
  <c r="BH969" i="8"/>
  <c r="BH994" i="8"/>
  <c r="BH1019" i="8"/>
  <c r="BH39" i="8"/>
  <c r="BH74" i="8"/>
  <c r="BH114" i="8"/>
  <c r="BH154" i="8"/>
  <c r="BH192" i="8"/>
  <c r="BH229" i="8"/>
  <c r="BH263" i="8"/>
  <c r="BH300" i="8"/>
  <c r="BH334" i="8"/>
  <c r="BH368" i="8"/>
  <c r="BH401" i="8"/>
  <c r="BH431" i="8"/>
  <c r="BH464" i="8"/>
  <c r="BH497" i="8"/>
  <c r="BH526" i="8"/>
  <c r="BH558" i="8"/>
  <c r="BH586" i="8"/>
  <c r="BH614" i="8"/>
  <c r="BH644" i="8"/>
  <c r="BH671" i="8"/>
  <c r="BH698" i="8"/>
  <c r="BH726" i="8"/>
  <c r="BH753" i="8"/>
  <c r="BH780" i="8"/>
  <c r="BH809" i="8"/>
  <c r="BH836" i="8"/>
  <c r="BH863" i="8"/>
  <c r="BH890" i="8"/>
  <c r="BH918" i="8"/>
  <c r="BH944" i="8"/>
  <c r="BH970" i="8"/>
  <c r="BH995" i="8"/>
  <c r="BH1020" i="8"/>
  <c r="BH1045" i="8"/>
  <c r="BH1070" i="8"/>
  <c r="BH1095" i="8"/>
  <c r="BH1121" i="8"/>
  <c r="BH40" i="8"/>
  <c r="BH75" i="8"/>
  <c r="BH116" i="8"/>
  <c r="BH155" i="8"/>
  <c r="BH193" i="8"/>
  <c r="BH230" i="8"/>
  <c r="BH268" i="8"/>
  <c r="BH302" i="8"/>
  <c r="BH335" i="8"/>
  <c r="BH369" i="8"/>
  <c r="BH402" i="8"/>
  <c r="BH432" i="8"/>
  <c r="BH465" i="8"/>
  <c r="BH498" i="8"/>
  <c r="BH527" i="8"/>
  <c r="BH559" i="8"/>
  <c r="BH587" i="8"/>
  <c r="BH617" i="8"/>
  <c r="BH645" i="8"/>
  <c r="BH672" i="8"/>
  <c r="BH699" i="8"/>
  <c r="BH727" i="8"/>
  <c r="BH754" i="8"/>
  <c r="BH781" i="8"/>
  <c r="BH810" i="8"/>
  <c r="BH837" i="8"/>
  <c r="BH864" i="8"/>
  <c r="BH891" i="8"/>
  <c r="BH919" i="8"/>
  <c r="BH945" i="8"/>
  <c r="BH971" i="8"/>
  <c r="BH996" i="8"/>
  <c r="BH1021" i="8"/>
  <c r="BH1046" i="8"/>
  <c r="BH1071" i="8"/>
  <c r="BH1097" i="8"/>
  <c r="BH41" i="8"/>
  <c r="BH82" i="8"/>
  <c r="BH118" i="8"/>
  <c r="BH156" i="8"/>
  <c r="BH194" i="8"/>
  <c r="BH231" i="8"/>
  <c r="BH269" i="8"/>
  <c r="BH305" i="8"/>
  <c r="BH42" i="8"/>
  <c r="BH83" i="8"/>
  <c r="BH121" i="8"/>
  <c r="BH157" i="8"/>
  <c r="BH195" i="8"/>
  <c r="BH232" i="8"/>
  <c r="BH270" i="8"/>
  <c r="BH306" i="8"/>
  <c r="BH53" i="8"/>
  <c r="BH90" i="8"/>
  <c r="BH129" i="8"/>
  <c r="BH168" i="8"/>
  <c r="BH205" i="8"/>
  <c r="BH243" i="8"/>
  <c r="BH280" i="8"/>
  <c r="BH312" i="8"/>
  <c r="BH347" i="8"/>
  <c r="BH380" i="8"/>
  <c r="BH410" i="8"/>
  <c r="BH443" i="8"/>
  <c r="BH476" i="8"/>
  <c r="BH506" i="8"/>
  <c r="BH538" i="8"/>
  <c r="BH569" i="8"/>
  <c r="BH597" i="8"/>
  <c r="BH625" i="8"/>
  <c r="BH654" i="8"/>
  <c r="BH681" i="8"/>
  <c r="BH708" i="8"/>
  <c r="BH737" i="8"/>
  <c r="BH764" i="8"/>
  <c r="BH791" i="8"/>
  <c r="BH818" i="8"/>
  <c r="BH846" i="8"/>
  <c r="BH15" i="8"/>
  <c r="BH54" i="8"/>
  <c r="BH94" i="8"/>
  <c r="BH130" i="8"/>
  <c r="BH169" i="8"/>
  <c r="BH206" i="8"/>
  <c r="BH244" i="8"/>
  <c r="BH281" i="8"/>
  <c r="BH313" i="8"/>
  <c r="BH348" i="8"/>
  <c r="BH381" i="8"/>
  <c r="BH414" i="8"/>
  <c r="BH444" i="8"/>
  <c r="BH477" i="8"/>
  <c r="BH510" i="8"/>
  <c r="BH539" i="8"/>
  <c r="BH570" i="8"/>
  <c r="BH598" i="8"/>
  <c r="BH626" i="8"/>
  <c r="BH655" i="8"/>
  <c r="BH682" i="8"/>
  <c r="BH709" i="8"/>
  <c r="BH738" i="8"/>
  <c r="BH765" i="8"/>
  <c r="BH792" i="8"/>
  <c r="BH819" i="8"/>
  <c r="BH847" i="8"/>
  <c r="BH874" i="8"/>
  <c r="BH901" i="8"/>
  <c r="BH929" i="8"/>
  <c r="BH955" i="8"/>
  <c r="BH981" i="8"/>
  <c r="BH1006" i="8"/>
  <c r="BH1031" i="8"/>
  <c r="BH1056" i="8"/>
  <c r="BH18" i="8"/>
  <c r="BH59" i="8"/>
  <c r="BH97" i="8"/>
  <c r="BH137" i="8"/>
  <c r="BH175" i="8"/>
  <c r="BH20" i="8"/>
  <c r="BH60" i="8"/>
  <c r="BH98" i="8"/>
  <c r="BH138" i="8"/>
  <c r="BH177" i="8"/>
  <c r="BH210" i="8"/>
  <c r="BH249" i="8"/>
  <c r="BH285" i="8"/>
  <c r="BH321" i="8"/>
  <c r="BH21" i="8"/>
  <c r="BH61" i="8"/>
  <c r="BH99" i="8"/>
  <c r="BH140" i="8"/>
  <c r="BH178" i="8"/>
  <c r="BH216" i="8"/>
  <c r="BH251" i="8"/>
  <c r="BH286" i="8"/>
  <c r="BH26" i="8"/>
  <c r="BH63" i="8"/>
  <c r="BH100" i="8"/>
  <c r="BH141" i="8"/>
  <c r="BH179" i="8"/>
  <c r="BH217" i="8"/>
  <c r="BH69" i="8"/>
  <c r="BH158" i="8"/>
  <c r="BH234" i="8"/>
  <c r="BH295" i="8"/>
  <c r="BH354" i="8"/>
  <c r="BH394" i="8"/>
  <c r="BH442" i="8"/>
  <c r="BH487" i="8"/>
  <c r="BH529" i="8"/>
  <c r="BH571" i="8"/>
  <c r="BH607" i="8"/>
  <c r="BH647" i="8"/>
  <c r="BH683" i="8"/>
  <c r="BH718" i="8"/>
  <c r="BH756" i="8"/>
  <c r="BH793" i="8"/>
  <c r="BH827" i="8"/>
  <c r="BH866" i="8"/>
  <c r="BH899" i="8"/>
  <c r="BH933" i="8"/>
  <c r="BH964" i="8"/>
  <c r="BH999" i="8"/>
  <c r="BH1030" i="8"/>
  <c r="BH1060" i="8"/>
  <c r="BH1088" i="8"/>
  <c r="BH1116" i="8"/>
  <c r="BH70" i="8"/>
  <c r="BH164" i="8"/>
  <c r="BH236" i="8"/>
  <c r="BH307" i="8"/>
  <c r="BH355" i="8"/>
  <c r="BH403" i="8"/>
  <c r="BH446" i="8"/>
  <c r="BH488" i="8"/>
  <c r="BH530" i="8"/>
  <c r="BH572" i="8"/>
  <c r="BH608" i="8"/>
  <c r="BH648" i="8"/>
  <c r="BH684" i="8"/>
  <c r="BH719" i="8"/>
  <c r="BH757" i="8"/>
  <c r="BH794" i="8"/>
  <c r="BH828" i="8"/>
  <c r="BH867" i="8"/>
  <c r="BH900" i="8"/>
  <c r="BH934" i="8"/>
  <c r="BH966" i="8"/>
  <c r="BH1001" i="8"/>
  <c r="BH1032" i="8"/>
  <c r="BH1061" i="8"/>
  <c r="BH1089" i="8"/>
  <c r="BH1117" i="8"/>
  <c r="BH84" i="8"/>
  <c r="BH165" i="8"/>
  <c r="BH237" i="8"/>
  <c r="BH308" i="8"/>
  <c r="BH356" i="8"/>
  <c r="BH404" i="8"/>
  <c r="BH449" i="8"/>
  <c r="BH489" i="8"/>
  <c r="BH534" i="8"/>
  <c r="BH573" i="8"/>
  <c r="BH609" i="8"/>
  <c r="BH649" i="8"/>
  <c r="BH685" i="8"/>
  <c r="BH720" i="8"/>
  <c r="BH758" i="8"/>
  <c r="BH795" i="8"/>
  <c r="BH829" i="8"/>
  <c r="BH868" i="8"/>
  <c r="BH902" i="8"/>
  <c r="BH935" i="8"/>
  <c r="BH967" i="8"/>
  <c r="BH1002" i="8"/>
  <c r="BH1033" i="8"/>
  <c r="BH1062" i="8"/>
  <c r="BH1090" i="8"/>
  <c r="BH1119" i="8"/>
  <c r="BH86" i="8"/>
  <c r="BH167" i="8"/>
  <c r="BH245" i="8"/>
  <c r="BH310" i="8"/>
  <c r="BH358" i="8"/>
  <c r="BH406" i="8"/>
  <c r="BH451" i="8"/>
  <c r="BH491" i="8"/>
  <c r="BH536" i="8"/>
  <c r="BH575" i="8"/>
  <c r="BH611" i="8"/>
  <c r="BH651" i="8"/>
  <c r="BH689" i="8"/>
  <c r="BH722" i="8"/>
  <c r="BH762" i="8"/>
  <c r="BH798" i="8"/>
  <c r="BH833" i="8"/>
  <c r="BH871" i="8"/>
  <c r="BH906" i="8"/>
  <c r="BH937" i="8"/>
  <c r="BH973" i="8"/>
  <c r="BH1004" i="8"/>
  <c r="BH1035" i="8"/>
  <c r="BH1064" i="8"/>
  <c r="BH1092" i="8"/>
  <c r="BH1123" i="8"/>
  <c r="BH87" i="8"/>
  <c r="BH170" i="8"/>
  <c r="BH246" i="8"/>
  <c r="BH311" i="8"/>
  <c r="BH359" i="8"/>
  <c r="BH407" i="8"/>
  <c r="BH452" i="8"/>
  <c r="BH499" i="8"/>
  <c r="BH537" i="8"/>
  <c r="BH576" i="8"/>
  <c r="BH618" i="8"/>
  <c r="BH652" i="8"/>
  <c r="BH690" i="8"/>
  <c r="BH728" i="8"/>
  <c r="BH763" i="8"/>
  <c r="BH799" i="8"/>
  <c r="BH838" i="8"/>
  <c r="BH872" i="8"/>
  <c r="BH907" i="8"/>
  <c r="BH938" i="8"/>
  <c r="BH974" i="8"/>
  <c r="BH1005" i="8"/>
  <c r="BH1036" i="8"/>
  <c r="BH1065" i="8"/>
  <c r="BH1094" i="8"/>
  <c r="BH1124" i="8"/>
  <c r="BH88" i="8"/>
  <c r="BH172" i="8"/>
  <c r="BH247" i="8"/>
  <c r="BH318" i="8"/>
  <c r="BH360" i="8"/>
  <c r="BH408" i="8"/>
  <c r="BH453" i="8"/>
  <c r="BH500" i="8"/>
  <c r="BH540" i="8"/>
  <c r="BH577" i="8"/>
  <c r="BH619" i="8"/>
  <c r="BH656" i="8"/>
  <c r="BH691" i="8"/>
  <c r="BH729" i="8"/>
  <c r="BH766" i="8"/>
  <c r="BH800" i="8"/>
  <c r="BH839" i="8"/>
  <c r="BH873" i="8"/>
  <c r="BH908" i="8"/>
  <c r="BH939" i="8"/>
  <c r="BH975" i="8"/>
  <c r="BH1007" i="8"/>
  <c r="BH1037" i="8"/>
  <c r="BH1066" i="8"/>
  <c r="BH1098" i="8"/>
  <c r="BH1125" i="8"/>
  <c r="BH17" i="8"/>
  <c r="BH102" i="8"/>
  <c r="BH183" i="8"/>
  <c r="BH257" i="8"/>
  <c r="BH323" i="8"/>
  <c r="BH372" i="8"/>
  <c r="BH417" i="8"/>
  <c r="BH457" i="8"/>
  <c r="BH504" i="8"/>
  <c r="BH546" i="8"/>
  <c r="BH583" i="8"/>
  <c r="BH623" i="8"/>
  <c r="BH27" i="8"/>
  <c r="BH109" i="8"/>
  <c r="BH196" i="8"/>
  <c r="BH258" i="8"/>
  <c r="BH324" i="8"/>
  <c r="BH374" i="8"/>
  <c r="BH418" i="8"/>
  <c r="BH466" i="8"/>
  <c r="BH505" i="8"/>
  <c r="BH547" i="8"/>
  <c r="BH588" i="8"/>
  <c r="BH624" i="8"/>
  <c r="BH661" i="8"/>
  <c r="BH700" i="8"/>
  <c r="BH734" i="8"/>
  <c r="BH771" i="8"/>
  <c r="BH811" i="8"/>
  <c r="BH844" i="8"/>
  <c r="BH881" i="8"/>
  <c r="BH913" i="8"/>
  <c r="BH949" i="8"/>
  <c r="BH982" i="8"/>
  <c r="BH1012" i="8"/>
  <c r="BH1042" i="8"/>
  <c r="BH1075" i="8"/>
  <c r="BH1103" i="8"/>
  <c r="BH1130" i="8"/>
  <c r="BH28" i="8"/>
  <c r="BH110" i="8"/>
  <c r="BH198" i="8"/>
  <c r="BH271" i="8"/>
  <c r="BH326" i="8"/>
  <c r="BH377" i="8"/>
  <c r="BH419" i="8"/>
  <c r="BH467" i="8"/>
  <c r="BH511" i="8"/>
  <c r="BH548" i="8"/>
  <c r="BH589" i="8"/>
  <c r="BH627" i="8"/>
  <c r="BH662" i="8"/>
  <c r="BH702" i="8"/>
  <c r="BH739" i="8"/>
  <c r="BH772" i="8"/>
  <c r="BH812" i="8"/>
  <c r="BH848" i="8"/>
  <c r="BH882" i="8"/>
  <c r="BH914" i="8"/>
  <c r="BH950" i="8"/>
  <c r="BH983" i="8"/>
  <c r="BH1013" i="8"/>
  <c r="BH1044" i="8"/>
  <c r="BH1076" i="8"/>
  <c r="BH1104" i="8"/>
  <c r="BH30" i="8"/>
  <c r="BH123" i="8"/>
  <c r="BH203" i="8"/>
  <c r="BH274" i="8"/>
  <c r="BH330" i="8"/>
  <c r="BH379" i="8"/>
  <c r="BH422" i="8"/>
  <c r="BH470" i="8"/>
  <c r="BH513" i="8"/>
  <c r="BH550" i="8"/>
  <c r="BH593" i="8"/>
  <c r="BH631" i="8"/>
  <c r="BH666" i="8"/>
  <c r="BH704" i="8"/>
  <c r="BH741" i="8"/>
  <c r="BH775" i="8"/>
  <c r="BH814" i="8"/>
  <c r="BH850" i="8"/>
  <c r="BH884" i="8"/>
  <c r="BH921" i="8"/>
  <c r="BH953" i="8"/>
  <c r="BH985" i="8"/>
  <c r="BH1015" i="8"/>
  <c r="BH1049" i="8"/>
  <c r="BH1078" i="8"/>
  <c r="BH1106" i="8"/>
  <c r="BH45" i="8"/>
  <c r="BH125" i="8"/>
  <c r="BH207" i="8"/>
  <c r="BH277" i="8"/>
  <c r="BH337" i="8"/>
  <c r="BH383" i="8"/>
  <c r="BH426" i="8"/>
  <c r="BH474" i="8"/>
  <c r="BH515" i="8"/>
  <c r="BH552" i="8"/>
  <c r="BH595" i="8"/>
  <c r="BH633" i="8"/>
  <c r="BH668" i="8"/>
  <c r="BH706" i="8"/>
  <c r="BH743" i="8"/>
  <c r="BH777" i="8"/>
  <c r="BH816" i="8"/>
  <c r="BH852" i="8"/>
  <c r="BH886" i="8"/>
  <c r="BH923" i="8"/>
  <c r="BH956" i="8"/>
  <c r="BH987" i="8"/>
  <c r="BH1017" i="8"/>
  <c r="BH1051" i="8"/>
  <c r="BH1080" i="8"/>
  <c r="BH1108" i="8"/>
  <c r="BH46" i="8"/>
  <c r="BH126" i="8"/>
  <c r="BH208" i="8"/>
  <c r="BH282" i="8"/>
  <c r="BH342" i="8"/>
  <c r="BH384" i="8"/>
  <c r="BH427" i="8"/>
  <c r="BH475" i="8"/>
  <c r="BH516" i="8"/>
  <c r="BH560" i="8"/>
  <c r="BH596" i="8"/>
  <c r="BH634" i="8"/>
  <c r="BH673" i="8"/>
  <c r="BH707" i="8"/>
  <c r="BH744" i="8"/>
  <c r="BH782" i="8"/>
  <c r="BH817" i="8"/>
  <c r="BH853" i="8"/>
  <c r="BH887" i="8"/>
  <c r="BH924" i="8"/>
  <c r="BH957" i="8"/>
  <c r="BH988" i="8"/>
  <c r="BH1022" i="8"/>
  <c r="BH1052" i="8"/>
  <c r="BH1081" i="8"/>
  <c r="BH1109" i="8"/>
  <c r="BH47" i="8"/>
  <c r="BH131" i="8"/>
  <c r="BH209" i="8"/>
  <c r="BH283" i="8"/>
  <c r="BH343" i="8"/>
  <c r="BH385" i="8"/>
  <c r="BH433" i="8"/>
  <c r="BH478" i="8"/>
  <c r="BH517" i="8"/>
  <c r="BH561" i="8"/>
  <c r="BH599" i="8"/>
  <c r="BH635" i="8"/>
  <c r="BH674" i="8"/>
  <c r="BH710" i="8"/>
  <c r="BH745" i="8"/>
  <c r="BH785" i="8"/>
  <c r="BH820" i="8"/>
  <c r="BH854" i="8"/>
  <c r="BH892" i="8"/>
  <c r="BH925" i="8"/>
  <c r="BH958" i="8"/>
  <c r="BH989" i="8"/>
  <c r="BH1023" i="8"/>
  <c r="BH1053" i="8"/>
  <c r="BH1082" i="8"/>
  <c r="BH1110" i="8"/>
  <c r="BH48" i="8"/>
  <c r="BH136" i="8"/>
  <c r="BH218" i="8"/>
  <c r="BH284" i="8"/>
  <c r="BH344" i="8"/>
  <c r="BH386" i="8"/>
  <c r="BH434" i="8"/>
  <c r="BH479" i="8"/>
  <c r="BH518" i="8"/>
  <c r="BH562" i="8"/>
  <c r="BH600" i="8"/>
  <c r="BH636" i="8"/>
  <c r="BH675" i="8"/>
  <c r="BH713" i="8"/>
  <c r="BH746" i="8"/>
  <c r="BH786" i="8"/>
  <c r="BH822" i="8"/>
  <c r="BH857" i="8"/>
  <c r="BH894" i="8"/>
  <c r="BH926" i="8"/>
  <c r="BH959" i="8"/>
  <c r="BH990" i="8"/>
  <c r="BH1025" i="8"/>
  <c r="BH1054" i="8"/>
  <c r="BH1083" i="8"/>
  <c r="BH1111" i="8"/>
  <c r="BH57" i="8"/>
  <c r="BH142" i="8"/>
  <c r="BH219" i="8"/>
  <c r="BH287" i="8"/>
  <c r="BH345" i="8"/>
  <c r="BH390" i="8"/>
  <c r="BH438" i="8"/>
  <c r="BH480" i="8"/>
  <c r="BH521" i="8"/>
  <c r="BH563" i="8"/>
  <c r="BH601" i="8"/>
  <c r="BH637" i="8"/>
  <c r="BH676" i="8"/>
  <c r="BH714" i="8"/>
  <c r="BH747" i="8"/>
  <c r="BH787" i="8"/>
  <c r="BH823" i="8"/>
  <c r="BH858" i="8"/>
  <c r="BH895" i="8"/>
  <c r="BH927" i="8"/>
  <c r="BH960" i="8"/>
  <c r="BH991" i="8"/>
  <c r="BH1026" i="8"/>
  <c r="BH1055" i="8"/>
  <c r="BH1084" i="8"/>
  <c r="BH1112" i="8"/>
  <c r="BH66" i="8"/>
  <c r="BH145" i="8"/>
  <c r="BH221" i="8"/>
  <c r="BH293" i="8"/>
  <c r="BH166" i="8"/>
  <c r="BH353" i="8"/>
  <c r="BH473" i="8"/>
  <c r="BH579" i="8"/>
  <c r="BH679" i="8"/>
  <c r="BH768" i="8"/>
  <c r="BH851" i="8"/>
  <c r="BH936" i="8"/>
  <c r="BH1011" i="8"/>
  <c r="BH1086" i="8"/>
  <c r="BH180" i="8"/>
  <c r="BH357" i="8"/>
  <c r="BH481" i="8"/>
  <c r="BH582" i="8"/>
  <c r="BH680" i="8"/>
  <c r="BH769" i="8"/>
  <c r="BH859" i="8"/>
  <c r="BH940" i="8"/>
  <c r="BH1014" i="8"/>
  <c r="BH1087" i="8"/>
  <c r="BH181" i="8"/>
  <c r="BH361" i="8"/>
  <c r="BH482" i="8"/>
  <c r="BH590" i="8"/>
  <c r="BH686" i="8"/>
  <c r="BH770" i="8"/>
  <c r="BH860" i="8"/>
  <c r="BH946" i="8"/>
  <c r="BH1016" i="8"/>
  <c r="BH1091" i="8"/>
  <c r="BH182" i="8"/>
  <c r="BH370" i="8"/>
  <c r="BH486" i="8"/>
  <c r="BH594" i="8"/>
  <c r="BH692" i="8"/>
  <c r="BH774" i="8"/>
  <c r="BH865" i="8"/>
  <c r="BH947" i="8"/>
  <c r="BH1027" i="8"/>
  <c r="BH1099" i="8"/>
  <c r="BH202" i="8"/>
  <c r="BH371" i="8"/>
  <c r="BH490" i="8"/>
  <c r="BH602" i="8"/>
  <c r="BH693" i="8"/>
  <c r="BH776" i="8"/>
  <c r="BH870" i="8"/>
  <c r="BH948" i="8"/>
  <c r="BH1028" i="8"/>
  <c r="BH1100" i="8"/>
  <c r="BH204" i="8"/>
  <c r="BH378" i="8"/>
  <c r="BH501" i="8"/>
  <c r="BH603" i="8"/>
  <c r="BH694" i="8"/>
  <c r="BH788" i="8"/>
  <c r="BH875" i="8"/>
  <c r="BH951" i="8"/>
  <c r="BH1029" i="8"/>
  <c r="BH1101" i="8"/>
  <c r="BH220" i="8"/>
  <c r="BH382" i="8"/>
  <c r="BH502" i="8"/>
  <c r="BH606" i="8"/>
  <c r="BH695" i="8"/>
  <c r="BH789" i="8"/>
  <c r="BH876" i="8"/>
  <c r="BH954" i="8"/>
  <c r="BH1034" i="8"/>
  <c r="BH1102" i="8"/>
  <c r="BH233" i="8"/>
  <c r="BH391" i="8"/>
  <c r="BH503" i="8"/>
  <c r="BH610" i="8"/>
  <c r="BH703" i="8"/>
  <c r="BH242" i="8"/>
  <c r="BH392" i="8"/>
  <c r="BH512" i="8"/>
  <c r="BH620" i="8"/>
  <c r="BH705" i="8"/>
  <c r="BH796" i="8"/>
  <c r="BH878" i="8"/>
  <c r="BH962" i="8"/>
  <c r="BH1039" i="8"/>
  <c r="BH1107" i="8"/>
  <c r="BH254" i="8"/>
  <c r="BH393" i="8"/>
  <c r="BH255" i="8"/>
  <c r="BH405" i="8"/>
  <c r="BH522" i="8"/>
  <c r="BH622" i="8"/>
  <c r="BH716" i="8"/>
  <c r="BH802" i="8"/>
  <c r="BH885" i="8"/>
  <c r="BH972" i="8"/>
  <c r="BH1041" i="8"/>
  <c r="BH1114" i="8"/>
  <c r="BH16" i="8"/>
  <c r="BH256" i="8"/>
  <c r="BH409" i="8"/>
  <c r="BH523" i="8"/>
  <c r="BH630" i="8"/>
  <c r="BH717" i="8"/>
  <c r="BH803" i="8"/>
  <c r="BH896" i="8"/>
  <c r="BH977" i="8"/>
  <c r="BH1047" i="8"/>
  <c r="BH1115" i="8"/>
  <c r="BH29" i="8"/>
  <c r="BH273" i="8"/>
  <c r="BH415" i="8"/>
  <c r="BH528" i="8"/>
  <c r="BH632" i="8"/>
  <c r="BH721" i="8"/>
  <c r="BH804" i="8"/>
  <c r="BH897" i="8"/>
  <c r="BH978" i="8"/>
  <c r="BH1050" i="8"/>
  <c r="BH1122" i="8"/>
  <c r="BH44" i="8"/>
  <c r="BH275" i="8"/>
  <c r="BH416" i="8"/>
  <c r="BH535" i="8"/>
  <c r="BH638" i="8"/>
  <c r="BH730" i="8"/>
  <c r="BH813" i="8"/>
  <c r="BH898" i="8"/>
  <c r="BH979" i="8"/>
  <c r="BH1057" i="8"/>
  <c r="BH1126" i="8"/>
  <c r="BH58" i="8"/>
  <c r="BH288" i="8"/>
  <c r="BH420" i="8"/>
  <c r="BH541" i="8"/>
  <c r="BH641" i="8"/>
  <c r="BH731" i="8"/>
  <c r="BH815" i="8"/>
  <c r="BH905" i="8"/>
  <c r="BH980" i="8"/>
  <c r="BH1058" i="8"/>
  <c r="BH1127" i="8"/>
  <c r="BH85" i="8"/>
  <c r="BH309" i="8"/>
  <c r="BH439" i="8"/>
  <c r="BH545" i="8"/>
  <c r="BH650" i="8"/>
  <c r="BH733" i="8"/>
  <c r="BH825" i="8"/>
  <c r="BH910" i="8"/>
  <c r="BH986" i="8"/>
  <c r="BH1063" i="8"/>
  <c r="BH1129" i="8"/>
  <c r="BH95" i="8"/>
  <c r="BH319" i="8"/>
  <c r="BH440" i="8"/>
  <c r="BH549" i="8"/>
  <c r="BH657" i="8"/>
  <c r="BH740" i="8"/>
  <c r="BH826" i="8"/>
  <c r="BH911" i="8"/>
  <c r="BH992" i="8"/>
  <c r="BH1067" i="8"/>
  <c r="BH96" i="8"/>
  <c r="BH320" i="8"/>
  <c r="BH441" i="8"/>
  <c r="BH551" i="8"/>
  <c r="BH658" i="8"/>
  <c r="BH742" i="8"/>
  <c r="BH830" i="8"/>
  <c r="BH912" i="8"/>
  <c r="BH997" i="8"/>
  <c r="BH1069" i="8"/>
  <c r="BH143" i="8"/>
  <c r="BH346" i="8"/>
  <c r="BH456" i="8"/>
  <c r="BH574" i="8"/>
  <c r="BH667" i="8"/>
  <c r="BH761" i="8"/>
  <c r="BH843" i="8"/>
  <c r="BH931" i="8"/>
  <c r="BH1009" i="8"/>
  <c r="BH322" i="8"/>
  <c r="BH750" i="8"/>
  <c r="BH1038" i="8"/>
  <c r="BH329" i="8"/>
  <c r="BH755" i="8"/>
  <c r="BH1040" i="8"/>
  <c r="BH336" i="8"/>
  <c r="BH767" i="8"/>
  <c r="BH1059" i="8"/>
  <c r="BH350" i="8"/>
  <c r="BH790" i="8"/>
  <c r="BH1073" i="8"/>
  <c r="BH425" i="8"/>
  <c r="BH801" i="8"/>
  <c r="BH1074" i="8"/>
  <c r="BH450" i="8"/>
  <c r="BH824" i="8"/>
  <c r="BH1077" i="8"/>
  <c r="BH454" i="8"/>
  <c r="BH840" i="8"/>
  <c r="BH1079" i="8"/>
  <c r="BH455" i="8"/>
  <c r="BH841" i="8"/>
  <c r="BH1085" i="8"/>
  <c r="BH468" i="8"/>
  <c r="BH842" i="8"/>
  <c r="BH1105" i="8"/>
  <c r="BH514" i="8"/>
  <c r="BH849" i="8"/>
  <c r="BH1113" i="8"/>
  <c r="BH542" i="8"/>
  <c r="BH877" i="8"/>
  <c r="BH1128" i="8"/>
  <c r="BH564" i="8"/>
  <c r="BH883" i="8"/>
  <c r="BH565" i="8"/>
  <c r="BH909" i="8"/>
  <c r="BH566" i="8"/>
  <c r="BH920" i="8"/>
  <c r="BH578" i="8"/>
  <c r="BH922" i="8"/>
  <c r="BH621" i="8"/>
  <c r="BH930" i="8"/>
  <c r="BH646" i="8"/>
  <c r="BH932" i="8"/>
  <c r="BH659" i="8"/>
  <c r="BH961" i="8"/>
  <c r="BH68" i="8"/>
  <c r="BH660" i="8"/>
  <c r="BH963" i="8"/>
  <c r="BH148" i="8"/>
  <c r="BH732" i="8"/>
  <c r="BH1008" i="8"/>
  <c r="BH984" i="8"/>
  <c r="BH998" i="8"/>
  <c r="BH1003" i="8"/>
  <c r="BH1010" i="8"/>
  <c r="BH101" i="8"/>
  <c r="BH122" i="8"/>
  <c r="BH124" i="8"/>
  <c r="BH294" i="8"/>
  <c r="BH715" i="8"/>
  <c r="BH665" i="8"/>
  <c r="BH678" i="8"/>
  <c r="BH748" i="8"/>
  <c r="AB1131" i="2"/>
  <c r="AC620" i="2" s="1"/>
  <c r="AG620" i="2" l="1"/>
  <c r="AC758" i="2"/>
  <c r="AC853" i="2"/>
  <c r="AC829" i="2"/>
  <c r="AC1070" i="2"/>
  <c r="AC925" i="2"/>
  <c r="AC583" i="2"/>
  <c r="AC973" i="2"/>
  <c r="AC901" i="2"/>
  <c r="AC895" i="2"/>
  <c r="AC997" i="2"/>
  <c r="AC606" i="2"/>
  <c r="AC909" i="2"/>
  <c r="AC757" i="2"/>
  <c r="AC858" i="2"/>
  <c r="AC589" i="2"/>
  <c r="AC967" i="2"/>
  <c r="AC991" i="2"/>
  <c r="AC949" i="2"/>
  <c r="AC631" i="2"/>
  <c r="AC705" i="2"/>
  <c r="AC580" i="2"/>
  <c r="AC633" i="2"/>
  <c r="AC609" i="2"/>
  <c r="AC805" i="2"/>
  <c r="AC613" i="2"/>
  <c r="AC966" i="2"/>
  <c r="AC1106" i="2"/>
  <c r="AC1021" i="2"/>
  <c r="AC798" i="2"/>
  <c r="AC1118" i="2"/>
  <c r="AC921" i="2"/>
  <c r="AC607" i="2"/>
  <c r="AC661" i="2"/>
  <c r="AC1039" i="2"/>
  <c r="AC709" i="2"/>
  <c r="AC681" i="2"/>
  <c r="AC637" i="2"/>
  <c r="AC871" i="2"/>
  <c r="AC679" i="2"/>
  <c r="AC882" i="2"/>
  <c r="AC1094" i="2"/>
  <c r="AC847" i="2"/>
  <c r="AC655" i="2"/>
  <c r="AC657" i="2"/>
  <c r="AC581" i="2"/>
  <c r="AC1045" i="2"/>
  <c r="AC751" i="2"/>
  <c r="AC781" i="2"/>
  <c r="AC942" i="2"/>
  <c r="AC664" i="2"/>
  <c r="AC1023" i="2"/>
  <c r="AC891" i="2"/>
  <c r="AC996" i="2"/>
  <c r="AC1040" i="2"/>
  <c r="AC629" i="2"/>
  <c r="AC1116" i="2"/>
  <c r="AC819" i="2"/>
  <c r="AC902" i="2"/>
  <c r="AC842" i="2"/>
  <c r="AC1037" i="2"/>
  <c r="AC599" i="2"/>
  <c r="AC1090" i="2"/>
  <c r="AC1032" i="2"/>
  <c r="AC918" i="2"/>
  <c r="AC954" i="2"/>
  <c r="AC868" i="2"/>
  <c r="AC687" i="2"/>
  <c r="AC939" i="2"/>
  <c r="AC999" i="2"/>
  <c r="AC974" i="2"/>
  <c r="AC860" i="2"/>
  <c r="AC746" i="2"/>
  <c r="AC934" i="2"/>
  <c r="AC924" i="2"/>
  <c r="AC582" i="2"/>
  <c r="AC1060" i="2"/>
  <c r="AC1062" i="2"/>
  <c r="AC879" i="2"/>
  <c r="AC1064" i="2"/>
  <c r="AC993" i="2"/>
  <c r="AC619" i="2"/>
  <c r="AC793" i="2"/>
  <c r="AC590" i="2"/>
  <c r="AC1096" i="2"/>
  <c r="AC737" i="2"/>
  <c r="AC953" i="2"/>
  <c r="AC1022" i="2"/>
  <c r="AC571" i="2"/>
  <c r="AC875" i="2"/>
  <c r="AC1114" i="2"/>
  <c r="AC1111" i="2"/>
  <c r="AC769" i="2"/>
  <c r="AC605" i="2"/>
  <c r="AC807" i="2"/>
  <c r="AC693" i="2"/>
  <c r="AC699" i="2"/>
  <c r="AC623" i="2"/>
  <c r="AC1035" i="2"/>
  <c r="AC820" i="2"/>
  <c r="AC617" i="2"/>
  <c r="AC1110" i="2"/>
  <c r="AC834" i="2"/>
  <c r="AC767" i="2"/>
  <c r="AC923" i="2"/>
  <c r="AC743" i="2"/>
  <c r="AC994" i="2"/>
  <c r="AC1085" i="2"/>
  <c r="AC1124" i="2"/>
  <c r="AC815" i="2"/>
  <c r="AC1099" i="2"/>
  <c r="AC1030" i="2"/>
  <c r="AC912" i="2"/>
  <c r="AC766" i="2"/>
  <c r="AC817" i="2"/>
  <c r="AC890" i="2"/>
  <c r="AC759" i="2"/>
  <c r="AC979" i="2"/>
  <c r="AC697" i="2"/>
  <c r="AC785" i="2"/>
  <c r="AC970" i="2"/>
  <c r="AC784" i="2"/>
  <c r="AC794" i="2"/>
  <c r="AC916" i="2"/>
  <c r="AC874" i="2"/>
  <c r="AC940" i="2"/>
  <c r="AC956" i="2"/>
  <c r="AC728" i="2"/>
  <c r="AC796" i="2"/>
  <c r="AC732" i="2"/>
  <c r="AC1029" i="2"/>
  <c r="AC689" i="2"/>
  <c r="AC608" i="2"/>
  <c r="AC1127" i="2"/>
  <c r="AC712" i="2"/>
  <c r="AC969" i="2"/>
  <c r="AC876" i="2"/>
  <c r="AC696" i="2"/>
  <c r="AC1044" i="2"/>
  <c r="AC1102" i="2"/>
  <c r="AC739" i="2"/>
  <c r="AC867" i="2"/>
  <c r="AC990" i="2"/>
  <c r="AC1041" i="2"/>
  <c r="AC1113" i="2"/>
  <c r="AC635" i="2"/>
  <c r="AC731" i="2"/>
  <c r="AC881" i="2"/>
  <c r="AC814" i="2"/>
  <c r="AC593" i="2"/>
  <c r="AC579" i="2"/>
  <c r="AC830" i="2"/>
  <c r="AC1017" i="2"/>
  <c r="AC822" i="2"/>
  <c r="AC917" i="2"/>
  <c r="AC776" i="2"/>
  <c r="AC893" i="2"/>
  <c r="AC957" i="2"/>
  <c r="AC788" i="2"/>
  <c r="AC795" i="2"/>
  <c r="AC1027" i="2"/>
  <c r="AC578" i="2"/>
  <c r="AC787" i="2"/>
  <c r="AC768" i="2"/>
  <c r="AC770" i="2"/>
  <c r="AC982" i="2"/>
  <c r="AC896" i="2"/>
  <c r="AC588" i="2"/>
  <c r="AC937" i="2"/>
  <c r="AC742" i="2"/>
  <c r="AC841" i="2"/>
  <c r="AC666" i="2"/>
  <c r="AC1069" i="2"/>
  <c r="AC804" i="2"/>
  <c r="AC950" i="2"/>
  <c r="AC740" i="2"/>
  <c r="AC1051" i="2"/>
  <c r="AC1117" i="2"/>
  <c r="AC651" i="2"/>
  <c r="AC1100" i="2"/>
  <c r="AC931" i="2"/>
  <c r="AC976" i="2"/>
  <c r="AC745" i="2"/>
  <c r="AC1091" i="2"/>
  <c r="AC600" i="2"/>
  <c r="AC707" i="2"/>
  <c r="AC1048" i="2"/>
  <c r="AC783" i="2"/>
  <c r="AC592" i="2"/>
  <c r="AC1121" i="2"/>
  <c r="AC1009" i="2"/>
  <c r="AC936" i="2"/>
  <c r="AC844" i="2"/>
  <c r="AC945" i="2"/>
  <c r="AC963" i="2"/>
  <c r="AC1014" i="2"/>
  <c r="AC1015" i="2"/>
  <c r="AC774" i="2"/>
  <c r="AC1016" i="2"/>
  <c r="AC1080" i="2"/>
  <c r="AC984" i="2"/>
  <c r="AC1057" i="2"/>
  <c r="AC648" i="2"/>
  <c r="AC1024" i="2"/>
  <c r="AC818" i="2"/>
  <c r="AC572" i="2"/>
  <c r="AC935" i="2"/>
  <c r="AC654" i="2"/>
  <c r="AC849" i="2"/>
  <c r="AC1066" i="2"/>
  <c r="AC584" i="2"/>
  <c r="AC695" i="2"/>
  <c r="AC915" i="2"/>
  <c r="AC873" i="2"/>
  <c r="AC958" i="2"/>
  <c r="AC859" i="2"/>
  <c r="AC1093" i="2"/>
  <c r="AC762" i="2"/>
  <c r="AC683" i="2"/>
  <c r="AC1010" i="2"/>
  <c r="AC738" i="2"/>
  <c r="AC754" i="2"/>
  <c r="AC640" i="2"/>
  <c r="AC880" i="2"/>
  <c r="AC983" i="2"/>
  <c r="AC803" i="2"/>
  <c r="AC801" i="2"/>
  <c r="AC780" i="2"/>
  <c r="AC913" i="2"/>
  <c r="AC663" i="2"/>
  <c r="AC968" i="2"/>
  <c r="AC975" i="2"/>
  <c r="AC989" i="2"/>
  <c r="AC603" i="2"/>
  <c r="AC848" i="2"/>
  <c r="AC845" i="2"/>
  <c r="AC906" i="2"/>
  <c r="AC951" i="2"/>
  <c r="AC718" i="2"/>
  <c r="AC995" i="2"/>
  <c r="AC964" i="2"/>
  <c r="AC570" i="2"/>
  <c r="AC650" i="2"/>
  <c r="AC828" i="2"/>
  <c r="AC574" i="2"/>
  <c r="AC944" i="2"/>
  <c r="AC1071" i="2"/>
  <c r="AC810" i="2"/>
  <c r="AC652" i="2"/>
  <c r="AC627" i="2"/>
  <c r="AC977" i="2"/>
  <c r="AC838" i="2"/>
  <c r="AC1036" i="2"/>
  <c r="AC1003" i="2"/>
  <c r="AC978" i="2"/>
  <c r="AC691" i="2"/>
  <c r="AC852" i="2"/>
  <c r="AC616" i="2"/>
  <c r="AC1078" i="2"/>
  <c r="AC595" i="2"/>
  <c r="AC610" i="2"/>
  <c r="AC748" i="2"/>
  <c r="AC775" i="2"/>
  <c r="AC1028" i="2"/>
  <c r="AC1088" i="2"/>
  <c r="AC932" i="2"/>
  <c r="AC1098" i="2"/>
  <c r="AC688" i="2"/>
  <c r="AC946" i="2"/>
  <c r="AC1105" i="2"/>
  <c r="AC846" i="2"/>
  <c r="AC642" i="2"/>
  <c r="AC833" i="2"/>
  <c r="AC910" i="2"/>
  <c r="AC878" i="2"/>
  <c r="AC714" i="2"/>
  <c r="AC662" i="2"/>
  <c r="AC645" i="2"/>
  <c r="AC905" i="2"/>
  <c r="AC641" i="2"/>
  <c r="AC988" i="2"/>
  <c r="AC813" i="2"/>
  <c r="AC639" i="2"/>
  <c r="AC1107" i="2"/>
  <c r="AC1072" i="2"/>
  <c r="AC1125" i="2"/>
  <c r="AC670" i="2"/>
  <c r="AC854" i="2"/>
  <c r="AC587" i="2"/>
  <c r="AC928" i="2"/>
  <c r="AC734" i="2"/>
  <c r="AC659" i="2"/>
  <c r="AC1004" i="2"/>
  <c r="AC836" i="2"/>
  <c r="AC614" i="2"/>
  <c r="AC1082" i="2"/>
  <c r="AC773" i="2"/>
  <c r="AC791" i="2"/>
  <c r="AC800" i="2"/>
  <c r="AC727" i="2"/>
  <c r="AC1013" i="2"/>
  <c r="AC721" i="2"/>
  <c r="AC903" i="2"/>
  <c r="AC1123" i="2"/>
  <c r="AC703" i="2"/>
  <c r="AC816" i="2"/>
  <c r="AC626" i="2"/>
  <c r="AC722" i="2"/>
  <c r="AC826" i="2"/>
  <c r="AC857" i="2"/>
  <c r="AC1000" i="2"/>
  <c r="AC660" i="2"/>
  <c r="AC1033" i="2"/>
  <c r="AC862" i="2"/>
  <c r="AC955" i="2"/>
  <c r="AC919" i="2"/>
  <c r="AC943" i="2"/>
  <c r="AC920" i="2"/>
  <c r="AC938" i="2"/>
  <c r="AC825" i="2"/>
  <c r="AC698" i="2"/>
  <c r="AC1053" i="2"/>
  <c r="AC611" i="2"/>
  <c r="AC861" i="2"/>
  <c r="AC1104" i="2"/>
  <c r="AC694" i="2"/>
  <c r="AC821" i="2"/>
  <c r="AC897" i="2"/>
  <c r="AC636" i="2"/>
  <c r="AC894" i="2"/>
  <c r="AC733" i="2"/>
  <c r="AC771" i="2"/>
  <c r="AC797" i="2"/>
  <c r="AC755" i="2"/>
  <c r="AC851" i="2"/>
  <c r="AC802" i="2"/>
  <c r="AC719" i="2"/>
  <c r="AC886" i="2"/>
  <c r="AC720" i="2"/>
  <c r="AC811" i="2"/>
  <c r="AC678" i="2"/>
  <c r="AC782" i="2"/>
  <c r="AC1129" i="2"/>
  <c r="AC1011" i="2"/>
  <c r="AC865" i="2"/>
  <c r="AC750" i="2"/>
  <c r="AC1108" i="2"/>
  <c r="AC899" i="2"/>
  <c r="AC668" i="2"/>
  <c r="AC669" i="2"/>
  <c r="AC690" i="2"/>
  <c r="AC1026" i="2"/>
  <c r="AC898" i="2"/>
  <c r="AC715" i="2"/>
  <c r="AC1126" i="2"/>
  <c r="AC615" i="2"/>
  <c r="AC883" i="2"/>
  <c r="AC1086" i="2"/>
  <c r="AC658" i="2"/>
  <c r="AC1054" i="2"/>
  <c r="AC877" i="2"/>
  <c r="AC649" i="2"/>
  <c r="AC892" i="2"/>
  <c r="AC717" i="2"/>
  <c r="AC884" i="2"/>
  <c r="AC1046" i="2"/>
  <c r="AC1034" i="2"/>
  <c r="AC729" i="2"/>
  <c r="AC674" i="2"/>
  <c r="AC685" i="2"/>
  <c r="AC869" i="2"/>
  <c r="AC904" i="2"/>
  <c r="AC763" i="2"/>
  <c r="AC779" i="2"/>
  <c r="AC971" i="2"/>
  <c r="AC960" i="2"/>
  <c r="AC723" i="2"/>
  <c r="AC675" i="2"/>
  <c r="AC929" i="2"/>
  <c r="AC952" i="2"/>
  <c r="AC711" i="2"/>
  <c r="AC575" i="2"/>
  <c r="AC601" i="2"/>
  <c r="AC1042" i="2"/>
  <c r="AC622" i="2"/>
  <c r="AC1109" i="2"/>
  <c r="AC598" i="2"/>
  <c r="AC1067" i="2"/>
  <c r="AC1047" i="2"/>
  <c r="AC1020" i="2"/>
  <c r="AC1061" i="2"/>
  <c r="AC753" i="2"/>
  <c r="AC764" i="2"/>
  <c r="AC1001" i="2"/>
  <c r="AC1101" i="2"/>
  <c r="AC624" i="2"/>
  <c r="AC756" i="2"/>
  <c r="AC855" i="2"/>
  <c r="AC1049" i="2"/>
  <c r="AC692" i="2"/>
  <c r="AC941" i="2"/>
  <c r="AC866" i="2"/>
  <c r="AC638" i="2"/>
  <c r="AC604" i="2"/>
  <c r="AC760" i="2"/>
  <c r="AC576" i="2"/>
  <c r="AC872" i="2"/>
  <c r="AC863" i="2"/>
  <c r="AC1056" i="2"/>
  <c r="AC1065" i="2"/>
  <c r="AC1018" i="2"/>
  <c r="AC962" i="2"/>
  <c r="AC706" i="2"/>
  <c r="AC708" i="2"/>
  <c r="AC761" i="2"/>
  <c r="AC1120" i="2"/>
  <c r="AC1103" i="2"/>
  <c r="AC888" i="2"/>
  <c r="AC864" i="2"/>
  <c r="AC569" i="2"/>
  <c r="AC789" i="2"/>
  <c r="AC643" i="2"/>
  <c r="AC926" i="2"/>
  <c r="AC667" i="2"/>
  <c r="AC831" i="2"/>
  <c r="AC1007" i="2"/>
  <c r="AC1092" i="2"/>
  <c r="AC744" i="2"/>
  <c r="AC832" i="2"/>
  <c r="AC933" i="2"/>
  <c r="AC889" i="2"/>
  <c r="AC799" i="2"/>
  <c r="AC972" i="2"/>
  <c r="AC840" i="2"/>
  <c r="AC1006" i="2"/>
  <c r="AC824" i="2"/>
  <c r="AC594" i="2"/>
  <c r="AC665" i="2"/>
  <c r="AC596" i="2"/>
  <c r="AC837" i="2"/>
  <c r="AC1063" i="2"/>
  <c r="AC1089" i="2"/>
  <c r="AC835" i="2"/>
  <c r="AC948" i="2"/>
  <c r="AC1087" i="2"/>
  <c r="AC597" i="2"/>
  <c r="AC1025" i="2"/>
  <c r="AC911" i="2"/>
  <c r="AC671" i="2"/>
  <c r="AC998" i="2"/>
  <c r="AC922" i="2"/>
  <c r="AC1074" i="2"/>
  <c r="AC612" i="2"/>
  <c r="AC792" i="2"/>
  <c r="AC980" i="2"/>
  <c r="AC676" i="2"/>
  <c r="AC981" i="2"/>
  <c r="AC656" i="2"/>
  <c r="AC790" i="2"/>
  <c r="AC585" i="2"/>
  <c r="AC927" i="2"/>
  <c r="AC907" i="2"/>
  <c r="AC701" i="2"/>
  <c r="AC625" i="2"/>
  <c r="AC1083" i="2"/>
  <c r="AC1031" i="2"/>
  <c r="AC1097" i="2"/>
  <c r="AC1075" i="2"/>
  <c r="AC1005" i="2"/>
  <c r="AC806" i="2"/>
  <c r="AC987" i="2"/>
  <c r="AC786" i="2"/>
  <c r="AC1073" i="2"/>
  <c r="AC673" i="2"/>
  <c r="AC644" i="2"/>
  <c r="AC887" i="2"/>
  <c r="AC735" i="2"/>
  <c r="AC702" i="2"/>
  <c r="AC812" i="2"/>
  <c r="AC914" i="2"/>
  <c r="AC986" i="2"/>
  <c r="AC1115" i="2"/>
  <c r="AC1128" i="2"/>
  <c r="AC1059" i="2"/>
  <c r="AC809" i="2"/>
  <c r="AC827" i="2"/>
  <c r="AC1077" i="2"/>
  <c r="AC1112" i="2"/>
  <c r="AC628" i="2"/>
  <c r="AC730" i="2"/>
  <c r="AC704" i="2"/>
  <c r="AC653" i="2"/>
  <c r="AC1084" i="2"/>
  <c r="AC1019" i="2"/>
  <c r="AC947" i="2"/>
  <c r="AC586" i="2"/>
  <c r="AC1050" i="2"/>
  <c r="AC985" i="2"/>
  <c r="AC568" i="2"/>
  <c r="AC1068" i="2"/>
  <c r="AC749" i="2"/>
  <c r="AC777" i="2"/>
  <c r="AC850" i="2"/>
  <c r="AC677" i="2"/>
  <c r="AC591" i="2"/>
  <c r="AC1038" i="2"/>
  <c r="AC684" i="2"/>
  <c r="AC1130" i="2"/>
  <c r="AC647" i="2"/>
  <c r="AC1052" i="2"/>
  <c r="AC1122" i="2"/>
  <c r="AC741" i="2"/>
  <c r="AC700" i="2"/>
  <c r="AC870" i="2"/>
  <c r="AC577" i="2"/>
  <c r="AC930" i="2"/>
  <c r="AC959" i="2"/>
  <c r="AC1002" i="2"/>
  <c r="AC1058" i="2"/>
  <c r="AC765" i="2"/>
  <c r="AC1095" i="2"/>
  <c r="AC724" i="2"/>
  <c r="AC713" i="2"/>
  <c r="AC885" i="2"/>
  <c r="AC752" i="2"/>
  <c r="AC772" i="2"/>
  <c r="AC736" i="2"/>
  <c r="AC716" i="2"/>
  <c r="AC839" i="2"/>
  <c r="AC1055" i="2"/>
  <c r="AC672" i="2"/>
  <c r="AC908" i="2"/>
  <c r="AC630" i="2"/>
  <c r="AC680" i="2"/>
  <c r="AC965" i="2"/>
  <c r="AC602" i="2"/>
  <c r="AC618" i="2"/>
  <c r="AC823" i="2"/>
  <c r="AC632" i="2"/>
  <c r="AC710" i="2"/>
  <c r="AC856" i="2"/>
  <c r="AC843" i="2"/>
  <c r="AC992" i="2"/>
  <c r="AC1119" i="2"/>
  <c r="AC778" i="2"/>
  <c r="AC1079" i="2"/>
  <c r="AC808" i="2"/>
  <c r="AC1076" i="2"/>
  <c r="AC747" i="2"/>
  <c r="AC1008" i="2"/>
  <c r="AC573" i="2"/>
  <c r="AC900" i="2"/>
  <c r="AC1012" i="2"/>
  <c r="AC82" i="2"/>
  <c r="AC87" i="2"/>
  <c r="AC74" i="2"/>
  <c r="AC16" i="2"/>
  <c r="AC392" i="2"/>
  <c r="AC20" i="2"/>
  <c r="AC286" i="2"/>
  <c r="AC329" i="2"/>
  <c r="AC396" i="2"/>
  <c r="AC204" i="2"/>
  <c r="AC245" i="2"/>
  <c r="AC541" i="2"/>
  <c r="AC274" i="2"/>
  <c r="AC43" i="2"/>
  <c r="AC174" i="2"/>
  <c r="AC348" i="2"/>
  <c r="AC156" i="2"/>
  <c r="AC36" i="2"/>
  <c r="AC78" i="2"/>
  <c r="AC32" i="2"/>
  <c r="AC438" i="2"/>
  <c r="AC108" i="2"/>
  <c r="AC180" i="2"/>
  <c r="AC222" i="2"/>
  <c r="AC84" i="2"/>
  <c r="AC252" i="2"/>
  <c r="AC558" i="2"/>
  <c r="AC81" i="2"/>
  <c r="AC34" i="2"/>
  <c r="AC28" i="2"/>
  <c r="AC517" i="2"/>
  <c r="AC554" i="2"/>
  <c r="AC132" i="2"/>
  <c r="AC272" i="2"/>
  <c r="AC26" i="2"/>
  <c r="AC559" i="2"/>
  <c r="AC35" i="2"/>
  <c r="AC27" i="2"/>
  <c r="AC228" i="2"/>
  <c r="AC366" i="2"/>
  <c r="AC198" i="2"/>
  <c r="AC19" i="2"/>
  <c r="AC31" i="2"/>
  <c r="AC18" i="2"/>
  <c r="AC320" i="2"/>
  <c r="AC365" i="2"/>
  <c r="AC15" i="2"/>
  <c r="AC25" i="2"/>
  <c r="AC125" i="2"/>
  <c r="AC21" i="2"/>
  <c r="AC565" i="2"/>
  <c r="AC24" i="2"/>
  <c r="AC492" i="2"/>
  <c r="AC23" i="2"/>
  <c r="AC22" i="2"/>
  <c r="AC102" i="2"/>
  <c r="AC270" i="2"/>
  <c r="AC30" i="2"/>
  <c r="AC444" i="2"/>
  <c r="AC556" i="2"/>
  <c r="AC384" i="2"/>
  <c r="AC141" i="2"/>
  <c r="AC364" i="2"/>
  <c r="AC326" i="2"/>
  <c r="AC79" i="2"/>
  <c r="AC381" i="2"/>
  <c r="AC474" i="2"/>
  <c r="AC411" i="2"/>
  <c r="AC414" i="2"/>
  <c r="AC378" i="2"/>
  <c r="AC168" i="2"/>
  <c r="AC386" i="2"/>
  <c r="AC510" i="2"/>
  <c r="AC433" i="2"/>
  <c r="AC229" i="2"/>
  <c r="AC477" i="2"/>
  <c r="AC246" i="2"/>
  <c r="AC259" i="2"/>
  <c r="AC266" i="2"/>
  <c r="AC318" i="2"/>
  <c r="AC150" i="2"/>
  <c r="AC267" i="2"/>
  <c r="AC44" i="2"/>
  <c r="AC322" i="2"/>
  <c r="AC380" i="2"/>
  <c r="AC244" i="2"/>
  <c r="AC277" i="2"/>
  <c r="AC524" i="2"/>
  <c r="AC287" i="2"/>
  <c r="AC145" i="2"/>
  <c r="AC152" i="2"/>
  <c r="AC69" i="2"/>
  <c r="AC456" i="2"/>
  <c r="AC330" i="2"/>
  <c r="AC430" i="2"/>
  <c r="AC42" i="2"/>
  <c r="AC371" i="2"/>
  <c r="AC224" i="2"/>
  <c r="AC130" i="2"/>
  <c r="AC369" i="2"/>
  <c r="AC100" i="2"/>
  <c r="AC143" i="2"/>
  <c r="AC450" i="2"/>
  <c r="AC193" i="2"/>
  <c r="AC342" i="2"/>
  <c r="AC131" i="2"/>
  <c r="AC448" i="2"/>
  <c r="AC542" i="2"/>
  <c r="AC211" i="2"/>
  <c r="AC552" i="2"/>
  <c r="AC119" i="2"/>
  <c r="AC349" i="2"/>
  <c r="AC179" i="2"/>
  <c r="AC507" i="2"/>
  <c r="AC57" i="2"/>
  <c r="AC415" i="2"/>
  <c r="AC112" i="2"/>
  <c r="AC37" i="2"/>
  <c r="AC460" i="2"/>
  <c r="AC539" i="2"/>
  <c r="AC564" i="2"/>
  <c r="AC200" i="2"/>
  <c r="AC153" i="2"/>
  <c r="AC186" i="2"/>
  <c r="AC340" i="2"/>
  <c r="AC341" i="2"/>
  <c r="AC402" i="2"/>
  <c r="AC285" i="2"/>
  <c r="AC466" i="2"/>
  <c r="AC345" i="2"/>
  <c r="AC158" i="2"/>
  <c r="AC151" i="2"/>
  <c r="AC413" i="2"/>
  <c r="AC519" i="2"/>
  <c r="AC319" i="2"/>
  <c r="AC314" i="2"/>
  <c r="AC107" i="2"/>
  <c r="AC203" i="2"/>
  <c r="AC149" i="2"/>
  <c r="AC550" i="2"/>
  <c r="AC561" i="2"/>
  <c r="AC379" i="2"/>
  <c r="AC140" i="2"/>
  <c r="AC299" i="2"/>
  <c r="AC382" i="2"/>
  <c r="AC41" i="2"/>
  <c r="AC236" i="2"/>
  <c r="AC333" i="2"/>
  <c r="AC423" i="2"/>
  <c r="AC280" i="2"/>
  <c r="AC304" i="2"/>
  <c r="AC291" i="2"/>
  <c r="AC324" i="2"/>
  <c r="AC354" i="2"/>
  <c r="AC523" i="2"/>
  <c r="AC240" i="2"/>
  <c r="AC301" i="2"/>
  <c r="AC332" i="2"/>
  <c r="AC534" i="2"/>
  <c r="AC205" i="2"/>
  <c r="AC359" i="2"/>
  <c r="AC335" i="2"/>
  <c r="AC247" i="2"/>
  <c r="AC89" i="2"/>
  <c r="AC248" i="2"/>
  <c r="AC40" i="2"/>
  <c r="AC536" i="2"/>
  <c r="AC311" i="2"/>
  <c r="AC420" i="2"/>
  <c r="AC489" i="2"/>
  <c r="AC442" i="2"/>
  <c r="AC197" i="2"/>
  <c r="AC166" i="2"/>
  <c r="AC72" i="2"/>
  <c r="AC243" i="2"/>
  <c r="AC199" i="2"/>
  <c r="AC432" i="2"/>
  <c r="AC486" i="2"/>
  <c r="AC281" i="2"/>
  <c r="AC230" i="2"/>
  <c r="AC296" i="2"/>
  <c r="AC531" i="2"/>
  <c r="AC471" i="2"/>
  <c r="AC237" i="2"/>
  <c r="AC376" i="2"/>
  <c r="AC465" i="2"/>
  <c r="AC313" i="2"/>
  <c r="AC416" i="2"/>
  <c r="AC298" i="2"/>
  <c r="AC503" i="2"/>
  <c r="AC39" i="2"/>
  <c r="AC46" i="2"/>
  <c r="AC91" i="2"/>
  <c r="AC212" i="2"/>
  <c r="AC537" i="2"/>
  <c r="AC49" i="2"/>
  <c r="AC170" i="2"/>
  <c r="AC390" i="2"/>
  <c r="AC66" i="2"/>
  <c r="AC439" i="2"/>
  <c r="AC110" i="2"/>
  <c r="AC98" i="2"/>
  <c r="AC454" i="2"/>
  <c r="AC521" i="2"/>
  <c r="AC47" i="2"/>
  <c r="AC373" i="2"/>
  <c r="AC403" i="2"/>
  <c r="AC417" i="2"/>
  <c r="AC463" i="2"/>
  <c r="AC557" i="2"/>
  <c r="AC213" i="2"/>
  <c r="AC455" i="2"/>
  <c r="AC279" i="2"/>
  <c r="AC321" i="2"/>
  <c r="AC263" i="2"/>
  <c r="AC178" i="2"/>
  <c r="AC265" i="2"/>
  <c r="AC563" i="2"/>
  <c r="AC294" i="2"/>
  <c r="AC116" i="2"/>
  <c r="AC410" i="2"/>
  <c r="AC344" i="2"/>
  <c r="AC164" i="2"/>
  <c r="AC476" i="2"/>
  <c r="AC52" i="2"/>
  <c r="AC53" i="2"/>
  <c r="AC75" i="2"/>
  <c r="AC429" i="2"/>
  <c r="AC232" i="2"/>
  <c r="AC104" i="2"/>
  <c r="AC177" i="2"/>
  <c r="AC545" i="2"/>
  <c r="AC254" i="2"/>
  <c r="AC227" i="2"/>
  <c r="AC201" i="2"/>
  <c r="AC352" i="2"/>
  <c r="AC289" i="2"/>
  <c r="AC356" i="2"/>
  <c r="AC327" i="2"/>
  <c r="AC482" i="2"/>
  <c r="AC502" i="2"/>
  <c r="AC127" i="2"/>
  <c r="AC397" i="2"/>
  <c r="AC469" i="2"/>
  <c r="AC385" i="2"/>
  <c r="AC165" i="2"/>
  <c r="AC406" i="2"/>
  <c r="AC220" i="2"/>
  <c r="AC226" i="2"/>
  <c r="AC223" i="2"/>
  <c r="AC425" i="2"/>
  <c r="AC467" i="2"/>
  <c r="AC362" i="2"/>
  <c r="AC331" i="2"/>
  <c r="AC522" i="2"/>
  <c r="AC276" i="2"/>
  <c r="AC395" i="2"/>
  <c r="AC421" i="2"/>
  <c r="AC312" i="2"/>
  <c r="AC491" i="2"/>
  <c r="AC241" i="2"/>
  <c r="AC292" i="2"/>
  <c r="AC231" i="2"/>
  <c r="AC59" i="2"/>
  <c r="AC50" i="2"/>
  <c r="AC317" i="2"/>
  <c r="AC195" i="2"/>
  <c r="AC85" i="2"/>
  <c r="AC239" i="2"/>
  <c r="AC207" i="2"/>
  <c r="AC527" i="2"/>
  <c r="AC431" i="2"/>
  <c r="AC182" i="2"/>
  <c r="AC48" i="2"/>
  <c r="AC202" i="2"/>
  <c r="AC189" i="2"/>
  <c r="AC334" i="2"/>
  <c r="AC260" i="2"/>
  <c r="AC512" i="2"/>
  <c r="AC355" i="2"/>
  <c r="AC308" i="2"/>
  <c r="AC500" i="2"/>
  <c r="AC147" i="2"/>
  <c r="AC473" i="2"/>
  <c r="AC95" i="2"/>
  <c r="AC303" i="2"/>
  <c r="AC309" i="2"/>
  <c r="AC441" i="2"/>
  <c r="AC351" i="2"/>
  <c r="AC358" i="2"/>
  <c r="AC367" i="2"/>
  <c r="AC114" i="2"/>
  <c r="AC283" i="2"/>
  <c r="AC387" i="2"/>
  <c r="AC555" i="2"/>
  <c r="AC548" i="2"/>
  <c r="AC187" i="2"/>
  <c r="AC405" i="2"/>
  <c r="AC171" i="2"/>
  <c r="AC64" i="2"/>
  <c r="AC515" i="2"/>
  <c r="AC105" i="2"/>
  <c r="AC157" i="2"/>
  <c r="AC17" i="2"/>
  <c r="AC146" i="2"/>
  <c r="AC436" i="2"/>
  <c r="AC514" i="2"/>
  <c r="AC307" i="2"/>
  <c r="AC435" i="2"/>
  <c r="AC538" i="2"/>
  <c r="AC363" i="2"/>
  <c r="AC62" i="2"/>
  <c r="AC484" i="2"/>
  <c r="AC481" i="2"/>
  <c r="AC547" i="2"/>
  <c r="AC464" i="2"/>
  <c r="AC120" i="2"/>
  <c r="AC513" i="2"/>
  <c r="AC288" i="2"/>
  <c r="AC315" i="2"/>
  <c r="AC328" i="2"/>
  <c r="AC508" i="2"/>
  <c r="AC137" i="2"/>
  <c r="AC273" i="2"/>
  <c r="AC256" i="2"/>
  <c r="AC278" i="2"/>
  <c r="AC257" i="2"/>
  <c r="AC90" i="2"/>
  <c r="AC462" i="2"/>
  <c r="AC506" i="2"/>
  <c r="AC353" i="2"/>
  <c r="AC128" i="2"/>
  <c r="AC532" i="2"/>
  <c r="AC181" i="2"/>
  <c r="AC468" i="2"/>
  <c r="AC361" i="2"/>
  <c r="AC284" i="2"/>
  <c r="AC419" i="2"/>
  <c r="AC509" i="2"/>
  <c r="AC111" i="2"/>
  <c r="AC501" i="2"/>
  <c r="AC459" i="2"/>
  <c r="AC391" i="2"/>
  <c r="AC434" i="2"/>
  <c r="AC55" i="2"/>
  <c r="AC350" i="2"/>
  <c r="AC525" i="2"/>
  <c r="AC306" i="2"/>
  <c r="AC422" i="2"/>
  <c r="AC412" i="2"/>
  <c r="AC520" i="2"/>
  <c r="AC253" i="2"/>
  <c r="AC451" i="2"/>
  <c r="AC293" i="2"/>
  <c r="AC167" i="2"/>
  <c r="AC176" i="2"/>
  <c r="AC175" i="2"/>
  <c r="AC426" i="2"/>
  <c r="AC493" i="2"/>
  <c r="AC452" i="2"/>
  <c r="AC374" i="2"/>
  <c r="AC347" i="2"/>
  <c r="AC339" i="2"/>
  <c r="AC499" i="2"/>
  <c r="AC475" i="2"/>
  <c r="AC271" i="2"/>
  <c r="AC440" i="2"/>
  <c r="AC103" i="2"/>
  <c r="AC446" i="2"/>
  <c r="AC134" i="2"/>
  <c r="AC530" i="2"/>
  <c r="AC551" i="2"/>
  <c r="AC368" i="2"/>
  <c r="AC302" i="2"/>
  <c r="AC264" i="2"/>
  <c r="AC323" i="2"/>
  <c r="AC408" i="2"/>
  <c r="AC124" i="2"/>
  <c r="AC338" i="2"/>
  <c r="AC305" i="2"/>
  <c r="AC528" i="2"/>
  <c r="AC418" i="2"/>
  <c r="AC428" i="2"/>
  <c r="AC496" i="2"/>
  <c r="AC393" i="2"/>
  <c r="AC242" i="2"/>
  <c r="AC346" i="2"/>
  <c r="AC173" i="2"/>
  <c r="AC250" i="2"/>
  <c r="AC80" i="2"/>
  <c r="AC370" i="2"/>
  <c r="AC511" i="2"/>
  <c r="AC560" i="2"/>
  <c r="AC261" i="2"/>
  <c r="AC118" i="2"/>
  <c r="AC497" i="2"/>
  <c r="AC215" i="2"/>
  <c r="AC394" i="2"/>
  <c r="AC68" i="2"/>
  <c r="AC343" i="2"/>
  <c r="AC388" i="2"/>
  <c r="AC251" i="2"/>
  <c r="AC409" i="2"/>
  <c r="AC336" i="2"/>
  <c r="AC101" i="2"/>
  <c r="AC155" i="2"/>
  <c r="AC357" i="2"/>
  <c r="AC516" i="2"/>
  <c r="AC529" i="2"/>
  <c r="AC546" i="2"/>
  <c r="AC443" i="2"/>
  <c r="AC56" i="2"/>
  <c r="AC483" i="2"/>
  <c r="AC184" i="2"/>
  <c r="AC121" i="2"/>
  <c r="AC400" i="2"/>
  <c r="AC295" i="2"/>
  <c r="AC135" i="2"/>
  <c r="AC470" i="2"/>
  <c r="AC45" i="2"/>
  <c r="AC169" i="2"/>
  <c r="AC424" i="2"/>
  <c r="AC138" i="2"/>
  <c r="AC185" i="2"/>
  <c r="AC449" i="2"/>
  <c r="AC526" i="2"/>
  <c r="AC360" i="2"/>
  <c r="AC235" i="2"/>
  <c r="AC262" i="2"/>
  <c r="AC290" i="2"/>
  <c r="AC154" i="2"/>
  <c r="AC485" i="2"/>
  <c r="AC214" i="2"/>
  <c r="AC209" i="2"/>
  <c r="AC544" i="2"/>
  <c r="AC562" i="2"/>
  <c r="AC478" i="2"/>
  <c r="AC194" i="2"/>
  <c r="AC238" i="2"/>
  <c r="AC316" i="2"/>
  <c r="AC457" i="2"/>
  <c r="AC325" i="2"/>
  <c r="AC297" i="2"/>
  <c r="AC142" i="2"/>
  <c r="AC453" i="2"/>
  <c r="AC161" i="2"/>
  <c r="AC190" i="2"/>
  <c r="AC88" i="2"/>
  <c r="AC567" i="2"/>
  <c r="AC196" i="2"/>
  <c r="AC172" i="2"/>
  <c r="AC461" i="2"/>
  <c r="AC488" i="2"/>
  <c r="AC115" i="2"/>
  <c r="AC225" i="2"/>
  <c r="AC129" i="2"/>
  <c r="AC126" i="2"/>
  <c r="AC188" i="2"/>
  <c r="AC427" i="2"/>
  <c r="AC51" i="2"/>
  <c r="AC300" i="2"/>
  <c r="AC543" i="2"/>
  <c r="AC139" i="2"/>
  <c r="AC92" i="2"/>
  <c r="AC191" i="2"/>
  <c r="AC494" i="2"/>
  <c r="AC337" i="2"/>
  <c r="AC498" i="2"/>
  <c r="AC437" i="2"/>
  <c r="AC268" i="2"/>
  <c r="AC472" i="2"/>
  <c r="AC109" i="2"/>
  <c r="AC445" i="2"/>
  <c r="AC233" i="2"/>
  <c r="AC38" i="2"/>
  <c r="AC404" i="2"/>
  <c r="AC383" i="2"/>
  <c r="AC97" i="2"/>
  <c r="AC447" i="2"/>
  <c r="AC99" i="2"/>
  <c r="AC144" i="2"/>
  <c r="AC458" i="2"/>
  <c r="AC553" i="2"/>
  <c r="AC401" i="2"/>
  <c r="AC282" i="2"/>
  <c r="AC54" i="2"/>
  <c r="AC540" i="2"/>
  <c r="AC504" i="2"/>
  <c r="AC258" i="2"/>
  <c r="AC490" i="2"/>
  <c r="AC389" i="2"/>
  <c r="AC249" i="2"/>
  <c r="AC122" i="2"/>
  <c r="AC206" i="2"/>
  <c r="AC377" i="2"/>
  <c r="AC533" i="2"/>
  <c r="AC495" i="2"/>
  <c r="AC234" i="2"/>
  <c r="AC487"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175" i="2" l="1"/>
  <c r="AG95" i="2"/>
  <c r="AG248" i="2"/>
  <c r="AG456" i="2"/>
  <c r="AG320" i="2"/>
  <c r="AG1008" i="2"/>
  <c r="AG575" i="2"/>
  <c r="AG491" i="2"/>
  <c r="AG18" i="2"/>
  <c r="AG32" i="2"/>
  <c r="AG747" i="2"/>
  <c r="AG752" i="2"/>
  <c r="AG749" i="2"/>
  <c r="AG735" i="2"/>
  <c r="AG612" i="2"/>
  <c r="AG832" i="2"/>
  <c r="AG760" i="2"/>
  <c r="AG711" i="2"/>
  <c r="AG883" i="2"/>
  <c r="AG797" i="2"/>
  <c r="AG826" i="2"/>
  <c r="AG1072" i="2"/>
  <c r="AG610" i="2"/>
  <c r="AG906" i="2"/>
  <c r="AG915" i="2"/>
  <c r="AG592" i="2"/>
  <c r="AG770" i="2"/>
  <c r="AG739" i="2"/>
  <c r="AG759" i="2"/>
  <c r="AG769" i="2"/>
  <c r="AG939" i="2"/>
  <c r="AG657" i="2"/>
  <c r="AG705" i="2"/>
  <c r="AG290" i="2"/>
  <c r="AG958" i="2"/>
  <c r="AG933" i="2"/>
  <c r="AG167" i="2"/>
  <c r="AG147" i="2"/>
  <c r="AG312" i="2"/>
  <c r="AG201" i="2"/>
  <c r="AG213" i="2"/>
  <c r="AG313" i="2"/>
  <c r="AG247" i="2"/>
  <c r="AG149" i="2"/>
  <c r="AG57" i="2"/>
  <c r="AG152" i="2"/>
  <c r="AG474" i="2"/>
  <c r="AG31" i="2"/>
  <c r="AG78" i="2"/>
  <c r="AG1076" i="2"/>
  <c r="AG885" i="2"/>
  <c r="AG1068" i="2"/>
  <c r="AG887" i="2"/>
  <c r="AG1074" i="2"/>
  <c r="AG744" i="2"/>
  <c r="AG604" i="2"/>
  <c r="AG952" i="2"/>
  <c r="AG615" i="2"/>
  <c r="AG771" i="2"/>
  <c r="AG722" i="2"/>
  <c r="AG1107" i="2"/>
  <c r="AG595" i="2"/>
  <c r="AG845" i="2"/>
  <c r="AG695" i="2"/>
  <c r="AG783" i="2"/>
  <c r="AG768" i="2"/>
  <c r="AG1102" i="2"/>
  <c r="AG890" i="2"/>
  <c r="AG1111" i="2"/>
  <c r="AG687" i="2"/>
  <c r="AG655" i="2"/>
  <c r="AG631" i="2"/>
  <c r="AG990" i="2"/>
  <c r="AG792" i="2"/>
  <c r="AG506" i="2"/>
  <c r="AG421" i="2"/>
  <c r="AG227" i="2"/>
  <c r="AG557" i="2"/>
  <c r="AG465" i="2"/>
  <c r="AG335" i="2"/>
  <c r="AG203" i="2"/>
  <c r="AG507" i="2"/>
  <c r="AG145" i="2"/>
  <c r="AG381" i="2"/>
  <c r="AG19" i="2"/>
  <c r="AG36" i="2"/>
  <c r="AG808" i="2"/>
  <c r="AG713" i="2"/>
  <c r="AG568" i="2"/>
  <c r="AG644" i="2"/>
  <c r="AG922" i="2"/>
  <c r="AG1092" i="2"/>
  <c r="AG638" i="2"/>
  <c r="AG929" i="2"/>
  <c r="AG1126" i="2"/>
  <c r="AG733" i="2"/>
  <c r="AG626" i="2"/>
  <c r="AG639" i="2"/>
  <c r="AG1078" i="2"/>
  <c r="AG848" i="2"/>
  <c r="AG584" i="2"/>
  <c r="AG1048" i="2"/>
  <c r="AG787" i="2"/>
  <c r="AG1044" i="2"/>
  <c r="AG817" i="2"/>
  <c r="AG1114" i="2"/>
  <c r="AG868" i="2"/>
  <c r="AG847" i="2"/>
  <c r="AG949" i="2"/>
  <c r="AG503" i="2"/>
  <c r="AG775" i="2"/>
  <c r="AG576" i="2"/>
  <c r="AG308" i="2"/>
  <c r="AG254" i="2"/>
  <c r="AG463" i="2"/>
  <c r="AG376" i="2"/>
  <c r="AG359" i="2"/>
  <c r="AG107" i="2"/>
  <c r="AG179" i="2"/>
  <c r="AG287" i="2"/>
  <c r="AG79" i="2"/>
  <c r="AG198" i="2"/>
  <c r="AG156" i="2"/>
  <c r="AG1079" i="2"/>
  <c r="AG724" i="2"/>
  <c r="AG985" i="2"/>
  <c r="AG673" i="2"/>
  <c r="AG998" i="2"/>
  <c r="AG1007" i="2"/>
  <c r="AG866" i="2"/>
  <c r="AG675" i="2"/>
  <c r="AG715" i="2"/>
  <c r="AG894" i="2"/>
  <c r="AG816" i="2"/>
  <c r="AG813" i="2"/>
  <c r="AG616" i="2"/>
  <c r="AG603" i="2"/>
  <c r="AG1066" i="2"/>
  <c r="AG707" i="2"/>
  <c r="AG578" i="2"/>
  <c r="AG696" i="2"/>
  <c r="AG766" i="2"/>
  <c r="AG875" i="2"/>
  <c r="AG954" i="2"/>
  <c r="AG1094" i="2"/>
  <c r="AG991" i="2"/>
  <c r="AG426" i="2"/>
  <c r="AG851" i="2"/>
  <c r="AG951" i="2"/>
  <c r="AG550" i="2"/>
  <c r="AG109" i="2"/>
  <c r="AG90" i="2"/>
  <c r="AG17" i="2"/>
  <c r="AG355" i="2"/>
  <c r="AG276" i="2"/>
  <c r="AG545" i="2"/>
  <c r="AG417" i="2"/>
  <c r="AG237" i="2"/>
  <c r="AG205" i="2"/>
  <c r="AG314" i="2"/>
  <c r="AG349" i="2"/>
  <c r="AG524" i="2"/>
  <c r="AG326" i="2"/>
  <c r="AG366" i="2"/>
  <c r="AG348" i="2"/>
  <c r="AG778" i="2"/>
  <c r="AG1095" i="2"/>
  <c r="AG1050" i="2"/>
  <c r="AG1073" i="2"/>
  <c r="AG671" i="2"/>
  <c r="AG831" i="2"/>
  <c r="AG941" i="2"/>
  <c r="AG723" i="2"/>
  <c r="AG898" i="2"/>
  <c r="AG636" i="2"/>
  <c r="AG703" i="2"/>
  <c r="AG988" i="2"/>
  <c r="AG852" i="2"/>
  <c r="AG989" i="2"/>
  <c r="AG849" i="2"/>
  <c r="AG600" i="2"/>
  <c r="AG1027" i="2"/>
  <c r="AG876" i="2"/>
  <c r="AG912" i="2"/>
  <c r="AG571" i="2"/>
  <c r="AG918" i="2"/>
  <c r="AG882" i="2"/>
  <c r="AG967" i="2"/>
  <c r="AG115" i="2"/>
  <c r="AG365" i="2"/>
  <c r="AG718" i="2"/>
  <c r="AG101" i="2"/>
  <c r="AG748" i="2"/>
  <c r="AG69" i="2"/>
  <c r="AG251" i="2"/>
  <c r="AG445" i="2"/>
  <c r="AG138" i="2"/>
  <c r="AG157" i="2"/>
  <c r="AG512" i="2"/>
  <c r="AG522" i="2"/>
  <c r="AG177" i="2"/>
  <c r="AG403" i="2"/>
  <c r="AG471" i="2"/>
  <c r="AG534" i="2"/>
  <c r="AG319" i="2"/>
  <c r="AG119" i="2"/>
  <c r="AG277" i="2"/>
  <c r="AG364" i="2"/>
  <c r="AG228" i="2"/>
  <c r="AG174" i="2"/>
  <c r="AG1119" i="2"/>
  <c r="AG765" i="2"/>
  <c r="AG586" i="2"/>
  <c r="AG786" i="2"/>
  <c r="AG911" i="2"/>
  <c r="AG667" i="2"/>
  <c r="AG692" i="2"/>
  <c r="AG960" i="2"/>
  <c r="AG1026" i="2"/>
  <c r="AG897" i="2"/>
  <c r="AG1123" i="2"/>
  <c r="AG641" i="2"/>
  <c r="AG691" i="2"/>
  <c r="AG975" i="2"/>
  <c r="AG654" i="2"/>
  <c r="AG1091" i="2"/>
  <c r="AG795" i="2"/>
  <c r="AG969" i="2"/>
  <c r="AG1030" i="2"/>
  <c r="AG1022" i="2"/>
  <c r="AG1032" i="2"/>
  <c r="AG679" i="2"/>
  <c r="AG589" i="2"/>
  <c r="AG40" i="2"/>
  <c r="AG980" i="2"/>
  <c r="AG605" i="2"/>
  <c r="AG404" i="2"/>
  <c r="AG128" i="2"/>
  <c r="AG360" i="2"/>
  <c r="AG462" i="2"/>
  <c r="AG394" i="2"/>
  <c r="AG260" i="2"/>
  <c r="AG331" i="2"/>
  <c r="AG104" i="2"/>
  <c r="AG373" i="2"/>
  <c r="AG531" i="2"/>
  <c r="AG332" i="2"/>
  <c r="AG519" i="2"/>
  <c r="AG552" i="2"/>
  <c r="AG244" i="2"/>
  <c r="AG141" i="2"/>
  <c r="AG27" i="2"/>
  <c r="AG43" i="2"/>
  <c r="AG992" i="2"/>
  <c r="AG1058" i="2"/>
  <c r="AG947" i="2"/>
  <c r="AG987" i="2"/>
  <c r="AG1025" i="2"/>
  <c r="AG926" i="2"/>
  <c r="AG1049" i="2"/>
  <c r="AG971" i="2"/>
  <c r="AG690" i="2"/>
  <c r="AG821" i="2"/>
  <c r="AG903" i="2"/>
  <c r="AG905" i="2"/>
  <c r="AG978" i="2"/>
  <c r="AG968" i="2"/>
  <c r="AG935" i="2"/>
  <c r="AG745" i="2"/>
  <c r="AG788" i="2"/>
  <c r="AG712" i="2"/>
  <c r="AG1099" i="2"/>
  <c r="AG953" i="2"/>
  <c r="AG1090" i="2"/>
  <c r="AG871" i="2"/>
  <c r="AG858" i="2"/>
  <c r="AG538" i="2"/>
  <c r="AG601" i="2"/>
  <c r="AG873" i="2"/>
  <c r="AG416" i="2"/>
  <c r="AG409" i="2"/>
  <c r="AG234" i="2"/>
  <c r="AG449" i="2"/>
  <c r="AG264" i="2"/>
  <c r="AG122" i="2"/>
  <c r="AG368" i="2"/>
  <c r="AG422" i="2"/>
  <c r="AG256" i="2"/>
  <c r="AG515" i="2"/>
  <c r="AG334" i="2"/>
  <c r="AG362" i="2"/>
  <c r="AG232" i="2"/>
  <c r="AG47" i="2"/>
  <c r="AG296" i="2"/>
  <c r="AG301" i="2"/>
  <c r="AG413" i="2"/>
  <c r="AG211" i="2"/>
  <c r="AG380" i="2"/>
  <c r="AG384" i="2"/>
  <c r="AG35" i="2"/>
  <c r="AG274" i="2"/>
  <c r="AG843" i="2"/>
  <c r="AG1002" i="2"/>
  <c r="AG1019" i="2"/>
  <c r="AG806" i="2"/>
  <c r="AG597" i="2"/>
  <c r="AG643" i="2"/>
  <c r="AG855" i="2"/>
  <c r="AG779" i="2"/>
  <c r="AG669" i="2"/>
  <c r="AG694" i="2"/>
  <c r="AG721" i="2"/>
  <c r="AG645" i="2"/>
  <c r="AG1003" i="2"/>
  <c r="AG663" i="2"/>
  <c r="AG572" i="2"/>
  <c r="AG976" i="2"/>
  <c r="AG957" i="2"/>
  <c r="AG1127" i="2"/>
  <c r="AG815" i="2"/>
  <c r="AG737" i="2"/>
  <c r="AG599" i="2"/>
  <c r="AG637" i="2"/>
  <c r="AG757" i="2"/>
  <c r="AG292" i="2"/>
  <c r="AG850" i="2"/>
  <c r="AG1121" i="2"/>
  <c r="AG455" i="2"/>
  <c r="AG338" i="2"/>
  <c r="AG196" i="2"/>
  <c r="AG388" i="2"/>
  <c r="AG185" i="2"/>
  <c r="AG278" i="2"/>
  <c r="AG142" i="2"/>
  <c r="AG551" i="2"/>
  <c r="AG64" i="2"/>
  <c r="AG189" i="2"/>
  <c r="AG467" i="2"/>
  <c r="AG429" i="2"/>
  <c r="AG521" i="2"/>
  <c r="AG230" i="2"/>
  <c r="AG240" i="2"/>
  <c r="AG151" i="2"/>
  <c r="AG542" i="2"/>
  <c r="AG322" i="2"/>
  <c r="AG556" i="2"/>
  <c r="AG559" i="2"/>
  <c r="AG541" i="2"/>
  <c r="AG856" i="2"/>
  <c r="AG959" i="2"/>
  <c r="AG1084" i="2"/>
  <c r="AG1005" i="2"/>
  <c r="AG1087" i="2"/>
  <c r="AG789" i="2"/>
  <c r="AG756" i="2"/>
  <c r="AG763" i="2"/>
  <c r="AG668" i="2"/>
  <c r="AG1104" i="2"/>
  <c r="AG1013" i="2"/>
  <c r="AG662" i="2"/>
  <c r="AG1036" i="2"/>
  <c r="AG913" i="2"/>
  <c r="AG818" i="2"/>
  <c r="AG931" i="2"/>
  <c r="AG893" i="2"/>
  <c r="AG608" i="2"/>
  <c r="AG1124" i="2"/>
  <c r="AG1096" i="2"/>
  <c r="AG1037" i="2"/>
  <c r="AG681" i="2"/>
  <c r="AG909" i="2"/>
  <c r="AG580" i="2"/>
  <c r="AG336" i="2"/>
  <c r="AG514" i="2"/>
  <c r="AG451" i="2"/>
  <c r="AG533" i="2"/>
  <c r="AG472" i="2"/>
  <c r="AG268" i="2"/>
  <c r="AG215" i="2"/>
  <c r="AG497" i="2"/>
  <c r="AG389" i="2"/>
  <c r="AG525" i="2"/>
  <c r="AG425" i="2"/>
  <c r="AG523" i="2"/>
  <c r="AG448" i="2"/>
  <c r="AG44" i="2"/>
  <c r="AG444" i="2"/>
  <c r="AG26" i="2"/>
  <c r="AG245" i="2"/>
  <c r="AG710" i="2"/>
  <c r="AG930" i="2"/>
  <c r="AG653" i="2"/>
  <c r="AG1075" i="2"/>
  <c r="AG948" i="2"/>
  <c r="AG569" i="2"/>
  <c r="AG624" i="2"/>
  <c r="AG904" i="2"/>
  <c r="AG899" i="2"/>
  <c r="AG861" i="2"/>
  <c r="AG727" i="2"/>
  <c r="AG714" i="2"/>
  <c r="AG838" i="2"/>
  <c r="AG780" i="2"/>
  <c r="AG1024" i="2"/>
  <c r="AG1100" i="2"/>
  <c r="AG776" i="2"/>
  <c r="AG689" i="2"/>
  <c r="AG1085" i="2"/>
  <c r="AG590" i="2"/>
  <c r="AG842" i="2"/>
  <c r="AG709" i="2"/>
  <c r="AG606" i="2"/>
  <c r="AG379" i="2"/>
  <c r="AG889" i="2"/>
  <c r="AG974" i="2"/>
  <c r="AG279" i="2"/>
  <c r="AG999" i="2"/>
  <c r="AG307" i="2"/>
  <c r="AG172" i="2"/>
  <c r="AG233" i="2"/>
  <c r="AG495" i="2"/>
  <c r="AG323" i="2"/>
  <c r="AG161" i="2"/>
  <c r="AG498" i="2"/>
  <c r="AG306" i="2"/>
  <c r="AG337" i="2"/>
  <c r="AG118" i="2"/>
  <c r="AG137" i="2"/>
  <c r="AG75" i="2"/>
  <c r="AG158" i="2"/>
  <c r="AG490" i="2"/>
  <c r="AG494" i="2"/>
  <c r="AG325" i="2"/>
  <c r="AG135" i="2"/>
  <c r="AG261" i="2"/>
  <c r="AG134" i="2"/>
  <c r="AG350" i="2"/>
  <c r="AG508" i="2"/>
  <c r="AG405" i="2"/>
  <c r="AG48" i="2"/>
  <c r="AG223" i="2"/>
  <c r="AG53" i="2"/>
  <c r="AG98" i="2"/>
  <c r="AG486" i="2"/>
  <c r="AG354" i="2"/>
  <c r="AG345" i="2"/>
  <c r="AG131" i="2"/>
  <c r="AG267" i="2"/>
  <c r="AG30" i="2"/>
  <c r="AG272" i="2"/>
  <c r="AG204" i="2"/>
  <c r="AG632" i="2"/>
  <c r="AG577" i="2"/>
  <c r="AG704" i="2"/>
  <c r="AG1097" i="2"/>
  <c r="AG835" i="2"/>
  <c r="AG864" i="2"/>
  <c r="AG1101" i="2"/>
  <c r="AG869" i="2"/>
  <c r="AG1108" i="2"/>
  <c r="AG611" i="2"/>
  <c r="AG800" i="2"/>
  <c r="AG878" i="2"/>
  <c r="AG977" i="2"/>
  <c r="AG801" i="2"/>
  <c r="AG648" i="2"/>
  <c r="AG651" i="2"/>
  <c r="AG917" i="2"/>
  <c r="AG1029" i="2"/>
  <c r="AG994" i="2"/>
  <c r="AG793" i="2"/>
  <c r="AG902" i="2"/>
  <c r="AG1039" i="2"/>
  <c r="AG997" i="2"/>
  <c r="AG330" i="2"/>
  <c r="AG1009" i="2"/>
  <c r="AG298" i="2"/>
  <c r="AG867" i="2"/>
  <c r="AG473" i="2"/>
  <c r="AG38" i="2"/>
  <c r="AG124" i="2"/>
  <c r="AG257" i="2"/>
  <c r="AG437" i="2"/>
  <c r="AG249" i="2"/>
  <c r="AG45" i="2"/>
  <c r="AG297" i="2"/>
  <c r="AG530" i="2"/>
  <c r="AG202" i="2"/>
  <c r="AG454" i="2"/>
  <c r="AG258" i="2"/>
  <c r="AG191" i="2"/>
  <c r="AG457" i="2"/>
  <c r="AG295" i="2"/>
  <c r="AG560" i="2"/>
  <c r="AG446" i="2"/>
  <c r="AG55" i="2"/>
  <c r="AG328" i="2"/>
  <c r="AG187" i="2"/>
  <c r="AG182" i="2"/>
  <c r="AG226" i="2"/>
  <c r="AG52" i="2"/>
  <c r="AG110" i="2"/>
  <c r="AG432" i="2"/>
  <c r="AG324" i="2"/>
  <c r="AG466" i="2"/>
  <c r="AG342" i="2"/>
  <c r="AG150" i="2"/>
  <c r="AG270" i="2"/>
  <c r="AG132" i="2"/>
  <c r="AG396" i="2"/>
  <c r="AG823" i="2"/>
  <c r="AG870" i="2"/>
  <c r="AG730" i="2"/>
  <c r="AG1031" i="2"/>
  <c r="AG1089" i="2"/>
  <c r="AG888" i="2"/>
  <c r="AG1001" i="2"/>
  <c r="AG685" i="2"/>
  <c r="AG750" i="2"/>
  <c r="AG1053" i="2"/>
  <c r="AG791" i="2"/>
  <c r="AG910" i="2"/>
  <c r="AG627" i="2"/>
  <c r="AG803" i="2"/>
  <c r="AG1057" i="2"/>
  <c r="AG1117" i="2"/>
  <c r="AG822" i="2"/>
  <c r="AG732" i="2"/>
  <c r="AG743" i="2"/>
  <c r="AG619" i="2"/>
  <c r="AG819" i="2"/>
  <c r="AG661" i="2"/>
  <c r="AG895" i="2"/>
  <c r="AG97" i="2"/>
  <c r="AG736" i="2"/>
  <c r="AG633" i="2"/>
  <c r="AG528" i="2"/>
  <c r="AG435" i="2"/>
  <c r="AG289" i="2"/>
  <c r="AG112" i="2"/>
  <c r="AG414" i="2"/>
  <c r="AG438" i="2"/>
  <c r="AG755" i="2"/>
  <c r="AG89" i="2"/>
  <c r="AG487" i="2"/>
  <c r="AG293" i="2"/>
  <c r="AG253" i="2"/>
  <c r="AG302" i="2"/>
  <c r="AG273" i="2"/>
  <c r="AG470" i="2"/>
  <c r="AG171" i="2"/>
  <c r="AG281" i="2"/>
  <c r="AG504" i="2"/>
  <c r="AG92" i="2"/>
  <c r="AG316" i="2"/>
  <c r="AG400" i="2"/>
  <c r="AG511" i="2"/>
  <c r="AG103" i="2"/>
  <c r="AG434" i="2"/>
  <c r="AG315" i="2"/>
  <c r="AG548" i="2"/>
  <c r="AG431" i="2"/>
  <c r="AG220" i="2"/>
  <c r="AG476" i="2"/>
  <c r="AG439" i="2"/>
  <c r="AG199" i="2"/>
  <c r="AG291" i="2"/>
  <c r="AG285" i="2"/>
  <c r="AG193" i="2"/>
  <c r="AG318" i="2"/>
  <c r="AG102" i="2"/>
  <c r="AG554" i="2"/>
  <c r="AG329" i="2"/>
  <c r="AG618" i="2"/>
  <c r="AG700" i="2"/>
  <c r="AG628" i="2"/>
  <c r="AG1083" i="2"/>
  <c r="AG1063" i="2"/>
  <c r="AG1103" i="2"/>
  <c r="AG764" i="2"/>
  <c r="AG674" i="2"/>
  <c r="AG865" i="2"/>
  <c r="AG698" i="2"/>
  <c r="AG773" i="2"/>
  <c r="AG833" i="2"/>
  <c r="AG652" i="2"/>
  <c r="AG983" i="2"/>
  <c r="AG984" i="2"/>
  <c r="AG1051" i="2"/>
  <c r="AG1017" i="2"/>
  <c r="AG796" i="2"/>
  <c r="AG923" i="2"/>
  <c r="AG993" i="2"/>
  <c r="AG1116" i="2"/>
  <c r="AG607" i="2"/>
  <c r="AG901" i="2"/>
  <c r="AG697" i="2"/>
  <c r="AG488" i="2"/>
  <c r="AG772" i="2"/>
  <c r="AG440" i="2"/>
  <c r="AG406" i="2"/>
  <c r="AG164" i="2"/>
  <c r="AG66" i="2"/>
  <c r="AG243" i="2"/>
  <c r="AG304" i="2"/>
  <c r="AG402" i="2"/>
  <c r="AG450" i="2"/>
  <c r="AG266" i="2"/>
  <c r="AG22" i="2"/>
  <c r="AG517" i="2"/>
  <c r="AG286" i="2"/>
  <c r="AG602" i="2"/>
  <c r="AG741" i="2"/>
  <c r="AG1112" i="2"/>
  <c r="AG625" i="2"/>
  <c r="AG837" i="2"/>
  <c r="AG1120" i="2"/>
  <c r="AG753" i="2"/>
  <c r="AG729" i="2"/>
  <c r="AG1011" i="2"/>
  <c r="AG825" i="2"/>
  <c r="AG1082" i="2"/>
  <c r="AG642" i="2"/>
  <c r="AG810" i="2"/>
  <c r="AG880" i="2"/>
  <c r="AG1080" i="2"/>
  <c r="AG740" i="2"/>
  <c r="AG830" i="2"/>
  <c r="AG728" i="2"/>
  <c r="AG767" i="2"/>
  <c r="AG1064" i="2"/>
  <c r="AG629" i="2"/>
  <c r="AG921" i="2"/>
  <c r="AG973" i="2"/>
  <c r="AG896" i="2"/>
  <c r="AG383" i="2"/>
  <c r="AG777" i="2"/>
  <c r="AG54" i="2"/>
  <c r="AG344" i="2"/>
  <c r="AG72" i="2"/>
  <c r="AG280" i="2"/>
  <c r="AG341" i="2"/>
  <c r="AG143" i="2"/>
  <c r="AG259" i="2"/>
  <c r="AG23" i="2"/>
  <c r="AG28" i="2"/>
  <c r="AG20" i="2"/>
  <c r="AG965" i="2"/>
  <c r="AG1122" i="2"/>
  <c r="AG1077" i="2"/>
  <c r="AG701" i="2"/>
  <c r="AG596" i="2"/>
  <c r="AG761" i="2"/>
  <c r="AG1061" i="2"/>
  <c r="AG1034" i="2"/>
  <c r="AG1129" i="2"/>
  <c r="AG938" i="2"/>
  <c r="AG614" i="2"/>
  <c r="AG846" i="2"/>
  <c r="AG1071" i="2"/>
  <c r="AG640" i="2"/>
  <c r="AG1016" i="2"/>
  <c r="AG950" i="2"/>
  <c r="AG579" i="2"/>
  <c r="AG956" i="2"/>
  <c r="AG834" i="2"/>
  <c r="AG879" i="2"/>
  <c r="AG1040" i="2"/>
  <c r="AG1118" i="2"/>
  <c r="AG583" i="2"/>
  <c r="AG702" i="2"/>
  <c r="AG410" i="2"/>
  <c r="AG246" i="2"/>
  <c r="AG392" i="2"/>
  <c r="AG680" i="2"/>
  <c r="AG1052" i="2"/>
  <c r="AG827" i="2"/>
  <c r="AG907" i="2"/>
  <c r="AG665" i="2"/>
  <c r="AG708" i="2"/>
  <c r="AG1020" i="2"/>
  <c r="AG1046" i="2"/>
  <c r="AG782" i="2"/>
  <c r="AG920" i="2"/>
  <c r="AG836" i="2"/>
  <c r="AG1105" i="2"/>
  <c r="AG944" i="2"/>
  <c r="AG754" i="2"/>
  <c r="AG774" i="2"/>
  <c r="AG804" i="2"/>
  <c r="AG593" i="2"/>
  <c r="AG940" i="2"/>
  <c r="AG1110" i="2"/>
  <c r="AG1062" i="2"/>
  <c r="AG996" i="2"/>
  <c r="AG798" i="2"/>
  <c r="AG925" i="2"/>
  <c r="AG418" i="2"/>
  <c r="AG812" i="2"/>
  <c r="AG1045" i="2"/>
  <c r="AG532" i="2"/>
  <c r="AG561" i="2"/>
  <c r="AG1086" i="2"/>
  <c r="AG411" i="2"/>
  <c r="AG146" i="2"/>
  <c r="AG105" i="2"/>
  <c r="AG370" i="2"/>
  <c r="AG184" i="2"/>
  <c r="AG513" i="2"/>
  <c r="AG300" i="2"/>
  <c r="AG423" i="2"/>
  <c r="AG51" i="2"/>
  <c r="AG173" i="2"/>
  <c r="AG499" i="2"/>
  <c r="AG111" i="2"/>
  <c r="AG464" i="2"/>
  <c r="AG114" i="2"/>
  <c r="AG85" i="2"/>
  <c r="AG469" i="2"/>
  <c r="AG116" i="2"/>
  <c r="AG49" i="2"/>
  <c r="AG197" i="2"/>
  <c r="AG333" i="2"/>
  <c r="AG186" i="2"/>
  <c r="AG369" i="2"/>
  <c r="AG477" i="2"/>
  <c r="AG24" i="2"/>
  <c r="AG81" i="2"/>
  <c r="AG16" i="2"/>
  <c r="AG630" i="2"/>
  <c r="AG647" i="2"/>
  <c r="AG809" i="2"/>
  <c r="AG927" i="2"/>
  <c r="AG594" i="2"/>
  <c r="AG706" i="2"/>
  <c r="AG1047" i="2"/>
  <c r="AG884" i="2"/>
  <c r="AG678" i="2"/>
  <c r="AG943" i="2"/>
  <c r="AG1004" i="2"/>
  <c r="AG946" i="2"/>
  <c r="AG574" i="2"/>
  <c r="AG738" i="2"/>
  <c r="AG1015" i="2"/>
  <c r="AG1069" i="2"/>
  <c r="AG814" i="2"/>
  <c r="AG874" i="2"/>
  <c r="AG617" i="2"/>
  <c r="AG1060" i="2"/>
  <c r="AG891" i="2"/>
  <c r="AG1021" i="2"/>
  <c r="AG1070" i="2"/>
  <c r="AG303" i="2"/>
  <c r="AG872" i="2"/>
  <c r="AG979" i="2"/>
  <c r="AG461" i="2"/>
  <c r="AG176" i="2"/>
  <c r="AG353" i="2"/>
  <c r="AG408" i="2"/>
  <c r="AG68" i="2"/>
  <c r="AG453" i="2"/>
  <c r="AG540" i="2"/>
  <c r="AG121" i="2"/>
  <c r="AG80" i="2"/>
  <c r="AG207" i="2"/>
  <c r="AG483" i="2"/>
  <c r="AG166" i="2"/>
  <c r="AG346" i="2"/>
  <c r="AG509" i="2"/>
  <c r="AG547" i="2"/>
  <c r="AG367" i="2"/>
  <c r="AG195" i="2"/>
  <c r="AG397" i="2"/>
  <c r="AG294" i="2"/>
  <c r="AG537" i="2"/>
  <c r="AG442" i="2"/>
  <c r="AG236" i="2"/>
  <c r="AG153" i="2"/>
  <c r="AG130" i="2"/>
  <c r="AG229" i="2"/>
  <c r="AG565" i="2"/>
  <c r="AG558" i="2"/>
  <c r="AG74" i="2"/>
  <c r="AG908" i="2"/>
  <c r="AG1130" i="2"/>
  <c r="AG1059" i="2"/>
  <c r="AG585" i="2"/>
  <c r="AG824" i="2"/>
  <c r="AG962" i="2"/>
  <c r="AG1067" i="2"/>
  <c r="AG717" i="2"/>
  <c r="AG811" i="2"/>
  <c r="AG919" i="2"/>
  <c r="AG659" i="2"/>
  <c r="AG688" i="2"/>
  <c r="AG828" i="2"/>
  <c r="AG1010" i="2"/>
  <c r="AG1014" i="2"/>
  <c r="AG666" i="2"/>
  <c r="AG881" i="2"/>
  <c r="AG916" i="2"/>
  <c r="AG820" i="2"/>
  <c r="AG582" i="2"/>
  <c r="AG1023" i="2"/>
  <c r="AG1106" i="2"/>
  <c r="AG829" i="2"/>
  <c r="AG356" i="2"/>
  <c r="AG108" i="2"/>
  <c r="AG670" i="2"/>
  <c r="AG262" i="2"/>
  <c r="AG857" i="2"/>
  <c r="AG415" i="2"/>
  <c r="AG526" i="2"/>
  <c r="AG567" i="2"/>
  <c r="AG520" i="2"/>
  <c r="AG288" i="2"/>
  <c r="AG194" i="2"/>
  <c r="AG459" i="2"/>
  <c r="AG282" i="2"/>
  <c r="AG492" i="2"/>
  <c r="AG544" i="2"/>
  <c r="AG458" i="2"/>
  <c r="AG188" i="2"/>
  <c r="AG209" i="2"/>
  <c r="AG546" i="2"/>
  <c r="AG242" i="2"/>
  <c r="AG347" i="2"/>
  <c r="AG419" i="2"/>
  <c r="AG481" i="2"/>
  <c r="AG358" i="2"/>
  <c r="AG317" i="2"/>
  <c r="AG127" i="2"/>
  <c r="AG563" i="2"/>
  <c r="AG212" i="2"/>
  <c r="AG489" i="2"/>
  <c r="AG41" i="2"/>
  <c r="AG200" i="2"/>
  <c r="AG224" i="2"/>
  <c r="AG433" i="2"/>
  <c r="AG21" i="2"/>
  <c r="AG252" i="2"/>
  <c r="AG87" i="2"/>
  <c r="AG672" i="2"/>
  <c r="AG684" i="2"/>
  <c r="AG1128" i="2"/>
  <c r="AG790" i="2"/>
  <c r="AG1006" i="2"/>
  <c r="AG1018" i="2"/>
  <c r="AG598" i="2"/>
  <c r="AG892" i="2"/>
  <c r="AG720" i="2"/>
  <c r="AG955" i="2"/>
  <c r="AG734" i="2"/>
  <c r="AG1098" i="2"/>
  <c r="AG650" i="2"/>
  <c r="AG683" i="2"/>
  <c r="AG963" i="2"/>
  <c r="AG841" i="2"/>
  <c r="AG731" i="2"/>
  <c r="AG794" i="2"/>
  <c r="AG1035" i="2"/>
  <c r="AG924" i="2"/>
  <c r="AG664" i="2"/>
  <c r="AG966" i="2"/>
  <c r="AG853" i="2"/>
  <c r="AG181" i="2"/>
  <c r="AG37" i="2"/>
  <c r="AG982" i="2"/>
  <c r="AG352" i="2"/>
  <c r="AG436" i="2"/>
  <c r="AG343" i="2"/>
  <c r="AG412" i="2"/>
  <c r="AG139" i="2"/>
  <c r="AG391" i="2"/>
  <c r="AG527" i="2"/>
  <c r="AG34" i="2"/>
  <c r="AG401" i="2"/>
  <c r="AG56" i="2"/>
  <c r="AG443" i="2"/>
  <c r="AG214" i="2"/>
  <c r="AG393" i="2"/>
  <c r="AG374" i="2"/>
  <c r="AG284" i="2"/>
  <c r="AG484" i="2"/>
  <c r="AG351" i="2"/>
  <c r="AG50" i="2"/>
  <c r="AG502" i="2"/>
  <c r="AG265" i="2"/>
  <c r="AG91" i="2"/>
  <c r="AG420" i="2"/>
  <c r="AG382" i="2"/>
  <c r="AG564" i="2"/>
  <c r="AG371" i="2"/>
  <c r="AG510" i="2"/>
  <c r="AG125" i="2"/>
  <c r="AG84" i="2"/>
  <c r="AG82" i="2"/>
  <c r="AG1055" i="2"/>
  <c r="AG1038" i="2"/>
  <c r="AG1115" i="2"/>
  <c r="AG656" i="2"/>
  <c r="AG840" i="2"/>
  <c r="AG1065" i="2"/>
  <c r="AG1109" i="2"/>
  <c r="AG649" i="2"/>
  <c r="AG886" i="2"/>
  <c r="AG862" i="2"/>
  <c r="AG928" i="2"/>
  <c r="AG932" i="2"/>
  <c r="AG570" i="2"/>
  <c r="AG762" i="2"/>
  <c r="AG945" i="2"/>
  <c r="AG742" i="2"/>
  <c r="AG635" i="2"/>
  <c r="AG784" i="2"/>
  <c r="AG623" i="2"/>
  <c r="AG934" i="2"/>
  <c r="AG942" i="2"/>
  <c r="AG613" i="2"/>
  <c r="AG758" i="2"/>
  <c r="AG321" i="2"/>
  <c r="AG573" i="2"/>
  <c r="AG1000" i="2"/>
  <c r="AG1125" i="2"/>
  <c r="AG305" i="2"/>
  <c r="AG395" i="2"/>
  <c r="AG190" i="2"/>
  <c r="AG206" i="2"/>
  <c r="AG169" i="2"/>
  <c r="AG238" i="2"/>
  <c r="AG387" i="2"/>
  <c r="AG501" i="2"/>
  <c r="AG340" i="2"/>
  <c r="AG562" i="2"/>
  <c r="AG553" i="2"/>
  <c r="AG427" i="2"/>
  <c r="AG99" i="2"/>
  <c r="AG452" i="2"/>
  <c r="AG62" i="2"/>
  <c r="AG441" i="2"/>
  <c r="AG59" i="2"/>
  <c r="AG482" i="2"/>
  <c r="AG178" i="2"/>
  <c r="AG46" i="2"/>
  <c r="AG311" i="2"/>
  <c r="AG299" i="2"/>
  <c r="AG539" i="2"/>
  <c r="AG42" i="2"/>
  <c r="AG386" i="2"/>
  <c r="AG25" i="2"/>
  <c r="AG222" i="2"/>
  <c r="AG1012" i="2"/>
  <c r="AG839" i="2"/>
  <c r="AG591" i="2"/>
  <c r="AG986" i="2"/>
  <c r="AG981" i="2"/>
  <c r="AG972" i="2"/>
  <c r="AG1056" i="2"/>
  <c r="AG622" i="2"/>
  <c r="AG877" i="2"/>
  <c r="AG719" i="2"/>
  <c r="AG1033" i="2"/>
  <c r="AG587" i="2"/>
  <c r="AG1088" i="2"/>
  <c r="AG964" i="2"/>
  <c r="AG1093" i="2"/>
  <c r="AG844" i="2"/>
  <c r="AG937" i="2"/>
  <c r="AG1113" i="2"/>
  <c r="AG970" i="2"/>
  <c r="AG699" i="2"/>
  <c r="AG746" i="2"/>
  <c r="AG781" i="2"/>
  <c r="AG805" i="2"/>
  <c r="AG155" i="2"/>
  <c r="AG378" i="2"/>
  <c r="AG658" i="2"/>
  <c r="AG807" i="2"/>
  <c r="AG241" i="2"/>
  <c r="AG581" i="2"/>
  <c r="AG235" i="2"/>
  <c r="AG500" i="2"/>
  <c r="AG88" i="2"/>
  <c r="AG377" i="2"/>
  <c r="AG424" i="2"/>
  <c r="AG555" i="2"/>
  <c r="AG543" i="2"/>
  <c r="AG271" i="2"/>
  <c r="AG165" i="2"/>
  <c r="AG390" i="2"/>
  <c r="AG478" i="2"/>
  <c r="AG250" i="2"/>
  <c r="AG475" i="2"/>
  <c r="AG120" i="2"/>
  <c r="AG283" i="2"/>
  <c r="AG239" i="2"/>
  <c r="AG385" i="2"/>
  <c r="AG170" i="2"/>
  <c r="AG100" i="2"/>
  <c r="AG339" i="2"/>
  <c r="AG144" i="2"/>
  <c r="AG126" i="2"/>
  <c r="AG529" i="2"/>
  <c r="AG129" i="2"/>
  <c r="AG485" i="2"/>
  <c r="AG516" i="2"/>
  <c r="AG496" i="2"/>
  <c r="AG361" i="2"/>
  <c r="AG447" i="2"/>
  <c r="AG225" i="2"/>
  <c r="AG154" i="2"/>
  <c r="AG357" i="2"/>
  <c r="AG428" i="2"/>
  <c r="AG493" i="2"/>
  <c r="AG468" i="2"/>
  <c r="AG363" i="2"/>
  <c r="AG309" i="2"/>
  <c r="AG231" i="2"/>
  <c r="AG327" i="2"/>
  <c r="AG263" i="2"/>
  <c r="AG39" i="2"/>
  <c r="AG536" i="2"/>
  <c r="AG140" i="2"/>
  <c r="AG460" i="2"/>
  <c r="AG430" i="2"/>
  <c r="AG168" i="2"/>
  <c r="AG15" i="2"/>
  <c r="AG180" i="2"/>
  <c r="AG900" i="2"/>
  <c r="AG716" i="2"/>
  <c r="AG677" i="2"/>
  <c r="AG914" i="2"/>
  <c r="AG676" i="2"/>
  <c r="AG799" i="2"/>
  <c r="AG863" i="2"/>
  <c r="AG1042" i="2"/>
  <c r="AG1054" i="2"/>
  <c r="AG802" i="2"/>
  <c r="AG660" i="2"/>
  <c r="AG854" i="2"/>
  <c r="AG1028" i="2"/>
  <c r="AG995" i="2"/>
  <c r="AG859" i="2"/>
  <c r="AG936" i="2"/>
  <c r="AG588" i="2"/>
  <c r="AG1041" i="2"/>
  <c r="AG785" i="2"/>
  <c r="AG693" i="2"/>
  <c r="AG860" i="2"/>
  <c r="AG751" i="2"/>
  <c r="AG609" i="2"/>
  <c r="AD1060" i="2"/>
  <c r="AH1060" i="2" s="1"/>
  <c r="AD497" i="2"/>
  <c r="AH497" i="2" s="1"/>
  <c r="AF497" i="2" s="1"/>
  <c r="AE497" i="2" s="1" a="1"/>
  <c r="AE497" i="2" s="1"/>
  <c r="AD53" i="2"/>
  <c r="AH53" i="2" s="1"/>
  <c r="AD77" i="2"/>
  <c r="AH77" i="2" s="1"/>
  <c r="AF77" i="2" s="1"/>
  <c r="AD101" i="2"/>
  <c r="AH101" i="2" s="1"/>
  <c r="AD125" i="2"/>
  <c r="AH125" i="2" s="1"/>
  <c r="AD149" i="2"/>
  <c r="AH149" i="2" s="1"/>
  <c r="AF149" i="2" s="1"/>
  <c r="AE149" i="2" s="1" a="1"/>
  <c r="AE149" i="2" s="1"/>
  <c r="AD173" i="2"/>
  <c r="AH173" i="2" s="1"/>
  <c r="AD197" i="2"/>
  <c r="AH197" i="2" s="1"/>
  <c r="AD221" i="2"/>
  <c r="AH221" i="2" s="1"/>
  <c r="AF221" i="2" s="1"/>
  <c r="AD245" i="2"/>
  <c r="AH245" i="2" s="1"/>
  <c r="AD269" i="2"/>
  <c r="AH269" i="2" s="1"/>
  <c r="AF269" i="2" s="1"/>
  <c r="AD293" i="2"/>
  <c r="AH293" i="2" s="1"/>
  <c r="AD317" i="2"/>
  <c r="AH317" i="2" s="1"/>
  <c r="AD341" i="2"/>
  <c r="AH341" i="2" s="1"/>
  <c r="AD365" i="2"/>
  <c r="AH365" i="2" s="1"/>
  <c r="AD389" i="2"/>
  <c r="AH389" i="2" s="1"/>
  <c r="AD413" i="2"/>
  <c r="AH413" i="2" s="1"/>
  <c r="AF413" i="2" s="1"/>
  <c r="AE413" i="2" s="1" a="1"/>
  <c r="AE413" i="2" s="1"/>
  <c r="AD437" i="2"/>
  <c r="AH437" i="2" s="1"/>
  <c r="AF437" i="2" s="1"/>
  <c r="AE437" i="2" s="1" a="1"/>
  <c r="AE437" i="2" s="1"/>
  <c r="AD461" i="2"/>
  <c r="AH461" i="2" s="1"/>
  <c r="AF461" i="2" s="1"/>
  <c r="AE461" i="2" s="1" a="1"/>
  <c r="AE461" i="2" s="1"/>
  <c r="AD485" i="2"/>
  <c r="AH485" i="2" s="1"/>
  <c r="AD510" i="2"/>
  <c r="AH510" i="2" s="1"/>
  <c r="AD534" i="2"/>
  <c r="AH534" i="2" s="1"/>
  <c r="AF534" i="2" s="1"/>
  <c r="AE534" i="2" s="1" a="1"/>
  <c r="AE534" i="2" s="1"/>
  <c r="AD558" i="2"/>
  <c r="AH558" i="2" s="1"/>
  <c r="AD582" i="2"/>
  <c r="AH582" i="2" s="1"/>
  <c r="AD606" i="2"/>
  <c r="AH606" i="2" s="1"/>
  <c r="AF606" i="2" s="1"/>
  <c r="AE606" i="2" s="1" a="1"/>
  <c r="AE606" i="2" s="1"/>
  <c r="AD630" i="2"/>
  <c r="AH630" i="2" s="1"/>
  <c r="AF630" i="2" s="1"/>
  <c r="AE630" i="2" s="1" a="1"/>
  <c r="AE630" i="2" s="1"/>
  <c r="AD654" i="2"/>
  <c r="AH654" i="2" s="1"/>
  <c r="AD678" i="2"/>
  <c r="AH678" i="2" s="1"/>
  <c r="AD702" i="2"/>
  <c r="AH702" i="2" s="1"/>
  <c r="AD726" i="2"/>
  <c r="AH726" i="2" s="1"/>
  <c r="AF726" i="2" s="1"/>
  <c r="AD750" i="2"/>
  <c r="AH750" i="2" s="1"/>
  <c r="AF750" i="2" s="1"/>
  <c r="AE750" i="2" s="1" a="1"/>
  <c r="AE750" i="2" s="1"/>
  <c r="AD774" i="2"/>
  <c r="AH774" i="2" s="1"/>
  <c r="AD798" i="2"/>
  <c r="AH798" i="2" s="1"/>
  <c r="AD40" i="2"/>
  <c r="AH40" i="2" s="1"/>
  <c r="AD64" i="2"/>
  <c r="AH64" i="2" s="1"/>
  <c r="AD88" i="2"/>
  <c r="AH88" i="2" s="1"/>
  <c r="AD112" i="2"/>
  <c r="AH112" i="2" s="1"/>
  <c r="AF112" i="2" s="1"/>
  <c r="AE112" i="2" s="1" a="1"/>
  <c r="AE112" i="2" s="1"/>
  <c r="AD136" i="2"/>
  <c r="AH136" i="2" s="1"/>
  <c r="AF136" i="2" s="1"/>
  <c r="AD160" i="2"/>
  <c r="AH160" i="2" s="1"/>
  <c r="AF160" i="2" s="1"/>
  <c r="AD184" i="2"/>
  <c r="AH184" i="2" s="1"/>
  <c r="AD208" i="2"/>
  <c r="AH208" i="2" s="1"/>
  <c r="AF208" i="2" s="1"/>
  <c r="AD232" i="2"/>
  <c r="AH232" i="2" s="1"/>
  <c r="AF232" i="2" s="1"/>
  <c r="AE232" i="2" s="1" a="1"/>
  <c r="AE232" i="2" s="1"/>
  <c r="AD256" i="2"/>
  <c r="AH256" i="2" s="1"/>
  <c r="AD280" i="2"/>
  <c r="AH280" i="2" s="1"/>
  <c r="AD304" i="2"/>
  <c r="AH304" i="2" s="1"/>
  <c r="AD328" i="2"/>
  <c r="AH328" i="2" s="1"/>
  <c r="AD352" i="2"/>
  <c r="AH352" i="2" s="1"/>
  <c r="AD376" i="2"/>
  <c r="AH376" i="2" s="1"/>
  <c r="AF376" i="2" s="1"/>
  <c r="AE376" i="2" s="1" a="1"/>
  <c r="AE376" i="2" s="1"/>
  <c r="AD400" i="2"/>
  <c r="AH400" i="2" s="1"/>
  <c r="AF400" i="2" s="1"/>
  <c r="AE400" i="2" s="1" a="1"/>
  <c r="AE400" i="2" s="1"/>
  <c r="AD424" i="2"/>
  <c r="AH424" i="2" s="1"/>
  <c r="AD448" i="2"/>
  <c r="AH448" i="2" s="1"/>
  <c r="AD472" i="2"/>
  <c r="AH472" i="2" s="1"/>
  <c r="AD496" i="2"/>
  <c r="AH496" i="2" s="1"/>
  <c r="AD521" i="2"/>
  <c r="AH521" i="2" s="1"/>
  <c r="AF521" i="2" s="1"/>
  <c r="AE521" i="2" s="1" a="1"/>
  <c r="AE521" i="2" s="1"/>
  <c r="AD545" i="2"/>
  <c r="AH545" i="2" s="1"/>
  <c r="AF545" i="2" s="1"/>
  <c r="AE545" i="2" s="1" a="1"/>
  <c r="AE545" i="2" s="1"/>
  <c r="AD569" i="2"/>
  <c r="AH569" i="2" s="1"/>
  <c r="AD593" i="2"/>
  <c r="AH593" i="2" s="1"/>
  <c r="AD617" i="2"/>
  <c r="AH617" i="2" s="1"/>
  <c r="AD641" i="2"/>
  <c r="AH641" i="2" s="1"/>
  <c r="AD665" i="2"/>
  <c r="AH665" i="2" s="1"/>
  <c r="AD689" i="2"/>
  <c r="AH689" i="2" s="1"/>
  <c r="AD713" i="2"/>
  <c r="AH713" i="2" s="1"/>
  <c r="AF713" i="2" s="1"/>
  <c r="AE713" i="2" s="1" a="1"/>
  <c r="AE713" i="2" s="1"/>
  <c r="AD737" i="2"/>
  <c r="AH737" i="2" s="1"/>
  <c r="AD761" i="2"/>
  <c r="AH761" i="2" s="1"/>
  <c r="AD785" i="2"/>
  <c r="AH785" i="2" s="1"/>
  <c r="AD809" i="2"/>
  <c r="AH809" i="2" s="1"/>
  <c r="AD52" i="2"/>
  <c r="AH52" i="2" s="1"/>
  <c r="AD79" i="2"/>
  <c r="AH79" i="2" s="1"/>
  <c r="AD105" i="2"/>
  <c r="AH105" i="2" s="1"/>
  <c r="AD131" i="2"/>
  <c r="AH131" i="2" s="1"/>
  <c r="AF131" i="2" s="1"/>
  <c r="AE131" i="2" s="1" a="1"/>
  <c r="AE131" i="2" s="1"/>
  <c r="AD157" i="2"/>
  <c r="AH157" i="2" s="1"/>
  <c r="AD183" i="2"/>
  <c r="AH183" i="2" s="1"/>
  <c r="AF183" i="2" s="1"/>
  <c r="AD210" i="2"/>
  <c r="AH210" i="2" s="1"/>
  <c r="AF210" i="2" s="1"/>
  <c r="AD236" i="2"/>
  <c r="AH236" i="2" s="1"/>
  <c r="AD262" i="2"/>
  <c r="AH262" i="2" s="1"/>
  <c r="AD288" i="2"/>
  <c r="AH288" i="2" s="1"/>
  <c r="AD314" i="2"/>
  <c r="AH314" i="2" s="1"/>
  <c r="AF314" i="2" s="1"/>
  <c r="AE314" i="2" s="1" a="1"/>
  <c r="AE314" i="2" s="1"/>
  <c r="AD340" i="2"/>
  <c r="AH340" i="2" s="1"/>
  <c r="AD367" i="2"/>
  <c r="AH367" i="2" s="1"/>
  <c r="AF367" i="2" s="1"/>
  <c r="AE367" i="2" s="1" a="1"/>
  <c r="AE367" i="2" s="1"/>
  <c r="AD393" i="2"/>
  <c r="AH393" i="2" s="1"/>
  <c r="AD419" i="2"/>
  <c r="AH419" i="2" s="1"/>
  <c r="AD445" i="2"/>
  <c r="AH445" i="2" s="1"/>
  <c r="AF445" i="2" s="1"/>
  <c r="AE445" i="2" s="1" a="1"/>
  <c r="AE445" i="2" s="1"/>
  <c r="AD471" i="2"/>
  <c r="AH471" i="2" s="1"/>
  <c r="AF471" i="2" s="1"/>
  <c r="AE471" i="2" s="1" a="1"/>
  <c r="AE471" i="2" s="1"/>
  <c r="AD499" i="2"/>
  <c r="AH499" i="2" s="1"/>
  <c r="AD525" i="2"/>
  <c r="AH525" i="2" s="1"/>
  <c r="AD551" i="2"/>
  <c r="AH551" i="2" s="1"/>
  <c r="AD577" i="2"/>
  <c r="AH577" i="2" s="1"/>
  <c r="AD603" i="2"/>
  <c r="AH603" i="2" s="1"/>
  <c r="AD629" i="2"/>
  <c r="AH629" i="2" s="1"/>
  <c r="AF629" i="2" s="1"/>
  <c r="AE629" i="2" s="1" a="1"/>
  <c r="AE629" i="2" s="1"/>
  <c r="AD656" i="2"/>
  <c r="AH656" i="2" s="1"/>
  <c r="AD682" i="2"/>
  <c r="AH682" i="2" s="1"/>
  <c r="AF682" i="2" s="1"/>
  <c r="AD708" i="2"/>
  <c r="AH708" i="2" s="1"/>
  <c r="AD734" i="2"/>
  <c r="AH734" i="2" s="1"/>
  <c r="AD760" i="2"/>
  <c r="AH760" i="2" s="1"/>
  <c r="AD787" i="2"/>
  <c r="AH787" i="2" s="1"/>
  <c r="AF787" i="2" s="1"/>
  <c r="AE787" i="2" s="1" a="1"/>
  <c r="AE787" i="2" s="1"/>
  <c r="AD813" i="2"/>
  <c r="AH813" i="2" s="1"/>
  <c r="AD837" i="2"/>
  <c r="AH837" i="2" s="1"/>
  <c r="AF837" i="2" s="1"/>
  <c r="AE837" i="2" s="1" a="1"/>
  <c r="AE837" i="2" s="1"/>
  <c r="AD861" i="2"/>
  <c r="AH861" i="2" s="1"/>
  <c r="AF861" i="2" s="1"/>
  <c r="AE861" i="2" s="1" a="1"/>
  <c r="AE861" i="2" s="1"/>
  <c r="AD885" i="2"/>
  <c r="AH885" i="2" s="1"/>
  <c r="AF885" i="2" s="1"/>
  <c r="AE885" i="2" s="1" a="1"/>
  <c r="AE885" i="2" s="1"/>
  <c r="AD909" i="2"/>
  <c r="AH909" i="2" s="1"/>
  <c r="AD933" i="2"/>
  <c r="AH933" i="2" s="1"/>
  <c r="AF933" i="2" s="1"/>
  <c r="AE933" i="2" s="1" a="1"/>
  <c r="AE933" i="2" s="1"/>
  <c r="AD957" i="2"/>
  <c r="AH957" i="2" s="1"/>
  <c r="AD981" i="2"/>
  <c r="AH981" i="2" s="1"/>
  <c r="AF981" i="2" s="1"/>
  <c r="AE981" i="2" s="1" a="1"/>
  <c r="AE981" i="2" s="1"/>
  <c r="AD1005" i="2"/>
  <c r="AH1005" i="2" s="1"/>
  <c r="AF1005" i="2" s="1"/>
  <c r="AE1005" i="2" s="1" a="1"/>
  <c r="AE1005" i="2" s="1"/>
  <c r="AD1029" i="2"/>
  <c r="AH1029" i="2" s="1"/>
  <c r="AD1053" i="2"/>
  <c r="AH1053" i="2" s="1"/>
  <c r="AF1053" i="2" s="1"/>
  <c r="AE1053" i="2" s="1" a="1"/>
  <c r="AE1053" i="2" s="1"/>
  <c r="AD1078" i="2"/>
  <c r="AH1078" i="2" s="1"/>
  <c r="AF1078" i="2" s="1"/>
  <c r="AE1078" i="2" s="1" a="1"/>
  <c r="AE1078" i="2" s="1"/>
  <c r="AD1102" i="2"/>
  <c r="AH1102" i="2" s="1"/>
  <c r="AD1126" i="2"/>
  <c r="AH1126" i="2" s="1"/>
  <c r="AD54" i="2"/>
  <c r="AH54" i="2" s="1"/>
  <c r="AD80" i="2"/>
  <c r="AH80" i="2" s="1"/>
  <c r="AD106" i="2"/>
  <c r="AH106" i="2" s="1"/>
  <c r="AF106" i="2" s="1"/>
  <c r="AD132" i="2"/>
  <c r="AH132" i="2" s="1"/>
  <c r="AD158" i="2"/>
  <c r="AH158" i="2" s="1"/>
  <c r="AD185" i="2"/>
  <c r="AH185" i="2" s="1"/>
  <c r="AF185" i="2" s="1"/>
  <c r="AE185" i="2" s="1" a="1"/>
  <c r="AE185" i="2" s="1"/>
  <c r="AD211" i="2"/>
  <c r="AH211" i="2" s="1"/>
  <c r="AD237" i="2"/>
  <c r="AH237" i="2" s="1"/>
  <c r="AD263" i="2"/>
  <c r="AH263" i="2" s="1"/>
  <c r="AD58" i="2"/>
  <c r="AH58" i="2" s="1"/>
  <c r="AF58" i="2" s="1"/>
  <c r="AD62" i="2"/>
  <c r="AH62" i="2" s="1"/>
  <c r="AD89" i="2"/>
  <c r="AH89" i="2" s="1"/>
  <c r="AF89" i="2" s="1"/>
  <c r="AE89" i="2" s="1" a="1"/>
  <c r="AE89" i="2" s="1"/>
  <c r="AD115" i="2"/>
  <c r="AH115" i="2" s="1"/>
  <c r="AD141" i="2"/>
  <c r="AH141" i="2" s="1"/>
  <c r="AF141" i="2" s="1"/>
  <c r="AE141" i="2" s="1" a="1"/>
  <c r="AE141" i="2" s="1"/>
  <c r="AD167" i="2"/>
  <c r="AH167" i="2" s="1"/>
  <c r="AD193" i="2"/>
  <c r="AH193" i="2" s="1"/>
  <c r="AD219" i="2"/>
  <c r="AH219" i="2" s="1"/>
  <c r="AF219" i="2" s="1"/>
  <c r="AD246" i="2"/>
  <c r="AH246" i="2" s="1"/>
  <c r="AD272" i="2"/>
  <c r="AH272" i="2" s="1"/>
  <c r="AD298" i="2"/>
  <c r="AH298" i="2" s="1"/>
  <c r="AD324" i="2"/>
  <c r="AH324" i="2" s="1"/>
  <c r="AF324" i="2" s="1"/>
  <c r="AE324" i="2" s="1" a="1"/>
  <c r="AE324" i="2" s="1"/>
  <c r="AD350" i="2"/>
  <c r="AH350" i="2" s="1"/>
  <c r="AD377" i="2"/>
  <c r="AH377" i="2" s="1"/>
  <c r="AF377" i="2" s="1"/>
  <c r="AE377" i="2" s="1" a="1"/>
  <c r="AE377" i="2" s="1"/>
  <c r="AD403" i="2"/>
  <c r="AH403" i="2" s="1"/>
  <c r="AD429" i="2"/>
  <c r="AH429" i="2" s="1"/>
  <c r="AF429" i="2" s="1"/>
  <c r="AE429" i="2" s="1" a="1"/>
  <c r="AE429" i="2" s="1"/>
  <c r="AD455" i="2"/>
  <c r="AH455" i="2" s="1"/>
  <c r="AF455" i="2" s="1"/>
  <c r="AE455" i="2" s="1" a="1"/>
  <c r="AE455" i="2" s="1"/>
  <c r="AD481" i="2"/>
  <c r="AH481" i="2" s="1"/>
  <c r="AD508" i="2"/>
  <c r="AH508" i="2" s="1"/>
  <c r="AD535" i="2"/>
  <c r="AH535" i="2" s="1"/>
  <c r="AF535" i="2" s="1"/>
  <c r="AD561" i="2"/>
  <c r="AH561" i="2" s="1"/>
  <c r="AD587" i="2"/>
  <c r="AH587" i="2" s="1"/>
  <c r="AD613" i="2"/>
  <c r="AH613" i="2" s="1"/>
  <c r="AD639" i="2"/>
  <c r="AH639" i="2" s="1"/>
  <c r="AD666" i="2"/>
  <c r="AH666" i="2" s="1"/>
  <c r="AF666" i="2" s="1"/>
  <c r="AE666" i="2" s="1" a="1"/>
  <c r="AE666" i="2" s="1"/>
  <c r="AD692" i="2"/>
  <c r="AH692" i="2" s="1"/>
  <c r="AD718" i="2"/>
  <c r="AH718" i="2" s="1"/>
  <c r="AD744" i="2"/>
  <c r="AH744" i="2" s="1"/>
  <c r="AF744" i="2" s="1"/>
  <c r="AE744" i="2" s="1" a="1"/>
  <c r="AE744" i="2" s="1"/>
  <c r="AD770" i="2"/>
  <c r="AH770" i="2" s="1"/>
  <c r="AF770" i="2" s="1"/>
  <c r="AE770" i="2" s="1" a="1"/>
  <c r="AE770" i="2" s="1"/>
  <c r="AD796" i="2"/>
  <c r="AH796" i="2" s="1"/>
  <c r="AD822" i="2"/>
  <c r="AH822" i="2" s="1"/>
  <c r="AD846" i="2"/>
  <c r="AH846" i="2" s="1"/>
  <c r="AF846" i="2" s="1"/>
  <c r="AE846" i="2" s="1" a="1"/>
  <c r="AE846" i="2" s="1"/>
  <c r="AD870" i="2"/>
  <c r="AH870" i="2" s="1"/>
  <c r="AF870" i="2" s="1"/>
  <c r="AE870" i="2" s="1" a="1"/>
  <c r="AE870" i="2" s="1"/>
  <c r="AD894" i="2"/>
  <c r="AH894" i="2" s="1"/>
  <c r="AD918" i="2"/>
  <c r="AH918" i="2" s="1"/>
  <c r="AD942" i="2"/>
  <c r="AH942" i="2" s="1"/>
  <c r="AF942" i="2" s="1"/>
  <c r="AE942" i="2" s="1" a="1"/>
  <c r="AE942" i="2" s="1"/>
  <c r="AD966" i="2"/>
  <c r="AH966" i="2" s="1"/>
  <c r="AD990" i="2"/>
  <c r="AH990" i="2" s="1"/>
  <c r="AD1014" i="2"/>
  <c r="AH1014" i="2" s="1"/>
  <c r="AD1038" i="2"/>
  <c r="AH1038" i="2" s="1"/>
  <c r="AF1038" i="2" s="1"/>
  <c r="AE1038" i="2" s="1" a="1"/>
  <c r="AE1038" i="2" s="1"/>
  <c r="AD1063" i="2"/>
  <c r="AH1063" i="2" s="1"/>
  <c r="AD1087" i="2"/>
  <c r="AH1087" i="2" s="1"/>
  <c r="AD1111" i="2"/>
  <c r="AH1111" i="2" s="1"/>
  <c r="AD37" i="2"/>
  <c r="AH37" i="2" s="1"/>
  <c r="AF37" i="2" s="1"/>
  <c r="AE37" i="2" s="1" a="1"/>
  <c r="AE37" i="2" s="1"/>
  <c r="AD63" i="2"/>
  <c r="AH63" i="2" s="1"/>
  <c r="AF63" i="2" s="1"/>
  <c r="AD90" i="2"/>
  <c r="AH90" i="2" s="1"/>
  <c r="AF90" i="2" s="1"/>
  <c r="AE90" i="2" s="1" a="1"/>
  <c r="AE90" i="2" s="1"/>
  <c r="AD116" i="2"/>
  <c r="AH116" i="2" s="1"/>
  <c r="AD142" i="2"/>
  <c r="AH142" i="2" s="1"/>
  <c r="AD168" i="2"/>
  <c r="AH168" i="2" s="1"/>
  <c r="AD194" i="2"/>
  <c r="AH194" i="2" s="1"/>
  <c r="AD220" i="2"/>
  <c r="AH220" i="2" s="1"/>
  <c r="AD247" i="2"/>
  <c r="AH247" i="2" s="1"/>
  <c r="AF247" i="2" s="1"/>
  <c r="AE247" i="2" s="1" a="1"/>
  <c r="AE247" i="2" s="1"/>
  <c r="AD273" i="2"/>
  <c r="AH273" i="2" s="1"/>
  <c r="AD299" i="2"/>
  <c r="AH299" i="2" s="1"/>
  <c r="AD325" i="2"/>
  <c r="AH325" i="2" s="1"/>
  <c r="AD351" i="2"/>
  <c r="AH351" i="2" s="1"/>
  <c r="AD378" i="2"/>
  <c r="AH378" i="2" s="1"/>
  <c r="AF378" i="2" s="1"/>
  <c r="AE378" i="2" s="1" a="1"/>
  <c r="AE378" i="2" s="1"/>
  <c r="AD404" i="2"/>
  <c r="AH404" i="2" s="1"/>
  <c r="AD430" i="2"/>
  <c r="AH430" i="2" s="1"/>
  <c r="AF430" i="2" s="1"/>
  <c r="AE430" i="2" s="1" a="1"/>
  <c r="AE430" i="2" s="1"/>
  <c r="AD456" i="2"/>
  <c r="AH456" i="2" s="1"/>
  <c r="AF456" i="2" s="1"/>
  <c r="AE456" i="2" s="1" a="1"/>
  <c r="AE456" i="2" s="1"/>
  <c r="AD482" i="2"/>
  <c r="AH482" i="2" s="1"/>
  <c r="AD509" i="2"/>
  <c r="AH509" i="2" s="1"/>
  <c r="AD536" i="2"/>
  <c r="AH536" i="2" s="1"/>
  <c r="AD562" i="2"/>
  <c r="AH562" i="2" s="1"/>
  <c r="AF562" i="2" s="1"/>
  <c r="AE562" i="2" s="1" a="1"/>
  <c r="AE562" i="2" s="1"/>
  <c r="AD588" i="2"/>
  <c r="AH588" i="2" s="1"/>
  <c r="AD614" i="2"/>
  <c r="AH614" i="2" s="1"/>
  <c r="AD640" i="2"/>
  <c r="AH640" i="2" s="1"/>
  <c r="AD667" i="2"/>
  <c r="AH667" i="2" s="1"/>
  <c r="AD693" i="2"/>
  <c r="AH693" i="2" s="1"/>
  <c r="AF693" i="2" s="1"/>
  <c r="AE693" i="2" s="1" a="1"/>
  <c r="AE693" i="2" s="1"/>
  <c r="AD719" i="2"/>
  <c r="AH719" i="2" s="1"/>
  <c r="AD745" i="2"/>
  <c r="AH745" i="2" s="1"/>
  <c r="AD771" i="2"/>
  <c r="AH771" i="2" s="1"/>
  <c r="AF771" i="2" s="1"/>
  <c r="AE771" i="2" s="1" a="1"/>
  <c r="AE771" i="2" s="1"/>
  <c r="AD797" i="2"/>
  <c r="AH797" i="2" s="1"/>
  <c r="AF797" i="2" s="1"/>
  <c r="AE797" i="2" s="1" a="1"/>
  <c r="AE797" i="2" s="1"/>
  <c r="AD823" i="2"/>
  <c r="AH823" i="2" s="1"/>
  <c r="AD847" i="2"/>
  <c r="AH847" i="2" s="1"/>
  <c r="AF847" i="2" s="1"/>
  <c r="AE847" i="2" s="1" a="1"/>
  <c r="AE847" i="2" s="1"/>
  <c r="AD871" i="2"/>
  <c r="AH871" i="2" s="1"/>
  <c r="AF871" i="2" s="1"/>
  <c r="AE871" i="2" s="1" a="1"/>
  <c r="AE871" i="2" s="1"/>
  <c r="AD895" i="2"/>
  <c r="AH895" i="2" s="1"/>
  <c r="AD919" i="2"/>
  <c r="AH919" i="2" s="1"/>
  <c r="AD943" i="2"/>
  <c r="AH943" i="2" s="1"/>
  <c r="AD967" i="2"/>
  <c r="AH967" i="2" s="1"/>
  <c r="AF967" i="2" s="1"/>
  <c r="AE967" i="2" s="1" a="1"/>
  <c r="AE967" i="2" s="1"/>
  <c r="AD991" i="2"/>
  <c r="AH991" i="2" s="1"/>
  <c r="AD1015" i="2"/>
  <c r="AH1015" i="2" s="1"/>
  <c r="AD1039" i="2"/>
  <c r="AH1039" i="2" s="1"/>
  <c r="AD1064" i="2"/>
  <c r="AH1064" i="2" s="1"/>
  <c r="AF1064" i="2" s="1"/>
  <c r="AE1064" i="2" s="1" a="1"/>
  <c r="AE1064" i="2" s="1"/>
  <c r="AD1088" i="2"/>
  <c r="AH1088" i="2" s="1"/>
  <c r="AD1112" i="2"/>
  <c r="AH1112" i="2" s="1"/>
  <c r="AD38" i="2"/>
  <c r="AH38" i="2" s="1"/>
  <c r="AD65" i="2"/>
  <c r="AH65" i="2" s="1"/>
  <c r="AF65" i="2" s="1"/>
  <c r="AD91" i="2"/>
  <c r="AH91" i="2" s="1"/>
  <c r="AD117" i="2"/>
  <c r="AH117" i="2" s="1"/>
  <c r="AF117" i="2" s="1"/>
  <c r="AD143" i="2"/>
  <c r="AH143" i="2" s="1"/>
  <c r="AD169" i="2"/>
  <c r="AH169" i="2" s="1"/>
  <c r="AD195" i="2"/>
  <c r="AH195" i="2" s="1"/>
  <c r="AF195" i="2" s="1"/>
  <c r="AE195" i="2" s="1" a="1"/>
  <c r="AE195" i="2" s="1"/>
  <c r="AD222" i="2"/>
  <c r="AH222" i="2" s="1"/>
  <c r="AD248" i="2"/>
  <c r="AH248" i="2" s="1"/>
  <c r="AD274" i="2"/>
  <c r="AH274" i="2" s="1"/>
  <c r="AD300" i="2"/>
  <c r="AH300" i="2" s="1"/>
  <c r="AD326" i="2"/>
  <c r="AH326" i="2" s="1"/>
  <c r="AD353" i="2"/>
  <c r="AH353" i="2" s="1"/>
  <c r="AD379" i="2"/>
  <c r="AH379" i="2" s="1"/>
  <c r="AD405" i="2"/>
  <c r="AH405" i="2" s="1"/>
  <c r="AF405" i="2" s="1"/>
  <c r="AE405" i="2" s="1" a="1"/>
  <c r="AE405" i="2" s="1"/>
  <c r="AD431" i="2"/>
  <c r="AH431" i="2" s="1"/>
  <c r="AD457" i="2"/>
  <c r="AH457" i="2" s="1"/>
  <c r="AF457" i="2" s="1"/>
  <c r="AE457" i="2" s="1" a="1"/>
  <c r="AE457" i="2" s="1"/>
  <c r="AD483" i="2"/>
  <c r="AH483" i="2" s="1"/>
  <c r="AF483" i="2" s="1"/>
  <c r="AE483" i="2" s="1" a="1"/>
  <c r="AE483" i="2" s="1"/>
  <c r="AD511" i="2"/>
  <c r="AH511" i="2" s="1"/>
  <c r="AD537" i="2"/>
  <c r="AH537" i="2" s="1"/>
  <c r="AD563" i="2"/>
  <c r="AH563" i="2" s="1"/>
  <c r="AD589" i="2"/>
  <c r="AH589" i="2" s="1"/>
  <c r="AD615" i="2"/>
  <c r="AH615" i="2" s="1"/>
  <c r="AD642" i="2"/>
  <c r="AH642" i="2" s="1"/>
  <c r="AD668" i="2"/>
  <c r="AH668" i="2" s="1"/>
  <c r="AD694" i="2"/>
  <c r="AH694" i="2" s="1"/>
  <c r="AD720" i="2"/>
  <c r="AH720" i="2" s="1"/>
  <c r="AF720" i="2" s="1"/>
  <c r="AE720" i="2" s="1" a="1"/>
  <c r="AE720" i="2" s="1"/>
  <c r="AD746" i="2"/>
  <c r="AH746" i="2" s="1"/>
  <c r="AF746" i="2" s="1"/>
  <c r="AE746" i="2" s="1" a="1"/>
  <c r="AE746" i="2" s="1"/>
  <c r="AD772" i="2"/>
  <c r="AH772" i="2" s="1"/>
  <c r="AD799" i="2"/>
  <c r="AH799" i="2" s="1"/>
  <c r="AF799" i="2" s="1"/>
  <c r="AE799" i="2" s="1" a="1"/>
  <c r="AE799" i="2" s="1"/>
  <c r="AD824" i="2"/>
  <c r="AH824" i="2" s="1"/>
  <c r="AF824" i="2" s="1"/>
  <c r="AE824" i="2" s="1" a="1"/>
  <c r="AE824" i="2" s="1"/>
  <c r="AD848" i="2"/>
  <c r="AH848" i="2" s="1"/>
  <c r="AF848" i="2" s="1"/>
  <c r="AE848" i="2" s="1" a="1"/>
  <c r="AE848" i="2" s="1"/>
  <c r="AD872" i="2"/>
  <c r="AH872" i="2" s="1"/>
  <c r="AD896" i="2"/>
  <c r="AH896" i="2" s="1"/>
  <c r="AF896" i="2" s="1"/>
  <c r="AE896" i="2" s="1" a="1"/>
  <c r="AE896" i="2" s="1"/>
  <c r="AD920" i="2"/>
  <c r="AH920" i="2" s="1"/>
  <c r="AF920" i="2" s="1"/>
  <c r="AE920" i="2" s="1" a="1"/>
  <c r="AE920" i="2" s="1"/>
  <c r="AD944" i="2"/>
  <c r="AH944" i="2" s="1"/>
  <c r="AD968" i="2"/>
  <c r="AH968" i="2" s="1"/>
  <c r="AD992" i="2"/>
  <c r="AH992" i="2" s="1"/>
  <c r="AD1016" i="2"/>
  <c r="AH1016" i="2" s="1"/>
  <c r="AD1040" i="2"/>
  <c r="AH1040" i="2" s="1"/>
  <c r="AD1065" i="2"/>
  <c r="AH1065" i="2" s="1"/>
  <c r="AD1089" i="2"/>
  <c r="AH1089" i="2" s="1"/>
  <c r="AF1089" i="2" s="1"/>
  <c r="AE1089" i="2" s="1" a="1"/>
  <c r="AE1089" i="2" s="1"/>
  <c r="AD1113" i="2"/>
  <c r="AH1113" i="2" s="1"/>
  <c r="AD39" i="2"/>
  <c r="AH39" i="2" s="1"/>
  <c r="AD66" i="2"/>
  <c r="AH66" i="2" s="1"/>
  <c r="AD92" i="2"/>
  <c r="AH92" i="2" s="1"/>
  <c r="AD118" i="2"/>
  <c r="AH118" i="2" s="1"/>
  <c r="AF118" i="2" s="1"/>
  <c r="AE118" i="2" s="1" a="1"/>
  <c r="AE118" i="2" s="1"/>
  <c r="AD144" i="2"/>
  <c r="AH144" i="2" s="1"/>
  <c r="AD170" i="2"/>
  <c r="AH170" i="2" s="1"/>
  <c r="AD196" i="2"/>
  <c r="AH196" i="2" s="1"/>
  <c r="AD223" i="2"/>
  <c r="AH223" i="2" s="1"/>
  <c r="AD249" i="2"/>
  <c r="AH249" i="2" s="1"/>
  <c r="AF249" i="2" s="1"/>
  <c r="AE249" i="2" s="1" a="1"/>
  <c r="AE249" i="2" s="1"/>
  <c r="AD42" i="2"/>
  <c r="AH42" i="2" s="1"/>
  <c r="AD68" i="2"/>
  <c r="AH68" i="2" s="1"/>
  <c r="AD94" i="2"/>
  <c r="AH94" i="2" s="1"/>
  <c r="AF94" i="2" s="1"/>
  <c r="AD120" i="2"/>
  <c r="AH120" i="2" s="1"/>
  <c r="AD146" i="2"/>
  <c r="AH146" i="2" s="1"/>
  <c r="AD172" i="2"/>
  <c r="AH172" i="2" s="1"/>
  <c r="AF172" i="2" s="1"/>
  <c r="AE172" i="2" s="1" a="1"/>
  <c r="AE172" i="2" s="1"/>
  <c r="AD199" i="2"/>
  <c r="AH199" i="2" s="1"/>
  <c r="AD225" i="2"/>
  <c r="AH225" i="2" s="1"/>
  <c r="AD251" i="2"/>
  <c r="AH251" i="2" s="1"/>
  <c r="AD277" i="2"/>
  <c r="AH277" i="2" s="1"/>
  <c r="AF277" i="2" s="1"/>
  <c r="AE277" i="2" s="1" a="1"/>
  <c r="AE277" i="2" s="1"/>
  <c r="AD43" i="2"/>
  <c r="AH43" i="2" s="1"/>
  <c r="AD44" i="2"/>
  <c r="AH44" i="2" s="1"/>
  <c r="AD45" i="2"/>
  <c r="AH45" i="2" s="1"/>
  <c r="AD49" i="2"/>
  <c r="AH49" i="2" s="1"/>
  <c r="AD86" i="2"/>
  <c r="AH86" i="2" s="1"/>
  <c r="AF86" i="2" s="1"/>
  <c r="AD126" i="2"/>
  <c r="AH126" i="2" s="1"/>
  <c r="AD162" i="2"/>
  <c r="AH162" i="2" s="1"/>
  <c r="AF162" i="2" s="1"/>
  <c r="AD201" i="2"/>
  <c r="AH201" i="2" s="1"/>
  <c r="AF201" i="2" s="1"/>
  <c r="AE201" i="2" s="1" a="1"/>
  <c r="AE201" i="2" s="1"/>
  <c r="AD235" i="2"/>
  <c r="AH235" i="2" s="1"/>
  <c r="AD271" i="2"/>
  <c r="AH271" i="2" s="1"/>
  <c r="AF271" i="2" s="1"/>
  <c r="AE271" i="2" s="1" a="1"/>
  <c r="AE271" i="2" s="1"/>
  <c r="AD306" i="2"/>
  <c r="AH306" i="2" s="1"/>
  <c r="AD336" i="2"/>
  <c r="AH336" i="2" s="1"/>
  <c r="AD368" i="2"/>
  <c r="AH368" i="2" s="1"/>
  <c r="AD398" i="2"/>
  <c r="AH398" i="2" s="1"/>
  <c r="AF398" i="2" s="1"/>
  <c r="AD432" i="2"/>
  <c r="AH432" i="2" s="1"/>
  <c r="AD463" i="2"/>
  <c r="AH463" i="2" s="1"/>
  <c r="AF463" i="2" s="1"/>
  <c r="AE463" i="2" s="1" a="1"/>
  <c r="AE463" i="2" s="1"/>
  <c r="AD493" i="2"/>
  <c r="AH493" i="2" s="1"/>
  <c r="AD526" i="2"/>
  <c r="AH526" i="2" s="1"/>
  <c r="AD556" i="2"/>
  <c r="AH556" i="2" s="1"/>
  <c r="AD590" i="2"/>
  <c r="AH590" i="2" s="1"/>
  <c r="AD621" i="2"/>
  <c r="AH621" i="2" s="1"/>
  <c r="AF621" i="2" s="1"/>
  <c r="AD651" i="2"/>
  <c r="AH651" i="2" s="1"/>
  <c r="AD683" i="2"/>
  <c r="AH683" i="2" s="1"/>
  <c r="AD714" i="2"/>
  <c r="AH714" i="2" s="1"/>
  <c r="AD747" i="2"/>
  <c r="AH747" i="2" s="1"/>
  <c r="AF747" i="2" s="1"/>
  <c r="AE747" i="2" s="1" a="1"/>
  <c r="AE747" i="2" s="1"/>
  <c r="AD778" i="2"/>
  <c r="AH778" i="2" s="1"/>
  <c r="AD808" i="2"/>
  <c r="AH808" i="2" s="1"/>
  <c r="AD838" i="2"/>
  <c r="AH838" i="2" s="1"/>
  <c r="AD866" i="2"/>
  <c r="AH866" i="2" s="1"/>
  <c r="AD897" i="2"/>
  <c r="AH897" i="2" s="1"/>
  <c r="AF897" i="2" s="1"/>
  <c r="AE897" i="2" s="1" a="1"/>
  <c r="AE897" i="2" s="1"/>
  <c r="AD925" i="2"/>
  <c r="AH925" i="2" s="1"/>
  <c r="AD953" i="2"/>
  <c r="AH953" i="2" s="1"/>
  <c r="AD982" i="2"/>
  <c r="AH982" i="2" s="1"/>
  <c r="AD1010" i="2"/>
  <c r="AH1010" i="2" s="1"/>
  <c r="AD1041" i="2"/>
  <c r="AH1041" i="2" s="1"/>
  <c r="AD1070" i="2"/>
  <c r="AH1070" i="2" s="1"/>
  <c r="AD1098" i="2"/>
  <c r="AH1098" i="2" s="1"/>
  <c r="AD1127" i="2"/>
  <c r="AH1127" i="2" s="1"/>
  <c r="AD50" i="2"/>
  <c r="AH50" i="2" s="1"/>
  <c r="AD87" i="2"/>
  <c r="AH87" i="2" s="1"/>
  <c r="AF87" i="2" s="1"/>
  <c r="AE87" i="2" s="1" a="1"/>
  <c r="AE87" i="2" s="1"/>
  <c r="AD127" i="2"/>
  <c r="AH127" i="2" s="1"/>
  <c r="AF127" i="2" s="1"/>
  <c r="AE127" i="2" s="1" a="1"/>
  <c r="AE127" i="2" s="1"/>
  <c r="AD163" i="2"/>
  <c r="AH163" i="2" s="1"/>
  <c r="AF163" i="2" s="1"/>
  <c r="AD202" i="2"/>
  <c r="AH202" i="2" s="1"/>
  <c r="AF202" i="2" s="1"/>
  <c r="AE202" i="2" s="1" a="1"/>
  <c r="AE202" i="2" s="1"/>
  <c r="AD238" i="2"/>
  <c r="AH238" i="2" s="1"/>
  <c r="AF238" i="2" s="1"/>
  <c r="AE238" i="2" s="1" a="1"/>
  <c r="AE238" i="2" s="1"/>
  <c r="AD275" i="2"/>
  <c r="AH275" i="2" s="1"/>
  <c r="AF275" i="2" s="1"/>
  <c r="AD307" i="2"/>
  <c r="AH307" i="2" s="1"/>
  <c r="AD337" i="2"/>
  <c r="AH337" i="2" s="1"/>
  <c r="AD369" i="2"/>
  <c r="AH369" i="2" s="1"/>
  <c r="AD399" i="2"/>
  <c r="AH399" i="2" s="1"/>
  <c r="AF399" i="2" s="1"/>
  <c r="AD433" i="2"/>
  <c r="AH433" i="2" s="1"/>
  <c r="AD464" i="2"/>
  <c r="AH464" i="2" s="1"/>
  <c r="AD494" i="2"/>
  <c r="AH494" i="2" s="1"/>
  <c r="AD527" i="2"/>
  <c r="AH527" i="2" s="1"/>
  <c r="AF527" i="2" s="1"/>
  <c r="AE527" i="2" s="1" a="1"/>
  <c r="AE527" i="2" s="1"/>
  <c r="AD557" i="2"/>
  <c r="AH557" i="2" s="1"/>
  <c r="AD591" i="2"/>
  <c r="AH591" i="2" s="1"/>
  <c r="AD622" i="2"/>
  <c r="AH622" i="2" s="1"/>
  <c r="AD652" i="2"/>
  <c r="AH652" i="2" s="1"/>
  <c r="AD684" i="2"/>
  <c r="AH684" i="2" s="1"/>
  <c r="AD715" i="2"/>
  <c r="AH715" i="2" s="1"/>
  <c r="AF715" i="2" s="1"/>
  <c r="AE715" i="2" s="1" a="1"/>
  <c r="AE715" i="2" s="1"/>
  <c r="AD748" i="2"/>
  <c r="AH748" i="2" s="1"/>
  <c r="AD779" i="2"/>
  <c r="AH779" i="2" s="1"/>
  <c r="AD810" i="2"/>
  <c r="AH810" i="2" s="1"/>
  <c r="AF810" i="2" s="1"/>
  <c r="AE810" i="2" s="1" a="1"/>
  <c r="AE810" i="2" s="1"/>
  <c r="AD839" i="2"/>
  <c r="AH839" i="2" s="1"/>
  <c r="AD867" i="2"/>
  <c r="AH867" i="2" s="1"/>
  <c r="AD898" i="2"/>
  <c r="AH898" i="2" s="1"/>
  <c r="AD926" i="2"/>
  <c r="AH926" i="2" s="1"/>
  <c r="AD954" i="2"/>
  <c r="AH954" i="2" s="1"/>
  <c r="AD983" i="2"/>
  <c r="AH983" i="2" s="1"/>
  <c r="AF983" i="2" s="1"/>
  <c r="AE983" i="2" s="1" a="1"/>
  <c r="AE983" i="2" s="1"/>
  <c r="AD1011" i="2"/>
  <c r="AH1011" i="2" s="1"/>
  <c r="AD1042" i="2"/>
  <c r="AH1042" i="2" s="1"/>
  <c r="AF1042" i="2" s="1"/>
  <c r="AE1042" i="2" s="1" a="1"/>
  <c r="AE1042" i="2" s="1"/>
  <c r="AD1071" i="2"/>
  <c r="AH1071" i="2" s="1"/>
  <c r="AF1071" i="2" s="1"/>
  <c r="AE1071" i="2" s="1" a="1"/>
  <c r="AE1071" i="2" s="1"/>
  <c r="AD1099" i="2"/>
  <c r="AH1099" i="2" s="1"/>
  <c r="AF1099" i="2" s="1"/>
  <c r="AE1099" i="2" s="1" a="1"/>
  <c r="AE1099" i="2" s="1"/>
  <c r="AD1128" i="2"/>
  <c r="AH1128" i="2" s="1"/>
  <c r="AD51" i="2"/>
  <c r="AH51" i="2" s="1"/>
  <c r="AD93" i="2"/>
  <c r="AH93" i="2" s="1"/>
  <c r="AF93" i="2" s="1"/>
  <c r="AD128" i="2"/>
  <c r="AH128" i="2" s="1"/>
  <c r="AD164" i="2"/>
  <c r="AH164" i="2" s="1"/>
  <c r="AD203" i="2"/>
  <c r="AH203" i="2" s="1"/>
  <c r="AD239" i="2"/>
  <c r="AH239" i="2" s="1"/>
  <c r="AD276" i="2"/>
  <c r="AH276" i="2" s="1"/>
  <c r="AF276" i="2" s="1"/>
  <c r="AE276" i="2" s="1" a="1"/>
  <c r="AE276" i="2" s="1"/>
  <c r="AD308" i="2"/>
  <c r="AH308" i="2" s="1"/>
  <c r="AD338" i="2"/>
  <c r="AH338" i="2" s="1"/>
  <c r="AD370" i="2"/>
  <c r="AH370" i="2" s="1"/>
  <c r="AD401" i="2"/>
  <c r="AH401" i="2" s="1"/>
  <c r="AD434" i="2"/>
  <c r="AH434" i="2" s="1"/>
  <c r="AF434" i="2" s="1"/>
  <c r="AE434" i="2" s="1" a="1"/>
  <c r="AE434" i="2" s="1"/>
  <c r="AD465" i="2"/>
  <c r="AH465" i="2" s="1"/>
  <c r="AD495" i="2"/>
  <c r="AH495" i="2" s="1"/>
  <c r="AD528" i="2"/>
  <c r="AH528" i="2" s="1"/>
  <c r="AD559" i="2"/>
  <c r="AH559" i="2" s="1"/>
  <c r="AF559" i="2" s="1"/>
  <c r="AE559" i="2" s="1" a="1"/>
  <c r="AE559" i="2" s="1"/>
  <c r="AD592" i="2"/>
  <c r="AH592" i="2" s="1"/>
  <c r="AD623" i="2"/>
  <c r="AH623" i="2" s="1"/>
  <c r="AD653" i="2"/>
  <c r="AH653" i="2" s="1"/>
  <c r="AF653" i="2" s="1"/>
  <c r="AE653" i="2" s="1" a="1"/>
  <c r="AE653" i="2" s="1"/>
  <c r="AD685" i="2"/>
  <c r="AH685" i="2" s="1"/>
  <c r="AD716" i="2"/>
  <c r="AH716" i="2" s="1"/>
  <c r="AD749" i="2"/>
  <c r="AH749" i="2" s="1"/>
  <c r="AD780" i="2"/>
  <c r="AH780" i="2" s="1"/>
  <c r="AF780" i="2" s="1"/>
  <c r="AE780" i="2" s="1" a="1"/>
  <c r="AE780" i="2" s="1"/>
  <c r="AD811" i="2"/>
  <c r="AH811" i="2" s="1"/>
  <c r="AF811" i="2" s="1"/>
  <c r="AE811" i="2" s="1" a="1"/>
  <c r="AE811" i="2" s="1"/>
  <c r="AD840" i="2"/>
  <c r="AH840" i="2" s="1"/>
  <c r="AD868" i="2"/>
  <c r="AH868" i="2" s="1"/>
  <c r="AD899" i="2"/>
  <c r="AH899" i="2" s="1"/>
  <c r="AD927" i="2"/>
  <c r="AH927" i="2" s="1"/>
  <c r="AD955" i="2"/>
  <c r="AH955" i="2" s="1"/>
  <c r="AD984" i="2"/>
  <c r="AH984" i="2" s="1"/>
  <c r="AF984" i="2" s="1"/>
  <c r="AE984" i="2" s="1" a="1"/>
  <c r="AE984" i="2" s="1"/>
  <c r="AD1012" i="2"/>
  <c r="AH1012" i="2" s="1"/>
  <c r="AD1043" i="2"/>
  <c r="AH1043" i="2" s="1"/>
  <c r="AF1043" i="2" s="1"/>
  <c r="AD1072" i="2"/>
  <c r="AH1072" i="2" s="1"/>
  <c r="AD1100" i="2"/>
  <c r="AH1100" i="2" s="1"/>
  <c r="AD1129" i="2"/>
  <c r="AH1129" i="2" s="1"/>
  <c r="AF1129" i="2" s="1"/>
  <c r="AE1129" i="2" s="1" a="1"/>
  <c r="AE1129" i="2" s="1"/>
  <c r="AD55" i="2"/>
  <c r="AH55" i="2" s="1"/>
  <c r="AF55" i="2" s="1"/>
  <c r="AE55" i="2" s="1" a="1"/>
  <c r="AE55" i="2" s="1"/>
  <c r="AD95" i="2"/>
  <c r="AH95" i="2" s="1"/>
  <c r="AD129" i="2"/>
  <c r="AH129" i="2" s="1"/>
  <c r="AD165" i="2"/>
  <c r="AH165" i="2" s="1"/>
  <c r="AD204" i="2"/>
  <c r="AH204" i="2" s="1"/>
  <c r="AF204" i="2" s="1"/>
  <c r="AE204" i="2" s="1" a="1"/>
  <c r="AE204" i="2" s="1"/>
  <c r="AD240" i="2"/>
  <c r="AH240" i="2" s="1"/>
  <c r="AD278" i="2"/>
  <c r="AH278" i="2" s="1"/>
  <c r="AD309" i="2"/>
  <c r="AH309" i="2" s="1"/>
  <c r="AD339" i="2"/>
  <c r="AH339" i="2" s="1"/>
  <c r="AF339" i="2" s="1"/>
  <c r="AE339" i="2" s="1" a="1"/>
  <c r="AE339" i="2" s="1"/>
  <c r="AD371" i="2"/>
  <c r="AH371" i="2" s="1"/>
  <c r="AD402" i="2"/>
  <c r="AH402" i="2" s="1"/>
  <c r="AD435" i="2"/>
  <c r="AH435" i="2" s="1"/>
  <c r="AD466" i="2"/>
  <c r="AH466" i="2" s="1"/>
  <c r="AD498" i="2"/>
  <c r="AH498" i="2" s="1"/>
  <c r="AF498" i="2" s="1"/>
  <c r="AE498" i="2" s="1" a="1"/>
  <c r="AE498" i="2" s="1"/>
  <c r="AD529" i="2"/>
  <c r="AH529" i="2" s="1"/>
  <c r="AD560" i="2"/>
  <c r="AH560" i="2" s="1"/>
  <c r="AD594" i="2"/>
  <c r="AH594" i="2" s="1"/>
  <c r="AD624" i="2"/>
  <c r="AH624" i="2" s="1"/>
  <c r="AF624" i="2" s="1"/>
  <c r="AE624" i="2" s="1" a="1"/>
  <c r="AE624" i="2" s="1"/>
  <c r="AD655" i="2"/>
  <c r="AH655" i="2" s="1"/>
  <c r="AD686" i="2"/>
  <c r="AH686" i="2" s="1"/>
  <c r="AF686" i="2" s="1"/>
  <c r="AD717" i="2"/>
  <c r="AH717" i="2" s="1"/>
  <c r="AD751" i="2"/>
  <c r="AH751" i="2" s="1"/>
  <c r="AD781" i="2"/>
  <c r="AH781" i="2" s="1"/>
  <c r="AF781" i="2" s="1"/>
  <c r="AE781" i="2" s="1" a="1"/>
  <c r="AE781" i="2" s="1"/>
  <c r="AD812" i="2"/>
  <c r="AH812" i="2" s="1"/>
  <c r="AF812" i="2" s="1"/>
  <c r="AE812" i="2" s="1" a="1"/>
  <c r="AE812" i="2" s="1"/>
  <c r="AD841" i="2"/>
  <c r="AH841" i="2" s="1"/>
  <c r="AD869" i="2"/>
  <c r="AH869" i="2" s="1"/>
  <c r="AD900" i="2"/>
  <c r="AH900" i="2" s="1"/>
  <c r="AF900" i="2" s="1"/>
  <c r="AE900" i="2" s="1" a="1"/>
  <c r="AE900" i="2" s="1"/>
  <c r="AD928" i="2"/>
  <c r="AH928" i="2" s="1"/>
  <c r="AD956" i="2"/>
  <c r="AH956" i="2" s="1"/>
  <c r="AD985" i="2"/>
  <c r="AH985" i="2" s="1"/>
  <c r="AD1013" i="2"/>
  <c r="AH1013" i="2" s="1"/>
  <c r="AD1044" i="2"/>
  <c r="AH1044" i="2" s="1"/>
  <c r="AF1044" i="2" s="1"/>
  <c r="AE1044" i="2" s="1" a="1"/>
  <c r="AE1044" i="2" s="1"/>
  <c r="AD1073" i="2"/>
  <c r="AH1073" i="2" s="1"/>
  <c r="AD1101" i="2"/>
  <c r="AH1101" i="2" s="1"/>
  <c r="AD1130" i="2"/>
  <c r="AH1130" i="2" s="1"/>
  <c r="AD56" i="2"/>
  <c r="AH56" i="2" s="1"/>
  <c r="AF56" i="2" s="1"/>
  <c r="AE56" i="2" s="1" a="1"/>
  <c r="AE56" i="2" s="1"/>
  <c r="AD96" i="2"/>
  <c r="AH96" i="2" s="1"/>
  <c r="AF96" i="2" s="1"/>
  <c r="AD130" i="2"/>
  <c r="AH130" i="2" s="1"/>
  <c r="AD166" i="2"/>
  <c r="AH166" i="2" s="1"/>
  <c r="AD205" i="2"/>
  <c r="AH205" i="2" s="1"/>
  <c r="AF205" i="2" s="1"/>
  <c r="AE205" i="2" s="1" a="1"/>
  <c r="AE205" i="2" s="1"/>
  <c r="AD241" i="2"/>
  <c r="AH241" i="2" s="1"/>
  <c r="AF241" i="2" s="1"/>
  <c r="AE241" i="2" s="1" a="1"/>
  <c r="AE241" i="2" s="1"/>
  <c r="AD279" i="2"/>
  <c r="AH279" i="2" s="1"/>
  <c r="AF279" i="2" s="1"/>
  <c r="AE279" i="2" s="1" a="1"/>
  <c r="AE279" i="2" s="1"/>
  <c r="AD310" i="2"/>
  <c r="AH310" i="2" s="1"/>
  <c r="AF310" i="2" s="1"/>
  <c r="AD342" i="2"/>
  <c r="AH342" i="2" s="1"/>
  <c r="AD372" i="2"/>
  <c r="AH372" i="2" s="1"/>
  <c r="AF372" i="2" s="1"/>
  <c r="AD406" i="2"/>
  <c r="AH406" i="2" s="1"/>
  <c r="AD436" i="2"/>
  <c r="AH436" i="2" s="1"/>
  <c r="AD467" i="2"/>
  <c r="AH467" i="2" s="1"/>
  <c r="AD500" i="2"/>
  <c r="AH500" i="2" s="1"/>
  <c r="AD530" i="2"/>
  <c r="AH530" i="2" s="1"/>
  <c r="AD564" i="2"/>
  <c r="AH564" i="2" s="1"/>
  <c r="AD595" i="2"/>
  <c r="AH595" i="2" s="1"/>
  <c r="AD625" i="2"/>
  <c r="AH625" i="2" s="1"/>
  <c r="AF625" i="2" s="1"/>
  <c r="AE625" i="2" s="1" a="1"/>
  <c r="AE625" i="2" s="1"/>
  <c r="AD657" i="2"/>
  <c r="AH657" i="2" s="1"/>
  <c r="AF657" i="2" s="1"/>
  <c r="AE657" i="2" s="1" a="1"/>
  <c r="AE657" i="2" s="1"/>
  <c r="AD687" i="2"/>
  <c r="AH687" i="2" s="1"/>
  <c r="AD721" i="2"/>
  <c r="AH721" i="2" s="1"/>
  <c r="AD752" i="2"/>
  <c r="AH752" i="2" s="1"/>
  <c r="AF752" i="2" s="1"/>
  <c r="AE752" i="2" s="1" a="1"/>
  <c r="AE752" i="2" s="1"/>
  <c r="AD782" i="2"/>
  <c r="AH782" i="2" s="1"/>
  <c r="AD814" i="2"/>
  <c r="AH814" i="2" s="1"/>
  <c r="AD842" i="2"/>
  <c r="AH842" i="2" s="1"/>
  <c r="AD873" i="2"/>
  <c r="AH873" i="2" s="1"/>
  <c r="AF873" i="2" s="1"/>
  <c r="AE873" i="2" s="1" a="1"/>
  <c r="AE873" i="2" s="1"/>
  <c r="AD901" i="2"/>
  <c r="AH901" i="2" s="1"/>
  <c r="AF901" i="2" s="1"/>
  <c r="AE901" i="2" s="1" a="1"/>
  <c r="AE901" i="2" s="1"/>
  <c r="AD929" i="2"/>
  <c r="AH929" i="2" s="1"/>
  <c r="AD958" i="2"/>
  <c r="AH958" i="2" s="1"/>
  <c r="AF958" i="2" s="1"/>
  <c r="AE958" i="2" s="1" a="1"/>
  <c r="AE958" i="2" s="1"/>
  <c r="AD986" i="2"/>
  <c r="AH986" i="2" s="1"/>
  <c r="AF986" i="2" s="1"/>
  <c r="AE986" i="2" s="1" a="1"/>
  <c r="AE986" i="2" s="1"/>
  <c r="AD1017" i="2"/>
  <c r="AH1017" i="2" s="1"/>
  <c r="AD1045" i="2"/>
  <c r="AH1045" i="2" s="1"/>
  <c r="AD1074" i="2"/>
  <c r="AH1074" i="2" s="1"/>
  <c r="AD1103" i="2"/>
  <c r="AH1103" i="2" s="1"/>
  <c r="AF1103" i="2" s="1"/>
  <c r="AE1103" i="2" s="1" a="1"/>
  <c r="AE1103" i="2" s="1"/>
  <c r="AD57" i="2"/>
  <c r="AH57" i="2" s="1"/>
  <c r="AD97" i="2"/>
  <c r="AH97" i="2" s="1"/>
  <c r="AD133" i="2"/>
  <c r="AH133" i="2" s="1"/>
  <c r="AF133" i="2" s="1"/>
  <c r="AD171" i="2"/>
  <c r="AH171" i="2" s="1"/>
  <c r="AD206" i="2"/>
  <c r="AH206" i="2" s="1"/>
  <c r="AD242" i="2"/>
  <c r="AH242" i="2" s="1"/>
  <c r="AD281" i="2"/>
  <c r="AH281" i="2" s="1"/>
  <c r="AF281" i="2" s="1"/>
  <c r="AE281" i="2" s="1" a="1"/>
  <c r="AE281" i="2" s="1"/>
  <c r="AD311" i="2"/>
  <c r="AH311" i="2" s="1"/>
  <c r="AD343" i="2"/>
  <c r="AH343" i="2" s="1"/>
  <c r="AD373" i="2"/>
  <c r="AH373" i="2" s="1"/>
  <c r="AD407" i="2"/>
  <c r="AH407" i="2" s="1"/>
  <c r="AF407" i="2" s="1"/>
  <c r="AD438" i="2"/>
  <c r="AH438" i="2" s="1"/>
  <c r="AD468" i="2"/>
  <c r="AH468" i="2" s="1"/>
  <c r="AD501" i="2"/>
  <c r="AH501" i="2" s="1"/>
  <c r="AD531" i="2"/>
  <c r="AH531" i="2" s="1"/>
  <c r="AD565" i="2"/>
  <c r="AH565" i="2" s="1"/>
  <c r="AD596" i="2"/>
  <c r="AH596" i="2" s="1"/>
  <c r="AF596" i="2" s="1"/>
  <c r="AE596" i="2" s="1" a="1"/>
  <c r="AE596" i="2" s="1"/>
  <c r="AD626" i="2"/>
  <c r="AH626" i="2" s="1"/>
  <c r="AD658" i="2"/>
  <c r="AH658" i="2" s="1"/>
  <c r="AD688" i="2"/>
  <c r="AH688" i="2" s="1"/>
  <c r="AF688" i="2" s="1"/>
  <c r="AE688" i="2" s="1" a="1"/>
  <c r="AE688" i="2" s="1"/>
  <c r="AD722" i="2"/>
  <c r="AH722" i="2" s="1"/>
  <c r="AF722" i="2" s="1"/>
  <c r="AE722" i="2" s="1" a="1"/>
  <c r="AE722" i="2" s="1"/>
  <c r="AD753" i="2"/>
  <c r="AH753" i="2" s="1"/>
  <c r="AD783" i="2"/>
  <c r="AH783" i="2" s="1"/>
  <c r="AD815" i="2"/>
  <c r="AH815" i="2" s="1"/>
  <c r="AF815" i="2" s="1"/>
  <c r="AE815" i="2" s="1" a="1"/>
  <c r="AE815" i="2" s="1"/>
  <c r="AD843" i="2"/>
  <c r="AH843" i="2" s="1"/>
  <c r="AD874" i="2"/>
  <c r="AH874" i="2" s="1"/>
  <c r="AD902" i="2"/>
  <c r="AH902" i="2" s="1"/>
  <c r="AF902" i="2" s="1"/>
  <c r="AE902" i="2" s="1" a="1"/>
  <c r="AE902" i="2" s="1"/>
  <c r="AD930" i="2"/>
  <c r="AH930" i="2" s="1"/>
  <c r="AF930" i="2" s="1"/>
  <c r="AE930" i="2" s="1" a="1"/>
  <c r="AE930" i="2" s="1"/>
  <c r="AD959" i="2"/>
  <c r="AH959" i="2" s="1"/>
  <c r="AD987" i="2"/>
  <c r="AH987" i="2" s="1"/>
  <c r="AD1018" i="2"/>
  <c r="AH1018" i="2" s="1"/>
  <c r="AD1046" i="2"/>
  <c r="AH1046" i="2" s="1"/>
  <c r="AD1075" i="2"/>
  <c r="AH1075" i="2" s="1"/>
  <c r="AD1104" i="2"/>
  <c r="AH1104" i="2" s="1"/>
  <c r="AD59" i="2"/>
  <c r="AH59" i="2" s="1"/>
  <c r="AD98" i="2"/>
  <c r="AH98" i="2" s="1"/>
  <c r="AF98" i="2" s="1"/>
  <c r="AE98" i="2" s="1" a="1"/>
  <c r="AE98" i="2" s="1"/>
  <c r="AD134" i="2"/>
  <c r="AH134" i="2" s="1"/>
  <c r="AF134" i="2" s="1"/>
  <c r="AE134" i="2" s="1" a="1"/>
  <c r="AE134" i="2" s="1"/>
  <c r="AD174" i="2"/>
  <c r="AH174" i="2" s="1"/>
  <c r="AD207" i="2"/>
  <c r="AH207" i="2" s="1"/>
  <c r="AD243" i="2"/>
  <c r="AH243" i="2" s="1"/>
  <c r="AF243" i="2" s="1"/>
  <c r="AE243" i="2" s="1" a="1"/>
  <c r="AE243" i="2" s="1"/>
  <c r="AD282" i="2"/>
  <c r="AH282" i="2" s="1"/>
  <c r="AD312" i="2"/>
  <c r="AH312" i="2" s="1"/>
  <c r="AD344" i="2"/>
  <c r="AH344" i="2" s="1"/>
  <c r="AF344" i="2" s="1"/>
  <c r="AE344" i="2" s="1" a="1"/>
  <c r="AE344" i="2" s="1"/>
  <c r="AD374" i="2"/>
  <c r="AH374" i="2" s="1"/>
  <c r="AD408" i="2"/>
  <c r="AH408" i="2" s="1"/>
  <c r="AD439" i="2"/>
  <c r="AH439" i="2" s="1"/>
  <c r="AD469" i="2"/>
  <c r="AH469" i="2" s="1"/>
  <c r="AD502" i="2"/>
  <c r="AH502" i="2" s="1"/>
  <c r="AD532" i="2"/>
  <c r="AH532" i="2" s="1"/>
  <c r="AD566" i="2"/>
  <c r="AH566" i="2" s="1"/>
  <c r="AF566" i="2" s="1"/>
  <c r="AD597" i="2"/>
  <c r="AH597" i="2" s="1"/>
  <c r="AD627" i="2"/>
  <c r="AH627" i="2" s="1"/>
  <c r="AF627" i="2" s="1"/>
  <c r="AE627" i="2" s="1" a="1"/>
  <c r="AE627" i="2" s="1"/>
  <c r="AD659" i="2"/>
  <c r="AH659" i="2" s="1"/>
  <c r="AD690" i="2"/>
  <c r="AH690" i="2" s="1"/>
  <c r="AD723" i="2"/>
  <c r="AH723" i="2" s="1"/>
  <c r="AD754" i="2"/>
  <c r="AH754" i="2" s="1"/>
  <c r="AF754" i="2" s="1"/>
  <c r="AE754" i="2" s="1" a="1"/>
  <c r="AE754" i="2" s="1"/>
  <c r="AD784" i="2"/>
  <c r="AH784" i="2" s="1"/>
  <c r="AD816" i="2"/>
  <c r="AH816" i="2" s="1"/>
  <c r="AD844" i="2"/>
  <c r="AH844" i="2" s="1"/>
  <c r="AD875" i="2"/>
  <c r="AH875" i="2" s="1"/>
  <c r="AD903" i="2"/>
  <c r="AH903" i="2" s="1"/>
  <c r="AD931" i="2"/>
  <c r="AH931" i="2" s="1"/>
  <c r="AF931" i="2" s="1"/>
  <c r="AE931" i="2" s="1" a="1"/>
  <c r="AE931" i="2" s="1"/>
  <c r="AD960" i="2"/>
  <c r="AH960" i="2" s="1"/>
  <c r="AD988" i="2"/>
  <c r="AH988" i="2" s="1"/>
  <c r="AD1019" i="2"/>
  <c r="AH1019" i="2" s="1"/>
  <c r="AF1019" i="2" s="1"/>
  <c r="AE1019" i="2" s="1" a="1"/>
  <c r="AE1019" i="2" s="1"/>
  <c r="AD1047" i="2"/>
  <c r="AH1047" i="2" s="1"/>
  <c r="AD1076" i="2"/>
  <c r="AH1076" i="2" s="1"/>
  <c r="AD1105" i="2"/>
  <c r="AH1105" i="2" s="1"/>
  <c r="AD60" i="2"/>
  <c r="AH60" i="2" s="1"/>
  <c r="AF60" i="2" s="1"/>
  <c r="AD99" i="2"/>
  <c r="AH99" i="2" s="1"/>
  <c r="AD135" i="2"/>
  <c r="AH135" i="2" s="1"/>
  <c r="AD175" i="2"/>
  <c r="AH175" i="2" s="1"/>
  <c r="AD209" i="2"/>
  <c r="AH209" i="2" s="1"/>
  <c r="AD244" i="2"/>
  <c r="AH244" i="2" s="1"/>
  <c r="AD283" i="2"/>
  <c r="AH283" i="2" s="1"/>
  <c r="AD313" i="2"/>
  <c r="AH313" i="2" s="1"/>
  <c r="AD345" i="2"/>
  <c r="AH345" i="2" s="1"/>
  <c r="AD375" i="2"/>
  <c r="AH375" i="2" s="1"/>
  <c r="AF375" i="2" s="1"/>
  <c r="AD409" i="2"/>
  <c r="AH409" i="2" s="1"/>
  <c r="AD440" i="2"/>
  <c r="AH440" i="2" s="1"/>
  <c r="AF440" i="2" s="1"/>
  <c r="AE440" i="2" s="1" a="1"/>
  <c r="AE440" i="2" s="1"/>
  <c r="AD470" i="2"/>
  <c r="AH470" i="2" s="1"/>
  <c r="AD503" i="2"/>
  <c r="AH503" i="2" s="1"/>
  <c r="AD533" i="2"/>
  <c r="AH533" i="2" s="1"/>
  <c r="AF533" i="2" s="1"/>
  <c r="AE533" i="2" s="1" a="1"/>
  <c r="AE533" i="2" s="1"/>
  <c r="AD567" i="2"/>
  <c r="AH567" i="2" s="1"/>
  <c r="AD598" i="2"/>
  <c r="AH598" i="2" s="1"/>
  <c r="AD628" i="2"/>
  <c r="AH628" i="2" s="1"/>
  <c r="AF628" i="2" s="1"/>
  <c r="AE628" i="2" s="1" a="1"/>
  <c r="AE628" i="2" s="1"/>
  <c r="AD660" i="2"/>
  <c r="AH660" i="2" s="1"/>
  <c r="AD691" i="2"/>
  <c r="AH691" i="2" s="1"/>
  <c r="AF691" i="2" s="1"/>
  <c r="AE691" i="2" s="1" a="1"/>
  <c r="AE691" i="2" s="1"/>
  <c r="AD724" i="2"/>
  <c r="AH724" i="2" s="1"/>
  <c r="AD755" i="2"/>
  <c r="AH755" i="2" s="1"/>
  <c r="AD786" i="2"/>
  <c r="AH786" i="2" s="1"/>
  <c r="AD817" i="2"/>
  <c r="AH817" i="2" s="1"/>
  <c r="AD845" i="2"/>
  <c r="AH845" i="2" s="1"/>
  <c r="AD876" i="2"/>
  <c r="AH876" i="2" s="1"/>
  <c r="AD904" i="2"/>
  <c r="AH904" i="2" s="1"/>
  <c r="AD932" i="2"/>
  <c r="AH932" i="2" s="1"/>
  <c r="AD961" i="2"/>
  <c r="AH961" i="2" s="1"/>
  <c r="AF961" i="2" s="1"/>
  <c r="AD989" i="2"/>
  <c r="AH989" i="2" s="1"/>
  <c r="AD1020" i="2"/>
  <c r="AH1020" i="2" s="1"/>
  <c r="AD1048" i="2"/>
  <c r="AH1048" i="2" s="1"/>
  <c r="AD1077" i="2"/>
  <c r="AH1077" i="2" s="1"/>
  <c r="AD1106" i="2"/>
  <c r="AH1106" i="2" s="1"/>
  <c r="AD61" i="2"/>
  <c r="AH61" i="2" s="1"/>
  <c r="AF61" i="2" s="1"/>
  <c r="AD100" i="2"/>
  <c r="AH100" i="2" s="1"/>
  <c r="AD137" i="2"/>
  <c r="AH137" i="2" s="1"/>
  <c r="AF137" i="2" s="1"/>
  <c r="AE137" i="2" s="1" a="1"/>
  <c r="AE137" i="2" s="1"/>
  <c r="AD176" i="2"/>
  <c r="AH176" i="2" s="1"/>
  <c r="AD212" i="2"/>
  <c r="AH212" i="2" s="1"/>
  <c r="AF212" i="2" s="1"/>
  <c r="AE212" i="2" s="1" a="1"/>
  <c r="AE212" i="2" s="1"/>
  <c r="AD250" i="2"/>
  <c r="AH250" i="2" s="1"/>
  <c r="AF250" i="2" s="1"/>
  <c r="AE250" i="2" s="1" a="1"/>
  <c r="AE250" i="2" s="1"/>
  <c r="AD284" i="2"/>
  <c r="AH284" i="2" s="1"/>
  <c r="AD315" i="2"/>
  <c r="AH315" i="2" s="1"/>
  <c r="AF315" i="2" s="1"/>
  <c r="AE315" i="2" s="1" a="1"/>
  <c r="AE315" i="2" s="1"/>
  <c r="AD346" i="2"/>
  <c r="AH346" i="2" s="1"/>
  <c r="AD380" i="2"/>
  <c r="AH380" i="2" s="1"/>
  <c r="AD410" i="2"/>
  <c r="AH410" i="2" s="1"/>
  <c r="AD441" i="2"/>
  <c r="AH441" i="2" s="1"/>
  <c r="AD473" i="2"/>
  <c r="AH473" i="2" s="1"/>
  <c r="AD504" i="2"/>
  <c r="AH504" i="2" s="1"/>
  <c r="AD538" i="2"/>
  <c r="AH538" i="2" s="1"/>
  <c r="AD568" i="2"/>
  <c r="AH568" i="2" s="1"/>
  <c r="AD599" i="2"/>
  <c r="AH599" i="2" s="1"/>
  <c r="AD631" i="2"/>
  <c r="AH631" i="2" s="1"/>
  <c r="AD661" i="2"/>
  <c r="AH661" i="2" s="1"/>
  <c r="AF661" i="2" s="1"/>
  <c r="AE661" i="2" s="1" a="1"/>
  <c r="AE661" i="2" s="1"/>
  <c r="AD695" i="2"/>
  <c r="AH695" i="2" s="1"/>
  <c r="AF695" i="2" s="1"/>
  <c r="AE695" i="2" s="1" a="1"/>
  <c r="AE695" i="2" s="1"/>
  <c r="AD725" i="2"/>
  <c r="AH725" i="2" s="1"/>
  <c r="AF725" i="2" s="1"/>
  <c r="AD756" i="2"/>
  <c r="AH756" i="2" s="1"/>
  <c r="AF756" i="2" s="1"/>
  <c r="AE756" i="2" s="1" a="1"/>
  <c r="AE756" i="2" s="1"/>
  <c r="AD788" i="2"/>
  <c r="AH788" i="2" s="1"/>
  <c r="AD818" i="2"/>
  <c r="AH818" i="2" s="1"/>
  <c r="AD849" i="2"/>
  <c r="AH849" i="2" s="1"/>
  <c r="AF849" i="2" s="1"/>
  <c r="AE849" i="2" s="1" a="1"/>
  <c r="AE849" i="2" s="1"/>
  <c r="AD877" i="2"/>
  <c r="AH877" i="2" s="1"/>
  <c r="AF877" i="2" s="1"/>
  <c r="AE877" i="2" s="1" a="1"/>
  <c r="AE877" i="2" s="1"/>
  <c r="AD905" i="2"/>
  <c r="AH905" i="2" s="1"/>
  <c r="AD934" i="2"/>
  <c r="AH934" i="2" s="1"/>
  <c r="AD962" i="2"/>
  <c r="AH962" i="2" s="1"/>
  <c r="AD993" i="2"/>
  <c r="AH993" i="2" s="1"/>
  <c r="AD1021" i="2"/>
  <c r="AH1021" i="2" s="1"/>
  <c r="AD1049" i="2"/>
  <c r="AH1049" i="2" s="1"/>
  <c r="AF1049" i="2" s="1"/>
  <c r="AE1049" i="2" s="1" a="1"/>
  <c r="AE1049" i="2" s="1"/>
  <c r="AD1079" i="2"/>
  <c r="AH1079" i="2" s="1"/>
  <c r="AF1079" i="2" s="1"/>
  <c r="AE1079" i="2" s="1" a="1"/>
  <c r="AE1079" i="2" s="1"/>
  <c r="AD1107" i="2"/>
  <c r="AH1107" i="2" s="1"/>
  <c r="AD67" i="2"/>
  <c r="AH67" i="2" s="1"/>
  <c r="AF67" i="2" s="1"/>
  <c r="AD102" i="2"/>
  <c r="AH102" i="2" s="1"/>
  <c r="AD138" i="2"/>
  <c r="AH138" i="2" s="1"/>
  <c r="AD177" i="2"/>
  <c r="AH177" i="2" s="1"/>
  <c r="AD213" i="2"/>
  <c r="AH213" i="2" s="1"/>
  <c r="AD252" i="2"/>
  <c r="AH252" i="2" s="1"/>
  <c r="AD285" i="2"/>
  <c r="AH285" i="2" s="1"/>
  <c r="AF285" i="2" s="1"/>
  <c r="AE285" i="2" s="1" a="1"/>
  <c r="AE285" i="2" s="1"/>
  <c r="AD316" i="2"/>
  <c r="AH316" i="2" s="1"/>
  <c r="AF316" i="2" s="1"/>
  <c r="AE316" i="2" s="1" a="1"/>
  <c r="AE316" i="2" s="1"/>
  <c r="AD347" i="2"/>
  <c r="AH347" i="2" s="1"/>
  <c r="AD381" i="2"/>
  <c r="AH381" i="2" s="1"/>
  <c r="AF381" i="2" s="1"/>
  <c r="AE381" i="2" s="1" a="1"/>
  <c r="AE381" i="2" s="1"/>
  <c r="AD411" i="2"/>
  <c r="AH411" i="2" s="1"/>
  <c r="AD442" i="2"/>
  <c r="AH442" i="2" s="1"/>
  <c r="AF442" i="2" s="1"/>
  <c r="AE442" i="2" s="1" a="1"/>
  <c r="AE442" i="2" s="1"/>
  <c r="AD474" i="2"/>
  <c r="AH474" i="2" s="1"/>
  <c r="AD505" i="2"/>
  <c r="AH505" i="2" s="1"/>
  <c r="AF505" i="2" s="1"/>
  <c r="AD539" i="2"/>
  <c r="AH539" i="2" s="1"/>
  <c r="AF539" i="2" s="1"/>
  <c r="AE539" i="2" s="1" a="1"/>
  <c r="AE539" i="2" s="1"/>
  <c r="AD570" i="2"/>
  <c r="AH570" i="2" s="1"/>
  <c r="AD600" i="2"/>
  <c r="AH600" i="2" s="1"/>
  <c r="AD632" i="2"/>
  <c r="AH632" i="2" s="1"/>
  <c r="AF632" i="2" s="1"/>
  <c r="AE632" i="2" s="1" a="1"/>
  <c r="AE632" i="2" s="1"/>
  <c r="AD662" i="2"/>
  <c r="AH662" i="2" s="1"/>
  <c r="AD696" i="2"/>
  <c r="AH696" i="2" s="1"/>
  <c r="AD727" i="2"/>
  <c r="AH727" i="2" s="1"/>
  <c r="AF727" i="2" s="1"/>
  <c r="AE727" i="2" s="1" a="1"/>
  <c r="AE727" i="2" s="1"/>
  <c r="AD757" i="2"/>
  <c r="AH757" i="2" s="1"/>
  <c r="AF757" i="2" s="1"/>
  <c r="AE757" i="2" s="1" a="1"/>
  <c r="AE757" i="2" s="1"/>
  <c r="AD789" i="2"/>
  <c r="AH789" i="2" s="1"/>
  <c r="AD819" i="2"/>
  <c r="AH819" i="2" s="1"/>
  <c r="AF819" i="2" s="1"/>
  <c r="AE819" i="2" s="1" a="1"/>
  <c r="AE819" i="2" s="1"/>
  <c r="AD850" i="2"/>
  <c r="AH850" i="2" s="1"/>
  <c r="AD878" i="2"/>
  <c r="AH878" i="2" s="1"/>
  <c r="AD906" i="2"/>
  <c r="AH906" i="2" s="1"/>
  <c r="AD935" i="2"/>
  <c r="AH935" i="2" s="1"/>
  <c r="AF935" i="2" s="1"/>
  <c r="AE935" i="2" s="1" a="1"/>
  <c r="AE935" i="2" s="1"/>
  <c r="AD963" i="2"/>
  <c r="AH963" i="2" s="1"/>
  <c r="AD994" i="2"/>
  <c r="AH994" i="2" s="1"/>
  <c r="AD1022" i="2"/>
  <c r="AH1022" i="2" s="1"/>
  <c r="AD1050" i="2"/>
  <c r="AH1050" i="2" s="1"/>
  <c r="AD1080" i="2"/>
  <c r="AH1080" i="2" s="1"/>
  <c r="AD1108" i="2"/>
  <c r="AH1108" i="2" s="1"/>
  <c r="AF1108" i="2" s="1"/>
  <c r="AE1108" i="2" s="1" a="1"/>
  <c r="AE1108" i="2" s="1"/>
  <c r="AD69" i="2"/>
  <c r="AH69" i="2" s="1"/>
  <c r="AD103" i="2"/>
  <c r="AH103" i="2" s="1"/>
  <c r="AD139" i="2"/>
  <c r="AH139" i="2" s="1"/>
  <c r="AD178" i="2"/>
  <c r="AH178" i="2" s="1"/>
  <c r="AD214" i="2"/>
  <c r="AH214" i="2" s="1"/>
  <c r="AD253" i="2"/>
  <c r="AH253" i="2" s="1"/>
  <c r="AF253" i="2" s="1"/>
  <c r="AE253" i="2" s="1" a="1"/>
  <c r="AE253" i="2" s="1"/>
  <c r="AD286" i="2"/>
  <c r="AH286" i="2" s="1"/>
  <c r="AD318" i="2"/>
  <c r="AH318" i="2" s="1"/>
  <c r="AD348" i="2"/>
  <c r="AH348" i="2" s="1"/>
  <c r="AD382" i="2"/>
  <c r="AH382" i="2" s="1"/>
  <c r="AF382" i="2" s="1"/>
  <c r="AE382" i="2" s="1" a="1"/>
  <c r="AE382" i="2" s="1"/>
  <c r="AD412" i="2"/>
  <c r="AH412" i="2" s="1"/>
  <c r="AD443" i="2"/>
  <c r="AH443" i="2" s="1"/>
  <c r="AD475" i="2"/>
  <c r="AH475" i="2" s="1"/>
  <c r="AD506" i="2"/>
  <c r="AH506" i="2" s="1"/>
  <c r="AF506" i="2" s="1"/>
  <c r="AE506" i="2" s="1" a="1"/>
  <c r="AE506" i="2" s="1"/>
  <c r="AD540" i="2"/>
  <c r="AH540" i="2" s="1"/>
  <c r="AD571" i="2"/>
  <c r="AH571" i="2" s="1"/>
  <c r="AD601" i="2"/>
  <c r="AH601" i="2" s="1"/>
  <c r="AD633" i="2"/>
  <c r="AH633" i="2" s="1"/>
  <c r="AF633" i="2" s="1"/>
  <c r="AE633" i="2" s="1" a="1"/>
  <c r="AE633" i="2" s="1"/>
  <c r="AD663" i="2"/>
  <c r="AH663" i="2" s="1"/>
  <c r="AD697" i="2"/>
  <c r="AH697" i="2" s="1"/>
  <c r="AD728" i="2"/>
  <c r="AH728" i="2" s="1"/>
  <c r="AD758" i="2"/>
  <c r="AH758" i="2" s="1"/>
  <c r="AF758" i="2" s="1"/>
  <c r="AE758" i="2" s="1" a="1"/>
  <c r="AE758" i="2" s="1"/>
  <c r="AD790" i="2"/>
  <c r="AH790" i="2" s="1"/>
  <c r="AD820" i="2"/>
  <c r="AH820" i="2" s="1"/>
  <c r="AD851" i="2"/>
  <c r="AH851" i="2" s="1"/>
  <c r="AF851" i="2" s="1"/>
  <c r="AE851" i="2" s="1" a="1"/>
  <c r="AE851" i="2" s="1"/>
  <c r="AD879" i="2"/>
  <c r="AH879" i="2" s="1"/>
  <c r="AF879" i="2" s="1"/>
  <c r="AE879" i="2" s="1" a="1"/>
  <c r="AE879" i="2" s="1"/>
  <c r="AD907" i="2"/>
  <c r="AH907" i="2" s="1"/>
  <c r="AD936" i="2"/>
  <c r="AH936" i="2" s="1"/>
  <c r="AD964" i="2"/>
  <c r="AH964" i="2" s="1"/>
  <c r="AD995" i="2"/>
  <c r="AH995" i="2" s="1"/>
  <c r="AD1023" i="2"/>
  <c r="AH1023" i="2" s="1"/>
  <c r="AD1051" i="2"/>
  <c r="AH1051" i="2" s="1"/>
  <c r="AD1081" i="2"/>
  <c r="AH1081" i="2" s="1"/>
  <c r="AF1081" i="2" s="1"/>
  <c r="AD1109" i="2"/>
  <c r="AH1109" i="2" s="1"/>
  <c r="AF1109" i="2" s="1"/>
  <c r="AE1109" i="2" s="1" a="1"/>
  <c r="AE1109" i="2" s="1"/>
  <c r="AD70" i="2"/>
  <c r="AH70" i="2" s="1"/>
  <c r="AF70" i="2" s="1"/>
  <c r="AD104" i="2"/>
  <c r="AH104" i="2" s="1"/>
  <c r="AF104" i="2" s="1"/>
  <c r="AE104" i="2" s="1" a="1"/>
  <c r="AE104" i="2" s="1"/>
  <c r="AD140" i="2"/>
  <c r="AH140" i="2" s="1"/>
  <c r="AD179" i="2"/>
  <c r="AH179" i="2" s="1"/>
  <c r="AF179" i="2" s="1"/>
  <c r="AE179" i="2" s="1" a="1"/>
  <c r="AE179" i="2" s="1"/>
  <c r="AD215" i="2"/>
  <c r="AH215" i="2" s="1"/>
  <c r="AD254" i="2"/>
  <c r="AH254" i="2" s="1"/>
  <c r="AD287" i="2"/>
  <c r="AH287" i="2" s="1"/>
  <c r="AD319" i="2"/>
  <c r="AH319" i="2" s="1"/>
  <c r="AD349" i="2"/>
  <c r="AH349" i="2" s="1"/>
  <c r="AD383" i="2"/>
  <c r="AH383" i="2" s="1"/>
  <c r="AF383" i="2" s="1"/>
  <c r="AE383" i="2" s="1" a="1"/>
  <c r="AE383" i="2" s="1"/>
  <c r="AD414" i="2"/>
  <c r="AH414" i="2" s="1"/>
  <c r="AD444" i="2"/>
  <c r="AH444" i="2" s="1"/>
  <c r="AF444" i="2" s="1"/>
  <c r="AE444" i="2" s="1" a="1"/>
  <c r="AE444" i="2" s="1"/>
  <c r="AD476" i="2"/>
  <c r="AH476" i="2" s="1"/>
  <c r="AD507" i="2"/>
  <c r="AH507" i="2" s="1"/>
  <c r="AD541" i="2"/>
  <c r="AH541" i="2" s="1"/>
  <c r="AF541" i="2" s="1"/>
  <c r="AE541" i="2" s="1" a="1"/>
  <c r="AE541" i="2" s="1"/>
  <c r="AD572" i="2"/>
  <c r="AH572" i="2" s="1"/>
  <c r="AF572" i="2" s="1"/>
  <c r="AE572" i="2" s="1" a="1"/>
  <c r="AE572" i="2" s="1"/>
  <c r="AD602" i="2"/>
  <c r="AH602" i="2" s="1"/>
  <c r="AF602" i="2" s="1"/>
  <c r="AE602" i="2" s="1" a="1"/>
  <c r="AE602" i="2" s="1"/>
  <c r="AD634" i="2"/>
  <c r="AH634" i="2" s="1"/>
  <c r="AF634" i="2" s="1"/>
  <c r="AD664" i="2"/>
  <c r="AH664" i="2" s="1"/>
  <c r="AD698" i="2"/>
  <c r="AH698" i="2" s="1"/>
  <c r="AF698" i="2" s="1"/>
  <c r="AE698" i="2" s="1" a="1"/>
  <c r="AE698" i="2" s="1"/>
  <c r="AD729" i="2"/>
  <c r="AH729" i="2" s="1"/>
  <c r="AD759" i="2"/>
  <c r="AH759" i="2" s="1"/>
  <c r="AD791" i="2"/>
  <c r="AH791" i="2" s="1"/>
  <c r="AD821" i="2"/>
  <c r="AH821" i="2" s="1"/>
  <c r="AD852" i="2"/>
  <c r="AH852" i="2" s="1"/>
  <c r="AD880" i="2"/>
  <c r="AH880" i="2" s="1"/>
  <c r="AD908" i="2"/>
  <c r="AH908" i="2" s="1"/>
  <c r="AD937" i="2"/>
  <c r="AH937" i="2" s="1"/>
  <c r="AF937" i="2" s="1"/>
  <c r="AE937" i="2" s="1" a="1"/>
  <c r="AE937" i="2" s="1"/>
  <c r="AD965" i="2"/>
  <c r="AH965" i="2" s="1"/>
  <c r="AF965" i="2" s="1"/>
  <c r="AE965" i="2" s="1" a="1"/>
  <c r="AE965" i="2" s="1"/>
  <c r="AD996" i="2"/>
  <c r="AH996" i="2" s="1"/>
  <c r="AD1024" i="2"/>
  <c r="AH1024" i="2" s="1"/>
  <c r="AF1024" i="2" s="1"/>
  <c r="AE1024" i="2" s="1" a="1"/>
  <c r="AE1024" i="2" s="1"/>
  <c r="AD1052" i="2"/>
  <c r="AH1052" i="2" s="1"/>
  <c r="AF1052" i="2" s="1"/>
  <c r="AE1052" i="2" s="1" a="1"/>
  <c r="AE1052" i="2" s="1"/>
  <c r="AD1082" i="2"/>
  <c r="AH1082" i="2" s="1"/>
  <c r="AD1110" i="2"/>
  <c r="AH1110" i="2" s="1"/>
  <c r="AD71" i="2"/>
  <c r="AH71" i="2" s="1"/>
  <c r="AF71" i="2" s="1"/>
  <c r="AD107" i="2"/>
  <c r="AH107" i="2" s="1"/>
  <c r="AD145" i="2"/>
  <c r="AH145" i="2" s="1"/>
  <c r="AD180" i="2"/>
  <c r="AH180" i="2" s="1"/>
  <c r="AD216" i="2"/>
  <c r="AH216" i="2" s="1"/>
  <c r="AF216" i="2" s="1"/>
  <c r="AD255" i="2"/>
  <c r="AH255" i="2" s="1"/>
  <c r="AF255" i="2" s="1"/>
  <c r="AD289" i="2"/>
  <c r="AH289" i="2" s="1"/>
  <c r="AD320" i="2"/>
  <c r="AH320" i="2" s="1"/>
  <c r="AD354" i="2"/>
  <c r="AH354" i="2" s="1"/>
  <c r="AD384" i="2"/>
  <c r="AH384" i="2" s="1"/>
  <c r="AF384" i="2" s="1"/>
  <c r="AE384" i="2" s="1" a="1"/>
  <c r="AE384" i="2" s="1"/>
  <c r="AD415" i="2"/>
  <c r="AH415" i="2" s="1"/>
  <c r="AD446" i="2"/>
  <c r="AH446" i="2" s="1"/>
  <c r="AD477" i="2"/>
  <c r="AH477" i="2" s="1"/>
  <c r="AF477" i="2" s="1"/>
  <c r="AE477" i="2" s="1" a="1"/>
  <c r="AE477" i="2" s="1"/>
  <c r="AD512" i="2"/>
  <c r="AH512" i="2" s="1"/>
  <c r="AF512" i="2" s="1"/>
  <c r="AE512" i="2" s="1" a="1"/>
  <c r="AE512" i="2" s="1"/>
  <c r="AD542" i="2"/>
  <c r="AH542" i="2" s="1"/>
  <c r="AF542" i="2" s="1"/>
  <c r="AE542" i="2" s="1" a="1"/>
  <c r="AE542" i="2" s="1"/>
  <c r="AD573" i="2"/>
  <c r="AH573" i="2" s="1"/>
  <c r="AD604" i="2"/>
  <c r="AH604" i="2" s="1"/>
  <c r="AF604" i="2" s="1"/>
  <c r="AE604" i="2" s="1" a="1"/>
  <c r="AE604" i="2" s="1"/>
  <c r="AD635" i="2"/>
  <c r="AH635" i="2" s="1"/>
  <c r="AD669" i="2"/>
  <c r="AH669" i="2" s="1"/>
  <c r="AD699" i="2"/>
  <c r="AH699" i="2" s="1"/>
  <c r="AD730" i="2"/>
  <c r="AH730" i="2" s="1"/>
  <c r="AD762" i="2"/>
  <c r="AH762" i="2" s="1"/>
  <c r="AD792" i="2"/>
  <c r="AH792" i="2" s="1"/>
  <c r="AD825" i="2"/>
  <c r="AH825" i="2" s="1"/>
  <c r="AD853" i="2"/>
  <c r="AH853" i="2" s="1"/>
  <c r="AD881" i="2"/>
  <c r="AH881" i="2" s="1"/>
  <c r="AF881" i="2" s="1"/>
  <c r="AE881" i="2" s="1" a="1"/>
  <c r="AE881" i="2" s="1"/>
  <c r="AD910" i="2"/>
  <c r="AH910" i="2" s="1"/>
  <c r="AD938" i="2"/>
  <c r="AH938" i="2" s="1"/>
  <c r="AD969" i="2"/>
  <c r="AH969" i="2" s="1"/>
  <c r="AF969" i="2" s="1"/>
  <c r="AE969" i="2" s="1" a="1"/>
  <c r="AE969" i="2" s="1"/>
  <c r="AD997" i="2"/>
  <c r="AH997" i="2" s="1"/>
  <c r="AD1025" i="2"/>
  <c r="AH1025" i="2" s="1"/>
  <c r="AD1054" i="2"/>
  <c r="AH1054" i="2" s="1"/>
  <c r="AF1054" i="2" s="1"/>
  <c r="AE1054" i="2" s="1" a="1"/>
  <c r="AE1054" i="2" s="1"/>
  <c r="AD1083" i="2"/>
  <c r="AH1083" i="2" s="1"/>
  <c r="AD1114" i="2"/>
  <c r="AH1114" i="2" s="1"/>
  <c r="AD72" i="2"/>
  <c r="AH72" i="2" s="1"/>
  <c r="AF72" i="2" s="1"/>
  <c r="AE72" i="2" s="1" a="1"/>
  <c r="AE72" i="2" s="1"/>
  <c r="AD108" i="2"/>
  <c r="AH108" i="2" s="1"/>
  <c r="AD147" i="2"/>
  <c r="AH147" i="2" s="1"/>
  <c r="AD181" i="2"/>
  <c r="AH181" i="2" s="1"/>
  <c r="AD217" i="2"/>
  <c r="AH217" i="2" s="1"/>
  <c r="AF217" i="2" s="1"/>
  <c r="AD257" i="2"/>
  <c r="AH257" i="2" s="1"/>
  <c r="AD290" i="2"/>
  <c r="AH290" i="2" s="1"/>
  <c r="AD321" i="2"/>
  <c r="AH321" i="2" s="1"/>
  <c r="AD355" i="2"/>
  <c r="AH355" i="2" s="1"/>
  <c r="AD385" i="2"/>
  <c r="AH385" i="2" s="1"/>
  <c r="AF385" i="2" s="1"/>
  <c r="AE385" i="2" s="1" a="1"/>
  <c r="AE385" i="2" s="1"/>
  <c r="AD416" i="2"/>
  <c r="AH416" i="2" s="1"/>
  <c r="AF416" i="2" s="1"/>
  <c r="AE416" i="2" s="1" a="1"/>
  <c r="AE416" i="2" s="1"/>
  <c r="AD447" i="2"/>
  <c r="AH447" i="2" s="1"/>
  <c r="AD478" i="2"/>
  <c r="AH478" i="2" s="1"/>
  <c r="AD513" i="2"/>
  <c r="AH513" i="2" s="1"/>
  <c r="AD543" i="2"/>
  <c r="AH543" i="2" s="1"/>
  <c r="AD574" i="2"/>
  <c r="AH574" i="2" s="1"/>
  <c r="AD605" i="2"/>
  <c r="AH605" i="2" s="1"/>
  <c r="AF605" i="2" s="1"/>
  <c r="AE605" i="2" s="1" a="1"/>
  <c r="AE605" i="2" s="1"/>
  <c r="AD636" i="2"/>
  <c r="AH636" i="2" s="1"/>
  <c r="AD670" i="2"/>
  <c r="AH670" i="2" s="1"/>
  <c r="AD700" i="2"/>
  <c r="AH700" i="2" s="1"/>
  <c r="AD731" i="2"/>
  <c r="AH731" i="2" s="1"/>
  <c r="AD763" i="2"/>
  <c r="AH763" i="2" s="1"/>
  <c r="AF763" i="2" s="1"/>
  <c r="AE763" i="2" s="1" a="1"/>
  <c r="AE763" i="2" s="1"/>
  <c r="AD793" i="2"/>
  <c r="AH793" i="2" s="1"/>
  <c r="AF793" i="2" s="1"/>
  <c r="AE793" i="2" s="1" a="1"/>
  <c r="AE793" i="2" s="1"/>
  <c r="AD826" i="2"/>
  <c r="AH826" i="2" s="1"/>
  <c r="AD854" i="2"/>
  <c r="AH854" i="2" s="1"/>
  <c r="AF854" i="2" s="1"/>
  <c r="AE854" i="2" s="1" a="1"/>
  <c r="AE854" i="2" s="1"/>
  <c r="AD882" i="2"/>
  <c r="AH882" i="2" s="1"/>
  <c r="AD911" i="2"/>
  <c r="AH911" i="2" s="1"/>
  <c r="AD939" i="2"/>
  <c r="AH939" i="2" s="1"/>
  <c r="AF939" i="2" s="1"/>
  <c r="AE939" i="2" s="1" a="1"/>
  <c r="AE939" i="2" s="1"/>
  <c r="AD970" i="2"/>
  <c r="AH970" i="2" s="1"/>
  <c r="AD998" i="2"/>
  <c r="AH998" i="2" s="1"/>
  <c r="AF998" i="2" s="1"/>
  <c r="AE998" i="2" s="1" a="1"/>
  <c r="AE998" i="2" s="1"/>
  <c r="AD1026" i="2"/>
  <c r="AH1026" i="2" s="1"/>
  <c r="AF1026" i="2" s="1"/>
  <c r="AE1026" i="2" s="1" a="1"/>
  <c r="AE1026" i="2" s="1"/>
  <c r="AD1055" i="2"/>
  <c r="AH1055" i="2" s="1"/>
  <c r="AD1084" i="2"/>
  <c r="AH1084" i="2" s="1"/>
  <c r="AD1115" i="2"/>
  <c r="AH1115" i="2" s="1"/>
  <c r="AD73" i="2"/>
  <c r="AH73" i="2" s="1"/>
  <c r="AF73" i="2" s="1"/>
  <c r="AD109" i="2"/>
  <c r="AH109" i="2" s="1"/>
  <c r="AF109" i="2" s="1"/>
  <c r="AE109" i="2" s="1" a="1"/>
  <c r="AE109" i="2" s="1"/>
  <c r="AD148" i="2"/>
  <c r="AH148" i="2" s="1"/>
  <c r="AF148" i="2" s="1"/>
  <c r="AD182" i="2"/>
  <c r="AH182" i="2" s="1"/>
  <c r="AD218" i="2"/>
  <c r="AH218" i="2" s="1"/>
  <c r="AF218" i="2" s="1"/>
  <c r="AD258" i="2"/>
  <c r="AH258" i="2" s="1"/>
  <c r="AD291" i="2"/>
  <c r="AH291" i="2" s="1"/>
  <c r="AD322" i="2"/>
  <c r="AH322" i="2" s="1"/>
  <c r="AD356" i="2"/>
  <c r="AH356" i="2" s="1"/>
  <c r="AF356" i="2" s="1"/>
  <c r="AE356" i="2" s="1" a="1"/>
  <c r="AE356" i="2" s="1"/>
  <c r="AD386" i="2"/>
  <c r="AH386" i="2" s="1"/>
  <c r="AD417" i="2"/>
  <c r="AH417" i="2" s="1"/>
  <c r="AD449" i="2"/>
  <c r="AH449" i="2" s="1"/>
  <c r="AD479" i="2"/>
  <c r="AH479" i="2" s="1"/>
  <c r="AF479" i="2" s="1"/>
  <c r="AD514" i="2"/>
  <c r="AH514" i="2" s="1"/>
  <c r="AD544" i="2"/>
  <c r="AH544" i="2" s="1"/>
  <c r="AD575" i="2"/>
  <c r="AH575" i="2" s="1"/>
  <c r="AD607" i="2"/>
  <c r="AH607" i="2" s="1"/>
  <c r="AF607" i="2" s="1"/>
  <c r="AE607" i="2" s="1" a="1"/>
  <c r="AE607" i="2" s="1"/>
  <c r="AD637" i="2"/>
  <c r="AH637" i="2" s="1"/>
  <c r="AF637" i="2" s="1"/>
  <c r="AE637" i="2" s="1" a="1"/>
  <c r="AE637" i="2" s="1"/>
  <c r="AD671" i="2"/>
  <c r="AH671" i="2" s="1"/>
  <c r="AD701" i="2"/>
  <c r="AH701" i="2" s="1"/>
  <c r="AD732" i="2"/>
  <c r="AH732" i="2" s="1"/>
  <c r="AF732" i="2" s="1"/>
  <c r="AE732" i="2" s="1" a="1"/>
  <c r="AE732" i="2" s="1"/>
  <c r="AD764" i="2"/>
  <c r="AH764" i="2" s="1"/>
  <c r="AF764" i="2" s="1"/>
  <c r="AE764" i="2" s="1" a="1"/>
  <c r="AE764" i="2" s="1"/>
  <c r="AD794" i="2"/>
  <c r="AH794" i="2" s="1"/>
  <c r="AD827" i="2"/>
  <c r="AH827" i="2" s="1"/>
  <c r="AD855" i="2"/>
  <c r="AH855" i="2" s="1"/>
  <c r="AF855" i="2" s="1"/>
  <c r="AE855" i="2" s="1" a="1"/>
  <c r="AE855" i="2" s="1"/>
  <c r="AD883" i="2"/>
  <c r="AH883" i="2" s="1"/>
  <c r="AF883" i="2" s="1"/>
  <c r="AE883" i="2" s="1" a="1"/>
  <c r="AE883" i="2" s="1"/>
  <c r="AD912" i="2"/>
  <c r="AH912" i="2" s="1"/>
  <c r="AF912" i="2" s="1"/>
  <c r="AE912" i="2" s="1" a="1"/>
  <c r="AE912" i="2" s="1"/>
  <c r="AD940" i="2"/>
  <c r="AH940" i="2" s="1"/>
  <c r="AD971" i="2"/>
  <c r="AH971" i="2" s="1"/>
  <c r="AD999" i="2"/>
  <c r="AH999" i="2" s="1"/>
  <c r="AD1027" i="2"/>
  <c r="AH1027" i="2" s="1"/>
  <c r="AD1056" i="2"/>
  <c r="AH1056" i="2" s="1"/>
  <c r="AD1085" i="2"/>
  <c r="AH1085" i="2" s="1"/>
  <c r="AD1116" i="2"/>
  <c r="AH1116" i="2" s="1"/>
  <c r="AD74" i="2"/>
  <c r="AH74" i="2" s="1"/>
  <c r="AD110" i="2"/>
  <c r="AH110" i="2" s="1"/>
  <c r="AD150" i="2"/>
  <c r="AH150" i="2" s="1"/>
  <c r="AF150" i="2" s="1"/>
  <c r="AE150" i="2" s="1" a="1"/>
  <c r="AE150" i="2" s="1"/>
  <c r="AD186" i="2"/>
  <c r="AH186" i="2" s="1"/>
  <c r="AF186" i="2" s="1"/>
  <c r="AE186" i="2" s="1" a="1"/>
  <c r="AE186" i="2" s="1"/>
  <c r="AD224" i="2"/>
  <c r="AH224" i="2" s="1"/>
  <c r="AD259" i="2"/>
  <c r="AH259" i="2" s="1"/>
  <c r="AF259" i="2" s="1"/>
  <c r="AE259" i="2" s="1" a="1"/>
  <c r="AE259" i="2" s="1"/>
  <c r="AD292" i="2"/>
  <c r="AH292" i="2" s="1"/>
  <c r="AD323" i="2"/>
  <c r="AH323" i="2" s="1"/>
  <c r="AD357" i="2"/>
  <c r="AH357" i="2" s="1"/>
  <c r="AF357" i="2" s="1"/>
  <c r="AE357" i="2" s="1" a="1"/>
  <c r="AE357" i="2" s="1"/>
  <c r="AD387" i="2"/>
  <c r="AH387" i="2" s="1"/>
  <c r="AD418" i="2"/>
  <c r="AH418" i="2" s="1"/>
  <c r="AF418" i="2" s="1"/>
  <c r="AE418" i="2" s="1" a="1"/>
  <c r="AE418" i="2" s="1"/>
  <c r="AD450" i="2"/>
  <c r="AH450" i="2" s="1"/>
  <c r="AF450" i="2" s="1"/>
  <c r="AE450" i="2" s="1" a="1"/>
  <c r="AE450" i="2" s="1"/>
  <c r="AD480" i="2"/>
  <c r="AH480" i="2" s="1"/>
  <c r="AF480" i="2" s="1"/>
  <c r="AD515" i="2"/>
  <c r="AH515" i="2" s="1"/>
  <c r="AD546" i="2"/>
  <c r="AH546" i="2" s="1"/>
  <c r="AD576" i="2"/>
  <c r="AH576" i="2" s="1"/>
  <c r="AF576" i="2" s="1"/>
  <c r="AE576" i="2" s="1" a="1"/>
  <c r="AE576" i="2" s="1"/>
  <c r="AD608" i="2"/>
  <c r="AH608" i="2" s="1"/>
  <c r="AD638" i="2"/>
  <c r="AH638" i="2" s="1"/>
  <c r="AD672" i="2"/>
  <c r="AH672" i="2" s="1"/>
  <c r="AF672" i="2" s="1"/>
  <c r="AE672" i="2" s="1" a="1"/>
  <c r="AE672" i="2" s="1"/>
  <c r="AD703" i="2"/>
  <c r="AH703" i="2" s="1"/>
  <c r="AF703" i="2" s="1"/>
  <c r="AE703" i="2" s="1" a="1"/>
  <c r="AE703" i="2" s="1"/>
  <c r="AD733" i="2"/>
  <c r="AH733" i="2" s="1"/>
  <c r="AD765" i="2"/>
  <c r="AH765" i="2" s="1"/>
  <c r="AF765" i="2" s="1"/>
  <c r="AE765" i="2" s="1" a="1"/>
  <c r="AE765" i="2" s="1"/>
  <c r="AD795" i="2"/>
  <c r="AH795" i="2" s="1"/>
  <c r="AF795" i="2" s="1"/>
  <c r="AE795" i="2" s="1" a="1"/>
  <c r="AE795" i="2" s="1"/>
  <c r="AD828" i="2"/>
  <c r="AH828" i="2" s="1"/>
  <c r="AF828" i="2" s="1"/>
  <c r="AE828" i="2" s="1" a="1"/>
  <c r="AE828" i="2" s="1"/>
  <c r="AD856" i="2"/>
  <c r="AH856" i="2" s="1"/>
  <c r="AD884" i="2"/>
  <c r="AH884" i="2" s="1"/>
  <c r="AD913" i="2"/>
  <c r="AH913" i="2" s="1"/>
  <c r="AD941" i="2"/>
  <c r="AH941" i="2" s="1"/>
  <c r="AF941" i="2" s="1"/>
  <c r="AE941" i="2" s="1" a="1"/>
  <c r="AE941" i="2" s="1"/>
  <c r="AD972" i="2"/>
  <c r="AH972" i="2" s="1"/>
  <c r="AD1000" i="2"/>
  <c r="AH1000" i="2" s="1"/>
  <c r="AD1028" i="2"/>
  <c r="AH1028" i="2" s="1"/>
  <c r="AD1057" i="2"/>
  <c r="AH1057" i="2" s="1"/>
  <c r="AD1086" i="2"/>
  <c r="AH1086" i="2" s="1"/>
  <c r="AD1117" i="2"/>
  <c r="AH1117" i="2" s="1"/>
  <c r="AD75" i="2"/>
  <c r="AH75" i="2" s="1"/>
  <c r="AD111" i="2"/>
  <c r="AH111" i="2" s="1"/>
  <c r="AD151" i="2"/>
  <c r="AH151" i="2" s="1"/>
  <c r="AD187" i="2"/>
  <c r="AH187" i="2" s="1"/>
  <c r="AD226" i="2"/>
  <c r="AH226" i="2" s="1"/>
  <c r="AF226" i="2" s="1"/>
  <c r="AE226" i="2" s="1" a="1"/>
  <c r="AE226" i="2" s="1"/>
  <c r="AD260" i="2"/>
  <c r="AH260" i="2" s="1"/>
  <c r="AD294" i="2"/>
  <c r="AH294" i="2" s="1"/>
  <c r="AD327" i="2"/>
  <c r="AH327" i="2" s="1"/>
  <c r="AD358" i="2"/>
  <c r="AH358" i="2" s="1"/>
  <c r="AF358" i="2" s="1"/>
  <c r="AE358" i="2" s="1" a="1"/>
  <c r="AE358" i="2" s="1"/>
  <c r="AD388" i="2"/>
  <c r="AH388" i="2" s="1"/>
  <c r="AF388" i="2" s="1"/>
  <c r="AE388" i="2" s="1" a="1"/>
  <c r="AE388" i="2" s="1"/>
  <c r="AD420" i="2"/>
  <c r="AH420" i="2" s="1"/>
  <c r="AD451" i="2"/>
  <c r="AH451" i="2" s="1"/>
  <c r="AD484" i="2"/>
  <c r="AH484" i="2" s="1"/>
  <c r="AD516" i="2"/>
  <c r="AH516" i="2" s="1"/>
  <c r="AD547" i="2"/>
  <c r="AH547" i="2" s="1"/>
  <c r="AD578" i="2"/>
  <c r="AH578" i="2" s="1"/>
  <c r="AF578" i="2" s="1"/>
  <c r="AE578" i="2" s="1" a="1"/>
  <c r="AE578" i="2" s="1"/>
  <c r="AD609" i="2"/>
  <c r="AH609" i="2" s="1"/>
  <c r="AD643" i="2"/>
  <c r="AH643" i="2" s="1"/>
  <c r="AF643" i="2" s="1"/>
  <c r="AE643" i="2" s="1" a="1"/>
  <c r="AE643" i="2" s="1"/>
  <c r="AD673" i="2"/>
  <c r="AH673" i="2" s="1"/>
  <c r="AD704" i="2"/>
  <c r="AH704" i="2" s="1"/>
  <c r="AD735" i="2"/>
  <c r="AH735" i="2" s="1"/>
  <c r="AD766" i="2"/>
  <c r="AH766" i="2" s="1"/>
  <c r="AD800" i="2"/>
  <c r="AH800" i="2" s="1"/>
  <c r="AD829" i="2"/>
  <c r="AH829" i="2" s="1"/>
  <c r="AD857" i="2"/>
  <c r="AH857" i="2" s="1"/>
  <c r="AF857" i="2" s="1"/>
  <c r="AE857" i="2" s="1" a="1"/>
  <c r="AE857" i="2" s="1"/>
  <c r="AD886" i="2"/>
  <c r="AH886" i="2" s="1"/>
  <c r="AD914" i="2"/>
  <c r="AH914" i="2" s="1"/>
  <c r="AF914" i="2" s="1"/>
  <c r="AE914" i="2" s="1" a="1"/>
  <c r="AE914" i="2" s="1"/>
  <c r="AD945" i="2"/>
  <c r="AH945" i="2" s="1"/>
  <c r="AD973" i="2"/>
  <c r="AH973" i="2" s="1"/>
  <c r="AD1001" i="2"/>
  <c r="AH1001" i="2" s="1"/>
  <c r="AD1030" i="2"/>
  <c r="AH1030" i="2" s="1"/>
  <c r="AD1058" i="2"/>
  <c r="AH1058" i="2" s="1"/>
  <c r="AD1090" i="2"/>
  <c r="AH1090" i="2" s="1"/>
  <c r="AD1118" i="2"/>
  <c r="AH1118" i="2" s="1"/>
  <c r="AD76" i="2"/>
  <c r="AH76" i="2" s="1"/>
  <c r="AF76" i="2" s="1"/>
  <c r="AD113" i="2"/>
  <c r="AH113" i="2" s="1"/>
  <c r="AF113" i="2" s="1"/>
  <c r="AD152" i="2"/>
  <c r="AH152" i="2" s="1"/>
  <c r="AD188" i="2"/>
  <c r="AH188" i="2" s="1"/>
  <c r="AF188" i="2" s="1"/>
  <c r="AE188" i="2" s="1" a="1"/>
  <c r="AE188" i="2" s="1"/>
  <c r="AD227" i="2"/>
  <c r="AH227" i="2" s="1"/>
  <c r="AD261" i="2"/>
  <c r="AH261" i="2" s="1"/>
  <c r="AD295" i="2"/>
  <c r="AH295" i="2" s="1"/>
  <c r="AD329" i="2"/>
  <c r="AH329" i="2" s="1"/>
  <c r="AD359" i="2"/>
  <c r="AH359" i="2" s="1"/>
  <c r="AD390" i="2"/>
  <c r="AH390" i="2" s="1"/>
  <c r="AD421" i="2"/>
  <c r="AH421" i="2" s="1"/>
  <c r="AF421" i="2" s="1"/>
  <c r="AE421" i="2" s="1" a="1"/>
  <c r="AE421" i="2" s="1"/>
  <c r="AD452" i="2"/>
  <c r="AH452" i="2" s="1"/>
  <c r="AD486" i="2"/>
  <c r="AH486" i="2" s="1"/>
  <c r="AF486" i="2" s="1"/>
  <c r="AE486" i="2" s="1" a="1"/>
  <c r="AE486" i="2" s="1"/>
  <c r="AD517" i="2"/>
  <c r="AH517" i="2" s="1"/>
  <c r="AD548" i="2"/>
  <c r="AH548" i="2" s="1"/>
  <c r="AD579" i="2"/>
  <c r="AH579" i="2" s="1"/>
  <c r="AF579" i="2" s="1"/>
  <c r="AE579" i="2" s="1" a="1"/>
  <c r="AE579" i="2" s="1"/>
  <c r="AD610" i="2"/>
  <c r="AH610" i="2" s="1"/>
  <c r="AD644" i="2"/>
  <c r="AH644" i="2" s="1"/>
  <c r="AD674" i="2"/>
  <c r="AH674" i="2" s="1"/>
  <c r="AD705" i="2"/>
  <c r="AH705" i="2" s="1"/>
  <c r="AD736" i="2"/>
  <c r="AH736" i="2" s="1"/>
  <c r="AD767" i="2"/>
  <c r="AH767" i="2" s="1"/>
  <c r="AD801" i="2"/>
  <c r="AH801" i="2" s="1"/>
  <c r="AD830" i="2"/>
  <c r="AH830" i="2" s="1"/>
  <c r="AF830" i="2" s="1"/>
  <c r="AE830" i="2" s="1" a="1"/>
  <c r="AE830" i="2" s="1"/>
  <c r="AD858" i="2"/>
  <c r="AH858" i="2" s="1"/>
  <c r="AF858" i="2" s="1"/>
  <c r="AE858" i="2" s="1" a="1"/>
  <c r="AE858" i="2" s="1"/>
  <c r="AD887" i="2"/>
  <c r="AH887" i="2" s="1"/>
  <c r="AD915" i="2"/>
  <c r="AH915" i="2" s="1"/>
  <c r="AD946" i="2"/>
  <c r="AH946" i="2" s="1"/>
  <c r="AD974" i="2"/>
  <c r="AH974" i="2" s="1"/>
  <c r="AD1002" i="2"/>
  <c r="AH1002" i="2" s="1"/>
  <c r="AD1031" i="2"/>
  <c r="AH1031" i="2" s="1"/>
  <c r="AD1059" i="2"/>
  <c r="AH1059" i="2" s="1"/>
  <c r="AD1091" i="2"/>
  <c r="AH1091" i="2" s="1"/>
  <c r="AD1119" i="2"/>
  <c r="AH1119" i="2" s="1"/>
  <c r="AD78" i="2"/>
  <c r="AH78" i="2" s="1"/>
  <c r="AD114" i="2"/>
  <c r="AH114" i="2" s="1"/>
  <c r="AD153" i="2"/>
  <c r="AH153" i="2" s="1"/>
  <c r="AD189" i="2"/>
  <c r="AH189" i="2" s="1"/>
  <c r="AD228" i="2"/>
  <c r="AH228" i="2" s="1"/>
  <c r="AD264" i="2"/>
  <c r="AH264" i="2" s="1"/>
  <c r="AF264" i="2" s="1"/>
  <c r="AE264" i="2" s="1" a="1"/>
  <c r="AE264" i="2" s="1"/>
  <c r="AD296" i="2"/>
  <c r="AH296" i="2" s="1"/>
  <c r="AD330" i="2"/>
  <c r="AH330" i="2" s="1"/>
  <c r="AD360" i="2"/>
  <c r="AH360" i="2" s="1"/>
  <c r="AD391" i="2"/>
  <c r="AH391" i="2" s="1"/>
  <c r="AD422" i="2"/>
  <c r="AH422" i="2" s="1"/>
  <c r="AD453" i="2"/>
  <c r="AH453" i="2" s="1"/>
  <c r="AD487" i="2"/>
  <c r="AH487" i="2" s="1"/>
  <c r="AD518" i="2"/>
  <c r="AH518" i="2" s="1"/>
  <c r="AF518" i="2" s="1"/>
  <c r="AD549" i="2"/>
  <c r="AH549" i="2" s="1"/>
  <c r="AF549" i="2" s="1"/>
  <c r="AD580" i="2"/>
  <c r="AH580" i="2" s="1"/>
  <c r="AF580" i="2" s="1"/>
  <c r="AE580" i="2" s="1" a="1"/>
  <c r="AE580" i="2" s="1"/>
  <c r="AD611" i="2"/>
  <c r="AH611" i="2" s="1"/>
  <c r="AD645" i="2"/>
  <c r="AH645" i="2" s="1"/>
  <c r="AD675" i="2"/>
  <c r="AH675" i="2" s="1"/>
  <c r="AD706" i="2"/>
  <c r="AH706" i="2" s="1"/>
  <c r="AD738" i="2"/>
  <c r="AH738" i="2" s="1"/>
  <c r="AD768" i="2"/>
  <c r="AH768" i="2" s="1"/>
  <c r="AD802" i="2"/>
  <c r="AH802" i="2" s="1"/>
  <c r="AD831" i="2"/>
  <c r="AH831" i="2" s="1"/>
  <c r="AD859" i="2"/>
  <c r="AH859" i="2" s="1"/>
  <c r="AD888" i="2"/>
  <c r="AH888" i="2" s="1"/>
  <c r="AF888" i="2" s="1"/>
  <c r="AE888" i="2" s="1" a="1"/>
  <c r="AE888" i="2" s="1"/>
  <c r="AD916" i="2"/>
  <c r="AH916" i="2" s="1"/>
  <c r="AD947" i="2"/>
  <c r="AH947" i="2" s="1"/>
  <c r="AF947" i="2" s="1"/>
  <c r="AE947" i="2" s="1" a="1"/>
  <c r="AE947" i="2" s="1"/>
  <c r="AD975" i="2"/>
  <c r="AH975" i="2" s="1"/>
  <c r="AF975" i="2" s="1"/>
  <c r="AE975" i="2" s="1" a="1"/>
  <c r="AE975" i="2" s="1"/>
  <c r="AD1003" i="2"/>
  <c r="AH1003" i="2" s="1"/>
  <c r="AD1032" i="2"/>
  <c r="AH1032" i="2" s="1"/>
  <c r="AD1061" i="2"/>
  <c r="AH1061" i="2" s="1"/>
  <c r="AD1092" i="2"/>
  <c r="AH1092" i="2" s="1"/>
  <c r="AF1092" i="2" s="1"/>
  <c r="AE1092" i="2" s="1" a="1"/>
  <c r="AE1092" i="2" s="1"/>
  <c r="AD1120" i="2"/>
  <c r="AH1120" i="2" s="1"/>
  <c r="AD81" i="2"/>
  <c r="AH81" i="2" s="1"/>
  <c r="AD119" i="2"/>
  <c r="AH119" i="2" s="1"/>
  <c r="AD154" i="2"/>
  <c r="AH154" i="2" s="1"/>
  <c r="AD190" i="2"/>
  <c r="AH190" i="2" s="1"/>
  <c r="AF190" i="2" s="1"/>
  <c r="AE190" i="2" s="1" a="1"/>
  <c r="AE190" i="2" s="1"/>
  <c r="AD229" i="2"/>
  <c r="AH229" i="2" s="1"/>
  <c r="AD265" i="2"/>
  <c r="AH265" i="2" s="1"/>
  <c r="AD297" i="2"/>
  <c r="AH297" i="2" s="1"/>
  <c r="AD331" i="2"/>
  <c r="AH331" i="2" s="1"/>
  <c r="AF331" i="2" s="1"/>
  <c r="AE331" i="2" s="1" a="1"/>
  <c r="AE331" i="2" s="1"/>
  <c r="AD361" i="2"/>
  <c r="AH361" i="2" s="1"/>
  <c r="AF361" i="2" s="1"/>
  <c r="AE361" i="2" s="1" a="1"/>
  <c r="AE361" i="2" s="1"/>
  <c r="AD392" i="2"/>
  <c r="AH392" i="2" s="1"/>
  <c r="AD423" i="2"/>
  <c r="AH423" i="2" s="1"/>
  <c r="AF423" i="2" s="1"/>
  <c r="AE423" i="2" s="1" a="1"/>
  <c r="AE423" i="2" s="1"/>
  <c r="AD454" i="2"/>
  <c r="AH454" i="2" s="1"/>
  <c r="AD488" i="2"/>
  <c r="AH488" i="2" s="1"/>
  <c r="AD519" i="2"/>
  <c r="AH519" i="2" s="1"/>
  <c r="AF519" i="2" s="1"/>
  <c r="AE519" i="2" s="1" a="1"/>
  <c r="AE519" i="2" s="1"/>
  <c r="AD550" i="2"/>
  <c r="AH550" i="2" s="1"/>
  <c r="AD581" i="2"/>
  <c r="AH581" i="2" s="1"/>
  <c r="AF581" i="2" s="1"/>
  <c r="AE581" i="2" s="1" a="1"/>
  <c r="AE581" i="2" s="1"/>
  <c r="AD612" i="2"/>
  <c r="AH612" i="2" s="1"/>
  <c r="AD646" i="2"/>
  <c r="AH646" i="2" s="1"/>
  <c r="AF646" i="2" s="1"/>
  <c r="AD676" i="2"/>
  <c r="AH676" i="2" s="1"/>
  <c r="AD707" i="2"/>
  <c r="AH707" i="2" s="1"/>
  <c r="AF707" i="2" s="1"/>
  <c r="AE707" i="2" s="1" a="1"/>
  <c r="AE707" i="2" s="1"/>
  <c r="AD739" i="2"/>
  <c r="AH739" i="2" s="1"/>
  <c r="AF739" i="2" s="1"/>
  <c r="AE739" i="2" s="1" a="1"/>
  <c r="AE739" i="2" s="1"/>
  <c r="AD769" i="2"/>
  <c r="AH769" i="2" s="1"/>
  <c r="AD803" i="2"/>
  <c r="AH803" i="2" s="1"/>
  <c r="AF803" i="2" s="1"/>
  <c r="AE803" i="2" s="1" a="1"/>
  <c r="AE803" i="2" s="1"/>
  <c r="AD832" i="2"/>
  <c r="AH832" i="2" s="1"/>
  <c r="AF832" i="2" s="1"/>
  <c r="AE832" i="2" s="1" a="1"/>
  <c r="AE832" i="2" s="1"/>
  <c r="AD860" i="2"/>
  <c r="AH860" i="2" s="1"/>
  <c r="AD889" i="2"/>
  <c r="AH889" i="2" s="1"/>
  <c r="AD917" i="2"/>
  <c r="AH917" i="2" s="1"/>
  <c r="AF917" i="2" s="1"/>
  <c r="AE917" i="2" s="1" a="1"/>
  <c r="AE917" i="2" s="1"/>
  <c r="AD948" i="2"/>
  <c r="AH948" i="2" s="1"/>
  <c r="AD976" i="2"/>
  <c r="AH976" i="2" s="1"/>
  <c r="AD1004" i="2"/>
  <c r="AH1004" i="2" s="1"/>
  <c r="AD1033" i="2"/>
  <c r="AH1033" i="2" s="1"/>
  <c r="AF1033" i="2" s="1"/>
  <c r="AE1033" i="2" s="1" a="1"/>
  <c r="AE1033" i="2" s="1"/>
  <c r="AD1062" i="2"/>
  <c r="AH1062" i="2" s="1"/>
  <c r="AD1093" i="2"/>
  <c r="AH1093" i="2" s="1"/>
  <c r="AD1121" i="2"/>
  <c r="AH1121" i="2" s="1"/>
  <c r="AD41" i="2"/>
  <c r="AH41" i="2" s="1"/>
  <c r="AD82" i="2"/>
  <c r="AH82" i="2" s="1"/>
  <c r="AD121" i="2"/>
  <c r="AH121" i="2" s="1"/>
  <c r="AD155" i="2"/>
  <c r="AH155" i="2" s="1"/>
  <c r="AD191" i="2"/>
  <c r="AH191" i="2" s="1"/>
  <c r="AF191" i="2" s="1"/>
  <c r="AE191" i="2" s="1" a="1"/>
  <c r="AE191" i="2" s="1"/>
  <c r="AD230" i="2"/>
  <c r="AH230" i="2" s="1"/>
  <c r="AD266" i="2"/>
  <c r="AH266" i="2" s="1"/>
  <c r="AF266" i="2" s="1"/>
  <c r="AE266" i="2" s="1" a="1"/>
  <c r="AE266" i="2" s="1"/>
  <c r="AD301" i="2"/>
  <c r="AH301" i="2" s="1"/>
  <c r="AD332" i="2"/>
  <c r="AH332" i="2" s="1"/>
  <c r="AF332" i="2" s="1"/>
  <c r="AE332" i="2" s="1" a="1"/>
  <c r="AE332" i="2" s="1"/>
  <c r="AD362" i="2"/>
  <c r="AH362" i="2" s="1"/>
  <c r="AF362" i="2" s="1"/>
  <c r="AE362" i="2" s="1" a="1"/>
  <c r="AE362" i="2" s="1"/>
  <c r="AD394" i="2"/>
  <c r="AH394" i="2" s="1"/>
  <c r="AD425" i="2"/>
  <c r="AH425" i="2" s="1"/>
  <c r="AD458" i="2"/>
  <c r="AH458" i="2" s="1"/>
  <c r="AF458" i="2" s="1"/>
  <c r="AE458" i="2" s="1" a="1"/>
  <c r="AE458" i="2" s="1"/>
  <c r="AD489" i="2"/>
  <c r="AH489" i="2" s="1"/>
  <c r="AF489" i="2" s="1"/>
  <c r="AE489" i="2" s="1" a="1"/>
  <c r="AE489" i="2" s="1"/>
  <c r="AD520" i="2"/>
  <c r="AH520" i="2" s="1"/>
  <c r="AD552" i="2"/>
  <c r="AH552" i="2" s="1"/>
  <c r="AD583" i="2"/>
  <c r="AH583" i="2" s="1"/>
  <c r="AF583" i="2" s="1"/>
  <c r="AE583" i="2" s="1" a="1"/>
  <c r="AE583" i="2" s="1"/>
  <c r="AD616" i="2"/>
  <c r="AH616" i="2" s="1"/>
  <c r="AF616" i="2" s="1"/>
  <c r="AE616" i="2" s="1" a="1"/>
  <c r="AE616" i="2" s="1"/>
  <c r="AD647" i="2"/>
  <c r="AH647" i="2" s="1"/>
  <c r="AD677" i="2"/>
  <c r="AH677" i="2" s="1"/>
  <c r="AD709" i="2"/>
  <c r="AH709" i="2" s="1"/>
  <c r="AF709" i="2" s="1"/>
  <c r="AE709" i="2" s="1" a="1"/>
  <c r="AE709" i="2" s="1"/>
  <c r="AD740" i="2"/>
  <c r="AH740" i="2" s="1"/>
  <c r="AF740" i="2" s="1"/>
  <c r="AE740" i="2" s="1" a="1"/>
  <c r="AE740" i="2" s="1"/>
  <c r="AD773" i="2"/>
  <c r="AH773" i="2" s="1"/>
  <c r="AF773" i="2" s="1"/>
  <c r="AE773" i="2" s="1" a="1"/>
  <c r="AE773" i="2" s="1"/>
  <c r="AD804" i="2"/>
  <c r="AH804" i="2" s="1"/>
  <c r="AD833" i="2"/>
  <c r="AH833" i="2" s="1"/>
  <c r="AD862" i="2"/>
  <c r="AH862" i="2" s="1"/>
  <c r="AF862" i="2" s="1"/>
  <c r="AE862" i="2" s="1" a="1"/>
  <c r="AE862" i="2" s="1"/>
  <c r="AD890" i="2"/>
  <c r="AH890" i="2" s="1"/>
  <c r="AF890" i="2" s="1"/>
  <c r="AE890" i="2" s="1" a="1"/>
  <c r="AE890" i="2" s="1"/>
  <c r="AD921" i="2"/>
  <c r="AH921" i="2" s="1"/>
  <c r="AD949" i="2"/>
  <c r="AH949" i="2" s="1"/>
  <c r="AD977" i="2"/>
  <c r="AH977" i="2" s="1"/>
  <c r="AF977" i="2" s="1"/>
  <c r="AE977" i="2" s="1" a="1"/>
  <c r="AE977" i="2" s="1"/>
  <c r="AD1006" i="2"/>
  <c r="AH1006" i="2" s="1"/>
  <c r="AD1034" i="2"/>
  <c r="AH1034" i="2" s="1"/>
  <c r="AD1066" i="2"/>
  <c r="AH1066" i="2" s="1"/>
  <c r="AD1094" i="2"/>
  <c r="AH1094" i="2" s="1"/>
  <c r="AD1122" i="2"/>
  <c r="AH1122" i="2" s="1"/>
  <c r="AD46" i="2"/>
  <c r="AH46" i="2" s="1"/>
  <c r="AD83" i="2"/>
  <c r="AH83" i="2" s="1"/>
  <c r="AF83" i="2" s="1"/>
  <c r="AD122" i="2"/>
  <c r="AH122" i="2" s="1"/>
  <c r="AD156" i="2"/>
  <c r="AH156" i="2" s="1"/>
  <c r="AD192" i="2"/>
  <c r="AH192" i="2" s="1"/>
  <c r="AF192" i="2" s="1"/>
  <c r="AD231" i="2"/>
  <c r="AH231" i="2" s="1"/>
  <c r="AF231" i="2" s="1"/>
  <c r="AE231" i="2" s="1" a="1"/>
  <c r="AE231" i="2" s="1"/>
  <c r="AD267" i="2"/>
  <c r="AH267" i="2" s="1"/>
  <c r="AF267" i="2" s="1"/>
  <c r="AE267" i="2" s="1" a="1"/>
  <c r="AE267" i="2" s="1"/>
  <c r="AD302" i="2"/>
  <c r="AH302" i="2" s="1"/>
  <c r="AF302" i="2" s="1"/>
  <c r="AE302" i="2" s="1" a="1"/>
  <c r="AE302" i="2" s="1"/>
  <c r="AD333" i="2"/>
  <c r="AH333" i="2" s="1"/>
  <c r="AD363" i="2"/>
  <c r="AH363" i="2" s="1"/>
  <c r="AD395" i="2"/>
  <c r="AH395" i="2" s="1"/>
  <c r="AD426" i="2"/>
  <c r="AH426" i="2" s="1"/>
  <c r="AD459" i="2"/>
  <c r="AH459" i="2" s="1"/>
  <c r="AD490" i="2"/>
  <c r="AH490" i="2" s="1"/>
  <c r="AD522" i="2"/>
  <c r="AH522" i="2" s="1"/>
  <c r="AF522" i="2" s="1"/>
  <c r="AE522" i="2" s="1" a="1"/>
  <c r="AE522" i="2" s="1"/>
  <c r="AD553" i="2"/>
  <c r="AH553" i="2" s="1"/>
  <c r="AD584" i="2"/>
  <c r="AH584" i="2" s="1"/>
  <c r="AD618" i="2"/>
  <c r="AH618" i="2" s="1"/>
  <c r="AD648" i="2"/>
  <c r="AH648" i="2" s="1"/>
  <c r="AD679" i="2"/>
  <c r="AH679" i="2" s="1"/>
  <c r="AF679" i="2" s="1"/>
  <c r="AE679" i="2" s="1" a="1"/>
  <c r="AE679" i="2" s="1"/>
  <c r="AD710" i="2"/>
  <c r="AH710" i="2" s="1"/>
  <c r="AD741" i="2"/>
  <c r="AH741" i="2" s="1"/>
  <c r="AD775" i="2"/>
  <c r="AH775" i="2" s="1"/>
  <c r="AF775" i="2" s="1"/>
  <c r="AE775" i="2" s="1" a="1"/>
  <c r="AE775" i="2" s="1"/>
  <c r="AD805" i="2"/>
  <c r="AH805" i="2" s="1"/>
  <c r="AD834" i="2"/>
  <c r="AH834" i="2" s="1"/>
  <c r="AD863" i="2"/>
  <c r="AH863" i="2" s="1"/>
  <c r="AD891" i="2"/>
  <c r="AH891" i="2" s="1"/>
  <c r="AD922" i="2"/>
  <c r="AH922" i="2" s="1"/>
  <c r="AD950" i="2"/>
  <c r="AH950" i="2" s="1"/>
  <c r="AD978" i="2"/>
  <c r="AH978" i="2" s="1"/>
  <c r="AD1007" i="2"/>
  <c r="AH1007" i="2" s="1"/>
  <c r="AD1035" i="2"/>
  <c r="AH1035" i="2" s="1"/>
  <c r="AD1067" i="2"/>
  <c r="AH1067" i="2" s="1"/>
  <c r="AD1095" i="2"/>
  <c r="AH1095" i="2" s="1"/>
  <c r="AF1095" i="2" s="1"/>
  <c r="AE1095" i="2" s="1" a="1"/>
  <c r="AE1095" i="2" s="1"/>
  <c r="AD1123" i="2"/>
  <c r="AH1123" i="2" s="1"/>
  <c r="AD364" i="2"/>
  <c r="AH364" i="2" s="1"/>
  <c r="AF364" i="2" s="1"/>
  <c r="AE364" i="2" s="1" a="1"/>
  <c r="AE364" i="2" s="1"/>
  <c r="AD742" i="2"/>
  <c r="AH742" i="2" s="1"/>
  <c r="AD1096" i="2"/>
  <c r="AH1096" i="2" s="1"/>
  <c r="AF1096" i="2" s="1"/>
  <c r="AE1096" i="2" s="1" a="1"/>
  <c r="AE1096" i="2" s="1"/>
  <c r="AD366" i="2"/>
  <c r="AH366" i="2" s="1"/>
  <c r="AF366" i="2" s="1"/>
  <c r="AE366" i="2" s="1" a="1"/>
  <c r="AE366" i="2" s="1"/>
  <c r="AD743" i="2"/>
  <c r="AH743" i="2" s="1"/>
  <c r="AD1097" i="2"/>
  <c r="AH1097" i="2" s="1"/>
  <c r="AD396" i="2"/>
  <c r="AH396" i="2" s="1"/>
  <c r="AD776" i="2"/>
  <c r="AH776" i="2" s="1"/>
  <c r="AD1124" i="2"/>
  <c r="AH1124" i="2" s="1"/>
  <c r="AD397" i="2"/>
  <c r="AH397" i="2" s="1"/>
  <c r="AD777" i="2"/>
  <c r="AH777" i="2" s="1"/>
  <c r="AD1125" i="2"/>
  <c r="AH1125" i="2" s="1"/>
  <c r="AF1125" i="2" s="1"/>
  <c r="AE1125" i="2" s="1" a="1"/>
  <c r="AE1125" i="2" s="1"/>
  <c r="AD427" i="2"/>
  <c r="AH427" i="2" s="1"/>
  <c r="AD806" i="2"/>
  <c r="AH806" i="2" s="1"/>
  <c r="AD428" i="2"/>
  <c r="AH428" i="2" s="1"/>
  <c r="AD807" i="2"/>
  <c r="AH807" i="2" s="1"/>
  <c r="AD47" i="2"/>
  <c r="AH47" i="2" s="1"/>
  <c r="AD460" i="2"/>
  <c r="AH460" i="2" s="1"/>
  <c r="AD835" i="2"/>
  <c r="AH835" i="2" s="1"/>
  <c r="AD48" i="2"/>
  <c r="AH48" i="2" s="1"/>
  <c r="AF48" i="2" s="1"/>
  <c r="AE48" i="2" s="1" a="1"/>
  <c r="AE48" i="2" s="1"/>
  <c r="AD462" i="2"/>
  <c r="AH462" i="2" s="1"/>
  <c r="AD836" i="2"/>
  <c r="AH836" i="2" s="1"/>
  <c r="AD84" i="2"/>
  <c r="AH84" i="2" s="1"/>
  <c r="AD491" i="2"/>
  <c r="AH491" i="2" s="1"/>
  <c r="AF491" i="2" s="1"/>
  <c r="AE491" i="2" s="1" a="1"/>
  <c r="AE491" i="2" s="1"/>
  <c r="AD864" i="2"/>
  <c r="AH864" i="2" s="1"/>
  <c r="AD85" i="2"/>
  <c r="AH85" i="2" s="1"/>
  <c r="AD492" i="2"/>
  <c r="AH492" i="2" s="1"/>
  <c r="AD865" i="2"/>
  <c r="AH865" i="2" s="1"/>
  <c r="AD123" i="2"/>
  <c r="AH123" i="2" s="1"/>
  <c r="AF123" i="2" s="1"/>
  <c r="AD523" i="2"/>
  <c r="AH523" i="2" s="1"/>
  <c r="AD892" i="2"/>
  <c r="AH892" i="2" s="1"/>
  <c r="AF892" i="2" s="1"/>
  <c r="AE892" i="2" s="1" a="1"/>
  <c r="AE892" i="2" s="1"/>
  <c r="AD124" i="2"/>
  <c r="AH124" i="2" s="1"/>
  <c r="AD524" i="2"/>
  <c r="AH524" i="2" s="1"/>
  <c r="AD893" i="2"/>
  <c r="AH893" i="2" s="1"/>
  <c r="AD159" i="2"/>
  <c r="AH159" i="2" s="1"/>
  <c r="AF159" i="2" s="1"/>
  <c r="AD554" i="2"/>
  <c r="AH554" i="2" s="1"/>
  <c r="AF554" i="2" s="1"/>
  <c r="AE554" i="2" s="1" a="1"/>
  <c r="AE554" i="2" s="1"/>
  <c r="AD923" i="2"/>
  <c r="AH923" i="2" s="1"/>
  <c r="AF923" i="2" s="1"/>
  <c r="AE923" i="2" s="1" a="1"/>
  <c r="AE923" i="2" s="1"/>
  <c r="AD161" i="2"/>
  <c r="AH161" i="2" s="1"/>
  <c r="AD555" i="2"/>
  <c r="AH555" i="2" s="1"/>
  <c r="AF555" i="2" s="1"/>
  <c r="AE555" i="2" s="1" a="1"/>
  <c r="AE555" i="2" s="1"/>
  <c r="AD924" i="2"/>
  <c r="AH924" i="2" s="1"/>
  <c r="AD198" i="2"/>
  <c r="AH198" i="2" s="1"/>
  <c r="AD585" i="2"/>
  <c r="AH585" i="2" s="1"/>
  <c r="AD951" i="2"/>
  <c r="AH951" i="2" s="1"/>
  <c r="AD200" i="2"/>
  <c r="AH200" i="2" s="1"/>
  <c r="AD586" i="2"/>
  <c r="AH586" i="2" s="1"/>
  <c r="AD952" i="2"/>
  <c r="AH952" i="2" s="1"/>
  <c r="AD233" i="2"/>
  <c r="AH233" i="2" s="1"/>
  <c r="AF233" i="2" s="1"/>
  <c r="AE233" i="2" s="1" a="1"/>
  <c r="AE233" i="2" s="1"/>
  <c r="AD619" i="2"/>
  <c r="AH619" i="2" s="1"/>
  <c r="AD979" i="2"/>
  <c r="AH979" i="2" s="1"/>
  <c r="AD234" i="2"/>
  <c r="AH234" i="2" s="1"/>
  <c r="AD620" i="2"/>
  <c r="AH620" i="2" s="1"/>
  <c r="AF620" i="2" s="1"/>
  <c r="AE620" i="2" s="1" a="1"/>
  <c r="AE620" i="2" s="1"/>
  <c r="AD980" i="2"/>
  <c r="AH980" i="2" s="1"/>
  <c r="AF980" i="2" s="1"/>
  <c r="AE980" i="2" s="1" a="1"/>
  <c r="AE980" i="2" s="1"/>
  <c r="AD268" i="2"/>
  <c r="AH268" i="2" s="1"/>
  <c r="AD649" i="2"/>
  <c r="AH649" i="2" s="1"/>
  <c r="AD1008" i="2"/>
  <c r="AH1008" i="2" s="1"/>
  <c r="AD270" i="2"/>
  <c r="AH270" i="2" s="1"/>
  <c r="AF270" i="2" s="1"/>
  <c r="AE270" i="2" s="1" a="1"/>
  <c r="AE270" i="2" s="1"/>
  <c r="AD650" i="2"/>
  <c r="AH650" i="2" s="1"/>
  <c r="AD1009" i="2"/>
  <c r="AH1009" i="2" s="1"/>
  <c r="AF1009" i="2" s="1"/>
  <c r="AE1009" i="2" s="1" a="1"/>
  <c r="AE1009" i="2" s="1"/>
  <c r="AD303" i="2"/>
  <c r="AH303" i="2" s="1"/>
  <c r="AD680" i="2"/>
  <c r="AH680" i="2" s="1"/>
  <c r="AF680" i="2" s="1"/>
  <c r="AE680" i="2" s="1" a="1"/>
  <c r="AE680" i="2" s="1"/>
  <c r="AD1036" i="2"/>
  <c r="AH1036" i="2" s="1"/>
  <c r="AD305" i="2"/>
  <c r="AH305" i="2" s="1"/>
  <c r="AD681" i="2"/>
  <c r="AH681" i="2" s="1"/>
  <c r="AD1037" i="2"/>
  <c r="AH1037" i="2" s="1"/>
  <c r="AD334" i="2"/>
  <c r="AH334" i="2" s="1"/>
  <c r="AD335" i="2"/>
  <c r="AH335" i="2" s="1"/>
  <c r="AF335" i="2" s="1"/>
  <c r="AE335" i="2" s="1" a="1"/>
  <c r="AE335" i="2" s="1"/>
  <c r="AD711" i="2"/>
  <c r="AH711" i="2" s="1"/>
  <c r="AD712" i="2"/>
  <c r="AH712" i="2" s="1"/>
  <c r="AF712" i="2" s="1"/>
  <c r="AE712" i="2" s="1" a="1"/>
  <c r="AE712" i="2" s="1"/>
  <c r="AD1068" i="2"/>
  <c r="AH1068" i="2" s="1"/>
  <c r="AF1068" i="2" s="1"/>
  <c r="AE1068" i="2" s="1" a="1"/>
  <c r="AE1068" i="2" s="1"/>
  <c r="AD1069" i="2"/>
  <c r="AH1069" i="2" s="1"/>
  <c r="AD36" i="2"/>
  <c r="AH36" i="2" s="1"/>
  <c r="AD13" i="2"/>
  <c r="AD21" i="2"/>
  <c r="AH21" i="2" s="1"/>
  <c r="AD29" i="2"/>
  <c r="AH29" i="2" s="1"/>
  <c r="AF29" i="2" s="1"/>
  <c r="AD14" i="2"/>
  <c r="AD18" i="2"/>
  <c r="AH18" i="2" s="1"/>
  <c r="AD22" i="2"/>
  <c r="AH22" i="2" s="1"/>
  <c r="AD26" i="2"/>
  <c r="AH26" i="2" s="1"/>
  <c r="AF26" i="2" s="1"/>
  <c r="AE26" i="2" s="1" a="1"/>
  <c r="AE26" i="2" s="1"/>
  <c r="AD30" i="2"/>
  <c r="AH30" i="2" s="1"/>
  <c r="AD34" i="2"/>
  <c r="AH34" i="2" s="1"/>
  <c r="AF34" i="2" s="1"/>
  <c r="AE34" i="2" s="1" a="1"/>
  <c r="AE34" i="2" s="1"/>
  <c r="AD24" i="2"/>
  <c r="AH24" i="2" s="1"/>
  <c r="AD15" i="2"/>
  <c r="AH15" i="2" s="1"/>
  <c r="AD19" i="2"/>
  <c r="AH19" i="2" s="1"/>
  <c r="AD23" i="2"/>
  <c r="AH23" i="2" s="1"/>
  <c r="AD27" i="2"/>
  <c r="AH27" i="2" s="1"/>
  <c r="AF27" i="2" s="1"/>
  <c r="AE27" i="2" s="1" a="1"/>
  <c r="AE27" i="2" s="1"/>
  <c r="AD31" i="2"/>
  <c r="AH31" i="2" s="1"/>
  <c r="AD35" i="2"/>
  <c r="AH35" i="2" s="1"/>
  <c r="AF35" i="2" s="1"/>
  <c r="AE35" i="2" s="1" a="1"/>
  <c r="AE35" i="2" s="1"/>
  <c r="AD16" i="2"/>
  <c r="AH16" i="2" s="1"/>
  <c r="AD20" i="2"/>
  <c r="AH20" i="2" s="1"/>
  <c r="AD28" i="2"/>
  <c r="AH28" i="2" s="1"/>
  <c r="AD32" i="2"/>
  <c r="AH32" i="2" s="1"/>
  <c r="AD17" i="2"/>
  <c r="AH17" i="2" s="1"/>
  <c r="AD25" i="2"/>
  <c r="AH25" i="2" s="1"/>
  <c r="AD33" i="2"/>
  <c r="AH33" i="2" s="1"/>
  <c r="AF33" i="2" s="1"/>
  <c r="BH5" i="8"/>
  <c r="BH9" i="8"/>
  <c r="BH13" i="8"/>
  <c r="BH7" i="8"/>
  <c r="BH11" i="8"/>
  <c r="BH8" i="8"/>
  <c r="BH14" i="8"/>
  <c r="BH6" i="8"/>
  <c r="BH10" i="8"/>
  <c r="BH12" i="8"/>
  <c r="AD7" i="2"/>
  <c r="AD9" i="2"/>
  <c r="AH9" i="2" s="1"/>
  <c r="AD6" i="2"/>
  <c r="AD12" i="2"/>
  <c r="AD5" i="2"/>
  <c r="AH5" i="2" s="1"/>
  <c r="AD11" i="2"/>
  <c r="AD10" i="2"/>
  <c r="AC1131" i="2"/>
  <c r="AD8" i="2"/>
  <c r="AF821" i="2" l="1"/>
  <c r="AE821" i="2" s="1" a="1"/>
  <c r="AE821" i="2" s="1"/>
  <c r="AF875" i="2"/>
  <c r="AE875" i="2" s="1" a="1"/>
  <c r="AE875" i="2" s="1"/>
  <c r="AF911" i="2"/>
  <c r="AE911" i="2" s="1" a="1"/>
  <c r="AE911" i="2" s="1"/>
  <c r="AF490" i="2"/>
  <c r="AE490" i="2" s="1" a="1"/>
  <c r="AE490" i="2" s="1"/>
  <c r="AF738" i="2"/>
  <c r="AE738" i="2" s="1" a="1"/>
  <c r="AE738" i="2" s="1"/>
  <c r="AF664" i="2"/>
  <c r="AE664" i="2" s="1" a="1"/>
  <c r="AE664" i="2" s="1"/>
  <c r="AF700" i="2"/>
  <c r="AE700" i="2" s="1" a="1"/>
  <c r="AE700" i="2" s="1"/>
  <c r="AF694" i="2"/>
  <c r="AE694" i="2" s="1" a="1"/>
  <c r="AE694" i="2" s="1"/>
  <c r="AF551" i="2"/>
  <c r="AE551" i="2" s="1" a="1"/>
  <c r="AE551" i="2" s="1"/>
  <c r="AF502" i="2"/>
  <c r="AE502" i="2" s="1" a="1"/>
  <c r="AE502" i="2" s="1"/>
  <c r="AF717" i="2"/>
  <c r="AE717" i="2" s="1" a="1"/>
  <c r="AE717" i="2" s="1"/>
  <c r="AF469" i="2"/>
  <c r="AE469" i="2" s="1" a="1"/>
  <c r="AE469" i="2" s="1"/>
  <c r="AF762" i="2"/>
  <c r="AE762" i="2" s="1" a="1"/>
  <c r="AE762" i="2" s="1"/>
  <c r="AF360" i="2"/>
  <c r="AE360" i="2" s="1" a="1"/>
  <c r="AE360" i="2" s="1"/>
  <c r="AF473" i="2"/>
  <c r="AE473" i="2" s="1" a="1"/>
  <c r="AE473" i="2" s="1"/>
  <c r="AF428" i="2"/>
  <c r="AE428" i="2" s="1" a="1"/>
  <c r="AE428" i="2" s="1"/>
  <c r="AF676" i="2"/>
  <c r="AE676" i="2" s="1" a="1"/>
  <c r="AE676" i="2" s="1"/>
  <c r="AF17" i="2"/>
  <c r="AE17" i="2" s="1" a="1"/>
  <c r="AE17" i="2" s="1"/>
  <c r="AF18" i="2"/>
  <c r="AE18" i="2" s="1" a="1"/>
  <c r="AE18" i="2" s="1"/>
  <c r="AF1037" i="2"/>
  <c r="AE1037" i="2" s="1" a="1"/>
  <c r="AE1037" i="2" s="1"/>
  <c r="AF200" i="2"/>
  <c r="AE200" i="2" s="1" a="1"/>
  <c r="AE200" i="2" s="1"/>
  <c r="AF124" i="2"/>
  <c r="AE124" i="2" s="1" a="1"/>
  <c r="AE124" i="2" s="1"/>
  <c r="AF1123" i="2"/>
  <c r="AE1123" i="2" s="1" a="1"/>
  <c r="AE1123" i="2" s="1"/>
  <c r="AF1094" i="2"/>
  <c r="AE1094" i="2" s="1" a="1"/>
  <c r="AE1094" i="2" s="1"/>
  <c r="AF230" i="2"/>
  <c r="AE230" i="2" s="1" a="1"/>
  <c r="AE230" i="2" s="1"/>
  <c r="AF82" i="2"/>
  <c r="AE82" i="2" s="1" a="1"/>
  <c r="AE82" i="2" s="1"/>
  <c r="AF114" i="2"/>
  <c r="AE114" i="2" s="1" a="1"/>
  <c r="AE114" i="2" s="1"/>
  <c r="AF946" i="2"/>
  <c r="AE946" i="2" s="1" a="1"/>
  <c r="AE946" i="2" s="1"/>
  <c r="AF1118" i="2"/>
  <c r="AE1118" i="2" s="1" a="1"/>
  <c r="AE1118" i="2" s="1"/>
  <c r="AF1057" i="2"/>
  <c r="AE1057" i="2" s="1" a="1"/>
  <c r="AE1057" i="2" s="1"/>
  <c r="AF999" i="2"/>
  <c r="AE999" i="2" s="1" a="1"/>
  <c r="AE999" i="2" s="1"/>
  <c r="AF386" i="2"/>
  <c r="AE386" i="2" s="1" a="1"/>
  <c r="AE386" i="2" s="1"/>
  <c r="AF826" i="2"/>
  <c r="AE826" i="2" s="1" a="1"/>
  <c r="AE826" i="2" s="1"/>
  <c r="AF447" i="2"/>
  <c r="AE447" i="2" s="1" a="1"/>
  <c r="AE447" i="2" s="1"/>
  <c r="AF321" i="2"/>
  <c r="AE321" i="2" s="1" a="1"/>
  <c r="AE321" i="2" s="1"/>
  <c r="AF319" i="2"/>
  <c r="AE319" i="2" s="1" a="1"/>
  <c r="AE319" i="2" s="1"/>
  <c r="AF696" i="2"/>
  <c r="AE696" i="2" s="1" a="1"/>
  <c r="AE696" i="2" s="1"/>
  <c r="AF177" i="2"/>
  <c r="AE177" i="2" s="1" a="1"/>
  <c r="AE177" i="2" s="1"/>
  <c r="AF1107" i="2"/>
  <c r="AE1107" i="2" s="1" a="1"/>
  <c r="AE1107" i="2" s="1"/>
  <c r="AF993" i="2"/>
  <c r="AE993" i="2" s="1" a="1"/>
  <c r="AE993" i="2" s="1"/>
  <c r="AF504" i="2"/>
  <c r="AE504" i="2" s="1" a="1"/>
  <c r="AE504" i="2" s="1"/>
  <c r="AF932" i="2"/>
  <c r="AE932" i="2" s="1" a="1"/>
  <c r="AE932" i="2" s="1"/>
  <c r="AF817" i="2"/>
  <c r="AE817" i="2" s="1" a="1"/>
  <c r="AE817" i="2" s="1"/>
  <c r="AF175" i="2"/>
  <c r="AE175" i="2" s="1" a="1"/>
  <c r="AE175" i="2" s="1"/>
  <c r="AF988" i="2"/>
  <c r="AE988" i="2" s="1" a="1"/>
  <c r="AE988" i="2" s="1"/>
  <c r="AF565" i="2"/>
  <c r="AE565" i="2" s="1" a="1"/>
  <c r="AE565" i="2" s="1"/>
  <c r="AF311" i="2"/>
  <c r="AE311" i="2" s="1" a="1"/>
  <c r="AE311" i="2" s="1"/>
  <c r="AF1073" i="2"/>
  <c r="AE1073" i="2" s="1" a="1"/>
  <c r="AE1073" i="2" s="1"/>
  <c r="AF956" i="2"/>
  <c r="AE956" i="2" s="1" a="1"/>
  <c r="AE956" i="2" s="1"/>
  <c r="AF466" i="2"/>
  <c r="AE466" i="2" s="1" a="1"/>
  <c r="AE466" i="2" s="1"/>
  <c r="AF927" i="2"/>
  <c r="AE927" i="2" s="1" a="1"/>
  <c r="AE927" i="2" s="1"/>
  <c r="AF308" i="2"/>
  <c r="AE308" i="2" s="1" a="1"/>
  <c r="AE308" i="2" s="1"/>
  <c r="AF1128" i="2"/>
  <c r="AE1128" i="2" s="1" a="1"/>
  <c r="AE1128" i="2" s="1"/>
  <c r="AF779" i="2"/>
  <c r="AE779" i="2" s="1" a="1"/>
  <c r="AE779" i="2" s="1"/>
  <c r="AF235" i="2"/>
  <c r="AE235" i="2" s="1" a="1"/>
  <c r="AE235" i="2" s="1"/>
  <c r="AF43" i="2"/>
  <c r="AE43" i="2" s="1" a="1"/>
  <c r="AE43" i="2" s="1"/>
  <c r="AF223" i="2"/>
  <c r="AE223" i="2" s="1" a="1"/>
  <c r="AE223" i="2" s="1"/>
  <c r="AF1113" i="2"/>
  <c r="AE1113" i="2" s="1" a="1"/>
  <c r="AE1113" i="2" s="1"/>
  <c r="AF511" i="2"/>
  <c r="AE511" i="2" s="1" a="1"/>
  <c r="AE511" i="2" s="1"/>
  <c r="AF895" i="2"/>
  <c r="AE895" i="2" s="1" a="1"/>
  <c r="AE895" i="2" s="1"/>
  <c r="AF588" i="2"/>
  <c r="AE588" i="2" s="1" a="1"/>
  <c r="AE588" i="2" s="1"/>
  <c r="AF273" i="2"/>
  <c r="AE273" i="2" s="1" a="1"/>
  <c r="AE273" i="2" s="1"/>
  <c r="AF350" i="2"/>
  <c r="AE350" i="2" s="1" a="1"/>
  <c r="AE350" i="2" s="1"/>
  <c r="AF246" i="2"/>
  <c r="AE246" i="2" s="1" a="1"/>
  <c r="AE246" i="2" s="1"/>
  <c r="AF577" i="2"/>
  <c r="AE577" i="2" s="1" a="1"/>
  <c r="AE577" i="2" s="1"/>
  <c r="AF52" i="2"/>
  <c r="AE52" i="2" s="1" a="1"/>
  <c r="AE52" i="2" s="1"/>
  <c r="AF737" i="2"/>
  <c r="AE737" i="2" s="1" a="1"/>
  <c r="AE737" i="2" s="1"/>
  <c r="AF448" i="2"/>
  <c r="AE448" i="2" s="1" a="1"/>
  <c r="AE448" i="2" s="1"/>
  <c r="AF352" i="2"/>
  <c r="AE352" i="2" s="1" a="1"/>
  <c r="AE352" i="2" s="1"/>
  <c r="AF654" i="2"/>
  <c r="AE654" i="2" s="1" a="1"/>
  <c r="AE654" i="2" s="1"/>
  <c r="AF173" i="2"/>
  <c r="AE173" i="2" s="1" a="1"/>
  <c r="AE173" i="2" s="1"/>
  <c r="AF1028" i="2"/>
  <c r="AE1028" i="2" s="1" a="1"/>
  <c r="AE1028" i="2" s="1"/>
  <c r="AF964" i="2"/>
  <c r="AE964" i="2" s="1" a="1"/>
  <c r="AE964" i="2" s="1"/>
  <c r="AF475" i="2"/>
  <c r="AE475" i="2" s="1" a="1"/>
  <c r="AE475" i="2" s="1"/>
  <c r="AF658" i="2"/>
  <c r="AE658" i="2" s="1" a="1"/>
  <c r="AE658" i="2" s="1"/>
  <c r="AF309" i="2"/>
  <c r="AE309" i="2" s="1" a="1"/>
  <c r="AE309" i="2" s="1"/>
  <c r="AF165" i="2"/>
  <c r="AE165" i="2" s="1" a="1"/>
  <c r="AE165" i="2" s="1"/>
  <c r="AF424" i="2"/>
  <c r="AE424" i="2" s="1" a="1"/>
  <c r="AE424" i="2" s="1"/>
  <c r="AF16" i="2"/>
  <c r="AE16" i="2" s="1" a="1"/>
  <c r="AE16" i="2" s="1"/>
  <c r="AF23" i="2"/>
  <c r="AE23" i="2" s="1" a="1"/>
  <c r="AE23" i="2" s="1"/>
  <c r="AF1007" i="2"/>
  <c r="AE1007" i="2" s="1" a="1"/>
  <c r="AE1007" i="2" s="1"/>
  <c r="AF122" i="2"/>
  <c r="AE122" i="2" s="1" a="1"/>
  <c r="AE122" i="2" s="1"/>
  <c r="AF454" i="2"/>
  <c r="AE454" i="2" s="1" a="1"/>
  <c r="AE454" i="2" s="1"/>
  <c r="AF1120" i="2"/>
  <c r="AE1120" i="2" s="1" a="1"/>
  <c r="AE1120" i="2" s="1"/>
  <c r="AF645" i="2"/>
  <c r="AE645" i="2" s="1" a="1"/>
  <c r="AE645" i="2" s="1"/>
  <c r="AF705" i="2"/>
  <c r="AE705" i="2" s="1" a="1"/>
  <c r="AE705" i="2" s="1"/>
  <c r="AF329" i="2"/>
  <c r="AE329" i="2" s="1" a="1"/>
  <c r="AE329" i="2" s="1"/>
  <c r="AF1001" i="2"/>
  <c r="AE1001" i="2" s="1" a="1"/>
  <c r="AE1001" i="2" s="1"/>
  <c r="AF1035" i="2"/>
  <c r="AE1035" i="2" s="1" a="1"/>
  <c r="AE1035" i="2" s="1"/>
  <c r="AF860" i="2"/>
  <c r="AE860" i="2" s="1" a="1"/>
  <c r="AE860" i="2" s="1"/>
  <c r="AF972" i="2"/>
  <c r="AE972" i="2" s="1" a="1"/>
  <c r="AE972" i="2" s="1"/>
  <c r="AF544" i="2"/>
  <c r="AE544" i="2" s="1" a="1"/>
  <c r="AE544" i="2" s="1"/>
  <c r="AF139" i="2"/>
  <c r="AE139" i="2" s="1" a="1"/>
  <c r="AE139" i="2" s="1"/>
  <c r="AF963" i="2"/>
  <c r="AE963" i="2" s="1" a="1"/>
  <c r="AE963" i="2" s="1"/>
  <c r="AF598" i="2"/>
  <c r="AE598" i="2" s="1" a="1"/>
  <c r="AE598" i="2" s="1"/>
  <c r="AF532" i="2"/>
  <c r="AE532" i="2" s="1" a="1"/>
  <c r="AE532" i="2" s="1"/>
  <c r="AF371" i="2"/>
  <c r="AE371" i="2" s="1" a="1"/>
  <c r="AE371" i="2" s="1"/>
  <c r="AF1010" i="2"/>
  <c r="AE1010" i="2" s="1" a="1"/>
  <c r="AE1010" i="2" s="1"/>
  <c r="AF526" i="2"/>
  <c r="AE526" i="2" s="1" a="1"/>
  <c r="AE526" i="2" s="1"/>
  <c r="AF144" i="2"/>
  <c r="AE144" i="2" s="1" a="1"/>
  <c r="AE144" i="2" s="1"/>
  <c r="AF39" i="2"/>
  <c r="AE39" i="2" s="1" a="1"/>
  <c r="AE39" i="2" s="1"/>
  <c r="AF919" i="2"/>
  <c r="AE919" i="2" s="1" a="1"/>
  <c r="AE919" i="2" s="1"/>
  <c r="AF719" i="2"/>
  <c r="AE719" i="2" s="1" a="1"/>
  <c r="AE719" i="2" s="1"/>
  <c r="AF509" i="2"/>
  <c r="AE509" i="2" s="1" a="1"/>
  <c r="AE509" i="2" s="1"/>
  <c r="AF194" i="2"/>
  <c r="AE194" i="2" s="1" a="1"/>
  <c r="AE194" i="2" s="1"/>
  <c r="AF481" i="2"/>
  <c r="AE481" i="2" s="1" a="1"/>
  <c r="AE481" i="2" s="1"/>
  <c r="AF393" i="2"/>
  <c r="AE393" i="2" s="1" a="1"/>
  <c r="AE393" i="2" s="1"/>
  <c r="AF774" i="2"/>
  <c r="AE774" i="2" s="1" a="1"/>
  <c r="AE774" i="2" s="1"/>
  <c r="AF485" i="2"/>
  <c r="AE485" i="2" s="1" a="1"/>
  <c r="AE485" i="2" s="1"/>
  <c r="AF1060" i="2"/>
  <c r="AE1060" i="2" s="1" a="1"/>
  <c r="AE1060" i="2" s="1"/>
  <c r="AF619" i="2"/>
  <c r="AE619" i="2" s="1" a="1"/>
  <c r="AE619" i="2" s="1"/>
  <c r="AF924" i="2"/>
  <c r="AE924" i="2" s="1" a="1"/>
  <c r="AE924" i="2" s="1"/>
  <c r="AF891" i="2"/>
  <c r="AE891" i="2" s="1" a="1"/>
  <c r="AE891" i="2" s="1"/>
  <c r="AF948" i="2"/>
  <c r="AE948" i="2" s="1" a="1"/>
  <c r="AE948" i="2" s="1"/>
  <c r="AF1059" i="2"/>
  <c r="AE1059" i="2" s="1" a="1"/>
  <c r="AE1059" i="2" s="1"/>
  <c r="AF516" i="2"/>
  <c r="AE516" i="2" s="1" a="1"/>
  <c r="AE516" i="2" s="1"/>
  <c r="AF260" i="2"/>
  <c r="AE260" i="2" s="1" a="1"/>
  <c r="AE260" i="2" s="1"/>
  <c r="AF323" i="2"/>
  <c r="AE323" i="2" s="1" a="1"/>
  <c r="AE323" i="2" s="1"/>
  <c r="AF574" i="2"/>
  <c r="AE574" i="2" s="1" a="1"/>
  <c r="AE574" i="2" s="1"/>
  <c r="AF181" i="2"/>
  <c r="AE181" i="2" s="1" a="1"/>
  <c r="AE181" i="2" s="1"/>
  <c r="AF997" i="2"/>
  <c r="AE997" i="2" s="1" a="1"/>
  <c r="AE997" i="2" s="1"/>
  <c r="AF103" i="2"/>
  <c r="AE103" i="2" s="1" a="1"/>
  <c r="AE103" i="2" s="1"/>
  <c r="AF570" i="2"/>
  <c r="AE570" i="2" s="1" a="1"/>
  <c r="AE570" i="2" s="1"/>
  <c r="AF380" i="2"/>
  <c r="AE380" i="2" s="1" a="1"/>
  <c r="AE380" i="2" s="1"/>
  <c r="AF1048" i="2"/>
  <c r="AE1048" i="2" s="1" a="1"/>
  <c r="AE1048" i="2" s="1"/>
  <c r="AF438" i="2"/>
  <c r="AE438" i="2" s="1" a="1"/>
  <c r="AE438" i="2" s="1"/>
  <c r="AF500" i="2"/>
  <c r="AE500" i="2" s="1" a="1"/>
  <c r="AE500" i="2" s="1"/>
  <c r="AF841" i="2"/>
  <c r="AE841" i="2" s="1" a="1"/>
  <c r="AE841" i="2" s="1"/>
  <c r="AF164" i="2"/>
  <c r="AE164" i="2" s="1" a="1"/>
  <c r="AE164" i="2" s="1"/>
  <c r="AF652" i="2"/>
  <c r="AE652" i="2" s="1" a="1"/>
  <c r="AE652" i="2" s="1"/>
  <c r="AF866" i="2"/>
  <c r="AE866" i="2" s="1" a="1"/>
  <c r="AE866" i="2" s="1"/>
  <c r="AF1016" i="2"/>
  <c r="AE1016" i="2" s="1" a="1"/>
  <c r="AE1016" i="2" s="1"/>
  <c r="AF615" i="2"/>
  <c r="AE615" i="2" s="1" a="1"/>
  <c r="AE615" i="2" s="1"/>
  <c r="AF300" i="2"/>
  <c r="AE300" i="2" s="1" a="1"/>
  <c r="AE300" i="2" s="1"/>
  <c r="AF1063" i="2"/>
  <c r="AE1063" i="2" s="1" a="1"/>
  <c r="AE1063" i="2" s="1"/>
  <c r="AF561" i="2"/>
  <c r="AE561" i="2" s="1" a="1"/>
  <c r="AE561" i="2" s="1"/>
  <c r="AF641" i="2"/>
  <c r="AE641" i="2" s="1" a="1"/>
  <c r="AE641" i="2" s="1"/>
  <c r="AF334" i="2"/>
  <c r="AE334" i="2" s="1" a="1"/>
  <c r="AE334" i="2" s="1"/>
  <c r="AF650" i="2"/>
  <c r="AE650" i="2" s="1" a="1"/>
  <c r="AE650" i="2" s="1"/>
  <c r="AF268" i="2"/>
  <c r="AE268" i="2" s="1" a="1"/>
  <c r="AE268" i="2" s="1"/>
  <c r="AF922" i="2"/>
  <c r="AE922" i="2" s="1" a="1"/>
  <c r="AE922" i="2" s="1"/>
  <c r="AF585" i="2"/>
  <c r="AE585" i="2" s="1" a="1"/>
  <c r="AE585" i="2" s="1"/>
  <c r="AF161" i="2"/>
  <c r="AE161" i="2" s="1" a="1"/>
  <c r="AE161" i="2" s="1"/>
  <c r="AF85" i="2"/>
  <c r="AE85" i="2" s="1" a="1"/>
  <c r="AE85" i="2" s="1"/>
  <c r="AF1097" i="2"/>
  <c r="AE1097" i="2" s="1" a="1"/>
  <c r="AE1097" i="2" s="1"/>
  <c r="AF950" i="2"/>
  <c r="AE950" i="2" s="1" a="1"/>
  <c r="AE950" i="2" s="1"/>
  <c r="AF834" i="2"/>
  <c r="AE834" i="2" s="1" a="1"/>
  <c r="AE834" i="2" s="1"/>
  <c r="AF459" i="2"/>
  <c r="AE459" i="2" s="1" a="1"/>
  <c r="AE459" i="2" s="1"/>
  <c r="AF333" i="2"/>
  <c r="AE333" i="2" s="1" a="1"/>
  <c r="AE333" i="2" s="1"/>
  <c r="AF1034" i="2"/>
  <c r="AE1034" i="2" s="1" a="1"/>
  <c r="AE1034" i="2" s="1"/>
  <c r="AF425" i="2"/>
  <c r="AE425" i="2" s="1" a="1"/>
  <c r="AE425" i="2" s="1"/>
  <c r="AF301" i="2"/>
  <c r="AE301" i="2" s="1" a="1"/>
  <c r="AE301" i="2" s="1"/>
  <c r="AF1121" i="2"/>
  <c r="AE1121" i="2" s="1" a="1"/>
  <c r="AE1121" i="2" s="1"/>
  <c r="AF392" i="2"/>
  <c r="AE392" i="2" s="1" a="1"/>
  <c r="AE392" i="2" s="1"/>
  <c r="AF831" i="2"/>
  <c r="AE831" i="2" s="1" a="1"/>
  <c r="AE831" i="2" s="1"/>
  <c r="AF706" i="2"/>
  <c r="AE706" i="2" s="1" a="1"/>
  <c r="AE706" i="2" s="1"/>
  <c r="AF330" i="2"/>
  <c r="AE330" i="2" s="1" a="1"/>
  <c r="AE330" i="2" s="1"/>
  <c r="AF1119" i="2"/>
  <c r="AE1119" i="2" s="1" a="1"/>
  <c r="AE1119" i="2" s="1"/>
  <c r="AF1002" i="2"/>
  <c r="AE1002" i="2" s="1" a="1"/>
  <c r="AE1002" i="2" s="1"/>
  <c r="AF390" i="2"/>
  <c r="AE390" i="2" s="1" a="1"/>
  <c r="AE390" i="2" s="1"/>
  <c r="AF261" i="2"/>
  <c r="AE261" i="2" s="1" a="1"/>
  <c r="AE261" i="2" s="1"/>
  <c r="AF1058" i="2"/>
  <c r="AE1058" i="2" s="1" a="1"/>
  <c r="AE1058" i="2" s="1"/>
  <c r="AF829" i="2"/>
  <c r="AE829" i="2" s="1" a="1"/>
  <c r="AE829" i="2" s="1"/>
  <c r="AF451" i="2"/>
  <c r="AE451" i="2" s="1" a="1"/>
  <c r="AE451" i="2" s="1"/>
  <c r="AF1000" i="2"/>
  <c r="AE1000" i="2" s="1" a="1"/>
  <c r="AE1000" i="2" s="1"/>
  <c r="AF387" i="2"/>
  <c r="AE387" i="2" s="1" a="1"/>
  <c r="AE387" i="2" s="1"/>
  <c r="AF1056" i="2"/>
  <c r="AE1056" i="2" s="1" a="1"/>
  <c r="AE1056" i="2" s="1"/>
  <c r="AF701" i="2"/>
  <c r="AE701" i="2" s="1" a="1"/>
  <c r="AE701" i="2" s="1"/>
  <c r="AF575" i="2"/>
  <c r="AE575" i="2" s="1" a="1"/>
  <c r="AE575" i="2" s="1"/>
  <c r="AF449" i="2"/>
  <c r="AE449" i="2" s="1" a="1"/>
  <c r="AE449" i="2" s="1"/>
  <c r="AF182" i="2"/>
  <c r="AE182" i="2" s="1" a="1"/>
  <c r="AE182" i="2" s="1"/>
  <c r="AF882" i="2"/>
  <c r="AE882" i="2" s="1" a="1"/>
  <c r="AE882" i="2" s="1"/>
  <c r="AF636" i="2"/>
  <c r="AE636" i="2" s="1" a="1"/>
  <c r="AE636" i="2" s="1"/>
  <c r="AF573" i="2"/>
  <c r="AE573" i="2" s="1" a="1"/>
  <c r="AE573" i="2" s="1"/>
  <c r="AF446" i="2"/>
  <c r="AE446" i="2" s="1" a="1"/>
  <c r="AE446" i="2" s="1"/>
  <c r="AF996" i="2"/>
  <c r="AE996" i="2" s="1" a="1"/>
  <c r="AE996" i="2" s="1"/>
  <c r="AF820" i="2"/>
  <c r="AE820" i="2" s="1" a="1"/>
  <c r="AE820" i="2" s="1"/>
  <c r="AF443" i="2"/>
  <c r="AE443" i="2" s="1" a="1"/>
  <c r="AE443" i="2" s="1"/>
  <c r="AF178" i="2"/>
  <c r="AE178" i="2" s="1" a="1"/>
  <c r="AE178" i="2" s="1"/>
  <c r="AF878" i="2"/>
  <c r="AE878" i="2" s="1" a="1"/>
  <c r="AE878" i="2" s="1"/>
  <c r="AF102" i="2"/>
  <c r="AE102" i="2" s="1" a="1"/>
  <c r="AE102" i="2" s="1"/>
  <c r="AF818" i="2"/>
  <c r="AE818" i="2" s="1" a="1"/>
  <c r="AE818" i="2" s="1"/>
  <c r="AF989" i="2"/>
  <c r="AE989" i="2" s="1" a="1"/>
  <c r="AE989" i="2" s="1"/>
  <c r="AF876" i="2"/>
  <c r="AE876" i="2" s="1" a="1"/>
  <c r="AE876" i="2" s="1"/>
  <c r="AF312" i="2"/>
  <c r="AE312" i="2" s="1" a="1"/>
  <c r="AE312" i="2" s="1"/>
  <c r="AF874" i="2"/>
  <c r="AE874" i="2" s="1" a="1"/>
  <c r="AE874" i="2" s="1"/>
  <c r="AF242" i="2"/>
  <c r="AE242" i="2" s="1" a="1"/>
  <c r="AE242" i="2" s="1"/>
  <c r="AF814" i="2"/>
  <c r="AE814" i="2" s="1" a="1"/>
  <c r="AE814" i="2" s="1"/>
  <c r="AF436" i="2"/>
  <c r="AE436" i="2" s="1" a="1"/>
  <c r="AE436" i="2" s="1"/>
  <c r="AF166" i="2"/>
  <c r="AE166" i="2" s="1" a="1"/>
  <c r="AE166" i="2" s="1"/>
  <c r="AF1013" i="2"/>
  <c r="AE1013" i="2" s="1" a="1"/>
  <c r="AE1013" i="2" s="1"/>
  <c r="AF655" i="2"/>
  <c r="AE655" i="2" s="1" a="1"/>
  <c r="AE655" i="2" s="1"/>
  <c r="AF868" i="2"/>
  <c r="AE868" i="2" s="1" a="1"/>
  <c r="AE868" i="2" s="1"/>
  <c r="AF370" i="2"/>
  <c r="AE370" i="2" s="1" a="1"/>
  <c r="AE370" i="2" s="1"/>
  <c r="AF591" i="2"/>
  <c r="AE591" i="2" s="1" a="1"/>
  <c r="AE591" i="2" s="1"/>
  <c r="AF50" i="2"/>
  <c r="AE50" i="2" s="1" a="1"/>
  <c r="AE50" i="2" s="1"/>
  <c r="AF1041" i="2"/>
  <c r="AE1041" i="2" s="1" a="1"/>
  <c r="AE1041" i="2" s="1"/>
  <c r="AF808" i="2"/>
  <c r="AE808" i="2" s="1" a="1"/>
  <c r="AE808" i="2" s="1"/>
  <c r="AF251" i="2"/>
  <c r="AE251" i="2" s="1" a="1"/>
  <c r="AE251" i="2" s="1"/>
  <c r="AF170" i="2"/>
  <c r="AE170" i="2" s="1" a="1"/>
  <c r="AE170" i="2" s="1"/>
  <c r="AF66" i="2"/>
  <c r="AE66" i="2" s="1" a="1"/>
  <c r="AE66" i="2" s="1"/>
  <c r="AF1065" i="2"/>
  <c r="AE1065" i="2" s="1" a="1"/>
  <c r="AE1065" i="2" s="1"/>
  <c r="AF968" i="2"/>
  <c r="AE968" i="2" s="1" a="1"/>
  <c r="AE968" i="2" s="1"/>
  <c r="AF353" i="2"/>
  <c r="AE353" i="2" s="1" a="1"/>
  <c r="AE353" i="2" s="1"/>
  <c r="AF248" i="2"/>
  <c r="AE248" i="2" s="1" a="1"/>
  <c r="AE248" i="2" s="1"/>
  <c r="AF143" i="2"/>
  <c r="AE143" i="2" s="1" a="1"/>
  <c r="AE143" i="2" s="1"/>
  <c r="AF536" i="2"/>
  <c r="AE536" i="2" s="1" a="1"/>
  <c r="AE536" i="2" s="1"/>
  <c r="AF220" i="2"/>
  <c r="AE220" i="2" s="1" a="1"/>
  <c r="AE220" i="2" s="1"/>
  <c r="AF1014" i="2"/>
  <c r="AE1014" i="2" s="1" a="1"/>
  <c r="AE1014" i="2" s="1"/>
  <c r="AF718" i="2"/>
  <c r="AE718" i="2" s="1" a="1"/>
  <c r="AE718" i="2" s="1"/>
  <c r="AF613" i="2"/>
  <c r="AE613" i="2" s="1" a="1"/>
  <c r="AE613" i="2" s="1"/>
  <c r="AF1126" i="2"/>
  <c r="AE1126" i="2" s="1" a="1"/>
  <c r="AE1126" i="2" s="1"/>
  <c r="AF105" i="2"/>
  <c r="AE105" i="2" s="1" a="1"/>
  <c r="AE105" i="2" s="1"/>
  <c r="AF689" i="2"/>
  <c r="AE689" i="2" s="1" a="1"/>
  <c r="AE689" i="2" s="1"/>
  <c r="AF593" i="2"/>
  <c r="AE593" i="2" s="1" a="1"/>
  <c r="AE593" i="2" s="1"/>
  <c r="AF702" i="2"/>
  <c r="AE702" i="2" s="1" a="1"/>
  <c r="AE702" i="2" s="1"/>
  <c r="AF510" i="2"/>
  <c r="AE510" i="2" s="1" a="1"/>
  <c r="AE510" i="2" s="1"/>
  <c r="AF317" i="2"/>
  <c r="AE317" i="2" s="1" a="1"/>
  <c r="AE317" i="2" s="1"/>
  <c r="AF125" i="2"/>
  <c r="AE125" i="2" s="1" a="1"/>
  <c r="AE125" i="2" s="1"/>
  <c r="AF865" i="2"/>
  <c r="AE865" i="2" s="1" a="1"/>
  <c r="AE865" i="2" s="1"/>
  <c r="AF648" i="2"/>
  <c r="AE648" i="2" s="1" a="1"/>
  <c r="AE648" i="2" s="1"/>
  <c r="AF395" i="2"/>
  <c r="AE395" i="2" s="1" a="1"/>
  <c r="AE395" i="2" s="1"/>
  <c r="AF1062" i="2"/>
  <c r="AE1062" i="2" s="1" a="1"/>
  <c r="AE1062" i="2" s="1"/>
  <c r="AF1003" i="2"/>
  <c r="AE1003" i="2" s="1" a="1"/>
  <c r="AE1003" i="2" s="1"/>
  <c r="AF768" i="2"/>
  <c r="AE768" i="2" s="1" a="1"/>
  <c r="AE768" i="2" s="1"/>
  <c r="AF391" i="2"/>
  <c r="AE391" i="2" s="1" a="1"/>
  <c r="AE391" i="2" s="1"/>
  <c r="AF452" i="2"/>
  <c r="AE452" i="2" s="1" a="1"/>
  <c r="AE452" i="2" s="1"/>
  <c r="AF886" i="2"/>
  <c r="AE886" i="2" s="1" a="1"/>
  <c r="AE886" i="2" s="1"/>
  <c r="AF1116" i="2"/>
  <c r="AE1116" i="2" s="1" a="1"/>
  <c r="AE1116" i="2" s="1"/>
  <c r="AF514" i="2"/>
  <c r="AE514" i="2" s="1" a="1"/>
  <c r="AE514" i="2" s="1"/>
  <c r="AF258" i="2"/>
  <c r="AE258" i="2" s="1" a="1"/>
  <c r="AE258" i="2" s="1"/>
  <c r="AF1055" i="2"/>
  <c r="AE1055" i="2" s="1" a="1"/>
  <c r="AE1055" i="2" s="1"/>
  <c r="AF1114" i="2"/>
  <c r="AE1114" i="2" s="1" a="1"/>
  <c r="AE1114" i="2" s="1"/>
  <c r="AF313" i="2"/>
  <c r="AE313" i="2" s="1" a="1"/>
  <c r="AE313" i="2" s="1"/>
  <c r="AF374" i="2"/>
  <c r="AE374" i="2" s="1" a="1"/>
  <c r="AE374" i="2" s="1"/>
  <c r="AF1046" i="2"/>
  <c r="AE1046" i="2" s="1" a="1"/>
  <c r="AE1046" i="2" s="1"/>
  <c r="AF594" i="2"/>
  <c r="AE594" i="2" s="1" a="1"/>
  <c r="AE594" i="2" s="1"/>
  <c r="AF685" i="2"/>
  <c r="AE685" i="2" s="1" a="1"/>
  <c r="AE685" i="2" s="1"/>
  <c r="AF898" i="2"/>
  <c r="AE898" i="2" s="1" a="1"/>
  <c r="AE898" i="2" s="1"/>
  <c r="AF1098" i="2"/>
  <c r="AE1098" i="2" s="1" a="1"/>
  <c r="AE1098" i="2" s="1"/>
  <c r="AF493" i="2"/>
  <c r="AE493" i="2" s="1" a="1"/>
  <c r="AE493" i="2" s="1"/>
  <c r="AF199" i="2"/>
  <c r="AE199" i="2" s="1" a="1"/>
  <c r="AE199" i="2" s="1"/>
  <c r="AF991" i="2"/>
  <c r="AE991" i="2" s="1" a="1"/>
  <c r="AE991" i="2" s="1"/>
  <c r="AF482" i="2"/>
  <c r="AE482" i="2" s="1" a="1"/>
  <c r="AE482" i="2" s="1"/>
  <c r="AF168" i="2"/>
  <c r="AE168" i="2" s="1" a="1"/>
  <c r="AE168" i="2" s="1"/>
  <c r="AF262" i="2"/>
  <c r="AE262" i="2" s="1" a="1"/>
  <c r="AE262" i="2" s="1"/>
  <c r="AF157" i="2"/>
  <c r="AE157" i="2" s="1" a="1"/>
  <c r="AE157" i="2" s="1"/>
  <c r="AF25" i="2"/>
  <c r="AE25" i="2" s="1" a="1"/>
  <c r="AE25" i="2" s="1"/>
  <c r="AF20" i="2"/>
  <c r="AE20" i="2" s="1" a="1"/>
  <c r="AE20" i="2" s="1"/>
  <c r="AF24" i="2"/>
  <c r="AE24" i="2" s="1" a="1"/>
  <c r="AE24" i="2" s="1"/>
  <c r="AF979" i="2"/>
  <c r="AE979" i="2" s="1" a="1"/>
  <c r="AE979" i="2" s="1"/>
  <c r="AF198" i="2"/>
  <c r="AE198" i="2" s="1" a="1"/>
  <c r="AE198" i="2" s="1"/>
  <c r="AF524" i="2"/>
  <c r="AE524" i="2" s="1" a="1"/>
  <c r="AE524" i="2" s="1"/>
  <c r="AF1124" i="2"/>
  <c r="AE1124" i="2" s="1" a="1"/>
  <c r="AE1124" i="2" s="1"/>
  <c r="AF805" i="2"/>
  <c r="AE805" i="2" s="1" a="1"/>
  <c r="AE805" i="2" s="1"/>
  <c r="AF553" i="2"/>
  <c r="AE553" i="2" s="1" a="1"/>
  <c r="AE553" i="2" s="1"/>
  <c r="AF426" i="2"/>
  <c r="AE426" i="2" s="1" a="1"/>
  <c r="AE426" i="2" s="1"/>
  <c r="AF156" i="2"/>
  <c r="AE156" i="2" s="1" a="1"/>
  <c r="AE156" i="2" s="1"/>
  <c r="AF1006" i="2"/>
  <c r="AE1006" i="2" s="1" a="1"/>
  <c r="AE1006" i="2" s="1"/>
  <c r="AF647" i="2"/>
  <c r="AE647" i="2" s="1" a="1"/>
  <c r="AE647" i="2" s="1"/>
  <c r="AF121" i="2"/>
  <c r="AE121" i="2" s="1" a="1"/>
  <c r="AE121" i="2" s="1"/>
  <c r="AF1093" i="2"/>
  <c r="AE1093" i="2" s="1" a="1"/>
  <c r="AE1093" i="2" s="1"/>
  <c r="AF612" i="2"/>
  <c r="AE612" i="2" s="1" a="1"/>
  <c r="AE612" i="2" s="1"/>
  <c r="AF1032" i="2"/>
  <c r="AE1032" i="2" s="1" a="1"/>
  <c r="AE1032" i="2" s="1"/>
  <c r="AF802" i="2"/>
  <c r="AE802" i="2" s="1" a="1"/>
  <c r="AE802" i="2" s="1"/>
  <c r="AF675" i="2"/>
  <c r="AE675" i="2" s="1" a="1"/>
  <c r="AE675" i="2" s="1"/>
  <c r="AF422" i="2"/>
  <c r="AE422" i="2" s="1" a="1"/>
  <c r="AE422" i="2" s="1"/>
  <c r="AF296" i="2"/>
  <c r="AE296" i="2" s="1" a="1"/>
  <c r="AE296" i="2" s="1"/>
  <c r="AF153" i="2"/>
  <c r="AE153" i="2" s="1" a="1"/>
  <c r="AE153" i="2" s="1"/>
  <c r="AF1091" i="2"/>
  <c r="AE1091" i="2" s="1" a="1"/>
  <c r="AE1091" i="2" s="1"/>
  <c r="AF974" i="2"/>
  <c r="AE974" i="2" s="1" a="1"/>
  <c r="AE974" i="2" s="1"/>
  <c r="AF736" i="2"/>
  <c r="AE736" i="2" s="1" a="1"/>
  <c r="AE736" i="2" s="1"/>
  <c r="AF610" i="2"/>
  <c r="AE610" i="2" s="1" a="1"/>
  <c r="AE610" i="2" s="1"/>
  <c r="AF800" i="2"/>
  <c r="AE800" i="2" s="1" a="1"/>
  <c r="AE800" i="2" s="1"/>
  <c r="AF673" i="2"/>
  <c r="AE673" i="2" s="1" a="1"/>
  <c r="AE673" i="2" s="1"/>
  <c r="AF547" i="2"/>
  <c r="AE547" i="2" s="1" a="1"/>
  <c r="AE547" i="2" s="1"/>
  <c r="AF294" i="2"/>
  <c r="AE294" i="2" s="1" a="1"/>
  <c r="AE294" i="2" s="1"/>
  <c r="AF151" i="2"/>
  <c r="AE151" i="2" s="1" a="1"/>
  <c r="AE151" i="2" s="1"/>
  <c r="AF1086" i="2"/>
  <c r="AE1086" i="2" s="1" a="1"/>
  <c r="AE1086" i="2" s="1"/>
  <c r="AF608" i="2"/>
  <c r="AE608" i="2" s="1" a="1"/>
  <c r="AE608" i="2" s="1"/>
  <c r="AF224" i="2"/>
  <c r="AE224" i="2" s="1" a="1"/>
  <c r="AE224" i="2" s="1"/>
  <c r="AF74" i="2"/>
  <c r="AE74" i="2" s="1" a="1"/>
  <c r="AE74" i="2" s="1"/>
  <c r="AF1027" i="2"/>
  <c r="AE1027" i="2" s="1" a="1"/>
  <c r="AE1027" i="2" s="1"/>
  <c r="AF671" i="2"/>
  <c r="AE671" i="2" s="1" a="1"/>
  <c r="AE671" i="2" s="1"/>
  <c r="AF291" i="2"/>
  <c r="AE291" i="2" s="1" a="1"/>
  <c r="AE291" i="2" s="1"/>
  <c r="AF1084" i="2"/>
  <c r="AE1084" i="2" s="1" a="1"/>
  <c r="AE1084" i="2" s="1"/>
  <c r="AF970" i="2"/>
  <c r="AE970" i="2" s="1" a="1"/>
  <c r="AE970" i="2" s="1"/>
  <c r="AF731" i="2"/>
  <c r="AE731" i="2" s="1" a="1"/>
  <c r="AE731" i="2" s="1"/>
  <c r="AF355" i="2"/>
  <c r="AE355" i="2" s="1" a="1"/>
  <c r="AE355" i="2" s="1"/>
  <c r="AF1025" i="2"/>
  <c r="AE1025" i="2" s="1" a="1"/>
  <c r="AE1025" i="2" s="1"/>
  <c r="AF910" i="2"/>
  <c r="AE910" i="2" s="1" a="1"/>
  <c r="AE910" i="2" s="1"/>
  <c r="AF792" i="2"/>
  <c r="AE792" i="2" s="1" a="1"/>
  <c r="AE792" i="2" s="1"/>
  <c r="AF289" i="2"/>
  <c r="AE289" i="2" s="1" a="1"/>
  <c r="AE289" i="2" s="1"/>
  <c r="AF145" i="2"/>
  <c r="AE145" i="2" s="1" a="1"/>
  <c r="AE145" i="2" s="1"/>
  <c r="AF1082" i="2"/>
  <c r="AE1082" i="2" s="1" a="1"/>
  <c r="AE1082" i="2" s="1"/>
  <c r="AF852" i="2"/>
  <c r="AE852" i="2" s="1" a="1"/>
  <c r="AE852" i="2" s="1"/>
  <c r="AF729" i="2"/>
  <c r="AE729" i="2" s="1" a="1"/>
  <c r="AE729" i="2" s="1"/>
  <c r="AF215" i="2"/>
  <c r="AE215" i="2" s="1" a="1"/>
  <c r="AE215" i="2" s="1"/>
  <c r="AF907" i="2"/>
  <c r="AE907" i="2" s="1" a="1"/>
  <c r="AE907" i="2" s="1"/>
  <c r="AF663" i="2"/>
  <c r="AE663" i="2" s="1" a="1"/>
  <c r="AE663" i="2" s="1"/>
  <c r="AF540" i="2"/>
  <c r="AE540" i="2" s="1" a="1"/>
  <c r="AE540" i="2" s="1"/>
  <c r="AF286" i="2"/>
  <c r="AE286" i="2" s="1" a="1"/>
  <c r="AE286" i="2" s="1"/>
  <c r="AF1080" i="2"/>
  <c r="AE1080" i="2" s="1" a="1"/>
  <c r="AE1080" i="2" s="1"/>
  <c r="AF850" i="2"/>
  <c r="AE850" i="2" s="1" a="1"/>
  <c r="AE850" i="2" s="1"/>
  <c r="AF474" i="2"/>
  <c r="AE474" i="2" s="1" a="1"/>
  <c r="AE474" i="2" s="1"/>
  <c r="AF347" i="2"/>
  <c r="AE347" i="2" s="1" a="1"/>
  <c r="AE347" i="2" s="1"/>
  <c r="AF1021" i="2"/>
  <c r="AE1021" i="2" s="1" a="1"/>
  <c r="AE1021" i="2" s="1"/>
  <c r="AF788" i="2"/>
  <c r="AE788" i="2" s="1" a="1"/>
  <c r="AE788" i="2" s="1"/>
  <c r="AF284" i="2"/>
  <c r="AE284" i="2" s="1" a="1"/>
  <c r="AE284" i="2" s="1"/>
  <c r="AF1077" i="2"/>
  <c r="AE1077" i="2" s="1" a="1"/>
  <c r="AE1077" i="2" s="1"/>
  <c r="AF845" i="2"/>
  <c r="AE845" i="2" s="1" a="1"/>
  <c r="AE845" i="2" s="1"/>
  <c r="AF470" i="2"/>
  <c r="AE470" i="2" s="1" a="1"/>
  <c r="AE470" i="2" s="1"/>
  <c r="AF345" i="2"/>
  <c r="AE345" i="2" s="1" a="1"/>
  <c r="AE345" i="2" s="1"/>
  <c r="AF659" i="2"/>
  <c r="AE659" i="2" s="1" a="1"/>
  <c r="AE659" i="2" s="1"/>
  <c r="AF408" i="2"/>
  <c r="AE408" i="2" s="1" a="1"/>
  <c r="AE408" i="2" s="1"/>
  <c r="AF282" i="2"/>
  <c r="AE282" i="2" s="1" a="1"/>
  <c r="AE282" i="2" s="1"/>
  <c r="AF959" i="2"/>
  <c r="AE959" i="2" s="1" a="1"/>
  <c r="AE959" i="2" s="1"/>
  <c r="AF843" i="2"/>
  <c r="AE843" i="2" s="1" a="1"/>
  <c r="AE843" i="2" s="1"/>
  <c r="AF343" i="2"/>
  <c r="AE343" i="2" s="1" a="1"/>
  <c r="AE343" i="2" s="1"/>
  <c r="AF1017" i="2"/>
  <c r="AE1017" i="2" s="1" a="1"/>
  <c r="AE1017" i="2" s="1"/>
  <c r="AF782" i="2"/>
  <c r="AE782" i="2" s="1" a="1"/>
  <c r="AE782" i="2" s="1"/>
  <c r="AF530" i="2"/>
  <c r="AE530" i="2" s="1" a="1"/>
  <c r="AE530" i="2" s="1"/>
  <c r="AF130" i="2"/>
  <c r="AE130" i="2" s="1" a="1"/>
  <c r="AE130" i="2" s="1"/>
  <c r="AF1101" i="2"/>
  <c r="AE1101" i="2" s="1" a="1"/>
  <c r="AE1101" i="2" s="1"/>
  <c r="AF985" i="2"/>
  <c r="AE985" i="2" s="1" a="1"/>
  <c r="AE985" i="2" s="1"/>
  <c r="AF869" i="2"/>
  <c r="AE869" i="2" s="1" a="1"/>
  <c r="AE869" i="2" s="1"/>
  <c r="AF751" i="2"/>
  <c r="AE751" i="2" s="1" a="1"/>
  <c r="AE751" i="2" s="1"/>
  <c r="AF240" i="2"/>
  <c r="AE240" i="2" s="1" a="1"/>
  <c r="AE240" i="2" s="1"/>
  <c r="AF95" i="2"/>
  <c r="AE95" i="2" s="1" a="1"/>
  <c r="AE95" i="2" s="1"/>
  <c r="AF840" i="2"/>
  <c r="AE840" i="2" s="1" a="1"/>
  <c r="AE840" i="2" s="1"/>
  <c r="AF716" i="2"/>
  <c r="AE716" i="2" s="1" a="1"/>
  <c r="AE716" i="2" s="1"/>
  <c r="AF592" i="2"/>
  <c r="AE592" i="2" s="1" a="1"/>
  <c r="AE592" i="2" s="1"/>
  <c r="AF465" i="2"/>
  <c r="AE465" i="2" s="1" a="1"/>
  <c r="AE465" i="2" s="1"/>
  <c r="AF926" i="2"/>
  <c r="AE926" i="2" s="1" a="1"/>
  <c r="AE926" i="2" s="1"/>
  <c r="AF557" i="2"/>
  <c r="AE557" i="2" s="1" a="1"/>
  <c r="AE557" i="2" s="1"/>
  <c r="AF307" i="2"/>
  <c r="AE307" i="2" s="1" a="1"/>
  <c r="AE307" i="2" s="1"/>
  <c r="AF1127" i="2"/>
  <c r="AE1127" i="2" s="1" a="1"/>
  <c r="AE1127" i="2" s="1"/>
  <c r="AF651" i="2"/>
  <c r="AE651" i="2" s="1" a="1"/>
  <c r="AE651" i="2" s="1"/>
  <c r="AF44" i="2"/>
  <c r="AE44" i="2" s="1" a="1"/>
  <c r="AE44" i="2" s="1"/>
  <c r="AF225" i="2"/>
  <c r="AE225" i="2" s="1" a="1"/>
  <c r="AE225" i="2" s="1"/>
  <c r="AF120" i="2"/>
  <c r="AE120" i="2" s="1" a="1"/>
  <c r="AE120" i="2" s="1"/>
  <c r="AF944" i="2"/>
  <c r="AE944" i="2" s="1" a="1"/>
  <c r="AE944" i="2" s="1"/>
  <c r="AF642" i="2"/>
  <c r="AE642" i="2" s="1" a="1"/>
  <c r="AE642" i="2" s="1"/>
  <c r="AF537" i="2"/>
  <c r="AE537" i="2" s="1" a="1"/>
  <c r="AE537" i="2" s="1"/>
  <c r="AF431" i="2"/>
  <c r="AE431" i="2" s="1" a="1"/>
  <c r="AE431" i="2" s="1"/>
  <c r="AF326" i="2"/>
  <c r="AE326" i="2" s="1" a="1"/>
  <c r="AE326" i="2" s="1"/>
  <c r="AF222" i="2"/>
  <c r="AE222" i="2" s="1" a="1"/>
  <c r="AE222" i="2" s="1"/>
  <c r="AF1112" i="2"/>
  <c r="AE1112" i="2" s="1" a="1"/>
  <c r="AE1112" i="2" s="1"/>
  <c r="AF823" i="2"/>
  <c r="AE823" i="2" s="1" a="1"/>
  <c r="AE823" i="2" s="1"/>
  <c r="AF614" i="2"/>
  <c r="AE614" i="2" s="1" a="1"/>
  <c r="AE614" i="2" s="1"/>
  <c r="AF299" i="2"/>
  <c r="AE299" i="2" s="1" a="1"/>
  <c r="AE299" i="2" s="1"/>
  <c r="AF796" i="2"/>
  <c r="AE796" i="2" s="1" a="1"/>
  <c r="AE796" i="2" s="1"/>
  <c r="AF272" i="2"/>
  <c r="AE272" i="2" s="1" a="1"/>
  <c r="AE272" i="2" s="1"/>
  <c r="AF62" i="2"/>
  <c r="AE62" i="2" s="1" a="1"/>
  <c r="AE62" i="2" s="1"/>
  <c r="AF1102" i="2"/>
  <c r="AE1102" i="2" s="1" a="1"/>
  <c r="AE1102" i="2" s="1"/>
  <c r="AF909" i="2"/>
  <c r="AE909" i="2" s="1" a="1"/>
  <c r="AE909" i="2" s="1"/>
  <c r="AF813" i="2"/>
  <c r="AE813" i="2" s="1" a="1"/>
  <c r="AE813" i="2" s="1"/>
  <c r="AF665" i="2"/>
  <c r="AE665" i="2" s="1" a="1"/>
  <c r="AE665" i="2" s="1"/>
  <c r="AF569" i="2"/>
  <c r="AE569" i="2" s="1" a="1"/>
  <c r="AE569" i="2" s="1"/>
  <c r="AF678" i="2"/>
  <c r="AE678" i="2" s="1" a="1"/>
  <c r="AE678" i="2" s="1"/>
  <c r="AF582" i="2"/>
  <c r="AE582" i="2" s="1" a="1"/>
  <c r="AE582" i="2" s="1"/>
  <c r="AF293" i="2"/>
  <c r="AE293" i="2" s="1" a="1"/>
  <c r="AE293" i="2" s="1"/>
  <c r="AF197" i="2"/>
  <c r="AE197" i="2" s="1" a="1"/>
  <c r="AE197" i="2" s="1"/>
  <c r="AF22" i="2"/>
  <c r="AE22" i="2" s="1" a="1"/>
  <c r="AE22" i="2" s="1"/>
  <c r="AF586" i="2"/>
  <c r="AE586" i="2" s="1" a="1"/>
  <c r="AE586" i="2" s="1"/>
  <c r="AF229" i="2"/>
  <c r="AE229" i="2" s="1" a="1"/>
  <c r="AE229" i="2" s="1"/>
  <c r="AF81" i="2"/>
  <c r="AE81" i="2" s="1" a="1"/>
  <c r="AE81" i="2" s="1"/>
  <c r="AF227" i="2"/>
  <c r="AE227" i="2" s="1" a="1"/>
  <c r="AE227" i="2" s="1"/>
  <c r="AF794" i="2"/>
  <c r="AE794" i="2" s="1" a="1"/>
  <c r="AE794" i="2" s="1"/>
  <c r="AF412" i="2"/>
  <c r="AE412" i="2" s="1" a="1"/>
  <c r="AE412" i="2" s="1"/>
  <c r="AF538" i="2"/>
  <c r="AE538" i="2" s="1" a="1"/>
  <c r="AE538" i="2" s="1"/>
  <c r="AF724" i="2"/>
  <c r="AE724" i="2" s="1" a="1"/>
  <c r="AE724" i="2" s="1"/>
  <c r="AF1075" i="2"/>
  <c r="AE1075" i="2" s="1" a="1"/>
  <c r="AE1075" i="2" s="1"/>
  <c r="AF206" i="2"/>
  <c r="AE206" i="2" s="1" a="1"/>
  <c r="AE206" i="2" s="1"/>
  <c r="AF57" i="2"/>
  <c r="AE57" i="2" s="1" a="1"/>
  <c r="AE57" i="2" s="1"/>
  <c r="AF406" i="2"/>
  <c r="AE406" i="2" s="1" a="1"/>
  <c r="AE406" i="2" s="1"/>
  <c r="AF955" i="2"/>
  <c r="AE955" i="2" s="1" a="1"/>
  <c r="AE955" i="2" s="1"/>
  <c r="AF338" i="2"/>
  <c r="AE338" i="2" s="1" a="1"/>
  <c r="AE338" i="2" s="1"/>
  <c r="AF203" i="2"/>
  <c r="AE203" i="2" s="1" a="1"/>
  <c r="AE203" i="2" s="1"/>
  <c r="AF51" i="2"/>
  <c r="AE51" i="2" s="1" a="1"/>
  <c r="AE51" i="2" s="1"/>
  <c r="AF1015" i="2"/>
  <c r="AE1015" i="2" s="1" a="1"/>
  <c r="AE1015" i="2" s="1"/>
  <c r="AF990" i="2"/>
  <c r="AE990" i="2" s="1" a="1"/>
  <c r="AE990" i="2" s="1"/>
  <c r="AF167" i="2"/>
  <c r="AE167" i="2" s="1" a="1"/>
  <c r="AE167" i="2" s="1"/>
  <c r="AF211" i="2"/>
  <c r="AE211" i="2" s="1" a="1"/>
  <c r="AE211" i="2" s="1"/>
  <c r="AF603" i="2"/>
  <c r="AE603" i="2" s="1" a="1"/>
  <c r="AE603" i="2" s="1"/>
  <c r="AF288" i="2"/>
  <c r="AE288" i="2" s="1" a="1"/>
  <c r="AE288" i="2" s="1"/>
  <c r="AF79" i="2"/>
  <c r="AE79" i="2" s="1" a="1"/>
  <c r="AE79" i="2" s="1"/>
  <c r="AF184" i="2"/>
  <c r="AE184" i="2" s="1" a="1"/>
  <c r="AE184" i="2" s="1"/>
  <c r="AF88" i="2"/>
  <c r="AE88" i="2" s="1" a="1"/>
  <c r="AE88" i="2" s="1"/>
  <c r="AF28" i="2"/>
  <c r="AE28" i="2" s="1" a="1"/>
  <c r="AE28" i="2" s="1"/>
  <c r="AF305" i="2"/>
  <c r="AE305" i="2" s="1" a="1"/>
  <c r="AE305" i="2" s="1"/>
  <c r="AF649" i="2"/>
  <c r="AE649" i="2" s="1" a="1"/>
  <c r="AE649" i="2" s="1"/>
  <c r="AF952" i="2"/>
  <c r="AE952" i="2" s="1" a="1"/>
  <c r="AE952" i="2" s="1"/>
  <c r="AF836" i="2"/>
  <c r="AE836" i="2" s="1" a="1"/>
  <c r="AE836" i="2" s="1"/>
  <c r="AF806" i="2"/>
  <c r="AE806" i="2" s="1" a="1"/>
  <c r="AE806" i="2" s="1"/>
  <c r="AF397" i="2"/>
  <c r="AE397" i="2" s="1" a="1"/>
  <c r="AE397" i="2" s="1"/>
  <c r="AF742" i="2"/>
  <c r="AE742" i="2" s="1" a="1"/>
  <c r="AE742" i="2" s="1"/>
  <c r="AF710" i="2"/>
  <c r="AE710" i="2" s="1" a="1"/>
  <c r="AE710" i="2" s="1"/>
  <c r="AF921" i="2"/>
  <c r="AE921" i="2" s="1" a="1"/>
  <c r="AE921" i="2" s="1"/>
  <c r="AF677" i="2"/>
  <c r="AE677" i="2" s="1" a="1"/>
  <c r="AE677" i="2" s="1"/>
  <c r="AF552" i="2"/>
  <c r="AE552" i="2" s="1" a="1"/>
  <c r="AE552" i="2" s="1"/>
  <c r="AF155" i="2"/>
  <c r="AE155" i="2" s="1" a="1"/>
  <c r="AE155" i="2" s="1"/>
  <c r="AF889" i="2"/>
  <c r="AE889" i="2" s="1" a="1"/>
  <c r="AE889" i="2" s="1"/>
  <c r="AF769" i="2"/>
  <c r="AE769" i="2" s="1" a="1"/>
  <c r="AE769" i="2" s="1"/>
  <c r="AF265" i="2"/>
  <c r="AE265" i="2" s="1" a="1"/>
  <c r="AE265" i="2" s="1"/>
  <c r="AF119" i="2"/>
  <c r="AE119" i="2" s="1" a="1"/>
  <c r="AE119" i="2" s="1"/>
  <c r="AF1061" i="2"/>
  <c r="AE1061" i="2" s="1" a="1"/>
  <c r="AE1061" i="2" s="1"/>
  <c r="AF453" i="2"/>
  <c r="AE453" i="2" s="1" a="1"/>
  <c r="AE453" i="2" s="1"/>
  <c r="AF189" i="2"/>
  <c r="AE189" i="2" s="1" a="1"/>
  <c r="AE189" i="2" s="1"/>
  <c r="AF887" i="2"/>
  <c r="AE887" i="2" s="1" a="1"/>
  <c r="AE887" i="2" s="1"/>
  <c r="AF767" i="2"/>
  <c r="AE767" i="2" s="1" a="1"/>
  <c r="AE767" i="2" s="1"/>
  <c r="AF644" i="2"/>
  <c r="AE644" i="2" s="1" a="1"/>
  <c r="AE644" i="2" s="1"/>
  <c r="AF517" i="2"/>
  <c r="AE517" i="2" s="1" a="1"/>
  <c r="AE517" i="2" s="1"/>
  <c r="AF327" i="2"/>
  <c r="AE327" i="2" s="1" a="1"/>
  <c r="AE327" i="2" s="1"/>
  <c r="AF187" i="2"/>
  <c r="AE187" i="2" s="1" a="1"/>
  <c r="AE187" i="2" s="1"/>
  <c r="AF1117" i="2"/>
  <c r="AE1117" i="2" s="1" a="1"/>
  <c r="AE1117" i="2" s="1"/>
  <c r="AF884" i="2"/>
  <c r="AE884" i="2" s="1" a="1"/>
  <c r="AE884" i="2" s="1"/>
  <c r="AF638" i="2"/>
  <c r="AE638" i="2" s="1" a="1"/>
  <c r="AE638" i="2" s="1"/>
  <c r="AF515" i="2"/>
  <c r="AE515" i="2" s="1" a="1"/>
  <c r="AE515" i="2" s="1"/>
  <c r="AF110" i="2"/>
  <c r="AE110" i="2" s="1" a="1"/>
  <c r="AE110" i="2" s="1"/>
  <c r="AF940" i="2"/>
  <c r="AE940" i="2" s="1" a="1"/>
  <c r="AE940" i="2" s="1"/>
  <c r="AF827" i="2"/>
  <c r="AE827" i="2" s="1" a="1"/>
  <c r="AE827" i="2" s="1"/>
  <c r="AF322" i="2"/>
  <c r="AE322" i="2" s="1" a="1"/>
  <c r="AE322" i="2" s="1"/>
  <c r="AF1115" i="2"/>
  <c r="AE1115" i="2" s="1" a="1"/>
  <c r="AE1115" i="2" s="1"/>
  <c r="AF257" i="2"/>
  <c r="AE257" i="2" s="1" a="1"/>
  <c r="AE257" i="2" s="1"/>
  <c r="AF108" i="2"/>
  <c r="AE108" i="2" s="1" a="1"/>
  <c r="AE108" i="2" s="1"/>
  <c r="AF938" i="2"/>
  <c r="AE938" i="2" s="1" a="1"/>
  <c r="AE938" i="2" s="1"/>
  <c r="AF825" i="2"/>
  <c r="AE825" i="2" s="1" a="1"/>
  <c r="AE825" i="2" s="1"/>
  <c r="AF699" i="2"/>
  <c r="AE699" i="2" s="1" a="1"/>
  <c r="AE699" i="2" s="1"/>
  <c r="AF320" i="2"/>
  <c r="AE320" i="2" s="1" a="1"/>
  <c r="AE320" i="2" s="1"/>
  <c r="AF180" i="2"/>
  <c r="AE180" i="2" s="1" a="1"/>
  <c r="AE180" i="2" s="1"/>
  <c r="AF1110" i="2"/>
  <c r="AE1110" i="2" s="1" a="1"/>
  <c r="AE1110" i="2" s="1"/>
  <c r="AF880" i="2"/>
  <c r="AE880" i="2" s="1" a="1"/>
  <c r="AE880" i="2" s="1"/>
  <c r="AF759" i="2"/>
  <c r="AE759" i="2" s="1" a="1"/>
  <c r="AE759" i="2" s="1"/>
  <c r="AF507" i="2"/>
  <c r="AE507" i="2" s="1" a="1"/>
  <c r="AE507" i="2" s="1"/>
  <c r="AF254" i="2"/>
  <c r="AE254" i="2" s="1" a="1"/>
  <c r="AE254" i="2" s="1"/>
  <c r="AF1051" i="2"/>
  <c r="AE1051" i="2" s="1" a="1"/>
  <c r="AE1051" i="2" s="1"/>
  <c r="AF936" i="2"/>
  <c r="AE936" i="2" s="1" a="1"/>
  <c r="AE936" i="2" s="1"/>
  <c r="AF697" i="2"/>
  <c r="AE697" i="2" s="1" a="1"/>
  <c r="AE697" i="2" s="1"/>
  <c r="AF571" i="2"/>
  <c r="AE571" i="2" s="1" a="1"/>
  <c r="AE571" i="2" s="1"/>
  <c r="AF318" i="2"/>
  <c r="AE318" i="2" s="1" a="1"/>
  <c r="AE318" i="2" s="1"/>
  <c r="AF994" i="2"/>
  <c r="AE994" i="2" s="1" a="1"/>
  <c r="AE994" i="2" s="1"/>
  <c r="AF252" i="2"/>
  <c r="AE252" i="2" s="1" a="1"/>
  <c r="AE252" i="2" s="1"/>
  <c r="AF934" i="2"/>
  <c r="AE934" i="2" s="1" a="1"/>
  <c r="AE934" i="2" s="1"/>
  <c r="AF568" i="2"/>
  <c r="AE568" i="2" s="1" a="1"/>
  <c r="AE568" i="2" s="1"/>
  <c r="AF176" i="2"/>
  <c r="AE176" i="2" s="1" a="1"/>
  <c r="AE176" i="2" s="1"/>
  <c r="AF1106" i="2"/>
  <c r="AE1106" i="2" s="1" a="1"/>
  <c r="AE1106" i="2" s="1"/>
  <c r="AF503" i="2"/>
  <c r="AE503" i="2" s="1" a="1"/>
  <c r="AE503" i="2" s="1"/>
  <c r="AF244" i="2"/>
  <c r="AE244" i="2" s="1" a="1"/>
  <c r="AE244" i="2" s="1"/>
  <c r="AF99" i="2"/>
  <c r="AE99" i="2" s="1" a="1"/>
  <c r="AE99" i="2" s="1"/>
  <c r="AF1047" i="2"/>
  <c r="AE1047" i="2" s="1" a="1"/>
  <c r="AE1047" i="2" s="1"/>
  <c r="AF816" i="2"/>
  <c r="AE816" i="2" s="1" a="1"/>
  <c r="AE816" i="2" s="1"/>
  <c r="AF439" i="2"/>
  <c r="AE439" i="2" s="1" a="1"/>
  <c r="AE439" i="2" s="1"/>
  <c r="AF174" i="2"/>
  <c r="AE174" i="2" s="1" a="1"/>
  <c r="AE174" i="2" s="1"/>
  <c r="AF987" i="2"/>
  <c r="AE987" i="2" s="1" a="1"/>
  <c r="AE987" i="2" s="1"/>
  <c r="AF753" i="2"/>
  <c r="AE753" i="2" s="1" a="1"/>
  <c r="AE753" i="2" s="1"/>
  <c r="AF626" i="2"/>
  <c r="AE626" i="2" s="1" a="1"/>
  <c r="AE626" i="2" s="1"/>
  <c r="AF501" i="2"/>
  <c r="AE501" i="2" s="1" a="1"/>
  <c r="AE501" i="2" s="1"/>
  <c r="AF373" i="2"/>
  <c r="AE373" i="2" s="1" a="1"/>
  <c r="AE373" i="2" s="1"/>
  <c r="AF97" i="2"/>
  <c r="AE97" i="2" s="1" a="1"/>
  <c r="AE97" i="2" s="1"/>
  <c r="AF1045" i="2"/>
  <c r="AE1045" i="2" s="1" a="1"/>
  <c r="AE1045" i="2" s="1"/>
  <c r="AF564" i="2"/>
  <c r="AE564" i="2" s="1" a="1"/>
  <c r="AE564" i="2" s="1"/>
  <c r="AF1130" i="2"/>
  <c r="AE1130" i="2" s="1" a="1"/>
  <c r="AE1130" i="2" s="1"/>
  <c r="AF402" i="2"/>
  <c r="AE402" i="2" s="1" a="1"/>
  <c r="AE402" i="2" s="1"/>
  <c r="AF278" i="2"/>
  <c r="AE278" i="2" s="1" a="1"/>
  <c r="AE278" i="2" s="1"/>
  <c r="AF129" i="2"/>
  <c r="AE129" i="2" s="1" a="1"/>
  <c r="AE129" i="2" s="1"/>
  <c r="AF1100" i="2"/>
  <c r="AE1100" i="2" s="1" a="1"/>
  <c r="AE1100" i="2" s="1"/>
  <c r="AF749" i="2"/>
  <c r="AE749" i="2" s="1" a="1"/>
  <c r="AE749" i="2" s="1"/>
  <c r="AF623" i="2"/>
  <c r="AE623" i="2" s="1" a="1"/>
  <c r="AE623" i="2" s="1"/>
  <c r="AF495" i="2"/>
  <c r="AE495" i="2" s="1" a="1"/>
  <c r="AE495" i="2" s="1"/>
  <c r="AF239" i="2"/>
  <c r="AE239" i="2" s="1" a="1"/>
  <c r="AE239" i="2" s="1"/>
  <c r="AF839" i="2"/>
  <c r="AE839" i="2" s="1" a="1"/>
  <c r="AE839" i="2" s="1"/>
  <c r="AF464" i="2"/>
  <c r="AE464" i="2" s="1" a="1"/>
  <c r="AE464" i="2" s="1"/>
  <c r="AF337" i="2"/>
  <c r="AE337" i="2" s="1" a="1"/>
  <c r="AE337" i="2" s="1"/>
  <c r="AF925" i="2"/>
  <c r="AE925" i="2" s="1" a="1"/>
  <c r="AE925" i="2" s="1"/>
  <c r="AF683" i="2"/>
  <c r="AE683" i="2" s="1" a="1"/>
  <c r="AE683" i="2" s="1"/>
  <c r="AF556" i="2"/>
  <c r="AE556" i="2" s="1" a="1"/>
  <c r="AE556" i="2" s="1"/>
  <c r="AF306" i="2"/>
  <c r="AE306" i="2" s="1" a="1"/>
  <c r="AE306" i="2" s="1"/>
  <c r="AF45" i="2"/>
  <c r="AE45" i="2" s="1" a="1"/>
  <c r="AE45" i="2" s="1"/>
  <c r="AF146" i="2"/>
  <c r="AE146" i="2" s="1" a="1"/>
  <c r="AE146" i="2" s="1"/>
  <c r="AF42" i="2"/>
  <c r="AE42" i="2" s="1" a="1"/>
  <c r="AE42" i="2" s="1"/>
  <c r="AF668" i="2"/>
  <c r="AE668" i="2" s="1" a="1"/>
  <c r="AE668" i="2" s="1"/>
  <c r="AF563" i="2"/>
  <c r="AE563" i="2" s="1" a="1"/>
  <c r="AE563" i="2" s="1"/>
  <c r="AF1039" i="2"/>
  <c r="AE1039" i="2" s="1" a="1"/>
  <c r="AE1039" i="2" s="1"/>
  <c r="AF745" i="2"/>
  <c r="AE745" i="2" s="1" a="1"/>
  <c r="AE745" i="2" s="1"/>
  <c r="AF640" i="2"/>
  <c r="AE640" i="2" s="1" a="1"/>
  <c r="AE640" i="2" s="1"/>
  <c r="AF325" i="2"/>
  <c r="AE325" i="2" s="1" a="1"/>
  <c r="AE325" i="2" s="1"/>
  <c r="AF116" i="2"/>
  <c r="AE116" i="2" s="1" a="1"/>
  <c r="AE116" i="2" s="1"/>
  <c r="AF1111" i="2"/>
  <c r="AE1111" i="2" s="1" a="1"/>
  <c r="AE1111" i="2" s="1"/>
  <c r="AF918" i="2"/>
  <c r="AE918" i="2" s="1" a="1"/>
  <c r="AE918" i="2" s="1"/>
  <c r="AF508" i="2"/>
  <c r="AE508" i="2" s="1" a="1"/>
  <c r="AE508" i="2" s="1"/>
  <c r="AF403" i="2"/>
  <c r="AE403" i="2" s="1" a="1"/>
  <c r="AE403" i="2" s="1"/>
  <c r="AF298" i="2"/>
  <c r="AE298" i="2" s="1" a="1"/>
  <c r="AE298" i="2" s="1"/>
  <c r="AF193" i="2"/>
  <c r="AE193" i="2" s="1" a="1"/>
  <c r="AE193" i="2" s="1"/>
  <c r="AF237" i="2"/>
  <c r="AE237" i="2" s="1" a="1"/>
  <c r="AE237" i="2" s="1"/>
  <c r="AF132" i="2"/>
  <c r="AE132" i="2" s="1" a="1"/>
  <c r="AE132" i="2" s="1"/>
  <c r="AF1029" i="2"/>
  <c r="AE1029" i="2" s="1" a="1"/>
  <c r="AE1029" i="2" s="1"/>
  <c r="AF734" i="2"/>
  <c r="AE734" i="2" s="1" a="1"/>
  <c r="AE734" i="2" s="1"/>
  <c r="AF419" i="2"/>
  <c r="AE419" i="2" s="1" a="1"/>
  <c r="AE419" i="2" s="1"/>
  <c r="AF785" i="2"/>
  <c r="AE785" i="2" s="1" a="1"/>
  <c r="AE785" i="2" s="1"/>
  <c r="AF496" i="2"/>
  <c r="AE496" i="2" s="1" a="1"/>
  <c r="AE496" i="2" s="1"/>
  <c r="AF304" i="2"/>
  <c r="AE304" i="2" s="1" a="1"/>
  <c r="AE304" i="2" s="1"/>
  <c r="AF798" i="2"/>
  <c r="AE798" i="2" s="1" a="1"/>
  <c r="AE798" i="2" s="1"/>
  <c r="AF1036" i="2"/>
  <c r="AE1036" i="2" s="1" a="1"/>
  <c r="AE1036" i="2" s="1"/>
  <c r="AF864" i="2"/>
  <c r="AE864" i="2" s="1" a="1"/>
  <c r="AE864" i="2" s="1"/>
  <c r="AF47" i="2"/>
  <c r="AE47" i="2" s="1" a="1"/>
  <c r="AE47" i="2" s="1"/>
  <c r="AF427" i="2"/>
  <c r="AE427" i="2" s="1" a="1"/>
  <c r="AE427" i="2" s="1"/>
  <c r="AF743" i="2"/>
  <c r="AE743" i="2" s="1" a="1"/>
  <c r="AE743" i="2" s="1"/>
  <c r="AF1122" i="2"/>
  <c r="AE1122" i="2" s="1" a="1"/>
  <c r="AE1122" i="2" s="1"/>
  <c r="AF394" i="2"/>
  <c r="AE394" i="2" s="1" a="1"/>
  <c r="AE394" i="2" s="1"/>
  <c r="AF976" i="2"/>
  <c r="AE976" i="2" s="1" a="1"/>
  <c r="AE976" i="2" s="1"/>
  <c r="AF359" i="2"/>
  <c r="AE359" i="2" s="1" a="1"/>
  <c r="AE359" i="2" s="1"/>
  <c r="AF1030" i="2"/>
  <c r="AE1030" i="2" s="1" a="1"/>
  <c r="AE1030" i="2" s="1"/>
  <c r="AF856" i="2"/>
  <c r="AE856" i="2" s="1" a="1"/>
  <c r="AE856" i="2" s="1"/>
  <c r="AF417" i="2"/>
  <c r="AE417" i="2" s="1" a="1"/>
  <c r="AE417" i="2" s="1"/>
  <c r="AF478" i="2"/>
  <c r="AE478" i="2" s="1" a="1"/>
  <c r="AE478" i="2" s="1"/>
  <c r="AF415" i="2"/>
  <c r="AE415" i="2" s="1" a="1"/>
  <c r="AE415" i="2" s="1"/>
  <c r="AF349" i="2"/>
  <c r="AE349" i="2" s="1" a="1"/>
  <c r="AE349" i="2" s="1"/>
  <c r="AF1023" i="2"/>
  <c r="AE1023" i="2" s="1" a="1"/>
  <c r="AE1023" i="2" s="1"/>
  <c r="AF600" i="2"/>
  <c r="AE600" i="2" s="1" a="1"/>
  <c r="AE600" i="2" s="1"/>
  <c r="AF213" i="2"/>
  <c r="AE213" i="2" s="1" a="1"/>
  <c r="AE213" i="2" s="1"/>
  <c r="AF905" i="2"/>
  <c r="AE905" i="2" s="1" a="1"/>
  <c r="AE905" i="2" s="1"/>
  <c r="AF410" i="2"/>
  <c r="AE410" i="2" s="1" a="1"/>
  <c r="AE410" i="2" s="1"/>
  <c r="AF468" i="2"/>
  <c r="AE468" i="2" s="1" a="1"/>
  <c r="AE468" i="2" s="1"/>
  <c r="AF684" i="2"/>
  <c r="AE684" i="2" s="1" a="1"/>
  <c r="AE684" i="2" s="1"/>
  <c r="AF1040" i="2"/>
  <c r="AE1040" i="2" s="1" a="1"/>
  <c r="AE1040" i="2" s="1"/>
  <c r="AF404" i="2"/>
  <c r="AE404" i="2" s="1" a="1"/>
  <c r="AE404" i="2" s="1"/>
  <c r="AF1087" i="2"/>
  <c r="AE1087" i="2" s="1" a="1"/>
  <c r="AE1087" i="2" s="1"/>
  <c r="AF894" i="2"/>
  <c r="AE894" i="2" s="1" a="1"/>
  <c r="AE894" i="2" s="1"/>
  <c r="AF692" i="2"/>
  <c r="AE692" i="2" s="1" a="1"/>
  <c r="AE692" i="2" s="1"/>
  <c r="AF587" i="2"/>
  <c r="AE587" i="2" s="1" a="1"/>
  <c r="AE587" i="2" s="1"/>
  <c r="AF708" i="2"/>
  <c r="AE708" i="2" s="1" a="1"/>
  <c r="AE708" i="2" s="1"/>
  <c r="AF761" i="2"/>
  <c r="AE761" i="2" s="1" a="1"/>
  <c r="AE761" i="2" s="1"/>
  <c r="AF472" i="2"/>
  <c r="AE472" i="2" s="1" a="1"/>
  <c r="AE472" i="2" s="1"/>
  <c r="AF280" i="2"/>
  <c r="AE280" i="2" s="1" a="1"/>
  <c r="AE280" i="2" s="1"/>
  <c r="AF389" i="2"/>
  <c r="AE389" i="2" s="1" a="1"/>
  <c r="AE389" i="2" s="1"/>
  <c r="AF15" i="2"/>
  <c r="AE15" i="2" s="1" a="1"/>
  <c r="AE15" i="2" s="1"/>
  <c r="AF1069" i="2"/>
  <c r="AE1069" i="2" s="1" a="1"/>
  <c r="AE1069" i="2" s="1"/>
  <c r="AF234" i="2"/>
  <c r="AE234" i="2" s="1" a="1"/>
  <c r="AE234" i="2" s="1"/>
  <c r="AF893" i="2"/>
  <c r="AE893" i="2" s="1" a="1"/>
  <c r="AE893" i="2" s="1"/>
  <c r="AF460" i="2"/>
  <c r="AE460" i="2" s="1" a="1"/>
  <c r="AE460" i="2" s="1"/>
  <c r="AF584" i="2"/>
  <c r="AE584" i="2" s="1" a="1"/>
  <c r="AE584" i="2" s="1"/>
  <c r="AF46" i="2"/>
  <c r="AE46" i="2" s="1" a="1"/>
  <c r="AE46" i="2" s="1"/>
  <c r="AF32" i="2"/>
  <c r="AE32" i="2" s="1" a="1"/>
  <c r="AE32" i="2" s="1"/>
  <c r="AF19" i="2"/>
  <c r="AE19" i="2" s="1" a="1"/>
  <c r="AE19" i="2" s="1"/>
  <c r="AF30" i="2"/>
  <c r="AE30" i="2" s="1" a="1"/>
  <c r="AE30" i="2" s="1"/>
  <c r="AF36" i="2"/>
  <c r="AE36" i="2" s="1" a="1"/>
  <c r="AE36" i="2" s="1"/>
  <c r="AF711" i="2"/>
  <c r="AE711" i="2" s="1" a="1"/>
  <c r="AE711" i="2" s="1"/>
  <c r="AF681" i="2"/>
  <c r="AE681" i="2" s="1" a="1"/>
  <c r="AE681" i="2" s="1"/>
  <c r="AF303" i="2"/>
  <c r="AE303" i="2" s="1" a="1"/>
  <c r="AE303" i="2" s="1"/>
  <c r="AF1008" i="2"/>
  <c r="AE1008" i="2" s="1" a="1"/>
  <c r="AE1008" i="2" s="1"/>
  <c r="AF951" i="2"/>
  <c r="AE951" i="2" s="1" a="1"/>
  <c r="AE951" i="2" s="1"/>
  <c r="AF492" i="2"/>
  <c r="AE492" i="2" s="1" a="1"/>
  <c r="AE492" i="2" s="1"/>
  <c r="AF84" i="2"/>
  <c r="AE84" i="2" s="1" a="1"/>
  <c r="AE84" i="2" s="1"/>
  <c r="AF777" i="2"/>
  <c r="AE777" i="2" s="1" a="1"/>
  <c r="AE777" i="2" s="1"/>
  <c r="AF396" i="2"/>
  <c r="AE396" i="2" s="1" a="1"/>
  <c r="AE396" i="2" s="1"/>
  <c r="AF978" i="2"/>
  <c r="AE978" i="2" s="1" a="1"/>
  <c r="AE978" i="2" s="1"/>
  <c r="AF863" i="2"/>
  <c r="AE863" i="2" s="1" a="1"/>
  <c r="AE863" i="2" s="1"/>
  <c r="AF741" i="2"/>
  <c r="AE741" i="2" s="1" a="1"/>
  <c r="AE741" i="2" s="1"/>
  <c r="AF363" i="2"/>
  <c r="AE363" i="2" s="1" a="1"/>
  <c r="AE363" i="2" s="1"/>
  <c r="AF1066" i="2"/>
  <c r="AE1066" i="2" s="1" a="1"/>
  <c r="AE1066" i="2" s="1"/>
  <c r="AF949" i="2"/>
  <c r="AE949" i="2" s="1" a="1"/>
  <c r="AE949" i="2" s="1"/>
  <c r="AF833" i="2"/>
  <c r="AE833" i="2" s="1" a="1"/>
  <c r="AE833" i="2" s="1"/>
  <c r="AF41" i="2"/>
  <c r="AE41" i="2" s="1" a="1"/>
  <c r="AE41" i="2" s="1"/>
  <c r="AF550" i="2"/>
  <c r="AE550" i="2" s="1" a="1"/>
  <c r="AE550" i="2" s="1"/>
  <c r="AF297" i="2"/>
  <c r="AE297" i="2" s="1" a="1"/>
  <c r="AE297" i="2" s="1"/>
  <c r="AF154" i="2"/>
  <c r="AE154" i="2" s="1" a="1"/>
  <c r="AE154" i="2" s="1"/>
  <c r="AF859" i="2"/>
  <c r="AE859" i="2" s="1" a="1"/>
  <c r="AE859" i="2" s="1"/>
  <c r="AF611" i="2"/>
  <c r="AE611" i="2" s="1" a="1"/>
  <c r="AE611" i="2" s="1"/>
  <c r="AF487" i="2"/>
  <c r="AE487" i="2" s="1" a="1"/>
  <c r="AE487" i="2" s="1"/>
  <c r="AF228" i="2"/>
  <c r="AE228" i="2" s="1" a="1"/>
  <c r="AE228" i="2" s="1"/>
  <c r="AF78" i="2"/>
  <c r="AE78" i="2" s="1" a="1"/>
  <c r="AE78" i="2" s="1"/>
  <c r="AF1031" i="2"/>
  <c r="AE1031" i="2" s="1" a="1"/>
  <c r="AE1031" i="2" s="1"/>
  <c r="AF915" i="2"/>
  <c r="AE915" i="2" s="1" a="1"/>
  <c r="AE915" i="2" s="1"/>
  <c r="AF801" i="2"/>
  <c r="AE801" i="2" s="1" a="1"/>
  <c r="AE801" i="2" s="1"/>
  <c r="AF674" i="2"/>
  <c r="AE674" i="2" s="1" a="1"/>
  <c r="AE674" i="2" s="1"/>
  <c r="AF548" i="2"/>
  <c r="AE548" i="2" s="1" a="1"/>
  <c r="AE548" i="2" s="1"/>
  <c r="AF295" i="2"/>
  <c r="AE295" i="2" s="1" a="1"/>
  <c r="AE295" i="2" s="1"/>
  <c r="AF1090" i="2"/>
  <c r="AE1090" i="2" s="1" a="1"/>
  <c r="AE1090" i="2" s="1"/>
  <c r="AF973" i="2"/>
  <c r="AE973" i="2" s="1" a="1"/>
  <c r="AE973" i="2" s="1"/>
  <c r="AF735" i="2"/>
  <c r="AE735" i="2" s="1" a="1"/>
  <c r="AE735" i="2" s="1"/>
  <c r="AF609" i="2"/>
  <c r="AE609" i="2" s="1" a="1"/>
  <c r="AE609" i="2" s="1"/>
  <c r="AF484" i="2"/>
  <c r="AE484" i="2" s="1" a="1"/>
  <c r="AE484" i="2" s="1"/>
  <c r="AF75" i="2"/>
  <c r="AE75" i="2" s="1" a="1"/>
  <c r="AE75" i="2" s="1"/>
  <c r="AF913" i="2"/>
  <c r="AE913" i="2" s="1" a="1"/>
  <c r="AE913" i="2" s="1"/>
  <c r="AF546" i="2"/>
  <c r="AE546" i="2" s="1" a="1"/>
  <c r="AE546" i="2" s="1"/>
  <c r="AF292" i="2"/>
  <c r="AE292" i="2" s="1" a="1"/>
  <c r="AE292" i="2" s="1"/>
  <c r="AF971" i="2"/>
  <c r="AE971" i="2" s="1" a="1"/>
  <c r="AE971" i="2" s="1"/>
  <c r="AF670" i="2"/>
  <c r="AE670" i="2" s="1" a="1"/>
  <c r="AE670" i="2" s="1"/>
  <c r="AF543" i="2"/>
  <c r="AE543" i="2" s="1" a="1"/>
  <c r="AE543" i="2" s="1"/>
  <c r="AF290" i="2"/>
  <c r="AE290" i="2" s="1" a="1"/>
  <c r="AE290" i="2" s="1"/>
  <c r="AF147" i="2"/>
  <c r="AE147" i="2" s="1" a="1"/>
  <c r="AE147" i="2" s="1"/>
  <c r="AF1083" i="2"/>
  <c r="AE1083" i="2" s="1" a="1"/>
  <c r="AE1083" i="2" s="1"/>
  <c r="AF730" i="2"/>
  <c r="AE730" i="2" s="1" a="1"/>
  <c r="AE730" i="2" s="1"/>
  <c r="AF354" i="2"/>
  <c r="AE354" i="2" s="1" a="1"/>
  <c r="AE354" i="2" s="1"/>
  <c r="AF908" i="2"/>
  <c r="AE908" i="2" s="1" a="1"/>
  <c r="AE908" i="2" s="1"/>
  <c r="AF791" i="2"/>
  <c r="AE791" i="2" s="1" a="1"/>
  <c r="AE791" i="2" s="1"/>
  <c r="AF414" i="2"/>
  <c r="AE414" i="2" s="1" a="1"/>
  <c r="AE414" i="2" s="1"/>
  <c r="AF140" i="2"/>
  <c r="AE140" i="2" s="1" a="1"/>
  <c r="AE140" i="2" s="1"/>
  <c r="AF728" i="2"/>
  <c r="AE728" i="2" s="1" a="1"/>
  <c r="AE728" i="2" s="1"/>
  <c r="AF601" i="2"/>
  <c r="AE601" i="2" s="1" a="1"/>
  <c r="AE601" i="2" s="1"/>
  <c r="AF348" i="2"/>
  <c r="AE348" i="2" s="1" a="1"/>
  <c r="AE348" i="2" s="1"/>
  <c r="AF214" i="2"/>
  <c r="AE214" i="2" s="1" a="1"/>
  <c r="AE214" i="2" s="1"/>
  <c r="AF69" i="2"/>
  <c r="AE69" i="2" s="1" a="1"/>
  <c r="AE69" i="2" s="1"/>
  <c r="AF1022" i="2"/>
  <c r="AE1022" i="2" s="1" a="1"/>
  <c r="AE1022" i="2" s="1"/>
  <c r="AF789" i="2"/>
  <c r="AE789" i="2" s="1" a="1"/>
  <c r="AE789" i="2" s="1"/>
  <c r="AF411" i="2"/>
  <c r="AE411" i="2" s="1" a="1"/>
  <c r="AE411" i="2" s="1"/>
  <c r="AF138" i="2"/>
  <c r="AE138" i="2" s="1" a="1"/>
  <c r="AE138" i="2" s="1"/>
  <c r="AF962" i="2"/>
  <c r="AE962" i="2" s="1" a="1"/>
  <c r="AE962" i="2" s="1"/>
  <c r="AF599" i="2"/>
  <c r="AE599" i="2" s="1" a="1"/>
  <c r="AE599" i="2" s="1"/>
  <c r="AF346" i="2"/>
  <c r="AE346" i="2" s="1" a="1"/>
  <c r="AE346" i="2" s="1"/>
  <c r="AF1020" i="2"/>
  <c r="AE1020" i="2" s="1" a="1"/>
  <c r="AE1020" i="2" s="1"/>
  <c r="AF904" i="2"/>
  <c r="AE904" i="2" s="1" a="1"/>
  <c r="AE904" i="2" s="1"/>
  <c r="AF660" i="2"/>
  <c r="AE660" i="2" s="1" a="1"/>
  <c r="AE660" i="2" s="1"/>
  <c r="AF409" i="2"/>
  <c r="AE409" i="2" s="1" a="1"/>
  <c r="AE409" i="2" s="1"/>
  <c r="AF283" i="2"/>
  <c r="AE283" i="2" s="1" a="1"/>
  <c r="AE283" i="2" s="1"/>
  <c r="AF135" i="2"/>
  <c r="AE135" i="2" s="1" a="1"/>
  <c r="AE135" i="2" s="1"/>
  <c r="AF1076" i="2"/>
  <c r="AE1076" i="2" s="1" a="1"/>
  <c r="AE1076" i="2" s="1"/>
  <c r="AF960" i="2"/>
  <c r="AE960" i="2" s="1" a="1"/>
  <c r="AE960" i="2" s="1"/>
  <c r="AF844" i="2"/>
  <c r="AE844" i="2" s="1" a="1"/>
  <c r="AE844" i="2" s="1"/>
  <c r="AF723" i="2"/>
  <c r="AE723" i="2" s="1" a="1"/>
  <c r="AE723" i="2" s="1"/>
  <c r="AF597" i="2"/>
  <c r="AE597" i="2" s="1" a="1"/>
  <c r="AE597" i="2" s="1"/>
  <c r="AF59" i="2"/>
  <c r="AE59" i="2" s="1" a="1"/>
  <c r="AE59" i="2" s="1"/>
  <c r="AF1018" i="2"/>
  <c r="AE1018" i="2" s="1" a="1"/>
  <c r="AE1018" i="2" s="1"/>
  <c r="AF783" i="2"/>
  <c r="AE783" i="2" s="1" a="1"/>
  <c r="AE783" i="2" s="1"/>
  <c r="AF531" i="2"/>
  <c r="AE531" i="2" s="1" a="1"/>
  <c r="AE531" i="2" s="1"/>
  <c r="AF1074" i="2"/>
  <c r="AE1074" i="2" s="1" a="1"/>
  <c r="AE1074" i="2" s="1"/>
  <c r="AF842" i="2"/>
  <c r="AE842" i="2" s="1" a="1"/>
  <c r="AE842" i="2" s="1"/>
  <c r="AF595" i="2"/>
  <c r="AE595" i="2" s="1" a="1"/>
  <c r="AE595" i="2" s="1"/>
  <c r="AF467" i="2"/>
  <c r="AE467" i="2" s="1" a="1"/>
  <c r="AE467" i="2" s="1"/>
  <c r="AF342" i="2"/>
  <c r="AE342" i="2" s="1" a="1"/>
  <c r="AE342" i="2" s="1"/>
  <c r="AF928" i="2"/>
  <c r="AE928" i="2" s="1" a="1"/>
  <c r="AE928" i="2" s="1"/>
  <c r="AF560" i="2"/>
  <c r="AE560" i="2" s="1" a="1"/>
  <c r="AE560" i="2" s="1"/>
  <c r="AF435" i="2"/>
  <c r="AE435" i="2" s="1" a="1"/>
  <c r="AE435" i="2" s="1"/>
  <c r="AF1012" i="2"/>
  <c r="AE1012" i="2" s="1" a="1"/>
  <c r="AE1012" i="2" s="1"/>
  <c r="AF899" i="2"/>
  <c r="AE899" i="2" s="1" a="1"/>
  <c r="AE899" i="2" s="1"/>
  <c r="AF528" i="2"/>
  <c r="AE528" i="2" s="1" a="1"/>
  <c r="AE528" i="2" s="1"/>
  <c r="AF401" i="2"/>
  <c r="AE401" i="2" s="1" a="1"/>
  <c r="AE401" i="2" s="1"/>
  <c r="AF748" i="2"/>
  <c r="AE748" i="2" s="1" a="1"/>
  <c r="AE748" i="2" s="1"/>
  <c r="AF622" i="2"/>
  <c r="AE622" i="2" s="1" a="1"/>
  <c r="AE622" i="2" s="1"/>
  <c r="AF369" i="2"/>
  <c r="AE369" i="2" s="1" a="1"/>
  <c r="AE369" i="2" s="1"/>
  <c r="AF1070" i="2"/>
  <c r="AE1070" i="2" s="1" a="1"/>
  <c r="AE1070" i="2" s="1"/>
  <c r="AF953" i="2"/>
  <c r="AE953" i="2" s="1" a="1"/>
  <c r="AE953" i="2" s="1"/>
  <c r="AF838" i="2"/>
  <c r="AE838" i="2" s="1" a="1"/>
  <c r="AE838" i="2" s="1"/>
  <c r="AF714" i="2"/>
  <c r="AE714" i="2" s="1" a="1"/>
  <c r="AE714" i="2" s="1"/>
  <c r="AF590" i="2"/>
  <c r="AE590" i="2" s="1" a="1"/>
  <c r="AE590" i="2" s="1"/>
  <c r="AF336" i="2"/>
  <c r="AE336" i="2" s="1" a="1"/>
  <c r="AE336" i="2" s="1"/>
  <c r="AF49" i="2"/>
  <c r="AE49" i="2" s="1" a="1"/>
  <c r="AE49" i="2" s="1"/>
  <c r="AF68" i="2"/>
  <c r="AE68" i="2" s="1" a="1"/>
  <c r="AE68" i="2" s="1"/>
  <c r="AF196" i="2"/>
  <c r="AE196" i="2" s="1" a="1"/>
  <c r="AE196" i="2" s="1"/>
  <c r="AF92" i="2"/>
  <c r="AE92" i="2" s="1" a="1"/>
  <c r="AE92" i="2" s="1"/>
  <c r="AF992" i="2"/>
  <c r="AE992" i="2" s="1" a="1"/>
  <c r="AE992" i="2" s="1"/>
  <c r="AF589" i="2"/>
  <c r="AE589" i="2" s="1" a="1"/>
  <c r="AE589" i="2" s="1"/>
  <c r="AF379" i="2"/>
  <c r="AE379" i="2" s="1" a="1"/>
  <c r="AE379" i="2" s="1"/>
  <c r="AF274" i="2"/>
  <c r="AE274" i="2" s="1" a="1"/>
  <c r="AE274" i="2" s="1"/>
  <c r="AF169" i="2"/>
  <c r="AE169" i="2" s="1" a="1"/>
  <c r="AE169" i="2" s="1"/>
  <c r="AF351" i="2"/>
  <c r="AE351" i="2" s="1" a="1"/>
  <c r="AE351" i="2" s="1"/>
  <c r="AF142" i="2"/>
  <c r="AE142" i="2" s="1" a="1"/>
  <c r="AE142" i="2" s="1"/>
  <c r="AF639" i="2"/>
  <c r="AE639" i="2" s="1" a="1"/>
  <c r="AE639" i="2" s="1"/>
  <c r="AF115" i="2"/>
  <c r="AE115" i="2" s="1" a="1"/>
  <c r="AE115" i="2" s="1"/>
  <c r="AF263" i="2"/>
  <c r="AE263" i="2" s="1" a="1"/>
  <c r="AE263" i="2" s="1"/>
  <c r="AF54" i="2"/>
  <c r="AE54" i="2" s="1" a="1"/>
  <c r="AE54" i="2" s="1"/>
  <c r="AF957" i="2"/>
  <c r="AE957" i="2" s="1" a="1"/>
  <c r="AE957" i="2" s="1"/>
  <c r="AF760" i="2"/>
  <c r="AE760" i="2" s="1" a="1"/>
  <c r="AE760" i="2" s="1"/>
  <c r="AF656" i="2"/>
  <c r="AE656" i="2" s="1" a="1"/>
  <c r="AE656" i="2" s="1"/>
  <c r="AF617" i="2"/>
  <c r="AE617" i="2" s="1" a="1"/>
  <c r="AE617" i="2" s="1"/>
  <c r="AF328" i="2"/>
  <c r="AE328" i="2" s="1" a="1"/>
  <c r="AE328" i="2" s="1"/>
  <c r="AF40" i="2"/>
  <c r="AE40" i="2" s="1" a="1"/>
  <c r="AE40" i="2" s="1"/>
  <c r="AF245" i="2"/>
  <c r="AE245" i="2" s="1" a="1"/>
  <c r="AE245" i="2" s="1"/>
  <c r="AF53" i="2"/>
  <c r="AE53" i="2" s="1" a="1"/>
  <c r="AE53" i="2" s="1"/>
  <c r="AF790" i="2"/>
  <c r="AE790" i="2" s="1" a="1"/>
  <c r="AE790" i="2" s="1"/>
  <c r="AF209" i="2"/>
  <c r="AE209" i="2" s="1" a="1"/>
  <c r="AE209" i="2" s="1"/>
  <c r="AF982" i="2"/>
  <c r="AE982" i="2" s="1" a="1"/>
  <c r="AE982" i="2" s="1"/>
  <c r="AF513" i="2"/>
  <c r="AE513" i="2" s="1" a="1"/>
  <c r="AE513" i="2" s="1"/>
  <c r="AF1105" i="2"/>
  <c r="AE1105" i="2" s="1" a="1"/>
  <c r="AE1105" i="2" s="1"/>
  <c r="AF340" i="2"/>
  <c r="AE340" i="2" s="1" a="1"/>
  <c r="AE340" i="2" s="1"/>
  <c r="AF945" i="2"/>
  <c r="AE945" i="2" s="1" a="1"/>
  <c r="AE945" i="2" s="1"/>
  <c r="AF822" i="2"/>
  <c r="AE822" i="2" s="1" a="1"/>
  <c r="AE822" i="2" s="1"/>
  <c r="AF236" i="2"/>
  <c r="AE236" i="2" s="1" a="1"/>
  <c r="AE236" i="2" s="1"/>
  <c r="AF916" i="2"/>
  <c r="AE916" i="2" s="1" a="1"/>
  <c r="AE916" i="2" s="1"/>
  <c r="AF903" i="2"/>
  <c r="AE903" i="2" s="1" a="1"/>
  <c r="AE903" i="2" s="1"/>
  <c r="AF1011" i="2"/>
  <c r="AE1011" i="2" s="1" a="1"/>
  <c r="AE1011" i="2" s="1"/>
  <c r="AF618" i="2"/>
  <c r="AE618" i="2" s="1" a="1"/>
  <c r="AE618" i="2" s="1"/>
  <c r="AF662" i="2"/>
  <c r="AE662" i="2" s="1" a="1"/>
  <c r="AE662" i="2" s="1"/>
  <c r="AF721" i="2"/>
  <c r="AE721" i="2" s="1" a="1"/>
  <c r="AE721" i="2" s="1"/>
  <c r="AF872" i="2"/>
  <c r="AE872" i="2" s="1" a="1"/>
  <c r="AE872" i="2" s="1"/>
  <c r="AF488" i="2"/>
  <c r="AE488" i="2" s="1" a="1"/>
  <c r="AE488" i="2" s="1"/>
  <c r="AF995" i="2"/>
  <c r="AE995" i="2" s="1" a="1"/>
  <c r="AE995" i="2" s="1"/>
  <c r="AF100" i="2"/>
  <c r="AE100" i="2" s="1" a="1"/>
  <c r="AE100" i="2" s="1"/>
  <c r="AF809" i="2"/>
  <c r="AE809" i="2" s="1" a="1"/>
  <c r="AE809" i="2" s="1"/>
  <c r="AF432" i="2"/>
  <c r="AE432" i="2" s="1" a="1"/>
  <c r="AE432" i="2" s="1"/>
  <c r="AF171" i="2"/>
  <c r="AE171" i="2" s="1" a="1"/>
  <c r="AE171" i="2" s="1"/>
  <c r="AF341" i="2"/>
  <c r="AE341" i="2" s="1" a="1"/>
  <c r="AE341" i="2" s="1"/>
  <c r="AF776" i="2"/>
  <c r="AE776" i="2" s="1" a="1"/>
  <c r="AE776" i="2" s="1"/>
  <c r="AF766" i="2"/>
  <c r="AE766" i="2" s="1" a="1"/>
  <c r="AE766" i="2" s="1"/>
  <c r="AF567" i="2"/>
  <c r="AE567" i="2" s="1" a="1"/>
  <c r="AE567" i="2" s="1"/>
  <c r="AF558" i="2"/>
  <c r="AE558" i="2" s="1" a="1"/>
  <c r="AE558" i="2" s="1"/>
  <c r="AF523" i="2"/>
  <c r="AE523" i="2" s="1" a="1"/>
  <c r="AE523" i="2" s="1"/>
  <c r="AF704" i="2"/>
  <c r="AE704" i="2" s="1" a="1"/>
  <c r="AE704" i="2" s="1"/>
  <c r="AF1104" i="2"/>
  <c r="AE1104" i="2" s="1" a="1"/>
  <c r="AE1104" i="2" s="1"/>
  <c r="AF687" i="2"/>
  <c r="AE687" i="2" s="1" a="1"/>
  <c r="AE687" i="2" s="1"/>
  <c r="AF954" i="2"/>
  <c r="AE954" i="2" s="1" a="1"/>
  <c r="AE954" i="2" s="1"/>
  <c r="AF784" i="2"/>
  <c r="AE784" i="2" s="1" a="1"/>
  <c r="AE784" i="2" s="1"/>
  <c r="AF256" i="2"/>
  <c r="AE256" i="2" s="1" a="1"/>
  <c r="AE256" i="2" s="1"/>
  <c r="AF867" i="2"/>
  <c r="AE867" i="2" s="1" a="1"/>
  <c r="AE867" i="2" s="1"/>
  <c r="AF667" i="2"/>
  <c r="AE667" i="2" s="1" a="1"/>
  <c r="AE667" i="2" s="1"/>
  <c r="AF158" i="2"/>
  <c r="AE158" i="2" s="1" a="1"/>
  <c r="AE158" i="2" s="1"/>
  <c r="AF804" i="2"/>
  <c r="AE804" i="2" s="1" a="1"/>
  <c r="AE804" i="2" s="1"/>
  <c r="AF690" i="2"/>
  <c r="AE690" i="2" s="1" a="1"/>
  <c r="AE690" i="2" s="1"/>
  <c r="AF772" i="2"/>
  <c r="AE772" i="2" s="1" a="1"/>
  <c r="AE772" i="2" s="1"/>
  <c r="AF368" i="2"/>
  <c r="AE368" i="2" s="1" a="1"/>
  <c r="AE368" i="2" s="1"/>
  <c r="AF91" i="2"/>
  <c r="AE91" i="2" s="1" a="1"/>
  <c r="AE91" i="2" s="1"/>
  <c r="AF80" i="2"/>
  <c r="AE80" i="2" s="1" a="1"/>
  <c r="AE80" i="2" s="1"/>
  <c r="AF365" i="2"/>
  <c r="AE365" i="2" s="1" a="1"/>
  <c r="AE365" i="2" s="1"/>
  <c r="AF152" i="2"/>
  <c r="AE152" i="2" s="1" a="1"/>
  <c r="AE152" i="2" s="1"/>
  <c r="AF1085" i="2"/>
  <c r="AE1085" i="2" s="1" a="1"/>
  <c r="AE1085" i="2" s="1"/>
  <c r="AF21" i="2"/>
  <c r="AE21" i="2" s="1" a="1"/>
  <c r="AE21" i="2" s="1"/>
  <c r="AF1067" i="2"/>
  <c r="AE1067" i="2" s="1" a="1"/>
  <c r="AE1067" i="2" s="1"/>
  <c r="AF1004" i="2"/>
  <c r="AE1004" i="2" s="1" a="1"/>
  <c r="AE1004" i="2" s="1"/>
  <c r="AF38" i="2"/>
  <c r="AE38" i="2" s="1" a="1"/>
  <c r="AE38" i="2" s="1"/>
  <c r="AF525" i="2"/>
  <c r="AE525" i="2" s="1" a="1"/>
  <c r="AE525" i="2" s="1"/>
  <c r="AF462" i="2"/>
  <c r="AE462" i="2" s="1" a="1"/>
  <c r="AE462" i="2" s="1"/>
  <c r="AF420" i="2"/>
  <c r="AE420" i="2" s="1" a="1"/>
  <c r="AE420" i="2" s="1"/>
  <c r="AF733" i="2"/>
  <c r="AE733" i="2" s="1" a="1"/>
  <c r="AE733" i="2" s="1"/>
  <c r="AF476" i="2"/>
  <c r="AE476" i="2" s="1" a="1"/>
  <c r="AE476" i="2" s="1"/>
  <c r="AF1072" i="2"/>
  <c r="AE1072" i="2" s="1" a="1"/>
  <c r="AE1072" i="2" s="1"/>
  <c r="AF499" i="2"/>
  <c r="AE499" i="2" s="1" a="1"/>
  <c r="AE499" i="2" s="1"/>
  <c r="AF107" i="2"/>
  <c r="AE107" i="2" s="1" a="1"/>
  <c r="AE107" i="2" s="1"/>
  <c r="AF1050" i="2"/>
  <c r="AE1050" i="2" s="1" a="1"/>
  <c r="AE1050" i="2" s="1"/>
  <c r="AF631" i="2"/>
  <c r="AE631" i="2" s="1" a="1"/>
  <c r="AE631" i="2" s="1"/>
  <c r="AF1088" i="2"/>
  <c r="AE1088" i="2" s="1" a="1"/>
  <c r="AE1088" i="2" s="1"/>
  <c r="AF966" i="2"/>
  <c r="AE966" i="2" s="1" a="1"/>
  <c r="AE966" i="2" s="1"/>
  <c r="AF64" i="2"/>
  <c r="AE64" i="2" s="1" a="1"/>
  <c r="AE64" i="2" s="1"/>
  <c r="AF835" i="2"/>
  <c r="AE835" i="2" s="1" a="1"/>
  <c r="AE835" i="2" s="1"/>
  <c r="AF853" i="2"/>
  <c r="AE853" i="2" s="1" a="1"/>
  <c r="AE853" i="2" s="1"/>
  <c r="AF520" i="2"/>
  <c r="AE520" i="2" s="1" a="1"/>
  <c r="AE520" i="2" s="1"/>
  <c r="AF126" i="2"/>
  <c r="AE126" i="2" s="1" a="1"/>
  <c r="AE126" i="2" s="1"/>
  <c r="AF807" i="2"/>
  <c r="AE807" i="2" s="1" a="1"/>
  <c r="AE807" i="2" s="1"/>
  <c r="AF287" i="2"/>
  <c r="AE287" i="2" s="1" a="1"/>
  <c r="AE287" i="2" s="1"/>
  <c r="AF906" i="2"/>
  <c r="AE906" i="2" s="1" a="1"/>
  <c r="AE906" i="2" s="1"/>
  <c r="AF786" i="2"/>
  <c r="AE786" i="2" s="1" a="1"/>
  <c r="AE786" i="2" s="1"/>
  <c r="AF128" i="2"/>
  <c r="AE128" i="2" s="1" a="1"/>
  <c r="AE128" i="2" s="1"/>
  <c r="AF494" i="2"/>
  <c r="AE494" i="2" s="1" a="1"/>
  <c r="AE494" i="2" s="1"/>
  <c r="AF441" i="2"/>
  <c r="AE441" i="2" s="1" a="1"/>
  <c r="AE441" i="2" s="1"/>
  <c r="AF755" i="2"/>
  <c r="AE755" i="2" s="1" a="1"/>
  <c r="AE755" i="2" s="1"/>
  <c r="AF929" i="2"/>
  <c r="AE929" i="2" s="1" a="1"/>
  <c r="AE929" i="2" s="1"/>
  <c r="AF529" i="2"/>
  <c r="AE529" i="2" s="1" a="1"/>
  <c r="AE529" i="2" s="1"/>
  <c r="AF943" i="2"/>
  <c r="AE943" i="2" s="1" a="1"/>
  <c r="AE943" i="2" s="1"/>
  <c r="AF669" i="2"/>
  <c r="AE669" i="2" s="1" a="1"/>
  <c r="AE669" i="2" s="1"/>
  <c r="AF433" i="2"/>
  <c r="AE433" i="2" s="1" a="1"/>
  <c r="AE433" i="2" s="1"/>
  <c r="AF778" i="2"/>
  <c r="AE778" i="2" s="1" a="1"/>
  <c r="AE778" i="2" s="1"/>
  <c r="AF101" i="2"/>
  <c r="AE101" i="2" s="1" a="1"/>
  <c r="AE101" i="2" s="1"/>
  <c r="AF31" i="2"/>
  <c r="AE31" i="2" s="1" a="1"/>
  <c r="AE31" i="2" s="1"/>
  <c r="AF111" i="2"/>
  <c r="AE111" i="2" s="1" a="1"/>
  <c r="AE111" i="2" s="1"/>
  <c r="AF635" i="2"/>
  <c r="AE635" i="2" s="1" a="1"/>
  <c r="AE635" i="2" s="1"/>
  <c r="AF207" i="2"/>
  <c r="AE207" i="2" s="1" a="1"/>
  <c r="AE207" i="2" s="1"/>
  <c r="BH1131"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31" i="2"/>
  <c r="AD1131" i="2"/>
  <c r="AF5" i="2" l="1"/>
  <c r="AH1131" i="2"/>
  <c r="AE1131" i="2" l="1"/>
  <c r="C6" i="6" a="1"/>
  <c r="C6" i="6" s="1"/>
  <c r="C10" i="6" a="1"/>
  <c r="C10" i="6" s="1"/>
  <c r="AF1131" i="2"/>
  <c r="C12" i="6" a="1"/>
  <c r="C12" i="6" s="1"/>
  <c r="C3" i="6" a="1"/>
  <c r="C3" i="6" s="1"/>
  <c r="C7" i="6" a="1"/>
  <c r="C7" i="6" s="1"/>
  <c r="C4" i="6" a="1"/>
  <c r="C4" i="6" s="1"/>
  <c r="C8" i="6" a="1"/>
  <c r="C8" i="6" s="1"/>
  <c r="AE5" i="2" a="1"/>
  <c r="AE5" i="2" s="1"/>
  <c r="C11" i="6" a="1"/>
  <c r="C11" i="6" s="1"/>
  <c r="C5" i="6" a="1"/>
  <c r="C5" i="6" s="1"/>
  <c r="C9" i="6" a="1"/>
  <c r="C9" i="6" s="1"/>
  <c r="AI1060" i="2" l="1"/>
  <c r="A1060" i="8" s="1"/>
  <c r="AJ1060" i="2"/>
  <c r="R1060" i="8" s="1"/>
  <c r="AI497" i="2"/>
  <c r="A497" i="8" s="1"/>
  <c r="AJ497" i="2"/>
  <c r="R497" i="8" s="1"/>
  <c r="AI50" i="2"/>
  <c r="A50" i="8" s="1"/>
  <c r="AI74" i="2"/>
  <c r="A74" i="8" s="1"/>
  <c r="AI98" i="2"/>
  <c r="A98" i="8" s="1"/>
  <c r="AI122" i="2"/>
  <c r="A122" i="8" s="1"/>
  <c r="AI146" i="2"/>
  <c r="A146" i="8" s="1"/>
  <c r="AI170" i="2"/>
  <c r="A170" i="8" s="1"/>
  <c r="AI194" i="2"/>
  <c r="A194" i="8" s="1"/>
  <c r="AI218" i="2"/>
  <c r="A218" i="8" s="1"/>
  <c r="AI242" i="2"/>
  <c r="A242" i="8" s="1"/>
  <c r="AI266" i="2"/>
  <c r="A266" i="8" s="1"/>
  <c r="AI290" i="2"/>
  <c r="A290" i="8" s="1"/>
  <c r="AI314" i="2"/>
  <c r="A314" i="8" s="1"/>
  <c r="AI338" i="2"/>
  <c r="A338" i="8" s="1"/>
  <c r="AI362" i="2"/>
  <c r="A362" i="8" s="1"/>
  <c r="AI386" i="2"/>
  <c r="A386" i="8" s="1"/>
  <c r="AI410" i="2"/>
  <c r="A410" i="8" s="1"/>
  <c r="AI434" i="2"/>
  <c r="A434" i="8" s="1"/>
  <c r="AI458" i="2"/>
  <c r="A458" i="8" s="1"/>
  <c r="AI482" i="2"/>
  <c r="A482" i="8" s="1"/>
  <c r="AI507" i="2"/>
  <c r="A507" i="8" s="1"/>
  <c r="AI531" i="2"/>
  <c r="A531" i="8" s="1"/>
  <c r="AI555" i="2"/>
  <c r="A555" i="8" s="1"/>
  <c r="AI579" i="2"/>
  <c r="A579" i="8" s="1"/>
  <c r="AI603" i="2"/>
  <c r="A603" i="8" s="1"/>
  <c r="AI627" i="2"/>
  <c r="A627" i="8" s="1"/>
  <c r="AI651" i="2"/>
  <c r="A651"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4" i="2"/>
  <c r="A1084" i="8" s="1"/>
  <c r="AI1108" i="2"/>
  <c r="A1108" i="8" s="1"/>
  <c r="AJ38" i="2"/>
  <c r="R38"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08" i="2"/>
  <c r="A508" i="8" s="1"/>
  <c r="AI532" i="2"/>
  <c r="A532" i="8" s="1"/>
  <c r="AI556" i="2"/>
  <c r="A556" i="8" s="1"/>
  <c r="AI580" i="2"/>
  <c r="A580" i="8" s="1"/>
  <c r="AI604" i="2"/>
  <c r="A604" i="8" s="1"/>
  <c r="AI628" i="2"/>
  <c r="A628" i="8" s="1"/>
  <c r="AI652" i="2"/>
  <c r="A652" i="8" s="1"/>
  <c r="AI676" i="2"/>
  <c r="A676" i="8" s="1"/>
  <c r="AI700" i="2"/>
  <c r="A700" i="8" s="1"/>
  <c r="AI724" i="2"/>
  <c r="A724" i="8" s="1"/>
  <c r="AI748" i="2"/>
  <c r="A748" i="8" s="1"/>
  <c r="AI772" i="2"/>
  <c r="A772" i="8" s="1"/>
  <c r="AI796" i="2"/>
  <c r="A796" i="8" s="1"/>
  <c r="AI820" i="2"/>
  <c r="A820" i="8" s="1"/>
  <c r="AI844" i="2"/>
  <c r="A844" i="8" s="1"/>
  <c r="AI868" i="2"/>
  <c r="A868" i="8" s="1"/>
  <c r="AI892" i="2"/>
  <c r="A892" i="8" s="1"/>
  <c r="AI916" i="2"/>
  <c r="A916" i="8" s="1"/>
  <c r="AI940" i="2"/>
  <c r="A940" i="8" s="1"/>
  <c r="AI964" i="2"/>
  <c r="A964" i="8" s="1"/>
  <c r="AI988" i="2"/>
  <c r="A988" i="8" s="1"/>
  <c r="AI1012" i="2"/>
  <c r="A1012" i="8" s="1"/>
  <c r="AI1036" i="2"/>
  <c r="A1036" i="8" s="1"/>
  <c r="AI1061" i="2"/>
  <c r="A1061" i="8" s="1"/>
  <c r="AI1085" i="2"/>
  <c r="A1085" i="8" s="1"/>
  <c r="AI1109" i="2"/>
  <c r="A1109" i="8" s="1"/>
  <c r="AJ39" i="2"/>
  <c r="R39"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7" i="2"/>
  <c r="A37" i="8" s="1"/>
  <c r="AI61" i="2"/>
  <c r="A61" i="8" s="1"/>
  <c r="AI85" i="2"/>
  <c r="A85" i="8" s="1"/>
  <c r="AI109" i="2"/>
  <c r="A109" i="8" s="1"/>
  <c r="AI133" i="2"/>
  <c r="A133" i="8" s="1"/>
  <c r="AI157" i="2"/>
  <c r="A157" i="8" s="1"/>
  <c r="AI181" i="2"/>
  <c r="A181" i="8" s="1"/>
  <c r="AI205" i="2"/>
  <c r="A205" i="8" s="1"/>
  <c r="AI229" i="2"/>
  <c r="A229" i="8" s="1"/>
  <c r="AI253" i="2"/>
  <c r="A253" i="8" s="1"/>
  <c r="AI277" i="2"/>
  <c r="A277" i="8" s="1"/>
  <c r="AI301" i="2"/>
  <c r="A301" i="8" s="1"/>
  <c r="AI325" i="2"/>
  <c r="A325" i="8" s="1"/>
  <c r="AI349" i="2"/>
  <c r="A349" i="8" s="1"/>
  <c r="AI373" i="2"/>
  <c r="A373" i="8" s="1"/>
  <c r="AI397" i="2"/>
  <c r="A397" i="8" s="1"/>
  <c r="AI421" i="2"/>
  <c r="A421" i="8" s="1"/>
  <c r="AI445" i="2"/>
  <c r="A445" i="8" s="1"/>
  <c r="AI469" i="2"/>
  <c r="A469" i="8" s="1"/>
  <c r="AI493" i="2"/>
  <c r="A493" i="8" s="1"/>
  <c r="AI518" i="2"/>
  <c r="A518" i="8" s="1"/>
  <c r="AI542" i="2"/>
  <c r="A542" i="8" s="1"/>
  <c r="AI566" i="2"/>
  <c r="A566" i="8" s="1"/>
  <c r="AI590" i="2"/>
  <c r="A590" i="8" s="1"/>
  <c r="AI614" i="2"/>
  <c r="A614" i="8" s="1"/>
  <c r="AI638" i="2"/>
  <c r="A638" i="8" s="1"/>
  <c r="AI662" i="2"/>
  <c r="A662" i="8" s="1"/>
  <c r="AI686" i="2"/>
  <c r="A686" i="8" s="1"/>
  <c r="AI710" i="2"/>
  <c r="A710" i="8" s="1"/>
  <c r="AI734" i="2"/>
  <c r="A734" i="8" s="1"/>
  <c r="AI758" i="2"/>
  <c r="A758" i="8" s="1"/>
  <c r="AI782" i="2"/>
  <c r="A782" i="8" s="1"/>
  <c r="AI806" i="2"/>
  <c r="A806" i="8" s="1"/>
  <c r="AI830" i="2"/>
  <c r="A830" i="8" s="1"/>
  <c r="AI854" i="2"/>
  <c r="A854" i="8" s="1"/>
  <c r="AI878" i="2"/>
  <c r="A878" i="8" s="1"/>
  <c r="AI902" i="2"/>
  <c r="A902" i="8" s="1"/>
  <c r="AI926" i="2"/>
  <c r="A926" i="8" s="1"/>
  <c r="AI950" i="2"/>
  <c r="A950" i="8" s="1"/>
  <c r="AI974" i="2"/>
  <c r="A974" i="8" s="1"/>
  <c r="AI998" i="2"/>
  <c r="A998" i="8" s="1"/>
  <c r="AI1022" i="2"/>
  <c r="A1022" i="8" s="1"/>
  <c r="AI1046" i="2"/>
  <c r="A1046" i="8" s="1"/>
  <c r="AI1071" i="2"/>
  <c r="A1071" i="8" s="1"/>
  <c r="AI1095" i="2"/>
  <c r="A1095" i="8" s="1"/>
  <c r="AI1119" i="2"/>
  <c r="A1119" i="8" s="1"/>
  <c r="AJ49" i="2"/>
  <c r="R49" i="8" s="1"/>
  <c r="AI38" i="2"/>
  <c r="A38" i="8" s="1"/>
  <c r="AI62" i="2"/>
  <c r="A62" i="8" s="1"/>
  <c r="AI86" i="2"/>
  <c r="A86" i="8" s="1"/>
  <c r="AI110" i="2"/>
  <c r="A110" i="8" s="1"/>
  <c r="AI134" i="2"/>
  <c r="A134" i="8" s="1"/>
  <c r="AI158" i="2"/>
  <c r="A158" i="8" s="1"/>
  <c r="AI182" i="2"/>
  <c r="A182" i="8" s="1"/>
  <c r="AI206" i="2"/>
  <c r="A206" i="8" s="1"/>
  <c r="AI230" i="2"/>
  <c r="A230" i="8" s="1"/>
  <c r="AI254" i="2"/>
  <c r="A254" i="8" s="1"/>
  <c r="AI278" i="2"/>
  <c r="A278" i="8" s="1"/>
  <c r="AI302" i="2"/>
  <c r="A302" i="8" s="1"/>
  <c r="AI326" i="2"/>
  <c r="A326" i="8" s="1"/>
  <c r="AI350" i="2"/>
  <c r="A350" i="8" s="1"/>
  <c r="AI374" i="2"/>
  <c r="A374" i="8" s="1"/>
  <c r="AI398" i="2"/>
  <c r="A398" i="8" s="1"/>
  <c r="AI422" i="2"/>
  <c r="A422" i="8" s="1"/>
  <c r="AI446" i="2"/>
  <c r="A446" i="8" s="1"/>
  <c r="AI470" i="2"/>
  <c r="A470" i="8" s="1"/>
  <c r="AI494" i="2"/>
  <c r="A494" i="8" s="1"/>
  <c r="AI519" i="2"/>
  <c r="A519" i="8" s="1"/>
  <c r="AI543" i="2"/>
  <c r="A543" i="8" s="1"/>
  <c r="AI567" i="2"/>
  <c r="A567" i="8" s="1"/>
  <c r="AI591" i="2"/>
  <c r="A591" i="8" s="1"/>
  <c r="AI615" i="2"/>
  <c r="A615" i="8" s="1"/>
  <c r="AI639" i="2"/>
  <c r="A639" i="8" s="1"/>
  <c r="AI663" i="2"/>
  <c r="A663" i="8" s="1"/>
  <c r="AI687" i="2"/>
  <c r="A687" i="8" s="1"/>
  <c r="AI711" i="2"/>
  <c r="A711" i="8" s="1"/>
  <c r="AI735" i="2"/>
  <c r="A735" i="8" s="1"/>
  <c r="AI759" i="2"/>
  <c r="A759" i="8" s="1"/>
  <c r="AI783" i="2"/>
  <c r="A783" i="8" s="1"/>
  <c r="AI807" i="2"/>
  <c r="A807" i="8" s="1"/>
  <c r="AI831" i="2"/>
  <c r="A831" i="8" s="1"/>
  <c r="AI855" i="2"/>
  <c r="A855" i="8" s="1"/>
  <c r="AI879" i="2"/>
  <c r="A879" i="8" s="1"/>
  <c r="AI903" i="2"/>
  <c r="A903" i="8" s="1"/>
  <c r="AI927" i="2"/>
  <c r="A927" i="8" s="1"/>
  <c r="AI951" i="2"/>
  <c r="A951" i="8" s="1"/>
  <c r="AI975" i="2"/>
  <c r="A975" i="8" s="1"/>
  <c r="AI999" i="2"/>
  <c r="A999" i="8" s="1"/>
  <c r="AI1023" i="2"/>
  <c r="A1023" i="8" s="1"/>
  <c r="AI1047" i="2"/>
  <c r="A1047" i="8" s="1"/>
  <c r="AI1072" i="2"/>
  <c r="A1072" i="8" s="1"/>
  <c r="AI1096" i="2"/>
  <c r="A1096" i="8" s="1"/>
  <c r="AI1120" i="2"/>
  <c r="A1120" i="8" s="1"/>
  <c r="AJ50" i="2"/>
  <c r="R50" i="8" s="1"/>
  <c r="AI39" i="2"/>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399" i="2"/>
  <c r="A399" i="8" s="1"/>
  <c r="AI423" i="2"/>
  <c r="A423" i="8" s="1"/>
  <c r="AI447" i="2"/>
  <c r="A447" i="8" s="1"/>
  <c r="AI471" i="2"/>
  <c r="A471" i="8" s="1"/>
  <c r="AI495" i="2"/>
  <c r="A495" i="8" s="1"/>
  <c r="AI520" i="2"/>
  <c r="A520" i="8" s="1"/>
  <c r="AI544" i="2"/>
  <c r="A544" i="8" s="1"/>
  <c r="AI568" i="2"/>
  <c r="A568" i="8" s="1"/>
  <c r="AI592" i="2"/>
  <c r="A592" i="8" s="1"/>
  <c r="AI616" i="2"/>
  <c r="A616" i="8" s="1"/>
  <c r="AI640" i="2"/>
  <c r="A640" i="8" s="1"/>
  <c r="AI664" i="2"/>
  <c r="A664" i="8" s="1"/>
  <c r="AI688" i="2"/>
  <c r="A688" i="8" s="1"/>
  <c r="AI712" i="2"/>
  <c r="A712" i="8" s="1"/>
  <c r="AI736" i="2"/>
  <c r="A736" i="8" s="1"/>
  <c r="AI760" i="2"/>
  <c r="A760" i="8" s="1"/>
  <c r="AI784" i="2"/>
  <c r="A784" i="8" s="1"/>
  <c r="AI808" i="2"/>
  <c r="A808" i="8" s="1"/>
  <c r="AI832" i="2"/>
  <c r="A832" i="8" s="1"/>
  <c r="AI856" i="2"/>
  <c r="A856" i="8" s="1"/>
  <c r="AI880" i="2"/>
  <c r="A880" i="8" s="1"/>
  <c r="AI904" i="2"/>
  <c r="A904" i="8" s="1"/>
  <c r="AI928" i="2"/>
  <c r="A928" i="8" s="1"/>
  <c r="AI952" i="2"/>
  <c r="A952" i="8" s="1"/>
  <c r="AI976" i="2"/>
  <c r="A976" i="8" s="1"/>
  <c r="AI1000" i="2"/>
  <c r="A1000" i="8" s="1"/>
  <c r="AI1024" i="2"/>
  <c r="A1024" i="8" s="1"/>
  <c r="AI1048" i="2"/>
  <c r="A1048" i="8" s="1"/>
  <c r="AI1073" i="2"/>
  <c r="A1073" i="8" s="1"/>
  <c r="AI1097" i="2"/>
  <c r="A1097" i="8" s="1"/>
  <c r="AI1121" i="2"/>
  <c r="A1121" i="8" s="1"/>
  <c r="AJ51" i="2"/>
  <c r="R51" i="8" s="1"/>
  <c r="AI40" i="2"/>
  <c r="A40" i="8" s="1"/>
  <c r="AI64" i="2"/>
  <c r="A64" i="8" s="1"/>
  <c r="AI88" i="2"/>
  <c r="A88" i="8" s="1"/>
  <c r="AI112" i="2"/>
  <c r="A112" i="8" s="1"/>
  <c r="AI136" i="2"/>
  <c r="A136" i="8" s="1"/>
  <c r="AI160" i="2"/>
  <c r="A160" i="8" s="1"/>
  <c r="AI184" i="2"/>
  <c r="A184" i="8" s="1"/>
  <c r="AI208" i="2"/>
  <c r="A208" i="8" s="1"/>
  <c r="AI232" i="2"/>
  <c r="A232" i="8" s="1"/>
  <c r="AI256" i="2"/>
  <c r="A256" i="8" s="1"/>
  <c r="AI280" i="2"/>
  <c r="A280" i="8" s="1"/>
  <c r="AI304" i="2"/>
  <c r="A304" i="8" s="1"/>
  <c r="AI328" i="2"/>
  <c r="A328" i="8" s="1"/>
  <c r="AI352" i="2"/>
  <c r="A352"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43" i="2"/>
  <c r="A43" i="8" s="1"/>
  <c r="AI44" i="2"/>
  <c r="A44" i="8" s="1"/>
  <c r="AI45" i="2"/>
  <c r="A45"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4" i="2"/>
  <c r="A504" i="8" s="1"/>
  <c r="AI528" i="2"/>
  <c r="A528" i="8" s="1"/>
  <c r="AI552" i="2"/>
  <c r="A552" i="8" s="1"/>
  <c r="AI576" i="2"/>
  <c r="A576" i="8" s="1"/>
  <c r="AI80" i="2"/>
  <c r="A80" i="8" s="1"/>
  <c r="AI128" i="2"/>
  <c r="A128" i="8" s="1"/>
  <c r="AI176" i="2"/>
  <c r="A176" i="8" s="1"/>
  <c r="AI224" i="2"/>
  <c r="A224" i="8" s="1"/>
  <c r="AI272" i="2"/>
  <c r="A272" i="8" s="1"/>
  <c r="AI320" i="2"/>
  <c r="A320" i="8" s="1"/>
  <c r="AI364" i="2"/>
  <c r="A364" i="8" s="1"/>
  <c r="AI400" i="2"/>
  <c r="A400" i="8" s="1"/>
  <c r="AI433" i="2"/>
  <c r="A433" i="8" s="1"/>
  <c r="AI465" i="2"/>
  <c r="A465" i="8" s="1"/>
  <c r="AI499" i="2"/>
  <c r="A499" i="8" s="1"/>
  <c r="AI530" i="2"/>
  <c r="A530" i="8" s="1"/>
  <c r="AI562" i="2"/>
  <c r="A562" i="8" s="1"/>
  <c r="AI595" i="2"/>
  <c r="A595" i="8" s="1"/>
  <c r="AI624" i="2"/>
  <c r="A624" i="8" s="1"/>
  <c r="AI655" i="2"/>
  <c r="A655" i="8" s="1"/>
  <c r="AI684" i="2"/>
  <c r="A684" i="8" s="1"/>
  <c r="AI716" i="2"/>
  <c r="A716" i="8" s="1"/>
  <c r="AI745" i="2"/>
  <c r="A745" i="8" s="1"/>
  <c r="AI776" i="2"/>
  <c r="A776" i="8" s="1"/>
  <c r="AI805" i="2"/>
  <c r="A805" i="8" s="1"/>
  <c r="AI837" i="2"/>
  <c r="A837" i="8" s="1"/>
  <c r="AI866" i="2"/>
  <c r="A866" i="8" s="1"/>
  <c r="AI897" i="2"/>
  <c r="A897" i="8" s="1"/>
  <c r="AI929" i="2"/>
  <c r="A929" i="8" s="1"/>
  <c r="AI958" i="2"/>
  <c r="A958" i="8" s="1"/>
  <c r="AI989" i="2"/>
  <c r="A989" i="8" s="1"/>
  <c r="AI1018" i="2"/>
  <c r="A1018" i="8" s="1"/>
  <c r="AI1050" i="2"/>
  <c r="A1050" i="8" s="1"/>
  <c r="AI1080" i="2"/>
  <c r="A1080" i="8" s="1"/>
  <c r="AI1111" i="2"/>
  <c r="A1111" i="8" s="1"/>
  <c r="AJ46" i="2"/>
  <c r="R46"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3" i="2"/>
  <c r="R1083" i="8" s="1"/>
  <c r="AJ1107" i="2"/>
  <c r="R1107" i="8" s="1"/>
  <c r="AI81" i="2"/>
  <c r="A81" i="8" s="1"/>
  <c r="AI129" i="2"/>
  <c r="A129" i="8" s="1"/>
  <c r="AI177" i="2"/>
  <c r="A177" i="8" s="1"/>
  <c r="AI225" i="2"/>
  <c r="A225" i="8" s="1"/>
  <c r="AI273" i="2"/>
  <c r="A273" i="8" s="1"/>
  <c r="AI321" i="2"/>
  <c r="A321" i="8" s="1"/>
  <c r="AI366" i="2"/>
  <c r="A366" i="8" s="1"/>
  <c r="AI402" i="2"/>
  <c r="A402" i="8" s="1"/>
  <c r="AI436" i="2"/>
  <c r="A436" i="8" s="1"/>
  <c r="AI466" i="2"/>
  <c r="A466" i="8" s="1"/>
  <c r="AI500" i="2"/>
  <c r="A500" i="8" s="1"/>
  <c r="AI533" i="2"/>
  <c r="A533" i="8" s="1"/>
  <c r="AI563" i="2"/>
  <c r="A563" i="8" s="1"/>
  <c r="AI596" i="2"/>
  <c r="A596" i="8" s="1"/>
  <c r="AI625" i="2"/>
  <c r="A625" i="8" s="1"/>
  <c r="AI656" i="2"/>
  <c r="A656" i="8" s="1"/>
  <c r="AI685" i="2"/>
  <c r="A685" i="8" s="1"/>
  <c r="AI717" i="2"/>
  <c r="A717" i="8" s="1"/>
  <c r="AI746" i="2"/>
  <c r="A746" i="8" s="1"/>
  <c r="AI777" i="2"/>
  <c r="A777" i="8" s="1"/>
  <c r="AI809" i="2"/>
  <c r="A809" i="8" s="1"/>
  <c r="AI838" i="2"/>
  <c r="A838" i="8" s="1"/>
  <c r="AI869" i="2"/>
  <c r="A869" i="8" s="1"/>
  <c r="AI898" i="2"/>
  <c r="A898" i="8" s="1"/>
  <c r="AI930" i="2"/>
  <c r="A930" i="8" s="1"/>
  <c r="AI959" i="2"/>
  <c r="A959" i="8" s="1"/>
  <c r="AI990" i="2"/>
  <c r="A990" i="8" s="1"/>
  <c r="AI1019" i="2"/>
  <c r="A1019" i="8" s="1"/>
  <c r="AI1051" i="2"/>
  <c r="A1051" i="8" s="1"/>
  <c r="AI1081" i="2"/>
  <c r="A1081" i="8" s="1"/>
  <c r="AI1112" i="2"/>
  <c r="A1112" i="8" s="1"/>
  <c r="AJ47" i="2"/>
  <c r="R47"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4" i="2"/>
  <c r="R1084" i="8" s="1"/>
  <c r="AJ1108" i="2"/>
  <c r="R1108" i="8" s="1"/>
  <c r="AI82" i="2"/>
  <c r="A82" i="8" s="1"/>
  <c r="AI130" i="2"/>
  <c r="A130" i="8" s="1"/>
  <c r="AI178" i="2"/>
  <c r="A178" i="8" s="1"/>
  <c r="AI226" i="2"/>
  <c r="A226" i="8" s="1"/>
  <c r="AI274" i="2"/>
  <c r="A274" i="8" s="1"/>
  <c r="AI322" i="2"/>
  <c r="A322" i="8" s="1"/>
  <c r="AI367" i="2"/>
  <c r="A367" i="8" s="1"/>
  <c r="AI403" i="2"/>
  <c r="A403" i="8" s="1"/>
  <c r="AI437" i="2"/>
  <c r="A437" i="8" s="1"/>
  <c r="AI467" i="2"/>
  <c r="A467" i="8" s="1"/>
  <c r="AI501" i="2"/>
  <c r="A501" i="8" s="1"/>
  <c r="AI534" i="2"/>
  <c r="A534" i="8" s="1"/>
  <c r="AI564" i="2"/>
  <c r="A564" i="8" s="1"/>
  <c r="AI597" i="2"/>
  <c r="A597" i="8" s="1"/>
  <c r="AI626" i="2"/>
  <c r="A626" i="8" s="1"/>
  <c r="AI657" i="2"/>
  <c r="A657" i="8" s="1"/>
  <c r="AI689" i="2"/>
  <c r="A689" i="8" s="1"/>
  <c r="AI718" i="2"/>
  <c r="A718" i="8" s="1"/>
  <c r="AI749" i="2"/>
  <c r="A749" i="8" s="1"/>
  <c r="AI778" i="2"/>
  <c r="A778" i="8" s="1"/>
  <c r="AI810" i="2"/>
  <c r="A810" i="8" s="1"/>
  <c r="AI839" i="2"/>
  <c r="A839" i="8" s="1"/>
  <c r="AI870" i="2"/>
  <c r="A870" i="8" s="1"/>
  <c r="AI899" i="2"/>
  <c r="A899" i="8" s="1"/>
  <c r="AI931" i="2"/>
  <c r="A931" i="8" s="1"/>
  <c r="AI960" i="2"/>
  <c r="A960" i="8" s="1"/>
  <c r="AI991" i="2"/>
  <c r="A991" i="8" s="1"/>
  <c r="AI1020" i="2"/>
  <c r="A1020" i="8" s="1"/>
  <c r="AI1052" i="2"/>
  <c r="A1052" i="8" s="1"/>
  <c r="AI1082" i="2"/>
  <c r="A1082" i="8" s="1"/>
  <c r="AI1113" i="2"/>
  <c r="A1113" i="8" s="1"/>
  <c r="AJ48" i="2"/>
  <c r="R48"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J988" i="2"/>
  <c r="R988" i="8" s="1"/>
  <c r="AJ1012" i="2"/>
  <c r="R1012" i="8" s="1"/>
  <c r="AJ1036" i="2"/>
  <c r="R1036" i="8" s="1"/>
  <c r="AJ1061" i="2"/>
  <c r="R1061" i="8" s="1"/>
  <c r="AJ1085" i="2"/>
  <c r="R1085" i="8" s="1"/>
  <c r="AJ1109" i="2"/>
  <c r="R1109" i="8" s="1"/>
  <c r="AI83" i="2"/>
  <c r="A83" i="8" s="1"/>
  <c r="AI131" i="2"/>
  <c r="A131" i="8" s="1"/>
  <c r="AI179" i="2"/>
  <c r="A179" i="8" s="1"/>
  <c r="AI227" i="2"/>
  <c r="A227" i="8" s="1"/>
  <c r="AI275" i="2"/>
  <c r="A275" i="8" s="1"/>
  <c r="AI323" i="2"/>
  <c r="A323" i="8" s="1"/>
  <c r="AI368" i="2"/>
  <c r="A368" i="8" s="1"/>
  <c r="AI404" i="2"/>
  <c r="A404" i="8" s="1"/>
  <c r="AI438" i="2"/>
  <c r="A438" i="8" s="1"/>
  <c r="AI468" i="2"/>
  <c r="A468" i="8" s="1"/>
  <c r="AI502" i="2"/>
  <c r="A502" i="8" s="1"/>
  <c r="AI535" i="2"/>
  <c r="A535" i="8" s="1"/>
  <c r="AI565" i="2"/>
  <c r="A565" i="8" s="1"/>
  <c r="AI598" i="2"/>
  <c r="A598" i="8" s="1"/>
  <c r="AI629" i="2"/>
  <c r="A629" i="8" s="1"/>
  <c r="AI658" i="2"/>
  <c r="A658" i="8" s="1"/>
  <c r="AI690" i="2"/>
  <c r="A690" i="8" s="1"/>
  <c r="AI719" i="2"/>
  <c r="A719" i="8" s="1"/>
  <c r="AI750" i="2"/>
  <c r="A750" i="8" s="1"/>
  <c r="AI779" i="2"/>
  <c r="A779" i="8" s="1"/>
  <c r="AI811" i="2"/>
  <c r="A811" i="8" s="1"/>
  <c r="AI840" i="2"/>
  <c r="A840" i="8" s="1"/>
  <c r="AI871" i="2"/>
  <c r="A871" i="8" s="1"/>
  <c r="AI900" i="2"/>
  <c r="A900" i="8" s="1"/>
  <c r="AI932" i="2"/>
  <c r="A932" i="8" s="1"/>
  <c r="AI961" i="2"/>
  <c r="A961" i="8" s="1"/>
  <c r="AI992" i="2"/>
  <c r="A992" i="8" s="1"/>
  <c r="AI1021" i="2"/>
  <c r="A1021" i="8" s="1"/>
  <c r="AI1053" i="2"/>
  <c r="A1053" i="8" s="1"/>
  <c r="AI1083" i="2"/>
  <c r="A1083" i="8" s="1"/>
  <c r="AI1114" i="2"/>
  <c r="A1114"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9" i="2"/>
  <c r="R509" i="8" s="1"/>
  <c r="AJ533" i="2"/>
  <c r="R533" i="8" s="1"/>
  <c r="AJ557" i="2"/>
  <c r="R557"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45" i="2"/>
  <c r="R845" i="8" s="1"/>
  <c r="AJ869" i="2"/>
  <c r="R869" i="8" s="1"/>
  <c r="AJ893" i="2"/>
  <c r="R893" i="8" s="1"/>
  <c r="AJ917" i="2"/>
  <c r="R917" i="8" s="1"/>
  <c r="AJ941" i="2"/>
  <c r="R941" i="8" s="1"/>
  <c r="AJ965" i="2"/>
  <c r="R965" i="8" s="1"/>
  <c r="AI84" i="2"/>
  <c r="A84" i="8" s="1"/>
  <c r="AI132" i="2"/>
  <c r="A132" i="8" s="1"/>
  <c r="AI180" i="2"/>
  <c r="A180" i="8" s="1"/>
  <c r="AI228" i="2"/>
  <c r="A228" i="8" s="1"/>
  <c r="AI276" i="2"/>
  <c r="A276" i="8" s="1"/>
  <c r="AI324" i="2"/>
  <c r="A324" i="8" s="1"/>
  <c r="AI369" i="2"/>
  <c r="A369" i="8" s="1"/>
  <c r="AI405" i="2"/>
  <c r="A405" i="8" s="1"/>
  <c r="AI439" i="2"/>
  <c r="A439" i="8" s="1"/>
  <c r="AI472" i="2"/>
  <c r="A472" i="8" s="1"/>
  <c r="AI503" i="2"/>
  <c r="A503" i="8" s="1"/>
  <c r="AI536" i="2"/>
  <c r="A536" i="8" s="1"/>
  <c r="AI569" i="2"/>
  <c r="A569" i="8" s="1"/>
  <c r="AI599" i="2"/>
  <c r="A599" i="8" s="1"/>
  <c r="AI630" i="2"/>
  <c r="A630" i="8" s="1"/>
  <c r="AI659" i="2"/>
  <c r="A659" i="8" s="1"/>
  <c r="AI691" i="2"/>
  <c r="A691" i="8" s="1"/>
  <c r="AI720" i="2"/>
  <c r="A720" i="8" s="1"/>
  <c r="AI751" i="2"/>
  <c r="A751" i="8" s="1"/>
  <c r="AI780" i="2"/>
  <c r="A780" i="8" s="1"/>
  <c r="AI812" i="2"/>
  <c r="A812" i="8" s="1"/>
  <c r="AI841" i="2"/>
  <c r="A841" i="8" s="1"/>
  <c r="AI872" i="2"/>
  <c r="A872" i="8" s="1"/>
  <c r="AI901" i="2"/>
  <c r="A901" i="8" s="1"/>
  <c r="AI933" i="2"/>
  <c r="A933" i="8" s="1"/>
  <c r="AI962" i="2"/>
  <c r="A962" i="8" s="1"/>
  <c r="AI993" i="2"/>
  <c r="A993" i="8" s="1"/>
  <c r="AI1025" i="2"/>
  <c r="A1025" i="8" s="1"/>
  <c r="AI1054" i="2"/>
  <c r="A1054" i="8" s="1"/>
  <c r="AI1086" i="2"/>
  <c r="A1086" i="8" s="1"/>
  <c r="AI1115" i="2"/>
  <c r="A1115"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I91" i="2"/>
  <c r="A91" i="8" s="1"/>
  <c r="AI139" i="2"/>
  <c r="A139" i="8" s="1"/>
  <c r="AI187" i="2"/>
  <c r="A187" i="8" s="1"/>
  <c r="AI235" i="2"/>
  <c r="A235" i="8" s="1"/>
  <c r="AI283" i="2"/>
  <c r="A283" i="8" s="1"/>
  <c r="AI331" i="2"/>
  <c r="A331" i="8" s="1"/>
  <c r="AI370" i="2"/>
  <c r="A370" i="8" s="1"/>
  <c r="AI406" i="2"/>
  <c r="A406" i="8" s="1"/>
  <c r="AI440" i="2"/>
  <c r="A440" i="8" s="1"/>
  <c r="AI473" i="2"/>
  <c r="A473" i="8" s="1"/>
  <c r="AI505" i="2"/>
  <c r="A505" i="8" s="1"/>
  <c r="AI537" i="2"/>
  <c r="A537" i="8" s="1"/>
  <c r="AI570" i="2"/>
  <c r="A570" i="8" s="1"/>
  <c r="AI600" i="2"/>
  <c r="A600" i="8" s="1"/>
  <c r="AI631" i="2"/>
  <c r="A631" i="8" s="1"/>
  <c r="AI660" i="2"/>
  <c r="A660" i="8" s="1"/>
  <c r="AI692" i="2"/>
  <c r="A692" i="8" s="1"/>
  <c r="AI721" i="2"/>
  <c r="A721" i="8" s="1"/>
  <c r="AI752" i="2"/>
  <c r="A752" i="8" s="1"/>
  <c r="AI781" i="2"/>
  <c r="A781" i="8" s="1"/>
  <c r="AI813" i="2"/>
  <c r="A813" i="8" s="1"/>
  <c r="AI842" i="2"/>
  <c r="A842" i="8" s="1"/>
  <c r="AI873" i="2"/>
  <c r="A873" i="8" s="1"/>
  <c r="AI905" i="2"/>
  <c r="A905" i="8" s="1"/>
  <c r="AI934" i="2"/>
  <c r="A934" i="8" s="1"/>
  <c r="AI965" i="2"/>
  <c r="A965" i="8" s="1"/>
  <c r="AI994" i="2"/>
  <c r="A994" i="8" s="1"/>
  <c r="AI1026" i="2"/>
  <c r="A1026" i="8" s="1"/>
  <c r="AI1055" i="2"/>
  <c r="A1055" i="8" s="1"/>
  <c r="AI1087" i="2"/>
  <c r="A1087" i="8" s="1"/>
  <c r="AI1116" i="2"/>
  <c r="A1116"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47" i="2"/>
  <c r="R847" i="8" s="1"/>
  <c r="AJ871" i="2"/>
  <c r="R871" i="8" s="1"/>
  <c r="AJ895" i="2"/>
  <c r="R895" i="8" s="1"/>
  <c r="AJ919" i="2"/>
  <c r="R919" i="8" s="1"/>
  <c r="AJ943" i="2"/>
  <c r="R943" i="8" s="1"/>
  <c r="AJ967" i="2"/>
  <c r="R967" i="8" s="1"/>
  <c r="AJ991" i="2"/>
  <c r="R991" i="8" s="1"/>
  <c r="AJ1015" i="2"/>
  <c r="R1015" i="8" s="1"/>
  <c r="AJ1039" i="2"/>
  <c r="R1039" i="8" s="1"/>
  <c r="AJ1064" i="2"/>
  <c r="R1064" i="8" s="1"/>
  <c r="AJ1088" i="2"/>
  <c r="R1088" i="8" s="1"/>
  <c r="AJ1112" i="2"/>
  <c r="R1112" i="8" s="1"/>
  <c r="AI92" i="2"/>
  <c r="A92" i="8" s="1"/>
  <c r="AI140" i="2"/>
  <c r="A140" i="8" s="1"/>
  <c r="AI188" i="2"/>
  <c r="A188" i="8" s="1"/>
  <c r="AI236" i="2"/>
  <c r="A236" i="8" s="1"/>
  <c r="AI284" i="2"/>
  <c r="A284" i="8" s="1"/>
  <c r="AI332" i="2"/>
  <c r="A332" i="8" s="1"/>
  <c r="AI371" i="2"/>
  <c r="A371" i="8" s="1"/>
  <c r="AI408" i="2"/>
  <c r="A408" i="8" s="1"/>
  <c r="AI441" i="2"/>
  <c r="A441" i="8" s="1"/>
  <c r="AI474" i="2"/>
  <c r="A474" i="8" s="1"/>
  <c r="AI506" i="2"/>
  <c r="A506" i="8" s="1"/>
  <c r="AI538" i="2"/>
  <c r="A538" i="8" s="1"/>
  <c r="AI571" i="2"/>
  <c r="A571" i="8" s="1"/>
  <c r="AI601" i="2"/>
  <c r="A601" i="8" s="1"/>
  <c r="AI632" i="2"/>
  <c r="A632" i="8" s="1"/>
  <c r="AI661" i="2"/>
  <c r="A661" i="8" s="1"/>
  <c r="AI693" i="2"/>
  <c r="A693" i="8" s="1"/>
  <c r="AI722" i="2"/>
  <c r="A722" i="8" s="1"/>
  <c r="AI753" i="2"/>
  <c r="A753" i="8" s="1"/>
  <c r="AI785" i="2"/>
  <c r="A785" i="8" s="1"/>
  <c r="AI814" i="2"/>
  <c r="A814" i="8" s="1"/>
  <c r="AI845" i="2"/>
  <c r="A845" i="8" s="1"/>
  <c r="AI874" i="2"/>
  <c r="A874" i="8" s="1"/>
  <c r="AI906" i="2"/>
  <c r="A906" i="8" s="1"/>
  <c r="AI935" i="2"/>
  <c r="A935" i="8" s="1"/>
  <c r="AI966" i="2"/>
  <c r="A966" i="8" s="1"/>
  <c r="AI995" i="2"/>
  <c r="A995" i="8" s="1"/>
  <c r="AI1027" i="2"/>
  <c r="A1027" i="8" s="1"/>
  <c r="AI1056" i="2"/>
  <c r="A1056" i="8" s="1"/>
  <c r="AI1088" i="2"/>
  <c r="A1088" i="8" s="1"/>
  <c r="AI1117" i="2"/>
  <c r="A1117"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I93" i="2"/>
  <c r="A93" i="8" s="1"/>
  <c r="AI141" i="2"/>
  <c r="A141" i="8" s="1"/>
  <c r="AI189" i="2"/>
  <c r="A189" i="8" s="1"/>
  <c r="AI237" i="2"/>
  <c r="A237" i="8" s="1"/>
  <c r="AI285" i="2"/>
  <c r="A285" i="8" s="1"/>
  <c r="AI333" i="2"/>
  <c r="A333" i="8" s="1"/>
  <c r="AI372" i="2"/>
  <c r="A372" i="8" s="1"/>
  <c r="AI409" i="2"/>
  <c r="A409" i="8" s="1"/>
  <c r="AI442" i="2"/>
  <c r="A442" i="8" s="1"/>
  <c r="AI475" i="2"/>
  <c r="A475" i="8" s="1"/>
  <c r="AI509" i="2"/>
  <c r="A509" i="8" s="1"/>
  <c r="AI539" i="2"/>
  <c r="A539" i="8" s="1"/>
  <c r="AI572" i="2"/>
  <c r="A572" i="8" s="1"/>
  <c r="AI602" i="2"/>
  <c r="A602" i="8" s="1"/>
  <c r="AI633" i="2"/>
  <c r="A633" i="8" s="1"/>
  <c r="AI665" i="2"/>
  <c r="A665" i="8" s="1"/>
  <c r="AI694" i="2"/>
  <c r="A694" i="8" s="1"/>
  <c r="AI725" i="2"/>
  <c r="A725" i="8" s="1"/>
  <c r="AI754" i="2"/>
  <c r="A754" i="8" s="1"/>
  <c r="AI786" i="2"/>
  <c r="A786" i="8" s="1"/>
  <c r="AI815" i="2"/>
  <c r="A815" i="8" s="1"/>
  <c r="AI846" i="2"/>
  <c r="A846" i="8" s="1"/>
  <c r="AI875" i="2"/>
  <c r="A875" i="8" s="1"/>
  <c r="AI907" i="2"/>
  <c r="A907" i="8" s="1"/>
  <c r="AI936" i="2"/>
  <c r="A936" i="8" s="1"/>
  <c r="AI967" i="2"/>
  <c r="A967" i="8" s="1"/>
  <c r="AI996" i="2"/>
  <c r="A996" i="8" s="1"/>
  <c r="AI1028" i="2"/>
  <c r="A1028" i="8" s="1"/>
  <c r="AI1057" i="2"/>
  <c r="A1057" i="8" s="1"/>
  <c r="AI1089" i="2"/>
  <c r="A1089" i="8" s="1"/>
  <c r="AI1118" i="2"/>
  <c r="A1118"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I46" i="2"/>
  <c r="A46" i="8" s="1"/>
  <c r="AI94" i="2"/>
  <c r="A94" i="8" s="1"/>
  <c r="AI142" i="2"/>
  <c r="A142" i="8" s="1"/>
  <c r="AI190" i="2"/>
  <c r="A190" i="8" s="1"/>
  <c r="AI238" i="2"/>
  <c r="A238" i="8" s="1"/>
  <c r="AI286" i="2"/>
  <c r="A286" i="8" s="1"/>
  <c r="AI334" i="2"/>
  <c r="A334" i="8" s="1"/>
  <c r="AI376" i="2"/>
  <c r="A376" i="8" s="1"/>
  <c r="AI412" i="2"/>
  <c r="A412" i="8" s="1"/>
  <c r="AI443" i="2"/>
  <c r="A443" i="8" s="1"/>
  <c r="AI476" i="2"/>
  <c r="A476" i="8" s="1"/>
  <c r="AI510" i="2"/>
  <c r="A510" i="8" s="1"/>
  <c r="AI540" i="2"/>
  <c r="A540" i="8" s="1"/>
  <c r="AI573" i="2"/>
  <c r="A573" i="8" s="1"/>
  <c r="AI605" i="2"/>
  <c r="A605" i="8" s="1"/>
  <c r="AI634" i="2"/>
  <c r="A634" i="8" s="1"/>
  <c r="AI666" i="2"/>
  <c r="A666" i="8" s="1"/>
  <c r="AI695" i="2"/>
  <c r="A695" i="8" s="1"/>
  <c r="AI726" i="2"/>
  <c r="A726" i="8" s="1"/>
  <c r="AI755" i="2"/>
  <c r="A755" i="8" s="1"/>
  <c r="AI787" i="2"/>
  <c r="A787" i="8" s="1"/>
  <c r="AI816" i="2"/>
  <c r="A816" i="8" s="1"/>
  <c r="AI847" i="2"/>
  <c r="A847" i="8" s="1"/>
  <c r="AI876" i="2"/>
  <c r="A876" i="8" s="1"/>
  <c r="AI908" i="2"/>
  <c r="A908" i="8" s="1"/>
  <c r="AI937" i="2"/>
  <c r="A937" i="8" s="1"/>
  <c r="AI968" i="2"/>
  <c r="A968" i="8" s="1"/>
  <c r="AI997" i="2"/>
  <c r="A997" i="8" s="1"/>
  <c r="AI1029" i="2"/>
  <c r="A1029" i="8" s="1"/>
  <c r="AI1058" i="2"/>
  <c r="A1058" i="8" s="1"/>
  <c r="AI1090" i="2"/>
  <c r="A1090" i="8" s="1"/>
  <c r="AI1122" i="2"/>
  <c r="A1122"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I48" i="2"/>
  <c r="A48" i="8" s="1"/>
  <c r="AI96" i="2"/>
  <c r="A96" i="8" s="1"/>
  <c r="AI144" i="2"/>
  <c r="A144" i="8" s="1"/>
  <c r="AI192" i="2"/>
  <c r="A192" i="8" s="1"/>
  <c r="AI240" i="2"/>
  <c r="A240" i="8" s="1"/>
  <c r="AI288" i="2"/>
  <c r="A288" i="8" s="1"/>
  <c r="AI336" i="2"/>
  <c r="A336" i="8" s="1"/>
  <c r="AI378" i="2"/>
  <c r="A378" i="8" s="1"/>
  <c r="AI413" i="2"/>
  <c r="A413" i="8" s="1"/>
  <c r="AI444" i="2"/>
  <c r="A444" i="8" s="1"/>
  <c r="AI477" i="2"/>
  <c r="A477" i="8" s="1"/>
  <c r="AI511" i="2"/>
  <c r="A511" i="8" s="1"/>
  <c r="AI541" i="2"/>
  <c r="A541" i="8" s="1"/>
  <c r="AI574" i="2"/>
  <c r="A574" i="8" s="1"/>
  <c r="AI606" i="2"/>
  <c r="A606" i="8" s="1"/>
  <c r="AI635" i="2"/>
  <c r="A635" i="8" s="1"/>
  <c r="AI667" i="2"/>
  <c r="A667" i="8" s="1"/>
  <c r="AI696" i="2"/>
  <c r="A696" i="8" s="1"/>
  <c r="AI727" i="2"/>
  <c r="A727" i="8" s="1"/>
  <c r="AI756" i="2"/>
  <c r="A756" i="8" s="1"/>
  <c r="AI788" i="2"/>
  <c r="A788" i="8" s="1"/>
  <c r="AI817" i="2"/>
  <c r="A817" i="8" s="1"/>
  <c r="AI848" i="2"/>
  <c r="A848" i="8" s="1"/>
  <c r="AI877" i="2"/>
  <c r="A877" i="8" s="1"/>
  <c r="AI909" i="2"/>
  <c r="A909" i="8" s="1"/>
  <c r="AI938" i="2"/>
  <c r="A938" i="8" s="1"/>
  <c r="AI969" i="2"/>
  <c r="A969" i="8" s="1"/>
  <c r="AI1001" i="2"/>
  <c r="A1001" i="8" s="1"/>
  <c r="AI1030" i="2"/>
  <c r="A1030" i="8" s="1"/>
  <c r="AI1062" i="2"/>
  <c r="A1062" i="8" s="1"/>
  <c r="AI1091" i="2"/>
  <c r="A1091" i="8" s="1"/>
  <c r="AI1123" i="2"/>
  <c r="A1123"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I49" i="2"/>
  <c r="A49" i="8" s="1"/>
  <c r="AI97" i="2"/>
  <c r="A97" i="8" s="1"/>
  <c r="AI145" i="2"/>
  <c r="A145" i="8" s="1"/>
  <c r="AI193" i="2"/>
  <c r="A193" i="8" s="1"/>
  <c r="AI241" i="2"/>
  <c r="A241" i="8" s="1"/>
  <c r="AI289" i="2"/>
  <c r="A289" i="8" s="1"/>
  <c r="AI337" i="2"/>
  <c r="A337" i="8" s="1"/>
  <c r="AI379" i="2"/>
  <c r="A379" i="8" s="1"/>
  <c r="AI414" i="2"/>
  <c r="A414" i="8" s="1"/>
  <c r="AI448" i="2"/>
  <c r="A448" i="8" s="1"/>
  <c r="AI478" i="2"/>
  <c r="A478" i="8" s="1"/>
  <c r="AI512" i="2"/>
  <c r="A512" i="8" s="1"/>
  <c r="AI545" i="2"/>
  <c r="A545" i="8" s="1"/>
  <c r="AI575" i="2"/>
  <c r="A575" i="8" s="1"/>
  <c r="AI607" i="2"/>
  <c r="A607" i="8" s="1"/>
  <c r="AI636" i="2"/>
  <c r="A636" i="8" s="1"/>
  <c r="AI668" i="2"/>
  <c r="A668" i="8" s="1"/>
  <c r="AI697" i="2"/>
  <c r="A697" i="8" s="1"/>
  <c r="AI728" i="2"/>
  <c r="A728" i="8" s="1"/>
  <c r="AI757" i="2"/>
  <c r="A757" i="8" s="1"/>
  <c r="AI789" i="2"/>
  <c r="A789" i="8" s="1"/>
  <c r="AI818" i="2"/>
  <c r="A818" i="8" s="1"/>
  <c r="AI849" i="2"/>
  <c r="A849" i="8" s="1"/>
  <c r="AI881" i="2"/>
  <c r="A881" i="8" s="1"/>
  <c r="AI910" i="2"/>
  <c r="A910" i="8" s="1"/>
  <c r="AI941" i="2"/>
  <c r="A941" i="8" s="1"/>
  <c r="AI970" i="2"/>
  <c r="A970" i="8" s="1"/>
  <c r="AI1002" i="2"/>
  <c r="A1002" i="8" s="1"/>
  <c r="AI1031" i="2"/>
  <c r="A1031" i="8" s="1"/>
  <c r="AI1063" i="2"/>
  <c r="A1063" i="8" s="1"/>
  <c r="AI1092" i="2"/>
  <c r="A1092" i="8" s="1"/>
  <c r="AI1124" i="2"/>
  <c r="A1124"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J780" i="2"/>
  <c r="R780" i="8" s="1"/>
  <c r="AJ804" i="2"/>
  <c r="R804" i="8" s="1"/>
  <c r="AJ828" i="2"/>
  <c r="R828" i="8" s="1"/>
  <c r="AJ852" i="2"/>
  <c r="R852" i="8" s="1"/>
  <c r="AJ876" i="2"/>
  <c r="R876" i="8" s="1"/>
  <c r="AJ900" i="2"/>
  <c r="R900" i="8" s="1"/>
  <c r="AJ924" i="2"/>
  <c r="R924" i="8" s="1"/>
  <c r="AJ948" i="2"/>
  <c r="R948" i="8" s="1"/>
  <c r="AJ972" i="2"/>
  <c r="R972" i="8" s="1"/>
  <c r="AJ996" i="2"/>
  <c r="R996" i="8" s="1"/>
  <c r="AJ1020" i="2"/>
  <c r="R1020" i="8" s="1"/>
  <c r="AJ1044" i="2"/>
  <c r="R1044" i="8" s="1"/>
  <c r="AI55" i="2"/>
  <c r="A55" i="8" s="1"/>
  <c r="AI103" i="2"/>
  <c r="A103" i="8" s="1"/>
  <c r="AI151" i="2"/>
  <c r="A151" i="8" s="1"/>
  <c r="AI199" i="2"/>
  <c r="A199" i="8" s="1"/>
  <c r="AI247" i="2"/>
  <c r="A247" i="8" s="1"/>
  <c r="AI295" i="2"/>
  <c r="A295" i="8" s="1"/>
  <c r="AI343" i="2"/>
  <c r="A343" i="8" s="1"/>
  <c r="AI380" i="2"/>
  <c r="A380" i="8" s="1"/>
  <c r="AI415" i="2"/>
  <c r="A415" i="8" s="1"/>
  <c r="AI449" i="2"/>
  <c r="A449" i="8" s="1"/>
  <c r="AI480" i="2"/>
  <c r="A480" i="8" s="1"/>
  <c r="AI513" i="2"/>
  <c r="A513" i="8" s="1"/>
  <c r="AI546" i="2"/>
  <c r="A546" i="8" s="1"/>
  <c r="AI577" i="2"/>
  <c r="A577" i="8" s="1"/>
  <c r="AI608" i="2"/>
  <c r="A608" i="8" s="1"/>
  <c r="AI637" i="2"/>
  <c r="A637" i="8" s="1"/>
  <c r="AI669" i="2"/>
  <c r="A669" i="8" s="1"/>
  <c r="AI698" i="2"/>
  <c r="A698" i="8" s="1"/>
  <c r="AI729" i="2"/>
  <c r="A729" i="8" s="1"/>
  <c r="AI761" i="2"/>
  <c r="A761" i="8" s="1"/>
  <c r="AI790" i="2"/>
  <c r="A790" i="8" s="1"/>
  <c r="AI821" i="2"/>
  <c r="A821" i="8" s="1"/>
  <c r="AI850" i="2"/>
  <c r="A850" i="8" s="1"/>
  <c r="AI882" i="2"/>
  <c r="A882" i="8" s="1"/>
  <c r="AI911" i="2"/>
  <c r="A911" i="8" s="1"/>
  <c r="AI942" i="2"/>
  <c r="A942" i="8" s="1"/>
  <c r="AI971" i="2"/>
  <c r="A971" i="8" s="1"/>
  <c r="AI1003" i="2"/>
  <c r="A1003" i="8" s="1"/>
  <c r="AI1032" i="2"/>
  <c r="A1032" i="8" s="1"/>
  <c r="AI1064" i="2"/>
  <c r="A1064" i="8" s="1"/>
  <c r="AI1093" i="2"/>
  <c r="A1093" i="8" s="1"/>
  <c r="AI1125" i="2"/>
  <c r="A1125"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70" i="2"/>
  <c r="R1070" i="8" s="1"/>
  <c r="AJ1094" i="2"/>
  <c r="R1094" i="8" s="1"/>
  <c r="AJ1118" i="2"/>
  <c r="R1118" i="8" s="1"/>
  <c r="AI56" i="2"/>
  <c r="A56" i="8" s="1"/>
  <c r="AI104" i="2"/>
  <c r="A104" i="8" s="1"/>
  <c r="AI152" i="2"/>
  <c r="A152" i="8" s="1"/>
  <c r="AI200" i="2"/>
  <c r="A200" i="8" s="1"/>
  <c r="AI248" i="2"/>
  <c r="A248" i="8" s="1"/>
  <c r="AI296" i="2"/>
  <c r="A296" i="8" s="1"/>
  <c r="AI344" i="2"/>
  <c r="A344" i="8" s="1"/>
  <c r="AI381" i="2"/>
  <c r="A381" i="8" s="1"/>
  <c r="AI416" i="2"/>
  <c r="A416" i="8" s="1"/>
  <c r="AI450" i="2"/>
  <c r="A450" i="8" s="1"/>
  <c r="AI481" i="2"/>
  <c r="A481" i="8" s="1"/>
  <c r="AI514" i="2"/>
  <c r="A514" i="8" s="1"/>
  <c r="AI547" i="2"/>
  <c r="A547" i="8" s="1"/>
  <c r="AI578" i="2"/>
  <c r="A578" i="8" s="1"/>
  <c r="AI609" i="2"/>
  <c r="A609" i="8" s="1"/>
  <c r="AI641" i="2"/>
  <c r="A641" i="8" s="1"/>
  <c r="AI670" i="2"/>
  <c r="A670" i="8" s="1"/>
  <c r="AI701" i="2"/>
  <c r="A701" i="8" s="1"/>
  <c r="AI730" i="2"/>
  <c r="A730" i="8" s="1"/>
  <c r="AI762" i="2"/>
  <c r="A762" i="8" s="1"/>
  <c r="AI791" i="2"/>
  <c r="A791" i="8" s="1"/>
  <c r="AI822" i="2"/>
  <c r="A822" i="8" s="1"/>
  <c r="AI851" i="2"/>
  <c r="A851" i="8" s="1"/>
  <c r="AI883" i="2"/>
  <c r="A883" i="8" s="1"/>
  <c r="AI912" i="2"/>
  <c r="A912" i="8" s="1"/>
  <c r="AI943" i="2"/>
  <c r="A943" i="8" s="1"/>
  <c r="AI972" i="2"/>
  <c r="A972" i="8" s="1"/>
  <c r="AI1004" i="2"/>
  <c r="A1004" i="8" s="1"/>
  <c r="AI1033" i="2"/>
  <c r="A1033" i="8" s="1"/>
  <c r="AI1065" i="2"/>
  <c r="A1065" i="8" s="1"/>
  <c r="AI1094" i="2"/>
  <c r="A1094" i="8" s="1"/>
  <c r="AI1126" i="2"/>
  <c r="A1126"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1" i="2"/>
  <c r="R1071" i="8" s="1"/>
  <c r="AJ1095" i="2"/>
  <c r="R1095" i="8" s="1"/>
  <c r="AJ1119" i="2"/>
  <c r="R1119" i="8" s="1"/>
  <c r="AI57" i="2"/>
  <c r="A57" i="8" s="1"/>
  <c r="AI105" i="2"/>
  <c r="A105" i="8" s="1"/>
  <c r="AI153" i="2"/>
  <c r="A153" i="8" s="1"/>
  <c r="AI201" i="2"/>
  <c r="A201" i="8" s="1"/>
  <c r="AI249" i="2"/>
  <c r="A249" i="8" s="1"/>
  <c r="AI297" i="2"/>
  <c r="A297" i="8" s="1"/>
  <c r="AI345" i="2"/>
  <c r="A345" i="8" s="1"/>
  <c r="AI382" i="2"/>
  <c r="A382" i="8" s="1"/>
  <c r="AI417" i="2"/>
  <c r="A417" i="8" s="1"/>
  <c r="AI451" i="2"/>
  <c r="A451" i="8" s="1"/>
  <c r="AI484" i="2"/>
  <c r="A484" i="8" s="1"/>
  <c r="AI515" i="2"/>
  <c r="A515" i="8" s="1"/>
  <c r="AI548" i="2"/>
  <c r="A548" i="8" s="1"/>
  <c r="AI581" i="2"/>
  <c r="A581" i="8" s="1"/>
  <c r="AI610" i="2"/>
  <c r="A610" i="8" s="1"/>
  <c r="AI642" i="2"/>
  <c r="A642" i="8" s="1"/>
  <c r="AI671" i="2"/>
  <c r="A671" i="8" s="1"/>
  <c r="AI702" i="2"/>
  <c r="A702" i="8" s="1"/>
  <c r="AI731" i="2"/>
  <c r="A731" i="8" s="1"/>
  <c r="AI763" i="2"/>
  <c r="A763" i="8" s="1"/>
  <c r="AI792" i="2"/>
  <c r="A792" i="8" s="1"/>
  <c r="AI823" i="2"/>
  <c r="A823" i="8" s="1"/>
  <c r="AI852" i="2"/>
  <c r="A852" i="8" s="1"/>
  <c r="AI884" i="2"/>
  <c r="A884" i="8" s="1"/>
  <c r="AI913" i="2"/>
  <c r="A913" i="8" s="1"/>
  <c r="AI944" i="2"/>
  <c r="A944" i="8" s="1"/>
  <c r="AI973" i="2"/>
  <c r="A973" i="8" s="1"/>
  <c r="AI1005" i="2"/>
  <c r="A1005" i="8" s="1"/>
  <c r="AI1034" i="2"/>
  <c r="A1034" i="8" s="1"/>
  <c r="AI1066" i="2"/>
  <c r="A1066" i="8" s="1"/>
  <c r="AI1098" i="2"/>
  <c r="A1098" i="8" s="1"/>
  <c r="AI1127" i="2"/>
  <c r="A1127"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2" i="2"/>
  <c r="R1072" i="8" s="1"/>
  <c r="AJ1096" i="2"/>
  <c r="R1096" i="8" s="1"/>
  <c r="AJ1120" i="2"/>
  <c r="R1120" i="8" s="1"/>
  <c r="AI58" i="2"/>
  <c r="A58" i="8" s="1"/>
  <c r="AI106" i="2"/>
  <c r="A106" i="8" s="1"/>
  <c r="AI154" i="2"/>
  <c r="A154" i="8" s="1"/>
  <c r="AI202" i="2"/>
  <c r="A202" i="8" s="1"/>
  <c r="AI250" i="2"/>
  <c r="A250" i="8" s="1"/>
  <c r="AI298" i="2"/>
  <c r="A298" i="8" s="1"/>
  <c r="AI346" i="2"/>
  <c r="A346" i="8" s="1"/>
  <c r="AI384" i="2"/>
  <c r="A384" i="8" s="1"/>
  <c r="AI418" i="2"/>
  <c r="A418" i="8" s="1"/>
  <c r="AI452" i="2"/>
  <c r="A452" i="8" s="1"/>
  <c r="AI485" i="2"/>
  <c r="A485" i="8" s="1"/>
  <c r="AI516" i="2"/>
  <c r="A516" i="8" s="1"/>
  <c r="AI549" i="2"/>
  <c r="A549" i="8" s="1"/>
  <c r="AI582" i="2"/>
  <c r="A582" i="8" s="1"/>
  <c r="AI611" i="2"/>
  <c r="A611" i="8" s="1"/>
  <c r="AI643" i="2"/>
  <c r="A643" i="8" s="1"/>
  <c r="AI672" i="2"/>
  <c r="A672" i="8" s="1"/>
  <c r="AI703" i="2"/>
  <c r="A703" i="8" s="1"/>
  <c r="AI732" i="2"/>
  <c r="A732" i="8" s="1"/>
  <c r="AI764" i="2"/>
  <c r="A764" i="8" s="1"/>
  <c r="AI793" i="2"/>
  <c r="A793" i="8" s="1"/>
  <c r="AI824" i="2"/>
  <c r="A824" i="8" s="1"/>
  <c r="AI853" i="2"/>
  <c r="A853" i="8" s="1"/>
  <c r="AI885" i="2"/>
  <c r="A885" i="8" s="1"/>
  <c r="AI914" i="2"/>
  <c r="A914" i="8" s="1"/>
  <c r="AI945" i="2"/>
  <c r="A945" i="8" s="1"/>
  <c r="AI977" i="2"/>
  <c r="A977" i="8" s="1"/>
  <c r="AI1006" i="2"/>
  <c r="A1006" i="8" s="1"/>
  <c r="AI1037" i="2"/>
  <c r="A1037" i="8" s="1"/>
  <c r="AI1067" i="2"/>
  <c r="A1067" i="8" s="1"/>
  <c r="AI1099" i="2"/>
  <c r="A1099" i="8" s="1"/>
  <c r="AI1128" i="2"/>
  <c r="A1128"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20" i="2"/>
  <c r="R520" i="8" s="1"/>
  <c r="AJ544" i="2"/>
  <c r="R544" i="8" s="1"/>
  <c r="AJ568" i="2"/>
  <c r="R568" i="8" s="1"/>
  <c r="AJ592" i="2"/>
  <c r="R592" i="8" s="1"/>
  <c r="AJ616" i="2"/>
  <c r="R616" i="8" s="1"/>
  <c r="AJ640" i="2"/>
  <c r="R640" i="8" s="1"/>
  <c r="AJ664" i="2"/>
  <c r="R664" i="8" s="1"/>
  <c r="AJ688" i="2"/>
  <c r="R688" i="8" s="1"/>
  <c r="AJ712" i="2"/>
  <c r="R712" i="8" s="1"/>
  <c r="AJ736" i="2"/>
  <c r="R736" i="8" s="1"/>
  <c r="AJ760" i="2"/>
  <c r="R760" i="8" s="1"/>
  <c r="AJ784" i="2"/>
  <c r="R784" i="8" s="1"/>
  <c r="AJ808" i="2"/>
  <c r="R808" i="8" s="1"/>
  <c r="AJ832" i="2"/>
  <c r="R832" i="8" s="1"/>
  <c r="AJ856" i="2"/>
  <c r="R856" i="8" s="1"/>
  <c r="AJ880" i="2"/>
  <c r="R880" i="8" s="1"/>
  <c r="AJ904" i="2"/>
  <c r="R904" i="8" s="1"/>
  <c r="AJ928" i="2"/>
  <c r="R928" i="8" s="1"/>
  <c r="AJ952" i="2"/>
  <c r="R952" i="8" s="1"/>
  <c r="AJ976" i="2"/>
  <c r="R976" i="8" s="1"/>
  <c r="AJ1000" i="2"/>
  <c r="R1000" i="8" s="1"/>
  <c r="AJ1024" i="2"/>
  <c r="R1024" i="8" s="1"/>
  <c r="AJ1048" i="2"/>
  <c r="R1048" i="8" s="1"/>
  <c r="AJ1073" i="2"/>
  <c r="R1073" i="8" s="1"/>
  <c r="AJ1097" i="2"/>
  <c r="R1097" i="8" s="1"/>
  <c r="AJ1121" i="2"/>
  <c r="R1121" i="8" s="1"/>
  <c r="AI59" i="2"/>
  <c r="A59" i="8" s="1"/>
  <c r="AI107" i="2"/>
  <c r="A107" i="8" s="1"/>
  <c r="AI155" i="2"/>
  <c r="A155" i="8" s="1"/>
  <c r="AI203" i="2"/>
  <c r="A203" i="8" s="1"/>
  <c r="AI251" i="2"/>
  <c r="A251" i="8" s="1"/>
  <c r="AI299" i="2"/>
  <c r="A299" i="8" s="1"/>
  <c r="AI347" i="2"/>
  <c r="A347" i="8" s="1"/>
  <c r="AI385" i="2"/>
  <c r="A385" i="8" s="1"/>
  <c r="AI419" i="2"/>
  <c r="A419" i="8" s="1"/>
  <c r="AI453" i="2"/>
  <c r="A453" i="8" s="1"/>
  <c r="AI486" i="2"/>
  <c r="A486" i="8" s="1"/>
  <c r="AI517" i="2"/>
  <c r="A517" i="8" s="1"/>
  <c r="AI550" i="2"/>
  <c r="A550" i="8" s="1"/>
  <c r="AI583" i="2"/>
  <c r="A583" i="8" s="1"/>
  <c r="AI612" i="2"/>
  <c r="A612" i="8" s="1"/>
  <c r="AI644" i="2"/>
  <c r="A644" i="8" s="1"/>
  <c r="AI673" i="2"/>
  <c r="A673" i="8" s="1"/>
  <c r="AI704" i="2"/>
  <c r="A704" i="8" s="1"/>
  <c r="AI733" i="2"/>
  <c r="A733" i="8" s="1"/>
  <c r="AI765" i="2"/>
  <c r="A765" i="8" s="1"/>
  <c r="AI794" i="2"/>
  <c r="A794" i="8" s="1"/>
  <c r="AI825" i="2"/>
  <c r="A825" i="8" s="1"/>
  <c r="AI857" i="2"/>
  <c r="A857" i="8" s="1"/>
  <c r="AI886" i="2"/>
  <c r="A886" i="8" s="1"/>
  <c r="AI917" i="2"/>
  <c r="A917" i="8" s="1"/>
  <c r="AI946" i="2"/>
  <c r="A946" i="8" s="1"/>
  <c r="AI978" i="2"/>
  <c r="A978" i="8" s="1"/>
  <c r="AI1007" i="2"/>
  <c r="A1007" i="8" s="1"/>
  <c r="AI1038" i="2"/>
  <c r="A1038" i="8" s="1"/>
  <c r="AI1068" i="2"/>
  <c r="A1068" i="8" s="1"/>
  <c r="AI1100" i="2"/>
  <c r="A1100" i="8" s="1"/>
  <c r="AI1129" i="2"/>
  <c r="A1129" i="8" s="1"/>
  <c r="AJ64" i="2"/>
  <c r="R64" i="8" s="1"/>
  <c r="AJ88" i="2"/>
  <c r="R88" i="8" s="1"/>
  <c r="AI60" i="2"/>
  <c r="A60" i="8" s="1"/>
  <c r="AI108" i="2"/>
  <c r="A108" i="8" s="1"/>
  <c r="AI156" i="2"/>
  <c r="A156" i="8" s="1"/>
  <c r="AI204" i="2"/>
  <c r="A204" i="8" s="1"/>
  <c r="AI252" i="2"/>
  <c r="A252" i="8" s="1"/>
  <c r="AI300" i="2"/>
  <c r="A300" i="8" s="1"/>
  <c r="AI348" i="2"/>
  <c r="A348" i="8" s="1"/>
  <c r="AI388" i="2"/>
  <c r="A388" i="8" s="1"/>
  <c r="AI420" i="2"/>
  <c r="A420" i="8" s="1"/>
  <c r="AI454" i="2"/>
  <c r="A454" i="8" s="1"/>
  <c r="AI487" i="2"/>
  <c r="A487" i="8" s="1"/>
  <c r="AI521" i="2"/>
  <c r="A521" i="8" s="1"/>
  <c r="AI551" i="2"/>
  <c r="A551" i="8" s="1"/>
  <c r="AI584" i="2"/>
  <c r="A584" i="8" s="1"/>
  <c r="AI613" i="2"/>
  <c r="A613" i="8" s="1"/>
  <c r="AI645" i="2"/>
  <c r="A645" i="8" s="1"/>
  <c r="AI674" i="2"/>
  <c r="A674" i="8" s="1"/>
  <c r="AI705" i="2"/>
  <c r="A705" i="8" s="1"/>
  <c r="AI737" i="2"/>
  <c r="A737" i="8" s="1"/>
  <c r="AI766" i="2"/>
  <c r="A766" i="8" s="1"/>
  <c r="AI797" i="2"/>
  <c r="A797" i="8" s="1"/>
  <c r="AI826" i="2"/>
  <c r="A826" i="8" s="1"/>
  <c r="AI858" i="2"/>
  <c r="A858" i="8" s="1"/>
  <c r="AI887" i="2"/>
  <c r="A887" i="8" s="1"/>
  <c r="AI918" i="2"/>
  <c r="A918" i="8" s="1"/>
  <c r="AI947" i="2"/>
  <c r="A947" i="8" s="1"/>
  <c r="AI979" i="2"/>
  <c r="A979" i="8" s="1"/>
  <c r="AI1008" i="2"/>
  <c r="A1008" i="8" s="1"/>
  <c r="AI1039" i="2"/>
  <c r="A1039" i="8" s="1"/>
  <c r="AI1069" i="2"/>
  <c r="A1069" i="8" s="1"/>
  <c r="AI1101" i="2"/>
  <c r="A1101" i="8" s="1"/>
  <c r="AI1130" i="2"/>
  <c r="A1130"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762" i="2"/>
  <c r="R762" i="8" s="1"/>
  <c r="AJ786" i="2"/>
  <c r="R786" i="8" s="1"/>
  <c r="AJ810" i="2"/>
  <c r="R810" i="8" s="1"/>
  <c r="AJ834" i="2"/>
  <c r="R834" i="8" s="1"/>
  <c r="AJ858" i="2"/>
  <c r="R858" i="8" s="1"/>
  <c r="AJ882" i="2"/>
  <c r="R882" i="8" s="1"/>
  <c r="AJ906" i="2"/>
  <c r="R906" i="8" s="1"/>
  <c r="AJ930" i="2"/>
  <c r="R930" i="8" s="1"/>
  <c r="AI67" i="2"/>
  <c r="A67" i="8" s="1"/>
  <c r="AI115" i="2"/>
  <c r="A115" i="8" s="1"/>
  <c r="AI163" i="2"/>
  <c r="A163" i="8" s="1"/>
  <c r="AI211" i="2"/>
  <c r="A211" i="8" s="1"/>
  <c r="AI259" i="2"/>
  <c r="A259" i="8" s="1"/>
  <c r="AI307" i="2"/>
  <c r="A307" i="8" s="1"/>
  <c r="AI354" i="2"/>
  <c r="A354" i="8" s="1"/>
  <c r="AI390" i="2"/>
  <c r="A390" i="8" s="1"/>
  <c r="AI424" i="2"/>
  <c r="A424" i="8" s="1"/>
  <c r="AI456" i="2"/>
  <c r="A456" i="8" s="1"/>
  <c r="AI488" i="2"/>
  <c r="A488" i="8" s="1"/>
  <c r="AI522" i="2"/>
  <c r="A522" i="8" s="1"/>
  <c r="AI553" i="2"/>
  <c r="A553" i="8" s="1"/>
  <c r="AI585" i="2"/>
  <c r="A585" i="8" s="1"/>
  <c r="AI617" i="2"/>
  <c r="A617" i="8" s="1"/>
  <c r="AI646" i="2"/>
  <c r="A646" i="8" s="1"/>
  <c r="AI677" i="2"/>
  <c r="A677" i="8" s="1"/>
  <c r="AI706" i="2"/>
  <c r="A706" i="8" s="1"/>
  <c r="AI738" i="2"/>
  <c r="A738" i="8" s="1"/>
  <c r="AI767" i="2"/>
  <c r="A767" i="8" s="1"/>
  <c r="AI798" i="2"/>
  <c r="A798" i="8" s="1"/>
  <c r="AI827" i="2"/>
  <c r="A827" i="8" s="1"/>
  <c r="AI859" i="2"/>
  <c r="A859" i="8" s="1"/>
  <c r="AI888" i="2"/>
  <c r="A888" i="8" s="1"/>
  <c r="AI919" i="2"/>
  <c r="A919" i="8" s="1"/>
  <c r="AI948" i="2"/>
  <c r="A948" i="8" s="1"/>
  <c r="AI980" i="2"/>
  <c r="A980" i="8" s="1"/>
  <c r="AI1009" i="2"/>
  <c r="A1009" i="8" s="1"/>
  <c r="AI1040" i="2"/>
  <c r="A1040" i="8" s="1"/>
  <c r="AI1070" i="2"/>
  <c r="A1070" i="8" s="1"/>
  <c r="AI1102" i="2"/>
  <c r="A1102" i="8" s="1"/>
  <c r="AJ37" i="2"/>
  <c r="R37"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I68" i="2"/>
  <c r="A68" i="8" s="1"/>
  <c r="AI116" i="2"/>
  <c r="A116" i="8" s="1"/>
  <c r="AI164" i="2"/>
  <c r="A164" i="8" s="1"/>
  <c r="AI212" i="2"/>
  <c r="A212" i="8" s="1"/>
  <c r="AI260" i="2"/>
  <c r="A260" i="8" s="1"/>
  <c r="AI308" i="2"/>
  <c r="A308" i="8" s="1"/>
  <c r="AI355" i="2"/>
  <c r="A355" i="8" s="1"/>
  <c r="AI391" i="2"/>
  <c r="A391" i="8" s="1"/>
  <c r="AI426" i="2"/>
  <c r="A426" i="8" s="1"/>
  <c r="AI457" i="2"/>
  <c r="A457" i="8" s="1"/>
  <c r="AI489" i="2"/>
  <c r="A489" i="8" s="1"/>
  <c r="AI523" i="2"/>
  <c r="A523" i="8" s="1"/>
  <c r="AI554" i="2"/>
  <c r="A554" i="8" s="1"/>
  <c r="AI586" i="2"/>
  <c r="A586" i="8" s="1"/>
  <c r="AI618" i="2"/>
  <c r="A618" i="8" s="1"/>
  <c r="AI647" i="2"/>
  <c r="A647" i="8" s="1"/>
  <c r="AI678" i="2"/>
  <c r="A678" i="8" s="1"/>
  <c r="AI707" i="2"/>
  <c r="A707" i="8" s="1"/>
  <c r="AI739" i="2"/>
  <c r="A739" i="8" s="1"/>
  <c r="AI768" i="2"/>
  <c r="A768" i="8" s="1"/>
  <c r="AI799" i="2"/>
  <c r="A799" i="8" s="1"/>
  <c r="AI828" i="2"/>
  <c r="A828" i="8" s="1"/>
  <c r="AI860" i="2"/>
  <c r="A860" i="8" s="1"/>
  <c r="AI889" i="2"/>
  <c r="A889" i="8" s="1"/>
  <c r="AI920" i="2"/>
  <c r="A920" i="8" s="1"/>
  <c r="AI949" i="2"/>
  <c r="A949" i="8" s="1"/>
  <c r="AI981" i="2"/>
  <c r="A981" i="8" s="1"/>
  <c r="AI1010" i="2"/>
  <c r="A1010" i="8" s="1"/>
  <c r="AI1041" i="2"/>
  <c r="A1041" i="8" s="1"/>
  <c r="AI1074" i="2"/>
  <c r="A1074" i="8" s="1"/>
  <c r="AI1103" i="2"/>
  <c r="A1103" i="8" s="1"/>
  <c r="AJ40" i="2"/>
  <c r="R40"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860" i="2"/>
  <c r="R860" i="8" s="1"/>
  <c r="AJ884" i="2"/>
  <c r="R884" i="8" s="1"/>
  <c r="AI69" i="2"/>
  <c r="A69" i="8" s="1"/>
  <c r="AI117" i="2"/>
  <c r="A117" i="8" s="1"/>
  <c r="AI165" i="2"/>
  <c r="A165" i="8" s="1"/>
  <c r="AI213" i="2"/>
  <c r="A213" i="8" s="1"/>
  <c r="AI261" i="2"/>
  <c r="A261" i="8" s="1"/>
  <c r="AI309" i="2"/>
  <c r="A309" i="8" s="1"/>
  <c r="AI356" i="2"/>
  <c r="A356" i="8" s="1"/>
  <c r="AI392" i="2"/>
  <c r="A392" i="8" s="1"/>
  <c r="AI427" i="2"/>
  <c r="A427" i="8" s="1"/>
  <c r="AI460" i="2"/>
  <c r="A460" i="8" s="1"/>
  <c r="AI490" i="2"/>
  <c r="A490" i="8" s="1"/>
  <c r="AI524" i="2"/>
  <c r="A524" i="8" s="1"/>
  <c r="AI557" i="2"/>
  <c r="A557" i="8" s="1"/>
  <c r="AI587" i="2"/>
  <c r="A587" i="8" s="1"/>
  <c r="AI619" i="2"/>
  <c r="A619" i="8" s="1"/>
  <c r="AI648" i="2"/>
  <c r="A648" i="8" s="1"/>
  <c r="AI679" i="2"/>
  <c r="A679" i="8" s="1"/>
  <c r="AI708" i="2"/>
  <c r="A708" i="8" s="1"/>
  <c r="AI740" i="2"/>
  <c r="A740" i="8" s="1"/>
  <c r="AI769" i="2"/>
  <c r="A769" i="8" s="1"/>
  <c r="AI800" i="2"/>
  <c r="A800" i="8" s="1"/>
  <c r="AI829" i="2"/>
  <c r="A829" i="8" s="1"/>
  <c r="AI861" i="2"/>
  <c r="A861" i="8" s="1"/>
  <c r="AI890" i="2"/>
  <c r="A890" i="8" s="1"/>
  <c r="AI921" i="2"/>
  <c r="A921" i="8" s="1"/>
  <c r="AI953" i="2"/>
  <c r="A953" i="8" s="1"/>
  <c r="AI982" i="2"/>
  <c r="A982" i="8" s="1"/>
  <c r="AI1013" i="2"/>
  <c r="A1013" i="8" s="1"/>
  <c r="AI1042" i="2"/>
  <c r="A1042" i="8" s="1"/>
  <c r="AI1075" i="2"/>
  <c r="A1075" i="8" s="1"/>
  <c r="AI1104" i="2"/>
  <c r="A1104" i="8" s="1"/>
  <c r="AJ41" i="2"/>
  <c r="R41"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J789" i="2"/>
  <c r="R789" i="8" s="1"/>
  <c r="AI70" i="2"/>
  <c r="A70" i="8" s="1"/>
  <c r="AI118" i="2"/>
  <c r="A118" i="8" s="1"/>
  <c r="AI166" i="2"/>
  <c r="A166" i="8" s="1"/>
  <c r="AI214" i="2"/>
  <c r="A214" i="8" s="1"/>
  <c r="AI262" i="2"/>
  <c r="A262" i="8" s="1"/>
  <c r="AI310" i="2"/>
  <c r="A310" i="8" s="1"/>
  <c r="AI357" i="2"/>
  <c r="A357" i="8" s="1"/>
  <c r="AI393" i="2"/>
  <c r="A393" i="8" s="1"/>
  <c r="AI428" i="2"/>
  <c r="A428" i="8" s="1"/>
  <c r="AI461" i="2"/>
  <c r="A461" i="8" s="1"/>
  <c r="AI491" i="2"/>
  <c r="A491" i="8" s="1"/>
  <c r="AI525" i="2"/>
  <c r="A525" i="8" s="1"/>
  <c r="AI558" i="2"/>
  <c r="A558" i="8" s="1"/>
  <c r="AI588" i="2"/>
  <c r="A588" i="8" s="1"/>
  <c r="AI620" i="2"/>
  <c r="A620" i="8" s="1"/>
  <c r="AI649" i="2"/>
  <c r="A649" i="8" s="1"/>
  <c r="AI680" i="2"/>
  <c r="A680" i="8" s="1"/>
  <c r="AI709" i="2"/>
  <c r="A709" i="8" s="1"/>
  <c r="AI741" i="2"/>
  <c r="A741" i="8" s="1"/>
  <c r="AI770" i="2"/>
  <c r="A770" i="8" s="1"/>
  <c r="AI801" i="2"/>
  <c r="A801" i="8" s="1"/>
  <c r="AI833" i="2"/>
  <c r="A833" i="8" s="1"/>
  <c r="AI862" i="2"/>
  <c r="A862" i="8" s="1"/>
  <c r="AI893" i="2"/>
  <c r="A893" i="8" s="1"/>
  <c r="AI922" i="2"/>
  <c r="A922" i="8" s="1"/>
  <c r="AI954" i="2"/>
  <c r="A954" i="8" s="1"/>
  <c r="AI983" i="2"/>
  <c r="A983" i="8" s="1"/>
  <c r="AI1014" i="2"/>
  <c r="A1014" i="8" s="1"/>
  <c r="AI1043" i="2"/>
  <c r="A1043" i="8" s="1"/>
  <c r="AI1076" i="2"/>
  <c r="A1076" i="8" s="1"/>
  <c r="AI1105" i="2"/>
  <c r="A1105" i="8" s="1"/>
  <c r="AJ42" i="2"/>
  <c r="R42"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I72" i="2"/>
  <c r="A72" i="8" s="1"/>
  <c r="AI120" i="2"/>
  <c r="A120" i="8" s="1"/>
  <c r="AI168" i="2"/>
  <c r="A168" i="8" s="1"/>
  <c r="AI216" i="2"/>
  <c r="A216" i="8" s="1"/>
  <c r="AI264" i="2"/>
  <c r="A264" i="8" s="1"/>
  <c r="AI312" i="2"/>
  <c r="A312" i="8" s="1"/>
  <c r="AI358" i="2"/>
  <c r="A358" i="8" s="1"/>
  <c r="AI394" i="2"/>
  <c r="A394" i="8" s="1"/>
  <c r="AI429" i="2"/>
  <c r="A429" i="8" s="1"/>
  <c r="AI462" i="2"/>
  <c r="A462" i="8" s="1"/>
  <c r="AI492" i="2"/>
  <c r="A492" i="8" s="1"/>
  <c r="AI526" i="2"/>
  <c r="A526" i="8" s="1"/>
  <c r="AI559" i="2"/>
  <c r="A559" i="8" s="1"/>
  <c r="AI589" i="2"/>
  <c r="A589" i="8" s="1"/>
  <c r="AI621" i="2"/>
  <c r="A621" i="8" s="1"/>
  <c r="AI650" i="2"/>
  <c r="A650" i="8" s="1"/>
  <c r="AI681" i="2"/>
  <c r="A681" i="8" s="1"/>
  <c r="AI713" i="2"/>
  <c r="A713" i="8" s="1"/>
  <c r="AI742" i="2"/>
  <c r="A742" i="8" s="1"/>
  <c r="AI773" i="2"/>
  <c r="A773" i="8" s="1"/>
  <c r="AI802" i="2"/>
  <c r="A802" i="8" s="1"/>
  <c r="AI834" i="2"/>
  <c r="A834" i="8" s="1"/>
  <c r="AI863" i="2"/>
  <c r="A863" i="8" s="1"/>
  <c r="AI894" i="2"/>
  <c r="A894" i="8" s="1"/>
  <c r="AI923" i="2"/>
  <c r="A923" i="8" s="1"/>
  <c r="AI955" i="2"/>
  <c r="A955" i="8" s="1"/>
  <c r="AI984" i="2"/>
  <c r="A984" i="8" s="1"/>
  <c r="AI1015" i="2"/>
  <c r="A1015" i="8" s="1"/>
  <c r="AI1044" i="2"/>
  <c r="A1044" i="8" s="1"/>
  <c r="AI1077" i="2"/>
  <c r="A1077" i="8" s="1"/>
  <c r="AI1106" i="2"/>
  <c r="A1106" i="8" s="1"/>
  <c r="AJ43" i="2"/>
  <c r="R43"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3" i="2"/>
  <c r="R503" i="8" s="1"/>
  <c r="AJ527" i="2"/>
  <c r="R527" i="8" s="1"/>
  <c r="AJ551" i="2"/>
  <c r="R551" i="8" s="1"/>
  <c r="AJ575" i="2"/>
  <c r="R575" i="8" s="1"/>
  <c r="AJ599" i="2"/>
  <c r="R599" i="8" s="1"/>
  <c r="AJ623" i="2"/>
  <c r="R623" i="8" s="1"/>
  <c r="AJ647" i="2"/>
  <c r="R647" i="8" s="1"/>
  <c r="AJ671" i="2"/>
  <c r="R671" i="8" s="1"/>
  <c r="AJ695" i="2"/>
  <c r="R695" i="8" s="1"/>
  <c r="AJ719" i="2"/>
  <c r="R719" i="8" s="1"/>
  <c r="AJ743" i="2"/>
  <c r="R743" i="8" s="1"/>
  <c r="AJ767" i="2"/>
  <c r="R767" i="8" s="1"/>
  <c r="AJ791" i="2"/>
  <c r="R791" i="8" s="1"/>
  <c r="AJ815" i="2"/>
  <c r="R815" i="8" s="1"/>
  <c r="AJ839" i="2"/>
  <c r="R839" i="8" s="1"/>
  <c r="AJ863" i="2"/>
  <c r="R863" i="8" s="1"/>
  <c r="AJ887" i="2"/>
  <c r="R887" i="8" s="1"/>
  <c r="AI73" i="2"/>
  <c r="A73" i="8" s="1"/>
  <c r="AI121" i="2"/>
  <c r="A121" i="8" s="1"/>
  <c r="AI169" i="2"/>
  <c r="A169" i="8" s="1"/>
  <c r="AI217" i="2"/>
  <c r="A217" i="8" s="1"/>
  <c r="AI265" i="2"/>
  <c r="A265" i="8" s="1"/>
  <c r="AI313" i="2"/>
  <c r="A313" i="8" s="1"/>
  <c r="AI360" i="2"/>
  <c r="A360" i="8" s="1"/>
  <c r="AI395" i="2"/>
  <c r="A395" i="8" s="1"/>
  <c r="AI430" i="2"/>
  <c r="A430" i="8" s="1"/>
  <c r="AI463" i="2"/>
  <c r="A463" i="8" s="1"/>
  <c r="AI496" i="2"/>
  <c r="A496" i="8" s="1"/>
  <c r="AI527" i="2"/>
  <c r="A527" i="8" s="1"/>
  <c r="AI560" i="2"/>
  <c r="A560" i="8" s="1"/>
  <c r="AI593" i="2"/>
  <c r="A593" i="8" s="1"/>
  <c r="AI622" i="2"/>
  <c r="A622" i="8" s="1"/>
  <c r="AI653" i="2"/>
  <c r="A653" i="8" s="1"/>
  <c r="AI682" i="2"/>
  <c r="A682" i="8" s="1"/>
  <c r="AI714" i="2"/>
  <c r="A714" i="8" s="1"/>
  <c r="AI743" i="2"/>
  <c r="A743" i="8" s="1"/>
  <c r="AI774" i="2"/>
  <c r="A774" i="8" s="1"/>
  <c r="AI803" i="2"/>
  <c r="A803" i="8" s="1"/>
  <c r="AI835" i="2"/>
  <c r="A835" i="8" s="1"/>
  <c r="AI864" i="2"/>
  <c r="A864" i="8" s="1"/>
  <c r="AI895" i="2"/>
  <c r="A895" i="8" s="1"/>
  <c r="AI924" i="2"/>
  <c r="A924" i="8" s="1"/>
  <c r="AI956" i="2"/>
  <c r="A956" i="8" s="1"/>
  <c r="AI985" i="2"/>
  <c r="A985" i="8" s="1"/>
  <c r="AI1016" i="2"/>
  <c r="A1016" i="8" s="1"/>
  <c r="AI1045" i="2"/>
  <c r="A1045" i="8" s="1"/>
  <c r="AI1078" i="2"/>
  <c r="A1078" i="8" s="1"/>
  <c r="AI1107" i="2"/>
  <c r="A1107" i="8" s="1"/>
  <c r="AJ44" i="2"/>
  <c r="R44"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4" i="2"/>
  <c r="R504" i="8" s="1"/>
  <c r="AJ528" i="2"/>
  <c r="R528" i="8" s="1"/>
  <c r="AJ552" i="2"/>
  <c r="R552" i="8" s="1"/>
  <c r="AJ576" i="2"/>
  <c r="R576" i="8" s="1"/>
  <c r="AJ600" i="2"/>
  <c r="R600" i="8" s="1"/>
  <c r="AJ624" i="2"/>
  <c r="R624" i="8" s="1"/>
  <c r="AJ648" i="2"/>
  <c r="R648" i="8" s="1"/>
  <c r="AI79" i="2"/>
  <c r="A79" i="8" s="1"/>
  <c r="AI127" i="2"/>
  <c r="A127" i="8" s="1"/>
  <c r="AI175" i="2"/>
  <c r="A175" i="8" s="1"/>
  <c r="AI223" i="2"/>
  <c r="A223" i="8" s="1"/>
  <c r="AI271" i="2"/>
  <c r="A271" i="8" s="1"/>
  <c r="AI319" i="2"/>
  <c r="A319" i="8" s="1"/>
  <c r="AI361" i="2"/>
  <c r="A361" i="8" s="1"/>
  <c r="AI396" i="2"/>
  <c r="A396" i="8" s="1"/>
  <c r="AI432" i="2"/>
  <c r="A432" i="8" s="1"/>
  <c r="AI464" i="2"/>
  <c r="A464" i="8" s="1"/>
  <c r="AI498" i="2"/>
  <c r="A498" i="8" s="1"/>
  <c r="AI529" i="2"/>
  <c r="A529" i="8" s="1"/>
  <c r="AI561" i="2"/>
  <c r="A561" i="8" s="1"/>
  <c r="AI594" i="2"/>
  <c r="A594" i="8" s="1"/>
  <c r="AI623" i="2"/>
  <c r="A623" i="8" s="1"/>
  <c r="AI654" i="2"/>
  <c r="A654" i="8" s="1"/>
  <c r="AI683" i="2"/>
  <c r="A683" i="8" s="1"/>
  <c r="AI715" i="2"/>
  <c r="A715" i="8" s="1"/>
  <c r="AI744" i="2"/>
  <c r="A744" i="8" s="1"/>
  <c r="AI775" i="2"/>
  <c r="A775" i="8" s="1"/>
  <c r="AI804" i="2"/>
  <c r="A804" i="8" s="1"/>
  <c r="AI836" i="2"/>
  <c r="A836" i="8" s="1"/>
  <c r="AI865" i="2"/>
  <c r="A865" i="8" s="1"/>
  <c r="AI896" i="2"/>
  <c r="A896" i="8" s="1"/>
  <c r="AI925" i="2"/>
  <c r="A925" i="8" s="1"/>
  <c r="AI957" i="2"/>
  <c r="A957" i="8" s="1"/>
  <c r="AI986" i="2"/>
  <c r="A986" i="8" s="1"/>
  <c r="AI1017" i="2"/>
  <c r="A1017" i="8" s="1"/>
  <c r="AI1049" i="2"/>
  <c r="A1049" i="8" s="1"/>
  <c r="AI1079" i="2"/>
  <c r="A1079" i="8" s="1"/>
  <c r="AI1110" i="2"/>
  <c r="A1110" i="8" s="1"/>
  <c r="AJ45" i="2"/>
  <c r="R45"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280" i="2"/>
  <c r="R280" i="8" s="1"/>
  <c r="AJ761" i="2"/>
  <c r="R761" i="8" s="1"/>
  <c r="AJ883" i="2"/>
  <c r="R883" i="8" s="1"/>
  <c r="AJ935" i="2"/>
  <c r="R935" i="8" s="1"/>
  <c r="AJ979" i="2"/>
  <c r="R979" i="8" s="1"/>
  <c r="AJ1016" i="2"/>
  <c r="R1016" i="8" s="1"/>
  <c r="AJ1054" i="2"/>
  <c r="R1054" i="8" s="1"/>
  <c r="AJ1091" i="2"/>
  <c r="R1091" i="8" s="1"/>
  <c r="AJ1127" i="2"/>
  <c r="R1127" i="8" s="1"/>
  <c r="AJ304" i="2"/>
  <c r="R304" i="8" s="1"/>
  <c r="AJ768" i="2"/>
  <c r="R768" i="8" s="1"/>
  <c r="AJ885" i="2"/>
  <c r="R885" i="8" s="1"/>
  <c r="AJ936" i="2"/>
  <c r="R936" i="8" s="1"/>
  <c r="AJ980" i="2"/>
  <c r="R980" i="8" s="1"/>
  <c r="AJ1017" i="2"/>
  <c r="R1017" i="8" s="1"/>
  <c r="AJ1055" i="2"/>
  <c r="R1055" i="8" s="1"/>
  <c r="AJ1092" i="2"/>
  <c r="R1092" i="8" s="1"/>
  <c r="AJ1128" i="2"/>
  <c r="R1128" i="8" s="1"/>
  <c r="AJ328" i="2"/>
  <c r="R328" i="8" s="1"/>
  <c r="AJ785" i="2"/>
  <c r="R785" i="8" s="1"/>
  <c r="AJ886" i="2"/>
  <c r="R886" i="8" s="1"/>
  <c r="AJ937" i="2"/>
  <c r="R937" i="8" s="1"/>
  <c r="AJ981" i="2"/>
  <c r="R981" i="8" s="1"/>
  <c r="AJ1018" i="2"/>
  <c r="R1018" i="8" s="1"/>
  <c r="AJ1056" i="2"/>
  <c r="R1056" i="8" s="1"/>
  <c r="AJ1093" i="2"/>
  <c r="R1093" i="8" s="1"/>
  <c r="AJ1129" i="2"/>
  <c r="R1129" i="8" s="1"/>
  <c r="AJ352" i="2"/>
  <c r="R352" i="8" s="1"/>
  <c r="AJ790" i="2"/>
  <c r="R790" i="8" s="1"/>
  <c r="AJ888" i="2"/>
  <c r="R888" i="8" s="1"/>
  <c r="AJ942" i="2"/>
  <c r="R942" i="8" s="1"/>
  <c r="AJ982" i="2"/>
  <c r="R982" i="8" s="1"/>
  <c r="AJ1019" i="2"/>
  <c r="R1019" i="8" s="1"/>
  <c r="AJ1057" i="2"/>
  <c r="R1057" i="8" s="1"/>
  <c r="AJ1098" i="2"/>
  <c r="R1098" i="8" s="1"/>
  <c r="AJ1130" i="2"/>
  <c r="R1130" i="8" s="1"/>
  <c r="AJ376" i="2"/>
  <c r="R376" i="8" s="1"/>
  <c r="AJ792" i="2"/>
  <c r="R792" i="8" s="1"/>
  <c r="AJ896" i="2"/>
  <c r="R896" i="8" s="1"/>
  <c r="AJ944" i="2"/>
  <c r="R944" i="8" s="1"/>
  <c r="AJ983" i="2"/>
  <c r="R983" i="8" s="1"/>
  <c r="AJ1025" i="2"/>
  <c r="R1025" i="8" s="1"/>
  <c r="AJ1062" i="2"/>
  <c r="R1062" i="8" s="1"/>
  <c r="AJ1099" i="2"/>
  <c r="R1099" i="8" s="1"/>
  <c r="AJ400" i="2"/>
  <c r="R400" i="8" s="1"/>
  <c r="AJ809" i="2"/>
  <c r="R809" i="8" s="1"/>
  <c r="AJ897" i="2"/>
  <c r="R897" i="8" s="1"/>
  <c r="AJ945" i="2"/>
  <c r="R945" i="8" s="1"/>
  <c r="AJ984" i="2"/>
  <c r="R984" i="8" s="1"/>
  <c r="AJ1026" i="2"/>
  <c r="R1026" i="8" s="1"/>
  <c r="AJ1063" i="2"/>
  <c r="R1063" i="8" s="1"/>
  <c r="AJ1100" i="2"/>
  <c r="R1100" i="8" s="1"/>
  <c r="AJ424" i="2"/>
  <c r="R424" i="8" s="1"/>
  <c r="AJ813" i="2"/>
  <c r="R813" i="8" s="1"/>
  <c r="AJ898" i="2"/>
  <c r="R898" i="8" s="1"/>
  <c r="AJ946" i="2"/>
  <c r="R946" i="8" s="1"/>
  <c r="AJ985" i="2"/>
  <c r="R985" i="8" s="1"/>
  <c r="AJ1027" i="2"/>
  <c r="R1027" i="8" s="1"/>
  <c r="AJ1065" i="2"/>
  <c r="R1065" i="8" s="1"/>
  <c r="AJ1101" i="2"/>
  <c r="R1101" i="8" s="1"/>
  <c r="AJ448" i="2"/>
  <c r="R448" i="8" s="1"/>
  <c r="AJ814" i="2"/>
  <c r="R814" i="8" s="1"/>
  <c r="AJ905" i="2"/>
  <c r="R905" i="8" s="1"/>
  <c r="AJ947" i="2"/>
  <c r="R947" i="8" s="1"/>
  <c r="AJ989" i="2"/>
  <c r="R989" i="8" s="1"/>
  <c r="AJ1028" i="2"/>
  <c r="R1028" i="8" s="1"/>
  <c r="AJ1066" i="2"/>
  <c r="R1066" i="8" s="1"/>
  <c r="AJ1102" i="2"/>
  <c r="R1102" i="8" s="1"/>
  <c r="AJ472" i="2"/>
  <c r="R472" i="8" s="1"/>
  <c r="AJ816" i="2"/>
  <c r="R816" i="8" s="1"/>
  <c r="AJ907" i="2"/>
  <c r="R907" i="8" s="1"/>
  <c r="AJ953" i="2"/>
  <c r="R953" i="8" s="1"/>
  <c r="AJ990" i="2"/>
  <c r="R990" i="8" s="1"/>
  <c r="AJ1029" i="2"/>
  <c r="R1029" i="8" s="1"/>
  <c r="AJ1067" i="2"/>
  <c r="R1067" i="8" s="1"/>
  <c r="AJ1103" i="2"/>
  <c r="R1103" i="8" s="1"/>
  <c r="AJ496" i="2"/>
  <c r="R496" i="8" s="1"/>
  <c r="AJ824" i="2"/>
  <c r="R824" i="8" s="1"/>
  <c r="AJ908" i="2"/>
  <c r="R908" i="8" s="1"/>
  <c r="AJ954" i="2"/>
  <c r="R954" i="8" s="1"/>
  <c r="AJ992" i="2"/>
  <c r="R992" i="8" s="1"/>
  <c r="AJ1030" i="2"/>
  <c r="R1030" i="8" s="1"/>
  <c r="AJ1068" i="2"/>
  <c r="R1068" i="8" s="1"/>
  <c r="AJ1104" i="2"/>
  <c r="R1104" i="8" s="1"/>
  <c r="AJ521" i="2"/>
  <c r="R521" i="8" s="1"/>
  <c r="AJ833" i="2"/>
  <c r="R833" i="8" s="1"/>
  <c r="AJ909" i="2"/>
  <c r="R909" i="8" s="1"/>
  <c r="AJ955" i="2"/>
  <c r="R955" i="8" s="1"/>
  <c r="AJ993" i="2"/>
  <c r="R993" i="8" s="1"/>
  <c r="AJ1031" i="2"/>
  <c r="R1031" i="8" s="1"/>
  <c r="AJ1069" i="2"/>
  <c r="R1069" i="8" s="1"/>
  <c r="AJ1105" i="2"/>
  <c r="R1105" i="8" s="1"/>
  <c r="AJ545" i="2"/>
  <c r="R545" i="8" s="1"/>
  <c r="AJ837" i="2"/>
  <c r="R837" i="8" s="1"/>
  <c r="AJ910" i="2"/>
  <c r="R910" i="8" s="1"/>
  <c r="AJ956" i="2"/>
  <c r="R956" i="8" s="1"/>
  <c r="AJ994" i="2"/>
  <c r="R994" i="8" s="1"/>
  <c r="AJ1032" i="2"/>
  <c r="R1032" i="8" s="1"/>
  <c r="AJ1074" i="2"/>
  <c r="R1074" i="8" s="1"/>
  <c r="AJ1106" i="2"/>
  <c r="R1106" i="8" s="1"/>
  <c r="AJ569" i="2"/>
  <c r="R569" i="8" s="1"/>
  <c r="AJ838" i="2"/>
  <c r="R838" i="8" s="1"/>
  <c r="AJ911" i="2"/>
  <c r="R911" i="8" s="1"/>
  <c r="AJ957" i="2"/>
  <c r="R957" i="8" s="1"/>
  <c r="AJ995" i="2"/>
  <c r="R995" i="8" s="1"/>
  <c r="AJ1033" i="2"/>
  <c r="R1033" i="8" s="1"/>
  <c r="AJ1075" i="2"/>
  <c r="R1075" i="8" s="1"/>
  <c r="AJ1110" i="2"/>
  <c r="R1110" i="8" s="1"/>
  <c r="AJ593" i="2"/>
  <c r="R593" i="8" s="1"/>
  <c r="AJ840" i="2"/>
  <c r="R840" i="8" s="1"/>
  <c r="AJ912" i="2"/>
  <c r="R912" i="8" s="1"/>
  <c r="AJ958" i="2"/>
  <c r="R958" i="8" s="1"/>
  <c r="AJ1001" i="2"/>
  <c r="R1001" i="8" s="1"/>
  <c r="AJ1037" i="2"/>
  <c r="R1037" i="8" s="1"/>
  <c r="AJ1076" i="2"/>
  <c r="R1076" i="8" s="1"/>
  <c r="AJ1111" i="2"/>
  <c r="R1111" i="8" s="1"/>
  <c r="AJ1126" i="2"/>
  <c r="R1126" i="8" s="1"/>
  <c r="AJ617" i="2"/>
  <c r="R617" i="8" s="1"/>
  <c r="AJ848" i="2"/>
  <c r="R848" i="8" s="1"/>
  <c r="AJ918" i="2"/>
  <c r="R918" i="8" s="1"/>
  <c r="AJ959" i="2"/>
  <c r="R959" i="8" s="1"/>
  <c r="AJ1002" i="2"/>
  <c r="R1002" i="8" s="1"/>
  <c r="AJ1038" i="2"/>
  <c r="R1038" i="8" s="1"/>
  <c r="AJ1077" i="2"/>
  <c r="R1077" i="8" s="1"/>
  <c r="AJ1113" i="2"/>
  <c r="R1113" i="8" s="1"/>
  <c r="AJ934" i="2"/>
  <c r="R934" i="8" s="1"/>
  <c r="AJ641" i="2"/>
  <c r="R641" i="8" s="1"/>
  <c r="AJ857" i="2"/>
  <c r="R857" i="8" s="1"/>
  <c r="AJ920" i="2"/>
  <c r="R920" i="8" s="1"/>
  <c r="AJ960" i="2"/>
  <c r="R960" i="8" s="1"/>
  <c r="AJ1003" i="2"/>
  <c r="R1003" i="8" s="1"/>
  <c r="AJ1040" i="2"/>
  <c r="R1040" i="8" s="1"/>
  <c r="AJ1078" i="2"/>
  <c r="R1078" i="8" s="1"/>
  <c r="AJ1114" i="2"/>
  <c r="R1114" i="8" s="1"/>
  <c r="AJ881" i="2"/>
  <c r="R881" i="8" s="1"/>
  <c r="AJ665" i="2"/>
  <c r="R665" i="8" s="1"/>
  <c r="AJ859" i="2"/>
  <c r="R859" i="8" s="1"/>
  <c r="AJ921" i="2"/>
  <c r="R921" i="8" s="1"/>
  <c r="AJ961" i="2"/>
  <c r="R961" i="8" s="1"/>
  <c r="AJ1004" i="2"/>
  <c r="R1004" i="8" s="1"/>
  <c r="AJ1041" i="2"/>
  <c r="R1041" i="8" s="1"/>
  <c r="AJ1079" i="2"/>
  <c r="R1079" i="8" s="1"/>
  <c r="AJ1115" i="2"/>
  <c r="R1115" i="8" s="1"/>
  <c r="AJ744" i="2"/>
  <c r="R744" i="8" s="1"/>
  <c r="AJ112" i="2"/>
  <c r="R112" i="8" s="1"/>
  <c r="AJ672" i="2"/>
  <c r="R672" i="8" s="1"/>
  <c r="AJ861" i="2"/>
  <c r="R861" i="8" s="1"/>
  <c r="AJ922" i="2"/>
  <c r="R922" i="8" s="1"/>
  <c r="AJ966" i="2"/>
  <c r="R966" i="8" s="1"/>
  <c r="AJ1005" i="2"/>
  <c r="R1005" i="8" s="1"/>
  <c r="AJ1042" i="2"/>
  <c r="R1042" i="8" s="1"/>
  <c r="AJ1080" i="2"/>
  <c r="R1080" i="8" s="1"/>
  <c r="AJ1116" i="2"/>
  <c r="R1116" i="8" s="1"/>
  <c r="AJ1090" i="2"/>
  <c r="R1090" i="8" s="1"/>
  <c r="AJ136" i="2"/>
  <c r="R136" i="8" s="1"/>
  <c r="AJ689" i="2"/>
  <c r="R689" i="8" s="1"/>
  <c r="AJ862" i="2"/>
  <c r="R862" i="8" s="1"/>
  <c r="AJ923" i="2"/>
  <c r="R923" i="8" s="1"/>
  <c r="AJ968" i="2"/>
  <c r="R968" i="8" s="1"/>
  <c r="AJ1006" i="2"/>
  <c r="R1006" i="8" s="1"/>
  <c r="AJ1043" i="2"/>
  <c r="R1043" i="8" s="1"/>
  <c r="AJ1081" i="2"/>
  <c r="R1081" i="8" s="1"/>
  <c r="AJ1117" i="2"/>
  <c r="R1117" i="8" s="1"/>
  <c r="AJ1053" i="2"/>
  <c r="R1053" i="8" s="1"/>
  <c r="AJ160" i="2"/>
  <c r="R160" i="8" s="1"/>
  <c r="AJ696" i="2"/>
  <c r="R696" i="8" s="1"/>
  <c r="AJ864" i="2"/>
  <c r="R864" i="8" s="1"/>
  <c r="AJ929" i="2"/>
  <c r="R929" i="8" s="1"/>
  <c r="AJ969" i="2"/>
  <c r="R969" i="8" s="1"/>
  <c r="AJ1007" i="2"/>
  <c r="R1007" i="8" s="1"/>
  <c r="AJ1049" i="2"/>
  <c r="R1049" i="8" s="1"/>
  <c r="AJ1082" i="2"/>
  <c r="R1082" i="8" s="1"/>
  <c r="AJ1122" i="2"/>
  <c r="R1122" i="8" s="1"/>
  <c r="AJ1014" i="2"/>
  <c r="R1014" i="8" s="1"/>
  <c r="AJ184" i="2"/>
  <c r="R184" i="8" s="1"/>
  <c r="AJ713" i="2"/>
  <c r="R713" i="8" s="1"/>
  <c r="AJ872" i="2"/>
  <c r="R872" i="8" s="1"/>
  <c r="AJ931" i="2"/>
  <c r="R931" i="8" s="1"/>
  <c r="AJ970" i="2"/>
  <c r="R970" i="8" s="1"/>
  <c r="AJ1008" i="2"/>
  <c r="R1008" i="8" s="1"/>
  <c r="AJ1050" i="2"/>
  <c r="R1050" i="8" s="1"/>
  <c r="AJ1086" i="2"/>
  <c r="R1086" i="8" s="1"/>
  <c r="AJ1123" i="2"/>
  <c r="R1123" i="8" s="1"/>
  <c r="AJ978" i="2"/>
  <c r="R978" i="8" s="1"/>
  <c r="AJ208" i="2"/>
  <c r="R208" i="8" s="1"/>
  <c r="AJ720" i="2"/>
  <c r="R720" i="8" s="1"/>
  <c r="AJ873" i="2"/>
  <c r="R873" i="8" s="1"/>
  <c r="AJ932" i="2"/>
  <c r="R932" i="8" s="1"/>
  <c r="AJ971" i="2"/>
  <c r="R971" i="8" s="1"/>
  <c r="AJ1009" i="2"/>
  <c r="R1009" i="8" s="1"/>
  <c r="AJ1051" i="2"/>
  <c r="R1051" i="8" s="1"/>
  <c r="AJ1087" i="2"/>
  <c r="R1087" i="8" s="1"/>
  <c r="AJ1124" i="2"/>
  <c r="R1124" i="8" s="1"/>
  <c r="AJ256" i="2"/>
  <c r="R256" i="8" s="1"/>
  <c r="AJ232" i="2"/>
  <c r="R232" i="8" s="1"/>
  <c r="AJ737" i="2"/>
  <c r="R737" i="8" s="1"/>
  <c r="AJ874" i="2"/>
  <c r="R874" i="8" s="1"/>
  <c r="AJ933" i="2"/>
  <c r="R933" i="8" s="1"/>
  <c r="AJ977" i="2"/>
  <c r="R977" i="8" s="1"/>
  <c r="AJ1013" i="2"/>
  <c r="R1013" i="8" s="1"/>
  <c r="AJ1052" i="2"/>
  <c r="R1052" i="8" s="1"/>
  <c r="AJ1089" i="2"/>
  <c r="R1089" i="8" s="1"/>
  <c r="AJ1125" i="2"/>
  <c r="R1125"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1060" i="8" l="1"/>
  <c r="BI1060" i="8"/>
  <c r="AS20" i="8"/>
  <c r="BI20" i="8"/>
  <c r="AS31" i="8"/>
  <c r="BI31" i="8"/>
  <c r="AS1013" i="8"/>
  <c r="BI1013" i="8"/>
  <c r="AS1087" i="8"/>
  <c r="BI1087" i="8"/>
  <c r="AS978" i="8"/>
  <c r="BI978" i="8"/>
  <c r="AS713" i="8"/>
  <c r="BI713" i="8"/>
  <c r="AS929" i="8"/>
  <c r="BI929" i="8"/>
  <c r="AS1006" i="8"/>
  <c r="BI1006" i="8"/>
  <c r="AS1080" i="8"/>
  <c r="BI1080" i="8"/>
  <c r="AS744" i="8"/>
  <c r="BI744" i="8"/>
  <c r="AS665" i="8"/>
  <c r="BI665" i="8"/>
  <c r="AS857" i="8"/>
  <c r="BI857" i="8"/>
  <c r="AS918" i="8"/>
  <c r="BI918" i="8"/>
  <c r="AS958" i="8"/>
  <c r="BI958" i="8"/>
  <c r="AS957" i="8"/>
  <c r="BI957" i="8"/>
  <c r="AS956" i="8"/>
  <c r="BI956" i="8"/>
  <c r="AS955" i="8"/>
  <c r="BI955" i="8"/>
  <c r="AS954" i="8"/>
  <c r="BI954" i="8"/>
  <c r="AS953" i="8"/>
  <c r="BI953" i="8"/>
  <c r="AS947" i="8"/>
  <c r="BI947" i="8"/>
  <c r="AS946" i="8"/>
  <c r="BI946" i="8"/>
  <c r="AS945" i="8"/>
  <c r="BI945" i="8"/>
  <c r="AS944" i="8"/>
  <c r="BI944" i="8"/>
  <c r="AS982" i="8"/>
  <c r="BI982" i="8"/>
  <c r="AS1018" i="8"/>
  <c r="BI1018" i="8"/>
  <c r="AS1055" i="8"/>
  <c r="BI1055" i="8"/>
  <c r="AS1091" i="8"/>
  <c r="BI1091" i="8"/>
  <c r="AS913" i="8"/>
  <c r="BI913" i="8"/>
  <c r="AS721" i="8"/>
  <c r="BI721" i="8"/>
  <c r="AS529" i="8"/>
  <c r="BI529" i="8"/>
  <c r="AS336" i="8"/>
  <c r="BI336" i="8"/>
  <c r="AS144" i="8"/>
  <c r="BI144" i="8"/>
  <c r="AS648" i="8"/>
  <c r="BI648" i="8"/>
  <c r="AS455" i="8"/>
  <c r="BI455" i="8"/>
  <c r="AS263" i="8"/>
  <c r="BI263" i="8"/>
  <c r="AS71" i="8"/>
  <c r="BI71" i="8"/>
  <c r="AS815" i="8"/>
  <c r="BI815" i="8"/>
  <c r="AS623" i="8"/>
  <c r="BI623" i="8"/>
  <c r="AS430" i="8"/>
  <c r="BI430" i="8"/>
  <c r="AS238" i="8"/>
  <c r="BI238" i="8"/>
  <c r="AS43" i="8"/>
  <c r="BI43" i="8"/>
  <c r="AS766" i="8"/>
  <c r="BI766" i="8"/>
  <c r="AS574" i="8"/>
  <c r="BI574" i="8"/>
  <c r="AS381" i="8"/>
  <c r="BI381" i="8"/>
  <c r="AS189" i="8"/>
  <c r="BI189" i="8"/>
  <c r="AS741" i="8"/>
  <c r="BI741" i="8"/>
  <c r="AS452" i="8"/>
  <c r="BI452" i="8"/>
  <c r="AS18" i="8"/>
  <c r="BI18" i="8"/>
  <c r="AS25" i="8"/>
  <c r="BI25" i="8"/>
  <c r="AS15" i="8"/>
  <c r="BI15" i="8"/>
  <c r="AS35" i="8"/>
  <c r="BI35" i="8"/>
  <c r="AS737" i="8"/>
  <c r="BI737" i="8"/>
  <c r="AS932" i="8"/>
  <c r="BI932" i="8"/>
  <c r="AS1008" i="8"/>
  <c r="BI1008" i="8"/>
  <c r="AS1082" i="8"/>
  <c r="BI1082" i="8"/>
  <c r="AS1053" i="8"/>
  <c r="BI1053" i="8"/>
  <c r="AS689" i="8"/>
  <c r="BI689" i="8"/>
  <c r="AS922" i="8"/>
  <c r="BI922" i="8"/>
  <c r="AS1004" i="8"/>
  <c r="BI1004" i="8"/>
  <c r="AS1040" i="8"/>
  <c r="BI1040" i="8"/>
  <c r="AS1077" i="8"/>
  <c r="BI1077" i="8"/>
  <c r="AS1111" i="8"/>
  <c r="BI1111" i="8"/>
  <c r="AS1110" i="8"/>
  <c r="BI1110" i="8"/>
  <c r="AS1106" i="8"/>
  <c r="BI1106" i="8"/>
  <c r="AS1105" i="8"/>
  <c r="BI1105" i="8"/>
  <c r="AS1104" i="8"/>
  <c r="BI1104" i="8"/>
  <c r="AS1103" i="8"/>
  <c r="BI1103" i="8"/>
  <c r="AS1102" i="8"/>
  <c r="BI1102" i="8"/>
  <c r="AS1101" i="8"/>
  <c r="BI1101" i="8"/>
  <c r="AS1100" i="8"/>
  <c r="BI1100" i="8"/>
  <c r="AS1099" i="8"/>
  <c r="BI1099" i="8"/>
  <c r="AS1130" i="8"/>
  <c r="BI1130" i="8"/>
  <c r="AS352" i="8"/>
  <c r="BI352" i="8"/>
  <c r="AS785" i="8"/>
  <c r="BI785" i="8"/>
  <c r="AS885" i="8"/>
  <c r="BI885" i="8"/>
  <c r="AS935" i="8"/>
  <c r="BI935" i="8"/>
  <c r="AS817" i="8"/>
  <c r="BI817" i="8"/>
  <c r="AS625" i="8"/>
  <c r="BI625" i="8"/>
  <c r="AS432" i="8"/>
  <c r="BI432" i="8"/>
  <c r="AS240" i="8"/>
  <c r="BI240" i="8"/>
  <c r="AS45" i="8"/>
  <c r="BI45" i="8"/>
  <c r="AS552" i="8"/>
  <c r="BI552" i="8"/>
  <c r="AS359" i="8"/>
  <c r="BI359" i="8"/>
  <c r="AS167" i="8"/>
  <c r="BI167" i="8"/>
  <c r="AS719" i="8"/>
  <c r="BI719" i="8"/>
  <c r="AS527" i="8"/>
  <c r="BI527" i="8"/>
  <c r="AS334" i="8"/>
  <c r="BI334" i="8"/>
  <c r="AS142" i="8"/>
  <c r="BI142" i="8"/>
  <c r="AS670" i="8"/>
  <c r="BI670" i="8"/>
  <c r="AS477" i="8"/>
  <c r="BI477" i="8"/>
  <c r="AS285" i="8"/>
  <c r="BI285" i="8"/>
  <c r="AS93" i="8"/>
  <c r="BI93" i="8"/>
  <c r="AS645" i="8"/>
  <c r="BI645" i="8"/>
  <c r="AS549" i="8"/>
  <c r="BI549" i="8"/>
  <c r="AS260" i="8"/>
  <c r="BI260" i="8"/>
  <c r="AS68" i="8"/>
  <c r="BI68" i="8"/>
  <c r="AS812" i="8"/>
  <c r="BI812" i="8"/>
  <c r="AS620" i="8"/>
  <c r="BI620" i="8"/>
  <c r="AS524" i="8"/>
  <c r="BI524" i="8"/>
  <c r="AS331" i="8"/>
  <c r="BI331" i="8"/>
  <c r="AS139" i="8"/>
  <c r="BI139" i="8"/>
  <c r="AS739" i="8"/>
  <c r="BI739" i="8"/>
  <c r="AS547" i="8"/>
  <c r="BI547" i="8"/>
  <c r="AS354" i="8"/>
  <c r="BI354" i="8"/>
  <c r="AS162" i="8"/>
  <c r="BI162" i="8"/>
  <c r="AS762" i="8"/>
  <c r="BI762" i="8"/>
  <c r="AS570" i="8"/>
  <c r="BI570" i="8"/>
  <c r="AS377" i="8"/>
  <c r="BI377" i="8"/>
  <c r="AS185" i="8"/>
  <c r="BI185" i="8"/>
  <c r="AS1024" i="8"/>
  <c r="BI1024" i="8"/>
  <c r="AS832" i="8"/>
  <c r="BI832" i="8"/>
  <c r="AS640" i="8"/>
  <c r="BI640" i="8"/>
  <c r="AS447" i="8"/>
  <c r="BI447" i="8"/>
  <c r="AS255" i="8"/>
  <c r="BI255" i="8"/>
  <c r="AS63" i="8"/>
  <c r="BI63" i="8"/>
  <c r="AS951" i="8"/>
  <c r="BI951" i="8"/>
  <c r="AS759" i="8"/>
  <c r="BI759" i="8"/>
  <c r="AS567" i="8"/>
  <c r="BI567" i="8"/>
  <c r="AS374" i="8"/>
  <c r="BI374" i="8"/>
  <c r="AS182" i="8"/>
  <c r="BI182" i="8"/>
  <c r="AS974" i="8"/>
  <c r="BI974" i="8"/>
  <c r="AS782" i="8"/>
  <c r="BI782" i="8"/>
  <c r="AS590" i="8"/>
  <c r="BI590" i="8"/>
  <c r="AS397" i="8"/>
  <c r="BI397" i="8"/>
  <c r="AS205" i="8"/>
  <c r="BI205" i="8"/>
  <c r="AS1094" i="8"/>
  <c r="BI1094" i="8"/>
  <c r="AS901" i="8"/>
  <c r="BI901" i="8"/>
  <c r="AS709" i="8"/>
  <c r="BI709" i="8"/>
  <c r="AS517" i="8"/>
  <c r="BI517" i="8"/>
  <c r="AS324" i="8"/>
  <c r="BI324" i="8"/>
  <c r="AS132" i="8"/>
  <c r="BI132" i="8"/>
  <c r="AS1044" i="8"/>
  <c r="BI1044" i="8"/>
  <c r="AS852" i="8"/>
  <c r="BI852" i="8"/>
  <c r="AS660" i="8"/>
  <c r="BI660" i="8"/>
  <c r="AS467" i="8"/>
  <c r="BI467" i="8"/>
  <c r="AS275" i="8"/>
  <c r="BI275" i="8"/>
  <c r="AS83" i="8"/>
  <c r="BI83" i="8"/>
  <c r="AS755" i="8"/>
  <c r="BI755" i="8"/>
  <c r="AS563" i="8"/>
  <c r="BI563" i="8"/>
  <c r="AS370" i="8"/>
  <c r="BI370" i="8"/>
  <c r="AS178" i="8"/>
  <c r="BI178" i="8"/>
  <c r="AS802" i="8"/>
  <c r="BI802" i="8"/>
  <c r="AS610" i="8"/>
  <c r="BI610" i="8"/>
  <c r="AS417" i="8"/>
  <c r="BI417" i="8"/>
  <c r="AS225" i="8"/>
  <c r="BI225" i="8"/>
  <c r="AS753" i="8"/>
  <c r="BI753" i="8"/>
  <c r="AS561" i="8"/>
  <c r="BI561" i="8"/>
  <c r="AS368" i="8"/>
  <c r="BI368" i="8"/>
  <c r="AS176" i="8"/>
  <c r="BI176" i="8"/>
  <c r="AS728" i="8"/>
  <c r="BI728" i="8"/>
  <c r="AS536" i="8"/>
  <c r="BI536" i="8"/>
  <c r="AS343" i="8"/>
  <c r="BI343" i="8"/>
  <c r="AS151" i="8"/>
  <c r="BI151" i="8"/>
  <c r="AS1015" i="8"/>
  <c r="BI1015" i="8"/>
  <c r="AS823" i="8"/>
  <c r="BI823" i="8"/>
  <c r="AS631" i="8"/>
  <c r="BI631" i="8"/>
  <c r="AS438" i="8"/>
  <c r="BI438" i="8"/>
  <c r="AS246" i="8"/>
  <c r="BI246" i="8"/>
  <c r="AS54" i="8"/>
  <c r="BI54" i="8"/>
  <c r="AS894" i="8"/>
  <c r="BI894" i="8"/>
  <c r="AS702" i="8"/>
  <c r="BI702" i="8"/>
  <c r="AS510" i="8"/>
  <c r="BI510" i="8"/>
  <c r="AS317" i="8"/>
  <c r="BI317" i="8"/>
  <c r="AS125" i="8"/>
  <c r="BI125" i="8"/>
  <c r="AS845" i="8"/>
  <c r="BI845" i="8"/>
  <c r="AS653" i="8"/>
  <c r="BI653" i="8"/>
  <c r="AS460" i="8"/>
  <c r="BI460" i="8"/>
  <c r="AS268" i="8"/>
  <c r="BI268" i="8"/>
  <c r="AS76" i="8"/>
  <c r="BI76" i="8"/>
  <c r="AS1036" i="8"/>
  <c r="BI1036" i="8"/>
  <c r="AS844" i="8"/>
  <c r="BI844" i="8"/>
  <c r="AS652" i="8"/>
  <c r="BI652" i="8"/>
  <c r="AS459" i="8"/>
  <c r="BI459" i="8"/>
  <c r="AS267" i="8"/>
  <c r="BI267" i="8"/>
  <c r="AS75" i="8"/>
  <c r="BI75" i="8"/>
  <c r="AS1035" i="8"/>
  <c r="BI1035" i="8"/>
  <c r="AS843" i="8"/>
  <c r="BI843" i="8"/>
  <c r="AS651" i="8"/>
  <c r="BI651" i="8"/>
  <c r="AS458" i="8"/>
  <c r="BI458" i="8"/>
  <c r="AS266" i="8"/>
  <c r="BI266" i="8"/>
  <c r="AS74" i="8"/>
  <c r="BI74" i="8"/>
  <c r="AS1034" i="8"/>
  <c r="BI1034" i="8"/>
  <c r="AS842" i="8"/>
  <c r="BI842" i="8"/>
  <c r="AS650" i="8"/>
  <c r="BI650" i="8"/>
  <c r="AS457" i="8"/>
  <c r="BI457" i="8"/>
  <c r="AS265" i="8"/>
  <c r="BI265" i="8"/>
  <c r="AS73" i="8"/>
  <c r="BI73" i="8"/>
  <c r="AS22" i="8"/>
  <c r="BI22" i="8"/>
  <c r="AS19" i="8"/>
  <c r="BI19" i="8"/>
  <c r="AS33" i="8"/>
  <c r="BI33" i="8"/>
  <c r="AS874" i="8"/>
  <c r="BI874" i="8"/>
  <c r="AS971" i="8"/>
  <c r="BI971" i="8"/>
  <c r="AS1050" i="8"/>
  <c r="BI1050" i="8"/>
  <c r="AS1122" i="8"/>
  <c r="BI1122" i="8"/>
  <c r="AS160" i="8"/>
  <c r="BI160" i="8"/>
  <c r="AS862" i="8"/>
  <c r="BI862" i="8"/>
  <c r="AS966" i="8"/>
  <c r="BI966" i="8"/>
  <c r="AS1041" i="8"/>
  <c r="BI1041" i="8"/>
  <c r="AS1078" i="8"/>
  <c r="BI1078" i="8"/>
  <c r="AS1113" i="8"/>
  <c r="BI1113" i="8"/>
  <c r="AS1126" i="8"/>
  <c r="BI1126" i="8"/>
  <c r="AS593" i="8"/>
  <c r="BI593" i="8"/>
  <c r="AS569" i="8"/>
  <c r="BI569" i="8"/>
  <c r="AS545" i="8"/>
  <c r="BI545" i="8"/>
  <c r="AS521" i="8"/>
  <c r="BI521" i="8"/>
  <c r="AS496" i="8"/>
  <c r="BI496" i="8"/>
  <c r="AS472" i="8"/>
  <c r="BI472" i="8"/>
  <c r="AS448" i="8"/>
  <c r="BI448" i="8"/>
  <c r="AS424" i="8"/>
  <c r="BI424" i="8"/>
  <c r="AS400" i="8"/>
  <c r="BI400" i="8"/>
  <c r="AS376" i="8"/>
  <c r="BI376" i="8"/>
  <c r="AS790" i="8"/>
  <c r="BI790" i="8"/>
  <c r="AS886" i="8"/>
  <c r="BI886" i="8"/>
  <c r="AS936" i="8"/>
  <c r="BI936" i="8"/>
  <c r="AS979" i="8"/>
  <c r="BI979" i="8"/>
  <c r="AS841" i="8"/>
  <c r="BI841" i="8"/>
  <c r="AS649" i="8"/>
  <c r="BI649" i="8"/>
  <c r="AS456" i="8"/>
  <c r="BI456" i="8"/>
  <c r="AS264" i="8"/>
  <c r="BI264" i="8"/>
  <c r="AS72" i="8"/>
  <c r="BI72" i="8"/>
  <c r="AS479" i="8"/>
  <c r="BI479" i="8"/>
  <c r="AS287" i="8"/>
  <c r="BI287" i="8"/>
  <c r="AS95" i="8"/>
  <c r="BI95" i="8"/>
  <c r="AS743" i="8"/>
  <c r="BI743" i="8"/>
  <c r="AS551" i="8"/>
  <c r="BI551" i="8"/>
  <c r="AS358" i="8"/>
  <c r="BI358" i="8"/>
  <c r="AS166" i="8"/>
  <c r="BI166" i="8"/>
  <c r="AS598" i="8"/>
  <c r="BI598" i="8"/>
  <c r="AS405" i="8"/>
  <c r="BI405" i="8"/>
  <c r="AS213" i="8"/>
  <c r="BI213" i="8"/>
  <c r="AS765" i="8"/>
  <c r="BI765" i="8"/>
  <c r="AS573" i="8"/>
  <c r="BI573" i="8"/>
  <c r="AS380" i="8"/>
  <c r="BI380" i="8"/>
  <c r="AS188" i="8"/>
  <c r="BI188" i="8"/>
  <c r="AS836" i="8"/>
  <c r="BI836" i="8"/>
  <c r="AS644" i="8"/>
  <c r="BI644" i="8"/>
  <c r="AS451" i="8"/>
  <c r="BI451" i="8"/>
  <c r="AS259" i="8"/>
  <c r="BI259" i="8"/>
  <c r="AS67" i="8"/>
  <c r="BI67" i="8"/>
  <c r="AS763" i="8"/>
  <c r="BI763" i="8"/>
  <c r="AS571" i="8"/>
  <c r="BI571" i="8"/>
  <c r="AS378" i="8"/>
  <c r="BI378" i="8"/>
  <c r="AS186" i="8"/>
  <c r="BI186" i="8"/>
  <c r="AS786" i="8"/>
  <c r="BI786" i="8"/>
  <c r="AS594" i="8"/>
  <c r="BI594" i="8"/>
  <c r="AS401" i="8"/>
  <c r="BI401" i="8"/>
  <c r="AS209" i="8"/>
  <c r="BI209" i="8"/>
  <c r="AS952" i="8"/>
  <c r="BI952" i="8"/>
  <c r="AS760" i="8"/>
  <c r="BI760" i="8"/>
  <c r="AS568" i="8"/>
  <c r="BI568" i="8"/>
  <c r="AS375" i="8"/>
  <c r="BI375" i="8"/>
  <c r="AS183" i="8"/>
  <c r="BI183" i="8"/>
  <c r="AS975" i="8"/>
  <c r="BI975" i="8"/>
  <c r="AS783" i="8"/>
  <c r="BI783" i="8"/>
  <c r="AS591" i="8"/>
  <c r="BI591" i="8"/>
  <c r="AS398" i="8"/>
  <c r="BI398" i="8"/>
  <c r="AS206" i="8"/>
  <c r="BI206" i="8"/>
  <c r="AS998" i="8"/>
  <c r="BI998" i="8"/>
  <c r="AS806" i="8"/>
  <c r="BI806" i="8"/>
  <c r="AS614" i="8"/>
  <c r="BI614" i="8"/>
  <c r="AS421" i="8"/>
  <c r="BI421" i="8"/>
  <c r="AS229" i="8"/>
  <c r="BI229" i="8"/>
  <c r="AS1118" i="8"/>
  <c r="BI1118" i="8"/>
  <c r="AS925" i="8"/>
  <c r="BI925" i="8"/>
  <c r="AS733" i="8"/>
  <c r="BI733" i="8"/>
  <c r="AS541" i="8"/>
  <c r="BI541" i="8"/>
  <c r="AS348" i="8"/>
  <c r="BI348" i="8"/>
  <c r="AS156" i="8"/>
  <c r="BI156" i="8"/>
  <c r="AS972" i="8"/>
  <c r="BI972" i="8"/>
  <c r="AS780" i="8"/>
  <c r="BI780" i="8"/>
  <c r="AS588" i="8"/>
  <c r="BI588" i="8"/>
  <c r="AS395" i="8"/>
  <c r="BI395" i="8"/>
  <c r="AS203" i="8"/>
  <c r="BI203" i="8"/>
  <c r="AS779" i="8"/>
  <c r="BI779" i="8"/>
  <c r="AS587" i="8"/>
  <c r="BI587" i="8"/>
  <c r="AS394" i="8"/>
  <c r="BI394" i="8"/>
  <c r="AS202" i="8"/>
  <c r="BI202" i="8"/>
  <c r="AS730" i="8"/>
  <c r="BI730" i="8"/>
  <c r="AS538" i="8"/>
  <c r="BI538" i="8"/>
  <c r="AS345" i="8"/>
  <c r="BI345" i="8"/>
  <c r="AS153" i="8"/>
  <c r="BI153" i="8"/>
  <c r="AS777" i="8"/>
  <c r="BI777" i="8"/>
  <c r="AS585" i="8"/>
  <c r="BI585" i="8"/>
  <c r="AS392" i="8"/>
  <c r="BI392" i="8"/>
  <c r="AS200" i="8"/>
  <c r="BI200" i="8"/>
  <c r="AS656" i="8"/>
  <c r="BI656" i="8"/>
  <c r="AS463" i="8"/>
  <c r="BI463" i="8"/>
  <c r="AS271" i="8"/>
  <c r="BI271" i="8"/>
  <c r="AS79" i="8"/>
  <c r="BI79" i="8"/>
  <c r="AS943" i="8"/>
  <c r="BI943" i="8"/>
  <c r="AS751" i="8"/>
  <c r="BI751" i="8"/>
  <c r="AS559" i="8"/>
  <c r="BI559" i="8"/>
  <c r="AS366" i="8"/>
  <c r="BI366" i="8"/>
  <c r="AS174" i="8"/>
  <c r="BI174" i="8"/>
  <c r="AS726" i="8"/>
  <c r="BI726" i="8"/>
  <c r="AS534" i="8"/>
  <c r="BI534" i="8"/>
  <c r="AS341" i="8"/>
  <c r="BI341" i="8"/>
  <c r="AS149" i="8"/>
  <c r="BI149" i="8"/>
  <c r="AS869" i="8"/>
  <c r="BI869" i="8"/>
  <c r="AS677" i="8"/>
  <c r="BI677" i="8"/>
  <c r="AS484" i="8"/>
  <c r="BI484" i="8"/>
  <c r="AS292" i="8"/>
  <c r="BI292" i="8"/>
  <c r="AS100" i="8"/>
  <c r="BI100" i="8"/>
  <c r="AS1061" i="8"/>
  <c r="BI1061" i="8"/>
  <c r="AS868" i="8"/>
  <c r="BI868" i="8"/>
  <c r="AS676" i="8"/>
  <c r="BI676" i="8"/>
  <c r="AS483" i="8"/>
  <c r="BI483" i="8"/>
  <c r="AS291" i="8"/>
  <c r="BI291" i="8"/>
  <c r="AS99" i="8"/>
  <c r="BI99" i="8"/>
  <c r="AS1059" i="8"/>
  <c r="BI1059" i="8"/>
  <c r="AS867" i="8"/>
  <c r="BI867" i="8"/>
  <c r="AS675" i="8"/>
  <c r="BI675" i="8"/>
  <c r="AS482" i="8"/>
  <c r="BI482" i="8"/>
  <c r="AS290" i="8"/>
  <c r="BI290" i="8"/>
  <c r="AS98" i="8"/>
  <c r="BI98" i="8"/>
  <c r="AS1058" i="8"/>
  <c r="BI1058" i="8"/>
  <c r="AS866" i="8"/>
  <c r="BI866" i="8"/>
  <c r="AS674" i="8"/>
  <c r="BI674" i="8"/>
  <c r="AS481" i="8"/>
  <c r="BI481" i="8"/>
  <c r="AS289" i="8"/>
  <c r="BI289" i="8"/>
  <c r="AS97" i="8"/>
  <c r="BI97" i="8"/>
  <c r="AS26" i="8"/>
  <c r="BI26" i="8"/>
  <c r="AS21" i="8"/>
  <c r="BI21" i="8"/>
  <c r="AS28" i="8"/>
  <c r="BI28" i="8"/>
  <c r="AS23" i="8"/>
  <c r="BI23" i="8"/>
  <c r="AS36" i="8"/>
  <c r="BI36" i="8"/>
  <c r="AS34" i="8"/>
  <c r="BI34" i="8"/>
  <c r="AS1089" i="8"/>
  <c r="BI1089" i="8"/>
  <c r="AS933" i="8"/>
  <c r="BI933" i="8"/>
  <c r="AS256" i="8"/>
  <c r="BI256" i="8"/>
  <c r="AS1009" i="8"/>
  <c r="BI1009" i="8"/>
  <c r="AS720" i="8"/>
  <c r="BI720" i="8"/>
  <c r="AS1086" i="8"/>
  <c r="BI1086" i="8"/>
  <c r="AS931" i="8"/>
  <c r="BI931" i="8"/>
  <c r="AS1014" i="8"/>
  <c r="BI1014" i="8"/>
  <c r="AS1007" i="8"/>
  <c r="BI1007" i="8"/>
  <c r="AS696" i="8"/>
  <c r="BI696" i="8"/>
  <c r="AS1081" i="8"/>
  <c r="BI1081" i="8"/>
  <c r="AS923" i="8"/>
  <c r="BI923" i="8"/>
  <c r="AS1090" i="8"/>
  <c r="BI1090" i="8"/>
  <c r="AS1005" i="8"/>
  <c r="BI1005" i="8"/>
  <c r="AS672" i="8"/>
  <c r="BI672" i="8"/>
  <c r="AS1079" i="8"/>
  <c r="BI1079" i="8"/>
  <c r="AS921" i="8"/>
  <c r="BI921" i="8"/>
  <c r="AS1114" i="8"/>
  <c r="BI1114" i="8"/>
  <c r="AS960" i="8"/>
  <c r="BI960" i="8"/>
  <c r="AS934" i="8"/>
  <c r="BI934" i="8"/>
  <c r="AS1002" i="8"/>
  <c r="BI1002" i="8"/>
  <c r="AS617" i="8"/>
  <c r="BI617" i="8"/>
  <c r="AS1037" i="8"/>
  <c r="BI1037" i="8"/>
  <c r="AS356" i="8"/>
  <c r="BI356" i="8"/>
  <c r="AS164" i="8"/>
  <c r="BI164" i="8"/>
  <c r="AS716" i="8"/>
  <c r="BI716" i="8"/>
  <c r="AS427" i="8"/>
  <c r="BI427" i="8"/>
  <c r="AS235" i="8"/>
  <c r="BI235" i="8"/>
  <c r="AS40" i="8"/>
  <c r="BI40" i="8"/>
  <c r="AS835" i="8"/>
  <c r="BI835" i="8"/>
  <c r="AS643" i="8"/>
  <c r="BI643" i="8"/>
  <c r="AS450" i="8"/>
  <c r="BI450" i="8"/>
  <c r="AS258" i="8"/>
  <c r="BI258" i="8"/>
  <c r="AS66" i="8"/>
  <c r="BI66" i="8"/>
  <c r="AS858" i="8"/>
  <c r="BI858" i="8"/>
  <c r="AS666" i="8"/>
  <c r="BI666" i="8"/>
  <c r="AS473" i="8"/>
  <c r="BI473" i="8"/>
  <c r="AS281" i="8"/>
  <c r="BI281" i="8"/>
  <c r="AS89" i="8"/>
  <c r="BI89" i="8"/>
  <c r="AS1121" i="8"/>
  <c r="BI1121" i="8"/>
  <c r="AS928" i="8"/>
  <c r="BI928" i="8"/>
  <c r="AS736" i="8"/>
  <c r="BI736" i="8"/>
  <c r="AS544" i="8"/>
  <c r="BI544" i="8"/>
  <c r="AS351" i="8"/>
  <c r="BI351" i="8"/>
  <c r="AS159" i="8"/>
  <c r="BI159" i="8"/>
  <c r="AS1047" i="8"/>
  <c r="BI1047" i="8"/>
  <c r="AS855" i="8"/>
  <c r="BI855" i="8"/>
  <c r="AS663" i="8"/>
  <c r="BI663" i="8"/>
  <c r="AS470" i="8"/>
  <c r="BI470" i="8"/>
  <c r="AS278" i="8"/>
  <c r="BI278" i="8"/>
  <c r="AS86" i="8"/>
  <c r="BI86" i="8"/>
  <c r="AS1071" i="8"/>
  <c r="BI1071" i="8"/>
  <c r="AS878" i="8"/>
  <c r="BI878" i="8"/>
  <c r="AS686" i="8"/>
  <c r="BI686" i="8"/>
  <c r="AS493" i="8"/>
  <c r="BI493" i="8"/>
  <c r="AS301" i="8"/>
  <c r="BI301" i="8"/>
  <c r="AS109" i="8"/>
  <c r="BI109" i="8"/>
  <c r="AS997" i="8"/>
  <c r="BI997" i="8"/>
  <c r="AS805" i="8"/>
  <c r="BI805" i="8"/>
  <c r="AS613" i="8"/>
  <c r="BI613" i="8"/>
  <c r="AS420" i="8"/>
  <c r="BI420" i="8"/>
  <c r="AS228" i="8"/>
  <c r="BI228" i="8"/>
  <c r="AS948" i="8"/>
  <c r="BI948" i="8"/>
  <c r="AS756" i="8"/>
  <c r="BI756" i="8"/>
  <c r="AS564" i="8"/>
  <c r="BI564" i="8"/>
  <c r="AS371" i="8"/>
  <c r="BI371" i="8"/>
  <c r="AS179" i="8"/>
  <c r="BI179" i="8"/>
  <c r="AS851" i="8"/>
  <c r="BI851" i="8"/>
  <c r="AS659" i="8"/>
  <c r="BI659" i="8"/>
  <c r="AS466" i="8"/>
  <c r="BI466" i="8"/>
  <c r="AS274" i="8"/>
  <c r="BI274" i="8"/>
  <c r="AS82" i="8"/>
  <c r="BI82" i="8"/>
  <c r="AS706" i="8"/>
  <c r="BI706" i="8"/>
  <c r="AS514" i="8"/>
  <c r="BI514" i="8"/>
  <c r="AS321" i="8"/>
  <c r="BI321" i="8"/>
  <c r="AS129" i="8"/>
  <c r="BI129" i="8"/>
  <c r="AS849" i="8"/>
  <c r="BI849" i="8"/>
  <c r="AS657" i="8"/>
  <c r="BI657" i="8"/>
  <c r="AS464" i="8"/>
  <c r="BI464" i="8"/>
  <c r="AS272" i="8"/>
  <c r="BI272" i="8"/>
  <c r="AS80" i="8"/>
  <c r="BI80" i="8"/>
  <c r="AS632" i="8"/>
  <c r="BI632" i="8"/>
  <c r="AS439" i="8"/>
  <c r="BI439" i="8"/>
  <c r="AS247" i="8"/>
  <c r="BI247" i="8"/>
  <c r="AS55" i="8"/>
  <c r="BI55" i="8"/>
  <c r="AS1112" i="8"/>
  <c r="BI1112" i="8"/>
  <c r="AS919" i="8"/>
  <c r="BI919" i="8"/>
  <c r="AS727" i="8"/>
  <c r="BI727" i="8"/>
  <c r="AS535" i="8"/>
  <c r="BI535" i="8"/>
  <c r="AS342" i="8"/>
  <c r="BI342" i="8"/>
  <c r="AS150" i="8"/>
  <c r="BI150" i="8"/>
  <c r="AS798" i="8"/>
  <c r="BI798" i="8"/>
  <c r="AS606" i="8"/>
  <c r="BI606" i="8"/>
  <c r="AS413" i="8"/>
  <c r="BI413" i="8"/>
  <c r="AS221" i="8"/>
  <c r="BI221" i="8"/>
  <c r="AS941" i="8"/>
  <c r="BI941" i="8"/>
  <c r="AS749" i="8"/>
  <c r="BI749" i="8"/>
  <c r="AS557" i="8"/>
  <c r="BI557" i="8"/>
  <c r="AS364" i="8"/>
  <c r="BI364" i="8"/>
  <c r="AS172" i="8"/>
  <c r="BI172" i="8"/>
  <c r="AS940" i="8"/>
  <c r="BI940" i="8"/>
  <c r="AS748" i="8"/>
  <c r="BI748" i="8"/>
  <c r="AS556" i="8"/>
  <c r="BI556" i="8"/>
  <c r="AS363" i="8"/>
  <c r="BI363" i="8"/>
  <c r="AS171" i="8"/>
  <c r="BI171" i="8"/>
  <c r="AS939" i="8"/>
  <c r="BI939" i="8"/>
  <c r="AS747" i="8"/>
  <c r="BI747" i="8"/>
  <c r="AS555" i="8"/>
  <c r="BI555" i="8"/>
  <c r="AS362" i="8"/>
  <c r="BI362" i="8"/>
  <c r="AS170" i="8"/>
  <c r="BI170" i="8"/>
  <c r="AS938" i="8"/>
  <c r="BI938" i="8"/>
  <c r="AS746" i="8"/>
  <c r="BI746" i="8"/>
  <c r="AS554" i="8"/>
  <c r="BI554" i="8"/>
  <c r="AS361" i="8"/>
  <c r="BI361" i="8"/>
  <c r="AS169" i="8"/>
  <c r="BI169" i="8"/>
  <c r="AS24" i="8"/>
  <c r="BI24" i="8"/>
  <c r="AS29" i="8"/>
  <c r="BI29" i="8"/>
  <c r="AS1052" i="8"/>
  <c r="BI1052" i="8"/>
  <c r="AS1124" i="8"/>
  <c r="BI1124" i="8"/>
  <c r="AS208" i="8"/>
  <c r="BI208" i="8"/>
  <c r="AS872" i="8"/>
  <c r="BI872" i="8"/>
  <c r="AS969" i="8"/>
  <c r="BI969" i="8"/>
  <c r="AS1043" i="8"/>
  <c r="BI1043" i="8"/>
  <c r="AS1116" i="8"/>
  <c r="BI1116" i="8"/>
  <c r="AS112" i="8"/>
  <c r="BI112" i="8"/>
  <c r="AS859" i="8"/>
  <c r="BI859" i="8"/>
  <c r="AS920" i="8"/>
  <c r="BI920" i="8"/>
  <c r="AS959" i="8"/>
  <c r="BI959" i="8"/>
  <c r="AS1001" i="8"/>
  <c r="BI1001" i="8"/>
  <c r="AS995" i="8"/>
  <c r="BI995" i="8"/>
  <c r="AS994" i="8"/>
  <c r="BI994" i="8"/>
  <c r="AS993" i="8"/>
  <c r="BI993" i="8"/>
  <c r="AS992" i="8"/>
  <c r="BI992" i="8"/>
  <c r="AS990" i="8"/>
  <c r="BI990" i="8"/>
  <c r="AS989" i="8"/>
  <c r="BI989" i="8"/>
  <c r="AS985" i="8"/>
  <c r="BI985" i="8"/>
  <c r="AS984" i="8"/>
  <c r="BI984" i="8"/>
  <c r="AS983" i="8"/>
  <c r="BI983" i="8"/>
  <c r="AS1019" i="8"/>
  <c r="BI1019" i="8"/>
  <c r="AS1056" i="8"/>
  <c r="BI1056" i="8"/>
  <c r="AS1092" i="8"/>
  <c r="BI1092" i="8"/>
  <c r="AS1127" i="8"/>
  <c r="BI1127" i="8"/>
  <c r="AS280" i="8"/>
  <c r="BI280" i="8"/>
  <c r="AS745" i="8"/>
  <c r="BI745" i="8"/>
  <c r="AS553" i="8"/>
  <c r="BI553" i="8"/>
  <c r="AS360" i="8"/>
  <c r="BI360" i="8"/>
  <c r="AS168" i="8"/>
  <c r="BI168" i="8"/>
  <c r="AS576" i="8"/>
  <c r="BI576" i="8"/>
  <c r="AS383" i="8"/>
  <c r="BI383" i="8"/>
  <c r="AS191" i="8"/>
  <c r="BI191" i="8"/>
  <c r="AS839" i="8"/>
  <c r="BI839" i="8"/>
  <c r="AS647" i="8"/>
  <c r="BI647" i="8"/>
  <c r="AS454" i="8"/>
  <c r="BI454" i="8"/>
  <c r="AS262" i="8"/>
  <c r="BI262" i="8"/>
  <c r="AS70" i="8"/>
  <c r="BI70" i="8"/>
  <c r="AS694" i="8"/>
  <c r="BI694" i="8"/>
  <c r="AS502" i="8"/>
  <c r="BI502" i="8"/>
  <c r="AS309" i="8"/>
  <c r="BI309" i="8"/>
  <c r="AS117" i="8"/>
  <c r="BI117" i="8"/>
  <c r="AS669" i="8"/>
  <c r="BI669" i="8"/>
  <c r="AS476" i="8"/>
  <c r="BI476" i="8"/>
  <c r="AS284" i="8"/>
  <c r="BI284" i="8"/>
  <c r="AS92" i="8"/>
  <c r="BI92" i="8"/>
  <c r="AS740" i="8"/>
  <c r="BI740" i="8"/>
  <c r="AS548" i="8"/>
  <c r="BI548" i="8"/>
  <c r="AS355" i="8"/>
  <c r="BI355" i="8"/>
  <c r="AS163" i="8"/>
  <c r="BI163" i="8"/>
  <c r="AS667" i="8"/>
  <c r="BI667" i="8"/>
  <c r="AS474" i="8"/>
  <c r="BI474" i="8"/>
  <c r="AS282" i="8"/>
  <c r="BI282" i="8"/>
  <c r="AS90" i="8"/>
  <c r="BI90" i="8"/>
  <c r="AS882" i="8"/>
  <c r="BI882" i="8"/>
  <c r="AS690" i="8"/>
  <c r="BI690" i="8"/>
  <c r="AS498" i="8"/>
  <c r="BI498" i="8"/>
  <c r="AS305" i="8"/>
  <c r="BI305" i="8"/>
  <c r="AS113" i="8"/>
  <c r="BI113" i="8"/>
  <c r="AS64" i="8"/>
  <c r="BI64" i="8"/>
  <c r="AS1048" i="8"/>
  <c r="BI1048" i="8"/>
  <c r="AS856" i="8"/>
  <c r="BI856" i="8"/>
  <c r="AS664" i="8"/>
  <c r="BI664" i="8"/>
  <c r="AS471" i="8"/>
  <c r="BI471" i="8"/>
  <c r="AS279" i="8"/>
  <c r="BI279" i="8"/>
  <c r="AS87" i="8"/>
  <c r="BI87" i="8"/>
  <c r="AS1072" i="8"/>
  <c r="BI1072" i="8"/>
  <c r="AS879" i="8"/>
  <c r="BI879" i="8"/>
  <c r="AS687" i="8"/>
  <c r="BI687" i="8"/>
  <c r="AS494" i="8"/>
  <c r="BI494" i="8"/>
  <c r="AS302" i="8"/>
  <c r="BI302" i="8"/>
  <c r="AS110" i="8"/>
  <c r="BI110" i="8"/>
  <c r="AS1095" i="8"/>
  <c r="BI1095" i="8"/>
  <c r="AS902" i="8"/>
  <c r="BI902" i="8"/>
  <c r="AS710" i="8"/>
  <c r="BI710" i="8"/>
  <c r="AS518" i="8"/>
  <c r="BI518" i="8"/>
  <c r="AS325" i="8"/>
  <c r="BI325" i="8"/>
  <c r="AS133" i="8"/>
  <c r="BI133" i="8"/>
  <c r="AS1021" i="8"/>
  <c r="BI1021" i="8"/>
  <c r="AS829" i="8"/>
  <c r="BI829" i="8"/>
  <c r="AS637" i="8"/>
  <c r="BI637" i="8"/>
  <c r="AS444" i="8"/>
  <c r="BI444" i="8"/>
  <c r="AS252" i="8"/>
  <c r="BI252" i="8"/>
  <c r="AS60" i="8"/>
  <c r="BI60" i="8"/>
  <c r="AS876" i="8"/>
  <c r="BI876" i="8"/>
  <c r="AS684" i="8"/>
  <c r="BI684" i="8"/>
  <c r="AS491" i="8"/>
  <c r="BI491" i="8"/>
  <c r="AS299" i="8"/>
  <c r="BI299" i="8"/>
  <c r="AS107" i="8"/>
  <c r="BI107" i="8"/>
  <c r="AS875" i="8"/>
  <c r="BI875" i="8"/>
  <c r="AS683" i="8"/>
  <c r="BI683" i="8"/>
  <c r="AS490" i="8"/>
  <c r="BI490" i="8"/>
  <c r="AS298" i="8"/>
  <c r="BI298" i="8"/>
  <c r="AS106" i="8"/>
  <c r="BI106" i="8"/>
  <c r="AS826" i="8"/>
  <c r="BI826" i="8"/>
  <c r="AS634" i="8"/>
  <c r="BI634" i="8"/>
  <c r="AS441" i="8"/>
  <c r="BI441" i="8"/>
  <c r="AS249" i="8"/>
  <c r="BI249" i="8"/>
  <c r="AS57" i="8"/>
  <c r="BI57" i="8"/>
  <c r="AS681" i="8"/>
  <c r="BI681" i="8"/>
  <c r="AS488" i="8"/>
  <c r="BI488" i="8"/>
  <c r="AS296" i="8"/>
  <c r="BI296" i="8"/>
  <c r="AS104" i="8"/>
  <c r="BI104" i="8"/>
  <c r="AS752" i="8"/>
  <c r="BI752" i="8"/>
  <c r="AS560" i="8"/>
  <c r="BI560" i="8"/>
  <c r="AS367" i="8"/>
  <c r="BI367" i="8"/>
  <c r="AS175" i="8"/>
  <c r="BI175" i="8"/>
  <c r="AS1039" i="8"/>
  <c r="BI1039" i="8"/>
  <c r="AS847" i="8"/>
  <c r="BI847" i="8"/>
  <c r="AS655" i="8"/>
  <c r="BI655" i="8"/>
  <c r="AS462" i="8"/>
  <c r="BI462" i="8"/>
  <c r="AS270" i="8"/>
  <c r="BI270" i="8"/>
  <c r="AS78" i="8"/>
  <c r="BI78" i="8"/>
  <c r="AS822" i="8"/>
  <c r="BI822" i="8"/>
  <c r="AS630" i="8"/>
  <c r="BI630" i="8"/>
  <c r="AS437" i="8"/>
  <c r="BI437" i="8"/>
  <c r="AS245" i="8"/>
  <c r="BI245" i="8"/>
  <c r="AS53" i="8"/>
  <c r="BI53" i="8"/>
  <c r="AS965" i="8"/>
  <c r="BI965" i="8"/>
  <c r="AS773" i="8"/>
  <c r="BI773" i="8"/>
  <c r="AS581" i="8"/>
  <c r="BI581" i="8"/>
  <c r="AS388" i="8"/>
  <c r="BI388" i="8"/>
  <c r="AS196" i="8"/>
  <c r="BI196" i="8"/>
  <c r="AS964" i="8"/>
  <c r="BI964" i="8"/>
  <c r="AS772" i="8"/>
  <c r="BI772" i="8"/>
  <c r="AS580" i="8"/>
  <c r="BI580" i="8"/>
  <c r="AS387" i="8"/>
  <c r="BI387" i="8"/>
  <c r="AS195" i="8"/>
  <c r="BI195" i="8"/>
  <c r="AS963" i="8"/>
  <c r="BI963" i="8"/>
  <c r="AS771" i="8"/>
  <c r="BI771" i="8"/>
  <c r="AS579" i="8"/>
  <c r="BI579" i="8"/>
  <c r="AS386" i="8"/>
  <c r="BI386" i="8"/>
  <c r="AS194" i="8"/>
  <c r="BI194" i="8"/>
  <c r="AS962" i="8"/>
  <c r="BI962" i="8"/>
  <c r="AS770" i="8"/>
  <c r="BI770" i="8"/>
  <c r="AS578" i="8"/>
  <c r="BI578" i="8"/>
  <c r="AS385" i="8"/>
  <c r="BI385" i="8"/>
  <c r="AS193" i="8"/>
  <c r="BI193" i="8"/>
  <c r="AS51" i="8"/>
  <c r="BI51" i="8"/>
  <c r="AS38" i="8"/>
  <c r="BI38" i="8"/>
  <c r="AS30" i="8"/>
  <c r="BI30" i="8"/>
  <c r="AS32" i="8"/>
  <c r="BI32" i="8"/>
  <c r="AS16" i="8"/>
  <c r="BI16" i="8"/>
  <c r="AS17" i="8"/>
  <c r="BI17" i="8"/>
  <c r="AS27" i="8"/>
  <c r="BI27" i="8"/>
  <c r="AS1125" i="8"/>
  <c r="BI1125" i="8"/>
  <c r="AS977" i="8"/>
  <c r="BI977" i="8"/>
  <c r="AS232" i="8"/>
  <c r="BI232" i="8"/>
  <c r="AS1051" i="8"/>
  <c r="BI1051" i="8"/>
  <c r="AS873" i="8"/>
  <c r="BI873" i="8"/>
  <c r="AS1123" i="8"/>
  <c r="BI1123" i="8"/>
  <c r="AS970" i="8"/>
  <c r="BI970" i="8"/>
  <c r="AS184" i="8"/>
  <c r="BI184" i="8"/>
  <c r="AS1049" i="8"/>
  <c r="BI1049" i="8"/>
  <c r="AS864" i="8"/>
  <c r="BI864" i="8"/>
  <c r="AS1117" i="8"/>
  <c r="BI1117" i="8"/>
  <c r="AS968" i="8"/>
  <c r="BI968" i="8"/>
  <c r="AS136" i="8"/>
  <c r="BI136" i="8"/>
  <c r="AS1042" i="8"/>
  <c r="BI1042" i="8"/>
  <c r="AS861" i="8"/>
  <c r="BI861" i="8"/>
  <c r="AS1115" i="8"/>
  <c r="BI1115" i="8"/>
  <c r="AS961" i="8"/>
  <c r="BI961" i="8"/>
  <c r="AS881" i="8"/>
  <c r="BI881" i="8"/>
  <c r="AS1003" i="8"/>
  <c r="BI1003" i="8"/>
  <c r="AS641" i="8"/>
  <c r="BI641" i="8"/>
  <c r="AS1038" i="8"/>
  <c r="BI1038" i="8"/>
  <c r="AS848" i="8"/>
  <c r="BI848" i="8"/>
  <c r="AS1076" i="8"/>
  <c r="BI1076" i="8"/>
  <c r="AS840" i="8"/>
  <c r="BI840" i="8"/>
  <c r="AS1033" i="8"/>
  <c r="BI1033" i="8"/>
  <c r="AS838" i="8"/>
  <c r="BI838" i="8"/>
  <c r="AS1032" i="8"/>
  <c r="BI1032" i="8"/>
  <c r="AS837" i="8"/>
  <c r="BI837" i="8"/>
  <c r="AS1031" i="8"/>
  <c r="BI1031" i="8"/>
  <c r="AS833" i="8"/>
  <c r="BI833" i="8"/>
  <c r="AS1030" i="8"/>
  <c r="BI1030" i="8"/>
  <c r="AS824" i="8"/>
  <c r="BI824" i="8"/>
  <c r="AS1029" i="8"/>
  <c r="BI1029" i="8"/>
  <c r="AS816" i="8"/>
  <c r="BI816" i="8"/>
  <c r="AS1028" i="8"/>
  <c r="BI1028" i="8"/>
  <c r="AS814" i="8"/>
  <c r="BI814" i="8"/>
  <c r="AS1027" i="8"/>
  <c r="BI1027" i="8"/>
  <c r="AS813" i="8"/>
  <c r="BI813" i="8"/>
  <c r="AS1026" i="8"/>
  <c r="BI1026" i="8"/>
  <c r="AS809" i="8"/>
  <c r="BI809" i="8"/>
  <c r="AS1025" i="8"/>
  <c r="BI1025" i="8"/>
  <c r="AS792" i="8"/>
  <c r="BI792" i="8"/>
  <c r="AS1057" i="8"/>
  <c r="BI1057" i="8"/>
  <c r="AS888" i="8"/>
  <c r="BI888" i="8"/>
  <c r="AS1093" i="8"/>
  <c r="BI1093" i="8"/>
  <c r="AS937" i="8"/>
  <c r="BI937" i="8"/>
  <c r="AS1128" i="8"/>
  <c r="BI1128" i="8"/>
  <c r="AS980" i="8"/>
  <c r="BI980" i="8"/>
  <c r="AS304" i="8"/>
  <c r="BI304" i="8"/>
  <c r="AS1016" i="8"/>
  <c r="BI1016" i="8"/>
  <c r="AS761" i="8"/>
  <c r="BI761" i="8"/>
  <c r="AS865" i="8"/>
  <c r="BI865" i="8"/>
  <c r="AS769" i="8"/>
  <c r="BI769" i="8"/>
  <c r="AS673" i="8"/>
  <c r="BI673" i="8"/>
  <c r="AS577" i="8"/>
  <c r="BI577" i="8"/>
  <c r="AS480" i="8"/>
  <c r="BI480" i="8"/>
  <c r="AS384" i="8"/>
  <c r="BI384" i="8"/>
  <c r="AS288" i="8"/>
  <c r="BI288" i="8"/>
  <c r="AS192" i="8"/>
  <c r="BI192" i="8"/>
  <c r="AS96" i="8"/>
  <c r="BI96" i="8"/>
  <c r="AS600" i="8"/>
  <c r="BI600" i="8"/>
  <c r="AS504" i="8"/>
  <c r="BI504" i="8"/>
  <c r="AS407" i="8"/>
  <c r="BI407" i="8"/>
  <c r="AS311" i="8"/>
  <c r="BI311" i="8"/>
  <c r="AS215" i="8"/>
  <c r="BI215" i="8"/>
  <c r="AS119" i="8"/>
  <c r="BI119" i="8"/>
  <c r="AS863" i="8"/>
  <c r="BI863" i="8"/>
  <c r="AS767" i="8"/>
  <c r="BI767" i="8"/>
  <c r="AS671" i="8"/>
  <c r="BI671" i="8"/>
  <c r="AS575" i="8"/>
  <c r="BI575" i="8"/>
  <c r="AS478" i="8"/>
  <c r="BI478" i="8"/>
  <c r="AS382" i="8"/>
  <c r="BI382" i="8"/>
  <c r="AS286" i="8"/>
  <c r="BI286" i="8"/>
  <c r="AS190" i="8"/>
  <c r="BI190" i="8"/>
  <c r="AS94" i="8"/>
  <c r="BI94" i="8"/>
  <c r="AS718" i="8"/>
  <c r="BI718" i="8"/>
  <c r="AS622" i="8"/>
  <c r="BI622" i="8"/>
  <c r="AS526" i="8"/>
  <c r="BI526" i="8"/>
  <c r="AS429" i="8"/>
  <c r="BI429" i="8"/>
  <c r="AS333" i="8"/>
  <c r="BI333" i="8"/>
  <c r="AS237" i="8"/>
  <c r="BI237" i="8"/>
  <c r="AS141" i="8"/>
  <c r="BI141" i="8"/>
  <c r="AS42" i="8"/>
  <c r="BI42" i="8"/>
  <c r="AS789" i="8"/>
  <c r="BI789" i="8"/>
  <c r="AS693" i="8"/>
  <c r="BI693" i="8"/>
  <c r="AS597" i="8"/>
  <c r="BI597" i="8"/>
  <c r="AS501" i="8"/>
  <c r="BI501" i="8"/>
  <c r="AS404" i="8"/>
  <c r="BI404" i="8"/>
  <c r="AS308" i="8"/>
  <c r="BI308" i="8"/>
  <c r="AS212" i="8"/>
  <c r="BI212" i="8"/>
  <c r="AS116" i="8"/>
  <c r="BI116" i="8"/>
  <c r="AS860" i="8"/>
  <c r="BI860" i="8"/>
  <c r="AS764" i="8"/>
  <c r="BI764" i="8"/>
  <c r="AS668" i="8"/>
  <c r="BI668" i="8"/>
  <c r="AS572" i="8"/>
  <c r="BI572" i="8"/>
  <c r="AS475" i="8"/>
  <c r="BI475" i="8"/>
  <c r="AS379" i="8"/>
  <c r="BI379" i="8"/>
  <c r="AS283" i="8"/>
  <c r="BI283" i="8"/>
  <c r="AS187" i="8"/>
  <c r="BI187" i="8"/>
  <c r="AS91" i="8"/>
  <c r="BI91" i="8"/>
  <c r="AS787" i="8"/>
  <c r="BI787" i="8"/>
  <c r="AS691" i="8"/>
  <c r="BI691" i="8"/>
  <c r="AS595" i="8"/>
  <c r="BI595" i="8"/>
  <c r="AS499" i="8"/>
  <c r="BI499" i="8"/>
  <c r="AS402" i="8"/>
  <c r="BI402" i="8"/>
  <c r="AS306" i="8"/>
  <c r="BI306" i="8"/>
  <c r="AS210" i="8"/>
  <c r="BI210" i="8"/>
  <c r="AS114" i="8"/>
  <c r="BI114" i="8"/>
  <c r="AS906" i="8"/>
  <c r="BI906" i="8"/>
  <c r="AS810" i="8"/>
  <c r="BI810" i="8"/>
  <c r="AS714" i="8"/>
  <c r="BI714" i="8"/>
  <c r="AS618" i="8"/>
  <c r="BI618" i="8"/>
  <c r="AS522" i="8"/>
  <c r="BI522" i="8"/>
  <c r="AS425" i="8"/>
  <c r="BI425" i="8"/>
  <c r="AS329" i="8"/>
  <c r="BI329" i="8"/>
  <c r="AS233" i="8"/>
  <c r="BI233" i="8"/>
  <c r="AS137" i="8"/>
  <c r="BI137" i="8"/>
  <c r="AS88" i="8"/>
  <c r="BI88" i="8"/>
  <c r="AS1073" i="8"/>
  <c r="BI1073" i="8"/>
  <c r="AS976" i="8"/>
  <c r="BI976" i="8"/>
  <c r="AS880" i="8"/>
  <c r="BI880" i="8"/>
  <c r="AS784" i="8"/>
  <c r="BI784" i="8"/>
  <c r="AS688" i="8"/>
  <c r="BI688" i="8"/>
  <c r="AS592" i="8"/>
  <c r="BI592" i="8"/>
  <c r="AS495" i="8"/>
  <c r="BI495" i="8"/>
  <c r="AS399" i="8"/>
  <c r="BI399" i="8"/>
  <c r="AS303" i="8"/>
  <c r="BI303" i="8"/>
  <c r="AS207" i="8"/>
  <c r="BI207" i="8"/>
  <c r="AS111" i="8"/>
  <c r="BI111" i="8"/>
  <c r="AS1096" i="8"/>
  <c r="BI1096" i="8"/>
  <c r="AS999" i="8"/>
  <c r="BI999" i="8"/>
  <c r="AS903" i="8"/>
  <c r="BI903" i="8"/>
  <c r="AS807" i="8"/>
  <c r="BI807" i="8"/>
  <c r="AS711" i="8"/>
  <c r="BI711" i="8"/>
  <c r="AS615" i="8"/>
  <c r="BI615" i="8"/>
  <c r="AS519" i="8"/>
  <c r="BI519" i="8"/>
  <c r="AS422" i="8"/>
  <c r="BI422" i="8"/>
  <c r="AS326" i="8"/>
  <c r="BI326" i="8"/>
  <c r="AS230" i="8"/>
  <c r="BI230" i="8"/>
  <c r="AS134" i="8"/>
  <c r="BI134" i="8"/>
  <c r="AS1119" i="8"/>
  <c r="BI1119" i="8"/>
  <c r="AS1022" i="8"/>
  <c r="BI1022" i="8"/>
  <c r="AS926" i="8"/>
  <c r="BI926" i="8"/>
  <c r="AS830" i="8"/>
  <c r="BI830" i="8"/>
  <c r="AS734" i="8"/>
  <c r="BI734" i="8"/>
  <c r="AS638" i="8"/>
  <c r="BI638" i="8"/>
  <c r="AS542" i="8"/>
  <c r="BI542" i="8"/>
  <c r="AS445" i="8"/>
  <c r="BI445" i="8"/>
  <c r="AS349" i="8"/>
  <c r="BI349" i="8"/>
  <c r="AS253" i="8"/>
  <c r="BI253" i="8"/>
  <c r="AS157" i="8"/>
  <c r="BI157" i="8"/>
  <c r="AS61" i="8"/>
  <c r="BI61" i="8"/>
  <c r="AS1045" i="8"/>
  <c r="BI1045" i="8"/>
  <c r="AS949" i="8"/>
  <c r="BI949" i="8"/>
  <c r="AS853" i="8"/>
  <c r="BI853" i="8"/>
  <c r="AS757" i="8"/>
  <c r="BI757" i="8"/>
  <c r="AS661" i="8"/>
  <c r="BI661" i="8"/>
  <c r="AS565" i="8"/>
  <c r="BI565" i="8"/>
  <c r="AS468" i="8"/>
  <c r="BI468" i="8"/>
  <c r="AS372" i="8"/>
  <c r="BI372" i="8"/>
  <c r="AS276" i="8"/>
  <c r="BI276" i="8"/>
  <c r="AS180" i="8"/>
  <c r="BI180" i="8"/>
  <c r="AS84" i="8"/>
  <c r="BI84" i="8"/>
  <c r="AS996" i="8"/>
  <c r="BI996" i="8"/>
  <c r="AS900" i="8"/>
  <c r="BI900" i="8"/>
  <c r="AS804" i="8"/>
  <c r="BI804" i="8"/>
  <c r="AS708" i="8"/>
  <c r="BI708" i="8"/>
  <c r="AS612" i="8"/>
  <c r="BI612" i="8"/>
  <c r="AS516" i="8"/>
  <c r="BI516" i="8"/>
  <c r="AS419" i="8"/>
  <c r="BI419" i="8"/>
  <c r="AS323" i="8"/>
  <c r="BI323" i="8"/>
  <c r="AS227" i="8"/>
  <c r="BI227" i="8"/>
  <c r="AS131" i="8"/>
  <c r="BI131" i="8"/>
  <c r="AS899" i="8"/>
  <c r="BI899" i="8"/>
  <c r="AS803" i="8"/>
  <c r="BI803" i="8"/>
  <c r="AS707" i="8"/>
  <c r="BI707" i="8"/>
  <c r="AS611" i="8"/>
  <c r="BI611" i="8"/>
  <c r="AS515" i="8"/>
  <c r="BI515" i="8"/>
  <c r="AS418" i="8"/>
  <c r="BI418" i="8"/>
  <c r="AS322" i="8"/>
  <c r="BI322" i="8"/>
  <c r="AS226" i="8"/>
  <c r="BI226" i="8"/>
  <c r="AS130" i="8"/>
  <c r="BI130" i="8"/>
  <c r="AS850" i="8"/>
  <c r="BI850" i="8"/>
  <c r="AS754" i="8"/>
  <c r="BI754" i="8"/>
  <c r="AS658" i="8"/>
  <c r="BI658" i="8"/>
  <c r="AS562" i="8"/>
  <c r="BI562" i="8"/>
  <c r="AS465" i="8"/>
  <c r="BI465" i="8"/>
  <c r="AS369" i="8"/>
  <c r="BI369" i="8"/>
  <c r="AS273" i="8"/>
  <c r="BI273" i="8"/>
  <c r="AS177" i="8"/>
  <c r="BI177" i="8"/>
  <c r="AS81" i="8"/>
  <c r="BI81" i="8"/>
  <c r="AS801" i="8"/>
  <c r="BI801" i="8"/>
  <c r="AS705" i="8"/>
  <c r="BI705" i="8"/>
  <c r="AS609" i="8"/>
  <c r="BI609" i="8"/>
  <c r="AS513" i="8"/>
  <c r="BI513" i="8"/>
  <c r="AS416" i="8"/>
  <c r="BI416" i="8"/>
  <c r="AS320" i="8"/>
  <c r="BI320" i="8"/>
  <c r="AS224" i="8"/>
  <c r="BI224" i="8"/>
  <c r="AS128" i="8"/>
  <c r="BI128" i="8"/>
  <c r="AS776" i="8"/>
  <c r="BI776" i="8"/>
  <c r="AS680" i="8"/>
  <c r="BI680" i="8"/>
  <c r="AS584" i="8"/>
  <c r="BI584" i="8"/>
  <c r="AS487" i="8"/>
  <c r="BI487" i="8"/>
  <c r="AS391" i="8"/>
  <c r="BI391" i="8"/>
  <c r="AS295" i="8"/>
  <c r="BI295" i="8"/>
  <c r="AS199" i="8"/>
  <c r="BI199" i="8"/>
  <c r="AS103" i="8"/>
  <c r="BI103" i="8"/>
  <c r="AS1064" i="8"/>
  <c r="BI1064" i="8"/>
  <c r="AS967" i="8"/>
  <c r="BI967" i="8"/>
  <c r="AS871" i="8"/>
  <c r="BI871" i="8"/>
  <c r="AS775" i="8"/>
  <c r="BI775" i="8"/>
  <c r="AS679" i="8"/>
  <c r="BI679" i="8"/>
  <c r="AS583" i="8"/>
  <c r="BI583" i="8"/>
  <c r="AS486" i="8"/>
  <c r="BI486" i="8"/>
  <c r="AS390" i="8"/>
  <c r="BI390" i="8"/>
  <c r="AS294" i="8"/>
  <c r="BI294" i="8"/>
  <c r="AS198" i="8"/>
  <c r="BI198" i="8"/>
  <c r="AS102" i="8"/>
  <c r="BI102" i="8"/>
  <c r="AS846" i="8"/>
  <c r="BI846" i="8"/>
  <c r="AS750" i="8"/>
  <c r="BI750" i="8"/>
  <c r="AS654" i="8"/>
  <c r="BI654" i="8"/>
  <c r="AS558" i="8"/>
  <c r="BI558" i="8"/>
  <c r="AS461" i="8"/>
  <c r="BI461" i="8"/>
  <c r="AS365" i="8"/>
  <c r="BI365" i="8"/>
  <c r="AS269" i="8"/>
  <c r="BI269" i="8"/>
  <c r="AS173" i="8"/>
  <c r="BI173" i="8"/>
  <c r="AS77" i="8"/>
  <c r="BI77" i="8"/>
  <c r="AS893" i="8"/>
  <c r="BI893" i="8"/>
  <c r="AS797" i="8"/>
  <c r="BI797" i="8"/>
  <c r="AS701" i="8"/>
  <c r="BI701" i="8"/>
  <c r="AS605" i="8"/>
  <c r="BI605" i="8"/>
  <c r="AS509" i="8"/>
  <c r="BI509" i="8"/>
  <c r="AS412" i="8"/>
  <c r="BI412" i="8"/>
  <c r="AS316" i="8"/>
  <c r="BI316" i="8"/>
  <c r="AS220" i="8"/>
  <c r="BI220" i="8"/>
  <c r="AS124" i="8"/>
  <c r="BI124" i="8"/>
  <c r="AS1085" i="8"/>
  <c r="BI1085" i="8"/>
  <c r="AS988" i="8"/>
  <c r="BI988" i="8"/>
  <c r="AS892" i="8"/>
  <c r="BI892" i="8"/>
  <c r="AS796" i="8"/>
  <c r="BI796" i="8"/>
  <c r="AS700" i="8"/>
  <c r="BI700" i="8"/>
  <c r="AS604" i="8"/>
  <c r="BI604" i="8"/>
  <c r="AS508" i="8"/>
  <c r="BI508" i="8"/>
  <c r="AS411" i="8"/>
  <c r="BI411" i="8"/>
  <c r="AS315" i="8"/>
  <c r="BI315" i="8"/>
  <c r="AS219" i="8"/>
  <c r="BI219" i="8"/>
  <c r="AS123" i="8"/>
  <c r="BI123" i="8"/>
  <c r="AS1084" i="8"/>
  <c r="BI1084" i="8"/>
  <c r="AS987" i="8"/>
  <c r="BI987" i="8"/>
  <c r="AS891" i="8"/>
  <c r="BI891" i="8"/>
  <c r="AS795" i="8"/>
  <c r="BI795" i="8"/>
  <c r="AS699" i="8"/>
  <c r="BI699" i="8"/>
  <c r="AS603" i="8"/>
  <c r="BI603" i="8"/>
  <c r="AS507" i="8"/>
  <c r="BI507" i="8"/>
  <c r="AS410" i="8"/>
  <c r="BI410" i="8"/>
  <c r="AS314" i="8"/>
  <c r="BI314" i="8"/>
  <c r="AS218" i="8"/>
  <c r="BI218" i="8"/>
  <c r="AS122" i="8"/>
  <c r="BI122" i="8"/>
  <c r="AS1083" i="8"/>
  <c r="BI1083" i="8"/>
  <c r="AS986" i="8"/>
  <c r="BI986" i="8"/>
  <c r="AS890" i="8"/>
  <c r="BI890" i="8"/>
  <c r="AS794" i="8"/>
  <c r="BI794" i="8"/>
  <c r="AS698" i="8"/>
  <c r="BI698" i="8"/>
  <c r="AS602" i="8"/>
  <c r="BI602" i="8"/>
  <c r="AS506" i="8"/>
  <c r="BI506" i="8"/>
  <c r="AS409" i="8"/>
  <c r="BI409" i="8"/>
  <c r="AS313" i="8"/>
  <c r="BI313" i="8"/>
  <c r="AS217" i="8"/>
  <c r="BI217" i="8"/>
  <c r="AS121" i="8"/>
  <c r="BI121" i="8"/>
  <c r="AS50" i="8"/>
  <c r="BI50" i="8"/>
  <c r="AS912" i="8"/>
  <c r="BI912" i="8"/>
  <c r="AS1075" i="8"/>
  <c r="BI1075" i="8"/>
  <c r="AS911" i="8"/>
  <c r="BI911" i="8"/>
  <c r="AS1074" i="8"/>
  <c r="BI1074" i="8"/>
  <c r="AS910" i="8"/>
  <c r="BI910" i="8"/>
  <c r="AS1069" i="8"/>
  <c r="BI1069" i="8"/>
  <c r="AS909" i="8"/>
  <c r="BI909" i="8"/>
  <c r="AS1068" i="8"/>
  <c r="BI1068" i="8"/>
  <c r="AS908" i="8"/>
  <c r="BI908" i="8"/>
  <c r="AS1067" i="8"/>
  <c r="BI1067" i="8"/>
  <c r="AS907" i="8"/>
  <c r="BI907" i="8"/>
  <c r="AS1066" i="8"/>
  <c r="BI1066" i="8"/>
  <c r="AS905" i="8"/>
  <c r="BI905" i="8"/>
  <c r="AS1065" i="8"/>
  <c r="BI1065" i="8"/>
  <c r="AS898" i="8"/>
  <c r="BI898" i="8"/>
  <c r="AS1063" i="8"/>
  <c r="BI1063" i="8"/>
  <c r="AS897" i="8"/>
  <c r="BI897" i="8"/>
  <c r="AS1062" i="8"/>
  <c r="BI1062" i="8"/>
  <c r="AS896" i="8"/>
  <c r="BI896" i="8"/>
  <c r="AS1098" i="8"/>
  <c r="BI1098" i="8"/>
  <c r="AS942" i="8"/>
  <c r="BI942" i="8"/>
  <c r="AS1129" i="8"/>
  <c r="BI1129" i="8"/>
  <c r="AS981" i="8"/>
  <c r="BI981" i="8"/>
  <c r="AS328" i="8"/>
  <c r="BI328" i="8"/>
  <c r="AS1017" i="8"/>
  <c r="BI1017" i="8"/>
  <c r="AS768" i="8"/>
  <c r="BI768" i="8"/>
  <c r="AS1054" i="8"/>
  <c r="BI1054" i="8"/>
  <c r="AS883" i="8"/>
  <c r="BI883" i="8"/>
  <c r="AS889" i="8"/>
  <c r="BI889" i="8"/>
  <c r="AS793" i="8"/>
  <c r="BI793" i="8"/>
  <c r="AS697" i="8"/>
  <c r="BI697" i="8"/>
  <c r="AS601" i="8"/>
  <c r="BI601" i="8"/>
  <c r="AS505" i="8"/>
  <c r="BI505" i="8"/>
  <c r="AS408" i="8"/>
  <c r="BI408" i="8"/>
  <c r="AS312" i="8"/>
  <c r="BI312" i="8"/>
  <c r="AS216" i="8"/>
  <c r="BI216" i="8"/>
  <c r="AS120" i="8"/>
  <c r="BI120" i="8"/>
  <c r="AS624" i="8"/>
  <c r="BI624" i="8"/>
  <c r="AS528" i="8"/>
  <c r="BI528" i="8"/>
  <c r="AS431" i="8"/>
  <c r="BI431" i="8"/>
  <c r="AS335" i="8"/>
  <c r="BI335" i="8"/>
  <c r="AS239" i="8"/>
  <c r="BI239" i="8"/>
  <c r="AS143" i="8"/>
  <c r="BI143" i="8"/>
  <c r="AS44" i="8"/>
  <c r="BI44" i="8"/>
  <c r="AS887" i="8"/>
  <c r="BI887" i="8"/>
  <c r="AS791" i="8"/>
  <c r="BI791" i="8"/>
  <c r="AS695" i="8"/>
  <c r="BI695" i="8"/>
  <c r="AS599" i="8"/>
  <c r="BI599" i="8"/>
  <c r="AS503" i="8"/>
  <c r="BI503" i="8"/>
  <c r="AS406" i="8"/>
  <c r="BI406" i="8"/>
  <c r="AS310" i="8"/>
  <c r="BI310" i="8"/>
  <c r="AS214" i="8"/>
  <c r="BI214" i="8"/>
  <c r="AS118" i="8"/>
  <c r="BI118" i="8"/>
  <c r="AS742" i="8"/>
  <c r="BI742" i="8"/>
  <c r="AS646" i="8"/>
  <c r="BI646" i="8"/>
  <c r="AS550" i="8"/>
  <c r="BI550" i="8"/>
  <c r="AS453" i="8"/>
  <c r="BI453" i="8"/>
  <c r="AS357" i="8"/>
  <c r="BI357" i="8"/>
  <c r="AS261" i="8"/>
  <c r="BI261" i="8"/>
  <c r="AS165" i="8"/>
  <c r="BI165" i="8"/>
  <c r="AS69" i="8"/>
  <c r="BI69" i="8"/>
  <c r="AS717" i="8"/>
  <c r="BI717" i="8"/>
  <c r="AS621" i="8"/>
  <c r="BI621" i="8"/>
  <c r="AS525" i="8"/>
  <c r="BI525" i="8"/>
  <c r="AS428" i="8"/>
  <c r="BI428" i="8"/>
  <c r="AS332" i="8"/>
  <c r="BI332" i="8"/>
  <c r="AS236" i="8"/>
  <c r="BI236" i="8"/>
  <c r="AS140" i="8"/>
  <c r="BI140" i="8"/>
  <c r="AS41" i="8"/>
  <c r="BI41" i="8"/>
  <c r="AS884" i="8"/>
  <c r="BI884" i="8"/>
  <c r="AS788" i="8"/>
  <c r="BI788" i="8"/>
  <c r="AS692" i="8"/>
  <c r="BI692" i="8"/>
  <c r="AS596" i="8"/>
  <c r="BI596" i="8"/>
  <c r="AS500" i="8"/>
  <c r="BI500" i="8"/>
  <c r="AS403" i="8"/>
  <c r="BI403" i="8"/>
  <c r="AS307" i="8"/>
  <c r="BI307" i="8"/>
  <c r="AS211" i="8"/>
  <c r="BI211" i="8"/>
  <c r="AS115" i="8"/>
  <c r="BI115" i="8"/>
  <c r="AS811" i="8"/>
  <c r="BI811" i="8"/>
  <c r="AS715" i="8"/>
  <c r="BI715" i="8"/>
  <c r="AS619" i="8"/>
  <c r="BI619" i="8"/>
  <c r="AS523" i="8"/>
  <c r="BI523" i="8"/>
  <c r="AS426" i="8"/>
  <c r="BI426" i="8"/>
  <c r="AS330" i="8"/>
  <c r="BI330" i="8"/>
  <c r="AS234" i="8"/>
  <c r="BI234" i="8"/>
  <c r="AS138" i="8"/>
  <c r="BI138" i="8"/>
  <c r="AS37" i="8"/>
  <c r="BI37" i="8"/>
  <c r="AS930" i="8"/>
  <c r="BI930" i="8"/>
  <c r="AS834" i="8"/>
  <c r="BI834" i="8"/>
  <c r="AS738" i="8"/>
  <c r="BI738" i="8"/>
  <c r="AS642" i="8"/>
  <c r="BI642" i="8"/>
  <c r="AS546" i="8"/>
  <c r="BI546" i="8"/>
  <c r="AS449" i="8"/>
  <c r="BI449" i="8"/>
  <c r="AS353" i="8"/>
  <c r="BI353" i="8"/>
  <c r="AS257" i="8"/>
  <c r="BI257" i="8"/>
  <c r="AS161" i="8"/>
  <c r="BI161" i="8"/>
  <c r="AS65" i="8"/>
  <c r="BI65" i="8"/>
  <c r="AS1097" i="8"/>
  <c r="BI1097" i="8"/>
  <c r="AS1000" i="8"/>
  <c r="BI1000" i="8"/>
  <c r="AS904" i="8"/>
  <c r="BI904" i="8"/>
  <c r="AS808" i="8"/>
  <c r="BI808" i="8"/>
  <c r="AS712" i="8"/>
  <c r="BI712" i="8"/>
  <c r="AS616" i="8"/>
  <c r="BI616" i="8"/>
  <c r="AS520" i="8"/>
  <c r="BI520" i="8"/>
  <c r="AS423" i="8"/>
  <c r="BI423" i="8"/>
  <c r="AS327" i="8"/>
  <c r="BI327" i="8"/>
  <c r="AS231" i="8"/>
  <c r="BI231" i="8"/>
  <c r="AS135" i="8"/>
  <c r="BI135" i="8"/>
  <c r="AS1120" i="8"/>
  <c r="BI1120" i="8"/>
  <c r="AS1023" i="8"/>
  <c r="BI1023" i="8"/>
  <c r="AS927" i="8"/>
  <c r="BI927" i="8"/>
  <c r="AS831" i="8"/>
  <c r="BI831" i="8"/>
  <c r="AS735" i="8"/>
  <c r="BI735" i="8"/>
  <c r="AS639" i="8"/>
  <c r="BI639" i="8"/>
  <c r="AS543" i="8"/>
  <c r="BI543" i="8"/>
  <c r="AS446" i="8"/>
  <c r="BI446" i="8"/>
  <c r="AS350" i="8"/>
  <c r="BI350" i="8"/>
  <c r="AS254" i="8"/>
  <c r="BI254" i="8"/>
  <c r="AS158" i="8"/>
  <c r="BI158" i="8"/>
  <c r="AS62" i="8"/>
  <c r="BI62" i="8"/>
  <c r="AS1046" i="8"/>
  <c r="BI1046" i="8"/>
  <c r="AS950" i="8"/>
  <c r="BI950" i="8"/>
  <c r="AS854" i="8"/>
  <c r="BI854" i="8"/>
  <c r="AS758" i="8"/>
  <c r="BI758" i="8"/>
  <c r="AS662" i="8"/>
  <c r="BI662" i="8"/>
  <c r="AS566" i="8"/>
  <c r="BI566" i="8"/>
  <c r="AS469" i="8"/>
  <c r="BI469" i="8"/>
  <c r="AS373" i="8"/>
  <c r="BI373" i="8"/>
  <c r="AS277" i="8"/>
  <c r="BI277" i="8"/>
  <c r="AS181" i="8"/>
  <c r="BI181" i="8"/>
  <c r="AS85" i="8"/>
  <c r="BI85" i="8"/>
  <c r="AS1070" i="8"/>
  <c r="BI1070" i="8"/>
  <c r="AS973" i="8"/>
  <c r="BI973" i="8"/>
  <c r="AS877" i="8"/>
  <c r="BI877" i="8"/>
  <c r="AS781" i="8"/>
  <c r="BI781" i="8"/>
  <c r="AS685" i="8"/>
  <c r="BI685" i="8"/>
  <c r="AS589" i="8"/>
  <c r="BI589" i="8"/>
  <c r="AS492" i="8"/>
  <c r="BI492" i="8"/>
  <c r="AS396" i="8"/>
  <c r="BI396" i="8"/>
  <c r="AS300" i="8"/>
  <c r="BI300" i="8"/>
  <c r="AS204" i="8"/>
  <c r="BI204" i="8"/>
  <c r="AS108" i="8"/>
  <c r="BI108" i="8"/>
  <c r="AS1020" i="8"/>
  <c r="BI1020" i="8"/>
  <c r="AS924" i="8"/>
  <c r="BI924" i="8"/>
  <c r="AS828" i="8"/>
  <c r="BI828" i="8"/>
  <c r="AS732" i="8"/>
  <c r="BI732" i="8"/>
  <c r="AS636" i="8"/>
  <c r="BI636" i="8"/>
  <c r="AS540" i="8"/>
  <c r="BI540" i="8"/>
  <c r="AS443" i="8"/>
  <c r="BI443" i="8"/>
  <c r="AS347" i="8"/>
  <c r="BI347" i="8"/>
  <c r="AS251" i="8"/>
  <c r="BI251" i="8"/>
  <c r="AS155" i="8"/>
  <c r="BI155" i="8"/>
  <c r="AS59" i="8"/>
  <c r="BI59" i="8"/>
  <c r="AS827" i="8"/>
  <c r="BI827" i="8"/>
  <c r="AS731" i="8"/>
  <c r="BI731" i="8"/>
  <c r="AS635" i="8"/>
  <c r="BI635" i="8"/>
  <c r="AS539" i="8"/>
  <c r="BI539" i="8"/>
  <c r="AS442" i="8"/>
  <c r="BI442" i="8"/>
  <c r="AS346" i="8"/>
  <c r="BI346" i="8"/>
  <c r="AS250" i="8"/>
  <c r="BI250" i="8"/>
  <c r="AS154" i="8"/>
  <c r="BI154" i="8"/>
  <c r="AS58" i="8"/>
  <c r="BI58" i="8"/>
  <c r="AS778" i="8"/>
  <c r="BI778" i="8"/>
  <c r="AS682" i="8"/>
  <c r="BI682" i="8"/>
  <c r="AS586" i="8"/>
  <c r="BI586" i="8"/>
  <c r="AS489" i="8"/>
  <c r="BI489" i="8"/>
  <c r="AS393" i="8"/>
  <c r="BI393" i="8"/>
  <c r="AS297" i="8"/>
  <c r="BI297" i="8"/>
  <c r="AS201" i="8"/>
  <c r="BI201" i="8"/>
  <c r="AS105" i="8"/>
  <c r="BI105" i="8"/>
  <c r="AS825" i="8"/>
  <c r="BI825" i="8"/>
  <c r="AS729" i="8"/>
  <c r="BI729" i="8"/>
  <c r="AS633" i="8"/>
  <c r="BI633" i="8"/>
  <c r="AS537" i="8"/>
  <c r="BI537" i="8"/>
  <c r="AS440" i="8"/>
  <c r="BI440" i="8"/>
  <c r="AS344" i="8"/>
  <c r="BI344" i="8"/>
  <c r="AS248" i="8"/>
  <c r="BI248" i="8"/>
  <c r="AS152" i="8"/>
  <c r="BI152" i="8"/>
  <c r="AS56" i="8"/>
  <c r="BI56" i="8"/>
  <c r="AS800" i="8"/>
  <c r="BI800" i="8"/>
  <c r="AS704" i="8"/>
  <c r="BI704" i="8"/>
  <c r="AS608" i="8"/>
  <c r="BI608" i="8"/>
  <c r="AS512" i="8"/>
  <c r="BI512" i="8"/>
  <c r="AS415" i="8"/>
  <c r="BI415" i="8"/>
  <c r="AS319" i="8"/>
  <c r="BI319" i="8"/>
  <c r="AS223" i="8"/>
  <c r="BI223" i="8"/>
  <c r="AS127" i="8"/>
  <c r="BI127" i="8"/>
  <c r="AS1088" i="8"/>
  <c r="BI1088" i="8"/>
  <c r="AS991" i="8"/>
  <c r="BI991" i="8"/>
  <c r="AS895" i="8"/>
  <c r="BI895" i="8"/>
  <c r="AS799" i="8"/>
  <c r="BI799" i="8"/>
  <c r="AS703" i="8"/>
  <c r="BI703" i="8"/>
  <c r="AS607" i="8"/>
  <c r="BI607" i="8"/>
  <c r="AS511" i="8"/>
  <c r="BI511" i="8"/>
  <c r="AS414" i="8"/>
  <c r="BI414" i="8"/>
  <c r="AS318" i="8"/>
  <c r="BI318" i="8"/>
  <c r="AS222" i="8"/>
  <c r="BI222" i="8"/>
  <c r="AS126" i="8"/>
  <c r="BI126" i="8"/>
  <c r="AS870" i="8"/>
  <c r="BI870" i="8"/>
  <c r="AS774" i="8"/>
  <c r="BI774" i="8"/>
  <c r="AS678" i="8"/>
  <c r="BI678" i="8"/>
  <c r="AS582" i="8"/>
  <c r="BI582" i="8"/>
  <c r="AS485" i="8"/>
  <c r="BI485" i="8"/>
  <c r="AS389" i="8"/>
  <c r="BI389" i="8"/>
  <c r="AS293" i="8"/>
  <c r="BI293" i="8"/>
  <c r="AS197" i="8"/>
  <c r="BI197" i="8"/>
  <c r="AS101" i="8"/>
  <c r="BI101" i="8"/>
  <c r="AS917" i="8"/>
  <c r="BI917" i="8"/>
  <c r="AS821" i="8"/>
  <c r="BI821" i="8"/>
  <c r="AS725" i="8"/>
  <c r="BI725" i="8"/>
  <c r="AS629" i="8"/>
  <c r="BI629" i="8"/>
  <c r="AS533" i="8"/>
  <c r="BI533" i="8"/>
  <c r="AS436" i="8"/>
  <c r="BI436" i="8"/>
  <c r="AS340" i="8"/>
  <c r="BI340" i="8"/>
  <c r="AS244" i="8"/>
  <c r="BI244" i="8"/>
  <c r="AS148" i="8"/>
  <c r="BI148" i="8"/>
  <c r="AS52" i="8"/>
  <c r="BI52" i="8"/>
  <c r="AS1109" i="8"/>
  <c r="BI1109" i="8"/>
  <c r="AS1012" i="8"/>
  <c r="BI1012" i="8"/>
  <c r="AS916" i="8"/>
  <c r="BI916" i="8"/>
  <c r="AS820" i="8"/>
  <c r="BI820" i="8"/>
  <c r="AS724" i="8"/>
  <c r="BI724" i="8"/>
  <c r="AS628" i="8"/>
  <c r="BI628" i="8"/>
  <c r="AS532" i="8"/>
  <c r="BI532" i="8"/>
  <c r="AS435" i="8"/>
  <c r="BI435" i="8"/>
  <c r="AS339" i="8"/>
  <c r="BI339" i="8"/>
  <c r="AS243" i="8"/>
  <c r="BI243" i="8"/>
  <c r="AS147" i="8"/>
  <c r="BI147" i="8"/>
  <c r="AS48" i="8"/>
  <c r="BI48" i="8"/>
  <c r="AS1108" i="8"/>
  <c r="BI1108" i="8"/>
  <c r="AS1011" i="8"/>
  <c r="BI1011" i="8"/>
  <c r="AS915" i="8"/>
  <c r="BI915" i="8"/>
  <c r="AS819" i="8"/>
  <c r="BI819" i="8"/>
  <c r="AS723" i="8"/>
  <c r="BI723" i="8"/>
  <c r="AS627" i="8"/>
  <c r="BI627" i="8"/>
  <c r="AS531" i="8"/>
  <c r="BI531" i="8"/>
  <c r="AS434" i="8"/>
  <c r="BI434" i="8"/>
  <c r="AS338" i="8"/>
  <c r="BI338" i="8"/>
  <c r="AS242" i="8"/>
  <c r="BI242" i="8"/>
  <c r="AS146" i="8"/>
  <c r="BI146" i="8"/>
  <c r="AS47" i="8"/>
  <c r="BI47" i="8"/>
  <c r="AS1107" i="8"/>
  <c r="BI1107" i="8"/>
  <c r="AS1010" i="8"/>
  <c r="BI1010" i="8"/>
  <c r="AS914" i="8"/>
  <c r="BI914" i="8"/>
  <c r="AS818" i="8"/>
  <c r="BI818" i="8"/>
  <c r="AS722" i="8"/>
  <c r="BI722" i="8"/>
  <c r="AS626" i="8"/>
  <c r="BI626" i="8"/>
  <c r="AS530" i="8"/>
  <c r="BI530" i="8"/>
  <c r="AS433" i="8"/>
  <c r="BI433" i="8"/>
  <c r="AS337" i="8"/>
  <c r="BI337" i="8"/>
  <c r="AS241" i="8"/>
  <c r="BI241" i="8"/>
  <c r="AS145" i="8"/>
  <c r="BI145" i="8"/>
  <c r="AS46" i="8"/>
  <c r="BI46" i="8"/>
  <c r="AS49" i="8"/>
  <c r="BI49" i="8"/>
  <c r="AS39" i="8"/>
  <c r="BI39" i="8"/>
  <c r="AS497" i="8"/>
  <c r="BI497" i="8"/>
  <c r="R1131" i="8"/>
  <c r="AS5" i="8"/>
  <c r="BI5" i="8"/>
  <c r="AS7" i="8"/>
  <c r="BI7" i="8"/>
  <c r="AS11" i="8"/>
  <c r="BI11" i="8"/>
  <c r="AS9" i="8"/>
  <c r="BI9" i="8"/>
  <c r="AS13" i="8"/>
  <c r="BI13" i="8"/>
  <c r="BI10" i="8"/>
  <c r="AS10" i="8"/>
  <c r="BI12" i="8"/>
  <c r="AS12" i="8"/>
  <c r="BI14" i="8"/>
  <c r="AS14" i="8"/>
  <c r="BI8" i="8"/>
  <c r="AS8" i="8"/>
  <c r="AJ1131" i="2"/>
  <c r="BI6" i="8" l="1"/>
  <c r="BI1131" i="8" s="1"/>
  <c r="AS6" i="8"/>
  <c r="AS1131" i="8" s="1"/>
  <c r="BJ92" i="8" l="1"/>
  <c r="BL92" i="8" s="1"/>
  <c r="BM92" i="8" s="1"/>
  <c r="BJ729" i="8"/>
  <c r="BL729" i="8" s="1"/>
  <c r="BM729" i="8" s="1"/>
  <c r="BJ1119" i="8"/>
  <c r="BJ916" i="8"/>
  <c r="BJ224" i="8"/>
  <c r="BL224" i="8" s="1"/>
  <c r="BM224" i="8" s="1"/>
  <c r="BJ632" i="8"/>
  <c r="BL632" i="8" s="1"/>
  <c r="BM632" i="8" s="1"/>
  <c r="BJ939" i="8"/>
  <c r="BK939" i="8" s="1"/>
  <c r="BJ408" i="8"/>
  <c r="BJ449" i="8"/>
  <c r="BK449" i="8" s="1"/>
  <c r="BJ422" i="8"/>
  <c r="BL422" i="8" s="1"/>
  <c r="BM422" i="8" s="1"/>
  <c r="BJ1073" i="8"/>
  <c r="BJ439" i="8"/>
  <c r="BJ1048" i="8"/>
  <c r="BL1048" i="8" s="1"/>
  <c r="BM1048" i="8" s="1"/>
  <c r="BJ650" i="8"/>
  <c r="BK650" i="8" s="1"/>
  <c r="BJ996" i="8"/>
  <c r="BK996" i="8" s="1"/>
  <c r="BJ728" i="8"/>
  <c r="BJ179" i="8"/>
  <c r="BK179" i="8" s="1"/>
  <c r="BJ888" i="8"/>
  <c r="BL888" i="8" s="1"/>
  <c r="BM888" i="8" s="1"/>
  <c r="BJ312" i="8"/>
  <c r="BL312" i="8" s="1"/>
  <c r="BM312" i="8" s="1"/>
  <c r="BJ19" i="8"/>
  <c r="BJ386" i="8"/>
  <c r="BL386" i="8" s="1"/>
  <c r="BM386" i="8" s="1"/>
  <c r="BJ49" i="8"/>
  <c r="BL49" i="8" s="1"/>
  <c r="BM49" i="8" s="1"/>
  <c r="BJ299" i="8"/>
  <c r="BK299" i="8" s="1"/>
  <c r="BJ315" i="8"/>
  <c r="BJ1023" i="8"/>
  <c r="BL1023" i="8" s="1"/>
  <c r="BM1023" i="8" s="1"/>
  <c r="BJ885" i="8"/>
  <c r="BK885" i="8" s="1"/>
  <c r="BJ603" i="8"/>
  <c r="BK603" i="8" s="1"/>
  <c r="BJ59" i="8"/>
  <c r="BJ1098" i="8"/>
  <c r="BK1098" i="8" s="1"/>
  <c r="BJ913" i="8"/>
  <c r="BK913" i="8" s="1"/>
  <c r="BJ625" i="8"/>
  <c r="BJ1065" i="8"/>
  <c r="BJ776" i="8"/>
  <c r="BL776" i="8" s="1"/>
  <c r="BM776" i="8" s="1"/>
  <c r="BJ799" i="8"/>
  <c r="BL799" i="8" s="1"/>
  <c r="BM799" i="8" s="1"/>
  <c r="BJ38" i="8"/>
  <c r="BL38" i="8" s="1"/>
  <c r="BM38" i="8" s="1"/>
  <c r="BJ789" i="8"/>
  <c r="BJ524" i="8"/>
  <c r="BL524" i="8" s="1"/>
  <c r="BM524" i="8" s="1"/>
  <c r="BJ1099" i="8"/>
  <c r="BL1099" i="8" s="1"/>
  <c r="BJ967" i="8"/>
  <c r="BK967" i="8" s="1"/>
  <c r="BJ55" i="8"/>
  <c r="BJ418" i="8"/>
  <c r="BL418" i="8" s="1"/>
  <c r="BM418" i="8" s="1"/>
  <c r="BJ230" i="8"/>
  <c r="BK230" i="8" s="1"/>
  <c r="BJ1092" i="8"/>
  <c r="BL1092" i="8" s="1"/>
  <c r="BJ908" i="8"/>
  <c r="BJ566" i="8"/>
  <c r="BL566" i="8" s="1"/>
  <c r="BM566" i="8" s="1"/>
  <c r="BJ742" i="8"/>
  <c r="BK742" i="8" s="1"/>
  <c r="BJ27" i="8"/>
  <c r="BL27" i="8" s="1"/>
  <c r="BM27" i="8" s="1"/>
  <c r="BJ151" i="8"/>
  <c r="BK151" i="8" s="1"/>
  <c r="BJ526" i="8"/>
  <c r="BK526" i="8" s="1"/>
  <c r="BJ761" i="8"/>
  <c r="BL761" i="8" s="1"/>
  <c r="BM761" i="8" s="1"/>
  <c r="BJ256" i="8"/>
  <c r="BK256" i="8" s="1"/>
  <c r="BJ606" i="8"/>
  <c r="BK606" i="8" s="1"/>
  <c r="BJ841" i="8"/>
  <c r="BK841" i="8" s="1"/>
  <c r="BJ340" i="8"/>
  <c r="BL340" i="8" s="1"/>
  <c r="BM340" i="8" s="1"/>
  <c r="BJ702" i="8"/>
  <c r="BL702" i="8" s="1"/>
  <c r="BM702" i="8" s="1"/>
  <c r="BJ475" i="8"/>
  <c r="BK475" i="8" s="1"/>
  <c r="BJ966" i="8"/>
  <c r="BL966" i="8" s="1"/>
  <c r="BM966" i="8" s="1"/>
  <c r="BJ313" i="8"/>
  <c r="BK313" i="8" s="1"/>
  <c r="BJ730" i="8"/>
  <c r="BK730" i="8" s="1"/>
  <c r="BJ87" i="8"/>
  <c r="BK87" i="8" s="1"/>
  <c r="BJ115" i="8"/>
  <c r="BL115" i="8" s="1"/>
  <c r="BM115" i="8" s="1"/>
  <c r="BJ519" i="8"/>
  <c r="BK519" i="8" s="1"/>
  <c r="BJ464" i="8"/>
  <c r="BL464" i="8" s="1"/>
  <c r="BM464" i="8" s="1"/>
  <c r="BJ333" i="8"/>
  <c r="BK333" i="8" s="1"/>
  <c r="BJ80" i="8"/>
  <c r="BL80" i="8" s="1"/>
  <c r="BM80" i="8" s="1"/>
  <c r="BJ1009" i="8"/>
  <c r="BL1009" i="8" s="1"/>
  <c r="BM1009" i="8" s="1"/>
  <c r="BJ667" i="8"/>
  <c r="BL667" i="8" s="1"/>
  <c r="BM667" i="8" s="1"/>
  <c r="BJ659" i="8"/>
  <c r="BL659" i="8" s="1"/>
  <c r="BM659" i="8" s="1"/>
  <c r="BJ177" i="8"/>
  <c r="BK177" i="8" s="1"/>
  <c r="BJ290" i="8"/>
  <c r="BK290" i="8" s="1"/>
  <c r="BJ911" i="8"/>
  <c r="BK911" i="8" s="1"/>
  <c r="BJ122" i="8"/>
  <c r="BL122" i="8" s="1"/>
  <c r="BM122" i="8" s="1"/>
  <c r="BJ371" i="8"/>
  <c r="BL371" i="8" s="1"/>
  <c r="BM371" i="8" s="1"/>
  <c r="BJ994" i="8"/>
  <c r="BL994" i="8" s="1"/>
  <c r="BM994" i="8" s="1"/>
  <c r="BJ227" i="8"/>
  <c r="BL227" i="8" s="1"/>
  <c r="BM227" i="8" s="1"/>
  <c r="BJ466" i="8"/>
  <c r="BK466" i="8" s="1"/>
  <c r="BJ1051" i="8"/>
  <c r="BK1051" i="8" s="1"/>
  <c r="BJ579" i="8"/>
  <c r="BK579" i="8" s="1"/>
  <c r="BJ992" i="8"/>
  <c r="BK992" i="8" s="1"/>
  <c r="BJ391" i="8"/>
  <c r="BL391" i="8" s="1"/>
  <c r="BM391" i="8" s="1"/>
  <c r="BJ835" i="8"/>
  <c r="BK835" i="8" s="1"/>
  <c r="BJ116" i="8"/>
  <c r="BK116" i="8" s="1"/>
  <c r="BJ599" i="8"/>
  <c r="BL599" i="8" s="1"/>
  <c r="BM599" i="8" s="1"/>
  <c r="BJ623" i="8"/>
  <c r="BL623" i="8" s="1"/>
  <c r="BM623" i="8" s="1"/>
  <c r="BJ490" i="8"/>
  <c r="BK490" i="8" s="1"/>
  <c r="BJ882" i="8"/>
  <c r="BL882" i="8" s="1"/>
  <c r="BM882" i="8" s="1"/>
  <c r="BJ698" i="8"/>
  <c r="BK698" i="8" s="1"/>
  <c r="BJ1035" i="8"/>
  <c r="BK1035" i="8" s="1"/>
  <c r="BJ773" i="8"/>
  <c r="BL773" i="8" s="1"/>
  <c r="BM773" i="8" s="1"/>
  <c r="BJ1002" i="8"/>
  <c r="BK1002" i="8" s="1"/>
  <c r="BJ175" i="8"/>
  <c r="BK175" i="8" s="1"/>
  <c r="BJ676" i="8"/>
  <c r="BL676" i="8" s="1"/>
  <c r="BM676" i="8" s="1"/>
  <c r="BJ288" i="8"/>
  <c r="BL288" i="8" s="1"/>
  <c r="BM288" i="8" s="1"/>
  <c r="BJ398" i="8"/>
  <c r="BL398" i="8" s="1"/>
  <c r="BM398" i="8" s="1"/>
  <c r="BJ1121" i="8"/>
  <c r="BK1121" i="8" s="1"/>
  <c r="BJ759" i="8"/>
  <c r="BK759" i="8" s="1"/>
  <c r="BJ867" i="8"/>
  <c r="BK867" i="8" s="1"/>
  <c r="BJ494" i="8"/>
  <c r="BK494" i="8" s="1"/>
  <c r="BJ90" i="8"/>
  <c r="BK90" i="8" s="1"/>
  <c r="BJ838" i="8"/>
  <c r="BL838" i="8" s="1"/>
  <c r="BM838" i="8" s="1"/>
  <c r="BJ963" i="8"/>
  <c r="BK963" i="8" s="1"/>
  <c r="BJ576" i="8"/>
  <c r="BL576" i="8" s="1"/>
  <c r="BM576" i="8" s="1"/>
  <c r="BJ553" i="8"/>
  <c r="BK553" i="8" s="1"/>
  <c r="BJ1072" i="8"/>
  <c r="BL1072" i="8" s="1"/>
  <c r="BJ862" i="8"/>
  <c r="BK862" i="8" s="1"/>
  <c r="BJ287" i="8"/>
  <c r="BK287" i="8" s="1"/>
  <c r="BJ809" i="8"/>
  <c r="BK809" i="8" s="1"/>
  <c r="BJ201" i="8"/>
  <c r="BK201" i="8" s="1"/>
  <c r="BJ703" i="8"/>
  <c r="BL703" i="8" s="1"/>
  <c r="BM703" i="8" s="1"/>
  <c r="BJ86" i="8"/>
  <c r="BK86" i="8" s="1"/>
  <c r="BJ597" i="8"/>
  <c r="BK597" i="8" s="1"/>
  <c r="BJ1039" i="8"/>
  <c r="BL1039" i="8" s="1"/>
  <c r="BM1039" i="8" s="1"/>
  <c r="BJ360" i="8"/>
  <c r="BK360" i="8" s="1"/>
  <c r="BJ307" i="8"/>
  <c r="BK307" i="8" s="1"/>
  <c r="BJ672" i="8"/>
  <c r="BK672" i="8" s="1"/>
  <c r="BJ539" i="8"/>
  <c r="BL539" i="8" s="1"/>
  <c r="BM539" i="8" s="1"/>
  <c r="BJ356" i="8"/>
  <c r="BK356" i="8" s="1"/>
  <c r="BJ1110" i="8"/>
  <c r="BK1110" i="8" s="1"/>
  <c r="BJ375" i="8"/>
  <c r="BJ565" i="8"/>
  <c r="BK565" i="8" s="1"/>
  <c r="BJ424" i="8"/>
  <c r="BL424" i="8" s="1"/>
  <c r="BM424" i="8" s="1"/>
  <c r="BJ293" i="8"/>
  <c r="BK293" i="8" s="1"/>
  <c r="BJ1050" i="8"/>
  <c r="BK1050" i="8" s="1"/>
  <c r="BJ917" i="8"/>
  <c r="BK917" i="8" s="1"/>
  <c r="BJ420" i="8"/>
  <c r="BL420" i="8" s="1"/>
  <c r="BM420" i="8" s="1"/>
  <c r="BJ1025" i="8"/>
  <c r="BL1025" i="8" s="1"/>
  <c r="BM1025" i="8" s="1"/>
  <c r="BJ1127" i="8"/>
  <c r="BL1127" i="8" s="1"/>
  <c r="BJ655" i="8"/>
  <c r="BK655" i="8" s="1"/>
  <c r="BJ146" i="8"/>
  <c r="BK146" i="8" s="1"/>
  <c r="BJ263" i="8"/>
  <c r="BK263" i="8" s="1"/>
  <c r="BJ890" i="8"/>
  <c r="BJ998" i="8"/>
  <c r="BK998" i="8" s="1"/>
  <c r="BJ500" i="8"/>
  <c r="BL500" i="8" s="1"/>
  <c r="BM500" i="8" s="1"/>
  <c r="BJ1101" i="8"/>
  <c r="BL1101" i="8" s="1"/>
  <c r="BJ94" i="8"/>
  <c r="BK94" i="8" s="1"/>
  <c r="BJ735" i="8"/>
  <c r="BK735" i="8" s="1"/>
  <c r="BJ234" i="8"/>
  <c r="BK234" i="8" s="1"/>
  <c r="BJ345" i="8"/>
  <c r="BL345" i="8" s="1"/>
  <c r="BM345" i="8" s="1"/>
  <c r="BJ970" i="8"/>
  <c r="BK970" i="8" s="1"/>
  <c r="BJ473" i="8"/>
  <c r="BL473" i="8" s="1"/>
  <c r="BM473" i="8" s="1"/>
  <c r="BJ580" i="8"/>
  <c r="BL580" i="8" s="1"/>
  <c r="BM580" i="8" s="1"/>
  <c r="BJ62" i="8"/>
  <c r="BL62" i="8" s="1"/>
  <c r="BM62" i="8" s="1"/>
  <c r="BJ199" i="8"/>
  <c r="BL199" i="8" s="1"/>
  <c r="BM199" i="8" s="1"/>
  <c r="BJ815" i="8"/>
  <c r="BK815" i="8" s="1"/>
  <c r="BJ316" i="8"/>
  <c r="BL316" i="8" s="1"/>
  <c r="BM316" i="8" s="1"/>
  <c r="BJ605" i="8"/>
  <c r="BL605" i="8" s="1"/>
  <c r="BM605" i="8" s="1"/>
  <c r="BJ501" i="8"/>
  <c r="BK501" i="8" s="1"/>
  <c r="BJ396" i="8"/>
  <c r="BK396" i="8" s="1"/>
  <c r="BJ1019" i="8"/>
  <c r="BK1019" i="8" s="1"/>
  <c r="BJ914" i="8"/>
  <c r="BL914" i="8" s="1"/>
  <c r="BM914" i="8" s="1"/>
  <c r="BJ444" i="8"/>
  <c r="BK444" i="8" s="1"/>
  <c r="BJ339" i="8"/>
  <c r="BL339" i="8" s="1"/>
  <c r="BM339" i="8" s="1"/>
  <c r="BJ202" i="8"/>
  <c r="BK202" i="8" s="1"/>
  <c r="BJ861" i="8"/>
  <c r="BL861" i="8" s="1"/>
  <c r="BM861" i="8" s="1"/>
  <c r="BJ756" i="8"/>
  <c r="BK756" i="8" s="1"/>
  <c r="BJ259" i="8"/>
  <c r="BL259" i="8" s="1"/>
  <c r="BM259" i="8" s="1"/>
  <c r="BJ144" i="8"/>
  <c r="BK144" i="8" s="1"/>
  <c r="BJ755" i="8"/>
  <c r="BL755" i="8" s="1"/>
  <c r="BM755" i="8" s="1"/>
  <c r="BJ651" i="8"/>
  <c r="BL651" i="8" s="1"/>
  <c r="BM651" i="8" s="1"/>
  <c r="BJ143" i="8"/>
  <c r="BL143" i="8" s="1"/>
  <c r="BM143" i="8" s="1"/>
  <c r="BJ20" i="8"/>
  <c r="BL20" i="8" s="1"/>
  <c r="BM20" i="8" s="1"/>
  <c r="BJ649" i="8"/>
  <c r="BL649" i="8" s="1"/>
  <c r="BM649" i="8" s="1"/>
  <c r="BJ545" i="8"/>
  <c r="BL545" i="8" s="1"/>
  <c r="BM545" i="8" s="1"/>
  <c r="BJ1091" i="8"/>
  <c r="BK1091" i="8" s="1"/>
  <c r="BJ987" i="8"/>
  <c r="BK987" i="8" s="1"/>
  <c r="BJ412" i="8"/>
  <c r="BK412" i="8" s="1"/>
  <c r="BJ934" i="8"/>
  <c r="BL934" i="8" s="1"/>
  <c r="BM934" i="8" s="1"/>
  <c r="BJ830" i="8"/>
  <c r="BK830" i="8" s="1"/>
  <c r="BJ252" i="8"/>
  <c r="BK252" i="8" s="1"/>
  <c r="BJ724" i="8"/>
  <c r="BL724" i="8" s="1"/>
  <c r="BM724" i="8" s="1"/>
  <c r="BJ108" i="8"/>
  <c r="BL108" i="8" s="1"/>
  <c r="BM108" i="8" s="1"/>
  <c r="BJ592" i="8"/>
  <c r="BK592" i="8" s="1"/>
  <c r="BJ487" i="8"/>
  <c r="BL487" i="8" s="1"/>
  <c r="BM487" i="8" s="1"/>
  <c r="BJ957" i="8"/>
  <c r="BK957" i="8" s="1"/>
  <c r="BJ851" i="8"/>
  <c r="BL851" i="8" s="1"/>
  <c r="BM851" i="8" s="1"/>
  <c r="BJ134" i="8"/>
  <c r="BK134" i="8" s="1"/>
  <c r="BJ927" i="8"/>
  <c r="BK927" i="8" s="1"/>
  <c r="BJ558" i="8"/>
  <c r="BK558" i="8" s="1"/>
  <c r="BJ182" i="8"/>
  <c r="BK182" i="8" s="1"/>
  <c r="BJ173" i="8"/>
  <c r="BK173" i="8" s="1"/>
  <c r="BJ310" i="8"/>
  <c r="BL310" i="8" s="1"/>
  <c r="BM310" i="8" s="1"/>
  <c r="BJ170" i="8"/>
  <c r="BL170" i="8" s="1"/>
  <c r="BM170" i="8" s="1"/>
  <c r="BJ1041" i="8"/>
  <c r="BL1041" i="8" s="1"/>
  <c r="BM1041" i="8" s="1"/>
  <c r="BJ550" i="8"/>
  <c r="BK550" i="8" s="1"/>
  <c r="BJ1129" i="8"/>
  <c r="BK1129" i="8" s="1"/>
  <c r="BJ147" i="8"/>
  <c r="BK147" i="8" s="1"/>
  <c r="BJ785" i="8"/>
  <c r="BK785" i="8" s="1"/>
  <c r="BJ284" i="8"/>
  <c r="BL284" i="8" s="1"/>
  <c r="BM284" i="8" s="1"/>
  <c r="BJ394" i="8"/>
  <c r="BL394" i="8" s="1"/>
  <c r="BM394" i="8" s="1"/>
  <c r="BJ1015" i="8"/>
  <c r="BK1015" i="8" s="1"/>
  <c r="BJ520" i="8"/>
  <c r="BL520" i="8" s="1"/>
  <c r="BM520" i="8" s="1"/>
  <c r="BJ629" i="8"/>
  <c r="BK629" i="8" s="1"/>
  <c r="BJ118" i="8"/>
  <c r="BL118" i="8" s="1"/>
  <c r="BM118" i="8" s="1"/>
  <c r="BJ235" i="8"/>
  <c r="BK235" i="8" s="1"/>
  <c r="BJ864" i="8"/>
  <c r="BK864" i="8" s="1"/>
  <c r="BJ366" i="8"/>
  <c r="BK366" i="8" s="1"/>
  <c r="BJ474" i="8"/>
  <c r="BK474" i="8" s="1"/>
  <c r="BJ1076" i="8"/>
  <c r="BL1076" i="8" s="1"/>
  <c r="BJ602" i="8"/>
  <c r="BK602" i="8" s="1"/>
  <c r="BJ708" i="8"/>
  <c r="BL708" i="8" s="1"/>
  <c r="BM708" i="8" s="1"/>
  <c r="BJ204" i="8"/>
  <c r="BL204" i="8" s="1"/>
  <c r="BM204" i="8" s="1"/>
  <c r="BJ837" i="8"/>
  <c r="BK837" i="8" s="1"/>
  <c r="BJ944" i="8"/>
  <c r="BK944" i="8" s="1"/>
  <c r="BJ447" i="8"/>
  <c r="BL447" i="8" s="1"/>
  <c r="BM447" i="8" s="1"/>
  <c r="BJ631" i="8"/>
  <c r="BL631" i="8" s="1"/>
  <c r="BM631" i="8" s="1"/>
  <c r="BJ527" i="8"/>
  <c r="BK527" i="8" s="1"/>
  <c r="BJ423" i="8"/>
  <c r="BL423" i="8" s="1"/>
  <c r="BM423" i="8" s="1"/>
  <c r="BJ1046" i="8"/>
  <c r="BK1046" i="8" s="1"/>
  <c r="BJ940" i="8"/>
  <c r="BK940" i="8" s="1"/>
  <c r="BJ471" i="8"/>
  <c r="BL471" i="8" s="1"/>
  <c r="BM471" i="8" s="1"/>
  <c r="BJ365" i="8"/>
  <c r="BL365" i="8" s="1"/>
  <c r="BM365" i="8" s="1"/>
  <c r="BJ260" i="8"/>
  <c r="BL260" i="8" s="1"/>
  <c r="BM260" i="8" s="1"/>
  <c r="BJ887" i="8"/>
  <c r="BK887" i="8" s="1"/>
  <c r="BJ783" i="8"/>
  <c r="BK783" i="8" s="1"/>
  <c r="BJ286" i="8"/>
  <c r="BL286" i="8" s="1"/>
  <c r="BM286" i="8" s="1"/>
  <c r="BJ172" i="8"/>
  <c r="BL172" i="8" s="1"/>
  <c r="BM172" i="8" s="1"/>
  <c r="BJ782" i="8"/>
  <c r="BK782" i="8" s="1"/>
  <c r="BJ677" i="8"/>
  <c r="BL677" i="8" s="1"/>
  <c r="BM677" i="8" s="1"/>
  <c r="BJ573" i="8"/>
  <c r="BK573" i="8" s="1"/>
  <c r="BJ56" i="8"/>
  <c r="BL56" i="8" s="1"/>
  <c r="BM56" i="8" s="1"/>
  <c r="BJ1066" i="8"/>
  <c r="BL1066" i="8" s="1"/>
  <c r="BM1066" i="8" s="1"/>
  <c r="BJ571" i="8"/>
  <c r="BL571" i="8" s="1"/>
  <c r="BM571" i="8" s="1"/>
  <c r="BJ1118" i="8"/>
  <c r="BK1118" i="8" s="1"/>
  <c r="BJ1013" i="8"/>
  <c r="BL1013" i="8" s="1"/>
  <c r="BM1013" i="8" s="1"/>
  <c r="BJ438" i="8"/>
  <c r="BL438" i="8" s="1"/>
  <c r="BM438" i="8" s="1"/>
  <c r="BJ960" i="8"/>
  <c r="BK960" i="8" s="1"/>
  <c r="BJ856" i="8"/>
  <c r="BK856" i="8" s="1"/>
  <c r="BJ280" i="8"/>
  <c r="BK280" i="8" s="1"/>
  <c r="BJ750" i="8"/>
  <c r="BL750" i="8" s="1"/>
  <c r="BM750" i="8" s="1"/>
  <c r="BJ138" i="8"/>
  <c r="BK138" i="8" s="1"/>
  <c r="BJ1114" i="8"/>
  <c r="BL1114" i="8" s="1"/>
  <c r="BJ513" i="8"/>
  <c r="BL513" i="8" s="1"/>
  <c r="BM513" i="8" s="1"/>
  <c r="BJ983" i="8"/>
  <c r="BL983" i="8" s="1"/>
  <c r="BM983" i="8" s="1"/>
  <c r="BJ330" i="8"/>
  <c r="BK330" i="8" s="1"/>
  <c r="BJ219" i="8"/>
  <c r="BK219" i="8" s="1"/>
  <c r="BJ483" i="8"/>
  <c r="BL483" i="8" s="1"/>
  <c r="BM483" i="8" s="1"/>
  <c r="BJ99" i="8"/>
  <c r="BL99" i="8" s="1"/>
  <c r="BM99" i="8" s="1"/>
  <c r="BJ817" i="8"/>
  <c r="BK817" i="8" s="1"/>
  <c r="BJ518" i="8"/>
  <c r="BK518" i="8" s="1"/>
  <c r="BK464" i="8"/>
  <c r="BK934" i="8"/>
  <c r="BJ382" i="8"/>
  <c r="BJ825" i="8"/>
  <c r="BJ191" i="8"/>
  <c r="BJ641" i="8"/>
  <c r="BJ1084" i="8"/>
  <c r="BJ457" i="8"/>
  <c r="BJ900" i="8"/>
  <c r="BJ272" i="8"/>
  <c r="BJ716" i="8"/>
  <c r="BJ71" i="8"/>
  <c r="BJ532" i="8"/>
  <c r="BJ976" i="8"/>
  <c r="BJ348" i="8"/>
  <c r="BJ791" i="8"/>
  <c r="BJ153" i="8"/>
  <c r="BJ633" i="8"/>
  <c r="BJ1094" i="8"/>
  <c r="BJ492" i="8"/>
  <c r="BJ149" i="8"/>
  <c r="BJ1117" i="8"/>
  <c r="BJ541" i="8"/>
  <c r="BK1119" i="8"/>
  <c r="BL1119" i="8"/>
  <c r="BL315" i="8"/>
  <c r="BM315" i="8" s="1"/>
  <c r="BK315" i="8"/>
  <c r="BK908" i="8"/>
  <c r="BL908" i="8"/>
  <c r="BM908" i="8" s="1"/>
  <c r="BL356" i="8"/>
  <c r="BM356" i="8" s="1"/>
  <c r="BJ163" i="8"/>
  <c r="BJ615" i="8"/>
  <c r="BJ1058" i="8"/>
  <c r="BJ431" i="8"/>
  <c r="BJ874" i="8"/>
  <c r="BJ244" i="8"/>
  <c r="BJ690" i="8"/>
  <c r="BJ39" i="8"/>
  <c r="BJ506" i="8"/>
  <c r="BJ950" i="8"/>
  <c r="BJ322" i="8"/>
  <c r="BJ765" i="8"/>
  <c r="BJ124" i="8"/>
  <c r="BJ607" i="8"/>
  <c r="BJ1068" i="8"/>
  <c r="BJ467" i="8"/>
  <c r="BJ125" i="8"/>
  <c r="BJ1093" i="8"/>
  <c r="BJ517" i="8"/>
  <c r="BK623" i="8"/>
  <c r="BL698" i="8"/>
  <c r="BM698" i="8" s="1"/>
  <c r="BL134" i="8"/>
  <c r="BM134" i="8" s="1"/>
  <c r="BJ588" i="8"/>
  <c r="BJ1032" i="8"/>
  <c r="BJ405" i="8"/>
  <c r="BJ848" i="8"/>
  <c r="BJ216" i="8"/>
  <c r="BJ664" i="8"/>
  <c r="BJ1107" i="8"/>
  <c r="BJ480" i="8"/>
  <c r="BJ923" i="8"/>
  <c r="BJ296" i="8"/>
  <c r="BJ739" i="8"/>
  <c r="BJ96" i="8"/>
  <c r="BJ581" i="8"/>
  <c r="BJ1043" i="8"/>
  <c r="BJ442" i="8"/>
  <c r="BJ101" i="8"/>
  <c r="BJ1069" i="8"/>
  <c r="BJ493" i="8"/>
  <c r="BK659" i="8"/>
  <c r="BK227" i="8"/>
  <c r="BK56" i="8"/>
  <c r="BL672" i="8"/>
  <c r="BM672" i="8" s="1"/>
  <c r="BJ931" i="8"/>
  <c r="BJ304" i="8"/>
  <c r="BJ747" i="8"/>
  <c r="BJ105" i="8"/>
  <c r="BJ562" i="8"/>
  <c r="BJ1006" i="8"/>
  <c r="BJ379" i="8"/>
  <c r="BJ822" i="8"/>
  <c r="BJ188" i="8"/>
  <c r="BJ638" i="8"/>
  <c r="BJ1081" i="8"/>
  <c r="BJ454" i="8"/>
  <c r="BJ897" i="8"/>
  <c r="BJ269" i="8"/>
  <c r="BJ713" i="8"/>
  <c r="BJ68" i="8"/>
  <c r="BJ555" i="8"/>
  <c r="BJ1018" i="8"/>
  <c r="BJ417" i="8"/>
  <c r="BJ77" i="8"/>
  <c r="BJ1045" i="8"/>
  <c r="BJ469" i="8"/>
  <c r="BL1098" i="8"/>
  <c r="BL789" i="8"/>
  <c r="BM789" i="8" s="1"/>
  <c r="BK789" i="8"/>
  <c r="BK702" i="8"/>
  <c r="BK19" i="8"/>
  <c r="BL19" i="8"/>
  <c r="BM19" i="8" s="1"/>
  <c r="BJ195" i="8"/>
  <c r="BJ646" i="8"/>
  <c r="BJ1088" i="8"/>
  <c r="BJ461" i="8"/>
  <c r="BJ905" i="8"/>
  <c r="BJ276" i="8"/>
  <c r="BJ721" i="8"/>
  <c r="BJ76" i="8"/>
  <c r="BJ536" i="8"/>
  <c r="BJ980" i="8"/>
  <c r="BJ353" i="8"/>
  <c r="BJ796" i="8"/>
  <c r="BJ159" i="8"/>
  <c r="BJ611" i="8"/>
  <c r="BJ1055" i="8"/>
  <c r="BJ428" i="8"/>
  <c r="BJ871" i="8"/>
  <c r="BJ241" i="8"/>
  <c r="BJ687" i="8"/>
  <c r="BJ33" i="8"/>
  <c r="BJ529" i="8"/>
  <c r="BJ993" i="8"/>
  <c r="BJ392" i="8"/>
  <c r="BJ53" i="8"/>
  <c r="BJ1021" i="8"/>
  <c r="BJ445" i="8"/>
  <c r="BL475" i="8"/>
  <c r="BM475" i="8" s="1"/>
  <c r="BK625" i="8"/>
  <c r="BL625" i="8"/>
  <c r="BM625" i="8" s="1"/>
  <c r="BJ1120" i="8"/>
  <c r="BJ491" i="8"/>
  <c r="BJ961" i="8"/>
  <c r="BJ334" i="8"/>
  <c r="BJ803" i="8"/>
  <c r="BJ167" i="8"/>
  <c r="BJ620" i="8"/>
  <c r="BJ1062" i="8"/>
  <c r="BJ435" i="8"/>
  <c r="BJ879" i="8"/>
  <c r="BJ249" i="8"/>
  <c r="BJ695" i="8"/>
  <c r="BJ46" i="8"/>
  <c r="BJ510" i="8"/>
  <c r="BJ954" i="8"/>
  <c r="BJ327" i="8"/>
  <c r="BJ770" i="8"/>
  <c r="BJ130" i="8"/>
  <c r="BJ585" i="8"/>
  <c r="BJ1029" i="8"/>
  <c r="BJ402" i="8"/>
  <c r="BJ845" i="8"/>
  <c r="BJ213" i="8"/>
  <c r="BJ660" i="8"/>
  <c r="BJ1130" i="8"/>
  <c r="BJ503" i="8"/>
  <c r="BJ968" i="8"/>
  <c r="BJ367" i="8"/>
  <c r="BJ29" i="8"/>
  <c r="BJ997" i="8"/>
  <c r="BJ421" i="8"/>
  <c r="BL1118" i="8"/>
  <c r="BK1092" i="8"/>
  <c r="BJ465" i="8"/>
  <c r="BJ935" i="8"/>
  <c r="BJ308" i="8"/>
  <c r="BJ777" i="8"/>
  <c r="BJ139" i="8"/>
  <c r="BJ594" i="8"/>
  <c r="BJ1036" i="8"/>
  <c r="BJ409" i="8"/>
  <c r="BJ852" i="8"/>
  <c r="BJ220" i="8"/>
  <c r="BJ669" i="8"/>
  <c r="BJ1111" i="8"/>
  <c r="BJ484" i="8"/>
  <c r="BJ928" i="8"/>
  <c r="BJ300" i="8"/>
  <c r="BJ744" i="8"/>
  <c r="BJ100" i="8"/>
  <c r="BJ559" i="8"/>
  <c r="BJ1003" i="8"/>
  <c r="BJ376" i="8"/>
  <c r="BJ819" i="8"/>
  <c r="BJ183" i="8"/>
  <c r="BJ634" i="8"/>
  <c r="BJ1104" i="8"/>
  <c r="BJ477" i="8"/>
  <c r="BJ943" i="8"/>
  <c r="BJ342" i="8"/>
  <c r="BJ52" i="8"/>
  <c r="BJ973" i="8"/>
  <c r="BJ397" i="8"/>
  <c r="BL939" i="8"/>
  <c r="BM939" i="8" s="1"/>
  <c r="BK408" i="8"/>
  <c r="BL408" i="8"/>
  <c r="BM408" i="8" s="1"/>
  <c r="BK286" i="8"/>
  <c r="BL992" i="8"/>
  <c r="BM992" i="8" s="1"/>
  <c r="BK439" i="8"/>
  <c r="BL439" i="8"/>
  <c r="BM439" i="8" s="1"/>
  <c r="BJ909" i="8"/>
  <c r="BJ282" i="8"/>
  <c r="BJ751" i="8"/>
  <c r="BJ110" i="8"/>
  <c r="BJ567" i="8"/>
  <c r="BJ1010" i="8"/>
  <c r="BJ383" i="8"/>
  <c r="BJ826" i="8"/>
  <c r="BJ192" i="8"/>
  <c r="BJ642" i="8"/>
  <c r="BJ1085" i="8"/>
  <c r="BJ458" i="8"/>
  <c r="BJ902" i="8"/>
  <c r="BJ273" i="8"/>
  <c r="BJ717" i="8"/>
  <c r="BJ72" i="8"/>
  <c r="BJ533" i="8"/>
  <c r="BJ977" i="8"/>
  <c r="BJ350" i="8"/>
  <c r="BJ792" i="8"/>
  <c r="BJ154" i="8"/>
  <c r="BJ608" i="8"/>
  <c r="BJ1078" i="8"/>
  <c r="BJ451" i="8"/>
  <c r="BJ918" i="8"/>
  <c r="BJ317" i="8"/>
  <c r="BJ28" i="8"/>
  <c r="BJ949" i="8"/>
  <c r="BJ373" i="8"/>
  <c r="BL603" i="8"/>
  <c r="BM603" i="8" s="1"/>
  <c r="BL333" i="8"/>
  <c r="BM333" i="8" s="1"/>
  <c r="BL864" i="8"/>
  <c r="BM864" i="8" s="1"/>
  <c r="BL201" i="8"/>
  <c r="BM201" i="8" s="1"/>
  <c r="BK1073" i="8"/>
  <c r="BL1073" i="8"/>
  <c r="BM1073" i="8" s="1"/>
  <c r="BJ231" i="8"/>
  <c r="BJ704" i="8"/>
  <c r="BJ57" i="8"/>
  <c r="BJ547" i="8"/>
  <c r="BJ1040" i="8"/>
  <c r="BJ413" i="8"/>
  <c r="BJ883" i="8"/>
  <c r="BJ254" i="8"/>
  <c r="BJ725" i="8"/>
  <c r="BJ81" i="8"/>
  <c r="BJ540" i="8"/>
  <c r="BJ984" i="8"/>
  <c r="BJ357" i="8"/>
  <c r="BJ800" i="8"/>
  <c r="BJ164" i="8"/>
  <c r="BJ616" i="8"/>
  <c r="BJ1059" i="8"/>
  <c r="BJ432" i="8"/>
  <c r="BJ875" i="8"/>
  <c r="BJ246" i="8"/>
  <c r="BJ691" i="8"/>
  <c r="BJ42" i="8"/>
  <c r="BJ507" i="8"/>
  <c r="BJ951" i="8"/>
  <c r="BJ323" i="8"/>
  <c r="BJ766" i="8"/>
  <c r="BJ126" i="8"/>
  <c r="BJ582" i="8"/>
  <c r="BJ1052" i="8"/>
  <c r="BJ425" i="8"/>
  <c r="BJ893" i="8"/>
  <c r="BJ292" i="8"/>
  <c r="BJ281" i="8"/>
  <c r="BJ925" i="8"/>
  <c r="BJ349" i="8"/>
  <c r="BK851" i="8"/>
  <c r="BL944" i="8"/>
  <c r="BM944" i="8" s="1"/>
  <c r="BL573" i="8"/>
  <c r="BM573" i="8" s="1"/>
  <c r="BJ836" i="8"/>
  <c r="BJ678" i="8"/>
  <c r="BJ21" i="8"/>
  <c r="BJ521" i="8"/>
  <c r="BJ1014" i="8"/>
  <c r="BJ387" i="8"/>
  <c r="BJ857" i="8"/>
  <c r="BJ225" i="8"/>
  <c r="BJ699" i="8"/>
  <c r="BJ50" i="8"/>
  <c r="BJ514" i="8"/>
  <c r="BJ958" i="8"/>
  <c r="BJ331" i="8"/>
  <c r="BJ774" i="8"/>
  <c r="BJ135" i="8"/>
  <c r="BJ590" i="8"/>
  <c r="BJ1033" i="8"/>
  <c r="BJ406" i="8"/>
  <c r="BJ849" i="8"/>
  <c r="BJ217" i="8"/>
  <c r="BJ665" i="8"/>
  <c r="BJ1108" i="8"/>
  <c r="BJ481" i="8"/>
  <c r="BJ924" i="8"/>
  <c r="BJ297" i="8"/>
  <c r="BJ740" i="8"/>
  <c r="BJ97" i="8"/>
  <c r="BJ556" i="8"/>
  <c r="BJ1026" i="8"/>
  <c r="BJ399" i="8"/>
  <c r="BJ868" i="8"/>
  <c r="BJ266" i="8"/>
  <c r="BJ257" i="8"/>
  <c r="BJ901" i="8"/>
  <c r="BJ325" i="8"/>
  <c r="BJ24" i="8"/>
  <c r="BJ787" i="8"/>
  <c r="BJ1126" i="8"/>
  <c r="BJ393" i="8"/>
  <c r="BJ754" i="8"/>
  <c r="BJ1095" i="8"/>
  <c r="BJ343" i="8"/>
  <c r="BJ707" i="8"/>
  <c r="BJ971" i="8"/>
  <c r="BJ344" i="8"/>
  <c r="BJ810" i="8"/>
  <c r="BJ174" i="8"/>
  <c r="BJ652" i="8"/>
  <c r="BJ1122" i="8"/>
  <c r="BJ495" i="8"/>
  <c r="BJ988" i="8"/>
  <c r="BJ361" i="8"/>
  <c r="BJ831" i="8"/>
  <c r="BJ196" i="8"/>
  <c r="BJ673" i="8"/>
  <c r="BJ1115" i="8"/>
  <c r="BJ488" i="8"/>
  <c r="BJ932" i="8"/>
  <c r="BJ305" i="8"/>
  <c r="BJ748" i="8"/>
  <c r="BJ106" i="8"/>
  <c r="BJ563" i="8"/>
  <c r="BJ1007" i="8"/>
  <c r="BJ380" i="8"/>
  <c r="BJ823" i="8"/>
  <c r="BJ189" i="8"/>
  <c r="BJ639" i="8"/>
  <c r="BJ1082" i="8"/>
  <c r="BJ455" i="8"/>
  <c r="BJ898" i="8"/>
  <c r="BJ270" i="8"/>
  <c r="BJ714" i="8"/>
  <c r="BJ69" i="8"/>
  <c r="BJ530" i="8"/>
  <c r="BJ1000" i="8"/>
  <c r="BJ372" i="8"/>
  <c r="BJ843" i="8"/>
  <c r="BJ239" i="8"/>
  <c r="BJ233" i="8"/>
  <c r="BJ877" i="8"/>
  <c r="BJ301" i="8"/>
  <c r="BK1065" i="8"/>
  <c r="BL1065" i="8"/>
  <c r="BM1065" i="8" s="1"/>
  <c r="BL606" i="8"/>
  <c r="BM606" i="8" s="1"/>
  <c r="BJ811" i="8"/>
  <c r="BJ1047" i="8"/>
  <c r="BJ658" i="8"/>
  <c r="BJ1022" i="8"/>
  <c r="BJ262" i="8"/>
  <c r="BJ628" i="8"/>
  <c r="BJ989" i="8"/>
  <c r="BJ208" i="8"/>
  <c r="BJ578" i="8"/>
  <c r="BJ945" i="8"/>
  <c r="BJ318" i="8"/>
  <c r="BJ784" i="8"/>
  <c r="BJ145" i="8"/>
  <c r="BJ626" i="8"/>
  <c r="BJ1096" i="8"/>
  <c r="BJ468" i="8"/>
  <c r="BJ962" i="8"/>
  <c r="BJ335" i="8"/>
  <c r="BJ804" i="8"/>
  <c r="BJ168" i="8"/>
  <c r="BJ647" i="8"/>
  <c r="BJ1089" i="8"/>
  <c r="BJ462" i="8"/>
  <c r="BJ906" i="8"/>
  <c r="BJ278" i="8"/>
  <c r="BJ722" i="8"/>
  <c r="BJ78" i="8"/>
  <c r="BJ537" i="8"/>
  <c r="BJ981" i="8"/>
  <c r="BJ354" i="8"/>
  <c r="BJ797" i="8"/>
  <c r="BJ160" i="8"/>
  <c r="BJ612" i="8"/>
  <c r="BJ1056" i="8"/>
  <c r="BJ429" i="8"/>
  <c r="BJ872" i="8"/>
  <c r="BJ242" i="8"/>
  <c r="BJ688" i="8"/>
  <c r="BJ34" i="8"/>
  <c r="BJ504" i="8"/>
  <c r="BJ974" i="8"/>
  <c r="BJ346" i="8"/>
  <c r="BJ818" i="8"/>
  <c r="BJ212" i="8"/>
  <c r="BJ209" i="8"/>
  <c r="BJ853" i="8"/>
  <c r="BJ277" i="8"/>
  <c r="BL182" i="8"/>
  <c r="BM182" i="8" s="1"/>
  <c r="BL815" i="8"/>
  <c r="BM815" i="8" s="1"/>
  <c r="BJ370" i="8"/>
  <c r="BJ23" i="8"/>
  <c r="BJ546" i="8"/>
  <c r="BJ894" i="8"/>
  <c r="BJ120" i="8"/>
  <c r="BJ499" i="8"/>
  <c r="BJ863" i="8"/>
  <c r="BJ84" i="8"/>
  <c r="BJ450" i="8"/>
  <c r="BJ919" i="8"/>
  <c r="BJ291" i="8"/>
  <c r="BJ758" i="8"/>
  <c r="BJ117" i="8"/>
  <c r="BJ600" i="8"/>
  <c r="BJ1070" i="8"/>
  <c r="BJ441" i="8"/>
  <c r="BJ936" i="8"/>
  <c r="BJ309" i="8"/>
  <c r="BJ778" i="8"/>
  <c r="BJ140" i="8"/>
  <c r="BJ621" i="8"/>
  <c r="BJ1063" i="8"/>
  <c r="BJ436" i="8"/>
  <c r="BJ880" i="8"/>
  <c r="BJ250" i="8"/>
  <c r="BJ696" i="8"/>
  <c r="BJ47" i="8"/>
  <c r="BJ511" i="8"/>
  <c r="BJ955" i="8"/>
  <c r="BJ328" i="8"/>
  <c r="BJ771" i="8"/>
  <c r="BJ131" i="8"/>
  <c r="BJ586" i="8"/>
  <c r="BJ1030" i="8"/>
  <c r="BJ403" i="8"/>
  <c r="BJ846" i="8"/>
  <c r="BJ214" i="8"/>
  <c r="BJ662" i="8"/>
  <c r="BJ1105" i="8"/>
  <c r="BJ478" i="8"/>
  <c r="BJ947" i="8"/>
  <c r="BJ320" i="8"/>
  <c r="BJ793" i="8"/>
  <c r="BJ184" i="8"/>
  <c r="BJ185" i="8"/>
  <c r="BJ829" i="8"/>
  <c r="BJ253" i="8"/>
  <c r="BJ1075" i="8"/>
  <c r="BJ88" i="8"/>
  <c r="BJ574" i="8"/>
  <c r="BJ1042" i="8"/>
  <c r="BJ415" i="8"/>
  <c r="BJ910" i="8"/>
  <c r="BJ283" i="8"/>
  <c r="BJ752" i="8"/>
  <c r="BJ111" i="8"/>
  <c r="BJ595" i="8"/>
  <c r="BJ1037" i="8"/>
  <c r="BJ410" i="8"/>
  <c r="BJ854" i="8"/>
  <c r="BJ222" i="8"/>
  <c r="BJ670" i="8"/>
  <c r="BJ1112" i="8"/>
  <c r="BJ485" i="8"/>
  <c r="BJ929" i="8"/>
  <c r="BJ302" i="8"/>
  <c r="BJ745" i="8"/>
  <c r="BJ103" i="8"/>
  <c r="BJ560" i="8"/>
  <c r="BJ1004" i="8"/>
  <c r="BJ377" i="8"/>
  <c r="BJ820" i="8"/>
  <c r="BJ186" i="8"/>
  <c r="BJ635" i="8"/>
  <c r="BJ1079" i="8"/>
  <c r="BJ452" i="8"/>
  <c r="BJ921" i="8"/>
  <c r="BJ294" i="8"/>
  <c r="BJ768" i="8"/>
  <c r="BJ156" i="8"/>
  <c r="BJ161" i="8"/>
  <c r="BJ805" i="8"/>
  <c r="BJ229" i="8"/>
  <c r="BL87" i="8"/>
  <c r="BM87" i="8" s="1"/>
  <c r="BJ58" i="8"/>
  <c r="BJ884" i="8"/>
  <c r="BJ255" i="8"/>
  <c r="BJ726" i="8"/>
  <c r="BJ82" i="8"/>
  <c r="BJ569" i="8"/>
  <c r="BJ1011" i="8"/>
  <c r="BJ384" i="8"/>
  <c r="BJ827" i="8"/>
  <c r="BJ193" i="8"/>
  <c r="BJ644" i="8"/>
  <c r="BJ1086" i="8"/>
  <c r="BJ459" i="8"/>
  <c r="BJ903" i="8"/>
  <c r="BJ274" i="8"/>
  <c r="BJ719" i="8"/>
  <c r="BJ73" i="8"/>
  <c r="BJ534" i="8"/>
  <c r="BJ978" i="8"/>
  <c r="BJ351" i="8"/>
  <c r="BJ794" i="8"/>
  <c r="BJ155" i="8"/>
  <c r="BJ609" i="8"/>
  <c r="BJ1053" i="8"/>
  <c r="BJ426" i="8"/>
  <c r="BJ895" i="8"/>
  <c r="BJ267" i="8"/>
  <c r="BJ743" i="8"/>
  <c r="BJ129" i="8"/>
  <c r="BJ137" i="8"/>
  <c r="BJ781" i="8"/>
  <c r="BJ205" i="8"/>
  <c r="BK59" i="8"/>
  <c r="BL59" i="8"/>
  <c r="BM59" i="8" s="1"/>
  <c r="BL1050" i="8"/>
  <c r="BM1050" i="8" s="1"/>
  <c r="BJ363" i="8"/>
  <c r="BJ358" i="8"/>
  <c r="BJ801" i="8"/>
  <c r="BJ165" i="8"/>
  <c r="BJ617" i="8"/>
  <c r="BJ1060" i="8"/>
  <c r="BJ433" i="8"/>
  <c r="BJ876" i="8"/>
  <c r="BJ247" i="8"/>
  <c r="BJ692" i="8"/>
  <c r="BJ43" i="8"/>
  <c r="BJ508" i="8"/>
  <c r="BJ952" i="8"/>
  <c r="BJ324" i="8"/>
  <c r="BJ767" i="8"/>
  <c r="BJ127" i="8"/>
  <c r="BJ583" i="8"/>
  <c r="BJ1027" i="8"/>
  <c r="BJ400" i="8"/>
  <c r="BJ869" i="8"/>
  <c r="BJ238" i="8"/>
  <c r="BJ718" i="8"/>
  <c r="BJ102" i="8"/>
  <c r="BJ113" i="8"/>
  <c r="BJ757" i="8"/>
  <c r="BJ181" i="8"/>
  <c r="BK890" i="8"/>
  <c r="BL890" i="8"/>
  <c r="BM890" i="8" s="1"/>
  <c r="BJ419" i="8"/>
  <c r="BJ264" i="8"/>
  <c r="BJ999" i="8"/>
  <c r="BJ236" i="8"/>
  <c r="BJ807" i="8"/>
  <c r="BJ839" i="8"/>
  <c r="BJ207" i="8"/>
  <c r="BJ226" i="8"/>
  <c r="BJ760" i="8"/>
  <c r="BJ1100" i="8"/>
  <c r="BJ362" i="8"/>
  <c r="BJ711" i="8"/>
  <c r="BJ1067" i="8"/>
  <c r="BJ814" i="8"/>
  <c r="BJ178" i="8"/>
  <c r="BJ653" i="8"/>
  <c r="BJ1123" i="8"/>
  <c r="BJ496" i="8"/>
  <c r="BJ964" i="8"/>
  <c r="BJ337" i="8"/>
  <c r="BJ832" i="8"/>
  <c r="BJ198" i="8"/>
  <c r="BJ674" i="8"/>
  <c r="BJ15" i="8"/>
  <c r="BJ515" i="8"/>
  <c r="BJ959" i="8"/>
  <c r="BJ332" i="8"/>
  <c r="BJ775" i="8"/>
  <c r="BJ136" i="8"/>
  <c r="BJ591" i="8"/>
  <c r="BJ1034" i="8"/>
  <c r="BJ407" i="8"/>
  <c r="BJ850" i="8"/>
  <c r="BJ218" i="8"/>
  <c r="BJ666" i="8"/>
  <c r="BJ1109" i="8"/>
  <c r="BJ482" i="8"/>
  <c r="BJ926" i="8"/>
  <c r="BJ298" i="8"/>
  <c r="BJ741" i="8"/>
  <c r="BJ98" i="8"/>
  <c r="BJ557" i="8"/>
  <c r="BJ1001" i="8"/>
  <c r="BJ374" i="8"/>
  <c r="BJ842" i="8"/>
  <c r="BJ210" i="8"/>
  <c r="BJ693" i="8"/>
  <c r="BJ74" i="8"/>
  <c r="BJ89" i="8"/>
  <c r="BJ733" i="8"/>
  <c r="BJ157" i="8"/>
  <c r="BK728" i="8"/>
  <c r="BL728" i="8"/>
  <c r="BM728" i="8" s="1"/>
  <c r="BK916" i="8"/>
  <c r="BL916" i="8"/>
  <c r="BM916" i="8" s="1"/>
  <c r="BJ813" i="8"/>
  <c r="BJ336" i="8"/>
  <c r="BJ654" i="8"/>
  <c r="BJ1016" i="8"/>
  <c r="BJ114" i="8"/>
  <c r="BJ22" i="8"/>
  <c r="BJ542" i="8"/>
  <c r="BJ995" i="8"/>
  <c r="BJ232" i="8"/>
  <c r="BJ598" i="8"/>
  <c r="BJ946" i="8"/>
  <c r="BJ788" i="8"/>
  <c r="BJ150" i="8"/>
  <c r="BJ627" i="8"/>
  <c r="BJ1097" i="8"/>
  <c r="BJ470" i="8"/>
  <c r="BJ938" i="8"/>
  <c r="BJ311" i="8"/>
  <c r="BJ806" i="8"/>
  <c r="BJ169" i="8"/>
  <c r="BJ648" i="8"/>
  <c r="BJ1116" i="8"/>
  <c r="BJ489" i="8"/>
  <c r="BJ933" i="8"/>
  <c r="BJ306" i="8"/>
  <c r="BJ749" i="8"/>
  <c r="BJ107" i="8"/>
  <c r="BJ564" i="8"/>
  <c r="BJ1008" i="8"/>
  <c r="BJ381" i="8"/>
  <c r="BJ824" i="8"/>
  <c r="BJ190" i="8"/>
  <c r="BJ640" i="8"/>
  <c r="BJ1083" i="8"/>
  <c r="BJ456" i="8"/>
  <c r="BJ899" i="8"/>
  <c r="BJ271" i="8"/>
  <c r="BJ715" i="8"/>
  <c r="BJ70" i="8"/>
  <c r="BJ531" i="8"/>
  <c r="BJ975" i="8"/>
  <c r="BJ347" i="8"/>
  <c r="BJ816" i="8"/>
  <c r="BJ180" i="8"/>
  <c r="BJ668" i="8"/>
  <c r="BJ45" i="8"/>
  <c r="BJ65" i="8"/>
  <c r="BJ709" i="8"/>
  <c r="BJ133" i="8"/>
  <c r="BK545" i="8"/>
  <c r="BJ1103" i="8"/>
  <c r="BJ892" i="8"/>
  <c r="BJ237" i="8"/>
  <c r="BJ548" i="8"/>
  <c r="BJ476" i="8"/>
  <c r="BJ522" i="8"/>
  <c r="BJ985" i="8"/>
  <c r="BJ680" i="8"/>
  <c r="BJ91" i="8"/>
  <c r="BJ762" i="8"/>
  <c r="BJ121" i="8"/>
  <c r="BJ601" i="8"/>
  <c r="BJ1071" i="8"/>
  <c r="BJ443" i="8"/>
  <c r="BJ912" i="8"/>
  <c r="BJ285" i="8"/>
  <c r="BJ779" i="8"/>
  <c r="BJ141" i="8"/>
  <c r="BJ622" i="8"/>
  <c r="BJ1090" i="8"/>
  <c r="BJ463" i="8"/>
  <c r="BJ907" i="8"/>
  <c r="BJ279" i="8"/>
  <c r="BJ723" i="8"/>
  <c r="BJ79" i="8"/>
  <c r="BJ538" i="8"/>
  <c r="BJ982" i="8"/>
  <c r="BJ355" i="8"/>
  <c r="BJ798" i="8"/>
  <c r="BJ162" i="8"/>
  <c r="BJ614" i="8"/>
  <c r="BJ1057" i="8"/>
  <c r="BJ430" i="8"/>
  <c r="BJ873" i="8"/>
  <c r="BJ243" i="8"/>
  <c r="BJ689" i="8"/>
  <c r="BJ35" i="8"/>
  <c r="BJ505" i="8"/>
  <c r="BJ948" i="8"/>
  <c r="BJ321" i="8"/>
  <c r="BJ790" i="8"/>
  <c r="BJ152" i="8"/>
  <c r="BJ643" i="8"/>
  <c r="BJ31" i="8"/>
  <c r="BJ41" i="8"/>
  <c r="BJ685" i="8"/>
  <c r="BJ109" i="8"/>
  <c r="BL785" i="8"/>
  <c r="BM785" i="8" s="1"/>
  <c r="BK172" i="8"/>
  <c r="BK55" i="8"/>
  <c r="BL55" i="8"/>
  <c r="BM55" i="8" s="1"/>
  <c r="BJ937" i="8"/>
  <c r="BJ1049" i="8"/>
  <c r="BJ203" i="8"/>
  <c r="BJ889" i="8"/>
  <c r="BJ990" i="8"/>
  <c r="BJ812" i="8"/>
  <c r="BJ265" i="8"/>
  <c r="BJ786" i="8"/>
  <c r="BJ736" i="8"/>
  <c r="BJ886" i="8"/>
  <c r="BJ112" i="8"/>
  <c r="BJ596" i="8"/>
  <c r="BJ1064" i="8"/>
  <c r="BJ437" i="8"/>
  <c r="BJ881" i="8"/>
  <c r="BJ251" i="8"/>
  <c r="BJ697" i="8"/>
  <c r="BJ48" i="8"/>
  <c r="BJ512" i="8"/>
  <c r="BJ956" i="8"/>
  <c r="BJ329" i="8"/>
  <c r="BJ772" i="8"/>
  <c r="BJ132" i="8"/>
  <c r="BJ587" i="8"/>
  <c r="BJ1031" i="8"/>
  <c r="BJ404" i="8"/>
  <c r="BJ847" i="8"/>
  <c r="BJ215" i="8"/>
  <c r="BJ663" i="8"/>
  <c r="BJ1106" i="8"/>
  <c r="BJ479" i="8"/>
  <c r="BJ922" i="8"/>
  <c r="BJ295" i="8"/>
  <c r="BJ764" i="8"/>
  <c r="BJ123" i="8"/>
  <c r="BJ618" i="8"/>
  <c r="BJ30" i="8"/>
  <c r="BJ17" i="8"/>
  <c r="BJ661" i="8"/>
  <c r="BJ85" i="8"/>
  <c r="BK375" i="8"/>
  <c r="BL375" i="8"/>
  <c r="BM375" i="8" s="1"/>
  <c r="BJ780" i="8"/>
  <c r="BJ920" i="8"/>
  <c r="BJ969" i="8"/>
  <c r="BJ525" i="8"/>
  <c r="BJ858" i="8"/>
  <c r="BJ684" i="8"/>
  <c r="BJ630" i="8"/>
  <c r="BJ1020" i="8"/>
  <c r="BJ570" i="8"/>
  <c r="BJ486" i="8"/>
  <c r="BJ746" i="8"/>
  <c r="BJ561" i="8"/>
  <c r="BJ1005" i="8"/>
  <c r="BJ378" i="8"/>
  <c r="BJ821" i="8"/>
  <c r="BJ187" i="8"/>
  <c r="BJ636" i="8"/>
  <c r="BJ1080" i="8"/>
  <c r="BJ453" i="8"/>
  <c r="BJ896" i="8"/>
  <c r="BJ268" i="8"/>
  <c r="BJ738" i="8"/>
  <c r="BJ95" i="8"/>
  <c r="BJ593" i="8"/>
  <c r="BJ245" i="8"/>
  <c r="BJ64" i="8"/>
  <c r="BJ637" i="8"/>
  <c r="BJ61" i="8"/>
  <c r="BK391" i="8"/>
  <c r="BJ942" i="8"/>
  <c r="BJ734" i="8"/>
  <c r="BJ289" i="8"/>
  <c r="BJ866" i="8"/>
  <c r="BJ389" i="8"/>
  <c r="BJ148" i="8"/>
  <c r="BJ840" i="8"/>
  <c r="BJ51" i="8"/>
  <c r="BJ1128" i="8"/>
  <c r="BJ681" i="8"/>
  <c r="BJ682" i="8"/>
  <c r="BJ915" i="8"/>
  <c r="BJ502" i="8"/>
  <c r="BJ833" i="8"/>
  <c r="BJ440" i="8"/>
  <c r="BJ388" i="8"/>
  <c r="BJ1077" i="8"/>
  <c r="BJ706" i="8"/>
  <c r="BJ93" i="8"/>
  <c r="BJ1044" i="8"/>
  <c r="BJ258" i="8"/>
  <c r="BJ552" i="8"/>
  <c r="BJ656" i="8"/>
  <c r="BJ624" i="8"/>
  <c r="BJ206" i="8"/>
  <c r="BJ63" i="8"/>
  <c r="BJ1017" i="8"/>
  <c r="BJ860" i="8"/>
  <c r="BJ727" i="8"/>
  <c r="BJ1038" i="8"/>
  <c r="BJ855" i="8"/>
  <c r="BJ671" i="8"/>
  <c r="BJ930" i="8"/>
  <c r="BJ104" i="8"/>
  <c r="BJ551" i="8"/>
  <c r="BJ176" i="8"/>
  <c r="BJ528" i="8"/>
  <c r="BJ891" i="8"/>
  <c r="BJ119" i="8"/>
  <c r="BJ498" i="8"/>
  <c r="BJ859" i="8"/>
  <c r="BJ66" i="8"/>
  <c r="BJ448" i="8"/>
  <c r="BJ683" i="8"/>
  <c r="BJ26" i="8"/>
  <c r="BJ523" i="8"/>
  <c r="BJ991" i="8"/>
  <c r="BJ364" i="8"/>
  <c r="BJ834" i="8"/>
  <c r="BJ200" i="8"/>
  <c r="BJ701" i="8"/>
  <c r="BJ54" i="8"/>
  <c r="BJ544" i="8"/>
  <c r="BJ1012" i="8"/>
  <c r="BJ385" i="8"/>
  <c r="BJ828" i="8"/>
  <c r="BJ194" i="8"/>
  <c r="BJ645" i="8"/>
  <c r="BJ1087" i="8"/>
  <c r="BJ460" i="8"/>
  <c r="BJ904" i="8"/>
  <c r="BJ275" i="8"/>
  <c r="BJ720" i="8"/>
  <c r="BJ75" i="8"/>
  <c r="BJ535" i="8"/>
  <c r="BJ979" i="8"/>
  <c r="BJ352" i="8"/>
  <c r="BJ795" i="8"/>
  <c r="BJ158" i="8"/>
  <c r="BJ610" i="8"/>
  <c r="BJ1054" i="8"/>
  <c r="BJ427" i="8"/>
  <c r="BJ870" i="8"/>
  <c r="BJ240" i="8"/>
  <c r="BJ712" i="8"/>
  <c r="BJ67" i="8"/>
  <c r="BJ568" i="8"/>
  <c r="BJ221" i="8"/>
  <c r="BJ40" i="8"/>
  <c r="BJ613" i="8"/>
  <c r="BJ37" i="8"/>
  <c r="BK423" i="8"/>
  <c r="BJ369" i="8"/>
  <c r="BJ731" i="8"/>
  <c r="BJ604" i="8"/>
  <c r="BJ705" i="8"/>
  <c r="BJ941" i="8"/>
  <c r="BJ60" i="8"/>
  <c r="BJ679" i="8"/>
  <c r="BJ700" i="8"/>
  <c r="BJ395" i="8"/>
  <c r="BJ1024" i="8"/>
  <c r="BJ554" i="8"/>
  <c r="BJ142" i="8"/>
  <c r="BJ865" i="8"/>
  <c r="BJ472" i="8"/>
  <c r="BJ572" i="8"/>
  <c r="BJ1125" i="8"/>
  <c r="BJ737" i="8"/>
  <c r="BJ341" i="8"/>
  <c r="BJ575" i="8"/>
  <c r="BJ416" i="8"/>
  <c r="BJ753" i="8"/>
  <c r="BJ314" i="8"/>
  <c r="BJ261" i="8"/>
  <c r="BJ972" i="8"/>
  <c r="BJ577" i="8"/>
  <c r="BJ710" i="8"/>
  <c r="BJ549" i="8"/>
  <c r="BJ390" i="8"/>
  <c r="BJ228" i="8"/>
  <c r="BJ83" i="8"/>
  <c r="BJ411" i="8"/>
  <c r="BJ223" i="8"/>
  <c r="BJ1113" i="8"/>
  <c r="BJ303" i="8"/>
  <c r="BJ446" i="8"/>
  <c r="BJ25" i="8"/>
  <c r="BJ414" i="8"/>
  <c r="BJ763" i="8"/>
  <c r="BJ1102" i="8"/>
  <c r="BJ368" i="8"/>
  <c r="BJ732" i="8"/>
  <c r="BJ1074" i="8"/>
  <c r="BJ319" i="8"/>
  <c r="BJ657" i="8"/>
  <c r="BJ1124" i="8"/>
  <c r="BJ497" i="8"/>
  <c r="BJ965" i="8"/>
  <c r="BJ338" i="8"/>
  <c r="BJ808" i="8"/>
  <c r="BJ171" i="8"/>
  <c r="BJ675" i="8"/>
  <c r="BJ18" i="8"/>
  <c r="BJ516" i="8"/>
  <c r="BJ986" i="8"/>
  <c r="BJ359" i="8"/>
  <c r="BJ802" i="8"/>
  <c r="BJ166" i="8"/>
  <c r="BJ619" i="8"/>
  <c r="BJ1061" i="8"/>
  <c r="BJ434" i="8"/>
  <c r="BJ878" i="8"/>
  <c r="BJ248" i="8"/>
  <c r="BJ694" i="8"/>
  <c r="BJ44" i="8"/>
  <c r="BJ509" i="8"/>
  <c r="BJ953" i="8"/>
  <c r="BJ326" i="8"/>
  <c r="BJ769" i="8"/>
  <c r="BJ128" i="8"/>
  <c r="BJ584" i="8"/>
  <c r="BJ1028" i="8"/>
  <c r="BJ401" i="8"/>
  <c r="BJ844" i="8"/>
  <c r="BJ211" i="8"/>
  <c r="BJ686" i="8"/>
  <c r="BJ32" i="8"/>
  <c r="BJ543" i="8"/>
  <c r="BJ197" i="8"/>
  <c r="BJ16" i="8"/>
  <c r="BJ589" i="8"/>
  <c r="BJ36" i="8"/>
  <c r="BJ14" i="8"/>
  <c r="BL14" i="8" s="1"/>
  <c r="BJ7" i="8"/>
  <c r="BJ11" i="8"/>
  <c r="BJ5" i="8"/>
  <c r="BJ9" i="8"/>
  <c r="BJ13" i="8"/>
  <c r="BJ12" i="8"/>
  <c r="BK12" i="8" s="1"/>
  <c r="BJ8" i="8"/>
  <c r="BL8" i="8" s="1"/>
  <c r="BJ10" i="8"/>
  <c r="BL10" i="8" s="1"/>
  <c r="BJ6" i="8"/>
  <c r="BL6" i="8" s="1"/>
  <c r="B18" i="3"/>
  <c r="B48" i="3" a="1"/>
  <c r="B48" i="3" s="1"/>
  <c r="A48" i="3" a="1"/>
  <c r="A48" i="3" s="1"/>
  <c r="BL856" i="8" l="1"/>
  <c r="BM856" i="8" s="1"/>
  <c r="BL179" i="8"/>
  <c r="BM179" i="8" s="1"/>
  <c r="BK62" i="8"/>
  <c r="BL742" i="8"/>
  <c r="BM742" i="8" s="1"/>
  <c r="BK115" i="8"/>
  <c r="BL449" i="8"/>
  <c r="BM449" i="8" s="1"/>
  <c r="BK1048" i="8"/>
  <c r="BK386" i="8"/>
  <c r="BK1023" i="8"/>
  <c r="BK1066" i="8"/>
  <c r="BL911" i="8"/>
  <c r="BM911" i="8" s="1"/>
  <c r="BK199" i="8"/>
  <c r="BK398" i="8"/>
  <c r="BL1002" i="8"/>
  <c r="BM1002" i="8" s="1"/>
  <c r="BK1127" i="8"/>
  <c r="BL235" i="8"/>
  <c r="BM235" i="8" s="1"/>
  <c r="BK520" i="8"/>
  <c r="BL256" i="8"/>
  <c r="BM256" i="8" s="1"/>
  <c r="BL94" i="8"/>
  <c r="BM94" i="8" s="1"/>
  <c r="BK599" i="8"/>
  <c r="BK799" i="8"/>
  <c r="BK312" i="8"/>
  <c r="BK632" i="8"/>
  <c r="BK755" i="8"/>
  <c r="BK667" i="8"/>
  <c r="BK888" i="8"/>
  <c r="BL970" i="8"/>
  <c r="BM970" i="8" s="1"/>
  <c r="BK422" i="8"/>
  <c r="BK27" i="8"/>
  <c r="BL501" i="8"/>
  <c r="BM501" i="8" s="1"/>
  <c r="BL299" i="8"/>
  <c r="BM299" i="8" s="1"/>
  <c r="BK651" i="8"/>
  <c r="BL90" i="8"/>
  <c r="BM90" i="8" s="1"/>
  <c r="BK365" i="8"/>
  <c r="BK1114" i="8"/>
  <c r="BK108" i="8"/>
  <c r="BK524" i="8"/>
  <c r="BL782" i="8"/>
  <c r="BM782" i="8" s="1"/>
  <c r="BK92" i="8"/>
  <c r="BL887" i="8"/>
  <c r="BM887" i="8" s="1"/>
  <c r="BK418" i="8"/>
  <c r="BK224" i="8"/>
  <c r="BK566" i="8"/>
  <c r="BM1099" i="8"/>
  <c r="BL287" i="8"/>
  <c r="BM287" i="8" s="1"/>
  <c r="BK729" i="8"/>
  <c r="BK994" i="8"/>
  <c r="BK776" i="8"/>
  <c r="BL885" i="8"/>
  <c r="BM885" i="8" s="1"/>
  <c r="BK703" i="8"/>
  <c r="BL290" i="8"/>
  <c r="BM290" i="8" s="1"/>
  <c r="BL116" i="8"/>
  <c r="BM116" i="8" s="1"/>
  <c r="BL527" i="8"/>
  <c r="BM527" i="8" s="1"/>
  <c r="BK966" i="8"/>
  <c r="BK371" i="8"/>
  <c r="BK724" i="8"/>
  <c r="BL963" i="8"/>
  <c r="BM963" i="8" s="1"/>
  <c r="BL490" i="8"/>
  <c r="BM490" i="8" s="1"/>
  <c r="BM1119" i="8"/>
  <c r="BL650" i="8"/>
  <c r="BM650" i="8" s="1"/>
  <c r="BK340" i="8"/>
  <c r="BL138" i="8"/>
  <c r="BM138" i="8" s="1"/>
  <c r="BK1076" i="8"/>
  <c r="BL841" i="8"/>
  <c r="BM841" i="8" s="1"/>
  <c r="BK471" i="8"/>
  <c r="BL330" i="8"/>
  <c r="BM330" i="8" s="1"/>
  <c r="BK80" i="8"/>
  <c r="BL307" i="8"/>
  <c r="BM307" i="8" s="1"/>
  <c r="BK882" i="8"/>
  <c r="BL263" i="8"/>
  <c r="BM263" i="8" s="1"/>
  <c r="BK761" i="8"/>
  <c r="BL817" i="8"/>
  <c r="BM817" i="8" s="1"/>
  <c r="BL313" i="8"/>
  <c r="BM313" i="8" s="1"/>
  <c r="BK649" i="8"/>
  <c r="BK1009" i="8"/>
  <c r="BL837" i="8"/>
  <c r="BM837" i="8" s="1"/>
  <c r="BK576" i="8"/>
  <c r="BL175" i="8"/>
  <c r="BM175" i="8" s="1"/>
  <c r="BK677" i="8"/>
  <c r="BL444" i="8"/>
  <c r="BM444" i="8" s="1"/>
  <c r="BL960" i="8"/>
  <c r="BM960" i="8" s="1"/>
  <c r="BL756" i="8"/>
  <c r="BM756" i="8" s="1"/>
  <c r="BL602" i="8"/>
  <c r="BM602" i="8" s="1"/>
  <c r="BL494" i="8"/>
  <c r="BM494" i="8" s="1"/>
  <c r="BL230" i="8"/>
  <c r="BM230" i="8" s="1"/>
  <c r="BK38" i="8"/>
  <c r="BL967" i="8"/>
  <c r="BM967" i="8" s="1"/>
  <c r="BL730" i="8"/>
  <c r="BM730" i="8" s="1"/>
  <c r="BL1121" i="8"/>
  <c r="BL809" i="8"/>
  <c r="BM809" i="8" s="1"/>
  <c r="BL519" i="8"/>
  <c r="BM519" i="8" s="1"/>
  <c r="BL996" i="8"/>
  <c r="BM996" i="8" s="1"/>
  <c r="BL553" i="8"/>
  <c r="BM553" i="8" s="1"/>
  <c r="BL293" i="8"/>
  <c r="BM293" i="8" s="1"/>
  <c r="BL913" i="8"/>
  <c r="BM913" i="8" s="1"/>
  <c r="BL597" i="8"/>
  <c r="BM597" i="8" s="1"/>
  <c r="BL783" i="8"/>
  <c r="BM783" i="8" s="1"/>
  <c r="BL219" i="8"/>
  <c r="BM219" i="8" s="1"/>
  <c r="BL558" i="8"/>
  <c r="BM558" i="8" s="1"/>
  <c r="BL86" i="8"/>
  <c r="BM86" i="8" s="1"/>
  <c r="BL957" i="8"/>
  <c r="BM957" i="8" s="1"/>
  <c r="BL147" i="8"/>
  <c r="BM147" i="8" s="1"/>
  <c r="BK1041" i="8"/>
  <c r="BL579" i="8"/>
  <c r="BM579" i="8" s="1"/>
  <c r="BL412" i="8"/>
  <c r="BM412" i="8" s="1"/>
  <c r="BK1099" i="8"/>
  <c r="BL1110" i="8"/>
  <c r="BK914" i="8"/>
  <c r="BK605" i="8"/>
  <c r="BK49" i="8"/>
  <c r="BK571" i="8"/>
  <c r="BK861" i="8"/>
  <c r="BL518" i="8"/>
  <c r="BM518" i="8" s="1"/>
  <c r="BK122" i="8"/>
  <c r="BL526" i="8"/>
  <c r="BM526" i="8" s="1"/>
  <c r="BL466" i="8"/>
  <c r="BM466" i="8" s="1"/>
  <c r="BK288" i="8"/>
  <c r="BK260" i="8"/>
  <c r="BL835" i="8"/>
  <c r="BM835" i="8" s="1"/>
  <c r="BL366" i="8"/>
  <c r="BM366" i="8" s="1"/>
  <c r="BL177" i="8"/>
  <c r="BM177" i="8" s="1"/>
  <c r="BL862" i="8"/>
  <c r="BM862" i="8" s="1"/>
  <c r="BL151" i="8"/>
  <c r="BM151" i="8" s="1"/>
  <c r="BL565" i="8"/>
  <c r="BM565" i="8" s="1"/>
  <c r="BL830" i="8"/>
  <c r="BM830" i="8" s="1"/>
  <c r="BL1051" i="8"/>
  <c r="BM1051" i="8" s="1"/>
  <c r="BK773" i="8"/>
  <c r="BL252" i="8"/>
  <c r="BM252" i="8" s="1"/>
  <c r="BL1035" i="8"/>
  <c r="BM1035" i="8" s="1"/>
  <c r="BK339" i="8"/>
  <c r="BL396" i="8"/>
  <c r="BM396" i="8" s="1"/>
  <c r="BL998" i="8"/>
  <c r="BM998" i="8" s="1"/>
  <c r="BK1013" i="8"/>
  <c r="BK424" i="8"/>
  <c r="BL1129" i="8"/>
  <c r="BL550" i="8"/>
  <c r="BM550" i="8" s="1"/>
  <c r="BL940" i="8"/>
  <c r="BM940" i="8" s="1"/>
  <c r="BL1046" i="8"/>
  <c r="BM1046" i="8" s="1"/>
  <c r="BL629" i="8"/>
  <c r="BM629" i="8" s="1"/>
  <c r="BK1039" i="8"/>
  <c r="BL280" i="8"/>
  <c r="BM280" i="8" s="1"/>
  <c r="BK143" i="8"/>
  <c r="BK284" i="8"/>
  <c r="BK676" i="8"/>
  <c r="BK483" i="8"/>
  <c r="BL759" i="8"/>
  <c r="BM759" i="8" s="1"/>
  <c r="BL592" i="8"/>
  <c r="BM592" i="8" s="1"/>
  <c r="BK259" i="8"/>
  <c r="BK513" i="8"/>
  <c r="BL1091" i="8"/>
  <c r="BL867" i="8"/>
  <c r="BM867" i="8" s="1"/>
  <c r="BK394" i="8"/>
  <c r="BL655" i="8"/>
  <c r="BM655" i="8" s="1"/>
  <c r="BL146" i="8"/>
  <c r="BM146" i="8" s="1"/>
  <c r="BL474" i="8"/>
  <c r="BM474" i="8" s="1"/>
  <c r="BK438" i="8"/>
  <c r="BL202" i="8"/>
  <c r="BM202" i="8" s="1"/>
  <c r="BL173" i="8"/>
  <c r="BM173" i="8" s="1"/>
  <c r="BK580" i="8"/>
  <c r="BL144" i="8"/>
  <c r="BM144" i="8" s="1"/>
  <c r="BL360" i="8"/>
  <c r="BM360" i="8" s="1"/>
  <c r="BK539" i="8"/>
  <c r="BK473" i="8"/>
  <c r="BL917" i="8"/>
  <c r="BM917" i="8" s="1"/>
  <c r="BK838" i="8"/>
  <c r="BK1072" i="8"/>
  <c r="BL735" i="8"/>
  <c r="BM735" i="8" s="1"/>
  <c r="BK447" i="8"/>
  <c r="BK708" i="8"/>
  <c r="BL1019" i="8"/>
  <c r="BM1019" i="8" s="1"/>
  <c r="BK310" i="8"/>
  <c r="BK316" i="8"/>
  <c r="BK631" i="8"/>
  <c r="BK20" i="8"/>
  <c r="BK99" i="8"/>
  <c r="BK1025" i="8"/>
  <c r="BK118" i="8"/>
  <c r="BK420" i="8"/>
  <c r="BK204" i="8"/>
  <c r="BK170" i="8"/>
  <c r="BL234" i="8"/>
  <c r="BM234" i="8" s="1"/>
  <c r="BL927" i="8"/>
  <c r="BM927" i="8" s="1"/>
  <c r="BK1101" i="8"/>
  <c r="BK345" i="8"/>
  <c r="BL1015" i="8"/>
  <c r="BM1015" i="8" s="1"/>
  <c r="BK500" i="8"/>
  <c r="BL987" i="8"/>
  <c r="BM987" i="8" s="1"/>
  <c r="BK487" i="8"/>
  <c r="BK983" i="8"/>
  <c r="BK750" i="8"/>
  <c r="BK321" i="8"/>
  <c r="BL321" i="8"/>
  <c r="BM321" i="8" s="1"/>
  <c r="BK128" i="8"/>
  <c r="BL128" i="8"/>
  <c r="BM128" i="8" s="1"/>
  <c r="BK1124" i="8"/>
  <c r="BL1124" i="8"/>
  <c r="BK753" i="8"/>
  <c r="BL753" i="8"/>
  <c r="BM753" i="8" s="1"/>
  <c r="BK67" i="8"/>
  <c r="BL67" i="8"/>
  <c r="BM67" i="8" s="1"/>
  <c r="BK54" i="8"/>
  <c r="BL54" i="8"/>
  <c r="BM54" i="8" s="1"/>
  <c r="BK860" i="8"/>
  <c r="BL860" i="8"/>
  <c r="BM860" i="8" s="1"/>
  <c r="BK866" i="8"/>
  <c r="BL866" i="8"/>
  <c r="BM866" i="8" s="1"/>
  <c r="BK684" i="8"/>
  <c r="BL684" i="8"/>
  <c r="BM684" i="8" s="1"/>
  <c r="BK48" i="8"/>
  <c r="BL48" i="8"/>
  <c r="BM48" i="8" s="1"/>
  <c r="BK948" i="8"/>
  <c r="BL948" i="8"/>
  <c r="BM948" i="8" s="1"/>
  <c r="BK912" i="8"/>
  <c r="BL912" i="8"/>
  <c r="BM912" i="8" s="1"/>
  <c r="BK347" i="8"/>
  <c r="BL347" i="8"/>
  <c r="BM347" i="8" s="1"/>
  <c r="BK311" i="8"/>
  <c r="BL311" i="8"/>
  <c r="BM311" i="8" s="1"/>
  <c r="BK482" i="8"/>
  <c r="BL482" i="8"/>
  <c r="BM482" i="8" s="1"/>
  <c r="BK1067" i="8"/>
  <c r="BL1067" i="8"/>
  <c r="BM1067" i="8" s="1"/>
  <c r="BK43" i="8"/>
  <c r="BL43" i="8"/>
  <c r="BM43" i="8" s="1"/>
  <c r="BK274" i="8"/>
  <c r="BL274" i="8"/>
  <c r="BM274" i="8" s="1"/>
  <c r="BK302" i="8"/>
  <c r="BL302" i="8"/>
  <c r="BM302" i="8" s="1"/>
  <c r="BK478" i="8"/>
  <c r="BL478" i="8"/>
  <c r="BM478" i="8" s="1"/>
  <c r="BK441" i="8"/>
  <c r="BL441" i="8"/>
  <c r="BM441" i="8" s="1"/>
  <c r="BK612" i="8"/>
  <c r="BL612" i="8"/>
  <c r="BM612" i="8" s="1"/>
  <c r="BK578" i="8"/>
  <c r="BL578" i="8"/>
  <c r="BM578" i="8" s="1"/>
  <c r="BK563" i="8"/>
  <c r="BL563" i="8"/>
  <c r="BM563" i="8" s="1"/>
  <c r="BK1126" i="8"/>
  <c r="BL1126" i="8"/>
  <c r="BK399" i="8"/>
  <c r="BL399" i="8"/>
  <c r="BM399" i="8" s="1"/>
  <c r="BL387" i="8"/>
  <c r="BM387" i="8" s="1"/>
  <c r="BK387" i="8"/>
  <c r="BK349" i="8"/>
  <c r="BL349" i="8"/>
  <c r="BM349" i="8" s="1"/>
  <c r="BK540" i="8"/>
  <c r="BL540" i="8"/>
  <c r="BM540" i="8" s="1"/>
  <c r="BK273" i="8"/>
  <c r="BL273" i="8"/>
  <c r="BM273" i="8" s="1"/>
  <c r="BL376" i="8"/>
  <c r="BM376" i="8" s="1"/>
  <c r="BK376" i="8"/>
  <c r="BL213" i="8"/>
  <c r="BM213" i="8" s="1"/>
  <c r="BK213" i="8"/>
  <c r="BK392" i="8"/>
  <c r="BL392" i="8"/>
  <c r="BM392" i="8" s="1"/>
  <c r="BK417" i="8"/>
  <c r="BL417" i="8"/>
  <c r="BM417" i="8" s="1"/>
  <c r="BK739" i="8"/>
  <c r="BL739" i="8"/>
  <c r="BM739" i="8" s="1"/>
  <c r="BK244" i="8"/>
  <c r="BL244" i="8"/>
  <c r="BM244" i="8" s="1"/>
  <c r="BK382" i="8"/>
  <c r="BL382" i="8"/>
  <c r="BM382" i="8" s="1"/>
  <c r="BK389" i="8"/>
  <c r="BL389" i="8"/>
  <c r="BM389" i="8" s="1"/>
  <c r="BK1007" i="8"/>
  <c r="BL1007" i="8"/>
  <c r="BM1007" i="8" s="1"/>
  <c r="BK53" i="8"/>
  <c r="BL53" i="8"/>
  <c r="BM53" i="8" s="1"/>
  <c r="BK697" i="8"/>
  <c r="BL697" i="8"/>
  <c r="BM697" i="8" s="1"/>
  <c r="BK443" i="8"/>
  <c r="BL443" i="8"/>
  <c r="BM443" i="8" s="1"/>
  <c r="BK975" i="8"/>
  <c r="BL975" i="8"/>
  <c r="BM975" i="8" s="1"/>
  <c r="BK938" i="8"/>
  <c r="BL938" i="8"/>
  <c r="BM938" i="8" s="1"/>
  <c r="BL1109" i="8"/>
  <c r="BK1109" i="8"/>
  <c r="BL711" i="8"/>
  <c r="BM711" i="8" s="1"/>
  <c r="BK711" i="8"/>
  <c r="BK692" i="8"/>
  <c r="BL692" i="8"/>
  <c r="BM692" i="8" s="1"/>
  <c r="BK903" i="8"/>
  <c r="BL903" i="8"/>
  <c r="BM903" i="8" s="1"/>
  <c r="BK929" i="8"/>
  <c r="BL929" i="8"/>
  <c r="BM929" i="8" s="1"/>
  <c r="BK1105" i="8"/>
  <c r="BL1105" i="8"/>
  <c r="BK1070" i="8"/>
  <c r="BL1070" i="8"/>
  <c r="BM1070" i="8" s="1"/>
  <c r="BL160" i="8"/>
  <c r="BM160" i="8" s="1"/>
  <c r="BK160" i="8"/>
  <c r="BL208" i="8"/>
  <c r="BM208" i="8" s="1"/>
  <c r="BK208" i="8"/>
  <c r="BK106" i="8"/>
  <c r="BL106" i="8"/>
  <c r="BM106" i="8" s="1"/>
  <c r="BK787" i="8"/>
  <c r="BL787" i="8"/>
  <c r="BM787" i="8" s="1"/>
  <c r="BK1026" i="8"/>
  <c r="BL1026" i="8"/>
  <c r="BM1026" i="8" s="1"/>
  <c r="BL1014" i="8"/>
  <c r="BM1014" i="8" s="1"/>
  <c r="BK1014" i="8"/>
  <c r="BK925" i="8"/>
  <c r="BL925" i="8"/>
  <c r="BM925" i="8" s="1"/>
  <c r="BK81" i="8"/>
  <c r="BL81" i="8"/>
  <c r="BM81" i="8" s="1"/>
  <c r="BK902" i="8"/>
  <c r="BL902" i="8"/>
  <c r="BM902" i="8" s="1"/>
  <c r="BK1003" i="8"/>
  <c r="BL1003" i="8"/>
  <c r="BM1003" i="8" s="1"/>
  <c r="BL845" i="8"/>
  <c r="BM845" i="8" s="1"/>
  <c r="BK845" i="8"/>
  <c r="BL993" i="8"/>
  <c r="BM993" i="8" s="1"/>
  <c r="BK993" i="8"/>
  <c r="BL1018" i="8"/>
  <c r="BM1018" i="8" s="1"/>
  <c r="BK1018" i="8"/>
  <c r="BK296" i="8"/>
  <c r="BL296" i="8"/>
  <c r="BM296" i="8" s="1"/>
  <c r="BK874" i="8"/>
  <c r="BL874" i="8"/>
  <c r="BM874" i="8" s="1"/>
  <c r="BK1056" i="8"/>
  <c r="BL1056" i="8"/>
  <c r="BM1056" i="8" s="1"/>
  <c r="BK1017" i="8"/>
  <c r="BL1017" i="8"/>
  <c r="BM1017" i="8" s="1"/>
  <c r="BL505" i="8"/>
  <c r="BM505" i="8" s="1"/>
  <c r="BK505" i="8"/>
  <c r="BK326" i="8"/>
  <c r="BL326" i="8"/>
  <c r="BM326" i="8" s="1"/>
  <c r="BK319" i="8"/>
  <c r="BL319" i="8"/>
  <c r="BM319" i="8" s="1"/>
  <c r="BK575" i="8"/>
  <c r="BL575" i="8"/>
  <c r="BM575" i="8" s="1"/>
  <c r="BK240" i="8"/>
  <c r="BL240" i="8"/>
  <c r="BM240" i="8" s="1"/>
  <c r="BK200" i="8"/>
  <c r="BL200" i="8"/>
  <c r="BM200" i="8" s="1"/>
  <c r="BK63" i="8"/>
  <c r="BL63" i="8"/>
  <c r="BM63" i="8" s="1"/>
  <c r="BL734" i="8"/>
  <c r="BM734" i="8" s="1"/>
  <c r="BK734" i="8"/>
  <c r="BK61" i="8"/>
  <c r="BL61" i="8"/>
  <c r="BM61" i="8" s="1"/>
  <c r="BK525" i="8"/>
  <c r="BL525" i="8"/>
  <c r="BM525" i="8" s="1"/>
  <c r="BK85" i="8"/>
  <c r="BL85" i="8"/>
  <c r="BM85" i="8" s="1"/>
  <c r="BK251" i="8"/>
  <c r="BL251" i="8"/>
  <c r="BM251" i="8" s="1"/>
  <c r="BL35" i="8"/>
  <c r="BM35" i="8" s="1"/>
  <c r="BK35" i="8"/>
  <c r="BK1071" i="8"/>
  <c r="BL1071" i="8"/>
  <c r="BM1071" i="8" s="1"/>
  <c r="BK531" i="8"/>
  <c r="BL531" i="8"/>
  <c r="BM531" i="8" s="1"/>
  <c r="BK470" i="8"/>
  <c r="BL470" i="8"/>
  <c r="BM470" i="8" s="1"/>
  <c r="BK666" i="8"/>
  <c r="BL666" i="8"/>
  <c r="BM666" i="8" s="1"/>
  <c r="BL362" i="8"/>
  <c r="BM362" i="8" s="1"/>
  <c r="BK362" i="8"/>
  <c r="BK247" i="8"/>
  <c r="BL247" i="8"/>
  <c r="BM247" i="8" s="1"/>
  <c r="BK459" i="8"/>
  <c r="BL459" i="8"/>
  <c r="BM459" i="8" s="1"/>
  <c r="BK485" i="8"/>
  <c r="BL485" i="8"/>
  <c r="BM485" i="8" s="1"/>
  <c r="BL662" i="8"/>
  <c r="BM662" i="8" s="1"/>
  <c r="BK662" i="8"/>
  <c r="BK600" i="8"/>
  <c r="BL600" i="8"/>
  <c r="BM600" i="8" s="1"/>
  <c r="BL797" i="8"/>
  <c r="BM797" i="8" s="1"/>
  <c r="BK797" i="8"/>
  <c r="BL989" i="8"/>
  <c r="BM989" i="8" s="1"/>
  <c r="BK989" i="8"/>
  <c r="BK748" i="8"/>
  <c r="BL748" i="8"/>
  <c r="BM748" i="8" s="1"/>
  <c r="BK24" i="8"/>
  <c r="BL24" i="8"/>
  <c r="BM24" i="8" s="1"/>
  <c r="BK556" i="8"/>
  <c r="BL556" i="8"/>
  <c r="BM556" i="8" s="1"/>
  <c r="BK521" i="8"/>
  <c r="BL521" i="8"/>
  <c r="BM521" i="8" s="1"/>
  <c r="BK281" i="8"/>
  <c r="BL281" i="8"/>
  <c r="BM281" i="8" s="1"/>
  <c r="BL725" i="8"/>
  <c r="BM725" i="8" s="1"/>
  <c r="BK725" i="8"/>
  <c r="BK458" i="8"/>
  <c r="BL458" i="8"/>
  <c r="BM458" i="8" s="1"/>
  <c r="BK559" i="8"/>
  <c r="BL559" i="8"/>
  <c r="BM559" i="8" s="1"/>
  <c r="BK402" i="8"/>
  <c r="BL402" i="8"/>
  <c r="BM402" i="8" s="1"/>
  <c r="BL529" i="8"/>
  <c r="BM529" i="8" s="1"/>
  <c r="BK529" i="8"/>
  <c r="BL555" i="8"/>
  <c r="BM555" i="8" s="1"/>
  <c r="BK555" i="8"/>
  <c r="BK923" i="8"/>
  <c r="BL923" i="8"/>
  <c r="BM923" i="8" s="1"/>
  <c r="BK431" i="8"/>
  <c r="BL431" i="8"/>
  <c r="BM431" i="8" s="1"/>
  <c r="BL630" i="8"/>
  <c r="BM630" i="8" s="1"/>
  <c r="BK630" i="8"/>
  <c r="BK945" i="8"/>
  <c r="BL945" i="8"/>
  <c r="BM945" i="8" s="1"/>
  <c r="BK657" i="8"/>
  <c r="BL657" i="8"/>
  <c r="BM657" i="8" s="1"/>
  <c r="BK341" i="8"/>
  <c r="BL341" i="8"/>
  <c r="BM341" i="8" s="1"/>
  <c r="BK870" i="8"/>
  <c r="BL870" i="8"/>
  <c r="BM870" i="8" s="1"/>
  <c r="BK834" i="8"/>
  <c r="BL834" i="8"/>
  <c r="BM834" i="8" s="1"/>
  <c r="BK206" i="8"/>
  <c r="BL206" i="8"/>
  <c r="BM206" i="8" s="1"/>
  <c r="BL942" i="8"/>
  <c r="BM942" i="8" s="1"/>
  <c r="BK942" i="8"/>
  <c r="BL637" i="8"/>
  <c r="BM637" i="8" s="1"/>
  <c r="BK637" i="8"/>
  <c r="BK969" i="8"/>
  <c r="BL969" i="8"/>
  <c r="BM969" i="8" s="1"/>
  <c r="BL661" i="8"/>
  <c r="BM661" i="8" s="1"/>
  <c r="BK661" i="8"/>
  <c r="BK881" i="8"/>
  <c r="BL881" i="8"/>
  <c r="BM881" i="8" s="1"/>
  <c r="BK689" i="8"/>
  <c r="BL689" i="8"/>
  <c r="BM689" i="8" s="1"/>
  <c r="BK601" i="8"/>
  <c r="BL601" i="8"/>
  <c r="BM601" i="8" s="1"/>
  <c r="BK70" i="8"/>
  <c r="BL70" i="8"/>
  <c r="BM70" i="8" s="1"/>
  <c r="BK1097" i="8"/>
  <c r="BL1097" i="8"/>
  <c r="BM1098" i="8" s="1"/>
  <c r="BK218" i="8"/>
  <c r="BL218" i="8"/>
  <c r="BM218" i="8" s="1"/>
  <c r="BK1100" i="8"/>
  <c r="BL1100" i="8"/>
  <c r="BM1100" i="8" s="1"/>
  <c r="BK876" i="8"/>
  <c r="BL876" i="8"/>
  <c r="BM876" i="8" s="1"/>
  <c r="BL1086" i="8"/>
  <c r="BK1086" i="8"/>
  <c r="BK1112" i="8"/>
  <c r="BL1112" i="8"/>
  <c r="BL214" i="8"/>
  <c r="BM214" i="8" s="1"/>
  <c r="BK214" i="8"/>
  <c r="BL117" i="8"/>
  <c r="BM117" i="8" s="1"/>
  <c r="BK117" i="8"/>
  <c r="BL354" i="8"/>
  <c r="BM354" i="8" s="1"/>
  <c r="BK354" i="8"/>
  <c r="BK628" i="8"/>
  <c r="BL628" i="8"/>
  <c r="BM628" i="8" s="1"/>
  <c r="BL305" i="8"/>
  <c r="BM305" i="8" s="1"/>
  <c r="BK305" i="8"/>
  <c r="BK97" i="8"/>
  <c r="BL97" i="8"/>
  <c r="BM97" i="8" s="1"/>
  <c r="BK21" i="8"/>
  <c r="BL21" i="8"/>
  <c r="BM21" i="8" s="1"/>
  <c r="BK292" i="8"/>
  <c r="BL292" i="8"/>
  <c r="BM292" i="8" s="1"/>
  <c r="BK254" i="8"/>
  <c r="BL254" i="8"/>
  <c r="BM254" i="8" s="1"/>
  <c r="BL1085" i="8"/>
  <c r="BK1085" i="8"/>
  <c r="BK100" i="8"/>
  <c r="BL100" i="8"/>
  <c r="BM100" i="8" s="1"/>
  <c r="BK1029" i="8"/>
  <c r="BL1029" i="8"/>
  <c r="BM1029" i="8" s="1"/>
  <c r="BK33" i="8"/>
  <c r="BL33" i="8"/>
  <c r="BM33" i="8" s="1"/>
  <c r="BK68" i="8"/>
  <c r="BL68" i="8"/>
  <c r="BM68" i="8" s="1"/>
  <c r="BL480" i="8"/>
  <c r="BM480" i="8" s="1"/>
  <c r="BK480" i="8"/>
  <c r="BK1058" i="8"/>
  <c r="BL1058" i="8"/>
  <c r="BM1058" i="8" s="1"/>
  <c r="BK947" i="8"/>
  <c r="BL947" i="8"/>
  <c r="BM947" i="8" s="1"/>
  <c r="BK737" i="8"/>
  <c r="BL737" i="8"/>
  <c r="BM737" i="8" s="1"/>
  <c r="BK364" i="8"/>
  <c r="BL364" i="8"/>
  <c r="BM364" i="8" s="1"/>
  <c r="BK624" i="8"/>
  <c r="BL624" i="8"/>
  <c r="BM624" i="8" s="1"/>
  <c r="BL64" i="8"/>
  <c r="BM64" i="8" s="1"/>
  <c r="BK64" i="8"/>
  <c r="BK920" i="8"/>
  <c r="BL920" i="8"/>
  <c r="BM920" i="8" s="1"/>
  <c r="BK17" i="8"/>
  <c r="BL17" i="8"/>
  <c r="BM17" i="8" s="1"/>
  <c r="BK437" i="8"/>
  <c r="BL437" i="8"/>
  <c r="BM437" i="8" s="1"/>
  <c r="BK243" i="8"/>
  <c r="BL243" i="8"/>
  <c r="BM243" i="8" s="1"/>
  <c r="BK121" i="8"/>
  <c r="BL121" i="8"/>
  <c r="BM121" i="8" s="1"/>
  <c r="BL715" i="8"/>
  <c r="BM715" i="8" s="1"/>
  <c r="BK715" i="8"/>
  <c r="BK627" i="8"/>
  <c r="BL627" i="8"/>
  <c r="BM627" i="8" s="1"/>
  <c r="BK850" i="8"/>
  <c r="BL850" i="8"/>
  <c r="BM850" i="8" s="1"/>
  <c r="BK760" i="8"/>
  <c r="BL760" i="8"/>
  <c r="BM760" i="8" s="1"/>
  <c r="BK433" i="8"/>
  <c r="BL433" i="8"/>
  <c r="BM433" i="8" s="1"/>
  <c r="BK644" i="8"/>
  <c r="BL644" i="8"/>
  <c r="BM644" i="8" s="1"/>
  <c r="BK670" i="8"/>
  <c r="BL670" i="8"/>
  <c r="BM670" i="8" s="1"/>
  <c r="BL846" i="8"/>
  <c r="BM846" i="8" s="1"/>
  <c r="BK846" i="8"/>
  <c r="BL758" i="8"/>
  <c r="BM758" i="8" s="1"/>
  <c r="BK758" i="8"/>
  <c r="BK981" i="8"/>
  <c r="BL981" i="8"/>
  <c r="BM981" i="8" s="1"/>
  <c r="BL262" i="8"/>
  <c r="BM262" i="8" s="1"/>
  <c r="BK262" i="8"/>
  <c r="BK932" i="8"/>
  <c r="BL932" i="8"/>
  <c r="BM932" i="8" s="1"/>
  <c r="BK740" i="8"/>
  <c r="BL740" i="8"/>
  <c r="BM740" i="8" s="1"/>
  <c r="BL678" i="8"/>
  <c r="BM678" i="8" s="1"/>
  <c r="BK678" i="8"/>
  <c r="BL893" i="8"/>
  <c r="BM893" i="8" s="1"/>
  <c r="BK893" i="8"/>
  <c r="BK883" i="8"/>
  <c r="BL883" i="8"/>
  <c r="BM883" i="8" s="1"/>
  <c r="BK642" i="8"/>
  <c r="BL642" i="8"/>
  <c r="BM642" i="8" s="1"/>
  <c r="BK744" i="8"/>
  <c r="BL744" i="8"/>
  <c r="BM744" i="8" s="1"/>
  <c r="BK585" i="8"/>
  <c r="BL585" i="8"/>
  <c r="BM585" i="8" s="1"/>
  <c r="BL687" i="8"/>
  <c r="BM687" i="8" s="1"/>
  <c r="BK687" i="8"/>
  <c r="BK713" i="8"/>
  <c r="BL713" i="8"/>
  <c r="BM713" i="8" s="1"/>
  <c r="BK1107" i="8"/>
  <c r="BL1107" i="8"/>
  <c r="BK615" i="8"/>
  <c r="BL615" i="8"/>
  <c r="BM615" i="8" s="1"/>
  <c r="BK541" i="8"/>
  <c r="BL541" i="8"/>
  <c r="BM541" i="8" s="1"/>
  <c r="BK868" i="8"/>
  <c r="BL868" i="8"/>
  <c r="BM868" i="8" s="1"/>
  <c r="BK712" i="8"/>
  <c r="BL712" i="8"/>
  <c r="BM712" i="8" s="1"/>
  <c r="BK427" i="8"/>
  <c r="BL427" i="8"/>
  <c r="BM427" i="8" s="1"/>
  <c r="BK44" i="8"/>
  <c r="BL44" i="8"/>
  <c r="BM44" i="8" s="1"/>
  <c r="BK368" i="8"/>
  <c r="BL368" i="8"/>
  <c r="BM368" i="8" s="1"/>
  <c r="BK1125" i="8"/>
  <c r="BL1125" i="8"/>
  <c r="BM1125" i="8" s="1"/>
  <c r="BK1054" i="8"/>
  <c r="BL1054" i="8"/>
  <c r="BM1054" i="8" s="1"/>
  <c r="BL991" i="8"/>
  <c r="BM991" i="8" s="1"/>
  <c r="BK991" i="8"/>
  <c r="BK656" i="8"/>
  <c r="BL656" i="8"/>
  <c r="BM656" i="8" s="1"/>
  <c r="BK245" i="8"/>
  <c r="BL245" i="8"/>
  <c r="BM245" i="8" s="1"/>
  <c r="BK780" i="8"/>
  <c r="BL780" i="8"/>
  <c r="BM780" i="8" s="1"/>
  <c r="BK30" i="8"/>
  <c r="BL30" i="8"/>
  <c r="BM30" i="8" s="1"/>
  <c r="BK1064" i="8"/>
  <c r="BL1064" i="8"/>
  <c r="BM1064" i="8" s="1"/>
  <c r="BK873" i="8"/>
  <c r="BL873" i="8"/>
  <c r="BM873" i="8" s="1"/>
  <c r="BK762" i="8"/>
  <c r="BL762" i="8"/>
  <c r="BM762" i="8" s="1"/>
  <c r="BK271" i="8"/>
  <c r="BL271" i="8"/>
  <c r="BM271" i="8" s="1"/>
  <c r="BK150" i="8"/>
  <c r="BL150" i="8"/>
  <c r="BM150" i="8" s="1"/>
  <c r="BK407" i="8"/>
  <c r="BL407" i="8"/>
  <c r="BM407" i="8" s="1"/>
  <c r="BK226" i="8"/>
  <c r="BL226" i="8"/>
  <c r="BM226" i="8" s="1"/>
  <c r="BK1060" i="8"/>
  <c r="BL1060" i="8"/>
  <c r="BM1060" i="8" s="1"/>
  <c r="BK193" i="8"/>
  <c r="BL193" i="8"/>
  <c r="BM193" i="8" s="1"/>
  <c r="BK222" i="8"/>
  <c r="BL222" i="8"/>
  <c r="BM222" i="8" s="1"/>
  <c r="BL403" i="8"/>
  <c r="BM403" i="8" s="1"/>
  <c r="BK403" i="8"/>
  <c r="BK291" i="8"/>
  <c r="BL291" i="8"/>
  <c r="BM291" i="8" s="1"/>
  <c r="BK537" i="8"/>
  <c r="BL537" i="8"/>
  <c r="BM537" i="8" s="1"/>
  <c r="BK1022" i="8"/>
  <c r="BL1022" i="8"/>
  <c r="BM1022" i="8" s="1"/>
  <c r="BK301" i="8"/>
  <c r="BL301" i="8"/>
  <c r="BM301" i="8" s="1"/>
  <c r="BL488" i="8"/>
  <c r="BM488" i="8" s="1"/>
  <c r="BK488" i="8"/>
  <c r="BK297" i="8"/>
  <c r="BL297" i="8"/>
  <c r="BM297" i="8" s="1"/>
  <c r="BK836" i="8"/>
  <c r="BL836" i="8"/>
  <c r="BM836" i="8" s="1"/>
  <c r="BK425" i="8"/>
  <c r="BL425" i="8"/>
  <c r="BM425" i="8" s="1"/>
  <c r="BK413" i="8"/>
  <c r="BL413" i="8"/>
  <c r="BM413" i="8" s="1"/>
  <c r="BK192" i="8"/>
  <c r="BL192" i="8"/>
  <c r="BM192" i="8" s="1"/>
  <c r="BK300" i="8"/>
  <c r="BL300" i="8"/>
  <c r="BM300" i="8" s="1"/>
  <c r="BK130" i="8"/>
  <c r="BL130" i="8"/>
  <c r="BM130" i="8" s="1"/>
  <c r="BK241" i="8"/>
  <c r="BL241" i="8"/>
  <c r="BM241" i="8" s="1"/>
  <c r="BK269" i="8"/>
  <c r="BL269" i="8"/>
  <c r="BM269" i="8" s="1"/>
  <c r="BK664" i="8"/>
  <c r="BL664" i="8"/>
  <c r="BM664" i="8" s="1"/>
  <c r="BK163" i="8"/>
  <c r="BL163" i="8"/>
  <c r="BM163" i="8" s="1"/>
  <c r="BK1117" i="8"/>
  <c r="BL1117" i="8"/>
  <c r="BK936" i="8"/>
  <c r="BL936" i="8"/>
  <c r="BM936" i="8" s="1"/>
  <c r="BK96" i="8"/>
  <c r="BL96" i="8"/>
  <c r="BM96" i="8" s="1"/>
  <c r="BK694" i="8"/>
  <c r="BL694" i="8"/>
  <c r="BM694" i="8" s="1"/>
  <c r="BK610" i="8"/>
  <c r="BL610" i="8"/>
  <c r="BM610" i="8" s="1"/>
  <c r="BK552" i="8"/>
  <c r="BL552" i="8"/>
  <c r="BM552" i="8" s="1"/>
  <c r="BK596" i="8"/>
  <c r="BL596" i="8"/>
  <c r="BM596" i="8" s="1"/>
  <c r="BL430" i="8"/>
  <c r="BM430" i="8" s="1"/>
  <c r="BK430" i="8"/>
  <c r="BK91" i="8"/>
  <c r="BL91" i="8"/>
  <c r="BM91" i="8" s="1"/>
  <c r="BK788" i="8"/>
  <c r="BL788" i="8"/>
  <c r="BM788" i="8" s="1"/>
  <c r="BK1034" i="8"/>
  <c r="BL1034" i="8"/>
  <c r="BM1034" i="8" s="1"/>
  <c r="BK207" i="8"/>
  <c r="BL207" i="8"/>
  <c r="BM207" i="8" s="1"/>
  <c r="BK617" i="8"/>
  <c r="BL617" i="8"/>
  <c r="BM617" i="8" s="1"/>
  <c r="BK827" i="8"/>
  <c r="BL827" i="8"/>
  <c r="BM827" i="8" s="1"/>
  <c r="BL854" i="8"/>
  <c r="BM854" i="8" s="1"/>
  <c r="BK854" i="8"/>
  <c r="BK1030" i="8"/>
  <c r="BL1030" i="8"/>
  <c r="BM1030" i="8" s="1"/>
  <c r="BK919" i="8"/>
  <c r="BL919" i="8"/>
  <c r="BM919" i="8" s="1"/>
  <c r="BK78" i="8"/>
  <c r="BL78" i="8"/>
  <c r="BM78" i="8" s="1"/>
  <c r="BK658" i="8"/>
  <c r="BL658" i="8"/>
  <c r="BM658" i="8" s="1"/>
  <c r="BK877" i="8"/>
  <c r="BL877" i="8"/>
  <c r="BM877" i="8" s="1"/>
  <c r="BK1115" i="8"/>
  <c r="BL1115" i="8"/>
  <c r="BM1115" i="8" s="1"/>
  <c r="BK924" i="8"/>
  <c r="BL924" i="8"/>
  <c r="BM924" i="8" s="1"/>
  <c r="BK1052" i="8"/>
  <c r="BL1052" i="8"/>
  <c r="BM1052" i="8" s="1"/>
  <c r="BL1040" i="8"/>
  <c r="BM1040" i="8" s="1"/>
  <c r="BK1040" i="8"/>
  <c r="BK826" i="8"/>
  <c r="BL826" i="8"/>
  <c r="BM826" i="8" s="1"/>
  <c r="BK928" i="8"/>
  <c r="BL928" i="8"/>
  <c r="BM928" i="8" s="1"/>
  <c r="BK770" i="8"/>
  <c r="BL770" i="8"/>
  <c r="BM770" i="8" s="1"/>
  <c r="BK871" i="8"/>
  <c r="BL871" i="8"/>
  <c r="BM871" i="8" s="1"/>
  <c r="BK897" i="8"/>
  <c r="BL897" i="8"/>
  <c r="BM897" i="8" s="1"/>
  <c r="BL216" i="8"/>
  <c r="BM216" i="8" s="1"/>
  <c r="BK216" i="8"/>
  <c r="BK149" i="8"/>
  <c r="BL149" i="8"/>
  <c r="BM149" i="8" s="1"/>
  <c r="BL568" i="8"/>
  <c r="BM568" i="8" s="1"/>
  <c r="BK568" i="8"/>
  <c r="BK825" i="8"/>
  <c r="BL825" i="8"/>
  <c r="BM825" i="8" s="1"/>
  <c r="BK1102" i="8"/>
  <c r="BL1102" i="8"/>
  <c r="BM1102" i="8" s="1"/>
  <c r="BK572" i="8"/>
  <c r="BL572" i="8"/>
  <c r="BM572" i="8" s="1"/>
  <c r="BK523" i="8"/>
  <c r="BL523" i="8"/>
  <c r="BM523" i="8" s="1"/>
  <c r="BK593" i="8"/>
  <c r="BL593" i="8"/>
  <c r="BM593" i="8" s="1"/>
  <c r="BK618" i="8"/>
  <c r="BL618" i="8"/>
  <c r="BM618" i="8" s="1"/>
  <c r="BK899" i="8"/>
  <c r="BL899" i="8"/>
  <c r="BM899" i="8" s="1"/>
  <c r="BK248" i="8"/>
  <c r="BL248" i="8"/>
  <c r="BM248" i="8" s="1"/>
  <c r="BK763" i="8"/>
  <c r="BL763" i="8"/>
  <c r="BM763" i="8" s="1"/>
  <c r="BL472" i="8"/>
  <c r="BM472" i="8" s="1"/>
  <c r="BK472" i="8"/>
  <c r="BK158" i="8"/>
  <c r="BL158" i="8"/>
  <c r="BM158" i="8" s="1"/>
  <c r="BK26" i="8"/>
  <c r="BL26" i="8"/>
  <c r="BM26" i="8" s="1"/>
  <c r="BK258" i="8"/>
  <c r="BL258" i="8"/>
  <c r="BM258" i="8" s="1"/>
  <c r="BK95" i="8"/>
  <c r="BL95" i="8"/>
  <c r="BM95" i="8" s="1"/>
  <c r="BK123" i="8"/>
  <c r="BL123" i="8"/>
  <c r="BM123" i="8" s="1"/>
  <c r="BL112" i="8"/>
  <c r="BM112" i="8" s="1"/>
  <c r="BK112" i="8"/>
  <c r="BK1057" i="8"/>
  <c r="BL1057" i="8"/>
  <c r="BM1057" i="8" s="1"/>
  <c r="BK680" i="8"/>
  <c r="BL680" i="8"/>
  <c r="BM680" i="8" s="1"/>
  <c r="BK456" i="8"/>
  <c r="BL456" i="8"/>
  <c r="BM456" i="8" s="1"/>
  <c r="BK946" i="8"/>
  <c r="BL946" i="8"/>
  <c r="BM946" i="8" s="1"/>
  <c r="BK591" i="8"/>
  <c r="BL591" i="8"/>
  <c r="BM591" i="8" s="1"/>
  <c r="BL839" i="8"/>
  <c r="BM839" i="8" s="1"/>
  <c r="BK839" i="8"/>
  <c r="BK165" i="8"/>
  <c r="BL165" i="8"/>
  <c r="BM165" i="8" s="1"/>
  <c r="BK205" i="8"/>
  <c r="BL205" i="8"/>
  <c r="BM205" i="8" s="1"/>
  <c r="BK384" i="8"/>
  <c r="BL384" i="8"/>
  <c r="BM384" i="8" s="1"/>
  <c r="BK229" i="8"/>
  <c r="BL229" i="8"/>
  <c r="BM229" i="8" s="1"/>
  <c r="BK410" i="8"/>
  <c r="BL410" i="8"/>
  <c r="BM410" i="8" s="1"/>
  <c r="BK586" i="8"/>
  <c r="BL586" i="8"/>
  <c r="BM586" i="8" s="1"/>
  <c r="BK450" i="8"/>
  <c r="BL450" i="8"/>
  <c r="BM450" i="8" s="1"/>
  <c r="BK722" i="8"/>
  <c r="BL722" i="8"/>
  <c r="BM722" i="8" s="1"/>
  <c r="BK1047" i="8"/>
  <c r="BL1047" i="8"/>
  <c r="BM1047" i="8" s="1"/>
  <c r="BK233" i="8"/>
  <c r="BL233" i="8"/>
  <c r="BM233" i="8" s="1"/>
  <c r="BK673" i="8"/>
  <c r="BL673" i="8"/>
  <c r="BM673" i="8" s="1"/>
  <c r="BK481" i="8"/>
  <c r="BL481" i="8"/>
  <c r="BM481" i="8" s="1"/>
  <c r="BK582" i="8"/>
  <c r="BL582" i="8"/>
  <c r="BM582" i="8" s="1"/>
  <c r="BK547" i="8"/>
  <c r="BL547" i="8"/>
  <c r="BM547" i="8" s="1"/>
  <c r="BK383" i="8"/>
  <c r="BL383" i="8"/>
  <c r="BM383" i="8" s="1"/>
  <c r="BK484" i="8"/>
  <c r="BL484" i="8"/>
  <c r="BM484" i="8" s="1"/>
  <c r="BK327" i="8"/>
  <c r="BL327" i="8"/>
  <c r="BM327" i="8" s="1"/>
  <c r="BK428" i="8"/>
  <c r="BL428" i="8"/>
  <c r="BM428" i="8" s="1"/>
  <c r="BL454" i="8"/>
  <c r="BM454" i="8" s="1"/>
  <c r="BK454" i="8"/>
  <c r="BK848" i="8"/>
  <c r="BL848" i="8"/>
  <c r="BM848" i="8" s="1"/>
  <c r="BK492" i="8"/>
  <c r="BL492" i="8"/>
  <c r="BM492" i="8" s="1"/>
  <c r="BL314" i="8"/>
  <c r="BM314" i="8" s="1"/>
  <c r="BK314" i="8"/>
  <c r="BK719" i="8"/>
  <c r="BL719" i="8"/>
  <c r="BM719" i="8" s="1"/>
  <c r="BK732" i="8"/>
  <c r="BL732" i="8"/>
  <c r="BM732" i="8" s="1"/>
  <c r="BK865" i="8"/>
  <c r="BL865" i="8"/>
  <c r="BM865" i="8" s="1"/>
  <c r="BK683" i="8"/>
  <c r="BL683" i="8"/>
  <c r="BM683" i="8" s="1"/>
  <c r="BK764" i="8"/>
  <c r="BL764" i="8"/>
  <c r="BM764" i="8" s="1"/>
  <c r="BK886" i="8"/>
  <c r="BL886" i="8"/>
  <c r="BM886" i="8" s="1"/>
  <c r="BK614" i="8"/>
  <c r="BL614" i="8"/>
  <c r="BM614" i="8" s="1"/>
  <c r="BK985" i="8"/>
  <c r="BL985" i="8"/>
  <c r="BM985" i="8" s="1"/>
  <c r="BK1083" i="8"/>
  <c r="BL1083" i="8"/>
  <c r="BK598" i="8"/>
  <c r="BL598" i="8"/>
  <c r="BM598" i="8" s="1"/>
  <c r="BL136" i="8"/>
  <c r="BM136" i="8" s="1"/>
  <c r="BK136" i="8"/>
  <c r="BL807" i="8"/>
  <c r="BM807" i="8" s="1"/>
  <c r="BK807" i="8"/>
  <c r="BK801" i="8"/>
  <c r="BL801" i="8"/>
  <c r="BM801" i="8" s="1"/>
  <c r="BL781" i="8"/>
  <c r="BM781" i="8" s="1"/>
  <c r="BK781" i="8"/>
  <c r="BK1011" i="8"/>
  <c r="BL1011" i="8"/>
  <c r="BM1011" i="8" s="1"/>
  <c r="BL805" i="8"/>
  <c r="BM805" i="8" s="1"/>
  <c r="BK805" i="8"/>
  <c r="BL1037" i="8"/>
  <c r="BM1037" i="8" s="1"/>
  <c r="BK1037" i="8"/>
  <c r="BK131" i="8"/>
  <c r="BL131" i="8"/>
  <c r="BM131" i="8" s="1"/>
  <c r="BK84" i="8"/>
  <c r="BL84" i="8"/>
  <c r="BM84" i="8" s="1"/>
  <c r="BK278" i="8"/>
  <c r="BL278" i="8"/>
  <c r="BM278" i="8" s="1"/>
  <c r="BK811" i="8"/>
  <c r="BL811" i="8"/>
  <c r="BM811" i="8" s="1"/>
  <c r="BK239" i="8"/>
  <c r="BL239" i="8"/>
  <c r="BM239" i="8" s="1"/>
  <c r="BK196" i="8"/>
  <c r="BL196" i="8"/>
  <c r="BM196" i="8" s="1"/>
  <c r="BK1108" i="8"/>
  <c r="BL1108" i="8"/>
  <c r="BK126" i="8"/>
  <c r="BL126" i="8"/>
  <c r="BM126" i="8" s="1"/>
  <c r="BK57" i="8"/>
  <c r="BL57" i="8"/>
  <c r="BM57" i="8" s="1"/>
  <c r="BK1010" i="8"/>
  <c r="BL1010" i="8"/>
  <c r="BM1010" i="8" s="1"/>
  <c r="BK1111" i="8"/>
  <c r="BL1111" i="8"/>
  <c r="BK954" i="8"/>
  <c r="BL954" i="8"/>
  <c r="BM954" i="8" s="1"/>
  <c r="BK1055" i="8"/>
  <c r="BL1055" i="8"/>
  <c r="BM1055" i="8" s="1"/>
  <c r="BK1081" i="8"/>
  <c r="BL1081" i="8"/>
  <c r="BL405" i="8"/>
  <c r="BM405" i="8" s="1"/>
  <c r="BK405" i="8"/>
  <c r="BK1094" i="8"/>
  <c r="BL1094" i="8"/>
  <c r="BK816" i="8"/>
  <c r="BL816" i="8"/>
  <c r="BM816" i="8" s="1"/>
  <c r="BK858" i="8"/>
  <c r="BL858" i="8"/>
  <c r="BM858" i="8" s="1"/>
  <c r="BK414" i="8"/>
  <c r="BL414" i="8"/>
  <c r="BM414" i="8" s="1"/>
  <c r="BK1044" i="8"/>
  <c r="BL1044" i="8"/>
  <c r="BM1044" i="8" s="1"/>
  <c r="BL142" i="8"/>
  <c r="BM142" i="8" s="1"/>
  <c r="BK142" i="8"/>
  <c r="BL352" i="8"/>
  <c r="BM352" i="8" s="1"/>
  <c r="BK352" i="8"/>
  <c r="BK268" i="8"/>
  <c r="BL268" i="8"/>
  <c r="BM268" i="8" s="1"/>
  <c r="BK295" i="8"/>
  <c r="BL295" i="8"/>
  <c r="BM295" i="8" s="1"/>
  <c r="BK736" i="8"/>
  <c r="BL736" i="8"/>
  <c r="BM736" i="8" s="1"/>
  <c r="BK162" i="8"/>
  <c r="BL162" i="8"/>
  <c r="BM162" i="8" s="1"/>
  <c r="BK522" i="8"/>
  <c r="BL522" i="8"/>
  <c r="BM522" i="8" s="1"/>
  <c r="BK640" i="8"/>
  <c r="BL640" i="8"/>
  <c r="BM640" i="8" s="1"/>
  <c r="BL232" i="8"/>
  <c r="BM232" i="8" s="1"/>
  <c r="BK232" i="8"/>
  <c r="BK775" i="8"/>
  <c r="BL775" i="8"/>
  <c r="BM775" i="8" s="1"/>
  <c r="BK236" i="8"/>
  <c r="BL236" i="8"/>
  <c r="BM236" i="8" s="1"/>
  <c r="BK181" i="8"/>
  <c r="BL181" i="8"/>
  <c r="BM181" i="8" s="1"/>
  <c r="BK358" i="8"/>
  <c r="BL358" i="8"/>
  <c r="BM358" i="8" s="1"/>
  <c r="BK137" i="8"/>
  <c r="BL137" i="8"/>
  <c r="BM137" i="8" s="1"/>
  <c r="BK569" i="8"/>
  <c r="BL569" i="8"/>
  <c r="BM569" i="8" s="1"/>
  <c r="BK161" i="8"/>
  <c r="BL161" i="8"/>
  <c r="BM161" i="8" s="1"/>
  <c r="BK595" i="8"/>
  <c r="BL595" i="8"/>
  <c r="BM595" i="8" s="1"/>
  <c r="BK771" i="8"/>
  <c r="BL771" i="8"/>
  <c r="BM771" i="8" s="1"/>
  <c r="BK863" i="8"/>
  <c r="BL863" i="8"/>
  <c r="BM863" i="8" s="1"/>
  <c r="BK906" i="8"/>
  <c r="BL906" i="8"/>
  <c r="BM906" i="8" s="1"/>
  <c r="BK843" i="8"/>
  <c r="BL843" i="8"/>
  <c r="BM843" i="8" s="1"/>
  <c r="BL831" i="8"/>
  <c r="BM831" i="8" s="1"/>
  <c r="BK831" i="8"/>
  <c r="BK665" i="8"/>
  <c r="BL665" i="8"/>
  <c r="BM665" i="8" s="1"/>
  <c r="BK766" i="8"/>
  <c r="BL766" i="8"/>
  <c r="BM766" i="8" s="1"/>
  <c r="BK704" i="8"/>
  <c r="BL704" i="8"/>
  <c r="BM704" i="8" s="1"/>
  <c r="BK373" i="8"/>
  <c r="BL373" i="8"/>
  <c r="BM373" i="8" s="1"/>
  <c r="BK567" i="8"/>
  <c r="BL567" i="8"/>
  <c r="BM567" i="8" s="1"/>
  <c r="BK669" i="8"/>
  <c r="BL669" i="8"/>
  <c r="BM669" i="8" s="1"/>
  <c r="BK510" i="8"/>
  <c r="BL510" i="8"/>
  <c r="BM510" i="8" s="1"/>
  <c r="BK611" i="8"/>
  <c r="BL611" i="8"/>
  <c r="BM611" i="8" s="1"/>
  <c r="BL638" i="8"/>
  <c r="BM638" i="8" s="1"/>
  <c r="BK638" i="8"/>
  <c r="BK1032" i="8"/>
  <c r="BL1032" i="8"/>
  <c r="BM1032" i="8" s="1"/>
  <c r="BK633" i="8"/>
  <c r="BL633" i="8"/>
  <c r="BM633" i="8" s="1"/>
  <c r="BK727" i="8"/>
  <c r="BL727" i="8"/>
  <c r="BM727" i="8" s="1"/>
  <c r="BK819" i="8"/>
  <c r="BL819" i="8"/>
  <c r="BM819" i="8" s="1"/>
  <c r="BK878" i="8"/>
  <c r="BL878" i="8"/>
  <c r="BM878" i="8" s="1"/>
  <c r="BK795" i="8"/>
  <c r="BL795" i="8"/>
  <c r="BM795" i="8" s="1"/>
  <c r="BK738" i="8"/>
  <c r="BL738" i="8"/>
  <c r="BM738" i="8" s="1"/>
  <c r="BK434" i="8"/>
  <c r="BL434" i="8"/>
  <c r="BM434" i="8" s="1"/>
  <c r="BK25" i="8"/>
  <c r="BL25" i="8"/>
  <c r="BM25" i="8" s="1"/>
  <c r="BL448" i="8"/>
  <c r="BM448" i="8" s="1"/>
  <c r="BK448" i="8"/>
  <c r="BK93" i="8"/>
  <c r="BL93" i="8"/>
  <c r="BM93" i="8" s="1"/>
  <c r="BL1061" i="8"/>
  <c r="BM1061" i="8" s="1"/>
  <c r="BK1061" i="8"/>
  <c r="BK446" i="8"/>
  <c r="BL446" i="8"/>
  <c r="BM446" i="8" s="1"/>
  <c r="BL554" i="8"/>
  <c r="BM554" i="8" s="1"/>
  <c r="BK554" i="8"/>
  <c r="BK979" i="8"/>
  <c r="BL979" i="8"/>
  <c r="BM979" i="8" s="1"/>
  <c r="BK66" i="8"/>
  <c r="BL66" i="8"/>
  <c r="BM66" i="8" s="1"/>
  <c r="BK706" i="8"/>
  <c r="BL706" i="8"/>
  <c r="BM706" i="8" s="1"/>
  <c r="BK896" i="8"/>
  <c r="BL896" i="8"/>
  <c r="BM896" i="8" s="1"/>
  <c r="BK922" i="8"/>
  <c r="BL922" i="8"/>
  <c r="BM922" i="8" s="1"/>
  <c r="BK786" i="8"/>
  <c r="BL786" i="8"/>
  <c r="BM786" i="8" s="1"/>
  <c r="BL798" i="8"/>
  <c r="BM798" i="8" s="1"/>
  <c r="BK798" i="8"/>
  <c r="BK476" i="8"/>
  <c r="BL476" i="8"/>
  <c r="BM476" i="8" s="1"/>
  <c r="BK190" i="8"/>
  <c r="BL190" i="8"/>
  <c r="BM190" i="8" s="1"/>
  <c r="BK995" i="8"/>
  <c r="BL995" i="8"/>
  <c r="BM995" i="8" s="1"/>
  <c r="BK157" i="8"/>
  <c r="BL157" i="8"/>
  <c r="BM157" i="8" s="1"/>
  <c r="BL332" i="8"/>
  <c r="BM332" i="8" s="1"/>
  <c r="BK332" i="8"/>
  <c r="BK999" i="8"/>
  <c r="BL999" i="8"/>
  <c r="BM999" i="8" s="1"/>
  <c r="BL757" i="8"/>
  <c r="BM757" i="8" s="1"/>
  <c r="BK757" i="8"/>
  <c r="BL363" i="8"/>
  <c r="BM363" i="8" s="1"/>
  <c r="BK363" i="8"/>
  <c r="BK129" i="8"/>
  <c r="BL129" i="8"/>
  <c r="BM129" i="8" s="1"/>
  <c r="BK82" i="8"/>
  <c r="BL82" i="8"/>
  <c r="BM82" i="8" s="1"/>
  <c r="BK156" i="8"/>
  <c r="BL156" i="8"/>
  <c r="BM156" i="8" s="1"/>
  <c r="BK111" i="8"/>
  <c r="BL111" i="8"/>
  <c r="BM111" i="8" s="1"/>
  <c r="BL328" i="8"/>
  <c r="BM328" i="8" s="1"/>
  <c r="BK328" i="8"/>
  <c r="BK499" i="8"/>
  <c r="BL499" i="8"/>
  <c r="BM499" i="8" s="1"/>
  <c r="BK277" i="8"/>
  <c r="BL277" i="8"/>
  <c r="BM277" i="8" s="1"/>
  <c r="BL462" i="8"/>
  <c r="BM462" i="8" s="1"/>
  <c r="BK462" i="8"/>
  <c r="BL372" i="8"/>
  <c r="BM372" i="8" s="1"/>
  <c r="BK372" i="8"/>
  <c r="BK361" i="8"/>
  <c r="BL361" i="8"/>
  <c r="BM361" i="8" s="1"/>
  <c r="BL217" i="8"/>
  <c r="BM217" i="8" s="1"/>
  <c r="BK217" i="8"/>
  <c r="BK323" i="8"/>
  <c r="BL323" i="8"/>
  <c r="BM323" i="8" s="1"/>
  <c r="BK231" i="8"/>
  <c r="BL231" i="8"/>
  <c r="BM231" i="8" s="1"/>
  <c r="BK949" i="8"/>
  <c r="BL949" i="8"/>
  <c r="BM949" i="8" s="1"/>
  <c r="BK110" i="8"/>
  <c r="BL110" i="8"/>
  <c r="BM110" i="8" s="1"/>
  <c r="BK220" i="8"/>
  <c r="BL220" i="8"/>
  <c r="BM220" i="8" s="1"/>
  <c r="BK46" i="8"/>
  <c r="BL46" i="8"/>
  <c r="BM46" i="8" s="1"/>
  <c r="BK159" i="8"/>
  <c r="BL159" i="8"/>
  <c r="BM159" i="8" s="1"/>
  <c r="BK188" i="8"/>
  <c r="BL188" i="8"/>
  <c r="BM188" i="8" s="1"/>
  <c r="BK588" i="8"/>
  <c r="BL588" i="8"/>
  <c r="BM588" i="8" s="1"/>
  <c r="BK153" i="8"/>
  <c r="BL153" i="8"/>
  <c r="BM153" i="8" s="1"/>
  <c r="BK584" i="8"/>
  <c r="BL584" i="8"/>
  <c r="BM584" i="8" s="1"/>
  <c r="BK508" i="8"/>
  <c r="BL508" i="8"/>
  <c r="BM508" i="8" s="1"/>
  <c r="BK77" i="8"/>
  <c r="BL77" i="8"/>
  <c r="BM77" i="8" s="1"/>
  <c r="BK619" i="8"/>
  <c r="BL619" i="8"/>
  <c r="BM619" i="8" s="1"/>
  <c r="BL303" i="8"/>
  <c r="BM303" i="8" s="1"/>
  <c r="BK303" i="8"/>
  <c r="BK535" i="8"/>
  <c r="BL535" i="8"/>
  <c r="BM535" i="8" s="1"/>
  <c r="BK1077" i="8"/>
  <c r="BL1077" i="8"/>
  <c r="BM1077" i="8" s="1"/>
  <c r="BL479" i="8"/>
  <c r="BM479" i="8" s="1"/>
  <c r="BK479" i="8"/>
  <c r="BL355" i="8"/>
  <c r="BM355" i="8" s="1"/>
  <c r="BK355" i="8"/>
  <c r="BK824" i="8"/>
  <c r="BL824" i="8"/>
  <c r="BM824" i="8" s="1"/>
  <c r="BL733" i="8"/>
  <c r="BM733" i="8" s="1"/>
  <c r="BK733" i="8"/>
  <c r="BK959" i="8"/>
  <c r="BL959" i="8"/>
  <c r="BM959" i="8" s="1"/>
  <c r="BL264" i="8"/>
  <c r="BM264" i="8" s="1"/>
  <c r="BK264" i="8"/>
  <c r="BL113" i="8"/>
  <c r="BM113" i="8" s="1"/>
  <c r="BK113" i="8"/>
  <c r="BK743" i="8"/>
  <c r="BL743" i="8"/>
  <c r="BM743" i="8" s="1"/>
  <c r="BL726" i="8"/>
  <c r="BM726" i="8" s="1"/>
  <c r="BK726" i="8"/>
  <c r="BK768" i="8"/>
  <c r="BL768" i="8"/>
  <c r="BM768" i="8" s="1"/>
  <c r="BK752" i="8"/>
  <c r="BL752" i="8"/>
  <c r="BM752" i="8" s="1"/>
  <c r="BK955" i="8"/>
  <c r="BL955" i="8"/>
  <c r="BM955" i="8" s="1"/>
  <c r="BK120" i="8"/>
  <c r="BL120" i="8"/>
  <c r="BM120" i="8" s="1"/>
  <c r="BL853" i="8"/>
  <c r="BM853" i="8" s="1"/>
  <c r="BK853" i="8"/>
  <c r="BK1089" i="8"/>
  <c r="BL1089" i="8"/>
  <c r="BK1000" i="8"/>
  <c r="BL1000" i="8"/>
  <c r="BM1000" i="8" s="1"/>
  <c r="BK988" i="8"/>
  <c r="BL988" i="8"/>
  <c r="BM988" i="8" s="1"/>
  <c r="BK849" i="8"/>
  <c r="BL849" i="8"/>
  <c r="BM849" i="8" s="1"/>
  <c r="BK951" i="8"/>
  <c r="BL951" i="8"/>
  <c r="BM951" i="8" s="1"/>
  <c r="BK28" i="8"/>
  <c r="BL28" i="8"/>
  <c r="BM28" i="8" s="1"/>
  <c r="BK751" i="8"/>
  <c r="BL751" i="8"/>
  <c r="BM751" i="8" s="1"/>
  <c r="BK852" i="8"/>
  <c r="BL852" i="8"/>
  <c r="BM852" i="8" s="1"/>
  <c r="BK695" i="8"/>
  <c r="BL695" i="8"/>
  <c r="BM695" i="8" s="1"/>
  <c r="BK796" i="8"/>
  <c r="BL796" i="8"/>
  <c r="BM796" i="8" s="1"/>
  <c r="BL822" i="8"/>
  <c r="BM822" i="8" s="1"/>
  <c r="BK822" i="8"/>
  <c r="BK517" i="8"/>
  <c r="BL517" i="8"/>
  <c r="BM517" i="8" s="1"/>
  <c r="BK791" i="8"/>
  <c r="BL791" i="8"/>
  <c r="BM791" i="8" s="1"/>
  <c r="BK1024" i="8"/>
  <c r="BL1024" i="8"/>
  <c r="BM1024" i="8" s="1"/>
  <c r="BK859" i="8"/>
  <c r="BL859" i="8"/>
  <c r="BM859" i="8" s="1"/>
  <c r="BK453" i="8"/>
  <c r="BL453" i="8"/>
  <c r="BM453" i="8" s="1"/>
  <c r="BL265" i="8"/>
  <c r="BM265" i="8" s="1"/>
  <c r="BK265" i="8"/>
  <c r="BK548" i="8"/>
  <c r="BL548" i="8"/>
  <c r="BM548" i="8" s="1"/>
  <c r="BK542" i="8"/>
  <c r="BL542" i="8"/>
  <c r="BM542" i="8" s="1"/>
  <c r="BL36" i="8"/>
  <c r="BM36" i="8" s="1"/>
  <c r="BK36" i="8"/>
  <c r="BK166" i="8"/>
  <c r="BL166" i="8"/>
  <c r="BM166" i="8" s="1"/>
  <c r="BK1113" i="8"/>
  <c r="BL1113" i="8"/>
  <c r="BM1113" i="8" s="1"/>
  <c r="BK395" i="8"/>
  <c r="BL395" i="8"/>
  <c r="BM395" i="8" s="1"/>
  <c r="BK75" i="8"/>
  <c r="BL75" i="8"/>
  <c r="BM75" i="8" s="1"/>
  <c r="BK498" i="8"/>
  <c r="BL498" i="8"/>
  <c r="BM498" i="8" s="1"/>
  <c r="BK388" i="8"/>
  <c r="BL388" i="8"/>
  <c r="BM388" i="8" s="1"/>
  <c r="BK1080" i="8"/>
  <c r="BL1080" i="8"/>
  <c r="BK1106" i="8"/>
  <c r="BL1106" i="8"/>
  <c r="BK812" i="8"/>
  <c r="BL812" i="8"/>
  <c r="BM812" i="8" s="1"/>
  <c r="BK982" i="8"/>
  <c r="BL982" i="8"/>
  <c r="BM982" i="8" s="1"/>
  <c r="BK237" i="8"/>
  <c r="BL237" i="8"/>
  <c r="BM237" i="8" s="1"/>
  <c r="BK381" i="8"/>
  <c r="BL381" i="8"/>
  <c r="BM381" i="8" s="1"/>
  <c r="BK22" i="8"/>
  <c r="BL22" i="8"/>
  <c r="BM22" i="8" s="1"/>
  <c r="BK89" i="8"/>
  <c r="BL89" i="8"/>
  <c r="BM89" i="8" s="1"/>
  <c r="BK515" i="8"/>
  <c r="BL515" i="8"/>
  <c r="BM515" i="8" s="1"/>
  <c r="BK419" i="8"/>
  <c r="BL419" i="8"/>
  <c r="BM419" i="8" s="1"/>
  <c r="BK102" i="8"/>
  <c r="BL102" i="8"/>
  <c r="BM102" i="8" s="1"/>
  <c r="BL267" i="8"/>
  <c r="BM267" i="8" s="1"/>
  <c r="BK267" i="8"/>
  <c r="BK255" i="8"/>
  <c r="BL255" i="8"/>
  <c r="BM255" i="8" s="1"/>
  <c r="BK294" i="8"/>
  <c r="BL294" i="8"/>
  <c r="BM294" i="8" s="1"/>
  <c r="BK283" i="8"/>
  <c r="BL283" i="8"/>
  <c r="BM283" i="8" s="1"/>
  <c r="BK511" i="8"/>
  <c r="BL511" i="8"/>
  <c r="BM511" i="8" s="1"/>
  <c r="BK894" i="8"/>
  <c r="BL894" i="8"/>
  <c r="BM894" i="8" s="1"/>
  <c r="BK209" i="8"/>
  <c r="BL209" i="8"/>
  <c r="BM209" i="8" s="1"/>
  <c r="BK647" i="8"/>
  <c r="BL647" i="8"/>
  <c r="BM647" i="8" s="1"/>
  <c r="BL530" i="8"/>
  <c r="BM530" i="8" s="1"/>
  <c r="BK530" i="8"/>
  <c r="BL495" i="8"/>
  <c r="BM495" i="8" s="1"/>
  <c r="BK495" i="8"/>
  <c r="BK406" i="8"/>
  <c r="BL406" i="8"/>
  <c r="BM406" i="8" s="1"/>
  <c r="BK507" i="8"/>
  <c r="BL507" i="8"/>
  <c r="BM507" i="8" s="1"/>
  <c r="BK317" i="8"/>
  <c r="BL317" i="8"/>
  <c r="BM317" i="8" s="1"/>
  <c r="BK282" i="8"/>
  <c r="BL282" i="8"/>
  <c r="BM282" i="8" s="1"/>
  <c r="BK409" i="8"/>
  <c r="BL409" i="8"/>
  <c r="BM409" i="8" s="1"/>
  <c r="BK249" i="8"/>
  <c r="BL249" i="8"/>
  <c r="BM249" i="8" s="1"/>
  <c r="BK353" i="8"/>
  <c r="BL353" i="8"/>
  <c r="BM353" i="8" s="1"/>
  <c r="BL379" i="8"/>
  <c r="BM379" i="8" s="1"/>
  <c r="BK379" i="8"/>
  <c r="BL1093" i="8"/>
  <c r="BM1093" i="8" s="1"/>
  <c r="BK1093" i="8"/>
  <c r="BK348" i="8"/>
  <c r="BL348" i="8"/>
  <c r="BM348" i="8" s="1"/>
  <c r="BK285" i="8"/>
  <c r="BL285" i="8"/>
  <c r="BM285" i="8" s="1"/>
  <c r="BL717" i="8"/>
  <c r="BM717" i="8" s="1"/>
  <c r="BK717" i="8"/>
  <c r="BK1074" i="8"/>
  <c r="BL1074" i="8"/>
  <c r="BM1074" i="8" s="1"/>
  <c r="BK700" i="8"/>
  <c r="BL700" i="8"/>
  <c r="BM700" i="8" s="1"/>
  <c r="BK720" i="8"/>
  <c r="BL720" i="8"/>
  <c r="BM720" i="8" s="1"/>
  <c r="BK119" i="8"/>
  <c r="BL119" i="8"/>
  <c r="BM119" i="8" s="1"/>
  <c r="BK440" i="8"/>
  <c r="BL440" i="8"/>
  <c r="BM440" i="8" s="1"/>
  <c r="BL636" i="8"/>
  <c r="BM636" i="8" s="1"/>
  <c r="BK636" i="8"/>
  <c r="BL663" i="8"/>
  <c r="BM663" i="8" s="1"/>
  <c r="BK663" i="8"/>
  <c r="BL990" i="8"/>
  <c r="BM990" i="8" s="1"/>
  <c r="BK990" i="8"/>
  <c r="BK538" i="8"/>
  <c r="BL538" i="8"/>
  <c r="BM538" i="8" s="1"/>
  <c r="BK892" i="8"/>
  <c r="BL892" i="8"/>
  <c r="BM892" i="8" s="1"/>
  <c r="BK1008" i="8"/>
  <c r="BL1008" i="8"/>
  <c r="BM1008" i="8" s="1"/>
  <c r="BL114" i="8"/>
  <c r="BM114" i="8" s="1"/>
  <c r="BK114" i="8"/>
  <c r="BK74" i="8"/>
  <c r="BL74" i="8"/>
  <c r="BM74" i="8" s="1"/>
  <c r="BK15" i="8"/>
  <c r="BL15" i="8"/>
  <c r="BM15" i="8" s="1"/>
  <c r="BK718" i="8"/>
  <c r="BL718" i="8"/>
  <c r="BM718" i="8" s="1"/>
  <c r="BK895" i="8"/>
  <c r="BL895" i="8"/>
  <c r="BM895" i="8" s="1"/>
  <c r="BK884" i="8"/>
  <c r="BL884" i="8"/>
  <c r="BM884" i="8" s="1"/>
  <c r="BK921" i="8"/>
  <c r="BL921" i="8"/>
  <c r="BM921" i="8" s="1"/>
  <c r="BK910" i="8"/>
  <c r="BL910" i="8"/>
  <c r="BM910" i="8" s="1"/>
  <c r="BK47" i="8"/>
  <c r="BL47" i="8"/>
  <c r="BM47" i="8" s="1"/>
  <c r="BK546" i="8"/>
  <c r="BL546" i="8"/>
  <c r="BM546" i="8" s="1"/>
  <c r="BL212" i="8"/>
  <c r="BM212" i="8" s="1"/>
  <c r="BK212" i="8"/>
  <c r="BK168" i="8"/>
  <c r="BL168" i="8"/>
  <c r="BM168" i="8" s="1"/>
  <c r="BK69" i="8"/>
  <c r="BL69" i="8"/>
  <c r="BM69" i="8" s="1"/>
  <c r="BK1122" i="8"/>
  <c r="BL1122" i="8"/>
  <c r="BK1033" i="8"/>
  <c r="BL1033" i="8"/>
  <c r="BM1033" i="8" s="1"/>
  <c r="BK42" i="8"/>
  <c r="BL42" i="8"/>
  <c r="BM42" i="8" s="1"/>
  <c r="BL918" i="8"/>
  <c r="BM918" i="8" s="1"/>
  <c r="BK918" i="8"/>
  <c r="BK909" i="8"/>
  <c r="BL909" i="8"/>
  <c r="BM909" i="8" s="1"/>
  <c r="BK1036" i="8"/>
  <c r="BL1036" i="8"/>
  <c r="BM1036" i="8" s="1"/>
  <c r="BK879" i="8"/>
  <c r="BL879" i="8"/>
  <c r="BM879" i="8" s="1"/>
  <c r="BK980" i="8"/>
  <c r="BL980" i="8"/>
  <c r="BM980" i="8" s="1"/>
  <c r="BK1006" i="8"/>
  <c r="BL1006" i="8"/>
  <c r="BM1006" i="8" s="1"/>
  <c r="BK125" i="8"/>
  <c r="BL125" i="8"/>
  <c r="BM125" i="8" s="1"/>
  <c r="BK976" i="8"/>
  <c r="BL976" i="8"/>
  <c r="BM976" i="8" s="1"/>
  <c r="BK497" i="8"/>
  <c r="BL497" i="8"/>
  <c r="BM497" i="8" s="1"/>
  <c r="BK857" i="8"/>
  <c r="BL857" i="8"/>
  <c r="BM857" i="8" s="1"/>
  <c r="BL701" i="8"/>
  <c r="BM701" i="8" s="1"/>
  <c r="BK701" i="8"/>
  <c r="BK802" i="8"/>
  <c r="BL802" i="8"/>
  <c r="BM802" i="8" s="1"/>
  <c r="BK223" i="8"/>
  <c r="BL223" i="8"/>
  <c r="BM223" i="8" s="1"/>
  <c r="BL16" i="8"/>
  <c r="BM16" i="8" s="1"/>
  <c r="BK16" i="8"/>
  <c r="BK359" i="8"/>
  <c r="BL359" i="8"/>
  <c r="BM359" i="8" s="1"/>
  <c r="BK411" i="8"/>
  <c r="BL411" i="8"/>
  <c r="BM411" i="8" s="1"/>
  <c r="BK679" i="8"/>
  <c r="BL679" i="8"/>
  <c r="BM679" i="8" s="1"/>
  <c r="BK275" i="8"/>
  <c r="BL275" i="8"/>
  <c r="BM275" i="8" s="1"/>
  <c r="BK891" i="8"/>
  <c r="BL891" i="8"/>
  <c r="BM891" i="8" s="1"/>
  <c r="BK833" i="8"/>
  <c r="BL833" i="8"/>
  <c r="BM833" i="8" s="1"/>
  <c r="BK187" i="8"/>
  <c r="BL187" i="8"/>
  <c r="BM187" i="8" s="1"/>
  <c r="BL215" i="8"/>
  <c r="BM215" i="8" s="1"/>
  <c r="BK215" i="8"/>
  <c r="BK889" i="8"/>
  <c r="BL889" i="8"/>
  <c r="BM889" i="8" s="1"/>
  <c r="BK79" i="8"/>
  <c r="BL79" i="8"/>
  <c r="BM79" i="8" s="1"/>
  <c r="BK1103" i="8"/>
  <c r="BL1103" i="8"/>
  <c r="BM1103" i="8" s="1"/>
  <c r="BK564" i="8"/>
  <c r="BL564" i="8"/>
  <c r="BM564" i="8" s="1"/>
  <c r="BL1016" i="8"/>
  <c r="BM1016" i="8" s="1"/>
  <c r="BK1016" i="8"/>
  <c r="BK693" i="8"/>
  <c r="BL693" i="8"/>
  <c r="BM693" i="8" s="1"/>
  <c r="BK674" i="8"/>
  <c r="BL674" i="8"/>
  <c r="BM674" i="8" s="1"/>
  <c r="BK238" i="8"/>
  <c r="BL238" i="8"/>
  <c r="BM238" i="8" s="1"/>
  <c r="BK426" i="8"/>
  <c r="BL426" i="8"/>
  <c r="BM426" i="8" s="1"/>
  <c r="BK58" i="8"/>
  <c r="BL58" i="8"/>
  <c r="BM58" i="8" s="1"/>
  <c r="BK452" i="8"/>
  <c r="BL452" i="8"/>
  <c r="BM452" i="8" s="1"/>
  <c r="BK415" i="8"/>
  <c r="BL415" i="8"/>
  <c r="BM415" i="8" s="1"/>
  <c r="BK696" i="8"/>
  <c r="BL696" i="8"/>
  <c r="BM696" i="8" s="1"/>
  <c r="BK23" i="8"/>
  <c r="BL23" i="8"/>
  <c r="BM23" i="8" s="1"/>
  <c r="BK818" i="8"/>
  <c r="BL818" i="8"/>
  <c r="BM818" i="8" s="1"/>
  <c r="BK804" i="8"/>
  <c r="BL804" i="8"/>
  <c r="BM804" i="8" s="1"/>
  <c r="BL714" i="8"/>
  <c r="BM714" i="8" s="1"/>
  <c r="BK714" i="8"/>
  <c r="BK652" i="8"/>
  <c r="BL652" i="8"/>
  <c r="BM652" i="8" s="1"/>
  <c r="BK590" i="8"/>
  <c r="BL590" i="8"/>
  <c r="BM590" i="8" s="1"/>
  <c r="BK691" i="8"/>
  <c r="BL691" i="8"/>
  <c r="BM691" i="8" s="1"/>
  <c r="BK451" i="8"/>
  <c r="BL451" i="8"/>
  <c r="BM451" i="8" s="1"/>
  <c r="BK397" i="8"/>
  <c r="BL397" i="8"/>
  <c r="BM397" i="8" s="1"/>
  <c r="BK594" i="8"/>
  <c r="BL594" i="8"/>
  <c r="BM594" i="8" s="1"/>
  <c r="BK435" i="8"/>
  <c r="BL435" i="8"/>
  <c r="BM435" i="8" s="1"/>
  <c r="BK536" i="8"/>
  <c r="BL536" i="8"/>
  <c r="BM536" i="8" s="1"/>
  <c r="BK562" i="8"/>
  <c r="BL562" i="8"/>
  <c r="BM562" i="8" s="1"/>
  <c r="BK467" i="8"/>
  <c r="BL467" i="8"/>
  <c r="BM467" i="8" s="1"/>
  <c r="BK532" i="8"/>
  <c r="BL532" i="8"/>
  <c r="BM532" i="8" s="1"/>
  <c r="BK926" i="8"/>
  <c r="BL926" i="8"/>
  <c r="BM926" i="8" s="1"/>
  <c r="BK589" i="8"/>
  <c r="BL589" i="8"/>
  <c r="BM589" i="8" s="1"/>
  <c r="BK197" i="8"/>
  <c r="BL197" i="8"/>
  <c r="BM197" i="8" s="1"/>
  <c r="BK986" i="8"/>
  <c r="BL986" i="8"/>
  <c r="BM986" i="8" s="1"/>
  <c r="BL83" i="8"/>
  <c r="BM83" i="8" s="1"/>
  <c r="BK83" i="8"/>
  <c r="BK60" i="8"/>
  <c r="BL60" i="8"/>
  <c r="BM60" i="8" s="1"/>
  <c r="BK904" i="8"/>
  <c r="BL904" i="8"/>
  <c r="BM904" i="8" s="1"/>
  <c r="BK528" i="8"/>
  <c r="BL528" i="8"/>
  <c r="BM528" i="8" s="1"/>
  <c r="BK502" i="8"/>
  <c r="BL502" i="8"/>
  <c r="BM502" i="8" s="1"/>
  <c r="BL821" i="8"/>
  <c r="BM821" i="8" s="1"/>
  <c r="BK821" i="8"/>
  <c r="BK847" i="8"/>
  <c r="BL847" i="8"/>
  <c r="BM847" i="8" s="1"/>
  <c r="BK203" i="8"/>
  <c r="BL203" i="8"/>
  <c r="BM203" i="8" s="1"/>
  <c r="BK723" i="8"/>
  <c r="BL723" i="8"/>
  <c r="BM723" i="8" s="1"/>
  <c r="BK107" i="8"/>
  <c r="BL107" i="8"/>
  <c r="BM107" i="8" s="1"/>
  <c r="BL654" i="8"/>
  <c r="BM654" i="8" s="1"/>
  <c r="BK654" i="8"/>
  <c r="BL210" i="8"/>
  <c r="BM210" i="8" s="1"/>
  <c r="BK210" i="8"/>
  <c r="BK198" i="8"/>
  <c r="BL198" i="8"/>
  <c r="BM198" i="8" s="1"/>
  <c r="BK869" i="8"/>
  <c r="BL869" i="8"/>
  <c r="BM869" i="8" s="1"/>
  <c r="BK1053" i="8"/>
  <c r="BL1053" i="8"/>
  <c r="BM1053" i="8" s="1"/>
  <c r="BK1079" i="8"/>
  <c r="BL1079" i="8"/>
  <c r="BK1042" i="8"/>
  <c r="BL1042" i="8"/>
  <c r="BM1042" i="8" s="1"/>
  <c r="BK250" i="8"/>
  <c r="BL250" i="8"/>
  <c r="BM250" i="8" s="1"/>
  <c r="BK370" i="8"/>
  <c r="BL370" i="8"/>
  <c r="BM370" i="8" s="1"/>
  <c r="BK346" i="8"/>
  <c r="BL346" i="8"/>
  <c r="BM346" i="8" s="1"/>
  <c r="BK335" i="8"/>
  <c r="BL335" i="8"/>
  <c r="BM335" i="8" s="1"/>
  <c r="BK270" i="8"/>
  <c r="BL270" i="8"/>
  <c r="BM270" i="8" s="1"/>
  <c r="BK174" i="8"/>
  <c r="BL174" i="8"/>
  <c r="BM174" i="8" s="1"/>
  <c r="BL135" i="8"/>
  <c r="BM135" i="8" s="1"/>
  <c r="BK135" i="8"/>
  <c r="BK246" i="8"/>
  <c r="BL246" i="8"/>
  <c r="BM246" i="8" s="1"/>
  <c r="BK1078" i="8"/>
  <c r="BL1078" i="8"/>
  <c r="BM1078" i="8" s="1"/>
  <c r="BK973" i="8"/>
  <c r="BL973" i="8"/>
  <c r="BM973" i="8" s="1"/>
  <c r="BL139" i="8"/>
  <c r="BM139" i="8" s="1"/>
  <c r="BK139" i="8"/>
  <c r="BL1062" i="8"/>
  <c r="BM1062" i="8" s="1"/>
  <c r="BK1062" i="8"/>
  <c r="BK76" i="8"/>
  <c r="BL76" i="8"/>
  <c r="BM76" i="8" s="1"/>
  <c r="BK105" i="8"/>
  <c r="BL105" i="8"/>
  <c r="BM105" i="8" s="1"/>
  <c r="BK1068" i="8"/>
  <c r="BL1068" i="8"/>
  <c r="BM1068" i="8" s="1"/>
  <c r="BK71" i="8"/>
  <c r="BL71" i="8"/>
  <c r="BM71" i="8" s="1"/>
  <c r="BL806" i="8"/>
  <c r="BM806" i="8" s="1"/>
  <c r="BK806" i="8"/>
  <c r="BK543" i="8"/>
  <c r="BL543" i="8"/>
  <c r="BM543" i="8" s="1"/>
  <c r="BK460" i="8"/>
  <c r="BL460" i="8"/>
  <c r="BM460" i="8" s="1"/>
  <c r="BK176" i="8"/>
  <c r="BL176" i="8"/>
  <c r="BM176" i="8" s="1"/>
  <c r="BK915" i="8"/>
  <c r="BL915" i="8"/>
  <c r="BM915" i="8" s="1"/>
  <c r="BK378" i="8"/>
  <c r="BL378" i="8"/>
  <c r="BM378" i="8" s="1"/>
  <c r="BL404" i="8"/>
  <c r="BM404" i="8" s="1"/>
  <c r="BK404" i="8"/>
  <c r="BK1049" i="8"/>
  <c r="BL1049" i="8"/>
  <c r="BM1049" i="8" s="1"/>
  <c r="BL109" i="8"/>
  <c r="BM109" i="8" s="1"/>
  <c r="BK109" i="8"/>
  <c r="BL279" i="8"/>
  <c r="BM279" i="8" s="1"/>
  <c r="BK279" i="8"/>
  <c r="BL749" i="8"/>
  <c r="BM749" i="8" s="1"/>
  <c r="BK749" i="8"/>
  <c r="BK336" i="8"/>
  <c r="BL336" i="8"/>
  <c r="BM336" i="8" s="1"/>
  <c r="BK842" i="8"/>
  <c r="BL842" i="8"/>
  <c r="BM842" i="8" s="1"/>
  <c r="BK832" i="8"/>
  <c r="BL832" i="8"/>
  <c r="BM832" i="8" s="1"/>
  <c r="BL400" i="8"/>
  <c r="BM400" i="8" s="1"/>
  <c r="BK400" i="8"/>
  <c r="BK609" i="8"/>
  <c r="BL609" i="8"/>
  <c r="BM609" i="8" s="1"/>
  <c r="BL635" i="8"/>
  <c r="BM635" i="8" s="1"/>
  <c r="BK635" i="8"/>
  <c r="BK574" i="8"/>
  <c r="BL574" i="8"/>
  <c r="BM574" i="8" s="1"/>
  <c r="BK880" i="8"/>
  <c r="BL880" i="8"/>
  <c r="BM880" i="8" s="1"/>
  <c r="BK974" i="8"/>
  <c r="BL974" i="8"/>
  <c r="BM974" i="8" s="1"/>
  <c r="BK962" i="8"/>
  <c r="BL962" i="8"/>
  <c r="BM962" i="8" s="1"/>
  <c r="BK898" i="8"/>
  <c r="BL898" i="8"/>
  <c r="BM898" i="8" s="1"/>
  <c r="BK810" i="8"/>
  <c r="BL810" i="8"/>
  <c r="BM810" i="8" s="1"/>
  <c r="BL774" i="8"/>
  <c r="BM774" i="8" s="1"/>
  <c r="BK774" i="8"/>
  <c r="BK875" i="8"/>
  <c r="BL875" i="8"/>
  <c r="BM875" i="8" s="1"/>
  <c r="BL608" i="8"/>
  <c r="BM608" i="8" s="1"/>
  <c r="BK608" i="8"/>
  <c r="BK52" i="8"/>
  <c r="BL52" i="8"/>
  <c r="BM52" i="8" s="1"/>
  <c r="BK777" i="8"/>
  <c r="BL777" i="8"/>
  <c r="BM777" i="8" s="1"/>
  <c r="BK421" i="8"/>
  <c r="BL421" i="8"/>
  <c r="BM421" i="8" s="1"/>
  <c r="BK620" i="8"/>
  <c r="BL620" i="8"/>
  <c r="BM620" i="8" s="1"/>
  <c r="BK721" i="8"/>
  <c r="BL721" i="8"/>
  <c r="BM721" i="8" s="1"/>
  <c r="BK747" i="8"/>
  <c r="BL747" i="8"/>
  <c r="BM747" i="8" s="1"/>
  <c r="BK607" i="8"/>
  <c r="BL607" i="8"/>
  <c r="BM607" i="8" s="1"/>
  <c r="BK716" i="8"/>
  <c r="BL716" i="8"/>
  <c r="BM716" i="8" s="1"/>
  <c r="BK393" i="8"/>
  <c r="BL393" i="8"/>
  <c r="BM393" i="8" s="1"/>
  <c r="BK769" i="8"/>
  <c r="BL769" i="8"/>
  <c r="BM769" i="8" s="1"/>
  <c r="BL941" i="8"/>
  <c r="BM941" i="8" s="1"/>
  <c r="BK941" i="8"/>
  <c r="BK32" i="8"/>
  <c r="BL32" i="8"/>
  <c r="BM32" i="8" s="1"/>
  <c r="BK18" i="8"/>
  <c r="BL18" i="8"/>
  <c r="BM18" i="8" s="1"/>
  <c r="BK390" i="8"/>
  <c r="BL390" i="8"/>
  <c r="BM390" i="8" s="1"/>
  <c r="BK705" i="8"/>
  <c r="BL705" i="8"/>
  <c r="BM705" i="8" s="1"/>
  <c r="BK1087" i="8"/>
  <c r="BL1087" i="8"/>
  <c r="BK551" i="8"/>
  <c r="BL551" i="8"/>
  <c r="BM551" i="8" s="1"/>
  <c r="BK682" i="8"/>
  <c r="BL682" i="8"/>
  <c r="BM682" i="8" s="1"/>
  <c r="BK1005" i="8"/>
  <c r="BL1005" i="8"/>
  <c r="BM1005" i="8" s="1"/>
  <c r="BK1031" i="8"/>
  <c r="BL1031" i="8"/>
  <c r="BM1031" i="8" s="1"/>
  <c r="BK937" i="8"/>
  <c r="BL937" i="8"/>
  <c r="BM937" i="8" s="1"/>
  <c r="BL685" i="8"/>
  <c r="BM685" i="8" s="1"/>
  <c r="BK685" i="8"/>
  <c r="BK907" i="8"/>
  <c r="BL907" i="8"/>
  <c r="BM907" i="8" s="1"/>
  <c r="BK133" i="8"/>
  <c r="BL133" i="8"/>
  <c r="BM133" i="8" s="1"/>
  <c r="BK306" i="8"/>
  <c r="BL306" i="8"/>
  <c r="BM306" i="8" s="1"/>
  <c r="BK813" i="8"/>
  <c r="BL813" i="8"/>
  <c r="BM813" i="8" s="1"/>
  <c r="BL374" i="8"/>
  <c r="BM374" i="8" s="1"/>
  <c r="BK374" i="8"/>
  <c r="BK337" i="8"/>
  <c r="BL337" i="8"/>
  <c r="BM337" i="8" s="1"/>
  <c r="BK1027" i="8"/>
  <c r="BL1027" i="8"/>
  <c r="BM1027" i="8" s="1"/>
  <c r="BK155" i="8"/>
  <c r="BL155" i="8"/>
  <c r="BM155" i="8" s="1"/>
  <c r="BK186" i="8"/>
  <c r="BL186" i="8"/>
  <c r="BM186" i="8" s="1"/>
  <c r="BL88" i="8"/>
  <c r="BM88" i="8" s="1"/>
  <c r="BK88" i="8"/>
  <c r="BK253" i="8"/>
  <c r="BL253" i="8"/>
  <c r="BM253" i="8" s="1"/>
  <c r="BK436" i="8"/>
  <c r="BL436" i="8"/>
  <c r="BM436" i="8" s="1"/>
  <c r="BL504" i="8"/>
  <c r="BM504" i="8" s="1"/>
  <c r="BK504" i="8"/>
  <c r="BK468" i="8"/>
  <c r="BL468" i="8"/>
  <c r="BM468" i="8" s="1"/>
  <c r="BL455" i="8"/>
  <c r="BM455" i="8" s="1"/>
  <c r="BK455" i="8"/>
  <c r="BK344" i="8"/>
  <c r="BL344" i="8"/>
  <c r="BM344" i="8" s="1"/>
  <c r="BL331" i="8"/>
  <c r="BM331" i="8" s="1"/>
  <c r="BK331" i="8"/>
  <c r="BK432" i="8"/>
  <c r="BL432" i="8"/>
  <c r="BM432" i="8" s="1"/>
  <c r="BK154" i="8"/>
  <c r="BL154" i="8"/>
  <c r="BM154" i="8" s="1"/>
  <c r="BK342" i="8"/>
  <c r="BL342" i="8"/>
  <c r="BM342" i="8" s="1"/>
  <c r="BK308" i="8"/>
  <c r="BL308" i="8"/>
  <c r="BM308" i="8" s="1"/>
  <c r="BK997" i="8"/>
  <c r="BL997" i="8"/>
  <c r="BM997" i="8" s="1"/>
  <c r="BK167" i="8"/>
  <c r="BL167" i="8"/>
  <c r="BM167" i="8" s="1"/>
  <c r="BK276" i="8"/>
  <c r="BL276" i="8"/>
  <c r="BM276" i="8" s="1"/>
  <c r="BL304" i="8"/>
  <c r="BM304" i="8" s="1"/>
  <c r="BK304" i="8"/>
  <c r="BK493" i="8"/>
  <c r="BL493" i="8"/>
  <c r="BM493" i="8" s="1"/>
  <c r="BK124" i="8"/>
  <c r="BL124" i="8"/>
  <c r="BM124" i="8" s="1"/>
  <c r="BK272" i="8"/>
  <c r="BL272" i="8"/>
  <c r="BM272" i="8" s="1"/>
  <c r="BL814" i="8"/>
  <c r="BM814" i="8" s="1"/>
  <c r="BK814" i="8"/>
  <c r="BK660" i="8"/>
  <c r="BL660" i="8"/>
  <c r="BM660" i="8" s="1"/>
  <c r="BK416" i="8"/>
  <c r="BL416" i="8"/>
  <c r="BM416" i="8" s="1"/>
  <c r="BL686" i="8"/>
  <c r="BM686" i="8" s="1"/>
  <c r="BK686" i="8"/>
  <c r="BK681" i="8"/>
  <c r="BL681" i="8"/>
  <c r="BM681" i="8" s="1"/>
  <c r="BL463" i="8"/>
  <c r="BM463" i="8" s="1"/>
  <c r="BK463" i="8"/>
  <c r="BL709" i="8"/>
  <c r="BM709" i="8" s="1"/>
  <c r="BK709" i="8"/>
  <c r="BK933" i="8"/>
  <c r="BL933" i="8"/>
  <c r="BM933" i="8" s="1"/>
  <c r="BK1001" i="8"/>
  <c r="BL1001" i="8"/>
  <c r="BM1001" i="8" s="1"/>
  <c r="BK964" i="8"/>
  <c r="BL964" i="8"/>
  <c r="BM964" i="8" s="1"/>
  <c r="BK583" i="8"/>
  <c r="BL583" i="8"/>
  <c r="BM583" i="8" s="1"/>
  <c r="BK794" i="8"/>
  <c r="BL794" i="8"/>
  <c r="BM794" i="8" s="1"/>
  <c r="BK820" i="8"/>
  <c r="BL820" i="8"/>
  <c r="BM820" i="8" s="1"/>
  <c r="BK1075" i="8"/>
  <c r="BL1075" i="8"/>
  <c r="BL829" i="8"/>
  <c r="BM829" i="8" s="1"/>
  <c r="BK829" i="8"/>
  <c r="BK1063" i="8"/>
  <c r="BL1063" i="8"/>
  <c r="BM1063" i="8" s="1"/>
  <c r="BK34" i="8"/>
  <c r="BL34" i="8"/>
  <c r="BM34" i="8" s="1"/>
  <c r="BK1096" i="8"/>
  <c r="BL1096" i="8"/>
  <c r="BK1082" i="8"/>
  <c r="BL1082" i="8"/>
  <c r="BM1082" i="8" s="1"/>
  <c r="BK971" i="8"/>
  <c r="BL971" i="8"/>
  <c r="BM971" i="8" s="1"/>
  <c r="BK958" i="8"/>
  <c r="BL958" i="8"/>
  <c r="BM958" i="8" s="1"/>
  <c r="BK1059" i="8"/>
  <c r="BL1059" i="8"/>
  <c r="BM1059" i="8" s="1"/>
  <c r="BL792" i="8"/>
  <c r="BM792" i="8" s="1"/>
  <c r="BK792" i="8"/>
  <c r="BK943" i="8"/>
  <c r="BL943" i="8"/>
  <c r="BM943" i="8" s="1"/>
  <c r="BK935" i="8"/>
  <c r="BL935" i="8"/>
  <c r="BM935" i="8" s="1"/>
  <c r="BK29" i="8"/>
  <c r="BL29" i="8"/>
  <c r="BM29" i="8" s="1"/>
  <c r="BK803" i="8"/>
  <c r="BL803" i="8"/>
  <c r="BM803" i="8" s="1"/>
  <c r="BK905" i="8"/>
  <c r="BL905" i="8"/>
  <c r="BM905" i="8" s="1"/>
  <c r="BK931" i="8"/>
  <c r="BL931" i="8"/>
  <c r="BM931" i="8" s="1"/>
  <c r="BK1069" i="8"/>
  <c r="BL1069" i="8"/>
  <c r="BM1069" i="8" s="1"/>
  <c r="BK765" i="8"/>
  <c r="BL765" i="8"/>
  <c r="BM765" i="8" s="1"/>
  <c r="BK900" i="8"/>
  <c r="BL900" i="8"/>
  <c r="BM900" i="8" s="1"/>
  <c r="BL544" i="8"/>
  <c r="BM544" i="8" s="1"/>
  <c r="BK544" i="8"/>
  <c r="BK745" i="8"/>
  <c r="BL745" i="8"/>
  <c r="BM745" i="8" s="1"/>
  <c r="BK289" i="8"/>
  <c r="BL289" i="8"/>
  <c r="BM289" i="8" s="1"/>
  <c r="BK516" i="8"/>
  <c r="BL516" i="8"/>
  <c r="BM516" i="8" s="1"/>
  <c r="BK645" i="8"/>
  <c r="BL645" i="8"/>
  <c r="BM645" i="8" s="1"/>
  <c r="BK41" i="8"/>
  <c r="BL41" i="8"/>
  <c r="BM41" i="8" s="1"/>
  <c r="BL211" i="8"/>
  <c r="BM211" i="8" s="1"/>
  <c r="BK211" i="8"/>
  <c r="BK171" i="8"/>
  <c r="BL171" i="8"/>
  <c r="BM171" i="8" s="1"/>
  <c r="BL710" i="8"/>
  <c r="BM710" i="8" s="1"/>
  <c r="BK710" i="8"/>
  <c r="BK731" i="8"/>
  <c r="BL731" i="8"/>
  <c r="BM731" i="8" s="1"/>
  <c r="BL37" i="8"/>
  <c r="BM37" i="8" s="1"/>
  <c r="BK37" i="8"/>
  <c r="BK194" i="8"/>
  <c r="BL194" i="8"/>
  <c r="BM194" i="8" s="1"/>
  <c r="BK930" i="8"/>
  <c r="BL930" i="8"/>
  <c r="BM930" i="8" s="1"/>
  <c r="BK1128" i="8"/>
  <c r="BL1128" i="8"/>
  <c r="BM1128" i="8" s="1"/>
  <c r="BK746" i="8"/>
  <c r="BL746" i="8"/>
  <c r="BM746" i="8" s="1"/>
  <c r="BK132" i="8"/>
  <c r="BL132" i="8"/>
  <c r="BM132" i="8" s="1"/>
  <c r="BL31" i="8"/>
  <c r="BM31" i="8" s="1"/>
  <c r="BK31" i="8"/>
  <c r="BK1090" i="8"/>
  <c r="BL1090" i="8"/>
  <c r="BM1090" i="8" s="1"/>
  <c r="BK65" i="8"/>
  <c r="BL65" i="8"/>
  <c r="BM65" i="8" s="1"/>
  <c r="BK489" i="8"/>
  <c r="BL489" i="8"/>
  <c r="BM489" i="8" s="1"/>
  <c r="BK557" i="8"/>
  <c r="BL557" i="8"/>
  <c r="BM557" i="8" s="1"/>
  <c r="BL496" i="8"/>
  <c r="BM496" i="8" s="1"/>
  <c r="BK496" i="8"/>
  <c r="BK127" i="8"/>
  <c r="BL127" i="8"/>
  <c r="BM127" i="8" s="1"/>
  <c r="BK351" i="8"/>
  <c r="BL351" i="8"/>
  <c r="BM351" i="8" s="1"/>
  <c r="BL377" i="8"/>
  <c r="BM377" i="8" s="1"/>
  <c r="BK377" i="8"/>
  <c r="BL185" i="8"/>
  <c r="BM185" i="8" s="1"/>
  <c r="BK185" i="8"/>
  <c r="BK621" i="8"/>
  <c r="BL621" i="8"/>
  <c r="BM621" i="8" s="1"/>
  <c r="BK688" i="8"/>
  <c r="BL688" i="8"/>
  <c r="BM688" i="8" s="1"/>
  <c r="BK626" i="8"/>
  <c r="BL626" i="8"/>
  <c r="BM626" i="8" s="1"/>
  <c r="BK639" i="8"/>
  <c r="BL639" i="8"/>
  <c r="BM639" i="8" s="1"/>
  <c r="BK707" i="8"/>
  <c r="BL707" i="8"/>
  <c r="BM707" i="8" s="1"/>
  <c r="BK325" i="8"/>
  <c r="BL325" i="8"/>
  <c r="BM325" i="8" s="1"/>
  <c r="BK514" i="8"/>
  <c r="BL514" i="8"/>
  <c r="BM514" i="8" s="1"/>
  <c r="BL616" i="8"/>
  <c r="BM616" i="8" s="1"/>
  <c r="BK616" i="8"/>
  <c r="BK350" i="8"/>
  <c r="BL350" i="8"/>
  <c r="BM350" i="8" s="1"/>
  <c r="BK477" i="8"/>
  <c r="BL477" i="8"/>
  <c r="BM477" i="8" s="1"/>
  <c r="BK465" i="8"/>
  <c r="BL465" i="8"/>
  <c r="BM465" i="8" s="1"/>
  <c r="BL367" i="8"/>
  <c r="BM367" i="8" s="1"/>
  <c r="BK367" i="8"/>
  <c r="BL334" i="8"/>
  <c r="BM334" i="8" s="1"/>
  <c r="BK334" i="8"/>
  <c r="BL461" i="8"/>
  <c r="BM461" i="8" s="1"/>
  <c r="BK461" i="8"/>
  <c r="BK101" i="8"/>
  <c r="BL101" i="8"/>
  <c r="BM101" i="8" s="1"/>
  <c r="BK322" i="8"/>
  <c r="BL322" i="8"/>
  <c r="BM322" i="8" s="1"/>
  <c r="BK457" i="8"/>
  <c r="BL457" i="8"/>
  <c r="BM457" i="8" s="1"/>
  <c r="BL512" i="8"/>
  <c r="BM512" i="8" s="1"/>
  <c r="BK512" i="8"/>
  <c r="BK953" i="8"/>
  <c r="BL953" i="8"/>
  <c r="BM953" i="8" s="1"/>
  <c r="BK675" i="8"/>
  <c r="BL675" i="8"/>
  <c r="BM675" i="8" s="1"/>
  <c r="BK587" i="8"/>
  <c r="BL587" i="8"/>
  <c r="BM587" i="8" s="1"/>
  <c r="BK844" i="8"/>
  <c r="BL844" i="8"/>
  <c r="BM844" i="8" s="1"/>
  <c r="BK369" i="8"/>
  <c r="BL369" i="8"/>
  <c r="BM369" i="8" s="1"/>
  <c r="BK671" i="8"/>
  <c r="BL671" i="8"/>
  <c r="BM671" i="8" s="1"/>
  <c r="BK51" i="8"/>
  <c r="BL51" i="8"/>
  <c r="BM51" i="8" s="1"/>
  <c r="BK486" i="8"/>
  <c r="BL486" i="8"/>
  <c r="BM486" i="8" s="1"/>
  <c r="BK772" i="8"/>
  <c r="BL772" i="8"/>
  <c r="BM772" i="8" s="1"/>
  <c r="BK643" i="8"/>
  <c r="BL643" i="8"/>
  <c r="BM643" i="8" s="1"/>
  <c r="BK622" i="8"/>
  <c r="BL622" i="8"/>
  <c r="BM622" i="8" s="1"/>
  <c r="BK45" i="8"/>
  <c r="BL45" i="8"/>
  <c r="BM45" i="8" s="1"/>
  <c r="BK1116" i="8"/>
  <c r="BL1116" i="8"/>
  <c r="BM1116" i="8" s="1"/>
  <c r="BK98" i="8"/>
  <c r="BL98" i="8"/>
  <c r="BM98" i="8" s="1"/>
  <c r="BK1123" i="8"/>
  <c r="BL1123" i="8"/>
  <c r="BM1123" i="8" s="1"/>
  <c r="BK767" i="8"/>
  <c r="BL767" i="8"/>
  <c r="BM767" i="8" s="1"/>
  <c r="BK978" i="8"/>
  <c r="BL978" i="8"/>
  <c r="BM978" i="8" s="1"/>
  <c r="BK1004" i="8"/>
  <c r="BL1004" i="8"/>
  <c r="BM1004" i="8" s="1"/>
  <c r="BL184" i="8"/>
  <c r="BM184" i="8" s="1"/>
  <c r="BK184" i="8"/>
  <c r="BL140" i="8"/>
  <c r="BM140" i="8" s="1"/>
  <c r="BK140" i="8"/>
  <c r="BK242" i="8"/>
  <c r="BL242" i="8"/>
  <c r="BM242" i="8" s="1"/>
  <c r="BK145" i="8"/>
  <c r="BL145" i="8"/>
  <c r="BM145" i="8" s="1"/>
  <c r="BK189" i="8"/>
  <c r="BL189" i="8"/>
  <c r="BM189" i="8" s="1"/>
  <c r="BK343" i="8"/>
  <c r="BL343" i="8"/>
  <c r="BM343" i="8" s="1"/>
  <c r="BK901" i="8"/>
  <c r="BL901" i="8"/>
  <c r="BM901" i="8" s="1"/>
  <c r="BK50" i="8"/>
  <c r="BL50" i="8"/>
  <c r="BM50" i="8" s="1"/>
  <c r="BK164" i="8"/>
  <c r="BL164" i="8"/>
  <c r="BM164" i="8" s="1"/>
  <c r="BK977" i="8"/>
  <c r="BL977" i="8"/>
  <c r="BM977" i="8" s="1"/>
  <c r="BK1104" i="8"/>
  <c r="BL1104" i="8"/>
  <c r="BL968" i="8"/>
  <c r="BM968" i="8" s="1"/>
  <c r="BK968" i="8"/>
  <c r="BK961" i="8"/>
  <c r="BL961" i="8"/>
  <c r="BM961" i="8" s="1"/>
  <c r="BK1088" i="8"/>
  <c r="BL1088" i="8"/>
  <c r="BM1088" i="8" s="1"/>
  <c r="BK442" i="8"/>
  <c r="BL442" i="8"/>
  <c r="BM442" i="8" s="1"/>
  <c r="BK950" i="8"/>
  <c r="BL950" i="8"/>
  <c r="BM950" i="8" s="1"/>
  <c r="BK1084" i="8"/>
  <c r="BL1084" i="8"/>
  <c r="BM1084" i="8" s="1"/>
  <c r="BK984" i="8"/>
  <c r="BL984" i="8"/>
  <c r="BM984" i="8" s="1"/>
  <c r="BK549" i="8"/>
  <c r="BL549" i="8"/>
  <c r="BM549" i="8" s="1"/>
  <c r="BK561" i="8"/>
  <c r="BL561" i="8"/>
  <c r="BM561" i="8" s="1"/>
  <c r="BK808" i="8"/>
  <c r="BL808" i="8"/>
  <c r="BM808" i="8" s="1"/>
  <c r="BK828" i="8"/>
  <c r="BL828" i="8"/>
  <c r="BM828" i="8" s="1"/>
  <c r="BK401" i="8"/>
  <c r="BL401" i="8"/>
  <c r="BM401" i="8" s="1"/>
  <c r="BK338" i="8"/>
  <c r="BL338" i="8"/>
  <c r="BM338" i="8" s="1"/>
  <c r="BK385" i="8"/>
  <c r="BL385" i="8"/>
  <c r="BM385" i="8" s="1"/>
  <c r="BL840" i="8"/>
  <c r="BM840" i="8" s="1"/>
  <c r="BK840" i="8"/>
  <c r="BK570" i="8"/>
  <c r="BL570" i="8"/>
  <c r="BM570" i="8" s="1"/>
  <c r="BL329" i="8"/>
  <c r="BM329" i="8" s="1"/>
  <c r="BK329" i="8"/>
  <c r="BK152" i="8"/>
  <c r="BL152" i="8"/>
  <c r="BM152" i="8" s="1"/>
  <c r="BL141" i="8"/>
  <c r="BM141" i="8" s="1"/>
  <c r="BK141" i="8"/>
  <c r="BK668" i="8"/>
  <c r="BL668" i="8"/>
  <c r="BM668" i="8" s="1"/>
  <c r="BK648" i="8"/>
  <c r="BL648" i="8"/>
  <c r="BM648" i="8" s="1"/>
  <c r="BK741" i="8"/>
  <c r="BL741" i="8"/>
  <c r="BM741" i="8" s="1"/>
  <c r="BL653" i="8"/>
  <c r="BM653" i="8" s="1"/>
  <c r="BK653" i="8"/>
  <c r="BK324" i="8"/>
  <c r="BL324" i="8"/>
  <c r="BM324" i="8" s="1"/>
  <c r="BK534" i="8"/>
  <c r="BL534" i="8"/>
  <c r="BM534" i="8" s="1"/>
  <c r="BK560" i="8"/>
  <c r="BL560" i="8"/>
  <c r="BM560" i="8" s="1"/>
  <c r="BK793" i="8"/>
  <c r="BL793" i="8"/>
  <c r="BM793" i="8" s="1"/>
  <c r="BK778" i="8"/>
  <c r="BL778" i="8"/>
  <c r="BM778" i="8" s="1"/>
  <c r="BK872" i="8"/>
  <c r="BL872" i="8"/>
  <c r="BM872" i="8" s="1"/>
  <c r="BK784" i="8"/>
  <c r="BL784" i="8"/>
  <c r="BM784" i="8" s="1"/>
  <c r="BK823" i="8"/>
  <c r="BL823" i="8"/>
  <c r="BM823" i="8" s="1"/>
  <c r="BK1095" i="8"/>
  <c r="BL1095" i="8"/>
  <c r="BM1095" i="8" s="1"/>
  <c r="BK257" i="8"/>
  <c r="BL257" i="8"/>
  <c r="BM257" i="8" s="1"/>
  <c r="BK699" i="8"/>
  <c r="BL699" i="8"/>
  <c r="BM699" i="8" s="1"/>
  <c r="BK800" i="8"/>
  <c r="BL800" i="8"/>
  <c r="BM800" i="8" s="1"/>
  <c r="BK533" i="8"/>
  <c r="BL533" i="8"/>
  <c r="BM533" i="8" s="1"/>
  <c r="BK634" i="8"/>
  <c r="BL634" i="8"/>
  <c r="BM634" i="8" s="1"/>
  <c r="BK503" i="8"/>
  <c r="BL503" i="8"/>
  <c r="BM503" i="8" s="1"/>
  <c r="BK491" i="8"/>
  <c r="BL491" i="8"/>
  <c r="BM491" i="8" s="1"/>
  <c r="BK445" i="8"/>
  <c r="BL445" i="8"/>
  <c r="BM445" i="8" s="1"/>
  <c r="BK646" i="8"/>
  <c r="BL646" i="8"/>
  <c r="BM646" i="8" s="1"/>
  <c r="BK469" i="8"/>
  <c r="BL469" i="8"/>
  <c r="BM469" i="8" s="1"/>
  <c r="BK1043" i="8"/>
  <c r="BL1043" i="8"/>
  <c r="BM1043" i="8" s="1"/>
  <c r="BK506" i="8"/>
  <c r="BL506" i="8"/>
  <c r="BM506" i="8" s="1"/>
  <c r="BK641" i="8"/>
  <c r="BL641" i="8"/>
  <c r="BM641" i="8" s="1"/>
  <c r="BK690" i="8"/>
  <c r="BL690" i="8"/>
  <c r="BM690" i="8" s="1"/>
  <c r="BK509" i="8"/>
  <c r="BL509" i="8"/>
  <c r="BM509" i="8" s="1"/>
  <c r="BK228" i="8"/>
  <c r="BL228" i="8"/>
  <c r="BM228" i="8" s="1"/>
  <c r="BK604" i="8"/>
  <c r="BL604" i="8"/>
  <c r="BM604" i="8" s="1"/>
  <c r="BK104" i="8"/>
  <c r="BL104" i="8"/>
  <c r="BM104" i="8" s="1"/>
  <c r="BL577" i="8"/>
  <c r="BM577" i="8" s="1"/>
  <c r="BK577" i="8"/>
  <c r="BK613" i="8"/>
  <c r="BL613" i="8"/>
  <c r="BM613" i="8" s="1"/>
  <c r="BK972" i="8"/>
  <c r="BL972" i="8"/>
  <c r="BM972" i="8" s="1"/>
  <c r="BK40" i="8"/>
  <c r="BL40" i="8"/>
  <c r="BM40" i="8" s="1"/>
  <c r="BL855" i="8"/>
  <c r="BM855" i="8" s="1"/>
  <c r="BK855" i="8"/>
  <c r="BK14" i="8"/>
  <c r="BK1028" i="8"/>
  <c r="BL1028" i="8"/>
  <c r="BM1028" i="8" s="1"/>
  <c r="BL965" i="8"/>
  <c r="BM965" i="8" s="1"/>
  <c r="BK965" i="8"/>
  <c r="BK261" i="8"/>
  <c r="BL261" i="8"/>
  <c r="BM261" i="8" s="1"/>
  <c r="BK221" i="8"/>
  <c r="BL221" i="8"/>
  <c r="BM221" i="8" s="1"/>
  <c r="BK1012" i="8"/>
  <c r="BL1012" i="8"/>
  <c r="BM1012" i="8" s="1"/>
  <c r="BL1038" i="8"/>
  <c r="BM1038" i="8" s="1"/>
  <c r="BK1038" i="8"/>
  <c r="BK148" i="8"/>
  <c r="BL148" i="8"/>
  <c r="BM148" i="8" s="1"/>
  <c r="BK1020" i="8"/>
  <c r="BL1020" i="8"/>
  <c r="BM1020" i="8" s="1"/>
  <c r="BK956" i="8"/>
  <c r="BL956" i="8"/>
  <c r="BM956" i="8" s="1"/>
  <c r="BL790" i="8"/>
  <c r="BM790" i="8" s="1"/>
  <c r="BK790" i="8"/>
  <c r="BK779" i="8"/>
  <c r="BL779" i="8"/>
  <c r="BM779" i="8" s="1"/>
  <c r="BK180" i="8"/>
  <c r="BL180" i="8"/>
  <c r="BM180" i="8" s="1"/>
  <c r="BK169" i="8"/>
  <c r="BL169" i="8"/>
  <c r="BM169" i="8" s="1"/>
  <c r="BK298" i="8"/>
  <c r="BL298" i="8"/>
  <c r="BM298" i="8" s="1"/>
  <c r="BK178" i="8"/>
  <c r="BL178" i="8"/>
  <c r="BM178" i="8" s="1"/>
  <c r="BK952" i="8"/>
  <c r="BL952" i="8"/>
  <c r="BM952" i="8" s="1"/>
  <c r="BK73" i="8"/>
  <c r="BL73" i="8"/>
  <c r="BM73" i="8" s="1"/>
  <c r="BK103" i="8"/>
  <c r="BL103" i="8"/>
  <c r="BM103" i="8" s="1"/>
  <c r="BK320" i="8"/>
  <c r="BL320" i="8"/>
  <c r="BM320" i="8" s="1"/>
  <c r="BK309" i="8"/>
  <c r="BL309" i="8"/>
  <c r="BM309" i="8" s="1"/>
  <c r="BL429" i="8"/>
  <c r="BM429" i="8" s="1"/>
  <c r="BK429" i="8"/>
  <c r="BK318" i="8"/>
  <c r="BL318" i="8"/>
  <c r="BM318" i="8" s="1"/>
  <c r="BL380" i="8"/>
  <c r="BM380" i="8" s="1"/>
  <c r="BK380" i="8"/>
  <c r="BK754" i="8"/>
  <c r="BL754" i="8"/>
  <c r="BM754" i="8" s="1"/>
  <c r="BL266" i="8"/>
  <c r="BM266" i="8" s="1"/>
  <c r="BK266" i="8"/>
  <c r="BK225" i="8"/>
  <c r="BL225" i="8"/>
  <c r="BM225" i="8" s="1"/>
  <c r="BK357" i="8"/>
  <c r="BL357" i="8"/>
  <c r="BM357" i="8" s="1"/>
  <c r="BK72" i="8"/>
  <c r="BL72" i="8"/>
  <c r="BM72" i="8" s="1"/>
  <c r="BK183" i="8"/>
  <c r="BL183" i="8"/>
  <c r="BM183" i="8" s="1"/>
  <c r="BK1130" i="8"/>
  <c r="BL1130" i="8"/>
  <c r="BM1130" i="8" s="1"/>
  <c r="BK1120" i="8"/>
  <c r="BL1120" i="8"/>
  <c r="BM1120" i="8" s="1"/>
  <c r="BK1021" i="8"/>
  <c r="BL1021" i="8"/>
  <c r="BM1021" i="8" s="1"/>
  <c r="BK195" i="8"/>
  <c r="BL195" i="8"/>
  <c r="BM195" i="8" s="1"/>
  <c r="BK1045" i="8"/>
  <c r="BL1045" i="8"/>
  <c r="BM1045" i="8" s="1"/>
  <c r="BK581" i="8"/>
  <c r="BL581" i="8"/>
  <c r="BM581" i="8" s="1"/>
  <c r="BK39" i="8"/>
  <c r="BL39" i="8"/>
  <c r="BM39" i="8" s="1"/>
  <c r="BK191" i="8"/>
  <c r="BL191" i="8"/>
  <c r="BM191" i="8" s="1"/>
  <c r="BJ1131" i="8"/>
  <c r="BK10" i="8"/>
  <c r="BL12" i="8"/>
  <c r="BK6" i="8"/>
  <c r="BK13" i="8"/>
  <c r="BL13" i="8"/>
  <c r="BM14" i="8" s="1"/>
  <c r="BK5" i="8"/>
  <c r="BL5" i="8"/>
  <c r="BK9" i="8"/>
  <c r="BL9" i="8"/>
  <c r="BM10" i="8" s="1"/>
  <c r="BK7" i="8"/>
  <c r="BL7" i="8"/>
  <c r="BM7" i="8" s="1"/>
  <c r="BK11" i="8"/>
  <c r="BL11" i="8"/>
  <c r="BM11" i="8" s="1"/>
  <c r="BK8" i="8"/>
  <c r="BM1111" i="8" l="1"/>
  <c r="BM1086" i="8"/>
  <c r="BM1122" i="8"/>
  <c r="BM1104" i="8"/>
  <c r="BM1106" i="8"/>
  <c r="BM1094" i="8"/>
  <c r="BM1081" i="8"/>
  <c r="BM1112" i="8"/>
  <c r="BM1072" i="8"/>
  <c r="BM1079" i="8"/>
  <c r="BM1083" i="8"/>
  <c r="BM1117" i="8"/>
  <c r="BM1107" i="8"/>
  <c r="BM1126" i="8"/>
  <c r="BM1124" i="8"/>
  <c r="BM1114" i="8"/>
  <c r="BM1121" i="8"/>
  <c r="BM1127" i="8"/>
  <c r="BM1096" i="8"/>
  <c r="BM1075" i="8"/>
  <c r="BM1087" i="8"/>
  <c r="BM1080" i="8"/>
  <c r="BM1089" i="8"/>
  <c r="BM1108" i="8"/>
  <c r="BM1097" i="8"/>
  <c r="BM1105" i="8"/>
  <c r="BM1091" i="8"/>
  <c r="BM1076" i="8"/>
  <c r="BM1092" i="8"/>
  <c r="BM1101" i="8"/>
  <c r="BM1085" i="8"/>
  <c r="BM1109" i="8"/>
  <c r="BM1129" i="8"/>
  <c r="BM1110" i="8"/>
  <c r="BM1118" i="8"/>
  <c r="BM8" i="8"/>
  <c r="BM12" i="8"/>
  <c r="BK1131" i="8"/>
  <c r="BM6" i="8"/>
  <c r="BM9" i="8"/>
  <c r="BM5" i="8"/>
  <c r="BM13" i="8"/>
  <c r="B19" i="3" l="1"/>
  <c r="B15" i="3"/>
  <c r="BM113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<sst xmlns="http://schemas.openxmlformats.org/spreadsheetml/2006/main" count="1439" uniqueCount="1347">
  <si>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</si>
  <si>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</si>
  <si>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</si>
  <si>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</si>
  <si>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</si>
  <si>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</si>
  <si>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</si>
  <si>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</si>
  <si>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</si>
  <si>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</si>
  <si>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</si>
  <si>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</si>
  <si>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</si>
  <si>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</si>
  <si>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</si>
  <si>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</si>
  <si>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</si>
  <si>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</si>
  <si>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</si>
  <si>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</si>
  <si>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</si>
  <si>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</si>
  <si>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</si>
  <si>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</si>
  <si>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</si>
  <si>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</si>
  <si>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</si>
  <si>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</si>
  <si>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</si>
  <si>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</si>
  <si>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</si>
  <si>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</si>
  <si>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</si>
  <si>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</si>
  <si>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</si>
  <si>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</si>
  <si>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</si>
  <si>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</si>
  <si>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</si>
  <si>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</si>
  <si>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</si>
  <si>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</si>
  <si>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</si>
  <si>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</si>
  <si>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</si>
  <si>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</si>
  <si>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</si>
  <si>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&lt;Insert Value Here&gt;</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</si>
  <si>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</si>
  <si>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</si>
  <si>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</si>
  <si>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</si>
  <si>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</si>
  <si>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</si>
  <si>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</si>
  <si>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</si>
  <si>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</si>
  <si>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</si>
  <si>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</si>
  <si>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</si>
  <si>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</si>
  <si>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</si>
  <si>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</si>
  <si>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</si>
  <si>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</si>
  <si>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</si>
  <si>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</si>
  <si>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</si>
  <si>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</si>
  <si>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</si>
  <si>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</si>
  <si>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</si>
  <si>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</si>
  <si>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</si>
  <si>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</si>
  <si>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</si>
  <si>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</si>
  <si>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</si>
  <si>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</si>
  <si>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</si>
  <si>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</si>
  <si>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</si>
  <si>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</si>
  <si>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</si>
  <si>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</si>
  <si>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</si>
  <si>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</si>
  <si>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</si>
  <si>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</si>
  <si>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</si>
  <si>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</si>
  <si>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</si>
  <si>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</si>
  <si>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</si>
  <si>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</si>
  <si>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</si>
  <si>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</si>
  <si>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</si>
  <si>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</si>
  <si>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</si>
  <si>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</si>
  <si>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</si>
  <si>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</si>
  <si>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</si>
  <si>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</si>
  <si>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</si>
  <si>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</si>
  <si>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</si>
  <si>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</si>
  <si>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</si>
  <si>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</si>
  <si>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</si>
  <si>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</si>
  <si>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</si>
  <si>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</si>
  <si>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</si>
  <si>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</si>
  <si>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</si>
  <si>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</si>
  <si>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</si>
  <si>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</si>
  <si>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</si>
  <si>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</si>
  <si>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</si>
  <si>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</si>
  <si>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</si>
  <si>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</si>
  <si>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</si>
  <si>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</si>
  <si>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</si>
  <si>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</si>
  <si>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</si>
  <si>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</si>
  <si>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</si>
  <si>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</si>
  <si>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</si>
  <si>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</si>
  <si>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</si>
  <si>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</si>
  <si>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</si>
  <si>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</si>
  <si>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</si>
  <si>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</si>
  <si>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</si>
  <si>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</si>
  <si>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</si>
  <si>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</si>
  <si>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</si>
  <si>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</si>
  <si>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</si>
  <si>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</si>
  <si>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</si>
  <si>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</si>
  <si>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</si>
  <si>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</si>
  <si>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</si>
  <si>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</si>
  <si>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</si>
  <si>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</si>
  <si>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</si>
  <si>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</si>
  <si>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</si>
  <si>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</si>
  <si>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</si>
  <si>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</si>
  <si>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</si>
  <si>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</si>
  <si>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</si>
  <si>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</si>
  <si>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</si>
  <si>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</si>
  <si>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</si>
  <si>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</si>
  <si>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</si>
  <si>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</si>
  <si>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</si>
  <si>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</si>
  <si>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</si>
  <si>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</si>
  <si>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</si>
  <si>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</si>
  <si>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</si>
  <si>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</si>
  <si>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</si>
  <si>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</si>
  <si>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</si>
  <si>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</si>
  <si>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</si>
  <si>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</si>
  <si>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</si>
  <si>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</si>
  <si>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</si>
  <si>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</si>
  <si>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</si>
  <si>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</si>
  <si>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</si>
  <si>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</si>
  <si>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</si>
  <si>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</si>
  <si>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</si>
  <si>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</si>
  <si>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</si>
  <si>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</si>
  <si>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</si>
  <si>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</si>
  <si>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</si>
  <si>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</si>
  <si>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</si>
  <si>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</si>
  <si>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</si>
  <si>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</si>
  <si>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</si>
  <si>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</si>
  <si>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</si>
  <si>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</si>
  <si>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</si>
  <si>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</si>
  <si>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</si>
  <si>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</si>
  <si>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</si>
  <si>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</si>
  <si>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</si>
  <si>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</si>
  <si>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</si>
  <si>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</si>
  <si>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</si>
  <si>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</si>
  <si>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</si>
  <si>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</si>
  <si>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</si>
  <si>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</si>
  <si>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</si>
  <si>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</si>
  <si>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</si>
  <si>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</si>
  <si>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</si>
  <si>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</si>
  <si>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</si>
  <si>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</si>
  <si>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</si>
  <si>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</si>
  <si>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</si>
  <si>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</si>
  <si>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</si>
  <si>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</si>
  <si>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</si>
  <si>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</si>
  <si>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</si>
  <si>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</si>
  <si>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</si>
  <si>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</si>
  <si>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</si>
  <si>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</si>
  <si>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</si>
  <si>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</si>
  <si>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</si>
  <si>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</si>
  <si>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</si>
  <si>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</si>
  <si>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</si>
  <si>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</si>
  <si>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</si>
  <si>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</si>
  <si>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</si>
  <si>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</si>
  <si>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</si>
  <si>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</si>
  <si>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</si>
  <si>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</si>
  <si>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</si>
  <si>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</si>
  <si>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</si>
  <si>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</si>
  <si>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</si>
  <si>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</si>
  <si>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</si>
  <si>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</si>
  <si>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</si>
  <si>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</si>
  <si>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</si>
  <si>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</si>
  <si>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</si>
  <si>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</si>
  <si>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</si>
  <si>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</si>
  <si>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</si>
  <si>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</si>
  <si>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</si>
  <si>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</si>
  <si>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</si>
  <si>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</si>
  <si>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</si>
  <si>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</si>
  <si>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</si>
  <si>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</si>
  <si>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</si>
  <si>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</si>
  <si>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</si>
  <si>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</si>
  <si>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</si>
  <si>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</si>
  <si>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</si>
  <si>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</si>
  <si>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</si>
  <si>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</si>
  <si>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</si>
  <si>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</si>
  <si>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</si>
  <si>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</si>
  <si>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</si>
  <si>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</si>
  <si>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</si>
  <si>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</si>
  <si>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</si>
  <si>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</si>
  <si>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</si>
  <si>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</si>
  <si>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</si>
  <si>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</si>
  <si>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</si>
  <si>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</si>
  <si>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</si>
  <si>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</si>
  <si>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</si>
  <si>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</si>
  <si>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</si>
  <si>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</si>
  <si>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</si>
  <si>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</si>
  <si>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</si>
  <si>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</si>
  <si>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</si>
  <si>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</si>
  <si>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</si>
  <si>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</si>
  <si>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</si>
  <si>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</si>
  <si>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</si>
  <si>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</si>
  <si>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</si>
  <si>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</si>
  <si>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</si>
  <si>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</si>
  <si>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</si>
  <si>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</si>
  <si>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</si>
  <si>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</si>
  <si>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</si>
  <si>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</si>
  <si>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</si>
  <si>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</si>
  <si>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</si>
  <si>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</si>
  <si>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</si>
  <si>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</si>
  <si>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</si>
  <si>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</si>
  <si>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</si>
  <si>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</si>
  <si>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</si>
  <si>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</si>
  <si>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</si>
  <si>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</si>
  <si>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</si>
  <si>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</si>
  <si>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</si>
  <si>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</si>
  <si>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</si>
  <si>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</si>
  <si>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</si>
  <si>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</si>
  <si>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</si>
  <si>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</si>
  <si>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</si>
  <si>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</si>
  <si>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</si>
  <si>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</si>
  <si>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</si>
  <si>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</si>
  <si>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</si>
  <si>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</si>
  <si>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</si>
  <si>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</si>
  <si>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</si>
  <si>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</si>
  <si>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</si>
  <si>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</si>
  <si>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</si>
  <si>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</si>
  <si>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</si>
  <si>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</si>
  <si>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</si>
  <si>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</si>
  <si>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</si>
  <si>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</si>
  <si>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</si>
  <si>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</si>
  <si>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</si>
  <si>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</si>
  <si>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</si>
  <si>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</si>
  <si>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</si>
  <si>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</si>
  <si>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</si>
  <si>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</si>
  <si>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</si>
  <si>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</si>
  <si>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</si>
  <si>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</si>
  <si>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</si>
  <si>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</si>
  <si>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</si>
  <si>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</si>
  <si>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</si>
  <si>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</si>
  <si>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</si>
  <si>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</si>
  <si>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</si>
  <si>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</si>
  <si>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</si>
  <si>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</si>
  <si>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</si>
  <si>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</si>
  <si>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</si>
  <si>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</si>
  <si>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</si>
  <si>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</si>
  <si>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</si>
  <si>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</si>
  <si>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</si>
  <si>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</si>
  <si>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</si>
  <si>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</si>
  <si>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</si>
  <si>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</si>
  <si>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</si>
  <si>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</si>
  <si>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</si>
  <si>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</si>
  <si>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</si>
  <si>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</si>
  <si>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</si>
  <si>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</si>
  <si>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</si>
  <si>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</si>
  <si>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</si>
  <si>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</si>
  <si>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</si>
  <si>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</si>
  <si>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</si>
  <si>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</si>
  <si>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</si>
  <si>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</si>
  <si>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</si>
  <si>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</si>
  <si>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</si>
  <si>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</si>
  <si>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</si>
  <si>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</si>
  <si>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</si>
  <si>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</si>
  <si>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</si>
  <si>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</si>
  <si>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</si>
  <si>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</si>
  <si>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</si>
  <si>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</si>
  <si>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</si>
  <si>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</si>
  <si>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</si>
  <si>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</si>
  <si>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</si>
  <si>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</si>
  <si>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</si>
  <si>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</si>
  <si>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</si>
  <si>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</si>
  <si>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</si>
  <si>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</si>
  <si>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</si>
  <si>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</si>
  <si>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</si>
  <si>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</si>
  <si>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</si>
  <si>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</si>
  <si>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</si>
  <si>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</si>
  <si>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</si>
  <si>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</si>
  <si>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</si>
  <si>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</si>
  <si>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</si>
  <si>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</si>
  <si>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</si>
  <si>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</si>
  <si>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</si>
  <si>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</si>
  <si>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</si>
  <si>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</si>
  <si>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</si>
  <si>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</si>
  <si>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</si>
  <si>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</si>
  <si>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</si>
  <si>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</si>
  <si>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</si>
  <si>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</si>
  <si>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</si>
  <si>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</si>
  <si>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</si>
  <si>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</si>
  <si>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</si>
  <si>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</si>
  <si>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</si>
  <si>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</si>
  <si>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</si>
  <si>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</si>
  <si>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</si>
  <si>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</si>
  <si>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</si>
  <si>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</si>
  <si>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</si>
  <si>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</si>
  <si>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</si>
  <si>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</si>
  <si>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</si>
  <si>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</si>
  <si>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</si>
  <si>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</si>
  <si>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</si>
  <si>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</si>
  <si>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</si>
  <si>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</si>
  <si>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</si>
  <si>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</si>
  <si>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</si>
  <si>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</si>
  <si>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</si>
  <si>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</si>
  <si>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</si>
  <si>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</si>
  <si>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</si>
  <si>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</si>
  <si>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</si>
  <si>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</si>
  <si>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</si>
  <si>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</si>
  <si>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</si>
  <si>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</si>
  <si>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</si>
  <si>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</si>
  <si>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</si>
  <si>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</si>
  <si>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</si>
  <si>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</si>
  <si>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</si>
  <si>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</si>
  <si>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</si>
  <si>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</si>
  <si>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</si>
  <si>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</si>
  <si>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</si>
  <si>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</si>
  <si>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</si>
  <si>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</si>
  <si>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</si>
  <si>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</si>
  <si>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</si>
  <si>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</si>
  <si>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</si>
  <si>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</si>
  <si>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</si>
  <si>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</si>
  <si>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</si>
  <si>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</si>
  <si>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</si>
  <si>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</si>
  <si>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</si>
  <si>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</si>
  <si>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</si>
  <si>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</si>
  <si>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</si>
  <si>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</si>
  <si>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</si>
  <si>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</si>
  <si>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</si>
  <si>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</si>
  <si>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</si>
  <si>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</si>
  <si>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</si>
  <si>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</si>
  <si>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</si>
  <si>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</si>
  <si>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</si>
  <si>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</si>
  <si>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</si>
  <si>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</si>
  <si>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</si>
  <si>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</si>
  <si>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</si>
  <si>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</si>
  <si>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</si>
  <si>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</si>
  <si>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</si>
  <si>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</si>
  <si>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</si>
  <si>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</si>
  <si>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</si>
  <si>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</si>
  <si>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</si>
  <si>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</si>
  <si>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</si>
  <si>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</si>
  <si>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</si>
  <si>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</si>
  <si>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</si>
  <si>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</si>
  <si>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</si>
  <si>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</si>
  <si>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</si>
  <si>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</si>
  <si>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</si>
  <si>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</si>
  <si>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</si>
  <si>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</si>
  <si>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</si>
  <si>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</si>
  <si>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</si>
  <si>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</si>
  <si>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</si>
  <si>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</si>
  <si>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</si>
  <si>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</si>
  <si>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</si>
  <si>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</si>
  <si>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</si>
  <si>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</si>
  <si>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</si>
  <si>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</si>
  <si>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</si>
  <si>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</si>
  <si>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</si>
  <si>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</si>
  <si>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</si>
  <si>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</si>
  <si>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</si>
  <si>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</si>
  <si>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</si>
  <si>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</si>
  <si>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</si>
  <si>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</si>
  <si>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</si>
  <si>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</si>
  <si>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</si>
  <si>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</si>
  <si>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</si>
  <si>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</si>
  <si>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</si>
  <si>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</si>
  <si>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</si>
  <si>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</si>
  <si>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</si>
  <si>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</si>
  <si>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</si>
  <si>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</si>
  <si>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</si>
  <si>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</si>
  <si>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</si>
  <si>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</si>
  <si>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</si>
  <si>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</si>
  <si>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</si>
  <si>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</si>
  <si>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</si>
  <si>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</si>
  <si>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</si>
  <si>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</si>
  <si>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</si>
  <si>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</si>
  <si>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</si>
  <si>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</si>
  <si>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</si>
  <si>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</si>
  <si>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</si>
  <si>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</si>
  <si>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</si>
  <si>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</si>
  <si>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</si>
  <si>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</si>
  <si>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</si>
  <si>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</si>
  <si>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</si>
  <si>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</si>
  <si>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</si>
  <si>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</si>
  <si>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</si>
  <si>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</si>
  <si>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</si>
  <si>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</si>
  <si>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</si>
  <si>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</si>
  <si>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</si>
  <si>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</si>
  <si>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</si>
  <si>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</si>
  <si>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</si>
  <si>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</si>
  <si>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</si>
  <si>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</si>
  <si>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</si>
  <si>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</si>
  <si>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</si>
  <si>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</si>
  <si>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</si>
  <si>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</si>
  <si>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</si>
  <si>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</si>
  <si>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</si>
  <si>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</si>
  <si>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</si>
  <si>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</si>
  <si>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</si>
  <si>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</si>
  <si>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</si>
  <si>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</si>
  <si>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</si>
  <si>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</si>
  <si>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</si>
  <si>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</si>
  <si>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</si>
  <si>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</si>
  <si>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</si>
  <si>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</si>
  <si>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</si>
  <si>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</si>
  <si>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</si>
  <si>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</si>
  <si>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</si>
  <si>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</si>
  <si>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</si>
  <si>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</si>
  <si>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</si>
  <si>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</si>
  <si>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</si>
  <si>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</si>
  <si>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</si>
  <si>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</si>
  <si>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</si>
  <si>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</si>
  <si>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</si>
  <si>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</si>
  <si>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</si>
  <si>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</si>
  <si>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</si>
  <si>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</si>
  <si>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</si>
  <si>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</si>
  <si>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</si>
  <si>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</si>
  <si>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</si>
  <si>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</si>
  <si>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</si>
  <si>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</si>
  <si>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</si>
  <si>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</si>
  <si>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</si>
  <si>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</si>
  <si>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</si>
  <si>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</si>
  <si>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</si>
  <si>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</si>
  <si>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</si>
  <si>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</si>
  <si>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</si>
  <si>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</si>
  <si>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</si>
  <si>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</si>
  <si>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</si>
  <si>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</si>
  <si>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</si>
  <si>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</si>
  <si>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</si>
  <si>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</si>
  <si>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</si>
  <si>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</si>
  <si>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</si>
  <si>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</si>
  <si>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</si>
  <si>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</si>
  <si>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</si>
  <si>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</si>
  <si>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</si>
  <si>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</si>
  <si>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</si>
  <si>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</si>
  <si>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</si>
  <si>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</si>
  <si>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</si>
  <si>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</si>
  <si>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</si>
  <si>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</si>
  <si>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</si>
  <si>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</si>
  <si>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</si>
  <si>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</si>
  <si>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</si>
  <si>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</si>
  <si>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</si>
  <si>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</si>
  <si>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</si>
  <si>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</si>
  <si>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</si>
  <si>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</si>
  <si>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</si>
  <si>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</si>
  <si>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</si>
  <si>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</si>
  <si>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</si>
  <si>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</si>
  <si>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</si>
  <si>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</si>
  <si>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</si>
  <si>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</si>
  <si>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</si>
  <si>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</si>
  <si>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</si>
  <si>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</si>
  <si>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</si>
  <si>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</si>
  <si>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</si>
  <si>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</si>
  <si>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</si>
  <si>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</si>
  <si>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</si>
  <si>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</si>
  <si>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</si>
  <si>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</si>
  <si>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</si>
  <si>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</si>
  <si>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</si>
  <si>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</si>
  <si>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</si>
  <si>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</si>
  <si>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</si>
  <si>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</si>
  <si>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</si>
  <si>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</si>
  <si>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</si>
  <si>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</si>
  <si>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</si>
  <si>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</si>
  <si>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</si>
  <si>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</si>
  <si>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</si>
  <si>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</si>
  <si>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</si>
  <si>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</si>
  <si>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</si>
  <si>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</si>
  <si>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</si>
  <si>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</si>
  <si>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</si>
  <si>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</si>
  <si>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</si>
  <si>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</si>
  <si>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</si>
  <si>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</si>
  <si>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</si>
  <si>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</si>
  <si>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</si>
  <si>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</si>
  <si>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</si>
  <si>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</si>
  <si>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</si>
  <si>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</si>
  <si>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</si>
  <si>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</si>
  <si>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</si>
  <si>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</si>
  <si>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</si>
  <si>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</si>
  <si>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</si>
  <si>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</si>
  <si>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</si>
  <si>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</si>
  <si>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</si>
  <si>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</si>
  <si>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</si>
  <si>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</si>
  <si>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</si>
  <si>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</si>
  <si>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</si>
  <si>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</si>
  <si>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</si>
  <si>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</si>
  <si>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</si>
  <si>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</si>
  <si>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</si>
  <si>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</si>
  <si>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</si>
  <si>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</si>
  <si>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</si>
  <si>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</si>
  <si>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</si>
  <si>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</si>
  <si>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</si>
  <si>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</si>
  <si>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</si>
  <si>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</si>
  <si>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</si>
  <si>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</si>
  <si>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</si>
  <si>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</si>
  <si>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</si>
  <si>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</si>
  <si>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</si>
  <si>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</si>
  <si>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</si>
  <si>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</si>
  <si>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</si>
  <si>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</si>
  <si>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</si>
  <si>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</si>
  <si>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</si>
  <si>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</si>
  <si>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</si>
  <si>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</si>
  <si>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</si>
  <si>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</si>
  <si>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</si>
  <si>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</si>
  <si>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</si>
  <si>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</si>
  <si>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</si>
  <si>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</si>
  <si>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</si>
  <si>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</si>
  <si>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</si>
  <si>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</si>
  <si>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</si>
  <si>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</si>
  <si>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</si>
  <si>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</si>
  <si>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</si>
  <si>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</si>
  <si>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</si>
  <si>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</si>
  <si>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</si>
  <si>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</si>
  <si>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</si>
  <si>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</si>
  <si>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</si>
  <si>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</si>
  <si>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</si>
  <si>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</si>
  <si>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</si>
  <si>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</si>
  <si>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</si>
  <si>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</si>
  <si>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</si>
  <si>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</si>
  <si>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</si>
  <si>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</si>
  <si>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</si>
  <si>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</si>
  <si>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</si>
  <si>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</si>
  <si>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</si>
  <si>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</si>
  <si>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</si>
  <si>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</si>
  <si>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</si>
  <si>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</si>
  <si>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</si>
  <si>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</si>
  <si>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</si>
  <si>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</si>
  <si>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</si>
  <si>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</si>
  <si>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</si>
  <si>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</si>
  <si>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</si>
  <si>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</si>
  <si>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</si>
  <si>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</si>
  <si>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</si>
  <si>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</si>
  <si>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</si>
  <si>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</si>
  <si>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</si>
  <si>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</si>
  <si>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</si>
  <si>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</si>
  <si>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</si>
  <si>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</si>
  <si>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</si>
  <si>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</si>
  <si>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</si>
  <si>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</si>
  <si>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</si>
  <si>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</si>
  <si>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</si>
  <si>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</si>
  <si>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</si>
  <si>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</si>
  <si>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</si>
  <si>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</si>
  <si>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</si>
  <si>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</si>
  <si>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</si>
  <si>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</si>
  <si>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</si>
  <si>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</si>
  <si>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</si>
  <si>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</si>
  <si>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</si>
  <si>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</si>
  <si>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</si>
  <si>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</si>
  <si>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</si>
  <si>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</si>
  <si>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</si>
  <si>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</si>
  <si>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</si>
  <si>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</si>
  <si>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</si>
  <si>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</si>
  <si>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</si>
  <si>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</si>
  <si>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</si>
  <si>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</si>
  <si>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</si>
  <si>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</si>
  <si>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</si>
  <si>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</si>
  <si>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</si>
  <si>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</si>
  <si>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</si>
  <si>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</si>
  <si>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</si>
  <si>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</si>
  <si>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</si>
  <si>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</si>
  <si>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</si>
  <si>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</si>
  <si>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</si>
  <si>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</si>
  <si>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</si>
  <si>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</si>
  <si>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</si>
  <si>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</si>
  <si>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</si>
  <si>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</si>
  <si>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</si>
  <si>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</si>
  <si>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</si>
  <si>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</si>
  <si>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</si>
  <si>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</si>
  <si>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</si>
  <si>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</si>
  <si>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</si>
  <si>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</si>
  <si>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</si>
  <si>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</si>
  <si>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</si>
  <si>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</si>
  <si>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</si>
  <si>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</si>
  <si>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</si>
  <si>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</si>
  <si>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</si>
  <si>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</si>
  <si>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</si>
  <si>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</si>
  <si>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</si>
  <si>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</si>
  <si>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</si>
  <si>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</si>
  <si>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</si>
  <si>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</si>
  <si>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</si>
  <si>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</si>
  <si>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</si>
  <si>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</si>
  <si>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</si>
  <si>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</si>
  <si>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</si>
  <si>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</si>
  <si>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</si>
  <si>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</si>
  <si>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</si>
  <si>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</si>
  <si>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</si>
  <si>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</si>
  <si>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</si>
  <si>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</si>
  <si>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</si>
  <si>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</si>
  <si>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</si>
  <si>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</si>
  <si>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</si>
  <si>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</si>
  <si>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</si>
  <si>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</si>
  <si>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</si>
  <si>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</si>
  <si>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</si>
  <si>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</si>
  <si>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</si>
  <si>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</si>
  <si>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</si>
  <si>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</si>
  <si>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</si>
  <si>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</si>
  <si>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</si>
  <si>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</si>
  <si>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</si>
  <si>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</si>
  <si>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</si>
  <si>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</si>
  <si>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</si>
  <si>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</si>
  <si>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</si>
  <si>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</si>
  <si>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</si>
  <si>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</si>
  <si>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</si>
  <si>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</si>
  <si>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</si>
  <si>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</si>
  <si>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</si>
  <si>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</si>
  <si>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</si>
  <si>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</si>
  <si>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</si>
  <si>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</si>
  <si>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</si>
  <si>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</si>
  <si>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</si>
  <si>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</si>
  <si>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</si>
  <si>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</si>
  <si>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</si>
  <si>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</si>
  <si>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</si>
  <si>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</si>
  <si>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</si>
  <si>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</si>
  <si>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</si>
  <si>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</si>
  <si>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</si>
  <si>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</si>
  <si>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</si>
  <si>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</si>
  <si>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</si>
  <si>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</si>
  <si>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</si>
  <si>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</si>
  <si>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</si>
  <si>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</si>
  <si>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</si>
  <si>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</si>
  <si>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</si>
  <si>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</si>
  <si>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</si>
  <si>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</si>
  <si>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</si>
  <si>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</si>
  <si>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</si>
  <si>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</si>
  <si>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</si>
  <si>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</si>
  <si>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</si>
  <si>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</si>
  <si>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</si>
  <si>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</si>
  <si>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</si>
  <si>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</si>
  <si>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</si>
  <si>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</si>
  <si>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</si>
  <si>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</si>
  <si>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</si>
  <si>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</si>
  <si>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</si>
  <si>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</si>
  <si>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</si>
  <si>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</si>
  <si>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</si>
  <si>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</si>
  <si>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</si>
  <si>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</si>
  <si>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</si>
  <si>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</si>
  <si>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</si>
  <si>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</si>
  <si>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</si>
  <si>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</si>
  <si>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</si>
  <si>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</si>
  <si>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</si>
  <si>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</si>
  <si>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</si>
  <si>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</si>
  <si>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</si>
  <si>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</si>
  <si>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</si>
  <si>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</si>
  <si>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</si>
  <si>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</si>
  <si>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</si>
  <si>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</si>
  <si>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</si>
  <si>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</si>
  <si>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</si>
  <si>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</si>
  <si>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</si>
  <si>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</si>
  <si>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</si>
  <si>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</si>
  <si>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</si>
  <si>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</si>
  <si>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</si>
  <si>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</si>
  <si>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</si>
  <si>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</si>
  <si>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</si>
  <si>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</si>
  <si>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</si>
  <si>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</si>
  <si>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</si>
  <si>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</si>
  <si>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</si>
  <si>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</si>
  <si>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</si>
  <si>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</si>
  <si>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</si>
  <si>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</si>
  <si>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</si>
  <si>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</si>
  <si>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</si>
  <si>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</si>
  <si>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</si>
  <si>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</si>
  <si>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</si>
  <si>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</si>
  <si>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</si>
  <si>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</si>
  <si>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</si>
  <si>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</si>
  <si>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</si>
  <si>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</si>
  <si>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</si>
  <si>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</si>
  <si>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</si>
  <si>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</si>
  <si>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</si>
  <si>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</si>
  <si>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</si>
  <si>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</si>
  <si>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</si>
  <si>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</si>
  <si>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</si>
  <si>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</si>
  <si>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</si>
  <si>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</si>
  <si>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</si>
  <si>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</si>
  <si>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</si>
  <si>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</si>
  <si>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</si>
  <si>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</si>
  <si>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</si>
  <si>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</si>
  <si>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</si>
  <si>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</si>
  <si>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</si>
  <si>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</si>
  <si>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</si>
  <si>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</si>
  <si>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</si>
  <si>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</si>
  <si>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</si>
  <si>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</si>
  <si>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</si>
  <si>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</si>
  <si>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</si>
  <si>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</si>
  <si>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</si>
  <si>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</si>
  <si>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</si>
  <si>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</si>
  <si>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</si>
  <si>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</si>
  <si>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</si>
  <si>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</si>
  <si>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</si>
  <si>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</si>
  <si>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</si>
  <si>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</si>
  <si>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</si>
  <si>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</si>
  <si>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</si>
  <si>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</si>
  <si>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</si>
  <si>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</si>
  <si>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</si>
  <si>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</si>
  <si>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</si>
  <si>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</si>
  <si>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</si>
  <si>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</si>
  <si>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</si>
  <si>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</si>
  <si>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</si>
  <si>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</si>
  <si>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</si>
  <si>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</si>
  <si>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</si>
  <si>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</si>
  <si>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</si>
  <si>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</si>
  <si>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</si>
  <si>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</si>
  <si>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</si>
  <si>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</si>
  <si>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</si>
  <si>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</si>
  <si>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</si>
  <si>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</si>
  <si>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</si>
  <si>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</si>
  <si>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</si>
  <si>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</si>
  <si>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</si>
  <si>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</si>
  <si>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</si>
  <si>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</si>
  <si>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</si>
  <si>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</si>
  <si>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8309 MIAMI I   (AV)</t>
  </si>
  <si>
    <t>8309 MIAMI I   (ED)</t>
  </si>
  <si>
    <t>2026 Primary (May 5, 2026)</t>
  </si>
  <si>
    <t>REP Governor</t>
  </si>
  <si>
    <t>Vivek Ramaswamy</t>
  </si>
  <si>
    <t>Casey Putsch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</si>
</sst>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2">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0" fontId="7" fillId="0" borderId="0" xfId="0" applyFont="1" applyProtection="1">
      <protection locked="0"/>
    </xf>
    <xf numFmtId="3" fontId="7" fillId="0" borderId="0" xfId="0" applyNumberFormat="1" applyFont="1" applyProtection="1">
      <protection locked="0"/>
    </xf>
    <xf numFmtId="0" fontId="14" fillId="0" borderId="0" xfId="0" applyFont="1" applyProtection="1">
      <protection locked="0"/>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100" dataDxfId="98" headerRowBorderDxfId="99" tableBorderDxfId="97" totalsRowBorderDxfId="96">
  <tableColumns count="2">
    <tableColumn id="1" xr3:uid="{00000000-0010-0000-0000-000001000000}" name="Contest Audited" dataDxfId="95"/>
    <tableColumn id="2" xr3:uid="{00000000-0010-0000-0000-000002000000}" name="REP Governor" dataDxfId="94"/>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93" tableBorderDxfId="92">
  <autoFilter ref="A47:B48" xr:uid="{00000000-0009-0000-0100-000007000000}"/>
  <tableColumns count="2">
    <tableColumn id="1" xr3:uid="{00000000-0010-0000-0100-000001000000}" name="Precinct Name" dataDxfId="91">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90">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89">
  <tableColumns count="2">
    <tableColumn id="1" xr3:uid="{00000000-0010-0000-0200-000001000000}" name="Column1" headerRowDxfId="88" dataDxfId="87"/>
    <tableColumn id="2" xr3:uid="{00000000-0010-0000-0200-000002000000}" name="Column2" headerRowDxfId="86" dataDxfId="8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2" totalsRowShown="0" headerRowDxfId="84" dataDxfId="82" headerRowBorderDxfId="83">
  <tableColumns count="3">
    <tableColumn id="1" xr3:uid="{00000000-0010-0000-0300-000001000000}" name="Draw" dataDxfId="81">
      <calculatedColumnFormula>ROW() -2</calculatedColumnFormula>
    </tableColumn>
    <tableColumn id="2" xr3:uid="{00000000-0010-0000-0300-000002000000}" name="Batch Number" dataDxfId="80"/>
    <tableColumn id="3" xr3:uid="{00000000-0010-0000-0300-000003000000}" name="Batch Name" dataDxfId="79">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31" totalsRowCount="1" headerRowDxfId="238" dataDxfId="236" totalsRowDxfId="234" headerRowBorderDxfId="237" tableBorderDxfId="235" totalsRowBorderDxfId="233">
  <autoFilter ref="A4:BN1130" xr:uid="{00000000-0009-0000-0100-000002000000}">
    <filterColumn colId="0">
      <customFilters>
        <customFilter operator="notEqual" val=" "/>
      </customFilters>
    </filterColumn>
  </autoFilter>
  <sortState xmlns:xlrd2="http://schemas.microsoft.com/office/spreadsheetml/2017/richdata2" ref="A5:AX3274">
    <sortCondition ref="B4:B3274"/>
  </sortState>
  <tableColumns count="66">
    <tableColumn id="1" xr3:uid="{00000000-0010-0000-0400-000001000000}" name="Selection - Batch picked for audit" totalsRowLabel="Total" dataDxfId="232" totalsRowDxfId="231">
      <calculatedColumnFormula>'Sampling Data'!AI5</calculatedColumnFormula>
    </tableColumn>
    <tableColumn id="2" xr3:uid="{00000000-0010-0000-0400-000002000000}" name="Precinct (p) - Batched by Type" totalsRowFunction="count" dataDxfId="230" totalsRowDxfId="229">
      <calculatedColumnFormula>'Sampling Data'!A5</calculatedColumnFormula>
    </tableColumn>
    <tableColumn id="4" xr3:uid="{00000000-0010-0000-0400-000004000000}" name="Winning Candidate" totalsRowFunction="custom" dataDxfId="228" totalsRowDxfId="227">
      <calculatedColumnFormula>'Sampling Data'!B5</calculatedColumnFormula>
      <totalsRowFormula>SUM(Audit[Winning Candidate])</totalsRowFormula>
    </tableColumn>
    <tableColumn id="3" xr3:uid="{00000000-0010-0000-0400-000003000000}" name="Losing Candidate" totalsRowFunction="custom" dataDxfId="226" totalsRowDxfId="225">
      <calculatedColumnFormula>'Sampling Data'!C5</calculatedColumnFormula>
      <totalsRowFormula>SUM(Audit[Losing Candidate])</totalsRowFormula>
    </tableColumn>
    <tableColumn id="12" xr3:uid="{00000000-0010-0000-0400-00000C000000}" name="Candidate 3" totalsRowFunction="custom" dataDxfId="224" totalsRowDxfId="223">
      <calculatedColumnFormula>'Sampling Data'!D5</calculatedColumnFormula>
      <totalsRowFormula>SUM(Audit[Candidate 3])</totalsRowFormula>
    </tableColumn>
    <tableColumn id="11" xr3:uid="{00000000-0010-0000-0400-00000B000000}" name="Candidate 4" totalsRowFunction="custom" dataDxfId="222" totalsRowDxfId="221">
      <calculatedColumnFormula>'Sampling Data'!E5</calculatedColumnFormula>
      <totalsRowFormula>SUM(Audit[Candidate 4])</totalsRowFormula>
    </tableColumn>
    <tableColumn id="10" xr3:uid="{00000000-0010-0000-0400-00000A000000}" name="Candidate 5" totalsRowFunction="custom" dataDxfId="220" totalsRowDxfId="219">
      <calculatedColumnFormula>'Sampling Data'!F5</calculatedColumnFormula>
      <totalsRowFormula>SUM(Audit[Candidate 5])</totalsRowFormula>
    </tableColumn>
    <tableColumn id="43" xr3:uid="{00000000-0010-0000-0400-00002B000000}" name="Candidate 6" totalsRowFunction="custom" dataDxfId="218" totalsRowDxfId="217">
      <calculatedColumnFormula>'Sampling Data'!G5</calculatedColumnFormula>
      <totalsRowFormula>SUM(Audit[Candidate 6])</totalsRowFormula>
    </tableColumn>
    <tableColumn id="42" xr3:uid="{00000000-0010-0000-0400-00002A000000}" name="Candidate 7" totalsRowFunction="custom" dataDxfId="216" totalsRowDxfId="215">
      <calculatedColumnFormula>'Sampling Data'!H5</calculatedColumnFormula>
      <totalsRowFormula>SUM(Audit[Candidate 7])</totalsRowFormula>
    </tableColumn>
    <tableColumn id="9" xr3:uid="{00000000-0010-0000-0400-000009000000}" name="Candidate 8" totalsRowFunction="custom" dataDxfId="214" totalsRowDxfId="213">
      <calculatedColumnFormula>'Sampling Data'!I5</calculatedColumnFormula>
      <totalsRowFormula>SUM(Audit[Candidate 8])</totalsRowFormula>
    </tableColumn>
    <tableColumn id="55" xr3:uid="{00000000-0010-0000-0400-000037000000}" name="Candidate 9" totalsRowFunction="custom" dataDxfId="212" totalsRowDxfId="211">
      <calculatedColumnFormula>'Sampling Data'!J5</calculatedColumnFormula>
      <totalsRowFormula>SUM(Audit[Candidate 9])</totalsRowFormula>
    </tableColumn>
    <tableColumn id="54" xr3:uid="{00000000-0010-0000-0400-000036000000}" name="Candidate 10" totalsRowFunction="custom" dataDxfId="210" totalsRowDxfId="209">
      <calculatedColumnFormula>'Sampling Data'!K5</calculatedColumnFormula>
      <totalsRowFormula>SUM(Audit[Candidate 10])</totalsRowFormula>
    </tableColumn>
    <tableColumn id="53" xr3:uid="{00000000-0010-0000-0400-000035000000}" name="Candidate 11" totalsRowFunction="custom" dataDxfId="208" totalsRowDxfId="207">
      <calculatedColumnFormula>'Sampling Data'!L5</calculatedColumnFormula>
      <totalsRowFormula>SUM(Audit[Candidate 11])</totalsRowFormula>
    </tableColumn>
    <tableColumn id="52" xr3:uid="{00000000-0010-0000-0400-000034000000}" name="Candidate 12" totalsRowFunction="custom" dataDxfId="206" totalsRowDxfId="205">
      <calculatedColumnFormula>'Sampling Data'!M5</calculatedColumnFormula>
      <totalsRowFormula>SUM(Audit[Candidate 12])</totalsRowFormula>
    </tableColumn>
    <tableColumn id="5" xr3:uid="{00000000-0010-0000-0400-000005000000}" name="Over Votes" totalsRowFunction="custom" dataDxfId="204" totalsRowDxfId="203">
      <calculatedColumnFormula>'Sampling Data'!N5</calculatedColumnFormula>
      <totalsRowFormula>SUM(Audit[Over Votes])</totalsRowFormula>
    </tableColumn>
    <tableColumn id="6" xr3:uid="{00000000-0010-0000-0400-000006000000}" name="Under Votes" totalsRowFunction="custom" dataDxfId="202" totalsRowDxfId="201">
      <calculatedColumnFormula>'Sampling Data'!O5</calculatedColumnFormula>
      <totalsRowFormula>SUM(Audit[Under Votes])</totalsRowFormula>
    </tableColumn>
    <tableColumn id="7" xr3:uid="{00000000-0010-0000-0400-000007000000}" name="Total" totalsRowFunction="custom" dataDxfId="200" totalsRowDxfId="199">
      <calculatedColumnFormula>'Sampling Data'!P5</calculatedColumnFormula>
      <totalsRowFormula>SUM(Audit[Total])</totalsRowFormula>
    </tableColumn>
    <tableColumn id="15" xr3:uid="{00000000-0010-0000-0400-00000F000000}" name="Times p Drawn - With Replacement" totalsRowFunction="custom" dataDxfId="198" totalsRowDxfId="197">
      <calculatedColumnFormula>'Sampling Data'!AJ5</calculatedColumnFormula>
      <totalsRowFormula>SUM(Audit[Times p Drawn - With Replacement])</totalsRowFormula>
    </tableColumn>
    <tableColumn id="17" xr3:uid="{00000000-0010-0000-0400-000011000000}" name="Audit Winning Candidate" totalsRowFunction="custom" dataDxfId="196" totalsRowDxfId="195">
      <totalsRowFormula>SUM(Audit[Audit Winning Candidate])</totalsRowFormula>
    </tableColumn>
    <tableColumn id="16" xr3:uid="{00000000-0010-0000-0400-000010000000}" name="Audit Losing Candidate" totalsRowFunction="custom" dataDxfId="194" totalsRowDxfId="193">
      <totalsRowFormula>SUM(Audit[Audit Losing Candidate])</totalsRowFormula>
    </tableColumn>
    <tableColumn id="33" xr3:uid="{00000000-0010-0000-0400-000021000000}" name="Audit Candidate 3" totalsRowFunction="custom" dataDxfId="192" totalsRowDxfId="191">
      <totalsRowFormula>SUM(Audit[Audit Candidate 3])</totalsRowFormula>
    </tableColumn>
    <tableColumn id="32" xr3:uid="{00000000-0010-0000-0400-000020000000}" name="Audit Candidate 4" totalsRowFunction="custom" dataDxfId="190" totalsRowDxfId="189">
      <totalsRowFormula>SUM(Audit[Audit Candidate 4])</totalsRowFormula>
    </tableColumn>
    <tableColumn id="14" xr3:uid="{00000000-0010-0000-0400-00000E000000}" name="Audit Candidate 5" totalsRowFunction="custom" dataDxfId="188" totalsRowDxfId="187">
      <totalsRowFormula>SUM(Audit[Audit Candidate 5])</totalsRowFormula>
    </tableColumn>
    <tableColumn id="45" xr3:uid="{00000000-0010-0000-0400-00002D000000}" name="Audit Candidate 6" totalsRowFunction="custom" dataDxfId="186" totalsRowDxfId="185">
      <totalsRowFormula>SUM(Audit[Audit Candidate 6])</totalsRowFormula>
    </tableColumn>
    <tableColumn id="44" xr3:uid="{00000000-0010-0000-0400-00002C000000}" name="Audit Candidate 7" totalsRowFunction="custom" dataDxfId="184" totalsRowDxfId="183">
      <totalsRowFormula>SUM(Audit[Audit Candidate 7])</totalsRowFormula>
    </tableColumn>
    <tableColumn id="13" xr3:uid="{00000000-0010-0000-0400-00000D000000}" name="Audit Candidate 8" totalsRowFunction="custom" dataDxfId="182" totalsRowDxfId="181">
      <totalsRowFormula>SUM(Audit[Audit Candidate 8])</totalsRowFormula>
    </tableColumn>
    <tableColumn id="59" xr3:uid="{00000000-0010-0000-0400-00003B000000}" name="Audit Candidate 9" totalsRowFunction="custom" dataDxfId="180" totalsRowDxfId="179">
      <totalsRowFormula>SUM(Audit[Audit Candidate 9])</totalsRowFormula>
    </tableColumn>
    <tableColumn id="58" xr3:uid="{00000000-0010-0000-0400-00003A000000}" name="Audit Candidate 10" totalsRowFunction="custom" dataDxfId="178" totalsRowDxfId="177">
      <totalsRowFormula>SUM(Audit[Audit Candidate 10])</totalsRowFormula>
    </tableColumn>
    <tableColumn id="57" xr3:uid="{00000000-0010-0000-0400-000039000000}" name="Audit Candidate 11" totalsRowFunction="custom" dataDxfId="176" totalsRowDxfId="175">
      <totalsRowFormula>SUM(Audit[Audit Candidate 11])</totalsRowFormula>
    </tableColumn>
    <tableColumn id="56" xr3:uid="{00000000-0010-0000-0400-000038000000}" name="Audit Candidate 12" totalsRowFunction="custom" dataDxfId="174" totalsRowDxfId="173">
      <totalsRowFormula>SUM(Audit[Audit Candidate 12])</totalsRowFormula>
    </tableColumn>
    <tableColumn id="19" xr3:uid="{00000000-0010-0000-0400-000013000000}" name="Difference Winner" totalsRowFunction="custom" dataDxfId="172" totalsRowDxfId="171">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70" totalsRowDxfId="169">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68" totalsRowDxfId="167">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66" totalsRowDxfId="165">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64" totalsRowDxfId="163">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62" totalsRowDxfId="161">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60" totalsRowDxfId="159">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58" totalsRowDxfId="157">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56" totalsRowDxfId="155">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54" totalsRowDxfId="153">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52" totalsRowDxfId="151">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50" totalsRowDxfId="149">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48" totalsRowDxfId="147">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46" totalsRowDxfId="145">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44" totalsRowDxfId="143">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42" totalsRowDxfId="141">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40" totalsRowDxfId="139">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38" totalsRowDxfId="137">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36" totalsRowDxfId="135">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34" totalsRowDxfId="133">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32" totalsRowDxfId="131">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30" totalsRowDxfId="129">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28" totalsRowDxfId="127">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26" totalsRowDxfId="125">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24" totalsRowDxfId="123">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22" totalsRowDxfId="121">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120" totalsRowDxfId="119">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118" totalsRowDxfId="117">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116" totalsRowDxfId="115">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114" totalsRowDxfId="113">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112" totalsRowDxfId="111">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110" totalsRowDxfId="109">
      <calculatedColumnFormula>PRODUCT($BI$5:BI5)</calculatedColumnFormula>
      <totalsRowFormula>SUM(Audit[K-M P Value])</totalsRowFormula>
    </tableColumn>
    <tableColumn id="30" xr3:uid="{00000000-0010-0000-0400-00001E000000}" name="Confidence Level" totalsRowFunction="max" dataDxfId="108" totalsRowDxfId="107">
      <calculatedColumnFormula>1 - Audit[[#This Row],[K-M P Value]]</calculatedColumnFormula>
    </tableColumn>
    <tableColumn id="28" xr3:uid="{00000000-0010-0000-0400-00001C000000}" name="Status - Continue or stop audit" dataDxfId="106" totalsRowDxfId="105">
      <calculatedColumnFormula>IF(Audit[[#This Row],[K-M P Value]]&gt;1-'General Info'!$B$12,"Continue", "Stop")</calculatedColumnFormula>
    </tableColumn>
    <tableColumn id="29" xr3:uid="{00000000-0010-0000-0400-00001D000000}" name="Process Batch" totalsRowFunction="count" dataDxfId="104" totalsRowDxfId="103">
      <calculatedColumnFormula>IF(Audit[[#This Row],[Status - Continue or stop audit]] = "Continue", TRUE, IF(BL4 = "Continue", TRUE, FALSE))</calculatedColumnFormula>
    </tableColumn>
    <tableColumn id="31" xr3:uid="{00000000-0010-0000-0400-00001F000000}" name="Reason For Differences" dataDxfId="102" totalsRowDxfId="101"/>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31" totalsRowCount="1" headerRowDxfId="78" totalsRowDxfId="76" headerRowBorderDxfId="77" totalsRowCellStyle="Comma">
  <autoFilter ref="A4:AJ1130" xr:uid="{00000000-0009-0000-0100-000001000000}"/>
  <sortState xmlns:xlrd2="http://schemas.microsoft.com/office/spreadsheetml/2017/richdata2" ref="A2:W2155">
    <sortCondition ref="A1:A2155"/>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B17" sqref="B17"/>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23" t="s">
        <v>10</v>
      </c>
      <c r="B1" s="123"/>
    </row>
    <row r="2" spans="1:2" ht="23.5" x14ac:dyDescent="0.35">
      <c r="A2" s="123" t="s">
        <v>1343</v>
      </c>
      <c r="B2" s="123"/>
    </row>
    <row r="3" spans="1:2" ht="14.5" x14ac:dyDescent="0.35">
      <c r="A3" s="72"/>
      <c r="B3" s="72"/>
    </row>
    <row r="4" spans="1:2" ht="14.5" x14ac:dyDescent="0.35">
      <c r="A4" s="124" t="s">
        <v>11</v>
      </c>
      <c r="B4" s="125"/>
    </row>
    <row r="5" spans="1:2" ht="14.5" x14ac:dyDescent="0.35">
      <c r="A5" s="3" t="s">
        <v>12</v>
      </c>
      <c r="B5" s="14" t="s">
        <v>1344</v>
      </c>
    </row>
    <row r="6" spans="1:2" ht="14.5" x14ac:dyDescent="0.35">
      <c r="A6" s="3" t="s">
        <v>13</v>
      </c>
      <c r="B6" s="11">
        <f>IF(ISERR($B$7/$B$8), 0, $B$7/$B$8)</f>
        <v>563</v>
      </c>
    </row>
    <row r="7" spans="1:2" ht="14.5" x14ac:dyDescent="0.35">
      <c r="A7" s="3" t="s">
        <v>14</v>
      </c>
      <c r="B7" s="11">
        <f>COUNTA(SamplingData[Batch by Type (p)])</f>
        <v>1126</v>
      </c>
    </row>
    <row r="8" spans="1:2" ht="14.5" x14ac:dyDescent="0.35">
      <c r="A8" s="3" t="s">
        <v>101</v>
      </c>
      <c r="B8" s="11">
        <v>2</v>
      </c>
    </row>
    <row r="9" spans="1:2" ht="14.5" x14ac:dyDescent="0.35">
      <c r="A9" s="3" t="s">
        <v>29</v>
      </c>
      <c r="B9" s="11">
        <v>2</v>
      </c>
    </row>
    <row r="10" spans="1:2" ht="14.5" x14ac:dyDescent="0.35">
      <c r="A10" s="3" t="s">
        <v>15</v>
      </c>
      <c r="B10" s="12">
        <f>SamplingData[[#Totals],[Total]]</f>
        <v>42455</v>
      </c>
    </row>
    <row r="11" spans="1:2" ht="14.5" x14ac:dyDescent="0.35">
      <c r="A11" s="3" t="s">
        <v>16</v>
      </c>
      <c r="B11" s="11">
        <v>120770</v>
      </c>
    </row>
    <row r="12" spans="1:2" ht="14.5" x14ac:dyDescent="0.35">
      <c r="A12" s="3" t="s">
        <v>17</v>
      </c>
      <c r="B12" s="4">
        <v>0.9</v>
      </c>
    </row>
    <row r="13" spans="1:2" ht="14.5" x14ac:dyDescent="0.35">
      <c r="A13" s="3" t="s">
        <v>125</v>
      </c>
      <c r="B13" s="11">
        <f>IF(ISERR(LN(1-$B$12)/LN(1-1/SamplingData[[#Totals],[Max Error Bound (up)]])), 0, ROUNDUP(LN(1-$B$12)/LN(1-1/SamplingData[[#Totals],[Max Error Bound (up)]]), 0))</f>
        <v>5</v>
      </c>
    </row>
    <row r="14" spans="1:2" ht="14.5" x14ac:dyDescent="0.35">
      <c r="A14" s="3" t="s">
        <v>126</v>
      </c>
      <c r="B14" s="11">
        <f>COUNT(SelectedPrecincts[Batch Number])</f>
        <v>5</v>
      </c>
    </row>
    <row r="15" spans="1:2" ht="14.5" x14ac:dyDescent="0.35">
      <c r="A15" s="3" t="s">
        <v>18</v>
      </c>
      <c r="B15" s="11">
        <f>SUMIF(Audit[Process Batch],TRUE,Audit[Times p Drawn - With Replacement])</f>
        <v>5</v>
      </c>
    </row>
    <row r="16" spans="1:2" ht="14.5" x14ac:dyDescent="0.35">
      <c r="A16" s="3" t="s">
        <v>19</v>
      </c>
      <c r="B16" s="11">
        <v>5</v>
      </c>
    </row>
    <row r="17" spans="1:2" ht="14.5" x14ac:dyDescent="0.35">
      <c r="A17" s="3" t="s">
        <v>20</v>
      </c>
      <c r="B17" s="11">
        <v>661</v>
      </c>
    </row>
    <row r="18" spans="1:2" ht="14.5" x14ac:dyDescent="0.35">
      <c r="A18" s="3" t="s">
        <v>21</v>
      </c>
      <c r="B18" s="11">
        <f>Audit[[#Totals],[Total Differences]]</f>
        <v>0</v>
      </c>
    </row>
    <row r="19" spans="1:2" ht="14.5" x14ac:dyDescent="0.35">
      <c r="A19" s="5" t="s">
        <v>22</v>
      </c>
      <c r="B19" s="13">
        <f>IF($B$17 = 0, 0, $B$18/$B$17)</f>
        <v>0</v>
      </c>
    </row>
    <row r="20" spans="1:2" ht="14.5" x14ac:dyDescent="0.35">
      <c r="A20" s="5" t="s">
        <v>23</v>
      </c>
      <c r="B20" s="11" t="s">
        <v>47</v>
      </c>
    </row>
    <row r="21" spans="1:2" ht="14.5" x14ac:dyDescent="0.35">
      <c r="A21" s="5" t="s">
        <v>24</v>
      </c>
      <c r="B21" s="11" t="s">
        <v>47</v>
      </c>
    </row>
    <row r="22" spans="1:2" ht="14.5" x14ac:dyDescent="0.35">
      <c r="A22" s="3" t="s">
        <v>25</v>
      </c>
      <c r="B22" s="11" t="s">
        <v>47</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3"/>
      <c r="B25" s="73"/>
    </row>
    <row r="26" spans="1:2" ht="14.5" x14ac:dyDescent="0.35">
      <c r="A26" s="124" t="s">
        <v>114</v>
      </c>
      <c r="B26" s="128"/>
    </row>
    <row r="27" spans="1:2" ht="14.5" x14ac:dyDescent="0.35">
      <c r="A27" s="26" t="s">
        <v>104</v>
      </c>
      <c r="B27" s="27" t="s">
        <v>1345</v>
      </c>
    </row>
    <row r="28" spans="1:2" ht="14.5" x14ac:dyDescent="0.35">
      <c r="A28" s="26" t="s">
        <v>105</v>
      </c>
      <c r="B28" s="27" t="s">
        <v>1346</v>
      </c>
    </row>
    <row r="29" spans="1:2" ht="14.5" hidden="1" x14ac:dyDescent="0.35">
      <c r="A29" s="26" t="s">
        <v>49</v>
      </c>
      <c r="B29" s="27"/>
    </row>
    <row r="30" spans="1:2" ht="14.5" hidden="1" x14ac:dyDescent="0.35">
      <c r="A30" s="26" t="s">
        <v>50</v>
      </c>
      <c r="B30" s="27"/>
    </row>
    <row r="31" spans="1:2" ht="14.5" hidden="1" x14ac:dyDescent="0.35">
      <c r="A31" s="26" t="s">
        <v>51</v>
      </c>
      <c r="B31" s="85"/>
    </row>
    <row r="32" spans="1:2" ht="14.5" hidden="1" x14ac:dyDescent="0.35">
      <c r="A32" s="26" t="s">
        <v>52</v>
      </c>
      <c r="B32" s="27"/>
    </row>
    <row r="33" spans="1:2" ht="14.5" hidden="1" x14ac:dyDescent="0.35">
      <c r="A33" s="84" t="s">
        <v>169</v>
      </c>
      <c r="B33" s="85"/>
    </row>
    <row r="34" spans="1:2" ht="14.5" hidden="1" x14ac:dyDescent="0.35">
      <c r="A34" s="84" t="s">
        <v>170</v>
      </c>
      <c r="B34" s="27"/>
    </row>
    <row r="35" spans="1:2" ht="14.5" hidden="1" x14ac:dyDescent="0.35">
      <c r="A35" s="84" t="s">
        <v>185</v>
      </c>
      <c r="B35" s="85"/>
    </row>
    <row r="36" spans="1:2" ht="14.5" hidden="1" x14ac:dyDescent="0.35">
      <c r="A36" s="84" t="s">
        <v>186</v>
      </c>
      <c r="B36" s="85"/>
    </row>
    <row r="37" spans="1:2" ht="14.5" hidden="1" x14ac:dyDescent="0.35">
      <c r="A37" s="84" t="s">
        <v>187</v>
      </c>
      <c r="B37" s="85"/>
    </row>
    <row r="38" spans="1:2" ht="14.5" hidden="1" x14ac:dyDescent="0.35">
      <c r="A38" s="84" t="s">
        <v>188</v>
      </c>
      <c r="B38" s="85"/>
    </row>
    <row r="39" spans="1:2" ht="15" customHeight="1" x14ac:dyDescent="0.35">
      <c r="A39" s="72"/>
      <c r="B39" s="72"/>
    </row>
    <row r="40" spans="1:2" ht="15" customHeight="1" x14ac:dyDescent="0.35">
      <c r="A40" s="124" t="s">
        <v>44</v>
      </c>
      <c r="B40" s="125"/>
    </row>
    <row r="41" spans="1:2" ht="15" customHeight="1" x14ac:dyDescent="0.35">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x14ac:dyDescent="0.35">
      <c r="A42" s="8" t="s">
        <v>40</v>
      </c>
      <c r="B42" s="89">
        <v>99999</v>
      </c>
    </row>
    <row r="43" spans="1:2" ht="15" customHeight="1" x14ac:dyDescent="0.35">
      <c r="A43" s="88" t="s">
        <v>41</v>
      </c>
      <c r="B43" s="91">
        <v>0</v>
      </c>
    </row>
    <row r="44" spans="1:2" ht="15" customHeight="1" x14ac:dyDescent="0.35">
      <c r="A44" s="8" t="s">
        <v>39</v>
      </c>
      <c r="B44" s="90">
        <f>IF(ISERR(B42-B43 + 1), 0, B42-B43 + 1)</f>
        <v>100000</v>
      </c>
    </row>
    <row r="45" spans="1:2" ht="15" customHeight="1" x14ac:dyDescent="0.35">
      <c r="A45" s="74"/>
      <c r="B45" s="74"/>
    </row>
    <row r="46" spans="1:2" ht="14.5" x14ac:dyDescent="0.35">
      <c r="A46" s="126" t="s">
        <v>162</v>
      </c>
      <c r="B46" s="127"/>
    </row>
    <row r="47" spans="1:2" ht="14.5" x14ac:dyDescent="0.35">
      <c r="A47" s="9" t="s">
        <v>45</v>
      </c>
      <c r="B47" s="10" t="s">
        <v>46</v>
      </c>
    </row>
    <row r="48" spans="1:2" ht="14.5" x14ac:dyDescent="0.3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2"/>
  <sheetViews>
    <sheetView zoomScale="80" zoomScaleNormal="80" workbookViewId="0">
      <selection activeCell="B8" sqref="B8"/>
    </sheetView>
  </sheetViews>
  <sheetFormatPr defaultRowHeight="15" customHeight="1" x14ac:dyDescent="0.35"/>
  <cols>
    <col min="1" max="1" width="14.26953125" customWidth="1"/>
    <col min="2" max="2" width="18.7265625" customWidth="1"/>
    <col min="3" max="3" width="42.7265625" bestFit="1" customWidth="1"/>
  </cols>
  <sheetData>
    <row r="1" spans="1:3" x14ac:dyDescent="0.35">
      <c r="A1" s="124" t="str">
        <f ca="1">MID(CELL("filename",$A$2), FIND("]", CELL("filename",$A$2)) + 1, 255)</f>
        <v>Selected Batches</v>
      </c>
      <c r="B1" s="129"/>
      <c r="C1" s="125"/>
    </row>
    <row r="2" spans="1:3" x14ac:dyDescent="0.35">
      <c r="A2" s="2" t="s">
        <v>28</v>
      </c>
      <c r="B2" s="2" t="s">
        <v>8</v>
      </c>
      <c r="C2" s="2" t="s">
        <v>9</v>
      </c>
    </row>
    <row r="3" spans="1:3" x14ac:dyDescent="0.35">
      <c r="A3" s="24">
        <f t="shared" ref="A3:A12" si="0">ROW() -2</f>
        <v>1</v>
      </c>
      <c r="B3" s="48">
        <v>64908</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6508 DELHI H   (ED)</v>
      </c>
    </row>
    <row r="4" spans="1:3" x14ac:dyDescent="0.35">
      <c r="A4" s="24">
        <f t="shared" si="0"/>
        <v>2</v>
      </c>
      <c r="B4" s="49">
        <v>90094</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8703 SPFLD C   (ED)</v>
      </c>
    </row>
    <row r="5" spans="1:3" x14ac:dyDescent="0.35">
      <c r="A5" s="24">
        <f t="shared" si="0"/>
        <v>3</v>
      </c>
      <c r="B5" s="49">
        <v>6258</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5609 AND I   (AV)</v>
      </c>
    </row>
    <row r="6" spans="1:3" x14ac:dyDescent="0.35">
      <c r="A6" s="24">
        <f t="shared" si="0"/>
        <v>4</v>
      </c>
      <c r="B6" s="49">
        <v>62406</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6402 CROSB B   (ED)</v>
      </c>
    </row>
    <row r="7" spans="1:3" x14ac:dyDescent="0.35">
      <c r="A7" s="24">
        <f t="shared" si="0"/>
        <v>5</v>
      </c>
      <c r="B7" s="49">
        <v>2890</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2612 CIN 26-L   (AV)</v>
      </c>
    </row>
    <row r="8" spans="1:3" x14ac:dyDescent="0.35">
      <c r="A8" s="24">
        <f t="shared" si="0"/>
        <v>6</v>
      </c>
      <c r="B8" s="49"/>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9" spans="1:3" x14ac:dyDescent="0.35">
      <c r="A9" s="24">
        <f t="shared" si="0"/>
        <v>7</v>
      </c>
      <c r="B9" s="49"/>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0" spans="1:3" x14ac:dyDescent="0.35">
      <c r="A10" s="24">
        <f t="shared" si="0"/>
        <v>8</v>
      </c>
      <c r="B10" s="49"/>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1" spans="1:3" x14ac:dyDescent="0.35">
      <c r="A11" s="24">
        <f t="shared" si="0"/>
        <v>9</v>
      </c>
      <c r="B11" s="49"/>
      <c r="C11" s="25"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2" spans="1:3" x14ac:dyDescent="0.35">
      <c r="A12" s="24">
        <f t="shared" si="0"/>
        <v>10</v>
      </c>
      <c r="B12" s="49"/>
      <c r="C12" s="25"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31"/>
  <sheetViews>
    <sheetView zoomScaleNormal="100" zoomScalePageLayoutView="80" workbookViewId="0">
      <pane ySplit="4" topLeftCell="A5" activePane="bottomLeft" state="frozen"/>
      <selection pane="bottomLeft" activeCell="T1131" sqref="T1131"/>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18" t="str">
        <f ca="1">MID(CELL("filename",$A$4), FIND("]", CELL("filename",$A$4)) + 1, 255)</f>
        <v>Audit</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47">
        <f>'General Info'!$B$12</f>
        <v>0.9</v>
      </c>
    </row>
    <row r="2" spans="1:67" ht="15" customHeight="1" x14ac:dyDescent="0.35">
      <c r="A2" s="115" t="s">
        <v>100</v>
      </c>
      <c r="B2" s="116"/>
      <c r="C2" s="116"/>
      <c r="D2" s="116"/>
      <c r="E2" s="116"/>
      <c r="F2" s="116"/>
      <c r="G2" s="116"/>
      <c r="H2" s="116"/>
      <c r="I2" s="116"/>
      <c r="J2" s="116"/>
      <c r="K2" s="116"/>
      <c r="L2" s="116"/>
      <c r="M2" s="116"/>
      <c r="N2" s="116"/>
      <c r="O2" s="116"/>
      <c r="P2" s="116"/>
      <c r="Q2" s="116"/>
      <c r="R2" s="117"/>
      <c r="S2" s="120" t="s">
        <v>99</v>
      </c>
      <c r="T2" s="121"/>
      <c r="U2" s="121"/>
      <c r="V2" s="121"/>
      <c r="W2" s="121"/>
      <c r="X2" s="121"/>
      <c r="Y2" s="121"/>
      <c r="Z2" s="122"/>
      <c r="AA2" s="92"/>
      <c r="AB2" s="92"/>
      <c r="AC2" s="92"/>
      <c r="AD2" s="92"/>
      <c r="AE2" s="115" t="s">
        <v>100</v>
      </c>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7"/>
      <c r="BN2" s="28" t="s">
        <v>99</v>
      </c>
    </row>
    <row r="3" spans="1:67" ht="74.5" x14ac:dyDescent="0.35">
      <c r="A3" s="34" t="s">
        <v>98</v>
      </c>
      <c r="B3" s="34" t="s">
        <v>65</v>
      </c>
      <c r="C3" s="34" t="str">
        <f>IF(ISBLANK('General Info'!$B$27), "UNDEFINED", 'General Info'!$B$27 &amp; "
(Declared Winner)")</f>
        <v>Vivek Ramaswamy
(Declared Winner)</v>
      </c>
      <c r="D3" s="34" t="str">
        <f>IF(ISBLANK('General Info'!$B$28),"UNDEFINED",'General Info'!$B$28&amp;"
(Declared Loser)")</f>
        <v>Casey Putsch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67</v>
      </c>
      <c r="S3" s="28" t="str">
        <f>"Audit
" &amp; IF(ISBLANK('General Info'!$B$27), "UNDEFINED", 'General Info'!$B$27 &amp; "
(Winner)")</f>
        <v>Audit
Vivek Ramaswamy
(Winner)</v>
      </c>
      <c r="T3" s="28" t="str">
        <f>"Audit
" &amp; IF(ISBLANK('General Info'!$B$28),"UNDEFINED",'General Info'!$B$28&amp;"
(Loser)")</f>
        <v>Audit
Casey Putsch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Vivek Ramaswamy
(Winner)</v>
      </c>
      <c r="AF3" s="43" t="str">
        <f>"Difference
" &amp; IF(ISBLANK('General Info'!$B$28),"UNDEFINED",'General Info'!$B$28&amp;"
(Loser)")</f>
        <v>Difference
Casey Putsch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66</v>
      </c>
      <c r="AU3" s="43" t="str">
        <f>IF(ISBLANK('General Info'!$B$28),"UNDEFINED","Relative Error (ep) - 
Error Rate as a proportion of the margin of victory for "&amp;'General Info'!$B$28&amp;" (Loser)")</f>
        <v>Relative Error (ep) - 
Error Rate as a proportion of the margin of victory for Casey Putsch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93</v>
      </c>
      <c r="BG3" s="43" t="s">
        <v>68</v>
      </c>
      <c r="BH3" s="43" t="s">
        <v>1</v>
      </c>
      <c r="BI3" s="43" t="s">
        <v>3</v>
      </c>
      <c r="BJ3" s="43" t="s">
        <v>2</v>
      </c>
      <c r="BK3" s="45" t="s">
        <v>17</v>
      </c>
      <c r="BL3" s="43" t="s">
        <v>4</v>
      </c>
      <c r="BM3" s="43" t="s">
        <v>38</v>
      </c>
      <c r="BN3" s="46" t="s">
        <v>43</v>
      </c>
    </row>
    <row r="4" spans="1:67" s="1" customFormat="1" ht="18.75" customHeight="1" x14ac:dyDescent="0.35">
      <c r="A4" s="35" t="s">
        <v>97</v>
      </c>
      <c r="B4" s="35" t="s">
        <v>56</v>
      </c>
      <c r="C4" s="37" t="s">
        <v>48</v>
      </c>
      <c r="D4" s="37" t="s">
        <v>62</v>
      </c>
      <c r="E4" s="37" t="s">
        <v>63</v>
      </c>
      <c r="F4" s="37" t="s">
        <v>64</v>
      </c>
      <c r="G4" s="37" t="s">
        <v>53</v>
      </c>
      <c r="H4" s="86" t="s">
        <v>54</v>
      </c>
      <c r="I4" s="37" t="s">
        <v>168</v>
      </c>
      <c r="J4" s="37" t="s">
        <v>167</v>
      </c>
      <c r="K4" s="37" t="s">
        <v>189</v>
      </c>
      <c r="L4" s="37" t="s">
        <v>190</v>
      </c>
      <c r="M4" s="37" t="s">
        <v>191</v>
      </c>
      <c r="N4" s="37" t="s">
        <v>192</v>
      </c>
      <c r="O4" s="37" t="s">
        <v>6</v>
      </c>
      <c r="P4" s="37" t="s">
        <v>7</v>
      </c>
      <c r="Q4" s="37" t="s">
        <v>0</v>
      </c>
      <c r="R4" s="37" t="s">
        <v>59</v>
      </c>
      <c r="S4" s="38" t="s">
        <v>70</v>
      </c>
      <c r="T4" s="38" t="s">
        <v>69</v>
      </c>
      <c r="U4" s="38" t="s">
        <v>71</v>
      </c>
      <c r="V4" s="38" t="s">
        <v>72</v>
      </c>
      <c r="W4" s="38" t="s">
        <v>73</v>
      </c>
      <c r="X4" s="38" t="s">
        <v>74</v>
      </c>
      <c r="Y4" s="38" t="s">
        <v>172</v>
      </c>
      <c r="Z4" s="38" t="s">
        <v>171</v>
      </c>
      <c r="AA4" s="38" t="s">
        <v>197</v>
      </c>
      <c r="AB4" s="38" t="s">
        <v>198</v>
      </c>
      <c r="AC4" s="38" t="s">
        <v>199</v>
      </c>
      <c r="AD4" s="38" t="s">
        <v>200</v>
      </c>
      <c r="AE4" s="39" t="s">
        <v>34</v>
      </c>
      <c r="AF4" s="39" t="s">
        <v>33</v>
      </c>
      <c r="AG4" s="39" t="s">
        <v>77</v>
      </c>
      <c r="AH4" s="39" t="s">
        <v>78</v>
      </c>
      <c r="AI4" s="39" t="s">
        <v>79</v>
      </c>
      <c r="AJ4" s="39" t="s">
        <v>80</v>
      </c>
      <c r="AK4" s="39" t="s">
        <v>176</v>
      </c>
      <c r="AL4" s="39" t="s">
        <v>175</v>
      </c>
      <c r="AM4" s="39" t="s">
        <v>201</v>
      </c>
      <c r="AN4" s="39" t="s">
        <v>202</v>
      </c>
      <c r="AO4" s="39" t="s">
        <v>203</v>
      </c>
      <c r="AP4" s="39" t="s">
        <v>204</v>
      </c>
      <c r="AQ4" s="39" t="s">
        <v>35</v>
      </c>
      <c r="AR4" s="39" t="s">
        <v>36</v>
      </c>
      <c r="AS4" s="40" t="s">
        <v>37</v>
      </c>
      <c r="AT4" s="35" t="s">
        <v>57</v>
      </c>
      <c r="AU4" s="33" t="s">
        <v>81</v>
      </c>
      <c r="AV4" s="33" t="s">
        <v>82</v>
      </c>
      <c r="AW4" s="33" t="s">
        <v>83</v>
      </c>
      <c r="AX4" s="33" t="s">
        <v>84</v>
      </c>
      <c r="AY4" s="33" t="s">
        <v>179</v>
      </c>
      <c r="AZ4" s="33" t="s">
        <v>178</v>
      </c>
      <c r="BA4" s="33" t="s">
        <v>177</v>
      </c>
      <c r="BB4" s="33" t="s">
        <v>205</v>
      </c>
      <c r="BC4" s="33" t="s">
        <v>206</v>
      </c>
      <c r="BD4" s="33" t="s">
        <v>207</v>
      </c>
      <c r="BE4" s="33" t="s">
        <v>208</v>
      </c>
      <c r="BF4" s="33" t="s">
        <v>93</v>
      </c>
      <c r="BG4" s="33" t="s">
        <v>85</v>
      </c>
      <c r="BH4" s="33" t="s">
        <v>1</v>
      </c>
      <c r="BI4" s="33" t="s">
        <v>75</v>
      </c>
      <c r="BJ4" s="33" t="s">
        <v>2</v>
      </c>
      <c r="BK4" s="41" t="s">
        <v>17</v>
      </c>
      <c r="BL4" s="33" t="s">
        <v>76</v>
      </c>
      <c r="BM4" s="33" t="s">
        <v>38</v>
      </c>
      <c r="BN4" s="42" t="s">
        <v>43</v>
      </c>
    </row>
    <row r="5" spans="1:67" ht="14.5" hidden="1" x14ac:dyDescent="0.35">
      <c r="A5" s="78" t="str">
        <f>'Sampling Data'!AI5</f>
        <v/>
      </c>
      <c r="B5" s="78" t="str">
        <f>'Sampling Data'!A5</f>
        <v>0101 CIN 1-A   (AV)</v>
      </c>
      <c r="C5" s="78">
        <f>'Sampling Data'!B5</f>
        <v>2</v>
      </c>
      <c r="D5" s="78">
        <f>'Sampling Data'!C5</f>
        <v>0</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2</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1.2563997864120362E-4</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x14ac:dyDescent="0.35">
      <c r="A6" s="18" t="str">
        <f>'Sampling Data'!AI6</f>
        <v/>
      </c>
      <c r="B6" s="18" t="str">
        <f>'Sampling Data'!A6</f>
        <v>0102 CIN 1-B   (AV)</v>
      </c>
      <c r="C6" s="19">
        <f>'Sampling Data'!B6</f>
        <v>16</v>
      </c>
      <c r="D6" s="19">
        <f>'Sampling Data'!C6</f>
        <v>2</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1</v>
      </c>
      <c r="Q6" s="19">
        <f>'Sampling Data'!P6</f>
        <v>19</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1.0365298237899299E-3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x14ac:dyDescent="0.35">
      <c r="A7" s="78" t="str">
        <f>'Sampling Data'!AI7</f>
        <v/>
      </c>
      <c r="B7" s="78" t="str">
        <f>'Sampling Data'!A7</f>
        <v>0103 CIN 1-C   (AV)</v>
      </c>
      <c r="C7" s="78">
        <f>'Sampling Data'!B7</f>
        <v>8</v>
      </c>
      <c r="D7" s="78">
        <f>'Sampling Data'!C7</f>
        <v>0</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0</v>
      </c>
      <c r="P7" s="78">
        <f>'Sampling Data'!O7</f>
        <v>0</v>
      </c>
      <c r="Q7" s="78">
        <f>'Sampling Data'!P7</f>
        <v>8</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5.0255991456481448E-4</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x14ac:dyDescent="0.35">
      <c r="A8" s="18" t="str">
        <f>'Sampling Data'!AI8</f>
        <v/>
      </c>
      <c r="B8" s="18" t="str">
        <f>'Sampling Data'!A8</f>
        <v>0104 CIN 1-D   (AV)</v>
      </c>
      <c r="C8" s="19">
        <f>'Sampling Data'!B8</f>
        <v>7</v>
      </c>
      <c r="D8" s="19">
        <f>'Sampling Data'!C8</f>
        <v>1</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0</v>
      </c>
      <c r="Q8" s="19">
        <f>'Sampling Data'!P8</f>
        <v>8</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4.3973992524421271E-4</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x14ac:dyDescent="0.35">
      <c r="A9" s="78" t="str">
        <f>'Sampling Data'!AI9</f>
        <v/>
      </c>
      <c r="B9" s="78" t="str">
        <f>'Sampling Data'!A9</f>
        <v>0105 CIN 1-E   (AV)</v>
      </c>
      <c r="C9" s="78">
        <f>'Sampling Data'!B9</f>
        <v>7</v>
      </c>
      <c r="D9" s="78">
        <f>'Sampling Data'!C9</f>
        <v>1</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0</v>
      </c>
      <c r="Q9" s="78">
        <f>'Sampling Data'!P9</f>
        <v>8</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4.3973992524421271E-4</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x14ac:dyDescent="0.35">
      <c r="A10" s="18" t="str">
        <f>'Sampling Data'!AI10</f>
        <v/>
      </c>
      <c r="B10" s="18" t="str">
        <f>'Sampling Data'!A10</f>
        <v>0106 CIN 1-F   (AV)</v>
      </c>
      <c r="C10" s="19">
        <f>'Sampling Data'!B10</f>
        <v>14</v>
      </c>
      <c r="D10" s="19">
        <f>'Sampling Data'!C10</f>
        <v>2</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0</v>
      </c>
      <c r="Q10" s="19">
        <f>'Sampling Data'!P10</f>
        <v>16</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8.7947985048842541E-4</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x14ac:dyDescent="0.35">
      <c r="A11" s="78" t="str">
        <f>'Sampling Data'!AI11</f>
        <v/>
      </c>
      <c r="B11" s="78" t="str">
        <f>'Sampling Data'!A11</f>
        <v>0107 CIN 1-G   (AV)</v>
      </c>
      <c r="C11" s="78">
        <f>'Sampling Data'!B11</f>
        <v>6</v>
      </c>
      <c r="D11" s="78">
        <f>'Sampling Data'!C11</f>
        <v>1</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0</v>
      </c>
      <c r="Q11" s="78">
        <f>'Sampling Data'!P11</f>
        <v>7</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3.7691993592361088E-4</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x14ac:dyDescent="0.35">
      <c r="A12" s="18" t="str">
        <f>'Sampling Data'!AI12</f>
        <v/>
      </c>
      <c r="B12" s="18" t="str">
        <f>'Sampling Data'!A12</f>
        <v>0108 CIN 1-H   (AV)</v>
      </c>
      <c r="C12" s="19">
        <f>'Sampling Data'!B12</f>
        <v>4</v>
      </c>
      <c r="D12" s="19">
        <f>'Sampling Data'!C12</f>
        <v>0</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0</v>
      </c>
      <c r="Q12" s="19">
        <f>'Sampling Data'!P12</f>
        <v>4</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2.5127995728240724E-4</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x14ac:dyDescent="0.35">
      <c r="A13" s="78" t="str">
        <f>'Sampling Data'!AI13</f>
        <v/>
      </c>
      <c r="B13" s="78" t="str">
        <f>'Sampling Data'!A13</f>
        <v>0109 CIN 1-I   (AV)</v>
      </c>
      <c r="C13" s="78">
        <f>'Sampling Data'!B13</f>
        <v>7</v>
      </c>
      <c r="D13" s="78">
        <f>'Sampling Data'!C13</f>
        <v>0</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0</v>
      </c>
      <c r="Q13" s="78">
        <f>'Sampling Data'!P13</f>
        <v>7</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4.3973992524421271E-4</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x14ac:dyDescent="0.35">
      <c r="A14" s="18" t="str">
        <f>'Sampling Data'!AI14</f>
        <v/>
      </c>
      <c r="B14" s="18" t="str">
        <f>'Sampling Data'!A14</f>
        <v>0110 CIN 1-J   (AV)</v>
      </c>
      <c r="C14" s="19">
        <f>'Sampling Data'!B14</f>
        <v>6</v>
      </c>
      <c r="D14" s="19">
        <f>'Sampling Data'!C14</f>
        <v>0</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1</v>
      </c>
      <c r="Q14" s="19">
        <f>'Sampling Data'!P14</f>
        <v>7</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4.0832993058391182E-4</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 s="18">
        <f t="shared" si="0"/>
        <v>1</v>
      </c>
      <c r="BJ14">
        <f>PRODUCT($BI$5:BI1130)</f>
        <v>6.0944423859500517E-2</v>
      </c>
      <c r="BK14" s="20">
        <f>1 - Audit[[#This Row],[K-M P Value]]</f>
        <v>0.9390555761404995</v>
      </c>
      <c r="BL14" s="18" t="str">
        <f>IF(Audit[[#This Row],[K-M P Value]]&gt;1-'General Info'!$B$12,"Continue", "Stop")</f>
        <v>Stop</v>
      </c>
      <c r="BM14" s="23" t="b">
        <f>IF(Audit[[#This Row],[Status - Continue or stop audit]] = "Continue", TRUE, IF(BL13 = "Continue", TRUE, FALSE))</f>
        <v>1</v>
      </c>
      <c r="BN14" s="23"/>
    </row>
    <row r="15" spans="1:67" ht="15" hidden="1" customHeight="1" x14ac:dyDescent="0.35">
      <c r="A15" s="18" t="str">
        <f>'Sampling Data'!AI15</f>
        <v/>
      </c>
      <c r="B15" s="18" t="str">
        <f>'Sampling Data'!A15</f>
        <v>0111 CIN 1-K   (AV)</v>
      </c>
      <c r="C15" s="18">
        <f>'Sampling Data'!B15</f>
        <v>7</v>
      </c>
      <c r="D15" s="18">
        <f>'Sampling Data'!C15</f>
        <v>0</v>
      </c>
      <c r="E15" s="19">
        <f>'Sampling Data'!D15</f>
        <v>0</v>
      </c>
      <c r="F15" s="19">
        <f>'Sampling Data'!E15</f>
        <v>0</v>
      </c>
      <c r="G15" s="19">
        <f>'Sampling Data'!F15</f>
        <v>0</v>
      </c>
      <c r="H15" s="19">
        <f>'Sampling Data'!G15</f>
        <v>0</v>
      </c>
      <c r="I15" s="19">
        <f>'Sampling Data'!H15</f>
        <v>0</v>
      </c>
      <c r="J15" s="19">
        <f>'Sampling Data'!I15</f>
        <v>0</v>
      </c>
      <c r="K15" s="19">
        <f>'Sampling Data'!J15</f>
        <v>0</v>
      </c>
      <c r="L15" s="19">
        <f>'Sampling Data'!K15</f>
        <v>0</v>
      </c>
      <c r="M15" s="19">
        <f>'Sampling Data'!L15</f>
        <v>0</v>
      </c>
      <c r="N15" s="19">
        <f>'Sampling Data'!M15</f>
        <v>0</v>
      </c>
      <c r="O15" s="18">
        <f>'Sampling Data'!N15</f>
        <v>0</v>
      </c>
      <c r="P15" s="18">
        <f>'Sampling Data'!O15</f>
        <v>0</v>
      </c>
      <c r="Q15" s="18">
        <f>'Sampling Data'!P15</f>
        <v>7</v>
      </c>
      <c r="R15" s="18">
        <f>'Sampling Data'!AJ15</f>
        <v>0</v>
      </c>
      <c r="S15" s="112"/>
      <c r="T15" s="112"/>
      <c r="U15" s="113"/>
      <c r="V15" s="113"/>
      <c r="W15" s="112"/>
      <c r="X15" s="112"/>
      <c r="Y15" s="112"/>
      <c r="Z15" s="112"/>
      <c r="AA15" s="15"/>
      <c r="AB15" s="15"/>
      <c r="AC15" s="15"/>
      <c r="AD15" s="15"/>
      <c r="AE15" s="114" t="str">
        <f>IF(NOT(ISBLANK(Audit[[#This Row],[Audit Winning Candidate]])), Audit[[#This Row],[Audit Winning Candidate]]-Audit[[#This Row],[Winning Candidate]], "")</f>
        <v/>
      </c>
      <c r="AF15" s="18" t="str">
        <f>IF(NOT(ISBLANK(Audit[[#This Row],[Audit Losing Candidate]])), Audit[[#This Row],[Audit Losing Candidate]]-Audit[[#This Row],[Losing Candidate]], "")</f>
        <v/>
      </c>
      <c r="AG15" s="18" t="str">
        <f>IF(NOT(ISBLANK(Audit[[#This Row],[Audit Candidate 3]])), Audit[[#This Row],[Audit Candidate 3]]-Audit[[#This Row],[Candidate 3]], "")</f>
        <v/>
      </c>
      <c r="AH15" s="18" t="str">
        <f>IF(NOT(ISBLANK(Audit[[#This Row],[Audit Candidate 4]])),Audit[[#This Row],[Audit Candidate 4]]-Audit[[#This Row],[Candidate 4]], "")</f>
        <v/>
      </c>
      <c r="AI15" s="18" t="str">
        <f>IF(NOT(ISBLANK(Audit[[#This Row],[Audit Candidate 5]])), Audit[[#This Row],[Audit Candidate 5]]-Audit[[#This Row],[Candidate 5]], "")</f>
        <v/>
      </c>
      <c r="AJ15" s="18" t="str">
        <f>IF(NOT(ISBLANK(Audit[[#This Row],[Audit Candidate 6]])), Audit[[#This Row],[Audit Candidate 6]]-Audit[[#This Row],[Candidate 6]], "")</f>
        <v/>
      </c>
      <c r="AK15" s="18" t="str">
        <f>IF(NOT(ISBLANK(Audit[[#This Row],[Audit Candidate 7]])), Audit[[#This Row],[Audit Candidate 7]]-Audit[[#This Row],[Candidate 7]], "")</f>
        <v/>
      </c>
      <c r="AL15" s="18" t="str">
        <f>IF(NOT(ISBLANK(Audit[[#This Row],[Audit Candidate 8]])), Audit[[#This Row],[Audit Candidate 8]]-Audit[[#This Row],[Candidate 8]], "")</f>
        <v/>
      </c>
      <c r="AM15" s="18" t="str">
        <f>IF(NOT(ISBLANK(Audit[[#This Row],[Audit Candidate 9]])), Audit[[#This Row],[Audit Candidate 9]]-Audit[[#This Row],[Candidate 9]], "")</f>
        <v/>
      </c>
      <c r="AN15" s="18" t="str">
        <f>IF(NOT(ISBLANK(Audit[[#This Row],[Audit Candidate 10]])), Audit[[#This Row],[Audit Candidate 10]]-Audit[[#This Row],[Candidate 10]], "")</f>
        <v/>
      </c>
      <c r="AO15" s="18" t="str">
        <f>IF(NOT(ISBLANK(Audit[[#This Row],[Audit Candidate 11]])), Audit[[#This Row],[Audit Candidate 11]]-Audit[[#This Row],[Candidate 11]], "")</f>
        <v/>
      </c>
      <c r="AP15" s="18" t="str">
        <f>IF(NOT(ISBLANK(Audit[[#This Row],[Audit Candidate 12]])), Audit[[#This Row],[Audit Candidate 12]]-Audit[[#This Row],[Candidate 12]], "")</f>
        <v/>
      </c>
      <c r="AQ15" s="18">
        <f>SUMIF(Audit[[#This Row],[Difference Winner]:[Difference Candidate 12]], "&gt;0")</f>
        <v>0</v>
      </c>
      <c r="AR15" s="18">
        <f>SUM(Audit[[#This Row],[Difference Winner]:[Difference Candidate 12]])</f>
        <v>0</v>
      </c>
      <c r="AS15" s="18">
        <f>IF(Audit[[#This Row],[Times p Drawn - With Replacement]]&gt;0, IF(Audit[[#This Row],[Canceled Differences]]&lt;0, Audit[[#This Row],[Max Differences]]+ABS(Audit[[#This Row],[Canceled Differences]]), Audit[[#This Row],[Max Differences]]), 0)</f>
        <v>0</v>
      </c>
      <c r="AT15" s="18">
        <f>'Sampling Data'!AB15</f>
        <v>4.3973992524421271E-4</v>
      </c>
      <c r="AU15" s="18">
        <f>IF(
      SUM(Audit[[#This Row],[Audit Losing Candidate]:[Audit Candidate 12]])
      &lt;&gt;0,
      (Audit[[#This Row],[Winning Candidate]]-Audit[[#This Row],[Losing Candidate]]-(Audit[[#This Row],[Audit Winning Candidate]]-Audit[[#This Row],[Audit Losing Candidate]]))/(Audit[[#Totals],[Winning Candidate]]-Audit[[#Totals],[Losing Candidate]]),
      0
)</f>
        <v>0</v>
      </c>
      <c r="AV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8">
        <f>IF(Audit[[#This Row],[Max Relative Error (ep)]] = 0, 0, Audit[[#This Row],[Max Relative Error (ep)]]/Audit[[#This Row],[Error Bound (up) - Max. possible relative overstatement]])</f>
        <v>0</v>
      </c>
      <c r="BH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 s="18">
        <f t="shared" ref="BI15:BI78" si="1">IF(ISERR(POWER(BH15,R15)), 0, POWER(BH15,R15))</f>
        <v>1</v>
      </c>
      <c r="BJ15" s="18">
        <f>PRODUCT($BI$5:BI15)</f>
        <v>1</v>
      </c>
      <c r="BK15" s="20">
        <f>1 - Audit[[#This Row],[K-M P Value]]</f>
        <v>0</v>
      </c>
      <c r="BL15" s="18" t="str">
        <f>IF(Audit[[#This Row],[K-M P Value]]&gt;1-'General Info'!$B$12,"Continue", "Stop")</f>
        <v>Continue</v>
      </c>
      <c r="BM15" s="23" t="b">
        <f>IF(Audit[[#This Row],[Status - Continue or stop audit]] = "Continue", TRUE, IF(BL14 = "Continue", TRUE, FALSE))</f>
        <v>1</v>
      </c>
      <c r="BN15" s="23"/>
    </row>
    <row r="16" spans="1:67" ht="15" hidden="1" customHeight="1" x14ac:dyDescent="0.35">
      <c r="A16" s="18" t="str">
        <f>'Sampling Data'!AI16</f>
        <v/>
      </c>
      <c r="B16" s="18" t="str">
        <f>'Sampling Data'!A16</f>
        <v>0112 CIN 1-L   (AV)</v>
      </c>
      <c r="C16" s="18">
        <f>'Sampling Data'!B16</f>
        <v>5</v>
      </c>
      <c r="D16" s="18">
        <f>'Sampling Data'!C16</f>
        <v>1</v>
      </c>
      <c r="E16" s="19">
        <f>'Sampling Data'!D16</f>
        <v>0</v>
      </c>
      <c r="F16" s="19">
        <f>'Sampling Data'!E16</f>
        <v>0</v>
      </c>
      <c r="G16" s="19">
        <f>'Sampling Data'!F16</f>
        <v>0</v>
      </c>
      <c r="H16" s="19">
        <f>'Sampling Data'!G16</f>
        <v>0</v>
      </c>
      <c r="I16" s="19">
        <f>'Sampling Data'!H16</f>
        <v>0</v>
      </c>
      <c r="J16" s="19">
        <f>'Sampling Data'!I16</f>
        <v>0</v>
      </c>
      <c r="K16" s="19">
        <f>'Sampling Data'!J16</f>
        <v>0</v>
      </c>
      <c r="L16" s="19">
        <f>'Sampling Data'!K16</f>
        <v>0</v>
      </c>
      <c r="M16" s="19">
        <f>'Sampling Data'!L16</f>
        <v>0</v>
      </c>
      <c r="N16" s="19">
        <f>'Sampling Data'!M16</f>
        <v>0</v>
      </c>
      <c r="O16" s="18">
        <f>'Sampling Data'!N16</f>
        <v>0</v>
      </c>
      <c r="P16" s="18">
        <f>'Sampling Data'!O16</f>
        <v>0</v>
      </c>
      <c r="Q16" s="18">
        <f>'Sampling Data'!P16</f>
        <v>6</v>
      </c>
      <c r="R16" s="18">
        <f>'Sampling Data'!AJ16</f>
        <v>0</v>
      </c>
      <c r="S16" s="112"/>
      <c r="T16" s="112"/>
      <c r="U16" s="113"/>
      <c r="V16" s="113"/>
      <c r="W16" s="112"/>
      <c r="X16" s="112"/>
      <c r="Y16" s="112"/>
      <c r="Z16" s="112"/>
      <c r="AA16" s="15"/>
      <c r="AB16" s="15"/>
      <c r="AC16" s="15"/>
      <c r="AD16" s="15"/>
      <c r="AE16" s="114" t="str">
        <f>IF(NOT(ISBLANK(Audit[[#This Row],[Audit Winning Candidate]])), Audit[[#This Row],[Audit Winning Candidate]]-Audit[[#This Row],[Winning Candidate]], "")</f>
        <v/>
      </c>
      <c r="AF16" s="18" t="str">
        <f>IF(NOT(ISBLANK(Audit[[#This Row],[Audit Losing Candidate]])), Audit[[#This Row],[Audit Losing Candidate]]-Audit[[#This Row],[Losing Candidate]], "")</f>
        <v/>
      </c>
      <c r="AG16" s="18" t="str">
        <f>IF(NOT(ISBLANK(Audit[[#This Row],[Audit Candidate 3]])), Audit[[#This Row],[Audit Candidate 3]]-Audit[[#This Row],[Candidate 3]], "")</f>
        <v/>
      </c>
      <c r="AH16" s="18" t="str">
        <f>IF(NOT(ISBLANK(Audit[[#This Row],[Audit Candidate 4]])),Audit[[#This Row],[Audit Candidate 4]]-Audit[[#This Row],[Candidate 4]], "")</f>
        <v/>
      </c>
      <c r="AI16" s="18" t="str">
        <f>IF(NOT(ISBLANK(Audit[[#This Row],[Audit Candidate 5]])), Audit[[#This Row],[Audit Candidate 5]]-Audit[[#This Row],[Candidate 5]], "")</f>
        <v/>
      </c>
      <c r="AJ16" s="18" t="str">
        <f>IF(NOT(ISBLANK(Audit[[#This Row],[Audit Candidate 6]])), Audit[[#This Row],[Audit Candidate 6]]-Audit[[#This Row],[Candidate 6]], "")</f>
        <v/>
      </c>
      <c r="AK16" s="18" t="str">
        <f>IF(NOT(ISBLANK(Audit[[#This Row],[Audit Candidate 7]])), Audit[[#This Row],[Audit Candidate 7]]-Audit[[#This Row],[Candidate 7]], "")</f>
        <v/>
      </c>
      <c r="AL16" s="18" t="str">
        <f>IF(NOT(ISBLANK(Audit[[#This Row],[Audit Candidate 8]])), Audit[[#This Row],[Audit Candidate 8]]-Audit[[#This Row],[Candidate 8]], "")</f>
        <v/>
      </c>
      <c r="AM16" s="18" t="str">
        <f>IF(NOT(ISBLANK(Audit[[#This Row],[Audit Candidate 9]])), Audit[[#This Row],[Audit Candidate 9]]-Audit[[#This Row],[Candidate 9]], "")</f>
        <v/>
      </c>
      <c r="AN16" s="18" t="str">
        <f>IF(NOT(ISBLANK(Audit[[#This Row],[Audit Candidate 10]])), Audit[[#This Row],[Audit Candidate 10]]-Audit[[#This Row],[Candidate 10]], "")</f>
        <v/>
      </c>
      <c r="AO16" s="18" t="str">
        <f>IF(NOT(ISBLANK(Audit[[#This Row],[Audit Candidate 11]])), Audit[[#This Row],[Audit Candidate 11]]-Audit[[#This Row],[Candidate 11]], "")</f>
        <v/>
      </c>
      <c r="AP16" s="18" t="str">
        <f>IF(NOT(ISBLANK(Audit[[#This Row],[Audit Candidate 12]])), Audit[[#This Row],[Audit Candidate 12]]-Audit[[#This Row],[Candidate 12]], "")</f>
        <v/>
      </c>
      <c r="AQ16" s="18">
        <f>SUMIF(Audit[[#This Row],[Difference Winner]:[Difference Candidate 12]], "&gt;0")</f>
        <v>0</v>
      </c>
      <c r="AR16" s="18">
        <f>SUM(Audit[[#This Row],[Difference Winner]:[Difference Candidate 12]])</f>
        <v>0</v>
      </c>
      <c r="AS16" s="18">
        <f>IF(Audit[[#This Row],[Times p Drawn - With Replacement]]&gt;0, IF(Audit[[#This Row],[Canceled Differences]]&lt;0, Audit[[#This Row],[Max Differences]]+ABS(Audit[[#This Row],[Canceled Differences]]), Audit[[#This Row],[Max Differences]]), 0)</f>
        <v>0</v>
      </c>
      <c r="AT16" s="18">
        <f>'Sampling Data'!AB16</f>
        <v>3.1409994660300906E-4</v>
      </c>
      <c r="AU16" s="18">
        <f>IF(
      SUM(Audit[[#This Row],[Audit Losing Candidate]:[Audit Candidate 12]])
      &lt;&gt;0,
      (Audit[[#This Row],[Winning Candidate]]-Audit[[#This Row],[Losing Candidate]]-(Audit[[#This Row],[Audit Winning Candidate]]-Audit[[#This Row],[Audit Losing Candidate]]))/(Audit[[#Totals],[Winning Candidate]]-Audit[[#Totals],[Losing Candidate]]),
      0
)</f>
        <v>0</v>
      </c>
      <c r="AV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8">
        <f>IF(Audit[[#This Row],[Max Relative Error (ep)]] = 0, 0, Audit[[#This Row],[Max Relative Error (ep)]]/Audit[[#This Row],[Error Bound (up) - Max. possible relative overstatement]])</f>
        <v>0</v>
      </c>
      <c r="BH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 s="18">
        <f t="shared" si="1"/>
        <v>1</v>
      </c>
      <c r="BJ16" s="18">
        <f>PRODUCT($BI$5:BI16)</f>
        <v>1</v>
      </c>
      <c r="BK16" s="20">
        <f>1 - Audit[[#This Row],[K-M P Value]]</f>
        <v>0</v>
      </c>
      <c r="BL16" s="18" t="str">
        <f>IF(Audit[[#This Row],[K-M P Value]]&gt;1-'General Info'!$B$12,"Continue", "Stop")</f>
        <v>Continue</v>
      </c>
      <c r="BM16" s="23" t="b">
        <f>IF(Audit[[#This Row],[Status - Continue or stop audit]] = "Continue", TRUE, IF(BL15 = "Continue", TRUE, FALSE))</f>
        <v>1</v>
      </c>
      <c r="BN16" s="23"/>
    </row>
    <row r="17" spans="1:66" ht="15" hidden="1" customHeight="1" x14ac:dyDescent="0.35">
      <c r="A17" s="18" t="str">
        <f>'Sampling Data'!AI17</f>
        <v/>
      </c>
      <c r="B17" s="18" t="str">
        <f>'Sampling Data'!A17</f>
        <v>0113 CIN 1-M   (AV)</v>
      </c>
      <c r="C17" s="18">
        <f>'Sampling Data'!B17</f>
        <v>12</v>
      </c>
      <c r="D17" s="18">
        <f>'Sampling Data'!C17</f>
        <v>2</v>
      </c>
      <c r="E17" s="19">
        <f>'Sampling Data'!D17</f>
        <v>0</v>
      </c>
      <c r="F17" s="19">
        <f>'Sampling Data'!E17</f>
        <v>0</v>
      </c>
      <c r="G17" s="19">
        <f>'Sampling Data'!F17</f>
        <v>0</v>
      </c>
      <c r="H17" s="19">
        <f>'Sampling Data'!G17</f>
        <v>0</v>
      </c>
      <c r="I17" s="19">
        <f>'Sampling Data'!H17</f>
        <v>0</v>
      </c>
      <c r="J17" s="19">
        <f>'Sampling Data'!I17</f>
        <v>0</v>
      </c>
      <c r="K17" s="19">
        <f>'Sampling Data'!J17</f>
        <v>0</v>
      </c>
      <c r="L17" s="19">
        <f>'Sampling Data'!K17</f>
        <v>0</v>
      </c>
      <c r="M17" s="19">
        <f>'Sampling Data'!L17</f>
        <v>0</v>
      </c>
      <c r="N17" s="19">
        <f>'Sampling Data'!M17</f>
        <v>0</v>
      </c>
      <c r="O17" s="18">
        <f>'Sampling Data'!N17</f>
        <v>0</v>
      </c>
      <c r="P17" s="18">
        <f>'Sampling Data'!O17</f>
        <v>0</v>
      </c>
      <c r="Q17" s="18">
        <f>'Sampling Data'!P17</f>
        <v>14</v>
      </c>
      <c r="R17" s="18">
        <f>'Sampling Data'!AJ17</f>
        <v>0</v>
      </c>
      <c r="S17" s="112"/>
      <c r="T17" s="112"/>
      <c r="U17" s="113"/>
      <c r="V17" s="113"/>
      <c r="W17" s="112"/>
      <c r="X17" s="112"/>
      <c r="Y17" s="112"/>
      <c r="Z17" s="112"/>
      <c r="AA17" s="15"/>
      <c r="AB17" s="15"/>
      <c r="AC17" s="15"/>
      <c r="AD17" s="15"/>
      <c r="AE17" s="114" t="str">
        <f>IF(NOT(ISBLANK(Audit[[#This Row],[Audit Winning Candidate]])), Audit[[#This Row],[Audit Winning Candidate]]-Audit[[#This Row],[Winning Candidate]], "")</f>
        <v/>
      </c>
      <c r="AF17" s="18" t="str">
        <f>IF(NOT(ISBLANK(Audit[[#This Row],[Audit Losing Candidate]])), Audit[[#This Row],[Audit Losing Candidate]]-Audit[[#This Row],[Losing Candidate]], "")</f>
        <v/>
      </c>
      <c r="AG17" s="18" t="str">
        <f>IF(NOT(ISBLANK(Audit[[#This Row],[Audit Candidate 3]])), Audit[[#This Row],[Audit Candidate 3]]-Audit[[#This Row],[Candidate 3]], "")</f>
        <v/>
      </c>
      <c r="AH17" s="18" t="str">
        <f>IF(NOT(ISBLANK(Audit[[#This Row],[Audit Candidate 4]])),Audit[[#This Row],[Audit Candidate 4]]-Audit[[#This Row],[Candidate 4]], "")</f>
        <v/>
      </c>
      <c r="AI17" s="18" t="str">
        <f>IF(NOT(ISBLANK(Audit[[#This Row],[Audit Candidate 5]])), Audit[[#This Row],[Audit Candidate 5]]-Audit[[#This Row],[Candidate 5]], "")</f>
        <v/>
      </c>
      <c r="AJ17" s="18" t="str">
        <f>IF(NOT(ISBLANK(Audit[[#This Row],[Audit Candidate 6]])), Audit[[#This Row],[Audit Candidate 6]]-Audit[[#This Row],[Candidate 6]], "")</f>
        <v/>
      </c>
      <c r="AK17" s="18" t="str">
        <f>IF(NOT(ISBLANK(Audit[[#This Row],[Audit Candidate 7]])), Audit[[#This Row],[Audit Candidate 7]]-Audit[[#This Row],[Candidate 7]], "")</f>
        <v/>
      </c>
      <c r="AL17" s="18" t="str">
        <f>IF(NOT(ISBLANK(Audit[[#This Row],[Audit Candidate 8]])), Audit[[#This Row],[Audit Candidate 8]]-Audit[[#This Row],[Candidate 8]], "")</f>
        <v/>
      </c>
      <c r="AM17" s="18" t="str">
        <f>IF(NOT(ISBLANK(Audit[[#This Row],[Audit Candidate 9]])), Audit[[#This Row],[Audit Candidate 9]]-Audit[[#This Row],[Candidate 9]], "")</f>
        <v/>
      </c>
      <c r="AN17" s="18" t="str">
        <f>IF(NOT(ISBLANK(Audit[[#This Row],[Audit Candidate 10]])), Audit[[#This Row],[Audit Candidate 10]]-Audit[[#This Row],[Candidate 10]], "")</f>
        <v/>
      </c>
      <c r="AO17" s="18" t="str">
        <f>IF(NOT(ISBLANK(Audit[[#This Row],[Audit Candidate 11]])), Audit[[#This Row],[Audit Candidate 11]]-Audit[[#This Row],[Candidate 11]], "")</f>
        <v/>
      </c>
      <c r="AP17" s="18" t="str">
        <f>IF(NOT(ISBLANK(Audit[[#This Row],[Audit Candidate 12]])), Audit[[#This Row],[Audit Candidate 12]]-Audit[[#This Row],[Candidate 12]], "")</f>
        <v/>
      </c>
      <c r="AQ17" s="18">
        <f>SUMIF(Audit[[#This Row],[Difference Winner]:[Difference Candidate 12]], "&gt;0")</f>
        <v>0</v>
      </c>
      <c r="AR17" s="18">
        <f>SUM(Audit[[#This Row],[Difference Winner]:[Difference Candidate 12]])</f>
        <v>0</v>
      </c>
      <c r="AS17" s="18">
        <f>IF(Audit[[#This Row],[Times p Drawn - With Replacement]]&gt;0, IF(Audit[[#This Row],[Canceled Differences]]&lt;0, Audit[[#This Row],[Max Differences]]+ABS(Audit[[#This Row],[Canceled Differences]]), Audit[[#This Row],[Max Differences]]), 0)</f>
        <v>0</v>
      </c>
      <c r="AT17" s="18">
        <f>'Sampling Data'!AB17</f>
        <v>7.5383987184722177E-4</v>
      </c>
      <c r="AU17" s="18">
        <f>IF(
      SUM(Audit[[#This Row],[Audit Losing Candidate]:[Audit Candidate 12]])
      &lt;&gt;0,
      (Audit[[#This Row],[Winning Candidate]]-Audit[[#This Row],[Losing Candidate]]-(Audit[[#This Row],[Audit Winning Candidate]]-Audit[[#This Row],[Audit Losing Candidate]]))/(Audit[[#Totals],[Winning Candidate]]-Audit[[#Totals],[Losing Candidate]]),
      0
)</f>
        <v>0</v>
      </c>
      <c r="AV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8">
        <f>IF(Audit[[#This Row],[Max Relative Error (ep)]] = 0, 0, Audit[[#This Row],[Max Relative Error (ep)]]/Audit[[#This Row],[Error Bound (up) - Max. possible relative overstatement]])</f>
        <v>0</v>
      </c>
      <c r="BH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 s="18">
        <f t="shared" si="1"/>
        <v>1</v>
      </c>
      <c r="BJ17" s="18">
        <f>PRODUCT($BI$5:BI17)</f>
        <v>1</v>
      </c>
      <c r="BK17" s="20">
        <f>1 - Audit[[#This Row],[K-M P Value]]</f>
        <v>0</v>
      </c>
      <c r="BL17" s="18" t="str">
        <f>IF(Audit[[#This Row],[K-M P Value]]&gt;1-'General Info'!$B$12,"Continue", "Stop")</f>
        <v>Continue</v>
      </c>
      <c r="BM17" s="23" t="b">
        <f>IF(Audit[[#This Row],[Status - Continue or stop audit]] = "Continue", TRUE, IF(BL16 = "Continue", TRUE, FALSE))</f>
        <v>1</v>
      </c>
      <c r="BN17" s="23"/>
    </row>
    <row r="18" spans="1:66" ht="15" hidden="1" customHeight="1" x14ac:dyDescent="0.35">
      <c r="A18" s="18" t="str">
        <f>'Sampling Data'!AI18</f>
        <v/>
      </c>
      <c r="B18" s="18" t="str">
        <f>'Sampling Data'!A18</f>
        <v>0201 CIN 2-A   (AV)</v>
      </c>
      <c r="C18" s="18">
        <f>'Sampling Data'!B18</f>
        <v>12</v>
      </c>
      <c r="D18" s="18">
        <f>'Sampling Data'!C18</f>
        <v>1</v>
      </c>
      <c r="E18" s="19">
        <f>'Sampling Data'!D18</f>
        <v>0</v>
      </c>
      <c r="F18" s="19">
        <f>'Sampling Data'!E18</f>
        <v>0</v>
      </c>
      <c r="G18" s="19">
        <f>'Sampling Data'!F18</f>
        <v>0</v>
      </c>
      <c r="H18" s="19">
        <f>'Sampling Data'!G18</f>
        <v>0</v>
      </c>
      <c r="I18" s="19">
        <f>'Sampling Data'!H18</f>
        <v>0</v>
      </c>
      <c r="J18" s="19">
        <f>'Sampling Data'!I18</f>
        <v>0</v>
      </c>
      <c r="K18" s="19">
        <f>'Sampling Data'!J18</f>
        <v>0</v>
      </c>
      <c r="L18" s="19">
        <f>'Sampling Data'!K18</f>
        <v>0</v>
      </c>
      <c r="M18" s="19">
        <f>'Sampling Data'!L18</f>
        <v>0</v>
      </c>
      <c r="N18" s="19">
        <f>'Sampling Data'!M18</f>
        <v>0</v>
      </c>
      <c r="O18" s="18">
        <f>'Sampling Data'!N18</f>
        <v>0</v>
      </c>
      <c r="P18" s="18">
        <f>'Sampling Data'!O18</f>
        <v>0</v>
      </c>
      <c r="Q18" s="18">
        <f>'Sampling Data'!P18</f>
        <v>13</v>
      </c>
      <c r="R18" s="18">
        <f>'Sampling Data'!AJ18</f>
        <v>0</v>
      </c>
      <c r="S18" s="112"/>
      <c r="T18" s="112"/>
      <c r="U18" s="113"/>
      <c r="V18" s="113"/>
      <c r="W18" s="112"/>
      <c r="X18" s="112"/>
      <c r="Y18" s="112"/>
      <c r="Z18" s="112"/>
      <c r="AA18" s="15"/>
      <c r="AB18" s="15"/>
      <c r="AC18" s="15"/>
      <c r="AD18" s="15"/>
      <c r="AE18" s="114" t="str">
        <f>IF(NOT(ISBLANK(Audit[[#This Row],[Audit Winning Candidate]])), Audit[[#This Row],[Audit Winning Candidate]]-Audit[[#This Row],[Winning Candidate]], "")</f>
        <v/>
      </c>
      <c r="AF18" s="18" t="str">
        <f>IF(NOT(ISBLANK(Audit[[#This Row],[Audit Losing Candidate]])), Audit[[#This Row],[Audit Losing Candidate]]-Audit[[#This Row],[Losing Candidate]], "")</f>
        <v/>
      </c>
      <c r="AG18" s="18" t="str">
        <f>IF(NOT(ISBLANK(Audit[[#This Row],[Audit Candidate 3]])), Audit[[#This Row],[Audit Candidate 3]]-Audit[[#This Row],[Candidate 3]], "")</f>
        <v/>
      </c>
      <c r="AH18" s="18" t="str">
        <f>IF(NOT(ISBLANK(Audit[[#This Row],[Audit Candidate 4]])),Audit[[#This Row],[Audit Candidate 4]]-Audit[[#This Row],[Candidate 4]], "")</f>
        <v/>
      </c>
      <c r="AI18" s="18" t="str">
        <f>IF(NOT(ISBLANK(Audit[[#This Row],[Audit Candidate 5]])), Audit[[#This Row],[Audit Candidate 5]]-Audit[[#This Row],[Candidate 5]], "")</f>
        <v/>
      </c>
      <c r="AJ18" s="18" t="str">
        <f>IF(NOT(ISBLANK(Audit[[#This Row],[Audit Candidate 6]])), Audit[[#This Row],[Audit Candidate 6]]-Audit[[#This Row],[Candidate 6]], "")</f>
        <v/>
      </c>
      <c r="AK18" s="18" t="str">
        <f>IF(NOT(ISBLANK(Audit[[#This Row],[Audit Candidate 7]])), Audit[[#This Row],[Audit Candidate 7]]-Audit[[#This Row],[Candidate 7]], "")</f>
        <v/>
      </c>
      <c r="AL18" s="18" t="str">
        <f>IF(NOT(ISBLANK(Audit[[#This Row],[Audit Candidate 8]])), Audit[[#This Row],[Audit Candidate 8]]-Audit[[#This Row],[Candidate 8]], "")</f>
        <v/>
      </c>
      <c r="AM18" s="18" t="str">
        <f>IF(NOT(ISBLANK(Audit[[#This Row],[Audit Candidate 9]])), Audit[[#This Row],[Audit Candidate 9]]-Audit[[#This Row],[Candidate 9]], "")</f>
        <v/>
      </c>
      <c r="AN18" s="18" t="str">
        <f>IF(NOT(ISBLANK(Audit[[#This Row],[Audit Candidate 10]])), Audit[[#This Row],[Audit Candidate 10]]-Audit[[#This Row],[Candidate 10]], "")</f>
        <v/>
      </c>
      <c r="AO18" s="18" t="str">
        <f>IF(NOT(ISBLANK(Audit[[#This Row],[Audit Candidate 11]])), Audit[[#This Row],[Audit Candidate 11]]-Audit[[#This Row],[Candidate 11]], "")</f>
        <v/>
      </c>
      <c r="AP18" s="18" t="str">
        <f>IF(NOT(ISBLANK(Audit[[#This Row],[Audit Candidate 12]])), Audit[[#This Row],[Audit Candidate 12]]-Audit[[#This Row],[Candidate 12]], "")</f>
        <v/>
      </c>
      <c r="AQ18" s="18">
        <f>SUMIF(Audit[[#This Row],[Difference Winner]:[Difference Candidate 12]], "&gt;0")</f>
        <v>0</v>
      </c>
      <c r="AR18" s="18">
        <f>SUM(Audit[[#This Row],[Difference Winner]:[Difference Candidate 12]])</f>
        <v>0</v>
      </c>
      <c r="AS18" s="18">
        <f>IF(Audit[[#This Row],[Times p Drawn - With Replacement]]&gt;0, IF(Audit[[#This Row],[Canceled Differences]]&lt;0, Audit[[#This Row],[Max Differences]]+ABS(Audit[[#This Row],[Canceled Differences]]), Audit[[#This Row],[Max Differences]]), 0)</f>
        <v>0</v>
      </c>
      <c r="AT18" s="18">
        <f>'Sampling Data'!AB18</f>
        <v>7.5383987184722177E-4</v>
      </c>
      <c r="AU18" s="18">
        <f>IF(
      SUM(Audit[[#This Row],[Audit Losing Candidate]:[Audit Candidate 12]])
      &lt;&gt;0,
      (Audit[[#This Row],[Winning Candidate]]-Audit[[#This Row],[Losing Candidate]]-(Audit[[#This Row],[Audit Winning Candidate]]-Audit[[#This Row],[Audit Losing Candidate]]))/(Audit[[#Totals],[Winning Candidate]]-Audit[[#Totals],[Losing Candidate]]),
      0
)</f>
        <v>0</v>
      </c>
      <c r="AV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8">
        <f>IF(Audit[[#This Row],[Max Relative Error (ep)]] = 0, 0, Audit[[#This Row],[Max Relative Error (ep)]]/Audit[[#This Row],[Error Bound (up) - Max. possible relative overstatement]])</f>
        <v>0</v>
      </c>
      <c r="BH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 s="18">
        <f t="shared" si="1"/>
        <v>1</v>
      </c>
      <c r="BJ18" s="18">
        <f>PRODUCT($BI$5:BI18)</f>
        <v>1</v>
      </c>
      <c r="BK18" s="20">
        <f>1 - Audit[[#This Row],[K-M P Value]]</f>
        <v>0</v>
      </c>
      <c r="BL18" s="18" t="str">
        <f>IF(Audit[[#This Row],[K-M P Value]]&gt;1-'General Info'!$B$12,"Continue", "Stop")</f>
        <v>Continue</v>
      </c>
      <c r="BM18" s="23" t="b">
        <f>IF(Audit[[#This Row],[Status - Continue or stop audit]] = "Continue", TRUE, IF(BL17 = "Continue", TRUE, FALSE))</f>
        <v>1</v>
      </c>
      <c r="BN18" s="23"/>
    </row>
    <row r="19" spans="1:66" ht="15" hidden="1" customHeight="1" x14ac:dyDescent="0.35">
      <c r="A19" s="18" t="str">
        <f>'Sampling Data'!AI19</f>
        <v/>
      </c>
      <c r="B19" s="18" t="str">
        <f>'Sampling Data'!A19</f>
        <v>0202 CIN 2-B   (AV)</v>
      </c>
      <c r="C19" s="18">
        <f>'Sampling Data'!B19</f>
        <v>26</v>
      </c>
      <c r="D19" s="18">
        <f>'Sampling Data'!C19</f>
        <v>2</v>
      </c>
      <c r="E19" s="19">
        <f>'Sampling Data'!D19</f>
        <v>0</v>
      </c>
      <c r="F19" s="19">
        <f>'Sampling Data'!E19</f>
        <v>0</v>
      </c>
      <c r="G19" s="19">
        <f>'Sampling Data'!F19</f>
        <v>0</v>
      </c>
      <c r="H19" s="19">
        <f>'Sampling Data'!G19</f>
        <v>0</v>
      </c>
      <c r="I19" s="19">
        <f>'Sampling Data'!H19</f>
        <v>0</v>
      </c>
      <c r="J19" s="19">
        <f>'Sampling Data'!I19</f>
        <v>0</v>
      </c>
      <c r="K19" s="19">
        <f>'Sampling Data'!J19</f>
        <v>0</v>
      </c>
      <c r="L19" s="19">
        <f>'Sampling Data'!K19</f>
        <v>0</v>
      </c>
      <c r="M19" s="19">
        <f>'Sampling Data'!L19</f>
        <v>0</v>
      </c>
      <c r="N19" s="19">
        <f>'Sampling Data'!M19</f>
        <v>0</v>
      </c>
      <c r="O19" s="18">
        <f>'Sampling Data'!N19</f>
        <v>0</v>
      </c>
      <c r="P19" s="18">
        <f>'Sampling Data'!O19</f>
        <v>1</v>
      </c>
      <c r="Q19" s="18">
        <f>'Sampling Data'!P19</f>
        <v>29</v>
      </c>
      <c r="R19" s="18">
        <f>'Sampling Data'!AJ19</f>
        <v>0</v>
      </c>
      <c r="S19" s="112"/>
      <c r="T19" s="112"/>
      <c r="U19" s="113"/>
      <c r="V19" s="113"/>
      <c r="W19" s="112"/>
      <c r="X19" s="112"/>
      <c r="Y19" s="112"/>
      <c r="Z19" s="112"/>
      <c r="AA19" s="15"/>
      <c r="AB19" s="15"/>
      <c r="AC19" s="15"/>
      <c r="AD19" s="15"/>
      <c r="AE19" s="114" t="str">
        <f>IF(NOT(ISBLANK(Audit[[#This Row],[Audit Winning Candidate]])), Audit[[#This Row],[Audit Winning Candidate]]-Audit[[#This Row],[Winning Candidate]], "")</f>
        <v/>
      </c>
      <c r="AF19" s="18" t="str">
        <f>IF(NOT(ISBLANK(Audit[[#This Row],[Audit Losing Candidate]])), Audit[[#This Row],[Audit Losing Candidate]]-Audit[[#This Row],[Losing Candidate]], "")</f>
        <v/>
      </c>
      <c r="AG19" s="18" t="str">
        <f>IF(NOT(ISBLANK(Audit[[#This Row],[Audit Candidate 3]])), Audit[[#This Row],[Audit Candidate 3]]-Audit[[#This Row],[Candidate 3]], "")</f>
        <v/>
      </c>
      <c r="AH19" s="18" t="str">
        <f>IF(NOT(ISBLANK(Audit[[#This Row],[Audit Candidate 4]])),Audit[[#This Row],[Audit Candidate 4]]-Audit[[#This Row],[Candidate 4]], "")</f>
        <v/>
      </c>
      <c r="AI19" s="18" t="str">
        <f>IF(NOT(ISBLANK(Audit[[#This Row],[Audit Candidate 5]])), Audit[[#This Row],[Audit Candidate 5]]-Audit[[#This Row],[Candidate 5]], "")</f>
        <v/>
      </c>
      <c r="AJ19" s="18" t="str">
        <f>IF(NOT(ISBLANK(Audit[[#This Row],[Audit Candidate 6]])), Audit[[#This Row],[Audit Candidate 6]]-Audit[[#This Row],[Candidate 6]], "")</f>
        <v/>
      </c>
      <c r="AK19" s="18" t="str">
        <f>IF(NOT(ISBLANK(Audit[[#This Row],[Audit Candidate 7]])), Audit[[#This Row],[Audit Candidate 7]]-Audit[[#This Row],[Candidate 7]], "")</f>
        <v/>
      </c>
      <c r="AL19" s="18" t="str">
        <f>IF(NOT(ISBLANK(Audit[[#This Row],[Audit Candidate 8]])), Audit[[#This Row],[Audit Candidate 8]]-Audit[[#This Row],[Candidate 8]], "")</f>
        <v/>
      </c>
      <c r="AM19" s="18" t="str">
        <f>IF(NOT(ISBLANK(Audit[[#This Row],[Audit Candidate 9]])), Audit[[#This Row],[Audit Candidate 9]]-Audit[[#This Row],[Candidate 9]], "")</f>
        <v/>
      </c>
      <c r="AN19" s="18" t="str">
        <f>IF(NOT(ISBLANK(Audit[[#This Row],[Audit Candidate 10]])), Audit[[#This Row],[Audit Candidate 10]]-Audit[[#This Row],[Candidate 10]], "")</f>
        <v/>
      </c>
      <c r="AO19" s="18" t="str">
        <f>IF(NOT(ISBLANK(Audit[[#This Row],[Audit Candidate 11]])), Audit[[#This Row],[Audit Candidate 11]]-Audit[[#This Row],[Candidate 11]], "")</f>
        <v/>
      </c>
      <c r="AP19" s="18" t="str">
        <f>IF(NOT(ISBLANK(Audit[[#This Row],[Audit Candidate 12]])), Audit[[#This Row],[Audit Candidate 12]]-Audit[[#This Row],[Candidate 12]], "")</f>
        <v/>
      </c>
      <c r="AQ19" s="18">
        <f>SUMIF(Audit[[#This Row],[Difference Winner]:[Difference Candidate 12]], "&gt;0")</f>
        <v>0</v>
      </c>
      <c r="AR19" s="18">
        <f>SUM(Audit[[#This Row],[Difference Winner]:[Difference Candidate 12]])</f>
        <v>0</v>
      </c>
      <c r="AS19" s="18">
        <f>IF(Audit[[#This Row],[Times p Drawn - With Replacement]]&gt;0, IF(Audit[[#This Row],[Canceled Differences]]&lt;0, Audit[[#This Row],[Max Differences]]+ABS(Audit[[#This Row],[Canceled Differences]]), Audit[[#This Row],[Max Differences]]), 0)</f>
        <v>0</v>
      </c>
      <c r="AT19" s="18">
        <f>'Sampling Data'!AB19</f>
        <v>1.6647297169959481E-3</v>
      </c>
      <c r="AU19" s="18">
        <f>IF(
      SUM(Audit[[#This Row],[Audit Losing Candidate]:[Audit Candidate 12]])
      &lt;&gt;0,
      (Audit[[#This Row],[Winning Candidate]]-Audit[[#This Row],[Losing Candidate]]-(Audit[[#This Row],[Audit Winning Candidate]]-Audit[[#This Row],[Audit Losing Candidate]]))/(Audit[[#Totals],[Winning Candidate]]-Audit[[#Totals],[Losing Candidate]]),
      0
)</f>
        <v>0</v>
      </c>
      <c r="AV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8">
        <f>IF(Audit[[#This Row],[Max Relative Error (ep)]] = 0, 0, Audit[[#This Row],[Max Relative Error (ep)]]/Audit[[#This Row],[Error Bound (up) - Max. possible relative overstatement]])</f>
        <v>0</v>
      </c>
      <c r="BH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 s="18">
        <f t="shared" si="1"/>
        <v>1</v>
      </c>
      <c r="BJ19" s="18">
        <f>PRODUCT($BI$5:BI19)</f>
        <v>1</v>
      </c>
      <c r="BK19" s="20">
        <f>1 - Audit[[#This Row],[K-M P Value]]</f>
        <v>0</v>
      </c>
      <c r="BL19" s="18" t="str">
        <f>IF(Audit[[#This Row],[K-M P Value]]&gt;1-'General Info'!$B$12,"Continue", "Stop")</f>
        <v>Continue</v>
      </c>
      <c r="BM19" s="23" t="b">
        <f>IF(Audit[[#This Row],[Status - Continue or stop audit]] = "Continue", TRUE, IF(BL18 = "Continue", TRUE, FALSE))</f>
        <v>1</v>
      </c>
      <c r="BN19" s="23"/>
    </row>
    <row r="20" spans="1:66" ht="15" hidden="1" customHeight="1" x14ac:dyDescent="0.35">
      <c r="A20" s="18" t="str">
        <f>'Sampling Data'!AI20</f>
        <v/>
      </c>
      <c r="B20" s="18" t="str">
        <f>'Sampling Data'!A20</f>
        <v>0203 CIN 2-C   (AV)</v>
      </c>
      <c r="C20" s="18">
        <f>'Sampling Data'!B20</f>
        <v>3</v>
      </c>
      <c r="D20" s="18">
        <f>'Sampling Data'!C20</f>
        <v>0</v>
      </c>
      <c r="E20" s="19">
        <f>'Sampling Data'!D20</f>
        <v>0</v>
      </c>
      <c r="F20" s="19">
        <f>'Sampling Data'!E20</f>
        <v>0</v>
      </c>
      <c r="G20" s="19">
        <f>'Sampling Data'!F20</f>
        <v>0</v>
      </c>
      <c r="H20" s="19">
        <f>'Sampling Data'!G20</f>
        <v>0</v>
      </c>
      <c r="I20" s="19">
        <f>'Sampling Data'!H20</f>
        <v>0</v>
      </c>
      <c r="J20" s="19">
        <f>'Sampling Data'!I20</f>
        <v>0</v>
      </c>
      <c r="K20" s="19">
        <f>'Sampling Data'!J20</f>
        <v>0</v>
      </c>
      <c r="L20" s="19">
        <f>'Sampling Data'!K20</f>
        <v>0</v>
      </c>
      <c r="M20" s="19">
        <f>'Sampling Data'!L20</f>
        <v>0</v>
      </c>
      <c r="N20" s="19">
        <f>'Sampling Data'!M20</f>
        <v>0</v>
      </c>
      <c r="O20" s="18">
        <f>'Sampling Data'!N20</f>
        <v>0</v>
      </c>
      <c r="P20" s="18">
        <f>'Sampling Data'!O20</f>
        <v>0</v>
      </c>
      <c r="Q20" s="18">
        <f>'Sampling Data'!P20</f>
        <v>3</v>
      </c>
      <c r="R20" s="18">
        <f>'Sampling Data'!AJ20</f>
        <v>0</v>
      </c>
      <c r="S20" s="112"/>
      <c r="T20" s="112"/>
      <c r="U20" s="113"/>
      <c r="V20" s="113"/>
      <c r="W20" s="112"/>
      <c r="X20" s="112"/>
      <c r="Y20" s="112"/>
      <c r="Z20" s="112"/>
      <c r="AA20" s="15"/>
      <c r="AB20" s="15"/>
      <c r="AC20" s="15"/>
      <c r="AD20" s="15"/>
      <c r="AE20" s="114" t="str">
        <f>IF(NOT(ISBLANK(Audit[[#This Row],[Audit Winning Candidate]])), Audit[[#This Row],[Audit Winning Candidate]]-Audit[[#This Row],[Winning Candidate]], "")</f>
        <v/>
      </c>
      <c r="AF20" s="18" t="str">
        <f>IF(NOT(ISBLANK(Audit[[#This Row],[Audit Losing Candidate]])), Audit[[#This Row],[Audit Losing Candidate]]-Audit[[#This Row],[Losing Candidate]], "")</f>
        <v/>
      </c>
      <c r="AG20" s="18" t="str">
        <f>IF(NOT(ISBLANK(Audit[[#This Row],[Audit Candidate 3]])), Audit[[#This Row],[Audit Candidate 3]]-Audit[[#This Row],[Candidate 3]], "")</f>
        <v/>
      </c>
      <c r="AH20" s="18" t="str">
        <f>IF(NOT(ISBLANK(Audit[[#This Row],[Audit Candidate 4]])),Audit[[#This Row],[Audit Candidate 4]]-Audit[[#This Row],[Candidate 4]], "")</f>
        <v/>
      </c>
      <c r="AI20" s="18" t="str">
        <f>IF(NOT(ISBLANK(Audit[[#This Row],[Audit Candidate 5]])), Audit[[#This Row],[Audit Candidate 5]]-Audit[[#This Row],[Candidate 5]], "")</f>
        <v/>
      </c>
      <c r="AJ20" s="18" t="str">
        <f>IF(NOT(ISBLANK(Audit[[#This Row],[Audit Candidate 6]])), Audit[[#This Row],[Audit Candidate 6]]-Audit[[#This Row],[Candidate 6]], "")</f>
        <v/>
      </c>
      <c r="AK20" s="18" t="str">
        <f>IF(NOT(ISBLANK(Audit[[#This Row],[Audit Candidate 7]])), Audit[[#This Row],[Audit Candidate 7]]-Audit[[#This Row],[Candidate 7]], "")</f>
        <v/>
      </c>
      <c r="AL20" s="18" t="str">
        <f>IF(NOT(ISBLANK(Audit[[#This Row],[Audit Candidate 8]])), Audit[[#This Row],[Audit Candidate 8]]-Audit[[#This Row],[Candidate 8]], "")</f>
        <v/>
      </c>
      <c r="AM20" s="18" t="str">
        <f>IF(NOT(ISBLANK(Audit[[#This Row],[Audit Candidate 9]])), Audit[[#This Row],[Audit Candidate 9]]-Audit[[#This Row],[Candidate 9]], "")</f>
        <v/>
      </c>
      <c r="AN20" s="18" t="str">
        <f>IF(NOT(ISBLANK(Audit[[#This Row],[Audit Candidate 10]])), Audit[[#This Row],[Audit Candidate 10]]-Audit[[#This Row],[Candidate 10]], "")</f>
        <v/>
      </c>
      <c r="AO20" s="18" t="str">
        <f>IF(NOT(ISBLANK(Audit[[#This Row],[Audit Candidate 11]])), Audit[[#This Row],[Audit Candidate 11]]-Audit[[#This Row],[Candidate 11]], "")</f>
        <v/>
      </c>
      <c r="AP20" s="18" t="str">
        <f>IF(NOT(ISBLANK(Audit[[#This Row],[Audit Candidate 12]])), Audit[[#This Row],[Audit Candidate 12]]-Audit[[#This Row],[Candidate 12]], "")</f>
        <v/>
      </c>
      <c r="AQ20" s="18">
        <f>SUMIF(Audit[[#This Row],[Difference Winner]:[Difference Candidate 12]], "&gt;0")</f>
        <v>0</v>
      </c>
      <c r="AR20" s="18">
        <f>SUM(Audit[[#This Row],[Difference Winner]:[Difference Candidate 12]])</f>
        <v>0</v>
      </c>
      <c r="AS20" s="18">
        <f>IF(Audit[[#This Row],[Times p Drawn - With Replacement]]&gt;0, IF(Audit[[#This Row],[Canceled Differences]]&lt;0, Audit[[#This Row],[Max Differences]]+ABS(Audit[[#This Row],[Canceled Differences]]), Audit[[#This Row],[Max Differences]]), 0)</f>
        <v>0</v>
      </c>
      <c r="AT20" s="18">
        <f>'Sampling Data'!AB20</f>
        <v>1.8845996796180544E-4</v>
      </c>
      <c r="AU20" s="18">
        <f>IF(
      SUM(Audit[[#This Row],[Audit Losing Candidate]:[Audit Candidate 12]])
      &lt;&gt;0,
      (Audit[[#This Row],[Winning Candidate]]-Audit[[#This Row],[Losing Candidate]]-(Audit[[#This Row],[Audit Winning Candidate]]-Audit[[#This Row],[Audit Losing Candidate]]))/(Audit[[#Totals],[Winning Candidate]]-Audit[[#Totals],[Losing Candidate]]),
      0
)</f>
        <v>0</v>
      </c>
      <c r="AV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8">
        <f>IF(Audit[[#This Row],[Max Relative Error (ep)]] = 0, 0, Audit[[#This Row],[Max Relative Error (ep)]]/Audit[[#This Row],[Error Bound (up) - Max. possible relative overstatement]])</f>
        <v>0</v>
      </c>
      <c r="BH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 s="18">
        <f t="shared" si="1"/>
        <v>1</v>
      </c>
      <c r="BJ20" s="18">
        <f>PRODUCT($BI$5:BI20)</f>
        <v>1</v>
      </c>
      <c r="BK20" s="20">
        <f>1 - Audit[[#This Row],[K-M P Value]]</f>
        <v>0</v>
      </c>
      <c r="BL20" s="18" t="str">
        <f>IF(Audit[[#This Row],[K-M P Value]]&gt;1-'General Info'!$B$12,"Continue", "Stop")</f>
        <v>Continue</v>
      </c>
      <c r="BM20" s="23" t="b">
        <f>IF(Audit[[#This Row],[Status - Continue or stop audit]] = "Continue", TRUE, IF(BL19 = "Continue", TRUE, FALSE))</f>
        <v>1</v>
      </c>
      <c r="BN20" s="23"/>
    </row>
    <row r="21" spans="1:66" ht="15" hidden="1" customHeight="1" x14ac:dyDescent="0.35">
      <c r="A21" s="18" t="str">
        <f>'Sampling Data'!AI21</f>
        <v/>
      </c>
      <c r="B21" s="18" t="str">
        <f>'Sampling Data'!A21</f>
        <v>0204 CIN 2-D   (AV)</v>
      </c>
      <c r="C21" s="18">
        <f>'Sampling Data'!B21</f>
        <v>6</v>
      </c>
      <c r="D21" s="18">
        <f>'Sampling Data'!C21</f>
        <v>1</v>
      </c>
      <c r="E21" s="19">
        <f>'Sampling Data'!D21</f>
        <v>0</v>
      </c>
      <c r="F21" s="19">
        <f>'Sampling Data'!E21</f>
        <v>0</v>
      </c>
      <c r="G21" s="19">
        <f>'Sampling Data'!F21</f>
        <v>0</v>
      </c>
      <c r="H21" s="19">
        <f>'Sampling Data'!G21</f>
        <v>0</v>
      </c>
      <c r="I21" s="19">
        <f>'Sampling Data'!H21</f>
        <v>0</v>
      </c>
      <c r="J21" s="19">
        <f>'Sampling Data'!I21</f>
        <v>0</v>
      </c>
      <c r="K21" s="19">
        <f>'Sampling Data'!J21</f>
        <v>0</v>
      </c>
      <c r="L21" s="19">
        <f>'Sampling Data'!K21</f>
        <v>0</v>
      </c>
      <c r="M21" s="19">
        <f>'Sampling Data'!L21</f>
        <v>0</v>
      </c>
      <c r="N21" s="19">
        <f>'Sampling Data'!M21</f>
        <v>0</v>
      </c>
      <c r="O21" s="18">
        <f>'Sampling Data'!N21</f>
        <v>0</v>
      </c>
      <c r="P21" s="18">
        <f>'Sampling Data'!O21</f>
        <v>0</v>
      </c>
      <c r="Q21" s="18">
        <f>'Sampling Data'!P21</f>
        <v>7</v>
      </c>
      <c r="R21" s="18">
        <f>'Sampling Data'!AJ21</f>
        <v>0</v>
      </c>
      <c r="S21" s="112"/>
      <c r="T21" s="112"/>
      <c r="U21" s="113"/>
      <c r="V21" s="113"/>
      <c r="W21" s="112"/>
      <c r="X21" s="112"/>
      <c r="Y21" s="112"/>
      <c r="Z21" s="112"/>
      <c r="AA21" s="15"/>
      <c r="AB21" s="15"/>
      <c r="AC21" s="15"/>
      <c r="AD21" s="15"/>
      <c r="AE21" s="114" t="str">
        <f>IF(NOT(ISBLANK(Audit[[#This Row],[Audit Winning Candidate]])), Audit[[#This Row],[Audit Winning Candidate]]-Audit[[#This Row],[Winning Candidate]], "")</f>
        <v/>
      </c>
      <c r="AF21" s="18" t="str">
        <f>IF(NOT(ISBLANK(Audit[[#This Row],[Audit Losing Candidate]])), Audit[[#This Row],[Audit Losing Candidate]]-Audit[[#This Row],[Losing Candidate]], "")</f>
        <v/>
      </c>
      <c r="AG21" s="18" t="str">
        <f>IF(NOT(ISBLANK(Audit[[#This Row],[Audit Candidate 3]])), Audit[[#This Row],[Audit Candidate 3]]-Audit[[#This Row],[Candidate 3]], "")</f>
        <v/>
      </c>
      <c r="AH21" s="18" t="str">
        <f>IF(NOT(ISBLANK(Audit[[#This Row],[Audit Candidate 4]])),Audit[[#This Row],[Audit Candidate 4]]-Audit[[#This Row],[Candidate 4]], "")</f>
        <v/>
      </c>
      <c r="AI21" s="18" t="str">
        <f>IF(NOT(ISBLANK(Audit[[#This Row],[Audit Candidate 5]])), Audit[[#This Row],[Audit Candidate 5]]-Audit[[#This Row],[Candidate 5]], "")</f>
        <v/>
      </c>
      <c r="AJ21" s="18" t="str">
        <f>IF(NOT(ISBLANK(Audit[[#This Row],[Audit Candidate 6]])), Audit[[#This Row],[Audit Candidate 6]]-Audit[[#This Row],[Candidate 6]], "")</f>
        <v/>
      </c>
      <c r="AK21" s="18" t="str">
        <f>IF(NOT(ISBLANK(Audit[[#This Row],[Audit Candidate 7]])), Audit[[#This Row],[Audit Candidate 7]]-Audit[[#This Row],[Candidate 7]], "")</f>
        <v/>
      </c>
      <c r="AL21" s="18" t="str">
        <f>IF(NOT(ISBLANK(Audit[[#This Row],[Audit Candidate 8]])), Audit[[#This Row],[Audit Candidate 8]]-Audit[[#This Row],[Candidate 8]], "")</f>
        <v/>
      </c>
      <c r="AM21" s="18" t="str">
        <f>IF(NOT(ISBLANK(Audit[[#This Row],[Audit Candidate 9]])), Audit[[#This Row],[Audit Candidate 9]]-Audit[[#This Row],[Candidate 9]], "")</f>
        <v/>
      </c>
      <c r="AN21" s="18" t="str">
        <f>IF(NOT(ISBLANK(Audit[[#This Row],[Audit Candidate 10]])), Audit[[#This Row],[Audit Candidate 10]]-Audit[[#This Row],[Candidate 10]], "")</f>
        <v/>
      </c>
      <c r="AO21" s="18" t="str">
        <f>IF(NOT(ISBLANK(Audit[[#This Row],[Audit Candidate 11]])), Audit[[#This Row],[Audit Candidate 11]]-Audit[[#This Row],[Candidate 11]], "")</f>
        <v/>
      </c>
      <c r="AP21" s="18" t="str">
        <f>IF(NOT(ISBLANK(Audit[[#This Row],[Audit Candidate 12]])), Audit[[#This Row],[Audit Candidate 12]]-Audit[[#This Row],[Candidate 12]], "")</f>
        <v/>
      </c>
      <c r="AQ21" s="18">
        <f>SUMIF(Audit[[#This Row],[Difference Winner]:[Difference Candidate 12]], "&gt;0")</f>
        <v>0</v>
      </c>
      <c r="AR21" s="18">
        <f>SUM(Audit[[#This Row],[Difference Winner]:[Difference Candidate 12]])</f>
        <v>0</v>
      </c>
      <c r="AS21" s="18">
        <f>IF(Audit[[#This Row],[Times p Drawn - With Replacement]]&gt;0, IF(Audit[[#This Row],[Canceled Differences]]&lt;0, Audit[[#This Row],[Max Differences]]+ABS(Audit[[#This Row],[Canceled Differences]]), Audit[[#This Row],[Max Differences]]), 0)</f>
        <v>0</v>
      </c>
      <c r="AT21" s="18">
        <f>'Sampling Data'!AB21</f>
        <v>3.7691993592361088E-4</v>
      </c>
      <c r="AU21" s="18">
        <f>IF(
      SUM(Audit[[#This Row],[Audit Losing Candidate]:[Audit Candidate 12]])
      &lt;&gt;0,
      (Audit[[#This Row],[Winning Candidate]]-Audit[[#This Row],[Losing Candidate]]-(Audit[[#This Row],[Audit Winning Candidate]]-Audit[[#This Row],[Audit Losing Candidate]]))/(Audit[[#Totals],[Winning Candidate]]-Audit[[#Totals],[Losing Candidate]]),
      0
)</f>
        <v>0</v>
      </c>
      <c r="AV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8">
        <f>IF(Audit[[#This Row],[Max Relative Error (ep)]] = 0, 0, Audit[[#This Row],[Max Relative Error (ep)]]/Audit[[#This Row],[Error Bound (up) - Max. possible relative overstatement]])</f>
        <v>0</v>
      </c>
      <c r="BH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 s="18">
        <f t="shared" si="1"/>
        <v>1</v>
      </c>
      <c r="BJ21" s="18">
        <f>PRODUCT($BI$5:BI21)</f>
        <v>1</v>
      </c>
      <c r="BK21" s="20">
        <f>1 - Audit[[#This Row],[K-M P Value]]</f>
        <v>0</v>
      </c>
      <c r="BL21" s="18" t="str">
        <f>IF(Audit[[#This Row],[K-M P Value]]&gt;1-'General Info'!$B$12,"Continue", "Stop")</f>
        <v>Continue</v>
      </c>
      <c r="BM21" s="23" t="b">
        <f>IF(Audit[[#This Row],[Status - Continue or stop audit]] = "Continue", TRUE, IF(BL20 = "Continue", TRUE, FALSE))</f>
        <v>1</v>
      </c>
      <c r="BN21" s="23"/>
    </row>
    <row r="22" spans="1:66" ht="15" hidden="1" customHeight="1" x14ac:dyDescent="0.35">
      <c r="A22" s="18" t="str">
        <f>'Sampling Data'!AI22</f>
        <v/>
      </c>
      <c r="B22" s="18" t="str">
        <f>'Sampling Data'!A22</f>
        <v>0205 CIN 2-E   (AV)</v>
      </c>
      <c r="C22" s="18">
        <f>'Sampling Data'!B22</f>
        <v>31</v>
      </c>
      <c r="D22" s="18">
        <f>'Sampling Data'!C22</f>
        <v>3</v>
      </c>
      <c r="E22" s="19">
        <f>'Sampling Data'!D22</f>
        <v>0</v>
      </c>
      <c r="F22" s="19">
        <f>'Sampling Data'!E22</f>
        <v>0</v>
      </c>
      <c r="G22" s="19">
        <f>'Sampling Data'!F22</f>
        <v>0</v>
      </c>
      <c r="H22" s="19">
        <f>'Sampling Data'!G22</f>
        <v>0</v>
      </c>
      <c r="I22" s="19">
        <f>'Sampling Data'!H22</f>
        <v>0</v>
      </c>
      <c r="J22" s="19">
        <f>'Sampling Data'!I22</f>
        <v>0</v>
      </c>
      <c r="K22" s="19">
        <f>'Sampling Data'!J22</f>
        <v>0</v>
      </c>
      <c r="L22" s="19">
        <f>'Sampling Data'!K22</f>
        <v>0</v>
      </c>
      <c r="M22" s="19">
        <f>'Sampling Data'!L22</f>
        <v>0</v>
      </c>
      <c r="N22" s="19">
        <f>'Sampling Data'!M22</f>
        <v>0</v>
      </c>
      <c r="O22" s="18">
        <f>'Sampling Data'!N22</f>
        <v>0</v>
      </c>
      <c r="P22" s="18">
        <f>'Sampling Data'!O22</f>
        <v>3</v>
      </c>
      <c r="Q22" s="18">
        <f>'Sampling Data'!P22</f>
        <v>37</v>
      </c>
      <c r="R22" s="18">
        <f>'Sampling Data'!AJ22</f>
        <v>0</v>
      </c>
      <c r="S22" s="112"/>
      <c r="T22" s="112"/>
      <c r="U22" s="113"/>
      <c r="V22" s="113"/>
      <c r="W22" s="112"/>
      <c r="X22" s="112"/>
      <c r="Y22" s="112"/>
      <c r="Z22" s="112"/>
      <c r="AA22" s="15"/>
      <c r="AB22" s="15"/>
      <c r="AC22" s="15"/>
      <c r="AD22" s="15"/>
      <c r="AE22" s="114" t="str">
        <f>IF(NOT(ISBLANK(Audit[[#This Row],[Audit Winning Candidate]])), Audit[[#This Row],[Audit Winning Candidate]]-Audit[[#This Row],[Winning Candidate]], "")</f>
        <v/>
      </c>
      <c r="AF22" s="18" t="str">
        <f>IF(NOT(ISBLANK(Audit[[#This Row],[Audit Losing Candidate]])), Audit[[#This Row],[Audit Losing Candidate]]-Audit[[#This Row],[Losing Candidate]], "")</f>
        <v/>
      </c>
      <c r="AG22" s="18" t="str">
        <f>IF(NOT(ISBLANK(Audit[[#This Row],[Audit Candidate 3]])), Audit[[#This Row],[Audit Candidate 3]]-Audit[[#This Row],[Candidate 3]], "")</f>
        <v/>
      </c>
      <c r="AH22" s="18" t="str">
        <f>IF(NOT(ISBLANK(Audit[[#This Row],[Audit Candidate 4]])),Audit[[#This Row],[Audit Candidate 4]]-Audit[[#This Row],[Candidate 4]], "")</f>
        <v/>
      </c>
      <c r="AI22" s="18" t="str">
        <f>IF(NOT(ISBLANK(Audit[[#This Row],[Audit Candidate 5]])), Audit[[#This Row],[Audit Candidate 5]]-Audit[[#This Row],[Candidate 5]], "")</f>
        <v/>
      </c>
      <c r="AJ22" s="18" t="str">
        <f>IF(NOT(ISBLANK(Audit[[#This Row],[Audit Candidate 6]])), Audit[[#This Row],[Audit Candidate 6]]-Audit[[#This Row],[Candidate 6]], "")</f>
        <v/>
      </c>
      <c r="AK22" s="18" t="str">
        <f>IF(NOT(ISBLANK(Audit[[#This Row],[Audit Candidate 7]])), Audit[[#This Row],[Audit Candidate 7]]-Audit[[#This Row],[Candidate 7]], "")</f>
        <v/>
      </c>
      <c r="AL22" s="18" t="str">
        <f>IF(NOT(ISBLANK(Audit[[#This Row],[Audit Candidate 8]])), Audit[[#This Row],[Audit Candidate 8]]-Audit[[#This Row],[Candidate 8]], "")</f>
        <v/>
      </c>
      <c r="AM22" s="18" t="str">
        <f>IF(NOT(ISBLANK(Audit[[#This Row],[Audit Candidate 9]])), Audit[[#This Row],[Audit Candidate 9]]-Audit[[#This Row],[Candidate 9]], "")</f>
        <v/>
      </c>
      <c r="AN22" s="18" t="str">
        <f>IF(NOT(ISBLANK(Audit[[#This Row],[Audit Candidate 10]])), Audit[[#This Row],[Audit Candidate 10]]-Audit[[#This Row],[Candidate 10]], "")</f>
        <v/>
      </c>
      <c r="AO22" s="18" t="str">
        <f>IF(NOT(ISBLANK(Audit[[#This Row],[Audit Candidate 11]])), Audit[[#This Row],[Audit Candidate 11]]-Audit[[#This Row],[Candidate 11]], "")</f>
        <v/>
      </c>
      <c r="AP22" s="18" t="str">
        <f>IF(NOT(ISBLANK(Audit[[#This Row],[Audit Candidate 12]])), Audit[[#This Row],[Audit Candidate 12]]-Audit[[#This Row],[Candidate 12]], "")</f>
        <v/>
      </c>
      <c r="AQ22" s="18">
        <f>SUMIF(Audit[[#This Row],[Difference Winner]:[Difference Candidate 12]], "&gt;0")</f>
        <v>0</v>
      </c>
      <c r="AR22" s="18">
        <f>SUM(Audit[[#This Row],[Difference Winner]:[Difference Candidate 12]])</f>
        <v>0</v>
      </c>
      <c r="AS22" s="18">
        <f>IF(Audit[[#This Row],[Times p Drawn - With Replacement]]&gt;0, IF(Audit[[#This Row],[Canceled Differences]]&lt;0, Audit[[#This Row],[Max Differences]]+ABS(Audit[[#This Row],[Canceled Differences]]), Audit[[#This Row],[Max Differences]]), 0)</f>
        <v>0</v>
      </c>
      <c r="AT22" s="18">
        <f>'Sampling Data'!AB22</f>
        <v>2.0416496529195591E-3</v>
      </c>
      <c r="AU22" s="18">
        <f>IF(
      SUM(Audit[[#This Row],[Audit Losing Candidate]:[Audit Candidate 12]])
      &lt;&gt;0,
      (Audit[[#This Row],[Winning Candidate]]-Audit[[#This Row],[Losing Candidate]]-(Audit[[#This Row],[Audit Winning Candidate]]-Audit[[#This Row],[Audit Losing Candidate]]))/(Audit[[#Totals],[Winning Candidate]]-Audit[[#Totals],[Losing Candidate]]),
      0
)</f>
        <v>0</v>
      </c>
      <c r="AV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8">
        <f>IF(Audit[[#This Row],[Max Relative Error (ep)]] = 0, 0, Audit[[#This Row],[Max Relative Error (ep)]]/Audit[[#This Row],[Error Bound (up) - Max. possible relative overstatement]])</f>
        <v>0</v>
      </c>
      <c r="BH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 s="18">
        <f t="shared" si="1"/>
        <v>1</v>
      </c>
      <c r="BJ22" s="18">
        <f>PRODUCT($BI$5:BI22)</f>
        <v>1</v>
      </c>
      <c r="BK22" s="20">
        <f>1 - Audit[[#This Row],[K-M P Value]]</f>
        <v>0</v>
      </c>
      <c r="BL22" s="18" t="str">
        <f>IF(Audit[[#This Row],[K-M P Value]]&gt;1-'General Info'!$B$12,"Continue", "Stop")</f>
        <v>Continue</v>
      </c>
      <c r="BM22" s="23" t="b">
        <f>IF(Audit[[#This Row],[Status - Continue or stop audit]] = "Continue", TRUE, IF(BL21 = "Continue", TRUE, FALSE))</f>
        <v>1</v>
      </c>
      <c r="BN22" s="23"/>
    </row>
    <row r="23" spans="1:66" ht="15" hidden="1" customHeight="1" x14ac:dyDescent="0.35">
      <c r="A23" s="18" t="str">
        <f>'Sampling Data'!AI23</f>
        <v/>
      </c>
      <c r="B23" s="18" t="str">
        <f>'Sampling Data'!A23</f>
        <v>0206 CIN 2-F   (AV)</v>
      </c>
      <c r="C23" s="18">
        <f>'Sampling Data'!B23</f>
        <v>6</v>
      </c>
      <c r="D23" s="18">
        <f>'Sampling Data'!C23</f>
        <v>0</v>
      </c>
      <c r="E23" s="19">
        <f>'Sampling Data'!D23</f>
        <v>0</v>
      </c>
      <c r="F23" s="19">
        <f>'Sampling Data'!E23</f>
        <v>0</v>
      </c>
      <c r="G23" s="19">
        <f>'Sampling Data'!F23</f>
        <v>0</v>
      </c>
      <c r="H23" s="19">
        <f>'Sampling Data'!G23</f>
        <v>0</v>
      </c>
      <c r="I23" s="19">
        <f>'Sampling Data'!H23</f>
        <v>0</v>
      </c>
      <c r="J23" s="19">
        <f>'Sampling Data'!I23</f>
        <v>0</v>
      </c>
      <c r="K23" s="19">
        <f>'Sampling Data'!J23</f>
        <v>0</v>
      </c>
      <c r="L23" s="19">
        <f>'Sampling Data'!K23</f>
        <v>0</v>
      </c>
      <c r="M23" s="19">
        <f>'Sampling Data'!L23</f>
        <v>0</v>
      </c>
      <c r="N23" s="19">
        <f>'Sampling Data'!M23</f>
        <v>0</v>
      </c>
      <c r="O23" s="18">
        <f>'Sampling Data'!N23</f>
        <v>0</v>
      </c>
      <c r="P23" s="18">
        <f>'Sampling Data'!O23</f>
        <v>1</v>
      </c>
      <c r="Q23" s="18">
        <f>'Sampling Data'!P23</f>
        <v>7</v>
      </c>
      <c r="R23" s="18">
        <f>'Sampling Data'!AJ23</f>
        <v>0</v>
      </c>
      <c r="S23" s="112"/>
      <c r="T23" s="112"/>
      <c r="U23" s="113"/>
      <c r="V23" s="113"/>
      <c r="W23" s="112"/>
      <c r="X23" s="112"/>
      <c r="Y23" s="112"/>
      <c r="Z23" s="112"/>
      <c r="AA23" s="15"/>
      <c r="AB23" s="15"/>
      <c r="AC23" s="15"/>
      <c r="AD23" s="15"/>
      <c r="AE23" s="114" t="str">
        <f>IF(NOT(ISBLANK(Audit[[#This Row],[Audit Winning Candidate]])), Audit[[#This Row],[Audit Winning Candidate]]-Audit[[#This Row],[Winning Candidate]], "")</f>
        <v/>
      </c>
      <c r="AF23" s="18" t="str">
        <f>IF(NOT(ISBLANK(Audit[[#This Row],[Audit Losing Candidate]])), Audit[[#This Row],[Audit Losing Candidate]]-Audit[[#This Row],[Losing Candidate]], "")</f>
        <v/>
      </c>
      <c r="AG23" s="18" t="str">
        <f>IF(NOT(ISBLANK(Audit[[#This Row],[Audit Candidate 3]])), Audit[[#This Row],[Audit Candidate 3]]-Audit[[#This Row],[Candidate 3]], "")</f>
        <v/>
      </c>
      <c r="AH23" s="18" t="str">
        <f>IF(NOT(ISBLANK(Audit[[#This Row],[Audit Candidate 4]])),Audit[[#This Row],[Audit Candidate 4]]-Audit[[#This Row],[Candidate 4]], "")</f>
        <v/>
      </c>
      <c r="AI23" s="18" t="str">
        <f>IF(NOT(ISBLANK(Audit[[#This Row],[Audit Candidate 5]])), Audit[[#This Row],[Audit Candidate 5]]-Audit[[#This Row],[Candidate 5]], "")</f>
        <v/>
      </c>
      <c r="AJ23" s="18" t="str">
        <f>IF(NOT(ISBLANK(Audit[[#This Row],[Audit Candidate 6]])), Audit[[#This Row],[Audit Candidate 6]]-Audit[[#This Row],[Candidate 6]], "")</f>
        <v/>
      </c>
      <c r="AK23" s="18" t="str">
        <f>IF(NOT(ISBLANK(Audit[[#This Row],[Audit Candidate 7]])), Audit[[#This Row],[Audit Candidate 7]]-Audit[[#This Row],[Candidate 7]], "")</f>
        <v/>
      </c>
      <c r="AL23" s="18" t="str">
        <f>IF(NOT(ISBLANK(Audit[[#This Row],[Audit Candidate 8]])), Audit[[#This Row],[Audit Candidate 8]]-Audit[[#This Row],[Candidate 8]], "")</f>
        <v/>
      </c>
      <c r="AM23" s="18" t="str">
        <f>IF(NOT(ISBLANK(Audit[[#This Row],[Audit Candidate 9]])), Audit[[#This Row],[Audit Candidate 9]]-Audit[[#This Row],[Candidate 9]], "")</f>
        <v/>
      </c>
      <c r="AN23" s="18" t="str">
        <f>IF(NOT(ISBLANK(Audit[[#This Row],[Audit Candidate 10]])), Audit[[#This Row],[Audit Candidate 10]]-Audit[[#This Row],[Candidate 10]], "")</f>
        <v/>
      </c>
      <c r="AO23" s="18" t="str">
        <f>IF(NOT(ISBLANK(Audit[[#This Row],[Audit Candidate 11]])), Audit[[#This Row],[Audit Candidate 11]]-Audit[[#This Row],[Candidate 11]], "")</f>
        <v/>
      </c>
      <c r="AP23" s="18" t="str">
        <f>IF(NOT(ISBLANK(Audit[[#This Row],[Audit Candidate 12]])), Audit[[#This Row],[Audit Candidate 12]]-Audit[[#This Row],[Candidate 12]], "")</f>
        <v/>
      </c>
      <c r="AQ23" s="18">
        <f>SUMIF(Audit[[#This Row],[Difference Winner]:[Difference Candidate 12]], "&gt;0")</f>
        <v>0</v>
      </c>
      <c r="AR23" s="18">
        <f>SUM(Audit[[#This Row],[Difference Winner]:[Difference Candidate 12]])</f>
        <v>0</v>
      </c>
      <c r="AS23" s="18">
        <f>IF(Audit[[#This Row],[Times p Drawn - With Replacement]]&gt;0, IF(Audit[[#This Row],[Canceled Differences]]&lt;0, Audit[[#This Row],[Max Differences]]+ABS(Audit[[#This Row],[Canceled Differences]]), Audit[[#This Row],[Max Differences]]), 0)</f>
        <v>0</v>
      </c>
      <c r="AT23" s="18">
        <f>'Sampling Data'!AB23</f>
        <v>4.0832993058391182E-4</v>
      </c>
      <c r="AU23" s="18">
        <f>IF(
      SUM(Audit[[#This Row],[Audit Losing Candidate]:[Audit Candidate 12]])
      &lt;&gt;0,
      (Audit[[#This Row],[Winning Candidate]]-Audit[[#This Row],[Losing Candidate]]-(Audit[[#This Row],[Audit Winning Candidate]]-Audit[[#This Row],[Audit Losing Candidate]]))/(Audit[[#Totals],[Winning Candidate]]-Audit[[#Totals],[Losing Candidate]]),
      0
)</f>
        <v>0</v>
      </c>
      <c r="AV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8">
        <f>IF(Audit[[#This Row],[Max Relative Error (ep)]] = 0, 0, Audit[[#This Row],[Max Relative Error (ep)]]/Audit[[#This Row],[Error Bound (up) - Max. possible relative overstatement]])</f>
        <v>0</v>
      </c>
      <c r="BH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 s="18">
        <f t="shared" si="1"/>
        <v>1</v>
      </c>
      <c r="BJ23" s="18">
        <f>PRODUCT($BI$5:BI23)</f>
        <v>1</v>
      </c>
      <c r="BK23" s="20">
        <f>1 - Audit[[#This Row],[K-M P Value]]</f>
        <v>0</v>
      </c>
      <c r="BL23" s="18" t="str">
        <f>IF(Audit[[#This Row],[K-M P Value]]&gt;1-'General Info'!$B$12,"Continue", "Stop")</f>
        <v>Continue</v>
      </c>
      <c r="BM23" s="23" t="b">
        <f>IF(Audit[[#This Row],[Status - Continue or stop audit]] = "Continue", TRUE, IF(BL22 = "Continue", TRUE, FALSE))</f>
        <v>1</v>
      </c>
      <c r="BN23" s="23"/>
    </row>
    <row r="24" spans="1:66" ht="15" hidden="1" customHeight="1" x14ac:dyDescent="0.35">
      <c r="A24" s="18" t="str">
        <f>'Sampling Data'!AI24</f>
        <v/>
      </c>
      <c r="B24" s="18" t="str">
        <f>'Sampling Data'!A24</f>
        <v>0207 CIN 2-G   (AV)</v>
      </c>
      <c r="C24" s="18">
        <f>'Sampling Data'!B24</f>
        <v>40</v>
      </c>
      <c r="D24" s="18">
        <f>'Sampling Data'!C24</f>
        <v>5</v>
      </c>
      <c r="E24" s="19">
        <f>'Sampling Data'!D24</f>
        <v>0</v>
      </c>
      <c r="F24" s="19">
        <f>'Sampling Data'!E24</f>
        <v>0</v>
      </c>
      <c r="G24" s="19">
        <f>'Sampling Data'!F24</f>
        <v>0</v>
      </c>
      <c r="H24" s="19">
        <f>'Sampling Data'!G24</f>
        <v>0</v>
      </c>
      <c r="I24" s="19">
        <f>'Sampling Data'!H24</f>
        <v>0</v>
      </c>
      <c r="J24" s="19">
        <f>'Sampling Data'!I24</f>
        <v>0</v>
      </c>
      <c r="K24" s="19">
        <f>'Sampling Data'!J24</f>
        <v>0</v>
      </c>
      <c r="L24" s="19">
        <f>'Sampling Data'!K24</f>
        <v>0</v>
      </c>
      <c r="M24" s="19">
        <f>'Sampling Data'!L24</f>
        <v>0</v>
      </c>
      <c r="N24" s="19">
        <f>'Sampling Data'!M24</f>
        <v>0</v>
      </c>
      <c r="O24" s="18">
        <f>'Sampling Data'!N24</f>
        <v>0</v>
      </c>
      <c r="P24" s="18">
        <f>'Sampling Data'!O24</f>
        <v>1</v>
      </c>
      <c r="Q24" s="18">
        <f>'Sampling Data'!P24</f>
        <v>46</v>
      </c>
      <c r="R24" s="18">
        <f>'Sampling Data'!AJ24</f>
        <v>0</v>
      </c>
      <c r="S24" s="112"/>
      <c r="T24" s="112"/>
      <c r="U24" s="113"/>
      <c r="V24" s="113"/>
      <c r="W24" s="112"/>
      <c r="X24" s="112"/>
      <c r="Y24" s="112"/>
      <c r="Z24" s="112"/>
      <c r="AA24" s="15"/>
      <c r="AB24" s="15"/>
      <c r="AC24" s="15"/>
      <c r="AD24" s="15"/>
      <c r="AE24" s="114" t="str">
        <f>IF(NOT(ISBLANK(Audit[[#This Row],[Audit Winning Candidate]])), Audit[[#This Row],[Audit Winning Candidate]]-Audit[[#This Row],[Winning Candidate]], "")</f>
        <v/>
      </c>
      <c r="AF24" s="18" t="str">
        <f>IF(NOT(ISBLANK(Audit[[#This Row],[Audit Losing Candidate]])), Audit[[#This Row],[Audit Losing Candidate]]-Audit[[#This Row],[Losing Candidate]], "")</f>
        <v/>
      </c>
      <c r="AG24" s="18" t="str">
        <f>IF(NOT(ISBLANK(Audit[[#This Row],[Audit Candidate 3]])), Audit[[#This Row],[Audit Candidate 3]]-Audit[[#This Row],[Candidate 3]], "")</f>
        <v/>
      </c>
      <c r="AH24" s="18" t="str">
        <f>IF(NOT(ISBLANK(Audit[[#This Row],[Audit Candidate 4]])),Audit[[#This Row],[Audit Candidate 4]]-Audit[[#This Row],[Candidate 4]], "")</f>
        <v/>
      </c>
      <c r="AI24" s="18" t="str">
        <f>IF(NOT(ISBLANK(Audit[[#This Row],[Audit Candidate 5]])), Audit[[#This Row],[Audit Candidate 5]]-Audit[[#This Row],[Candidate 5]], "")</f>
        <v/>
      </c>
      <c r="AJ24" s="18" t="str">
        <f>IF(NOT(ISBLANK(Audit[[#This Row],[Audit Candidate 6]])), Audit[[#This Row],[Audit Candidate 6]]-Audit[[#This Row],[Candidate 6]], "")</f>
        <v/>
      </c>
      <c r="AK24" s="18" t="str">
        <f>IF(NOT(ISBLANK(Audit[[#This Row],[Audit Candidate 7]])), Audit[[#This Row],[Audit Candidate 7]]-Audit[[#This Row],[Candidate 7]], "")</f>
        <v/>
      </c>
      <c r="AL24" s="18" t="str">
        <f>IF(NOT(ISBLANK(Audit[[#This Row],[Audit Candidate 8]])), Audit[[#This Row],[Audit Candidate 8]]-Audit[[#This Row],[Candidate 8]], "")</f>
        <v/>
      </c>
      <c r="AM24" s="18" t="str">
        <f>IF(NOT(ISBLANK(Audit[[#This Row],[Audit Candidate 9]])), Audit[[#This Row],[Audit Candidate 9]]-Audit[[#This Row],[Candidate 9]], "")</f>
        <v/>
      </c>
      <c r="AN24" s="18" t="str">
        <f>IF(NOT(ISBLANK(Audit[[#This Row],[Audit Candidate 10]])), Audit[[#This Row],[Audit Candidate 10]]-Audit[[#This Row],[Candidate 10]], "")</f>
        <v/>
      </c>
      <c r="AO24" s="18" t="str">
        <f>IF(NOT(ISBLANK(Audit[[#This Row],[Audit Candidate 11]])), Audit[[#This Row],[Audit Candidate 11]]-Audit[[#This Row],[Candidate 11]], "")</f>
        <v/>
      </c>
      <c r="AP24" s="18" t="str">
        <f>IF(NOT(ISBLANK(Audit[[#This Row],[Audit Candidate 12]])), Audit[[#This Row],[Audit Candidate 12]]-Audit[[#This Row],[Candidate 12]], "")</f>
        <v/>
      </c>
      <c r="AQ24" s="18">
        <f>SUMIF(Audit[[#This Row],[Difference Winner]:[Difference Candidate 12]], "&gt;0")</f>
        <v>0</v>
      </c>
      <c r="AR24" s="18">
        <f>SUM(Audit[[#This Row],[Difference Winner]:[Difference Candidate 12]])</f>
        <v>0</v>
      </c>
      <c r="AS24" s="18">
        <f>IF(Audit[[#This Row],[Times p Drawn - With Replacement]]&gt;0, IF(Audit[[#This Row],[Canceled Differences]]&lt;0, Audit[[#This Row],[Max Differences]]+ABS(Audit[[#This Row],[Canceled Differences]]), Audit[[#This Row],[Max Differences]]), 0)</f>
        <v>0</v>
      </c>
      <c r="AT24" s="18">
        <f>'Sampling Data'!AB24</f>
        <v>2.5442095674843737E-3</v>
      </c>
      <c r="AU24" s="18">
        <f>IF(
      SUM(Audit[[#This Row],[Audit Losing Candidate]:[Audit Candidate 12]])
      &lt;&gt;0,
      (Audit[[#This Row],[Winning Candidate]]-Audit[[#This Row],[Losing Candidate]]-(Audit[[#This Row],[Audit Winning Candidate]]-Audit[[#This Row],[Audit Losing Candidate]]))/(Audit[[#Totals],[Winning Candidate]]-Audit[[#Totals],[Losing Candidate]]),
      0
)</f>
        <v>0</v>
      </c>
      <c r="AV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8">
        <f>IF(Audit[[#This Row],[Max Relative Error (ep)]] = 0, 0, Audit[[#This Row],[Max Relative Error (ep)]]/Audit[[#This Row],[Error Bound (up) - Max. possible relative overstatement]])</f>
        <v>0</v>
      </c>
      <c r="BH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 s="18">
        <f t="shared" si="1"/>
        <v>1</v>
      </c>
      <c r="BJ24" s="18">
        <f>PRODUCT($BI$5:BI24)</f>
        <v>1</v>
      </c>
      <c r="BK24" s="20">
        <f>1 - Audit[[#This Row],[K-M P Value]]</f>
        <v>0</v>
      </c>
      <c r="BL24" s="18" t="str">
        <f>IF(Audit[[#This Row],[K-M P Value]]&gt;1-'General Info'!$B$12,"Continue", "Stop")</f>
        <v>Continue</v>
      </c>
      <c r="BM24" s="23" t="b">
        <f>IF(Audit[[#This Row],[Status - Continue or stop audit]] = "Continue", TRUE, IF(BL23 = "Continue", TRUE, FALSE))</f>
        <v>1</v>
      </c>
      <c r="BN24" s="23"/>
    </row>
    <row r="25" spans="1:66" ht="15" hidden="1" customHeight="1" x14ac:dyDescent="0.35">
      <c r="A25" s="18" t="str">
        <f>'Sampling Data'!AI25</f>
        <v/>
      </c>
      <c r="B25" s="18" t="str">
        <f>'Sampling Data'!A25</f>
        <v>0208 CIN 2-H   (AV)</v>
      </c>
      <c r="C25" s="18">
        <f>'Sampling Data'!B25</f>
        <v>4</v>
      </c>
      <c r="D25" s="18">
        <f>'Sampling Data'!C25</f>
        <v>3</v>
      </c>
      <c r="E25" s="19">
        <f>'Sampling Data'!D25</f>
        <v>0</v>
      </c>
      <c r="F25" s="19">
        <f>'Sampling Data'!E25</f>
        <v>0</v>
      </c>
      <c r="G25" s="19">
        <f>'Sampling Data'!F25</f>
        <v>0</v>
      </c>
      <c r="H25" s="19">
        <f>'Sampling Data'!G25</f>
        <v>0</v>
      </c>
      <c r="I25" s="19">
        <f>'Sampling Data'!H25</f>
        <v>0</v>
      </c>
      <c r="J25" s="19">
        <f>'Sampling Data'!I25</f>
        <v>0</v>
      </c>
      <c r="K25" s="19">
        <f>'Sampling Data'!J25</f>
        <v>0</v>
      </c>
      <c r="L25" s="19">
        <f>'Sampling Data'!K25</f>
        <v>0</v>
      </c>
      <c r="M25" s="19">
        <f>'Sampling Data'!L25</f>
        <v>0</v>
      </c>
      <c r="N25" s="19">
        <f>'Sampling Data'!M25</f>
        <v>0</v>
      </c>
      <c r="O25" s="18">
        <f>'Sampling Data'!N25</f>
        <v>0</v>
      </c>
      <c r="P25" s="18">
        <f>'Sampling Data'!O25</f>
        <v>0</v>
      </c>
      <c r="Q25" s="18">
        <f>'Sampling Data'!P25</f>
        <v>7</v>
      </c>
      <c r="R25" s="18">
        <f>'Sampling Data'!AJ25</f>
        <v>0</v>
      </c>
      <c r="S25" s="112"/>
      <c r="T25" s="112"/>
      <c r="U25" s="113"/>
      <c r="V25" s="113"/>
      <c r="W25" s="112"/>
      <c r="X25" s="112"/>
      <c r="Y25" s="112"/>
      <c r="Z25" s="112"/>
      <c r="AA25" s="15"/>
      <c r="AB25" s="15"/>
      <c r="AC25" s="15"/>
      <c r="AD25" s="15"/>
      <c r="AE25" s="114" t="str">
        <f>IF(NOT(ISBLANK(Audit[[#This Row],[Audit Winning Candidate]])), Audit[[#This Row],[Audit Winning Candidate]]-Audit[[#This Row],[Winning Candidate]], "")</f>
        <v/>
      </c>
      <c r="AF25" s="18" t="str">
        <f>IF(NOT(ISBLANK(Audit[[#This Row],[Audit Losing Candidate]])), Audit[[#This Row],[Audit Losing Candidate]]-Audit[[#This Row],[Losing Candidate]], "")</f>
        <v/>
      </c>
      <c r="AG25" s="18" t="str">
        <f>IF(NOT(ISBLANK(Audit[[#This Row],[Audit Candidate 3]])), Audit[[#This Row],[Audit Candidate 3]]-Audit[[#This Row],[Candidate 3]], "")</f>
        <v/>
      </c>
      <c r="AH25" s="18" t="str">
        <f>IF(NOT(ISBLANK(Audit[[#This Row],[Audit Candidate 4]])),Audit[[#This Row],[Audit Candidate 4]]-Audit[[#This Row],[Candidate 4]], "")</f>
        <v/>
      </c>
      <c r="AI25" s="18" t="str">
        <f>IF(NOT(ISBLANK(Audit[[#This Row],[Audit Candidate 5]])), Audit[[#This Row],[Audit Candidate 5]]-Audit[[#This Row],[Candidate 5]], "")</f>
        <v/>
      </c>
      <c r="AJ25" s="18" t="str">
        <f>IF(NOT(ISBLANK(Audit[[#This Row],[Audit Candidate 6]])), Audit[[#This Row],[Audit Candidate 6]]-Audit[[#This Row],[Candidate 6]], "")</f>
        <v/>
      </c>
      <c r="AK25" s="18" t="str">
        <f>IF(NOT(ISBLANK(Audit[[#This Row],[Audit Candidate 7]])), Audit[[#This Row],[Audit Candidate 7]]-Audit[[#This Row],[Candidate 7]], "")</f>
        <v/>
      </c>
      <c r="AL25" s="18" t="str">
        <f>IF(NOT(ISBLANK(Audit[[#This Row],[Audit Candidate 8]])), Audit[[#This Row],[Audit Candidate 8]]-Audit[[#This Row],[Candidate 8]], "")</f>
        <v/>
      </c>
      <c r="AM25" s="18" t="str">
        <f>IF(NOT(ISBLANK(Audit[[#This Row],[Audit Candidate 9]])), Audit[[#This Row],[Audit Candidate 9]]-Audit[[#This Row],[Candidate 9]], "")</f>
        <v/>
      </c>
      <c r="AN25" s="18" t="str">
        <f>IF(NOT(ISBLANK(Audit[[#This Row],[Audit Candidate 10]])), Audit[[#This Row],[Audit Candidate 10]]-Audit[[#This Row],[Candidate 10]], "")</f>
        <v/>
      </c>
      <c r="AO25" s="18" t="str">
        <f>IF(NOT(ISBLANK(Audit[[#This Row],[Audit Candidate 11]])), Audit[[#This Row],[Audit Candidate 11]]-Audit[[#This Row],[Candidate 11]], "")</f>
        <v/>
      </c>
      <c r="AP25" s="18" t="str">
        <f>IF(NOT(ISBLANK(Audit[[#This Row],[Audit Candidate 12]])), Audit[[#This Row],[Audit Candidate 12]]-Audit[[#This Row],[Candidate 12]], "")</f>
        <v/>
      </c>
      <c r="AQ25" s="18">
        <f>SUMIF(Audit[[#This Row],[Difference Winner]:[Difference Candidate 12]], "&gt;0")</f>
        <v>0</v>
      </c>
      <c r="AR25" s="18">
        <f>SUM(Audit[[#This Row],[Difference Winner]:[Difference Candidate 12]])</f>
        <v>0</v>
      </c>
      <c r="AS25" s="18">
        <f>IF(Audit[[#This Row],[Times p Drawn - With Replacement]]&gt;0, IF(Audit[[#This Row],[Canceled Differences]]&lt;0, Audit[[#This Row],[Max Differences]]+ABS(Audit[[#This Row],[Canceled Differences]]), Audit[[#This Row],[Max Differences]]), 0)</f>
        <v>0</v>
      </c>
      <c r="AT25" s="18">
        <f>'Sampling Data'!AB25</f>
        <v>2.5127995728240724E-4</v>
      </c>
      <c r="AU25" s="18">
        <f>IF(
      SUM(Audit[[#This Row],[Audit Losing Candidate]:[Audit Candidate 12]])
      &lt;&gt;0,
      (Audit[[#This Row],[Winning Candidate]]-Audit[[#This Row],[Losing Candidate]]-(Audit[[#This Row],[Audit Winning Candidate]]-Audit[[#This Row],[Audit Losing Candidate]]))/(Audit[[#Totals],[Winning Candidate]]-Audit[[#Totals],[Losing Candidate]]),
      0
)</f>
        <v>0</v>
      </c>
      <c r="AV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8">
        <f>IF(Audit[[#This Row],[Max Relative Error (ep)]] = 0, 0, Audit[[#This Row],[Max Relative Error (ep)]]/Audit[[#This Row],[Error Bound (up) - Max. possible relative overstatement]])</f>
        <v>0</v>
      </c>
      <c r="BH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 s="18">
        <f t="shared" si="1"/>
        <v>1</v>
      </c>
      <c r="BJ25" s="18">
        <f>PRODUCT($BI$5:BI25)</f>
        <v>1</v>
      </c>
      <c r="BK25" s="20">
        <f>1 - Audit[[#This Row],[K-M P Value]]</f>
        <v>0</v>
      </c>
      <c r="BL25" s="18" t="str">
        <f>IF(Audit[[#This Row],[K-M P Value]]&gt;1-'General Info'!$B$12,"Continue", "Stop")</f>
        <v>Continue</v>
      </c>
      <c r="BM25" s="23" t="b">
        <f>IF(Audit[[#This Row],[Status - Continue or stop audit]] = "Continue", TRUE, IF(BL24 = "Continue", TRUE, FALSE))</f>
        <v>1</v>
      </c>
      <c r="BN25" s="23"/>
    </row>
    <row r="26" spans="1:66" ht="15" hidden="1" customHeight="1" x14ac:dyDescent="0.35">
      <c r="A26" s="18" t="str">
        <f>'Sampling Data'!AI26</f>
        <v/>
      </c>
      <c r="B26" s="18" t="str">
        <f>'Sampling Data'!A26</f>
        <v>0209 CIN 2-I   (AV)</v>
      </c>
      <c r="C26" s="18">
        <f>'Sampling Data'!B26</f>
        <v>5</v>
      </c>
      <c r="D26" s="18">
        <f>'Sampling Data'!C26</f>
        <v>0</v>
      </c>
      <c r="E26" s="19">
        <f>'Sampling Data'!D26</f>
        <v>0</v>
      </c>
      <c r="F26" s="19">
        <f>'Sampling Data'!E26</f>
        <v>0</v>
      </c>
      <c r="G26" s="19">
        <f>'Sampling Data'!F26</f>
        <v>0</v>
      </c>
      <c r="H26" s="19">
        <f>'Sampling Data'!G26</f>
        <v>0</v>
      </c>
      <c r="I26" s="19">
        <f>'Sampling Data'!H26</f>
        <v>0</v>
      </c>
      <c r="J26" s="19">
        <f>'Sampling Data'!I26</f>
        <v>0</v>
      </c>
      <c r="K26" s="19">
        <f>'Sampling Data'!J26</f>
        <v>0</v>
      </c>
      <c r="L26" s="19">
        <f>'Sampling Data'!K26</f>
        <v>0</v>
      </c>
      <c r="M26" s="19">
        <f>'Sampling Data'!L26</f>
        <v>0</v>
      </c>
      <c r="N26" s="19">
        <f>'Sampling Data'!M26</f>
        <v>0</v>
      </c>
      <c r="O26" s="18">
        <f>'Sampling Data'!N26</f>
        <v>0</v>
      </c>
      <c r="P26" s="18">
        <f>'Sampling Data'!O26</f>
        <v>1</v>
      </c>
      <c r="Q26" s="18">
        <f>'Sampling Data'!P26</f>
        <v>6</v>
      </c>
      <c r="R26" s="18">
        <f>'Sampling Data'!AJ26</f>
        <v>0</v>
      </c>
      <c r="S26" s="112"/>
      <c r="T26" s="112"/>
      <c r="U26" s="113"/>
      <c r="V26" s="113"/>
      <c r="W26" s="112"/>
      <c r="X26" s="112"/>
      <c r="Y26" s="112"/>
      <c r="Z26" s="112"/>
      <c r="AA26" s="15"/>
      <c r="AB26" s="15"/>
      <c r="AC26" s="15"/>
      <c r="AD26" s="15"/>
      <c r="AE26" s="114" t="str">
        <f>IF(NOT(ISBLANK(Audit[[#This Row],[Audit Winning Candidate]])), Audit[[#This Row],[Audit Winning Candidate]]-Audit[[#This Row],[Winning Candidate]], "")</f>
        <v/>
      </c>
      <c r="AF26" s="18" t="str">
        <f>IF(NOT(ISBLANK(Audit[[#This Row],[Audit Losing Candidate]])), Audit[[#This Row],[Audit Losing Candidate]]-Audit[[#This Row],[Losing Candidate]], "")</f>
        <v/>
      </c>
      <c r="AG26" s="18" t="str">
        <f>IF(NOT(ISBLANK(Audit[[#This Row],[Audit Candidate 3]])), Audit[[#This Row],[Audit Candidate 3]]-Audit[[#This Row],[Candidate 3]], "")</f>
        <v/>
      </c>
      <c r="AH26" s="18" t="str">
        <f>IF(NOT(ISBLANK(Audit[[#This Row],[Audit Candidate 4]])),Audit[[#This Row],[Audit Candidate 4]]-Audit[[#This Row],[Candidate 4]], "")</f>
        <v/>
      </c>
      <c r="AI26" s="18" t="str">
        <f>IF(NOT(ISBLANK(Audit[[#This Row],[Audit Candidate 5]])), Audit[[#This Row],[Audit Candidate 5]]-Audit[[#This Row],[Candidate 5]], "")</f>
        <v/>
      </c>
      <c r="AJ26" s="18" t="str">
        <f>IF(NOT(ISBLANK(Audit[[#This Row],[Audit Candidate 6]])), Audit[[#This Row],[Audit Candidate 6]]-Audit[[#This Row],[Candidate 6]], "")</f>
        <v/>
      </c>
      <c r="AK26" s="18" t="str">
        <f>IF(NOT(ISBLANK(Audit[[#This Row],[Audit Candidate 7]])), Audit[[#This Row],[Audit Candidate 7]]-Audit[[#This Row],[Candidate 7]], "")</f>
        <v/>
      </c>
      <c r="AL26" s="18" t="str">
        <f>IF(NOT(ISBLANK(Audit[[#This Row],[Audit Candidate 8]])), Audit[[#This Row],[Audit Candidate 8]]-Audit[[#This Row],[Candidate 8]], "")</f>
        <v/>
      </c>
      <c r="AM26" s="18" t="str">
        <f>IF(NOT(ISBLANK(Audit[[#This Row],[Audit Candidate 9]])), Audit[[#This Row],[Audit Candidate 9]]-Audit[[#This Row],[Candidate 9]], "")</f>
        <v/>
      </c>
      <c r="AN26" s="18" t="str">
        <f>IF(NOT(ISBLANK(Audit[[#This Row],[Audit Candidate 10]])), Audit[[#This Row],[Audit Candidate 10]]-Audit[[#This Row],[Candidate 10]], "")</f>
        <v/>
      </c>
      <c r="AO26" s="18" t="str">
        <f>IF(NOT(ISBLANK(Audit[[#This Row],[Audit Candidate 11]])), Audit[[#This Row],[Audit Candidate 11]]-Audit[[#This Row],[Candidate 11]], "")</f>
        <v/>
      </c>
      <c r="AP26" s="18" t="str">
        <f>IF(NOT(ISBLANK(Audit[[#This Row],[Audit Candidate 12]])), Audit[[#This Row],[Audit Candidate 12]]-Audit[[#This Row],[Candidate 12]], "")</f>
        <v/>
      </c>
      <c r="AQ26" s="18">
        <f>SUMIF(Audit[[#This Row],[Difference Winner]:[Difference Candidate 12]], "&gt;0")</f>
        <v>0</v>
      </c>
      <c r="AR26" s="18">
        <f>SUM(Audit[[#This Row],[Difference Winner]:[Difference Candidate 12]])</f>
        <v>0</v>
      </c>
      <c r="AS26" s="18">
        <f>IF(Audit[[#This Row],[Times p Drawn - With Replacement]]&gt;0, IF(Audit[[#This Row],[Canceled Differences]]&lt;0, Audit[[#This Row],[Max Differences]]+ABS(Audit[[#This Row],[Canceled Differences]]), Audit[[#This Row],[Max Differences]]), 0)</f>
        <v>0</v>
      </c>
      <c r="AT26" s="18">
        <f>'Sampling Data'!AB26</f>
        <v>3.4550994126331E-4</v>
      </c>
      <c r="AU26" s="18">
        <f>IF(
      SUM(Audit[[#This Row],[Audit Losing Candidate]:[Audit Candidate 12]])
      &lt;&gt;0,
      (Audit[[#This Row],[Winning Candidate]]-Audit[[#This Row],[Losing Candidate]]-(Audit[[#This Row],[Audit Winning Candidate]]-Audit[[#This Row],[Audit Losing Candidate]]))/(Audit[[#Totals],[Winning Candidate]]-Audit[[#Totals],[Losing Candidate]]),
      0
)</f>
        <v>0</v>
      </c>
      <c r="AV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8">
        <f>IF(Audit[[#This Row],[Max Relative Error (ep)]] = 0, 0, Audit[[#This Row],[Max Relative Error (ep)]]/Audit[[#This Row],[Error Bound (up) - Max. possible relative overstatement]])</f>
        <v>0</v>
      </c>
      <c r="BH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 s="18">
        <f t="shared" si="1"/>
        <v>1</v>
      </c>
      <c r="BJ26" s="18">
        <f>PRODUCT($BI$5:BI26)</f>
        <v>1</v>
      </c>
      <c r="BK26" s="20">
        <f>1 - Audit[[#This Row],[K-M P Value]]</f>
        <v>0</v>
      </c>
      <c r="BL26" s="18" t="str">
        <f>IF(Audit[[#This Row],[K-M P Value]]&gt;1-'General Info'!$B$12,"Continue", "Stop")</f>
        <v>Continue</v>
      </c>
      <c r="BM26" s="23" t="b">
        <f>IF(Audit[[#This Row],[Status - Continue or stop audit]] = "Continue", TRUE, IF(BL25 = "Continue", TRUE, FALSE))</f>
        <v>1</v>
      </c>
      <c r="BN26" s="23"/>
    </row>
    <row r="27" spans="1:66" ht="15" hidden="1" customHeight="1" x14ac:dyDescent="0.35">
      <c r="A27" s="18" t="str">
        <f>'Sampling Data'!AI27</f>
        <v/>
      </c>
      <c r="B27" s="18" t="str">
        <f>'Sampling Data'!A27</f>
        <v>0210 CIN 2-J   (AV)</v>
      </c>
      <c r="C27" s="18">
        <f>'Sampling Data'!B27</f>
        <v>6</v>
      </c>
      <c r="D27" s="18">
        <f>'Sampling Data'!C27</f>
        <v>2</v>
      </c>
      <c r="E27" s="19">
        <f>'Sampling Data'!D27</f>
        <v>0</v>
      </c>
      <c r="F27" s="19">
        <f>'Sampling Data'!E27</f>
        <v>0</v>
      </c>
      <c r="G27" s="19">
        <f>'Sampling Data'!F27</f>
        <v>0</v>
      </c>
      <c r="H27" s="19">
        <f>'Sampling Data'!G27</f>
        <v>0</v>
      </c>
      <c r="I27" s="19">
        <f>'Sampling Data'!H27</f>
        <v>0</v>
      </c>
      <c r="J27" s="19">
        <f>'Sampling Data'!I27</f>
        <v>0</v>
      </c>
      <c r="K27" s="19">
        <f>'Sampling Data'!J27</f>
        <v>0</v>
      </c>
      <c r="L27" s="19">
        <f>'Sampling Data'!K27</f>
        <v>0</v>
      </c>
      <c r="M27" s="19">
        <f>'Sampling Data'!L27</f>
        <v>0</v>
      </c>
      <c r="N27" s="19">
        <f>'Sampling Data'!M27</f>
        <v>0</v>
      </c>
      <c r="O27" s="18">
        <f>'Sampling Data'!N27</f>
        <v>0</v>
      </c>
      <c r="P27" s="18">
        <f>'Sampling Data'!O27</f>
        <v>0</v>
      </c>
      <c r="Q27" s="18">
        <f>'Sampling Data'!P27</f>
        <v>8</v>
      </c>
      <c r="R27" s="18">
        <f>'Sampling Data'!AJ27</f>
        <v>0</v>
      </c>
      <c r="S27" s="112"/>
      <c r="T27" s="112"/>
      <c r="U27" s="113"/>
      <c r="V27" s="113"/>
      <c r="W27" s="112"/>
      <c r="X27" s="112"/>
      <c r="Y27" s="112"/>
      <c r="Z27" s="112"/>
      <c r="AA27" s="15"/>
      <c r="AB27" s="15"/>
      <c r="AC27" s="15"/>
      <c r="AD27" s="15"/>
      <c r="AE27" s="114" t="str">
        <f>IF(NOT(ISBLANK(Audit[[#This Row],[Audit Winning Candidate]])), Audit[[#This Row],[Audit Winning Candidate]]-Audit[[#This Row],[Winning Candidate]], "")</f>
        <v/>
      </c>
      <c r="AF27" s="18" t="str">
        <f>IF(NOT(ISBLANK(Audit[[#This Row],[Audit Losing Candidate]])), Audit[[#This Row],[Audit Losing Candidate]]-Audit[[#This Row],[Losing Candidate]], "")</f>
        <v/>
      </c>
      <c r="AG27" s="18" t="str">
        <f>IF(NOT(ISBLANK(Audit[[#This Row],[Audit Candidate 3]])), Audit[[#This Row],[Audit Candidate 3]]-Audit[[#This Row],[Candidate 3]], "")</f>
        <v/>
      </c>
      <c r="AH27" s="18" t="str">
        <f>IF(NOT(ISBLANK(Audit[[#This Row],[Audit Candidate 4]])),Audit[[#This Row],[Audit Candidate 4]]-Audit[[#This Row],[Candidate 4]], "")</f>
        <v/>
      </c>
      <c r="AI27" s="18" t="str">
        <f>IF(NOT(ISBLANK(Audit[[#This Row],[Audit Candidate 5]])), Audit[[#This Row],[Audit Candidate 5]]-Audit[[#This Row],[Candidate 5]], "")</f>
        <v/>
      </c>
      <c r="AJ27" s="18" t="str">
        <f>IF(NOT(ISBLANK(Audit[[#This Row],[Audit Candidate 6]])), Audit[[#This Row],[Audit Candidate 6]]-Audit[[#This Row],[Candidate 6]], "")</f>
        <v/>
      </c>
      <c r="AK27" s="18" t="str">
        <f>IF(NOT(ISBLANK(Audit[[#This Row],[Audit Candidate 7]])), Audit[[#This Row],[Audit Candidate 7]]-Audit[[#This Row],[Candidate 7]], "")</f>
        <v/>
      </c>
      <c r="AL27" s="18" t="str">
        <f>IF(NOT(ISBLANK(Audit[[#This Row],[Audit Candidate 8]])), Audit[[#This Row],[Audit Candidate 8]]-Audit[[#This Row],[Candidate 8]], "")</f>
        <v/>
      </c>
      <c r="AM27" s="18" t="str">
        <f>IF(NOT(ISBLANK(Audit[[#This Row],[Audit Candidate 9]])), Audit[[#This Row],[Audit Candidate 9]]-Audit[[#This Row],[Candidate 9]], "")</f>
        <v/>
      </c>
      <c r="AN27" s="18" t="str">
        <f>IF(NOT(ISBLANK(Audit[[#This Row],[Audit Candidate 10]])), Audit[[#This Row],[Audit Candidate 10]]-Audit[[#This Row],[Candidate 10]], "")</f>
        <v/>
      </c>
      <c r="AO27" s="18" t="str">
        <f>IF(NOT(ISBLANK(Audit[[#This Row],[Audit Candidate 11]])), Audit[[#This Row],[Audit Candidate 11]]-Audit[[#This Row],[Candidate 11]], "")</f>
        <v/>
      </c>
      <c r="AP27" s="18" t="str">
        <f>IF(NOT(ISBLANK(Audit[[#This Row],[Audit Candidate 12]])), Audit[[#This Row],[Audit Candidate 12]]-Audit[[#This Row],[Candidate 12]], "")</f>
        <v/>
      </c>
      <c r="AQ27" s="18">
        <f>SUMIF(Audit[[#This Row],[Difference Winner]:[Difference Candidate 12]], "&gt;0")</f>
        <v>0</v>
      </c>
      <c r="AR27" s="18">
        <f>SUM(Audit[[#This Row],[Difference Winner]:[Difference Candidate 12]])</f>
        <v>0</v>
      </c>
      <c r="AS27" s="18">
        <f>IF(Audit[[#This Row],[Times p Drawn - With Replacement]]&gt;0, IF(Audit[[#This Row],[Canceled Differences]]&lt;0, Audit[[#This Row],[Max Differences]]+ABS(Audit[[#This Row],[Canceled Differences]]), Audit[[#This Row],[Max Differences]]), 0)</f>
        <v>0</v>
      </c>
      <c r="AT27" s="18">
        <f>'Sampling Data'!AB27</f>
        <v>3.7691993592361088E-4</v>
      </c>
      <c r="AU27" s="18">
        <f>IF(
      SUM(Audit[[#This Row],[Audit Losing Candidate]:[Audit Candidate 12]])
      &lt;&gt;0,
      (Audit[[#This Row],[Winning Candidate]]-Audit[[#This Row],[Losing Candidate]]-(Audit[[#This Row],[Audit Winning Candidate]]-Audit[[#This Row],[Audit Losing Candidate]]))/(Audit[[#Totals],[Winning Candidate]]-Audit[[#Totals],[Losing Candidate]]),
      0
)</f>
        <v>0</v>
      </c>
      <c r="AV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8">
        <f>IF(Audit[[#This Row],[Max Relative Error (ep)]] = 0, 0, Audit[[#This Row],[Max Relative Error (ep)]]/Audit[[#This Row],[Error Bound (up) - Max. possible relative overstatement]])</f>
        <v>0</v>
      </c>
      <c r="BH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 s="18">
        <f t="shared" si="1"/>
        <v>1</v>
      </c>
      <c r="BJ27" s="18">
        <f>PRODUCT($BI$5:BI27)</f>
        <v>1</v>
      </c>
      <c r="BK27" s="20">
        <f>1 - Audit[[#This Row],[K-M P Value]]</f>
        <v>0</v>
      </c>
      <c r="BL27" s="18" t="str">
        <f>IF(Audit[[#This Row],[K-M P Value]]&gt;1-'General Info'!$B$12,"Continue", "Stop")</f>
        <v>Continue</v>
      </c>
      <c r="BM27" s="23" t="b">
        <f>IF(Audit[[#This Row],[Status - Continue or stop audit]] = "Continue", TRUE, IF(BL26 = "Continue", TRUE, FALSE))</f>
        <v>1</v>
      </c>
      <c r="BN27" s="23"/>
    </row>
    <row r="28" spans="1:66" ht="15" hidden="1" customHeight="1" x14ac:dyDescent="0.35">
      <c r="A28" s="18" t="str">
        <f>'Sampling Data'!AI28</f>
        <v/>
      </c>
      <c r="B28" s="18" t="str">
        <f>'Sampling Data'!A28</f>
        <v>0211 CIN 2-K   (AV)</v>
      </c>
      <c r="C28" s="18">
        <f>'Sampling Data'!B28</f>
        <v>7</v>
      </c>
      <c r="D28" s="18">
        <f>'Sampling Data'!C28</f>
        <v>1</v>
      </c>
      <c r="E28" s="19">
        <f>'Sampling Data'!D28</f>
        <v>0</v>
      </c>
      <c r="F28" s="19">
        <f>'Sampling Data'!E28</f>
        <v>0</v>
      </c>
      <c r="G28" s="19">
        <f>'Sampling Data'!F28</f>
        <v>0</v>
      </c>
      <c r="H28" s="19">
        <f>'Sampling Data'!G28</f>
        <v>0</v>
      </c>
      <c r="I28" s="19">
        <f>'Sampling Data'!H28</f>
        <v>0</v>
      </c>
      <c r="J28" s="19">
        <f>'Sampling Data'!I28</f>
        <v>0</v>
      </c>
      <c r="K28" s="19">
        <f>'Sampling Data'!J28</f>
        <v>0</v>
      </c>
      <c r="L28" s="19">
        <f>'Sampling Data'!K28</f>
        <v>0</v>
      </c>
      <c r="M28" s="19">
        <f>'Sampling Data'!L28</f>
        <v>0</v>
      </c>
      <c r="N28" s="19">
        <f>'Sampling Data'!M28</f>
        <v>0</v>
      </c>
      <c r="O28" s="18">
        <f>'Sampling Data'!N28</f>
        <v>0</v>
      </c>
      <c r="P28" s="18">
        <f>'Sampling Data'!O28</f>
        <v>0</v>
      </c>
      <c r="Q28" s="18">
        <f>'Sampling Data'!P28</f>
        <v>8</v>
      </c>
      <c r="R28" s="18">
        <f>'Sampling Data'!AJ28</f>
        <v>0</v>
      </c>
      <c r="S28" s="112"/>
      <c r="T28" s="112"/>
      <c r="U28" s="113"/>
      <c r="V28" s="113"/>
      <c r="W28" s="112"/>
      <c r="X28" s="112"/>
      <c r="Y28" s="112"/>
      <c r="Z28" s="112"/>
      <c r="AA28" s="15"/>
      <c r="AB28" s="15"/>
      <c r="AC28" s="15"/>
      <c r="AD28" s="15"/>
      <c r="AE28" s="114" t="str">
        <f>IF(NOT(ISBLANK(Audit[[#This Row],[Audit Winning Candidate]])), Audit[[#This Row],[Audit Winning Candidate]]-Audit[[#This Row],[Winning Candidate]], "")</f>
        <v/>
      </c>
      <c r="AF28" s="18" t="str">
        <f>IF(NOT(ISBLANK(Audit[[#This Row],[Audit Losing Candidate]])), Audit[[#This Row],[Audit Losing Candidate]]-Audit[[#This Row],[Losing Candidate]], "")</f>
        <v/>
      </c>
      <c r="AG28" s="18" t="str">
        <f>IF(NOT(ISBLANK(Audit[[#This Row],[Audit Candidate 3]])), Audit[[#This Row],[Audit Candidate 3]]-Audit[[#This Row],[Candidate 3]], "")</f>
        <v/>
      </c>
      <c r="AH28" s="18" t="str">
        <f>IF(NOT(ISBLANK(Audit[[#This Row],[Audit Candidate 4]])),Audit[[#This Row],[Audit Candidate 4]]-Audit[[#This Row],[Candidate 4]], "")</f>
        <v/>
      </c>
      <c r="AI28" s="18" t="str">
        <f>IF(NOT(ISBLANK(Audit[[#This Row],[Audit Candidate 5]])), Audit[[#This Row],[Audit Candidate 5]]-Audit[[#This Row],[Candidate 5]], "")</f>
        <v/>
      </c>
      <c r="AJ28" s="18" t="str">
        <f>IF(NOT(ISBLANK(Audit[[#This Row],[Audit Candidate 6]])), Audit[[#This Row],[Audit Candidate 6]]-Audit[[#This Row],[Candidate 6]], "")</f>
        <v/>
      </c>
      <c r="AK28" s="18" t="str">
        <f>IF(NOT(ISBLANK(Audit[[#This Row],[Audit Candidate 7]])), Audit[[#This Row],[Audit Candidate 7]]-Audit[[#This Row],[Candidate 7]], "")</f>
        <v/>
      </c>
      <c r="AL28" s="18" t="str">
        <f>IF(NOT(ISBLANK(Audit[[#This Row],[Audit Candidate 8]])), Audit[[#This Row],[Audit Candidate 8]]-Audit[[#This Row],[Candidate 8]], "")</f>
        <v/>
      </c>
      <c r="AM28" s="18" t="str">
        <f>IF(NOT(ISBLANK(Audit[[#This Row],[Audit Candidate 9]])), Audit[[#This Row],[Audit Candidate 9]]-Audit[[#This Row],[Candidate 9]], "")</f>
        <v/>
      </c>
      <c r="AN28" s="18" t="str">
        <f>IF(NOT(ISBLANK(Audit[[#This Row],[Audit Candidate 10]])), Audit[[#This Row],[Audit Candidate 10]]-Audit[[#This Row],[Candidate 10]], "")</f>
        <v/>
      </c>
      <c r="AO28" s="18" t="str">
        <f>IF(NOT(ISBLANK(Audit[[#This Row],[Audit Candidate 11]])), Audit[[#This Row],[Audit Candidate 11]]-Audit[[#This Row],[Candidate 11]], "")</f>
        <v/>
      </c>
      <c r="AP28" s="18" t="str">
        <f>IF(NOT(ISBLANK(Audit[[#This Row],[Audit Candidate 12]])), Audit[[#This Row],[Audit Candidate 12]]-Audit[[#This Row],[Candidate 12]], "")</f>
        <v/>
      </c>
      <c r="AQ28" s="18">
        <f>SUMIF(Audit[[#This Row],[Difference Winner]:[Difference Candidate 12]], "&gt;0")</f>
        <v>0</v>
      </c>
      <c r="AR28" s="18">
        <f>SUM(Audit[[#This Row],[Difference Winner]:[Difference Candidate 12]])</f>
        <v>0</v>
      </c>
      <c r="AS28" s="18">
        <f>IF(Audit[[#This Row],[Times p Drawn - With Replacement]]&gt;0, IF(Audit[[#This Row],[Canceled Differences]]&lt;0, Audit[[#This Row],[Max Differences]]+ABS(Audit[[#This Row],[Canceled Differences]]), Audit[[#This Row],[Max Differences]]), 0)</f>
        <v>0</v>
      </c>
      <c r="AT28" s="18">
        <f>'Sampling Data'!AB28</f>
        <v>4.3973992524421271E-4</v>
      </c>
      <c r="AU28" s="18">
        <f>IF(
      SUM(Audit[[#This Row],[Audit Losing Candidate]:[Audit Candidate 12]])
      &lt;&gt;0,
      (Audit[[#This Row],[Winning Candidate]]-Audit[[#This Row],[Losing Candidate]]-(Audit[[#This Row],[Audit Winning Candidate]]-Audit[[#This Row],[Audit Losing Candidate]]))/(Audit[[#Totals],[Winning Candidate]]-Audit[[#Totals],[Losing Candidate]]),
      0
)</f>
        <v>0</v>
      </c>
      <c r="AV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8">
        <f>IF(Audit[[#This Row],[Max Relative Error (ep)]] = 0, 0, Audit[[#This Row],[Max Relative Error (ep)]]/Audit[[#This Row],[Error Bound (up) - Max. possible relative overstatement]])</f>
        <v>0</v>
      </c>
      <c r="BH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 s="18">
        <f t="shared" si="1"/>
        <v>1</v>
      </c>
      <c r="BJ28" s="18">
        <f>PRODUCT($BI$5:BI28)</f>
        <v>1</v>
      </c>
      <c r="BK28" s="20">
        <f>1 - Audit[[#This Row],[K-M P Value]]</f>
        <v>0</v>
      </c>
      <c r="BL28" s="18" t="str">
        <f>IF(Audit[[#This Row],[K-M P Value]]&gt;1-'General Info'!$B$12,"Continue", "Stop")</f>
        <v>Continue</v>
      </c>
      <c r="BM28" s="23" t="b">
        <f>IF(Audit[[#This Row],[Status - Continue or stop audit]] = "Continue", TRUE, IF(BL27 = "Continue", TRUE, FALSE))</f>
        <v>1</v>
      </c>
      <c r="BN28" s="23"/>
    </row>
    <row r="29" spans="1:66" ht="15" hidden="1" customHeight="1" x14ac:dyDescent="0.35">
      <c r="A29" s="18" t="str">
        <f>'Sampling Data'!AI29</f>
        <v/>
      </c>
      <c r="B29" s="18" t="str">
        <f>'Sampling Data'!A29</f>
        <v>0301 CIN 3-A   (AV)</v>
      </c>
      <c r="C29" s="18">
        <f>'Sampling Data'!B29</f>
        <v>0</v>
      </c>
      <c r="D29" s="18">
        <f>'Sampling Data'!C29</f>
        <v>0</v>
      </c>
      <c r="E29" s="19">
        <f>'Sampling Data'!D29</f>
        <v>0</v>
      </c>
      <c r="F29" s="19">
        <f>'Sampling Data'!E29</f>
        <v>0</v>
      </c>
      <c r="G29" s="19">
        <f>'Sampling Data'!F29</f>
        <v>0</v>
      </c>
      <c r="H29" s="19">
        <f>'Sampling Data'!G29</f>
        <v>0</v>
      </c>
      <c r="I29" s="19">
        <f>'Sampling Data'!H29</f>
        <v>0</v>
      </c>
      <c r="J29" s="19">
        <f>'Sampling Data'!I29</f>
        <v>0</v>
      </c>
      <c r="K29" s="19">
        <f>'Sampling Data'!J29</f>
        <v>0</v>
      </c>
      <c r="L29" s="19">
        <f>'Sampling Data'!K29</f>
        <v>0</v>
      </c>
      <c r="M29" s="19">
        <f>'Sampling Data'!L29</f>
        <v>0</v>
      </c>
      <c r="N29" s="19">
        <f>'Sampling Data'!M29</f>
        <v>0</v>
      </c>
      <c r="O29" s="18">
        <f>'Sampling Data'!N29</f>
        <v>0</v>
      </c>
      <c r="P29" s="18">
        <f>'Sampling Data'!O29</f>
        <v>0</v>
      </c>
      <c r="Q29" s="18">
        <f>'Sampling Data'!P29</f>
        <v>0</v>
      </c>
      <c r="R29" s="18">
        <f>'Sampling Data'!AJ29</f>
        <v>0</v>
      </c>
      <c r="S29" s="112"/>
      <c r="T29" s="112"/>
      <c r="U29" s="113"/>
      <c r="V29" s="113"/>
      <c r="W29" s="112"/>
      <c r="X29" s="112"/>
      <c r="Y29" s="112"/>
      <c r="Z29" s="112"/>
      <c r="AA29" s="15"/>
      <c r="AB29" s="15"/>
      <c r="AC29" s="15"/>
      <c r="AD29" s="15"/>
      <c r="AE29" s="114" t="str">
        <f>IF(NOT(ISBLANK(Audit[[#This Row],[Audit Winning Candidate]])), Audit[[#This Row],[Audit Winning Candidate]]-Audit[[#This Row],[Winning Candidate]], "")</f>
        <v/>
      </c>
      <c r="AF29" s="18" t="str">
        <f>IF(NOT(ISBLANK(Audit[[#This Row],[Audit Losing Candidate]])), Audit[[#This Row],[Audit Losing Candidate]]-Audit[[#This Row],[Losing Candidate]], "")</f>
        <v/>
      </c>
      <c r="AG29" s="18" t="str">
        <f>IF(NOT(ISBLANK(Audit[[#This Row],[Audit Candidate 3]])), Audit[[#This Row],[Audit Candidate 3]]-Audit[[#This Row],[Candidate 3]], "")</f>
        <v/>
      </c>
      <c r="AH29" s="18" t="str">
        <f>IF(NOT(ISBLANK(Audit[[#This Row],[Audit Candidate 4]])),Audit[[#This Row],[Audit Candidate 4]]-Audit[[#This Row],[Candidate 4]], "")</f>
        <v/>
      </c>
      <c r="AI29" s="18" t="str">
        <f>IF(NOT(ISBLANK(Audit[[#This Row],[Audit Candidate 5]])), Audit[[#This Row],[Audit Candidate 5]]-Audit[[#This Row],[Candidate 5]], "")</f>
        <v/>
      </c>
      <c r="AJ29" s="18" t="str">
        <f>IF(NOT(ISBLANK(Audit[[#This Row],[Audit Candidate 6]])), Audit[[#This Row],[Audit Candidate 6]]-Audit[[#This Row],[Candidate 6]], "")</f>
        <v/>
      </c>
      <c r="AK29" s="18" t="str">
        <f>IF(NOT(ISBLANK(Audit[[#This Row],[Audit Candidate 7]])), Audit[[#This Row],[Audit Candidate 7]]-Audit[[#This Row],[Candidate 7]], "")</f>
        <v/>
      </c>
      <c r="AL29" s="18" t="str">
        <f>IF(NOT(ISBLANK(Audit[[#This Row],[Audit Candidate 8]])), Audit[[#This Row],[Audit Candidate 8]]-Audit[[#This Row],[Candidate 8]], "")</f>
        <v/>
      </c>
      <c r="AM29" s="18" t="str">
        <f>IF(NOT(ISBLANK(Audit[[#This Row],[Audit Candidate 9]])), Audit[[#This Row],[Audit Candidate 9]]-Audit[[#This Row],[Candidate 9]], "")</f>
        <v/>
      </c>
      <c r="AN29" s="18" t="str">
        <f>IF(NOT(ISBLANK(Audit[[#This Row],[Audit Candidate 10]])), Audit[[#This Row],[Audit Candidate 10]]-Audit[[#This Row],[Candidate 10]], "")</f>
        <v/>
      </c>
      <c r="AO29" s="18" t="str">
        <f>IF(NOT(ISBLANK(Audit[[#This Row],[Audit Candidate 11]])), Audit[[#This Row],[Audit Candidate 11]]-Audit[[#This Row],[Candidate 11]], "")</f>
        <v/>
      </c>
      <c r="AP29" s="18" t="str">
        <f>IF(NOT(ISBLANK(Audit[[#This Row],[Audit Candidate 12]])), Audit[[#This Row],[Audit Candidate 12]]-Audit[[#This Row],[Candidate 12]], "")</f>
        <v/>
      </c>
      <c r="AQ29" s="18">
        <f>SUMIF(Audit[[#This Row],[Difference Winner]:[Difference Candidate 12]], "&gt;0")</f>
        <v>0</v>
      </c>
      <c r="AR29" s="18">
        <f>SUM(Audit[[#This Row],[Difference Winner]:[Difference Candidate 12]])</f>
        <v>0</v>
      </c>
      <c r="AS29" s="18">
        <f>IF(Audit[[#This Row],[Times p Drawn - With Replacement]]&gt;0, IF(Audit[[#This Row],[Canceled Differences]]&lt;0, Audit[[#This Row],[Max Differences]]+ABS(Audit[[#This Row],[Canceled Differences]]), Audit[[#This Row],[Max Differences]]), 0)</f>
        <v>0</v>
      </c>
      <c r="AT29" s="18">
        <f>'Sampling Data'!AB29</f>
        <v>0</v>
      </c>
      <c r="AU29" s="18">
        <f>IF(
      SUM(Audit[[#This Row],[Audit Losing Candidate]:[Audit Candidate 12]])
      &lt;&gt;0,
      (Audit[[#This Row],[Winning Candidate]]-Audit[[#This Row],[Losing Candidate]]-(Audit[[#This Row],[Audit Winning Candidate]]-Audit[[#This Row],[Audit Losing Candidate]]))/(Audit[[#Totals],[Winning Candidate]]-Audit[[#Totals],[Losing Candidate]]),
      0
)</f>
        <v>0</v>
      </c>
      <c r="AV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8">
        <f>IF(Audit[[#This Row],[Max Relative Error (ep)]] = 0, 0, Audit[[#This Row],[Max Relative Error (ep)]]/Audit[[#This Row],[Error Bound (up) - Max. possible relative overstatement]])</f>
        <v>0</v>
      </c>
      <c r="BH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 s="18">
        <f t="shared" si="1"/>
        <v>1</v>
      </c>
      <c r="BJ29" s="18">
        <f>PRODUCT($BI$5:BI29)</f>
        <v>1</v>
      </c>
      <c r="BK29" s="20">
        <f>1 - Audit[[#This Row],[K-M P Value]]</f>
        <v>0</v>
      </c>
      <c r="BL29" s="18" t="str">
        <f>IF(Audit[[#This Row],[K-M P Value]]&gt;1-'General Info'!$B$12,"Continue", "Stop")</f>
        <v>Continue</v>
      </c>
      <c r="BM29" s="23" t="b">
        <f>IF(Audit[[#This Row],[Status - Continue or stop audit]] = "Continue", TRUE, IF(BL28 = "Continue", TRUE, FALSE))</f>
        <v>1</v>
      </c>
      <c r="BN29" s="23"/>
    </row>
    <row r="30" spans="1:66" ht="15" hidden="1" customHeight="1" x14ac:dyDescent="0.35">
      <c r="A30" s="18" t="str">
        <f>'Sampling Data'!AI30</f>
        <v/>
      </c>
      <c r="B30" s="18" t="str">
        <f>'Sampling Data'!A30</f>
        <v>0302 CIN 3-B   (AV)</v>
      </c>
      <c r="C30" s="18">
        <f>'Sampling Data'!B30</f>
        <v>5</v>
      </c>
      <c r="D30" s="18">
        <f>'Sampling Data'!C30</f>
        <v>1</v>
      </c>
      <c r="E30" s="19">
        <f>'Sampling Data'!D30</f>
        <v>0</v>
      </c>
      <c r="F30" s="19">
        <f>'Sampling Data'!E30</f>
        <v>0</v>
      </c>
      <c r="G30" s="19">
        <f>'Sampling Data'!F30</f>
        <v>0</v>
      </c>
      <c r="H30" s="19">
        <f>'Sampling Data'!G30</f>
        <v>0</v>
      </c>
      <c r="I30" s="19">
        <f>'Sampling Data'!H30</f>
        <v>0</v>
      </c>
      <c r="J30" s="19">
        <f>'Sampling Data'!I30</f>
        <v>0</v>
      </c>
      <c r="K30" s="19">
        <f>'Sampling Data'!J30</f>
        <v>0</v>
      </c>
      <c r="L30" s="19">
        <f>'Sampling Data'!K30</f>
        <v>0</v>
      </c>
      <c r="M30" s="19">
        <f>'Sampling Data'!L30</f>
        <v>0</v>
      </c>
      <c r="N30" s="19">
        <f>'Sampling Data'!M30</f>
        <v>0</v>
      </c>
      <c r="O30" s="18">
        <f>'Sampling Data'!N30</f>
        <v>0</v>
      </c>
      <c r="P30" s="18">
        <f>'Sampling Data'!O30</f>
        <v>0</v>
      </c>
      <c r="Q30" s="18">
        <f>'Sampling Data'!P30</f>
        <v>6</v>
      </c>
      <c r="R30" s="18">
        <f>'Sampling Data'!AJ30</f>
        <v>0</v>
      </c>
      <c r="S30" s="112"/>
      <c r="T30" s="112"/>
      <c r="U30" s="113"/>
      <c r="V30" s="113"/>
      <c r="W30" s="112"/>
      <c r="X30" s="112"/>
      <c r="Y30" s="112"/>
      <c r="Z30" s="112"/>
      <c r="AA30" s="15"/>
      <c r="AB30" s="15"/>
      <c r="AC30" s="15"/>
      <c r="AD30" s="15"/>
      <c r="AE30" s="114" t="str">
        <f>IF(NOT(ISBLANK(Audit[[#This Row],[Audit Winning Candidate]])), Audit[[#This Row],[Audit Winning Candidate]]-Audit[[#This Row],[Winning Candidate]], "")</f>
        <v/>
      </c>
      <c r="AF30" s="18" t="str">
        <f>IF(NOT(ISBLANK(Audit[[#This Row],[Audit Losing Candidate]])), Audit[[#This Row],[Audit Losing Candidate]]-Audit[[#This Row],[Losing Candidate]], "")</f>
        <v/>
      </c>
      <c r="AG30" s="18" t="str">
        <f>IF(NOT(ISBLANK(Audit[[#This Row],[Audit Candidate 3]])), Audit[[#This Row],[Audit Candidate 3]]-Audit[[#This Row],[Candidate 3]], "")</f>
        <v/>
      </c>
      <c r="AH30" s="18" t="str">
        <f>IF(NOT(ISBLANK(Audit[[#This Row],[Audit Candidate 4]])),Audit[[#This Row],[Audit Candidate 4]]-Audit[[#This Row],[Candidate 4]], "")</f>
        <v/>
      </c>
      <c r="AI30" s="18" t="str">
        <f>IF(NOT(ISBLANK(Audit[[#This Row],[Audit Candidate 5]])), Audit[[#This Row],[Audit Candidate 5]]-Audit[[#This Row],[Candidate 5]], "")</f>
        <v/>
      </c>
      <c r="AJ30" s="18" t="str">
        <f>IF(NOT(ISBLANK(Audit[[#This Row],[Audit Candidate 6]])), Audit[[#This Row],[Audit Candidate 6]]-Audit[[#This Row],[Candidate 6]], "")</f>
        <v/>
      </c>
      <c r="AK30" s="18" t="str">
        <f>IF(NOT(ISBLANK(Audit[[#This Row],[Audit Candidate 7]])), Audit[[#This Row],[Audit Candidate 7]]-Audit[[#This Row],[Candidate 7]], "")</f>
        <v/>
      </c>
      <c r="AL30" s="18" t="str">
        <f>IF(NOT(ISBLANK(Audit[[#This Row],[Audit Candidate 8]])), Audit[[#This Row],[Audit Candidate 8]]-Audit[[#This Row],[Candidate 8]], "")</f>
        <v/>
      </c>
      <c r="AM30" s="18" t="str">
        <f>IF(NOT(ISBLANK(Audit[[#This Row],[Audit Candidate 9]])), Audit[[#This Row],[Audit Candidate 9]]-Audit[[#This Row],[Candidate 9]], "")</f>
        <v/>
      </c>
      <c r="AN30" s="18" t="str">
        <f>IF(NOT(ISBLANK(Audit[[#This Row],[Audit Candidate 10]])), Audit[[#This Row],[Audit Candidate 10]]-Audit[[#This Row],[Candidate 10]], "")</f>
        <v/>
      </c>
      <c r="AO30" s="18" t="str">
        <f>IF(NOT(ISBLANK(Audit[[#This Row],[Audit Candidate 11]])), Audit[[#This Row],[Audit Candidate 11]]-Audit[[#This Row],[Candidate 11]], "")</f>
        <v/>
      </c>
      <c r="AP30" s="18" t="str">
        <f>IF(NOT(ISBLANK(Audit[[#This Row],[Audit Candidate 12]])), Audit[[#This Row],[Audit Candidate 12]]-Audit[[#This Row],[Candidate 12]], "")</f>
        <v/>
      </c>
      <c r="AQ30" s="18">
        <f>SUMIF(Audit[[#This Row],[Difference Winner]:[Difference Candidate 12]], "&gt;0")</f>
        <v>0</v>
      </c>
      <c r="AR30" s="18">
        <f>SUM(Audit[[#This Row],[Difference Winner]:[Difference Candidate 12]])</f>
        <v>0</v>
      </c>
      <c r="AS30" s="18">
        <f>IF(Audit[[#This Row],[Times p Drawn - With Replacement]]&gt;0, IF(Audit[[#This Row],[Canceled Differences]]&lt;0, Audit[[#This Row],[Max Differences]]+ABS(Audit[[#This Row],[Canceled Differences]]), Audit[[#This Row],[Max Differences]]), 0)</f>
        <v>0</v>
      </c>
      <c r="AT30" s="18">
        <f>'Sampling Data'!AB30</f>
        <v>3.1409994660300906E-4</v>
      </c>
      <c r="AU30" s="18">
        <f>IF(
      SUM(Audit[[#This Row],[Audit Losing Candidate]:[Audit Candidate 12]])
      &lt;&gt;0,
      (Audit[[#This Row],[Winning Candidate]]-Audit[[#This Row],[Losing Candidate]]-(Audit[[#This Row],[Audit Winning Candidate]]-Audit[[#This Row],[Audit Losing Candidate]]))/(Audit[[#Totals],[Winning Candidate]]-Audit[[#Totals],[Losing Candidate]]),
      0
)</f>
        <v>0</v>
      </c>
      <c r="AV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8">
        <f>IF(Audit[[#This Row],[Max Relative Error (ep)]] = 0, 0, Audit[[#This Row],[Max Relative Error (ep)]]/Audit[[#This Row],[Error Bound (up) - Max. possible relative overstatement]])</f>
        <v>0</v>
      </c>
      <c r="BH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 s="18">
        <f t="shared" si="1"/>
        <v>1</v>
      </c>
      <c r="BJ30" s="18">
        <f>PRODUCT($BI$5:BI30)</f>
        <v>1</v>
      </c>
      <c r="BK30" s="20">
        <f>1 - Audit[[#This Row],[K-M P Value]]</f>
        <v>0</v>
      </c>
      <c r="BL30" s="18" t="str">
        <f>IF(Audit[[#This Row],[K-M P Value]]&gt;1-'General Info'!$B$12,"Continue", "Stop")</f>
        <v>Continue</v>
      </c>
      <c r="BM30" s="23" t="b">
        <f>IF(Audit[[#This Row],[Status - Continue or stop audit]] = "Continue", TRUE, IF(BL29 = "Continue", TRUE, FALSE))</f>
        <v>1</v>
      </c>
      <c r="BN30" s="23"/>
    </row>
    <row r="31" spans="1:66" ht="15" hidden="1" customHeight="1" x14ac:dyDescent="0.35">
      <c r="A31" s="18" t="str">
        <f>'Sampling Data'!AI31</f>
        <v/>
      </c>
      <c r="B31" s="18" t="str">
        <f>'Sampling Data'!A31</f>
        <v>0303 CIN 3-C   (AV)</v>
      </c>
      <c r="C31" s="18">
        <f>'Sampling Data'!B31</f>
        <v>22</v>
      </c>
      <c r="D31" s="18">
        <f>'Sampling Data'!C31</f>
        <v>1</v>
      </c>
      <c r="E31" s="19">
        <f>'Sampling Data'!D31</f>
        <v>0</v>
      </c>
      <c r="F31" s="19">
        <f>'Sampling Data'!E31</f>
        <v>0</v>
      </c>
      <c r="G31" s="19">
        <f>'Sampling Data'!F31</f>
        <v>0</v>
      </c>
      <c r="H31" s="19">
        <f>'Sampling Data'!G31</f>
        <v>0</v>
      </c>
      <c r="I31" s="19">
        <f>'Sampling Data'!H31</f>
        <v>0</v>
      </c>
      <c r="J31" s="19">
        <f>'Sampling Data'!I31</f>
        <v>0</v>
      </c>
      <c r="K31" s="19">
        <f>'Sampling Data'!J31</f>
        <v>0</v>
      </c>
      <c r="L31" s="19">
        <f>'Sampling Data'!K31</f>
        <v>0</v>
      </c>
      <c r="M31" s="19">
        <f>'Sampling Data'!L31</f>
        <v>0</v>
      </c>
      <c r="N31" s="19">
        <f>'Sampling Data'!M31</f>
        <v>0</v>
      </c>
      <c r="O31" s="18">
        <f>'Sampling Data'!N31</f>
        <v>0</v>
      </c>
      <c r="P31" s="18">
        <f>'Sampling Data'!O31</f>
        <v>0</v>
      </c>
      <c r="Q31" s="18">
        <f>'Sampling Data'!P31</f>
        <v>23</v>
      </c>
      <c r="R31" s="18">
        <f>'Sampling Data'!AJ31</f>
        <v>0</v>
      </c>
      <c r="S31" s="112"/>
      <c r="T31" s="112"/>
      <c r="U31" s="113"/>
      <c r="V31" s="113"/>
      <c r="W31" s="112"/>
      <c r="X31" s="112"/>
      <c r="Y31" s="112"/>
      <c r="Z31" s="112"/>
      <c r="AA31" s="15"/>
      <c r="AB31" s="15"/>
      <c r="AC31" s="15"/>
      <c r="AD31" s="15"/>
      <c r="AE31" s="114" t="str">
        <f>IF(NOT(ISBLANK(Audit[[#This Row],[Audit Winning Candidate]])), Audit[[#This Row],[Audit Winning Candidate]]-Audit[[#This Row],[Winning Candidate]], "")</f>
        <v/>
      </c>
      <c r="AF31" s="18" t="str">
        <f>IF(NOT(ISBLANK(Audit[[#This Row],[Audit Losing Candidate]])), Audit[[#This Row],[Audit Losing Candidate]]-Audit[[#This Row],[Losing Candidate]], "")</f>
        <v/>
      </c>
      <c r="AG31" s="18" t="str">
        <f>IF(NOT(ISBLANK(Audit[[#This Row],[Audit Candidate 3]])), Audit[[#This Row],[Audit Candidate 3]]-Audit[[#This Row],[Candidate 3]], "")</f>
        <v/>
      </c>
      <c r="AH31" s="18" t="str">
        <f>IF(NOT(ISBLANK(Audit[[#This Row],[Audit Candidate 4]])),Audit[[#This Row],[Audit Candidate 4]]-Audit[[#This Row],[Candidate 4]], "")</f>
        <v/>
      </c>
      <c r="AI31" s="18" t="str">
        <f>IF(NOT(ISBLANK(Audit[[#This Row],[Audit Candidate 5]])), Audit[[#This Row],[Audit Candidate 5]]-Audit[[#This Row],[Candidate 5]], "")</f>
        <v/>
      </c>
      <c r="AJ31" s="18" t="str">
        <f>IF(NOT(ISBLANK(Audit[[#This Row],[Audit Candidate 6]])), Audit[[#This Row],[Audit Candidate 6]]-Audit[[#This Row],[Candidate 6]], "")</f>
        <v/>
      </c>
      <c r="AK31" s="18" t="str">
        <f>IF(NOT(ISBLANK(Audit[[#This Row],[Audit Candidate 7]])), Audit[[#This Row],[Audit Candidate 7]]-Audit[[#This Row],[Candidate 7]], "")</f>
        <v/>
      </c>
      <c r="AL31" s="18" t="str">
        <f>IF(NOT(ISBLANK(Audit[[#This Row],[Audit Candidate 8]])), Audit[[#This Row],[Audit Candidate 8]]-Audit[[#This Row],[Candidate 8]], "")</f>
        <v/>
      </c>
      <c r="AM31" s="18" t="str">
        <f>IF(NOT(ISBLANK(Audit[[#This Row],[Audit Candidate 9]])), Audit[[#This Row],[Audit Candidate 9]]-Audit[[#This Row],[Candidate 9]], "")</f>
        <v/>
      </c>
      <c r="AN31" s="18" t="str">
        <f>IF(NOT(ISBLANK(Audit[[#This Row],[Audit Candidate 10]])), Audit[[#This Row],[Audit Candidate 10]]-Audit[[#This Row],[Candidate 10]], "")</f>
        <v/>
      </c>
      <c r="AO31" s="18" t="str">
        <f>IF(NOT(ISBLANK(Audit[[#This Row],[Audit Candidate 11]])), Audit[[#This Row],[Audit Candidate 11]]-Audit[[#This Row],[Candidate 11]], "")</f>
        <v/>
      </c>
      <c r="AP31" s="18" t="str">
        <f>IF(NOT(ISBLANK(Audit[[#This Row],[Audit Candidate 12]])), Audit[[#This Row],[Audit Candidate 12]]-Audit[[#This Row],[Candidate 12]], "")</f>
        <v/>
      </c>
      <c r="AQ31" s="18">
        <f>SUMIF(Audit[[#This Row],[Difference Winner]:[Difference Candidate 12]], "&gt;0")</f>
        <v>0</v>
      </c>
      <c r="AR31" s="18">
        <f>SUM(Audit[[#This Row],[Difference Winner]:[Difference Candidate 12]])</f>
        <v>0</v>
      </c>
      <c r="AS31" s="18">
        <f>IF(Audit[[#This Row],[Times p Drawn - With Replacement]]&gt;0, IF(Audit[[#This Row],[Canceled Differences]]&lt;0, Audit[[#This Row],[Max Differences]]+ABS(Audit[[#This Row],[Canceled Differences]]), Audit[[#This Row],[Max Differences]]), 0)</f>
        <v>0</v>
      </c>
      <c r="AT31" s="18">
        <f>'Sampling Data'!AB31</f>
        <v>1.38203976505324E-3</v>
      </c>
      <c r="AU31" s="18">
        <f>IF(
      SUM(Audit[[#This Row],[Audit Losing Candidate]:[Audit Candidate 12]])
      &lt;&gt;0,
      (Audit[[#This Row],[Winning Candidate]]-Audit[[#This Row],[Losing Candidate]]-(Audit[[#This Row],[Audit Winning Candidate]]-Audit[[#This Row],[Audit Losing Candidate]]))/(Audit[[#Totals],[Winning Candidate]]-Audit[[#Totals],[Losing Candidate]]),
      0
)</f>
        <v>0</v>
      </c>
      <c r="AV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8">
        <f>IF(Audit[[#This Row],[Max Relative Error (ep)]] = 0, 0, Audit[[#This Row],[Max Relative Error (ep)]]/Audit[[#This Row],[Error Bound (up) - Max. possible relative overstatement]])</f>
        <v>0</v>
      </c>
      <c r="BH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 s="18">
        <f t="shared" si="1"/>
        <v>1</v>
      </c>
      <c r="BJ31" s="18">
        <f>PRODUCT($BI$5:BI31)</f>
        <v>1</v>
      </c>
      <c r="BK31" s="20">
        <f>1 - Audit[[#This Row],[K-M P Value]]</f>
        <v>0</v>
      </c>
      <c r="BL31" s="18" t="str">
        <f>IF(Audit[[#This Row],[K-M P Value]]&gt;1-'General Info'!$B$12,"Continue", "Stop")</f>
        <v>Continue</v>
      </c>
      <c r="BM31" s="23" t="b">
        <f>IF(Audit[[#This Row],[Status - Continue or stop audit]] = "Continue", TRUE, IF(BL30 = "Continue", TRUE, FALSE))</f>
        <v>1</v>
      </c>
      <c r="BN31" s="23"/>
    </row>
    <row r="32" spans="1:66" ht="15" hidden="1" customHeight="1" x14ac:dyDescent="0.35">
      <c r="A32" s="18" t="str">
        <f>'Sampling Data'!AI32</f>
        <v/>
      </c>
      <c r="B32" s="18" t="str">
        <f>'Sampling Data'!A32</f>
        <v>0304 CIN 3-D   (AV)</v>
      </c>
      <c r="C32" s="18">
        <f>'Sampling Data'!B32</f>
        <v>2</v>
      </c>
      <c r="D32" s="18">
        <f>'Sampling Data'!C32</f>
        <v>0</v>
      </c>
      <c r="E32" s="19">
        <f>'Sampling Data'!D32</f>
        <v>0</v>
      </c>
      <c r="F32" s="19">
        <f>'Sampling Data'!E32</f>
        <v>0</v>
      </c>
      <c r="G32" s="19">
        <f>'Sampling Data'!F32</f>
        <v>0</v>
      </c>
      <c r="H32" s="19">
        <f>'Sampling Data'!G32</f>
        <v>0</v>
      </c>
      <c r="I32" s="19">
        <f>'Sampling Data'!H32</f>
        <v>0</v>
      </c>
      <c r="J32" s="19">
        <f>'Sampling Data'!I32</f>
        <v>0</v>
      </c>
      <c r="K32" s="19">
        <f>'Sampling Data'!J32</f>
        <v>0</v>
      </c>
      <c r="L32" s="19">
        <f>'Sampling Data'!K32</f>
        <v>0</v>
      </c>
      <c r="M32" s="19">
        <f>'Sampling Data'!L32</f>
        <v>0</v>
      </c>
      <c r="N32" s="19">
        <f>'Sampling Data'!M32</f>
        <v>0</v>
      </c>
      <c r="O32" s="18">
        <f>'Sampling Data'!N32</f>
        <v>0</v>
      </c>
      <c r="P32" s="18">
        <f>'Sampling Data'!O32</f>
        <v>0</v>
      </c>
      <c r="Q32" s="18">
        <f>'Sampling Data'!P32</f>
        <v>2</v>
      </c>
      <c r="R32" s="18">
        <f>'Sampling Data'!AJ32</f>
        <v>0</v>
      </c>
      <c r="S32" s="112"/>
      <c r="T32" s="112"/>
      <c r="U32" s="113"/>
      <c r="V32" s="113"/>
      <c r="W32" s="112"/>
      <c r="X32" s="112"/>
      <c r="Y32" s="112"/>
      <c r="Z32" s="112"/>
      <c r="AA32" s="15"/>
      <c r="AB32" s="15"/>
      <c r="AC32" s="15"/>
      <c r="AD32" s="15"/>
      <c r="AE32" s="114" t="str">
        <f>IF(NOT(ISBLANK(Audit[[#This Row],[Audit Winning Candidate]])), Audit[[#This Row],[Audit Winning Candidate]]-Audit[[#This Row],[Winning Candidate]], "")</f>
        <v/>
      </c>
      <c r="AF32" s="18" t="str">
        <f>IF(NOT(ISBLANK(Audit[[#This Row],[Audit Losing Candidate]])), Audit[[#This Row],[Audit Losing Candidate]]-Audit[[#This Row],[Losing Candidate]], "")</f>
        <v/>
      </c>
      <c r="AG32" s="18" t="str">
        <f>IF(NOT(ISBLANK(Audit[[#This Row],[Audit Candidate 3]])), Audit[[#This Row],[Audit Candidate 3]]-Audit[[#This Row],[Candidate 3]], "")</f>
        <v/>
      </c>
      <c r="AH32" s="18" t="str">
        <f>IF(NOT(ISBLANK(Audit[[#This Row],[Audit Candidate 4]])),Audit[[#This Row],[Audit Candidate 4]]-Audit[[#This Row],[Candidate 4]], "")</f>
        <v/>
      </c>
      <c r="AI32" s="18" t="str">
        <f>IF(NOT(ISBLANK(Audit[[#This Row],[Audit Candidate 5]])), Audit[[#This Row],[Audit Candidate 5]]-Audit[[#This Row],[Candidate 5]], "")</f>
        <v/>
      </c>
      <c r="AJ32" s="18" t="str">
        <f>IF(NOT(ISBLANK(Audit[[#This Row],[Audit Candidate 6]])), Audit[[#This Row],[Audit Candidate 6]]-Audit[[#This Row],[Candidate 6]], "")</f>
        <v/>
      </c>
      <c r="AK32" s="18" t="str">
        <f>IF(NOT(ISBLANK(Audit[[#This Row],[Audit Candidate 7]])), Audit[[#This Row],[Audit Candidate 7]]-Audit[[#This Row],[Candidate 7]], "")</f>
        <v/>
      </c>
      <c r="AL32" s="18" t="str">
        <f>IF(NOT(ISBLANK(Audit[[#This Row],[Audit Candidate 8]])), Audit[[#This Row],[Audit Candidate 8]]-Audit[[#This Row],[Candidate 8]], "")</f>
        <v/>
      </c>
      <c r="AM32" s="18" t="str">
        <f>IF(NOT(ISBLANK(Audit[[#This Row],[Audit Candidate 9]])), Audit[[#This Row],[Audit Candidate 9]]-Audit[[#This Row],[Candidate 9]], "")</f>
        <v/>
      </c>
      <c r="AN32" s="18" t="str">
        <f>IF(NOT(ISBLANK(Audit[[#This Row],[Audit Candidate 10]])), Audit[[#This Row],[Audit Candidate 10]]-Audit[[#This Row],[Candidate 10]], "")</f>
        <v/>
      </c>
      <c r="AO32" s="18" t="str">
        <f>IF(NOT(ISBLANK(Audit[[#This Row],[Audit Candidate 11]])), Audit[[#This Row],[Audit Candidate 11]]-Audit[[#This Row],[Candidate 11]], "")</f>
        <v/>
      </c>
      <c r="AP32" s="18" t="str">
        <f>IF(NOT(ISBLANK(Audit[[#This Row],[Audit Candidate 12]])), Audit[[#This Row],[Audit Candidate 12]]-Audit[[#This Row],[Candidate 12]], "")</f>
        <v/>
      </c>
      <c r="AQ32" s="18">
        <f>SUMIF(Audit[[#This Row],[Difference Winner]:[Difference Candidate 12]], "&gt;0")</f>
        <v>0</v>
      </c>
      <c r="AR32" s="18">
        <f>SUM(Audit[[#This Row],[Difference Winner]:[Difference Candidate 12]])</f>
        <v>0</v>
      </c>
      <c r="AS32" s="18">
        <f>IF(Audit[[#This Row],[Times p Drawn - With Replacement]]&gt;0, IF(Audit[[#This Row],[Canceled Differences]]&lt;0, Audit[[#This Row],[Max Differences]]+ABS(Audit[[#This Row],[Canceled Differences]]), Audit[[#This Row],[Max Differences]]), 0)</f>
        <v>0</v>
      </c>
      <c r="AT32" s="18">
        <f>'Sampling Data'!AB32</f>
        <v>1.2563997864120362E-4</v>
      </c>
      <c r="AU32" s="18">
        <f>IF(
      SUM(Audit[[#This Row],[Audit Losing Candidate]:[Audit Candidate 12]])
      &lt;&gt;0,
      (Audit[[#This Row],[Winning Candidate]]-Audit[[#This Row],[Losing Candidate]]-(Audit[[#This Row],[Audit Winning Candidate]]-Audit[[#This Row],[Audit Losing Candidate]]))/(Audit[[#Totals],[Winning Candidate]]-Audit[[#Totals],[Losing Candidate]]),
      0
)</f>
        <v>0</v>
      </c>
      <c r="AV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8">
        <f>IF(Audit[[#This Row],[Max Relative Error (ep)]] = 0, 0, Audit[[#This Row],[Max Relative Error (ep)]]/Audit[[#This Row],[Error Bound (up) - Max. possible relative overstatement]])</f>
        <v>0</v>
      </c>
      <c r="BH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 s="18">
        <f t="shared" si="1"/>
        <v>1</v>
      </c>
      <c r="BJ32" s="18">
        <f>PRODUCT($BI$5:BI32)</f>
        <v>1</v>
      </c>
      <c r="BK32" s="20">
        <f>1 - Audit[[#This Row],[K-M P Value]]</f>
        <v>0</v>
      </c>
      <c r="BL32" s="18" t="str">
        <f>IF(Audit[[#This Row],[K-M P Value]]&gt;1-'General Info'!$B$12,"Continue", "Stop")</f>
        <v>Continue</v>
      </c>
      <c r="BM32" s="23" t="b">
        <f>IF(Audit[[#This Row],[Status - Continue or stop audit]] = "Continue", TRUE, IF(BL31 = "Continue", TRUE, FALSE))</f>
        <v>1</v>
      </c>
      <c r="BN32" s="23"/>
    </row>
    <row r="33" spans="1:66" ht="15" hidden="1" customHeight="1" x14ac:dyDescent="0.35">
      <c r="A33" s="18" t="str">
        <f>'Sampling Data'!AI33</f>
        <v/>
      </c>
      <c r="B33" s="18" t="str">
        <f>'Sampling Data'!A33</f>
        <v>0305 CIN 3-E   (AV)</v>
      </c>
      <c r="C33" s="18">
        <f>'Sampling Data'!B33</f>
        <v>0</v>
      </c>
      <c r="D33" s="18">
        <f>'Sampling Data'!C33</f>
        <v>1</v>
      </c>
      <c r="E33" s="19">
        <f>'Sampling Data'!D33</f>
        <v>0</v>
      </c>
      <c r="F33" s="19">
        <f>'Sampling Data'!E33</f>
        <v>0</v>
      </c>
      <c r="G33" s="19">
        <f>'Sampling Data'!F33</f>
        <v>0</v>
      </c>
      <c r="H33" s="19">
        <f>'Sampling Data'!G33</f>
        <v>0</v>
      </c>
      <c r="I33" s="19">
        <f>'Sampling Data'!H33</f>
        <v>0</v>
      </c>
      <c r="J33" s="19">
        <f>'Sampling Data'!I33</f>
        <v>0</v>
      </c>
      <c r="K33" s="19">
        <f>'Sampling Data'!J33</f>
        <v>0</v>
      </c>
      <c r="L33" s="19">
        <f>'Sampling Data'!K33</f>
        <v>0</v>
      </c>
      <c r="M33" s="19">
        <f>'Sampling Data'!L33</f>
        <v>0</v>
      </c>
      <c r="N33" s="19">
        <f>'Sampling Data'!M33</f>
        <v>0</v>
      </c>
      <c r="O33" s="18">
        <f>'Sampling Data'!N33</f>
        <v>0</v>
      </c>
      <c r="P33" s="18">
        <f>'Sampling Data'!O33</f>
        <v>0</v>
      </c>
      <c r="Q33" s="18">
        <f>'Sampling Data'!P33</f>
        <v>1</v>
      </c>
      <c r="R33" s="18">
        <f>'Sampling Data'!AJ33</f>
        <v>0</v>
      </c>
      <c r="S33" s="112"/>
      <c r="T33" s="112"/>
      <c r="U33" s="113"/>
      <c r="V33" s="113"/>
      <c r="W33" s="112"/>
      <c r="X33" s="112"/>
      <c r="Y33" s="112"/>
      <c r="Z33" s="112"/>
      <c r="AA33" s="15"/>
      <c r="AB33" s="15"/>
      <c r="AC33" s="15"/>
      <c r="AD33" s="15"/>
      <c r="AE33" s="114" t="str">
        <f>IF(NOT(ISBLANK(Audit[[#This Row],[Audit Winning Candidate]])), Audit[[#This Row],[Audit Winning Candidate]]-Audit[[#This Row],[Winning Candidate]], "")</f>
        <v/>
      </c>
      <c r="AF33" s="18" t="str">
        <f>IF(NOT(ISBLANK(Audit[[#This Row],[Audit Losing Candidate]])), Audit[[#This Row],[Audit Losing Candidate]]-Audit[[#This Row],[Losing Candidate]], "")</f>
        <v/>
      </c>
      <c r="AG33" s="18" t="str">
        <f>IF(NOT(ISBLANK(Audit[[#This Row],[Audit Candidate 3]])), Audit[[#This Row],[Audit Candidate 3]]-Audit[[#This Row],[Candidate 3]], "")</f>
        <v/>
      </c>
      <c r="AH33" s="18" t="str">
        <f>IF(NOT(ISBLANK(Audit[[#This Row],[Audit Candidate 4]])),Audit[[#This Row],[Audit Candidate 4]]-Audit[[#This Row],[Candidate 4]], "")</f>
        <v/>
      </c>
      <c r="AI33" s="18" t="str">
        <f>IF(NOT(ISBLANK(Audit[[#This Row],[Audit Candidate 5]])), Audit[[#This Row],[Audit Candidate 5]]-Audit[[#This Row],[Candidate 5]], "")</f>
        <v/>
      </c>
      <c r="AJ33" s="18" t="str">
        <f>IF(NOT(ISBLANK(Audit[[#This Row],[Audit Candidate 6]])), Audit[[#This Row],[Audit Candidate 6]]-Audit[[#This Row],[Candidate 6]], "")</f>
        <v/>
      </c>
      <c r="AK33" s="18" t="str">
        <f>IF(NOT(ISBLANK(Audit[[#This Row],[Audit Candidate 7]])), Audit[[#This Row],[Audit Candidate 7]]-Audit[[#This Row],[Candidate 7]], "")</f>
        <v/>
      </c>
      <c r="AL33" s="18" t="str">
        <f>IF(NOT(ISBLANK(Audit[[#This Row],[Audit Candidate 8]])), Audit[[#This Row],[Audit Candidate 8]]-Audit[[#This Row],[Candidate 8]], "")</f>
        <v/>
      </c>
      <c r="AM33" s="18" t="str">
        <f>IF(NOT(ISBLANK(Audit[[#This Row],[Audit Candidate 9]])), Audit[[#This Row],[Audit Candidate 9]]-Audit[[#This Row],[Candidate 9]], "")</f>
        <v/>
      </c>
      <c r="AN33" s="18" t="str">
        <f>IF(NOT(ISBLANK(Audit[[#This Row],[Audit Candidate 10]])), Audit[[#This Row],[Audit Candidate 10]]-Audit[[#This Row],[Candidate 10]], "")</f>
        <v/>
      </c>
      <c r="AO33" s="18" t="str">
        <f>IF(NOT(ISBLANK(Audit[[#This Row],[Audit Candidate 11]])), Audit[[#This Row],[Audit Candidate 11]]-Audit[[#This Row],[Candidate 11]], "")</f>
        <v/>
      </c>
      <c r="AP33" s="18" t="str">
        <f>IF(NOT(ISBLANK(Audit[[#This Row],[Audit Candidate 12]])), Audit[[#This Row],[Audit Candidate 12]]-Audit[[#This Row],[Candidate 12]], "")</f>
        <v/>
      </c>
      <c r="AQ33" s="18">
        <f>SUMIF(Audit[[#This Row],[Difference Winner]:[Difference Candidate 12]], "&gt;0")</f>
        <v>0</v>
      </c>
      <c r="AR33" s="18">
        <f>SUM(Audit[[#This Row],[Difference Winner]:[Difference Candidate 12]])</f>
        <v>0</v>
      </c>
      <c r="AS33" s="18">
        <f>IF(Audit[[#This Row],[Times p Drawn - With Replacement]]&gt;0, IF(Audit[[#This Row],[Canceled Differences]]&lt;0, Audit[[#This Row],[Max Differences]]+ABS(Audit[[#This Row],[Canceled Differences]]), Audit[[#This Row],[Max Differences]]), 0)</f>
        <v>0</v>
      </c>
      <c r="AT33" s="18">
        <f>'Sampling Data'!AB33</f>
        <v>0</v>
      </c>
      <c r="AU33" s="18">
        <f>IF(
      SUM(Audit[[#This Row],[Audit Losing Candidate]:[Audit Candidate 12]])
      &lt;&gt;0,
      (Audit[[#This Row],[Winning Candidate]]-Audit[[#This Row],[Losing Candidate]]-(Audit[[#This Row],[Audit Winning Candidate]]-Audit[[#This Row],[Audit Losing Candidate]]))/(Audit[[#Totals],[Winning Candidate]]-Audit[[#Totals],[Losing Candidate]]),
      0
)</f>
        <v>0</v>
      </c>
      <c r="AV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8">
        <f>IF(Audit[[#This Row],[Max Relative Error (ep)]] = 0, 0, Audit[[#This Row],[Max Relative Error (ep)]]/Audit[[#This Row],[Error Bound (up) - Max. possible relative overstatement]])</f>
        <v>0</v>
      </c>
      <c r="BH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 s="18">
        <f t="shared" si="1"/>
        <v>1</v>
      </c>
      <c r="BJ33" s="18">
        <f>PRODUCT($BI$5:BI33)</f>
        <v>1</v>
      </c>
      <c r="BK33" s="20">
        <f>1 - Audit[[#This Row],[K-M P Value]]</f>
        <v>0</v>
      </c>
      <c r="BL33" s="18" t="str">
        <f>IF(Audit[[#This Row],[K-M P Value]]&gt;1-'General Info'!$B$12,"Continue", "Stop")</f>
        <v>Continue</v>
      </c>
      <c r="BM33" s="23" t="b">
        <f>IF(Audit[[#This Row],[Status - Continue or stop audit]] = "Continue", TRUE, IF(BL32 = "Continue", TRUE, FALSE))</f>
        <v>1</v>
      </c>
      <c r="BN33" s="23"/>
    </row>
    <row r="34" spans="1:66" ht="15" hidden="1" customHeight="1" x14ac:dyDescent="0.35">
      <c r="A34" s="18" t="str">
        <f>'Sampling Data'!AI34</f>
        <v/>
      </c>
      <c r="B34" s="18" t="str">
        <f>'Sampling Data'!A34</f>
        <v>0401 CIN 4-A   (AV)</v>
      </c>
      <c r="C34" s="18">
        <f>'Sampling Data'!B34</f>
        <v>14</v>
      </c>
      <c r="D34" s="18">
        <f>'Sampling Data'!C34</f>
        <v>0</v>
      </c>
      <c r="E34" s="19">
        <f>'Sampling Data'!D34</f>
        <v>0</v>
      </c>
      <c r="F34" s="19">
        <f>'Sampling Data'!E34</f>
        <v>0</v>
      </c>
      <c r="G34" s="19">
        <f>'Sampling Data'!F34</f>
        <v>0</v>
      </c>
      <c r="H34" s="19">
        <f>'Sampling Data'!G34</f>
        <v>0</v>
      </c>
      <c r="I34" s="19">
        <f>'Sampling Data'!H34</f>
        <v>0</v>
      </c>
      <c r="J34" s="19">
        <f>'Sampling Data'!I34</f>
        <v>0</v>
      </c>
      <c r="K34" s="19">
        <f>'Sampling Data'!J34</f>
        <v>0</v>
      </c>
      <c r="L34" s="19">
        <f>'Sampling Data'!K34</f>
        <v>0</v>
      </c>
      <c r="M34" s="19">
        <f>'Sampling Data'!L34</f>
        <v>0</v>
      </c>
      <c r="N34" s="19">
        <f>'Sampling Data'!M34</f>
        <v>0</v>
      </c>
      <c r="O34" s="18">
        <f>'Sampling Data'!N34</f>
        <v>0</v>
      </c>
      <c r="P34" s="18">
        <f>'Sampling Data'!O34</f>
        <v>0</v>
      </c>
      <c r="Q34" s="18">
        <f>'Sampling Data'!P34</f>
        <v>14</v>
      </c>
      <c r="R34" s="18">
        <f>'Sampling Data'!AJ34</f>
        <v>0</v>
      </c>
      <c r="S34" s="112"/>
      <c r="T34" s="112"/>
      <c r="U34" s="113"/>
      <c r="V34" s="113"/>
      <c r="W34" s="112"/>
      <c r="X34" s="112"/>
      <c r="Y34" s="112"/>
      <c r="Z34" s="112"/>
      <c r="AA34" s="15"/>
      <c r="AB34" s="15"/>
      <c r="AC34" s="15"/>
      <c r="AD34" s="15"/>
      <c r="AE34" s="114" t="str">
        <f>IF(NOT(ISBLANK(Audit[[#This Row],[Audit Winning Candidate]])), Audit[[#This Row],[Audit Winning Candidate]]-Audit[[#This Row],[Winning Candidate]], "")</f>
        <v/>
      </c>
      <c r="AF34" s="18" t="str">
        <f>IF(NOT(ISBLANK(Audit[[#This Row],[Audit Losing Candidate]])), Audit[[#This Row],[Audit Losing Candidate]]-Audit[[#This Row],[Losing Candidate]], "")</f>
        <v/>
      </c>
      <c r="AG34" s="18" t="str">
        <f>IF(NOT(ISBLANK(Audit[[#This Row],[Audit Candidate 3]])), Audit[[#This Row],[Audit Candidate 3]]-Audit[[#This Row],[Candidate 3]], "")</f>
        <v/>
      </c>
      <c r="AH34" s="18" t="str">
        <f>IF(NOT(ISBLANK(Audit[[#This Row],[Audit Candidate 4]])),Audit[[#This Row],[Audit Candidate 4]]-Audit[[#This Row],[Candidate 4]], "")</f>
        <v/>
      </c>
      <c r="AI34" s="18" t="str">
        <f>IF(NOT(ISBLANK(Audit[[#This Row],[Audit Candidate 5]])), Audit[[#This Row],[Audit Candidate 5]]-Audit[[#This Row],[Candidate 5]], "")</f>
        <v/>
      </c>
      <c r="AJ34" s="18" t="str">
        <f>IF(NOT(ISBLANK(Audit[[#This Row],[Audit Candidate 6]])), Audit[[#This Row],[Audit Candidate 6]]-Audit[[#This Row],[Candidate 6]], "")</f>
        <v/>
      </c>
      <c r="AK34" s="18" t="str">
        <f>IF(NOT(ISBLANK(Audit[[#This Row],[Audit Candidate 7]])), Audit[[#This Row],[Audit Candidate 7]]-Audit[[#This Row],[Candidate 7]], "")</f>
        <v/>
      </c>
      <c r="AL34" s="18" t="str">
        <f>IF(NOT(ISBLANK(Audit[[#This Row],[Audit Candidate 8]])), Audit[[#This Row],[Audit Candidate 8]]-Audit[[#This Row],[Candidate 8]], "")</f>
        <v/>
      </c>
      <c r="AM34" s="18" t="str">
        <f>IF(NOT(ISBLANK(Audit[[#This Row],[Audit Candidate 9]])), Audit[[#This Row],[Audit Candidate 9]]-Audit[[#This Row],[Candidate 9]], "")</f>
        <v/>
      </c>
      <c r="AN34" s="18" t="str">
        <f>IF(NOT(ISBLANK(Audit[[#This Row],[Audit Candidate 10]])), Audit[[#This Row],[Audit Candidate 10]]-Audit[[#This Row],[Candidate 10]], "")</f>
        <v/>
      </c>
      <c r="AO34" s="18" t="str">
        <f>IF(NOT(ISBLANK(Audit[[#This Row],[Audit Candidate 11]])), Audit[[#This Row],[Audit Candidate 11]]-Audit[[#This Row],[Candidate 11]], "")</f>
        <v/>
      </c>
      <c r="AP34" s="18" t="str">
        <f>IF(NOT(ISBLANK(Audit[[#This Row],[Audit Candidate 12]])), Audit[[#This Row],[Audit Candidate 12]]-Audit[[#This Row],[Candidate 12]], "")</f>
        <v/>
      </c>
      <c r="AQ34" s="18">
        <f>SUMIF(Audit[[#This Row],[Difference Winner]:[Difference Candidate 12]], "&gt;0")</f>
        <v>0</v>
      </c>
      <c r="AR34" s="18">
        <f>SUM(Audit[[#This Row],[Difference Winner]:[Difference Candidate 12]])</f>
        <v>0</v>
      </c>
      <c r="AS34" s="18">
        <f>IF(Audit[[#This Row],[Times p Drawn - With Replacement]]&gt;0, IF(Audit[[#This Row],[Canceled Differences]]&lt;0, Audit[[#This Row],[Max Differences]]+ABS(Audit[[#This Row],[Canceled Differences]]), Audit[[#This Row],[Max Differences]]), 0)</f>
        <v>0</v>
      </c>
      <c r="AT34" s="18">
        <f>'Sampling Data'!AB34</f>
        <v>8.7947985048842541E-4</v>
      </c>
      <c r="AU34" s="18">
        <f>IF(
      SUM(Audit[[#This Row],[Audit Losing Candidate]:[Audit Candidate 12]])
      &lt;&gt;0,
      (Audit[[#This Row],[Winning Candidate]]-Audit[[#This Row],[Losing Candidate]]-(Audit[[#This Row],[Audit Winning Candidate]]-Audit[[#This Row],[Audit Losing Candidate]]))/(Audit[[#Totals],[Winning Candidate]]-Audit[[#Totals],[Losing Candidate]]),
      0
)</f>
        <v>0</v>
      </c>
      <c r="AV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8">
        <f>IF(Audit[[#This Row],[Max Relative Error (ep)]] = 0, 0, Audit[[#This Row],[Max Relative Error (ep)]]/Audit[[#This Row],[Error Bound (up) - Max. possible relative overstatement]])</f>
        <v>0</v>
      </c>
      <c r="BH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 s="18">
        <f t="shared" si="1"/>
        <v>1</v>
      </c>
      <c r="BJ34" s="18">
        <f>PRODUCT($BI$5:BI34)</f>
        <v>1</v>
      </c>
      <c r="BK34" s="20">
        <f>1 - Audit[[#This Row],[K-M P Value]]</f>
        <v>0</v>
      </c>
      <c r="BL34" s="18" t="str">
        <f>IF(Audit[[#This Row],[K-M P Value]]&gt;1-'General Info'!$B$12,"Continue", "Stop")</f>
        <v>Continue</v>
      </c>
      <c r="BM34" s="23" t="b">
        <f>IF(Audit[[#This Row],[Status - Continue or stop audit]] = "Continue", TRUE, IF(BL33 = "Continue", TRUE, FALSE))</f>
        <v>1</v>
      </c>
      <c r="BN34" s="23"/>
    </row>
    <row r="35" spans="1:66" ht="15" hidden="1" customHeight="1" x14ac:dyDescent="0.35">
      <c r="A35" s="18" t="str">
        <f>'Sampling Data'!AI35</f>
        <v/>
      </c>
      <c r="B35" s="18" t="str">
        <f>'Sampling Data'!A35</f>
        <v>0402 CIN 4-B   (AV)</v>
      </c>
      <c r="C35" s="18">
        <f>'Sampling Data'!B35</f>
        <v>6</v>
      </c>
      <c r="D35" s="18">
        <f>'Sampling Data'!C35</f>
        <v>1</v>
      </c>
      <c r="E35" s="19">
        <f>'Sampling Data'!D35</f>
        <v>0</v>
      </c>
      <c r="F35" s="19">
        <f>'Sampling Data'!E35</f>
        <v>0</v>
      </c>
      <c r="G35" s="19">
        <f>'Sampling Data'!F35</f>
        <v>0</v>
      </c>
      <c r="H35" s="19">
        <f>'Sampling Data'!G35</f>
        <v>0</v>
      </c>
      <c r="I35" s="19">
        <f>'Sampling Data'!H35</f>
        <v>0</v>
      </c>
      <c r="J35" s="19">
        <f>'Sampling Data'!I35</f>
        <v>0</v>
      </c>
      <c r="K35" s="19">
        <f>'Sampling Data'!J35</f>
        <v>0</v>
      </c>
      <c r="L35" s="19">
        <f>'Sampling Data'!K35</f>
        <v>0</v>
      </c>
      <c r="M35" s="19">
        <f>'Sampling Data'!L35</f>
        <v>0</v>
      </c>
      <c r="N35" s="19">
        <f>'Sampling Data'!M35</f>
        <v>0</v>
      </c>
      <c r="O35" s="18">
        <f>'Sampling Data'!N35</f>
        <v>0</v>
      </c>
      <c r="P35" s="18">
        <f>'Sampling Data'!O35</f>
        <v>0</v>
      </c>
      <c r="Q35" s="18">
        <f>'Sampling Data'!P35</f>
        <v>7</v>
      </c>
      <c r="R35" s="18">
        <f>'Sampling Data'!AJ35</f>
        <v>0</v>
      </c>
      <c r="S35" s="112"/>
      <c r="T35" s="112"/>
      <c r="U35" s="113"/>
      <c r="V35" s="113"/>
      <c r="W35" s="112"/>
      <c r="X35" s="112"/>
      <c r="Y35" s="112"/>
      <c r="Z35" s="112"/>
      <c r="AA35" s="15"/>
      <c r="AB35" s="15"/>
      <c r="AC35" s="15"/>
      <c r="AD35" s="15"/>
      <c r="AE35" s="114" t="str">
        <f>IF(NOT(ISBLANK(Audit[[#This Row],[Audit Winning Candidate]])), Audit[[#This Row],[Audit Winning Candidate]]-Audit[[#This Row],[Winning Candidate]], "")</f>
        <v/>
      </c>
      <c r="AF35" s="18" t="str">
        <f>IF(NOT(ISBLANK(Audit[[#This Row],[Audit Losing Candidate]])), Audit[[#This Row],[Audit Losing Candidate]]-Audit[[#This Row],[Losing Candidate]], "")</f>
        <v/>
      </c>
      <c r="AG35" s="18" t="str">
        <f>IF(NOT(ISBLANK(Audit[[#This Row],[Audit Candidate 3]])), Audit[[#This Row],[Audit Candidate 3]]-Audit[[#This Row],[Candidate 3]], "")</f>
        <v/>
      </c>
      <c r="AH35" s="18" t="str">
        <f>IF(NOT(ISBLANK(Audit[[#This Row],[Audit Candidate 4]])),Audit[[#This Row],[Audit Candidate 4]]-Audit[[#This Row],[Candidate 4]], "")</f>
        <v/>
      </c>
      <c r="AI35" s="18" t="str">
        <f>IF(NOT(ISBLANK(Audit[[#This Row],[Audit Candidate 5]])), Audit[[#This Row],[Audit Candidate 5]]-Audit[[#This Row],[Candidate 5]], "")</f>
        <v/>
      </c>
      <c r="AJ35" s="18" t="str">
        <f>IF(NOT(ISBLANK(Audit[[#This Row],[Audit Candidate 6]])), Audit[[#This Row],[Audit Candidate 6]]-Audit[[#This Row],[Candidate 6]], "")</f>
        <v/>
      </c>
      <c r="AK35" s="18" t="str">
        <f>IF(NOT(ISBLANK(Audit[[#This Row],[Audit Candidate 7]])), Audit[[#This Row],[Audit Candidate 7]]-Audit[[#This Row],[Candidate 7]], "")</f>
        <v/>
      </c>
      <c r="AL35" s="18" t="str">
        <f>IF(NOT(ISBLANK(Audit[[#This Row],[Audit Candidate 8]])), Audit[[#This Row],[Audit Candidate 8]]-Audit[[#This Row],[Candidate 8]], "")</f>
        <v/>
      </c>
      <c r="AM35" s="18" t="str">
        <f>IF(NOT(ISBLANK(Audit[[#This Row],[Audit Candidate 9]])), Audit[[#This Row],[Audit Candidate 9]]-Audit[[#This Row],[Candidate 9]], "")</f>
        <v/>
      </c>
      <c r="AN35" s="18" t="str">
        <f>IF(NOT(ISBLANK(Audit[[#This Row],[Audit Candidate 10]])), Audit[[#This Row],[Audit Candidate 10]]-Audit[[#This Row],[Candidate 10]], "")</f>
        <v/>
      </c>
      <c r="AO35" s="18" t="str">
        <f>IF(NOT(ISBLANK(Audit[[#This Row],[Audit Candidate 11]])), Audit[[#This Row],[Audit Candidate 11]]-Audit[[#This Row],[Candidate 11]], "")</f>
        <v/>
      </c>
      <c r="AP35" s="18" t="str">
        <f>IF(NOT(ISBLANK(Audit[[#This Row],[Audit Candidate 12]])), Audit[[#This Row],[Audit Candidate 12]]-Audit[[#This Row],[Candidate 12]], "")</f>
        <v/>
      </c>
      <c r="AQ35" s="18">
        <f>SUMIF(Audit[[#This Row],[Difference Winner]:[Difference Candidate 12]], "&gt;0")</f>
        <v>0</v>
      </c>
      <c r="AR35" s="18">
        <f>SUM(Audit[[#This Row],[Difference Winner]:[Difference Candidate 12]])</f>
        <v>0</v>
      </c>
      <c r="AS35" s="18">
        <f>IF(Audit[[#This Row],[Times p Drawn - With Replacement]]&gt;0, IF(Audit[[#This Row],[Canceled Differences]]&lt;0, Audit[[#This Row],[Max Differences]]+ABS(Audit[[#This Row],[Canceled Differences]]), Audit[[#This Row],[Max Differences]]), 0)</f>
        <v>0</v>
      </c>
      <c r="AT35" s="18">
        <f>'Sampling Data'!AB35</f>
        <v>3.7691993592361088E-4</v>
      </c>
      <c r="AU35" s="18">
        <f>IF(
      SUM(Audit[[#This Row],[Audit Losing Candidate]:[Audit Candidate 12]])
      &lt;&gt;0,
      (Audit[[#This Row],[Winning Candidate]]-Audit[[#This Row],[Losing Candidate]]-(Audit[[#This Row],[Audit Winning Candidate]]-Audit[[#This Row],[Audit Losing Candidate]]))/(Audit[[#Totals],[Winning Candidate]]-Audit[[#Totals],[Losing Candidate]]),
      0
)</f>
        <v>0</v>
      </c>
      <c r="AV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8">
        <f>IF(Audit[[#This Row],[Max Relative Error (ep)]] = 0, 0, Audit[[#This Row],[Max Relative Error (ep)]]/Audit[[#This Row],[Error Bound (up) - Max. possible relative overstatement]])</f>
        <v>0</v>
      </c>
      <c r="BH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 s="18">
        <f t="shared" si="1"/>
        <v>1</v>
      </c>
      <c r="BJ35" s="18">
        <f>PRODUCT($BI$5:BI35)</f>
        <v>1</v>
      </c>
      <c r="BK35" s="20">
        <f>1 - Audit[[#This Row],[K-M P Value]]</f>
        <v>0</v>
      </c>
      <c r="BL35" s="18" t="str">
        <f>IF(Audit[[#This Row],[K-M P Value]]&gt;1-'General Info'!$B$12,"Continue", "Stop")</f>
        <v>Continue</v>
      </c>
      <c r="BM35" s="23" t="b">
        <f>IF(Audit[[#This Row],[Status - Continue or stop audit]] = "Continue", TRUE, IF(BL34 = "Continue", TRUE, FALSE))</f>
        <v>1</v>
      </c>
      <c r="BN35" s="23"/>
    </row>
    <row r="36" spans="1:66" ht="15" hidden="1" customHeight="1" x14ac:dyDescent="0.35">
      <c r="A36" s="18" t="str">
        <f>'Sampling Data'!AI36</f>
        <v/>
      </c>
      <c r="B36" s="18" t="str">
        <f>'Sampling Data'!A36</f>
        <v>0403 CIN 4-C   (AV)</v>
      </c>
      <c r="C36" s="18">
        <f>'Sampling Data'!B36</f>
        <v>10</v>
      </c>
      <c r="D36" s="18">
        <f>'Sampling Data'!C36</f>
        <v>1</v>
      </c>
      <c r="E36" s="19">
        <f>'Sampling Data'!D36</f>
        <v>0</v>
      </c>
      <c r="F36" s="19">
        <f>'Sampling Data'!E36</f>
        <v>0</v>
      </c>
      <c r="G36" s="19">
        <f>'Sampling Data'!F36</f>
        <v>0</v>
      </c>
      <c r="H36" s="19">
        <f>'Sampling Data'!G36</f>
        <v>0</v>
      </c>
      <c r="I36" s="19">
        <f>'Sampling Data'!H36</f>
        <v>0</v>
      </c>
      <c r="J36" s="19">
        <f>'Sampling Data'!I36</f>
        <v>0</v>
      </c>
      <c r="K36" s="19">
        <f>'Sampling Data'!J36</f>
        <v>0</v>
      </c>
      <c r="L36" s="19">
        <f>'Sampling Data'!K36</f>
        <v>0</v>
      </c>
      <c r="M36" s="19">
        <f>'Sampling Data'!L36</f>
        <v>0</v>
      </c>
      <c r="N36" s="19">
        <f>'Sampling Data'!M36</f>
        <v>0</v>
      </c>
      <c r="O36" s="18">
        <f>'Sampling Data'!N36</f>
        <v>0</v>
      </c>
      <c r="P36" s="18">
        <f>'Sampling Data'!O36</f>
        <v>0</v>
      </c>
      <c r="Q36" s="18">
        <f>'Sampling Data'!P36</f>
        <v>11</v>
      </c>
      <c r="R36" s="18">
        <f>'Sampling Data'!AJ36</f>
        <v>0</v>
      </c>
      <c r="S36" s="112"/>
      <c r="T36" s="112"/>
      <c r="U36" s="113"/>
      <c r="V36" s="113"/>
      <c r="W36" s="112"/>
      <c r="X36" s="112"/>
      <c r="Y36" s="112"/>
      <c r="Z36" s="112"/>
      <c r="AA36" s="15"/>
      <c r="AB36" s="15"/>
      <c r="AC36" s="15"/>
      <c r="AD36" s="15"/>
      <c r="AE36" s="114" t="str">
        <f>IF(NOT(ISBLANK(Audit[[#This Row],[Audit Winning Candidate]])), Audit[[#This Row],[Audit Winning Candidate]]-Audit[[#This Row],[Winning Candidate]], "")</f>
        <v/>
      </c>
      <c r="AF36" s="18" t="str">
        <f>IF(NOT(ISBLANK(Audit[[#This Row],[Audit Losing Candidate]])), Audit[[#This Row],[Audit Losing Candidate]]-Audit[[#This Row],[Losing Candidate]], "")</f>
        <v/>
      </c>
      <c r="AG36" s="18" t="str">
        <f>IF(NOT(ISBLANK(Audit[[#This Row],[Audit Candidate 3]])), Audit[[#This Row],[Audit Candidate 3]]-Audit[[#This Row],[Candidate 3]], "")</f>
        <v/>
      </c>
      <c r="AH36" s="18" t="str">
        <f>IF(NOT(ISBLANK(Audit[[#This Row],[Audit Candidate 4]])),Audit[[#This Row],[Audit Candidate 4]]-Audit[[#This Row],[Candidate 4]], "")</f>
        <v/>
      </c>
      <c r="AI36" s="18" t="str">
        <f>IF(NOT(ISBLANK(Audit[[#This Row],[Audit Candidate 5]])), Audit[[#This Row],[Audit Candidate 5]]-Audit[[#This Row],[Candidate 5]], "")</f>
        <v/>
      </c>
      <c r="AJ36" s="18" t="str">
        <f>IF(NOT(ISBLANK(Audit[[#This Row],[Audit Candidate 6]])), Audit[[#This Row],[Audit Candidate 6]]-Audit[[#This Row],[Candidate 6]], "")</f>
        <v/>
      </c>
      <c r="AK36" s="18" t="str">
        <f>IF(NOT(ISBLANK(Audit[[#This Row],[Audit Candidate 7]])), Audit[[#This Row],[Audit Candidate 7]]-Audit[[#This Row],[Candidate 7]], "")</f>
        <v/>
      </c>
      <c r="AL36" s="18" t="str">
        <f>IF(NOT(ISBLANK(Audit[[#This Row],[Audit Candidate 8]])), Audit[[#This Row],[Audit Candidate 8]]-Audit[[#This Row],[Candidate 8]], "")</f>
        <v/>
      </c>
      <c r="AM36" s="18" t="str">
        <f>IF(NOT(ISBLANK(Audit[[#This Row],[Audit Candidate 9]])), Audit[[#This Row],[Audit Candidate 9]]-Audit[[#This Row],[Candidate 9]], "")</f>
        <v/>
      </c>
      <c r="AN36" s="18" t="str">
        <f>IF(NOT(ISBLANK(Audit[[#This Row],[Audit Candidate 10]])), Audit[[#This Row],[Audit Candidate 10]]-Audit[[#This Row],[Candidate 10]], "")</f>
        <v/>
      </c>
      <c r="AO36" s="18" t="str">
        <f>IF(NOT(ISBLANK(Audit[[#This Row],[Audit Candidate 11]])), Audit[[#This Row],[Audit Candidate 11]]-Audit[[#This Row],[Candidate 11]], "")</f>
        <v/>
      </c>
      <c r="AP36" s="18" t="str">
        <f>IF(NOT(ISBLANK(Audit[[#This Row],[Audit Candidate 12]])), Audit[[#This Row],[Audit Candidate 12]]-Audit[[#This Row],[Candidate 12]], "")</f>
        <v/>
      </c>
      <c r="AQ36" s="18">
        <f>SUMIF(Audit[[#This Row],[Difference Winner]:[Difference Candidate 12]], "&gt;0")</f>
        <v>0</v>
      </c>
      <c r="AR36" s="18">
        <f>SUM(Audit[[#This Row],[Difference Winner]:[Difference Candidate 12]])</f>
        <v>0</v>
      </c>
      <c r="AS36" s="18">
        <f>IF(Audit[[#This Row],[Times p Drawn - With Replacement]]&gt;0, IF(Audit[[#This Row],[Canceled Differences]]&lt;0, Audit[[#This Row],[Max Differences]]+ABS(Audit[[#This Row],[Canceled Differences]]), Audit[[#This Row],[Max Differences]]), 0)</f>
        <v>0</v>
      </c>
      <c r="AT36" s="18">
        <f>'Sampling Data'!AB36</f>
        <v>6.2819989320601812E-4</v>
      </c>
      <c r="AU36" s="18">
        <f>IF(
      SUM(Audit[[#This Row],[Audit Losing Candidate]:[Audit Candidate 12]])
      &lt;&gt;0,
      (Audit[[#This Row],[Winning Candidate]]-Audit[[#This Row],[Losing Candidate]]-(Audit[[#This Row],[Audit Winning Candidate]]-Audit[[#This Row],[Audit Losing Candidate]]))/(Audit[[#Totals],[Winning Candidate]]-Audit[[#Totals],[Losing Candidate]]),
      0
)</f>
        <v>0</v>
      </c>
      <c r="AV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8">
        <f>IF(Audit[[#This Row],[Max Relative Error (ep)]] = 0, 0, Audit[[#This Row],[Max Relative Error (ep)]]/Audit[[#This Row],[Error Bound (up) - Max. possible relative overstatement]])</f>
        <v>0</v>
      </c>
      <c r="BH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 s="18">
        <f t="shared" si="1"/>
        <v>1</v>
      </c>
      <c r="BJ36" s="18">
        <f>PRODUCT($BI$5:BI36)</f>
        <v>1</v>
      </c>
      <c r="BK36" s="20">
        <f>1 - Audit[[#This Row],[K-M P Value]]</f>
        <v>0</v>
      </c>
      <c r="BL36" s="18" t="str">
        <f>IF(Audit[[#This Row],[K-M P Value]]&gt;1-'General Info'!$B$12,"Continue", "Stop")</f>
        <v>Continue</v>
      </c>
      <c r="BM36" s="23" t="b">
        <f>IF(Audit[[#This Row],[Status - Continue or stop audit]] = "Continue", TRUE, IF(BL35 = "Continue", TRUE, FALSE))</f>
        <v>1</v>
      </c>
      <c r="BN36" s="23"/>
    </row>
    <row r="37" spans="1:66" ht="15" hidden="1" customHeight="1" x14ac:dyDescent="0.35">
      <c r="A37" s="18" t="str">
        <f>'Sampling Data'!AI37</f>
        <v/>
      </c>
      <c r="B37" s="18" t="str">
        <f>'Sampling Data'!A37</f>
        <v>0404 CIN 4-D   (AV)</v>
      </c>
      <c r="C37" s="18">
        <f>'Sampling Data'!B37</f>
        <v>6</v>
      </c>
      <c r="D37" s="18">
        <f>'Sampling Data'!C37</f>
        <v>0</v>
      </c>
      <c r="E37" s="19">
        <f>'Sampling Data'!D37</f>
        <v>0</v>
      </c>
      <c r="F37" s="19">
        <f>'Sampling Data'!E37</f>
        <v>0</v>
      </c>
      <c r="G37" s="19">
        <f>'Sampling Data'!F37</f>
        <v>0</v>
      </c>
      <c r="H37" s="19">
        <f>'Sampling Data'!G37</f>
        <v>0</v>
      </c>
      <c r="I37" s="19">
        <f>'Sampling Data'!H37</f>
        <v>0</v>
      </c>
      <c r="J37" s="19">
        <f>'Sampling Data'!I37</f>
        <v>0</v>
      </c>
      <c r="K37" s="19">
        <f>'Sampling Data'!J37</f>
        <v>0</v>
      </c>
      <c r="L37" s="19">
        <f>'Sampling Data'!K37</f>
        <v>0</v>
      </c>
      <c r="M37" s="19">
        <f>'Sampling Data'!L37</f>
        <v>0</v>
      </c>
      <c r="N37" s="19">
        <f>'Sampling Data'!M37</f>
        <v>0</v>
      </c>
      <c r="O37" s="18">
        <f>'Sampling Data'!N37</f>
        <v>0</v>
      </c>
      <c r="P37" s="18">
        <f>'Sampling Data'!O37</f>
        <v>0</v>
      </c>
      <c r="Q37" s="18">
        <f>'Sampling Data'!P37</f>
        <v>6</v>
      </c>
      <c r="R37" s="18">
        <f>'Sampling Data'!AJ37</f>
        <v>0</v>
      </c>
      <c r="S37" s="112"/>
      <c r="T37" s="112"/>
      <c r="U37" s="113"/>
      <c r="V37" s="113"/>
      <c r="W37" s="112"/>
      <c r="X37" s="112"/>
      <c r="Y37" s="112"/>
      <c r="Z37" s="112"/>
      <c r="AA37" s="15"/>
      <c r="AB37" s="15"/>
      <c r="AC37" s="15"/>
      <c r="AD37" s="15"/>
      <c r="AE37" s="114" t="str">
        <f>IF(NOT(ISBLANK(Audit[[#This Row],[Audit Winning Candidate]])), Audit[[#This Row],[Audit Winning Candidate]]-Audit[[#This Row],[Winning Candidate]], "")</f>
        <v/>
      </c>
      <c r="AF37" s="18" t="str">
        <f>IF(NOT(ISBLANK(Audit[[#This Row],[Audit Losing Candidate]])), Audit[[#This Row],[Audit Losing Candidate]]-Audit[[#This Row],[Losing Candidate]], "")</f>
        <v/>
      </c>
      <c r="AG37" s="18" t="str">
        <f>IF(NOT(ISBLANK(Audit[[#This Row],[Audit Candidate 3]])), Audit[[#This Row],[Audit Candidate 3]]-Audit[[#This Row],[Candidate 3]], "")</f>
        <v/>
      </c>
      <c r="AH37" s="18" t="str">
        <f>IF(NOT(ISBLANK(Audit[[#This Row],[Audit Candidate 4]])),Audit[[#This Row],[Audit Candidate 4]]-Audit[[#This Row],[Candidate 4]], "")</f>
        <v/>
      </c>
      <c r="AI37" s="18" t="str">
        <f>IF(NOT(ISBLANK(Audit[[#This Row],[Audit Candidate 5]])), Audit[[#This Row],[Audit Candidate 5]]-Audit[[#This Row],[Candidate 5]], "")</f>
        <v/>
      </c>
      <c r="AJ37" s="18" t="str">
        <f>IF(NOT(ISBLANK(Audit[[#This Row],[Audit Candidate 6]])), Audit[[#This Row],[Audit Candidate 6]]-Audit[[#This Row],[Candidate 6]], "")</f>
        <v/>
      </c>
      <c r="AK37" s="18" t="str">
        <f>IF(NOT(ISBLANK(Audit[[#This Row],[Audit Candidate 7]])), Audit[[#This Row],[Audit Candidate 7]]-Audit[[#This Row],[Candidate 7]], "")</f>
        <v/>
      </c>
      <c r="AL37" s="18" t="str">
        <f>IF(NOT(ISBLANK(Audit[[#This Row],[Audit Candidate 8]])), Audit[[#This Row],[Audit Candidate 8]]-Audit[[#This Row],[Candidate 8]], "")</f>
        <v/>
      </c>
      <c r="AM37" s="18" t="str">
        <f>IF(NOT(ISBLANK(Audit[[#This Row],[Audit Candidate 9]])), Audit[[#This Row],[Audit Candidate 9]]-Audit[[#This Row],[Candidate 9]], "")</f>
        <v/>
      </c>
      <c r="AN37" s="18" t="str">
        <f>IF(NOT(ISBLANK(Audit[[#This Row],[Audit Candidate 10]])), Audit[[#This Row],[Audit Candidate 10]]-Audit[[#This Row],[Candidate 10]], "")</f>
        <v/>
      </c>
      <c r="AO37" s="18" t="str">
        <f>IF(NOT(ISBLANK(Audit[[#This Row],[Audit Candidate 11]])), Audit[[#This Row],[Audit Candidate 11]]-Audit[[#This Row],[Candidate 11]], "")</f>
        <v/>
      </c>
      <c r="AP37" s="18" t="str">
        <f>IF(NOT(ISBLANK(Audit[[#This Row],[Audit Candidate 12]])), Audit[[#This Row],[Audit Candidate 12]]-Audit[[#This Row],[Candidate 12]], "")</f>
        <v/>
      </c>
      <c r="AQ37" s="18">
        <f>SUMIF(Audit[[#This Row],[Difference Winner]:[Difference Candidate 12]], "&gt;0")</f>
        <v>0</v>
      </c>
      <c r="AR37" s="18">
        <f>SUM(Audit[[#This Row],[Difference Winner]:[Difference Candidate 12]])</f>
        <v>0</v>
      </c>
      <c r="AS37" s="18">
        <f>IF(Audit[[#This Row],[Times p Drawn - With Replacement]]&gt;0, IF(Audit[[#This Row],[Canceled Differences]]&lt;0, Audit[[#This Row],[Max Differences]]+ABS(Audit[[#This Row],[Canceled Differences]]), Audit[[#This Row],[Max Differences]]), 0)</f>
        <v>0</v>
      </c>
      <c r="AT37" s="18">
        <f>'Sampling Data'!AB37</f>
        <v>3.7691993592361088E-4</v>
      </c>
      <c r="AU37" s="18">
        <f>IF(
      SUM(Audit[[#This Row],[Audit Losing Candidate]:[Audit Candidate 12]])
      &lt;&gt;0,
      (Audit[[#This Row],[Winning Candidate]]-Audit[[#This Row],[Losing Candidate]]-(Audit[[#This Row],[Audit Winning Candidate]]-Audit[[#This Row],[Audit Losing Candidate]]))/(Audit[[#Totals],[Winning Candidate]]-Audit[[#Totals],[Losing Candidate]]),
      0
)</f>
        <v>0</v>
      </c>
      <c r="AV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8">
        <f>IF(Audit[[#This Row],[Max Relative Error (ep)]] = 0, 0, Audit[[#This Row],[Max Relative Error (ep)]]/Audit[[#This Row],[Error Bound (up) - Max. possible relative overstatement]])</f>
        <v>0</v>
      </c>
      <c r="BH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 s="18">
        <f t="shared" si="1"/>
        <v>1</v>
      </c>
      <c r="BJ37" s="18">
        <f>PRODUCT($BI$5:BI37)</f>
        <v>1</v>
      </c>
      <c r="BK37" s="20">
        <f>1 - Audit[[#This Row],[K-M P Value]]</f>
        <v>0</v>
      </c>
      <c r="BL37" s="18" t="str">
        <f>IF(Audit[[#This Row],[K-M P Value]]&gt;1-'General Info'!$B$12,"Continue", "Stop")</f>
        <v>Continue</v>
      </c>
      <c r="BM37" s="23" t="b">
        <f>IF(Audit[[#This Row],[Status - Continue or stop audit]] = "Continue", TRUE, IF(BL36 = "Continue", TRUE, FALSE))</f>
        <v>1</v>
      </c>
      <c r="BN37" s="23"/>
    </row>
    <row r="38" spans="1:66" ht="15" hidden="1" customHeight="1" x14ac:dyDescent="0.35">
      <c r="A38" s="18" t="str">
        <f>'Sampling Data'!AI38</f>
        <v/>
      </c>
      <c r="B38" s="18" t="str">
        <f>'Sampling Data'!A38</f>
        <v>0405 CIN 4-E   (AV)</v>
      </c>
      <c r="C38" s="18">
        <f>'Sampling Data'!B38</f>
        <v>11</v>
      </c>
      <c r="D38" s="18">
        <f>'Sampling Data'!C38</f>
        <v>0</v>
      </c>
      <c r="E38" s="19">
        <f>'Sampling Data'!D38</f>
        <v>0</v>
      </c>
      <c r="F38" s="19">
        <f>'Sampling Data'!E38</f>
        <v>0</v>
      </c>
      <c r="G38" s="19">
        <f>'Sampling Data'!F38</f>
        <v>0</v>
      </c>
      <c r="H38" s="19">
        <f>'Sampling Data'!G38</f>
        <v>0</v>
      </c>
      <c r="I38" s="19">
        <f>'Sampling Data'!H38</f>
        <v>0</v>
      </c>
      <c r="J38" s="19">
        <f>'Sampling Data'!I38</f>
        <v>0</v>
      </c>
      <c r="K38" s="19">
        <f>'Sampling Data'!J38</f>
        <v>0</v>
      </c>
      <c r="L38" s="19">
        <f>'Sampling Data'!K38</f>
        <v>0</v>
      </c>
      <c r="M38" s="19">
        <f>'Sampling Data'!L38</f>
        <v>0</v>
      </c>
      <c r="N38" s="19">
        <f>'Sampling Data'!M38</f>
        <v>0</v>
      </c>
      <c r="O38" s="18">
        <f>'Sampling Data'!N38</f>
        <v>0</v>
      </c>
      <c r="P38" s="18">
        <f>'Sampling Data'!O38</f>
        <v>0</v>
      </c>
      <c r="Q38" s="18">
        <f>'Sampling Data'!P38</f>
        <v>11</v>
      </c>
      <c r="R38" s="18">
        <f>'Sampling Data'!AJ38</f>
        <v>0</v>
      </c>
      <c r="S38" s="112"/>
      <c r="T38" s="112"/>
      <c r="U38" s="113"/>
      <c r="V38" s="113"/>
      <c r="W38" s="112"/>
      <c r="X38" s="112"/>
      <c r="Y38" s="112"/>
      <c r="Z38" s="112"/>
      <c r="AA38" s="15"/>
      <c r="AB38" s="15"/>
      <c r="AC38" s="15"/>
      <c r="AD38" s="15"/>
      <c r="AE38" s="114" t="str">
        <f>IF(NOT(ISBLANK(Audit[[#This Row],[Audit Winning Candidate]])), Audit[[#This Row],[Audit Winning Candidate]]-Audit[[#This Row],[Winning Candidate]], "")</f>
        <v/>
      </c>
      <c r="AF38" s="18" t="str">
        <f>IF(NOT(ISBLANK(Audit[[#This Row],[Audit Losing Candidate]])), Audit[[#This Row],[Audit Losing Candidate]]-Audit[[#This Row],[Losing Candidate]], "")</f>
        <v/>
      </c>
      <c r="AG38" s="18" t="str">
        <f>IF(NOT(ISBLANK(Audit[[#This Row],[Audit Candidate 3]])), Audit[[#This Row],[Audit Candidate 3]]-Audit[[#This Row],[Candidate 3]], "")</f>
        <v/>
      </c>
      <c r="AH38" s="18" t="str">
        <f>IF(NOT(ISBLANK(Audit[[#This Row],[Audit Candidate 4]])),Audit[[#This Row],[Audit Candidate 4]]-Audit[[#This Row],[Candidate 4]], "")</f>
        <v/>
      </c>
      <c r="AI38" s="18" t="str">
        <f>IF(NOT(ISBLANK(Audit[[#This Row],[Audit Candidate 5]])), Audit[[#This Row],[Audit Candidate 5]]-Audit[[#This Row],[Candidate 5]], "")</f>
        <v/>
      </c>
      <c r="AJ38" s="18" t="str">
        <f>IF(NOT(ISBLANK(Audit[[#This Row],[Audit Candidate 6]])), Audit[[#This Row],[Audit Candidate 6]]-Audit[[#This Row],[Candidate 6]], "")</f>
        <v/>
      </c>
      <c r="AK38" s="18" t="str">
        <f>IF(NOT(ISBLANK(Audit[[#This Row],[Audit Candidate 7]])), Audit[[#This Row],[Audit Candidate 7]]-Audit[[#This Row],[Candidate 7]], "")</f>
        <v/>
      </c>
      <c r="AL38" s="18" t="str">
        <f>IF(NOT(ISBLANK(Audit[[#This Row],[Audit Candidate 8]])), Audit[[#This Row],[Audit Candidate 8]]-Audit[[#This Row],[Candidate 8]], "")</f>
        <v/>
      </c>
      <c r="AM38" s="18" t="str">
        <f>IF(NOT(ISBLANK(Audit[[#This Row],[Audit Candidate 9]])), Audit[[#This Row],[Audit Candidate 9]]-Audit[[#This Row],[Candidate 9]], "")</f>
        <v/>
      </c>
      <c r="AN38" s="18" t="str">
        <f>IF(NOT(ISBLANK(Audit[[#This Row],[Audit Candidate 10]])), Audit[[#This Row],[Audit Candidate 10]]-Audit[[#This Row],[Candidate 10]], "")</f>
        <v/>
      </c>
      <c r="AO38" s="18" t="str">
        <f>IF(NOT(ISBLANK(Audit[[#This Row],[Audit Candidate 11]])), Audit[[#This Row],[Audit Candidate 11]]-Audit[[#This Row],[Candidate 11]], "")</f>
        <v/>
      </c>
      <c r="AP38" s="18" t="str">
        <f>IF(NOT(ISBLANK(Audit[[#This Row],[Audit Candidate 12]])), Audit[[#This Row],[Audit Candidate 12]]-Audit[[#This Row],[Candidate 12]], "")</f>
        <v/>
      </c>
      <c r="AQ38" s="18">
        <f>SUMIF(Audit[[#This Row],[Difference Winner]:[Difference Candidate 12]], "&gt;0")</f>
        <v>0</v>
      </c>
      <c r="AR38" s="18">
        <f>SUM(Audit[[#This Row],[Difference Winner]:[Difference Candidate 12]])</f>
        <v>0</v>
      </c>
      <c r="AS38" s="18">
        <f>IF(Audit[[#This Row],[Times p Drawn - With Replacement]]&gt;0, IF(Audit[[#This Row],[Canceled Differences]]&lt;0, Audit[[#This Row],[Max Differences]]+ABS(Audit[[#This Row],[Canceled Differences]]), Audit[[#This Row],[Max Differences]]), 0)</f>
        <v>0</v>
      </c>
      <c r="AT38" s="18">
        <f>'Sampling Data'!AB38</f>
        <v>6.9101988252662E-4</v>
      </c>
      <c r="AU38" s="18">
        <f>IF(
      SUM(Audit[[#This Row],[Audit Losing Candidate]:[Audit Candidate 12]])
      &lt;&gt;0,
      (Audit[[#This Row],[Winning Candidate]]-Audit[[#This Row],[Losing Candidate]]-(Audit[[#This Row],[Audit Winning Candidate]]-Audit[[#This Row],[Audit Losing Candidate]]))/(Audit[[#Totals],[Winning Candidate]]-Audit[[#Totals],[Losing Candidate]]),
      0
)</f>
        <v>0</v>
      </c>
      <c r="AV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8">
        <f>IF(Audit[[#This Row],[Max Relative Error (ep)]] = 0, 0, Audit[[#This Row],[Max Relative Error (ep)]]/Audit[[#This Row],[Error Bound (up) - Max. possible relative overstatement]])</f>
        <v>0</v>
      </c>
      <c r="BH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 s="18">
        <f t="shared" si="1"/>
        <v>1</v>
      </c>
      <c r="BJ38" s="18">
        <f>PRODUCT($BI$5:BI38)</f>
        <v>1</v>
      </c>
      <c r="BK38" s="20">
        <f>1 - Audit[[#This Row],[K-M P Value]]</f>
        <v>0</v>
      </c>
      <c r="BL38" s="18" t="str">
        <f>IF(Audit[[#This Row],[K-M P Value]]&gt;1-'General Info'!$B$12,"Continue", "Stop")</f>
        <v>Continue</v>
      </c>
      <c r="BM38" s="23" t="b">
        <f>IF(Audit[[#This Row],[Status - Continue or stop audit]] = "Continue", TRUE, IF(BL37 = "Continue", TRUE, FALSE))</f>
        <v>1</v>
      </c>
      <c r="BN38" s="23"/>
    </row>
    <row r="39" spans="1:66" ht="15" hidden="1" customHeight="1" x14ac:dyDescent="0.35">
      <c r="A39" s="18" t="str">
        <f>'Sampling Data'!AI39</f>
        <v/>
      </c>
      <c r="B39" s="18" t="str">
        <f>'Sampling Data'!A39</f>
        <v>0406 CIN 4-F   (AV)</v>
      </c>
      <c r="C39" s="18">
        <f>'Sampling Data'!B39</f>
        <v>7</v>
      </c>
      <c r="D39" s="18">
        <f>'Sampling Data'!C39</f>
        <v>2</v>
      </c>
      <c r="E39" s="19">
        <f>'Sampling Data'!D39</f>
        <v>0</v>
      </c>
      <c r="F39" s="19">
        <f>'Sampling Data'!E39</f>
        <v>0</v>
      </c>
      <c r="G39" s="19">
        <f>'Sampling Data'!F39</f>
        <v>0</v>
      </c>
      <c r="H39" s="19">
        <f>'Sampling Data'!G39</f>
        <v>0</v>
      </c>
      <c r="I39" s="19">
        <f>'Sampling Data'!H39</f>
        <v>0</v>
      </c>
      <c r="J39" s="19">
        <f>'Sampling Data'!I39</f>
        <v>0</v>
      </c>
      <c r="K39" s="19">
        <f>'Sampling Data'!J39</f>
        <v>0</v>
      </c>
      <c r="L39" s="19">
        <f>'Sampling Data'!K39</f>
        <v>0</v>
      </c>
      <c r="M39" s="19">
        <f>'Sampling Data'!L39</f>
        <v>0</v>
      </c>
      <c r="N39" s="19">
        <f>'Sampling Data'!M39</f>
        <v>0</v>
      </c>
      <c r="O39" s="18">
        <f>'Sampling Data'!N39</f>
        <v>0</v>
      </c>
      <c r="P39" s="18">
        <f>'Sampling Data'!O39</f>
        <v>2</v>
      </c>
      <c r="Q39" s="18">
        <f>'Sampling Data'!P39</f>
        <v>11</v>
      </c>
      <c r="R39" s="18">
        <f>'Sampling Data'!AJ39</f>
        <v>0</v>
      </c>
      <c r="S39" s="112"/>
      <c r="T39" s="112"/>
      <c r="U39" s="113"/>
      <c r="V39" s="113"/>
      <c r="W39" s="112"/>
      <c r="X39" s="112"/>
      <c r="Y39" s="112"/>
      <c r="Z39" s="112"/>
      <c r="AA39" s="15"/>
      <c r="AB39" s="15"/>
      <c r="AC39" s="15"/>
      <c r="AD39" s="15"/>
      <c r="AE39" s="114" t="str">
        <f>IF(NOT(ISBLANK(Audit[[#This Row],[Audit Winning Candidate]])), Audit[[#This Row],[Audit Winning Candidate]]-Audit[[#This Row],[Winning Candidate]], "")</f>
        <v/>
      </c>
      <c r="AF39" s="18" t="str">
        <f>IF(NOT(ISBLANK(Audit[[#This Row],[Audit Losing Candidate]])), Audit[[#This Row],[Audit Losing Candidate]]-Audit[[#This Row],[Losing Candidate]], "")</f>
        <v/>
      </c>
      <c r="AG39" s="18" t="str">
        <f>IF(NOT(ISBLANK(Audit[[#This Row],[Audit Candidate 3]])), Audit[[#This Row],[Audit Candidate 3]]-Audit[[#This Row],[Candidate 3]], "")</f>
        <v/>
      </c>
      <c r="AH39" s="18" t="str">
        <f>IF(NOT(ISBLANK(Audit[[#This Row],[Audit Candidate 4]])),Audit[[#This Row],[Audit Candidate 4]]-Audit[[#This Row],[Candidate 4]], "")</f>
        <v/>
      </c>
      <c r="AI39" s="18" t="str">
        <f>IF(NOT(ISBLANK(Audit[[#This Row],[Audit Candidate 5]])), Audit[[#This Row],[Audit Candidate 5]]-Audit[[#This Row],[Candidate 5]], "")</f>
        <v/>
      </c>
      <c r="AJ39" s="18" t="str">
        <f>IF(NOT(ISBLANK(Audit[[#This Row],[Audit Candidate 6]])), Audit[[#This Row],[Audit Candidate 6]]-Audit[[#This Row],[Candidate 6]], "")</f>
        <v/>
      </c>
      <c r="AK39" s="18" t="str">
        <f>IF(NOT(ISBLANK(Audit[[#This Row],[Audit Candidate 7]])), Audit[[#This Row],[Audit Candidate 7]]-Audit[[#This Row],[Candidate 7]], "")</f>
        <v/>
      </c>
      <c r="AL39" s="18" t="str">
        <f>IF(NOT(ISBLANK(Audit[[#This Row],[Audit Candidate 8]])), Audit[[#This Row],[Audit Candidate 8]]-Audit[[#This Row],[Candidate 8]], "")</f>
        <v/>
      </c>
      <c r="AM39" s="18" t="str">
        <f>IF(NOT(ISBLANK(Audit[[#This Row],[Audit Candidate 9]])), Audit[[#This Row],[Audit Candidate 9]]-Audit[[#This Row],[Candidate 9]], "")</f>
        <v/>
      </c>
      <c r="AN39" s="18" t="str">
        <f>IF(NOT(ISBLANK(Audit[[#This Row],[Audit Candidate 10]])), Audit[[#This Row],[Audit Candidate 10]]-Audit[[#This Row],[Candidate 10]], "")</f>
        <v/>
      </c>
      <c r="AO39" s="18" t="str">
        <f>IF(NOT(ISBLANK(Audit[[#This Row],[Audit Candidate 11]])), Audit[[#This Row],[Audit Candidate 11]]-Audit[[#This Row],[Candidate 11]], "")</f>
        <v/>
      </c>
      <c r="AP39" s="18" t="str">
        <f>IF(NOT(ISBLANK(Audit[[#This Row],[Audit Candidate 12]])), Audit[[#This Row],[Audit Candidate 12]]-Audit[[#This Row],[Candidate 12]], "")</f>
        <v/>
      </c>
      <c r="AQ39" s="18">
        <f>SUMIF(Audit[[#This Row],[Difference Winner]:[Difference Candidate 12]], "&gt;0")</f>
        <v>0</v>
      </c>
      <c r="AR39" s="18">
        <f>SUM(Audit[[#This Row],[Difference Winner]:[Difference Candidate 12]])</f>
        <v>0</v>
      </c>
      <c r="AS39" s="18">
        <f>IF(Audit[[#This Row],[Times p Drawn - With Replacement]]&gt;0, IF(Audit[[#This Row],[Canceled Differences]]&lt;0, Audit[[#This Row],[Max Differences]]+ABS(Audit[[#This Row],[Canceled Differences]]), Audit[[#This Row],[Max Differences]]), 0)</f>
        <v>0</v>
      </c>
      <c r="AT39" s="18">
        <f>'Sampling Data'!AB39</f>
        <v>5.0255991456481448E-4</v>
      </c>
      <c r="AU39" s="18">
        <f>IF(
      SUM(Audit[[#This Row],[Audit Losing Candidate]:[Audit Candidate 12]])
      &lt;&gt;0,
      (Audit[[#This Row],[Winning Candidate]]-Audit[[#This Row],[Losing Candidate]]-(Audit[[#This Row],[Audit Winning Candidate]]-Audit[[#This Row],[Audit Losing Candidate]]))/(Audit[[#Totals],[Winning Candidate]]-Audit[[#Totals],[Losing Candidate]]),
      0
)</f>
        <v>0</v>
      </c>
      <c r="AV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8">
        <f>IF(Audit[[#This Row],[Max Relative Error (ep)]] = 0, 0, Audit[[#This Row],[Max Relative Error (ep)]]/Audit[[#This Row],[Error Bound (up) - Max. possible relative overstatement]])</f>
        <v>0</v>
      </c>
      <c r="BH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 s="18">
        <f t="shared" si="1"/>
        <v>1</v>
      </c>
      <c r="BJ39" s="18">
        <f>PRODUCT($BI$5:BI39)</f>
        <v>1</v>
      </c>
      <c r="BK39" s="20">
        <f>1 - Audit[[#This Row],[K-M P Value]]</f>
        <v>0</v>
      </c>
      <c r="BL39" s="18" t="str">
        <f>IF(Audit[[#This Row],[K-M P Value]]&gt;1-'General Info'!$B$12,"Continue", "Stop")</f>
        <v>Continue</v>
      </c>
      <c r="BM39" s="23" t="b">
        <f>IF(Audit[[#This Row],[Status - Continue or stop audit]] = "Continue", TRUE, IF(BL38 = "Continue", TRUE, FALSE))</f>
        <v>1</v>
      </c>
      <c r="BN39" s="23"/>
    </row>
    <row r="40" spans="1:66" ht="15" hidden="1" customHeight="1" x14ac:dyDescent="0.35">
      <c r="A40" s="18" t="str">
        <f>'Sampling Data'!AI40</f>
        <v/>
      </c>
      <c r="B40" s="18" t="str">
        <f>'Sampling Data'!A40</f>
        <v>0407 CIN 4-G   (AV)</v>
      </c>
      <c r="C40" s="18">
        <f>'Sampling Data'!B40</f>
        <v>18</v>
      </c>
      <c r="D40" s="18">
        <f>'Sampling Data'!C40</f>
        <v>2</v>
      </c>
      <c r="E40" s="19">
        <f>'Sampling Data'!D40</f>
        <v>0</v>
      </c>
      <c r="F40" s="19">
        <f>'Sampling Data'!E40</f>
        <v>0</v>
      </c>
      <c r="G40" s="19">
        <f>'Sampling Data'!F40</f>
        <v>0</v>
      </c>
      <c r="H40" s="19">
        <f>'Sampling Data'!G40</f>
        <v>0</v>
      </c>
      <c r="I40" s="19">
        <f>'Sampling Data'!H40</f>
        <v>0</v>
      </c>
      <c r="J40" s="19">
        <f>'Sampling Data'!I40</f>
        <v>0</v>
      </c>
      <c r="K40" s="19">
        <f>'Sampling Data'!J40</f>
        <v>0</v>
      </c>
      <c r="L40" s="19">
        <f>'Sampling Data'!K40</f>
        <v>0</v>
      </c>
      <c r="M40" s="19">
        <f>'Sampling Data'!L40</f>
        <v>0</v>
      </c>
      <c r="N40" s="19">
        <f>'Sampling Data'!M40</f>
        <v>0</v>
      </c>
      <c r="O40" s="18">
        <f>'Sampling Data'!N40</f>
        <v>0</v>
      </c>
      <c r="P40" s="18">
        <f>'Sampling Data'!O40</f>
        <v>0</v>
      </c>
      <c r="Q40" s="18">
        <f>'Sampling Data'!P40</f>
        <v>20</v>
      </c>
      <c r="R40" s="18">
        <f>'Sampling Data'!AJ40</f>
        <v>0</v>
      </c>
      <c r="S40" s="112"/>
      <c r="T40" s="112"/>
      <c r="U40" s="113"/>
      <c r="V40" s="113"/>
      <c r="W40" s="112"/>
      <c r="X40" s="112"/>
      <c r="Y40" s="112"/>
      <c r="Z40" s="112"/>
      <c r="AA40" s="15"/>
      <c r="AB40" s="15"/>
      <c r="AC40" s="15"/>
      <c r="AD40" s="15"/>
      <c r="AE40" s="114" t="str">
        <f>IF(NOT(ISBLANK(Audit[[#This Row],[Audit Winning Candidate]])), Audit[[#This Row],[Audit Winning Candidate]]-Audit[[#This Row],[Winning Candidate]], "")</f>
        <v/>
      </c>
      <c r="AF40" s="18" t="str">
        <f>IF(NOT(ISBLANK(Audit[[#This Row],[Audit Losing Candidate]])), Audit[[#This Row],[Audit Losing Candidate]]-Audit[[#This Row],[Losing Candidate]], "")</f>
        <v/>
      </c>
      <c r="AG40" s="18" t="str">
        <f>IF(NOT(ISBLANK(Audit[[#This Row],[Audit Candidate 3]])), Audit[[#This Row],[Audit Candidate 3]]-Audit[[#This Row],[Candidate 3]], "")</f>
        <v/>
      </c>
      <c r="AH40" s="18" t="str">
        <f>IF(NOT(ISBLANK(Audit[[#This Row],[Audit Candidate 4]])),Audit[[#This Row],[Audit Candidate 4]]-Audit[[#This Row],[Candidate 4]], "")</f>
        <v/>
      </c>
      <c r="AI40" s="18" t="str">
        <f>IF(NOT(ISBLANK(Audit[[#This Row],[Audit Candidate 5]])), Audit[[#This Row],[Audit Candidate 5]]-Audit[[#This Row],[Candidate 5]], "")</f>
        <v/>
      </c>
      <c r="AJ40" s="18" t="str">
        <f>IF(NOT(ISBLANK(Audit[[#This Row],[Audit Candidate 6]])), Audit[[#This Row],[Audit Candidate 6]]-Audit[[#This Row],[Candidate 6]], "")</f>
        <v/>
      </c>
      <c r="AK40" s="18" t="str">
        <f>IF(NOT(ISBLANK(Audit[[#This Row],[Audit Candidate 7]])), Audit[[#This Row],[Audit Candidate 7]]-Audit[[#This Row],[Candidate 7]], "")</f>
        <v/>
      </c>
      <c r="AL40" s="18" t="str">
        <f>IF(NOT(ISBLANK(Audit[[#This Row],[Audit Candidate 8]])), Audit[[#This Row],[Audit Candidate 8]]-Audit[[#This Row],[Candidate 8]], "")</f>
        <v/>
      </c>
      <c r="AM40" s="18" t="str">
        <f>IF(NOT(ISBLANK(Audit[[#This Row],[Audit Candidate 9]])), Audit[[#This Row],[Audit Candidate 9]]-Audit[[#This Row],[Candidate 9]], "")</f>
        <v/>
      </c>
      <c r="AN40" s="18" t="str">
        <f>IF(NOT(ISBLANK(Audit[[#This Row],[Audit Candidate 10]])), Audit[[#This Row],[Audit Candidate 10]]-Audit[[#This Row],[Candidate 10]], "")</f>
        <v/>
      </c>
      <c r="AO40" s="18" t="str">
        <f>IF(NOT(ISBLANK(Audit[[#This Row],[Audit Candidate 11]])), Audit[[#This Row],[Audit Candidate 11]]-Audit[[#This Row],[Candidate 11]], "")</f>
        <v/>
      </c>
      <c r="AP40" s="18" t="str">
        <f>IF(NOT(ISBLANK(Audit[[#This Row],[Audit Candidate 12]])), Audit[[#This Row],[Audit Candidate 12]]-Audit[[#This Row],[Candidate 12]], "")</f>
        <v/>
      </c>
      <c r="AQ40" s="18">
        <f>SUMIF(Audit[[#This Row],[Difference Winner]:[Difference Candidate 12]], "&gt;0")</f>
        <v>0</v>
      </c>
      <c r="AR40" s="18">
        <f>SUM(Audit[[#This Row],[Difference Winner]:[Difference Candidate 12]])</f>
        <v>0</v>
      </c>
      <c r="AS40" s="18">
        <f>IF(Audit[[#This Row],[Times p Drawn - With Replacement]]&gt;0, IF(Audit[[#This Row],[Canceled Differences]]&lt;0, Audit[[#This Row],[Max Differences]]+ABS(Audit[[#This Row],[Canceled Differences]]), Audit[[#This Row],[Max Differences]]), 0)</f>
        <v>0</v>
      </c>
      <c r="AT40" s="18">
        <f>'Sampling Data'!AB40</f>
        <v>1.1307598077708327E-3</v>
      </c>
      <c r="AU40" s="18">
        <f>IF(
      SUM(Audit[[#This Row],[Audit Losing Candidate]:[Audit Candidate 12]])
      &lt;&gt;0,
      (Audit[[#This Row],[Winning Candidate]]-Audit[[#This Row],[Losing Candidate]]-(Audit[[#This Row],[Audit Winning Candidate]]-Audit[[#This Row],[Audit Losing Candidate]]))/(Audit[[#Totals],[Winning Candidate]]-Audit[[#Totals],[Losing Candidate]]),
      0
)</f>
        <v>0</v>
      </c>
      <c r="AV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8">
        <f>IF(Audit[[#This Row],[Max Relative Error (ep)]] = 0, 0, Audit[[#This Row],[Max Relative Error (ep)]]/Audit[[#This Row],[Error Bound (up) - Max. possible relative overstatement]])</f>
        <v>0</v>
      </c>
      <c r="BH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 s="18">
        <f t="shared" si="1"/>
        <v>1</v>
      </c>
      <c r="BJ40" s="18">
        <f>PRODUCT($BI$5:BI40)</f>
        <v>1</v>
      </c>
      <c r="BK40" s="20">
        <f>1 - Audit[[#This Row],[K-M P Value]]</f>
        <v>0</v>
      </c>
      <c r="BL40" s="18" t="str">
        <f>IF(Audit[[#This Row],[K-M P Value]]&gt;1-'General Info'!$B$12,"Continue", "Stop")</f>
        <v>Continue</v>
      </c>
      <c r="BM40" s="23" t="b">
        <f>IF(Audit[[#This Row],[Status - Continue or stop audit]] = "Continue", TRUE, IF(BL39 = "Continue", TRUE, FALSE))</f>
        <v>1</v>
      </c>
      <c r="BN40" s="23"/>
    </row>
    <row r="41" spans="1:66" ht="15" hidden="1" customHeight="1" x14ac:dyDescent="0.35">
      <c r="A41" s="18" t="str">
        <f>'Sampling Data'!AI41</f>
        <v/>
      </c>
      <c r="B41" s="18" t="str">
        <f>'Sampling Data'!A41</f>
        <v>0408 CIN 4-H   (AV)</v>
      </c>
      <c r="C41" s="18">
        <f>'Sampling Data'!B41</f>
        <v>10</v>
      </c>
      <c r="D41" s="18">
        <f>'Sampling Data'!C41</f>
        <v>1</v>
      </c>
      <c r="E41" s="19">
        <f>'Sampling Data'!D41</f>
        <v>0</v>
      </c>
      <c r="F41" s="19">
        <f>'Sampling Data'!E41</f>
        <v>0</v>
      </c>
      <c r="G41" s="19">
        <f>'Sampling Data'!F41</f>
        <v>0</v>
      </c>
      <c r="H41" s="19">
        <f>'Sampling Data'!G41</f>
        <v>0</v>
      </c>
      <c r="I41" s="19">
        <f>'Sampling Data'!H41</f>
        <v>0</v>
      </c>
      <c r="J41" s="19">
        <f>'Sampling Data'!I41</f>
        <v>0</v>
      </c>
      <c r="K41" s="19">
        <f>'Sampling Data'!J41</f>
        <v>0</v>
      </c>
      <c r="L41" s="19">
        <f>'Sampling Data'!K41</f>
        <v>0</v>
      </c>
      <c r="M41" s="19">
        <f>'Sampling Data'!L41</f>
        <v>0</v>
      </c>
      <c r="N41" s="19">
        <f>'Sampling Data'!M41</f>
        <v>0</v>
      </c>
      <c r="O41" s="18">
        <f>'Sampling Data'!N41</f>
        <v>0</v>
      </c>
      <c r="P41" s="18">
        <f>'Sampling Data'!O41</f>
        <v>0</v>
      </c>
      <c r="Q41" s="18">
        <f>'Sampling Data'!P41</f>
        <v>11</v>
      </c>
      <c r="R41" s="18">
        <f>'Sampling Data'!AJ41</f>
        <v>0</v>
      </c>
      <c r="S41" s="112"/>
      <c r="T41" s="112"/>
      <c r="U41" s="113"/>
      <c r="V41" s="113"/>
      <c r="W41" s="112"/>
      <c r="X41" s="112"/>
      <c r="Y41" s="112"/>
      <c r="Z41" s="112"/>
      <c r="AA41" s="15"/>
      <c r="AB41" s="15"/>
      <c r="AC41" s="15"/>
      <c r="AD41" s="15"/>
      <c r="AE41" s="114" t="str">
        <f>IF(NOT(ISBLANK(Audit[[#This Row],[Audit Winning Candidate]])), Audit[[#This Row],[Audit Winning Candidate]]-Audit[[#This Row],[Winning Candidate]], "")</f>
        <v/>
      </c>
      <c r="AF41" s="18" t="str">
        <f>IF(NOT(ISBLANK(Audit[[#This Row],[Audit Losing Candidate]])), Audit[[#This Row],[Audit Losing Candidate]]-Audit[[#This Row],[Losing Candidate]], "")</f>
        <v/>
      </c>
      <c r="AG41" s="18" t="str">
        <f>IF(NOT(ISBLANK(Audit[[#This Row],[Audit Candidate 3]])), Audit[[#This Row],[Audit Candidate 3]]-Audit[[#This Row],[Candidate 3]], "")</f>
        <v/>
      </c>
      <c r="AH41" s="18" t="str">
        <f>IF(NOT(ISBLANK(Audit[[#This Row],[Audit Candidate 4]])),Audit[[#This Row],[Audit Candidate 4]]-Audit[[#This Row],[Candidate 4]], "")</f>
        <v/>
      </c>
      <c r="AI41" s="18" t="str">
        <f>IF(NOT(ISBLANK(Audit[[#This Row],[Audit Candidate 5]])), Audit[[#This Row],[Audit Candidate 5]]-Audit[[#This Row],[Candidate 5]], "")</f>
        <v/>
      </c>
      <c r="AJ41" s="18" t="str">
        <f>IF(NOT(ISBLANK(Audit[[#This Row],[Audit Candidate 6]])), Audit[[#This Row],[Audit Candidate 6]]-Audit[[#This Row],[Candidate 6]], "")</f>
        <v/>
      </c>
      <c r="AK41" s="18" t="str">
        <f>IF(NOT(ISBLANK(Audit[[#This Row],[Audit Candidate 7]])), Audit[[#This Row],[Audit Candidate 7]]-Audit[[#This Row],[Candidate 7]], "")</f>
        <v/>
      </c>
      <c r="AL41" s="18" t="str">
        <f>IF(NOT(ISBLANK(Audit[[#This Row],[Audit Candidate 8]])), Audit[[#This Row],[Audit Candidate 8]]-Audit[[#This Row],[Candidate 8]], "")</f>
        <v/>
      </c>
      <c r="AM41" s="18" t="str">
        <f>IF(NOT(ISBLANK(Audit[[#This Row],[Audit Candidate 9]])), Audit[[#This Row],[Audit Candidate 9]]-Audit[[#This Row],[Candidate 9]], "")</f>
        <v/>
      </c>
      <c r="AN41" s="18" t="str">
        <f>IF(NOT(ISBLANK(Audit[[#This Row],[Audit Candidate 10]])), Audit[[#This Row],[Audit Candidate 10]]-Audit[[#This Row],[Candidate 10]], "")</f>
        <v/>
      </c>
      <c r="AO41" s="18" t="str">
        <f>IF(NOT(ISBLANK(Audit[[#This Row],[Audit Candidate 11]])), Audit[[#This Row],[Audit Candidate 11]]-Audit[[#This Row],[Candidate 11]], "")</f>
        <v/>
      </c>
      <c r="AP41" s="18" t="str">
        <f>IF(NOT(ISBLANK(Audit[[#This Row],[Audit Candidate 12]])), Audit[[#This Row],[Audit Candidate 12]]-Audit[[#This Row],[Candidate 12]], "")</f>
        <v/>
      </c>
      <c r="AQ41" s="18">
        <f>SUMIF(Audit[[#This Row],[Difference Winner]:[Difference Candidate 12]], "&gt;0")</f>
        <v>0</v>
      </c>
      <c r="AR41" s="18">
        <f>SUM(Audit[[#This Row],[Difference Winner]:[Difference Candidate 12]])</f>
        <v>0</v>
      </c>
      <c r="AS41" s="18">
        <f>IF(Audit[[#This Row],[Times p Drawn - With Replacement]]&gt;0, IF(Audit[[#This Row],[Canceled Differences]]&lt;0, Audit[[#This Row],[Max Differences]]+ABS(Audit[[#This Row],[Canceled Differences]]), Audit[[#This Row],[Max Differences]]), 0)</f>
        <v>0</v>
      </c>
      <c r="AT41" s="18">
        <f>'Sampling Data'!AB41</f>
        <v>6.2819989320601812E-4</v>
      </c>
      <c r="AU41" s="18">
        <f>IF(
      SUM(Audit[[#This Row],[Audit Losing Candidate]:[Audit Candidate 12]])
      &lt;&gt;0,
      (Audit[[#This Row],[Winning Candidate]]-Audit[[#This Row],[Losing Candidate]]-(Audit[[#This Row],[Audit Winning Candidate]]-Audit[[#This Row],[Audit Losing Candidate]]))/(Audit[[#Totals],[Winning Candidate]]-Audit[[#Totals],[Losing Candidate]]),
      0
)</f>
        <v>0</v>
      </c>
      <c r="AV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8">
        <f>IF(Audit[[#This Row],[Max Relative Error (ep)]] = 0, 0, Audit[[#This Row],[Max Relative Error (ep)]]/Audit[[#This Row],[Error Bound (up) - Max. possible relative overstatement]])</f>
        <v>0</v>
      </c>
      <c r="BH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 s="18">
        <f t="shared" si="1"/>
        <v>1</v>
      </c>
      <c r="BJ41" s="18">
        <f>PRODUCT($BI$5:BI41)</f>
        <v>1</v>
      </c>
      <c r="BK41" s="20">
        <f>1 - Audit[[#This Row],[K-M P Value]]</f>
        <v>0</v>
      </c>
      <c r="BL41" s="18" t="str">
        <f>IF(Audit[[#This Row],[K-M P Value]]&gt;1-'General Info'!$B$12,"Continue", "Stop")</f>
        <v>Continue</v>
      </c>
      <c r="BM41" s="23" t="b">
        <f>IF(Audit[[#This Row],[Status - Continue or stop audit]] = "Continue", TRUE, IF(BL40 = "Continue", TRUE, FALSE))</f>
        <v>1</v>
      </c>
      <c r="BN41" s="23"/>
    </row>
    <row r="42" spans="1:66" ht="15" hidden="1" customHeight="1" x14ac:dyDescent="0.35">
      <c r="A42" s="18" t="str">
        <f>'Sampling Data'!AI42</f>
        <v/>
      </c>
      <c r="B42" s="18" t="str">
        <f>'Sampling Data'!A42</f>
        <v>0501 CIN 5-A   (AV)</v>
      </c>
      <c r="C42" s="18">
        <f>'Sampling Data'!B42</f>
        <v>24</v>
      </c>
      <c r="D42" s="18">
        <f>'Sampling Data'!C42</f>
        <v>2</v>
      </c>
      <c r="E42" s="19">
        <f>'Sampling Data'!D42</f>
        <v>0</v>
      </c>
      <c r="F42" s="19">
        <f>'Sampling Data'!E42</f>
        <v>0</v>
      </c>
      <c r="G42" s="19">
        <f>'Sampling Data'!F42</f>
        <v>0</v>
      </c>
      <c r="H42" s="19">
        <f>'Sampling Data'!G42</f>
        <v>0</v>
      </c>
      <c r="I42" s="19">
        <f>'Sampling Data'!H42</f>
        <v>0</v>
      </c>
      <c r="J42" s="19">
        <f>'Sampling Data'!I42</f>
        <v>0</v>
      </c>
      <c r="K42" s="19">
        <f>'Sampling Data'!J42</f>
        <v>0</v>
      </c>
      <c r="L42" s="19">
        <f>'Sampling Data'!K42</f>
        <v>0</v>
      </c>
      <c r="M42" s="19">
        <f>'Sampling Data'!L42</f>
        <v>0</v>
      </c>
      <c r="N42" s="19">
        <f>'Sampling Data'!M42</f>
        <v>0</v>
      </c>
      <c r="O42" s="18">
        <f>'Sampling Data'!N42</f>
        <v>0</v>
      </c>
      <c r="P42" s="18">
        <f>'Sampling Data'!O42</f>
        <v>1</v>
      </c>
      <c r="Q42" s="18">
        <f>'Sampling Data'!P42</f>
        <v>27</v>
      </c>
      <c r="R42" s="18">
        <f>'Sampling Data'!AJ42</f>
        <v>0</v>
      </c>
      <c r="S42" s="112"/>
      <c r="T42" s="112"/>
      <c r="U42" s="113"/>
      <c r="V42" s="113"/>
      <c r="W42" s="112"/>
      <c r="X42" s="112"/>
      <c r="Y42" s="112"/>
      <c r="Z42" s="112"/>
      <c r="AA42" s="15"/>
      <c r="AB42" s="15"/>
      <c r="AC42" s="15"/>
      <c r="AD42" s="15"/>
      <c r="AE42" s="114" t="str">
        <f>IF(NOT(ISBLANK(Audit[[#This Row],[Audit Winning Candidate]])), Audit[[#This Row],[Audit Winning Candidate]]-Audit[[#This Row],[Winning Candidate]], "")</f>
        <v/>
      </c>
      <c r="AF42" s="18" t="str">
        <f>IF(NOT(ISBLANK(Audit[[#This Row],[Audit Losing Candidate]])), Audit[[#This Row],[Audit Losing Candidate]]-Audit[[#This Row],[Losing Candidate]], "")</f>
        <v/>
      </c>
      <c r="AG42" s="18" t="str">
        <f>IF(NOT(ISBLANK(Audit[[#This Row],[Audit Candidate 3]])), Audit[[#This Row],[Audit Candidate 3]]-Audit[[#This Row],[Candidate 3]], "")</f>
        <v/>
      </c>
      <c r="AH42" s="18" t="str">
        <f>IF(NOT(ISBLANK(Audit[[#This Row],[Audit Candidate 4]])),Audit[[#This Row],[Audit Candidate 4]]-Audit[[#This Row],[Candidate 4]], "")</f>
        <v/>
      </c>
      <c r="AI42" s="18" t="str">
        <f>IF(NOT(ISBLANK(Audit[[#This Row],[Audit Candidate 5]])), Audit[[#This Row],[Audit Candidate 5]]-Audit[[#This Row],[Candidate 5]], "")</f>
        <v/>
      </c>
      <c r="AJ42" s="18" t="str">
        <f>IF(NOT(ISBLANK(Audit[[#This Row],[Audit Candidate 6]])), Audit[[#This Row],[Audit Candidate 6]]-Audit[[#This Row],[Candidate 6]], "")</f>
        <v/>
      </c>
      <c r="AK42" s="18" t="str">
        <f>IF(NOT(ISBLANK(Audit[[#This Row],[Audit Candidate 7]])), Audit[[#This Row],[Audit Candidate 7]]-Audit[[#This Row],[Candidate 7]], "")</f>
        <v/>
      </c>
      <c r="AL42" s="18" t="str">
        <f>IF(NOT(ISBLANK(Audit[[#This Row],[Audit Candidate 8]])), Audit[[#This Row],[Audit Candidate 8]]-Audit[[#This Row],[Candidate 8]], "")</f>
        <v/>
      </c>
      <c r="AM42" s="18" t="str">
        <f>IF(NOT(ISBLANK(Audit[[#This Row],[Audit Candidate 9]])), Audit[[#This Row],[Audit Candidate 9]]-Audit[[#This Row],[Candidate 9]], "")</f>
        <v/>
      </c>
      <c r="AN42" s="18" t="str">
        <f>IF(NOT(ISBLANK(Audit[[#This Row],[Audit Candidate 10]])), Audit[[#This Row],[Audit Candidate 10]]-Audit[[#This Row],[Candidate 10]], "")</f>
        <v/>
      </c>
      <c r="AO42" s="18" t="str">
        <f>IF(NOT(ISBLANK(Audit[[#This Row],[Audit Candidate 11]])), Audit[[#This Row],[Audit Candidate 11]]-Audit[[#This Row],[Candidate 11]], "")</f>
        <v/>
      </c>
      <c r="AP42" s="18" t="str">
        <f>IF(NOT(ISBLANK(Audit[[#This Row],[Audit Candidate 12]])), Audit[[#This Row],[Audit Candidate 12]]-Audit[[#This Row],[Candidate 12]], "")</f>
        <v/>
      </c>
      <c r="AQ42" s="18">
        <f>SUMIF(Audit[[#This Row],[Difference Winner]:[Difference Candidate 12]], "&gt;0")</f>
        <v>0</v>
      </c>
      <c r="AR42" s="18">
        <f>SUM(Audit[[#This Row],[Difference Winner]:[Difference Candidate 12]])</f>
        <v>0</v>
      </c>
      <c r="AS42" s="18">
        <f>IF(Audit[[#This Row],[Times p Drawn - With Replacement]]&gt;0, IF(Audit[[#This Row],[Canceled Differences]]&lt;0, Audit[[#This Row],[Max Differences]]+ABS(Audit[[#This Row],[Canceled Differences]]), Audit[[#This Row],[Max Differences]]), 0)</f>
        <v>0</v>
      </c>
      <c r="AT42" s="18">
        <f>'Sampling Data'!AB42</f>
        <v>1.5390897383547445E-3</v>
      </c>
      <c r="AU42" s="18">
        <f>IF(
      SUM(Audit[[#This Row],[Audit Losing Candidate]:[Audit Candidate 12]])
      &lt;&gt;0,
      (Audit[[#This Row],[Winning Candidate]]-Audit[[#This Row],[Losing Candidate]]-(Audit[[#This Row],[Audit Winning Candidate]]-Audit[[#This Row],[Audit Losing Candidate]]))/(Audit[[#Totals],[Winning Candidate]]-Audit[[#Totals],[Losing Candidate]]),
      0
)</f>
        <v>0</v>
      </c>
      <c r="AV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8">
        <f>IF(Audit[[#This Row],[Max Relative Error (ep)]] = 0, 0, Audit[[#This Row],[Max Relative Error (ep)]]/Audit[[#This Row],[Error Bound (up) - Max. possible relative overstatement]])</f>
        <v>0</v>
      </c>
      <c r="BH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 s="18">
        <f t="shared" si="1"/>
        <v>1</v>
      </c>
      <c r="BJ42" s="18">
        <f>PRODUCT($BI$5:BI42)</f>
        <v>1</v>
      </c>
      <c r="BK42" s="20">
        <f>1 - Audit[[#This Row],[K-M P Value]]</f>
        <v>0</v>
      </c>
      <c r="BL42" s="18" t="str">
        <f>IF(Audit[[#This Row],[K-M P Value]]&gt;1-'General Info'!$B$12,"Continue", "Stop")</f>
        <v>Continue</v>
      </c>
      <c r="BM42" s="23" t="b">
        <f>IF(Audit[[#This Row],[Status - Continue or stop audit]] = "Continue", TRUE, IF(BL41 = "Continue", TRUE, FALSE))</f>
        <v>1</v>
      </c>
      <c r="BN42" s="23"/>
    </row>
    <row r="43" spans="1:66" ht="15" hidden="1" customHeight="1" x14ac:dyDescent="0.35">
      <c r="A43" s="18" t="str">
        <f>'Sampling Data'!AI43</f>
        <v/>
      </c>
      <c r="B43" s="18" t="str">
        <f>'Sampling Data'!A43</f>
        <v>0502 CIN 5-B   (AV)</v>
      </c>
      <c r="C43" s="18">
        <f>'Sampling Data'!B43</f>
        <v>9</v>
      </c>
      <c r="D43" s="18">
        <f>'Sampling Data'!C43</f>
        <v>4</v>
      </c>
      <c r="E43" s="19">
        <f>'Sampling Data'!D43</f>
        <v>0</v>
      </c>
      <c r="F43" s="19">
        <f>'Sampling Data'!E43</f>
        <v>0</v>
      </c>
      <c r="G43" s="19">
        <f>'Sampling Data'!F43</f>
        <v>0</v>
      </c>
      <c r="H43" s="19">
        <f>'Sampling Data'!G43</f>
        <v>0</v>
      </c>
      <c r="I43" s="19">
        <f>'Sampling Data'!H43</f>
        <v>0</v>
      </c>
      <c r="J43" s="19">
        <f>'Sampling Data'!I43</f>
        <v>0</v>
      </c>
      <c r="K43" s="19">
        <f>'Sampling Data'!J43</f>
        <v>0</v>
      </c>
      <c r="L43" s="19">
        <f>'Sampling Data'!K43</f>
        <v>0</v>
      </c>
      <c r="M43" s="19">
        <f>'Sampling Data'!L43</f>
        <v>0</v>
      </c>
      <c r="N43" s="19">
        <f>'Sampling Data'!M43</f>
        <v>0</v>
      </c>
      <c r="O43" s="18">
        <f>'Sampling Data'!N43</f>
        <v>0</v>
      </c>
      <c r="P43" s="18">
        <f>'Sampling Data'!O43</f>
        <v>0</v>
      </c>
      <c r="Q43" s="18">
        <f>'Sampling Data'!P43</f>
        <v>13</v>
      </c>
      <c r="R43" s="18">
        <f>'Sampling Data'!AJ43</f>
        <v>0</v>
      </c>
      <c r="S43" s="112"/>
      <c r="T43" s="112"/>
      <c r="U43" s="113"/>
      <c r="V43" s="113"/>
      <c r="W43" s="112"/>
      <c r="X43" s="112"/>
      <c r="Y43" s="112"/>
      <c r="Z43" s="112"/>
      <c r="AA43" s="15"/>
      <c r="AB43" s="15"/>
      <c r="AC43" s="15"/>
      <c r="AD43" s="15"/>
      <c r="AE43" s="114" t="str">
        <f>IF(NOT(ISBLANK(Audit[[#This Row],[Audit Winning Candidate]])), Audit[[#This Row],[Audit Winning Candidate]]-Audit[[#This Row],[Winning Candidate]], "")</f>
        <v/>
      </c>
      <c r="AF43" s="18" t="str">
        <f>IF(NOT(ISBLANK(Audit[[#This Row],[Audit Losing Candidate]])), Audit[[#This Row],[Audit Losing Candidate]]-Audit[[#This Row],[Losing Candidate]], "")</f>
        <v/>
      </c>
      <c r="AG43" s="18" t="str">
        <f>IF(NOT(ISBLANK(Audit[[#This Row],[Audit Candidate 3]])), Audit[[#This Row],[Audit Candidate 3]]-Audit[[#This Row],[Candidate 3]], "")</f>
        <v/>
      </c>
      <c r="AH43" s="18" t="str">
        <f>IF(NOT(ISBLANK(Audit[[#This Row],[Audit Candidate 4]])),Audit[[#This Row],[Audit Candidate 4]]-Audit[[#This Row],[Candidate 4]], "")</f>
        <v/>
      </c>
      <c r="AI43" s="18" t="str">
        <f>IF(NOT(ISBLANK(Audit[[#This Row],[Audit Candidate 5]])), Audit[[#This Row],[Audit Candidate 5]]-Audit[[#This Row],[Candidate 5]], "")</f>
        <v/>
      </c>
      <c r="AJ43" s="18" t="str">
        <f>IF(NOT(ISBLANK(Audit[[#This Row],[Audit Candidate 6]])), Audit[[#This Row],[Audit Candidate 6]]-Audit[[#This Row],[Candidate 6]], "")</f>
        <v/>
      </c>
      <c r="AK43" s="18" t="str">
        <f>IF(NOT(ISBLANK(Audit[[#This Row],[Audit Candidate 7]])), Audit[[#This Row],[Audit Candidate 7]]-Audit[[#This Row],[Candidate 7]], "")</f>
        <v/>
      </c>
      <c r="AL43" s="18" t="str">
        <f>IF(NOT(ISBLANK(Audit[[#This Row],[Audit Candidate 8]])), Audit[[#This Row],[Audit Candidate 8]]-Audit[[#This Row],[Candidate 8]], "")</f>
        <v/>
      </c>
      <c r="AM43" s="18" t="str">
        <f>IF(NOT(ISBLANK(Audit[[#This Row],[Audit Candidate 9]])), Audit[[#This Row],[Audit Candidate 9]]-Audit[[#This Row],[Candidate 9]], "")</f>
        <v/>
      </c>
      <c r="AN43" s="18" t="str">
        <f>IF(NOT(ISBLANK(Audit[[#This Row],[Audit Candidate 10]])), Audit[[#This Row],[Audit Candidate 10]]-Audit[[#This Row],[Candidate 10]], "")</f>
        <v/>
      </c>
      <c r="AO43" s="18" t="str">
        <f>IF(NOT(ISBLANK(Audit[[#This Row],[Audit Candidate 11]])), Audit[[#This Row],[Audit Candidate 11]]-Audit[[#This Row],[Candidate 11]], "")</f>
        <v/>
      </c>
      <c r="AP43" s="18" t="str">
        <f>IF(NOT(ISBLANK(Audit[[#This Row],[Audit Candidate 12]])), Audit[[#This Row],[Audit Candidate 12]]-Audit[[#This Row],[Candidate 12]], "")</f>
        <v/>
      </c>
      <c r="AQ43" s="18">
        <f>SUMIF(Audit[[#This Row],[Difference Winner]:[Difference Candidate 12]], "&gt;0")</f>
        <v>0</v>
      </c>
      <c r="AR43" s="18">
        <f>SUM(Audit[[#This Row],[Difference Winner]:[Difference Candidate 12]])</f>
        <v>0</v>
      </c>
      <c r="AS43" s="18">
        <f>IF(Audit[[#This Row],[Times p Drawn - With Replacement]]&gt;0, IF(Audit[[#This Row],[Canceled Differences]]&lt;0, Audit[[#This Row],[Max Differences]]+ABS(Audit[[#This Row],[Canceled Differences]]), Audit[[#This Row],[Max Differences]]), 0)</f>
        <v>0</v>
      </c>
      <c r="AT43" s="18">
        <f>'Sampling Data'!AB43</f>
        <v>5.6537990388541635E-4</v>
      </c>
      <c r="AU43" s="18">
        <f>IF(
      SUM(Audit[[#This Row],[Audit Losing Candidate]:[Audit Candidate 12]])
      &lt;&gt;0,
      (Audit[[#This Row],[Winning Candidate]]-Audit[[#This Row],[Losing Candidate]]-(Audit[[#This Row],[Audit Winning Candidate]]-Audit[[#This Row],[Audit Losing Candidate]]))/(Audit[[#Totals],[Winning Candidate]]-Audit[[#Totals],[Losing Candidate]]),
      0
)</f>
        <v>0</v>
      </c>
      <c r="AV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8">
        <f>IF(Audit[[#This Row],[Max Relative Error (ep)]] = 0, 0, Audit[[#This Row],[Max Relative Error (ep)]]/Audit[[#This Row],[Error Bound (up) - Max. possible relative overstatement]])</f>
        <v>0</v>
      </c>
      <c r="BH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 s="18">
        <f t="shared" si="1"/>
        <v>1</v>
      </c>
      <c r="BJ43" s="18">
        <f>PRODUCT($BI$5:BI43)</f>
        <v>1</v>
      </c>
      <c r="BK43" s="20">
        <f>1 - Audit[[#This Row],[K-M P Value]]</f>
        <v>0</v>
      </c>
      <c r="BL43" s="18" t="str">
        <f>IF(Audit[[#This Row],[K-M P Value]]&gt;1-'General Info'!$B$12,"Continue", "Stop")</f>
        <v>Continue</v>
      </c>
      <c r="BM43" s="23" t="b">
        <f>IF(Audit[[#This Row],[Status - Continue or stop audit]] = "Continue", TRUE, IF(BL42 = "Continue", TRUE, FALSE))</f>
        <v>1</v>
      </c>
      <c r="BN43" s="23"/>
    </row>
    <row r="44" spans="1:66" ht="15" hidden="1" customHeight="1" x14ac:dyDescent="0.35">
      <c r="A44" s="18" t="str">
        <f>'Sampling Data'!AI44</f>
        <v/>
      </c>
      <c r="B44" s="18" t="str">
        <f>'Sampling Data'!A44</f>
        <v>0503 CIN 5-C   (AV)</v>
      </c>
      <c r="C44" s="18">
        <f>'Sampling Data'!B44</f>
        <v>24</v>
      </c>
      <c r="D44" s="18">
        <f>'Sampling Data'!C44</f>
        <v>0</v>
      </c>
      <c r="E44" s="19">
        <f>'Sampling Data'!D44</f>
        <v>0</v>
      </c>
      <c r="F44" s="19">
        <f>'Sampling Data'!E44</f>
        <v>0</v>
      </c>
      <c r="G44" s="19">
        <f>'Sampling Data'!F44</f>
        <v>0</v>
      </c>
      <c r="H44" s="19">
        <f>'Sampling Data'!G44</f>
        <v>0</v>
      </c>
      <c r="I44" s="19">
        <f>'Sampling Data'!H44</f>
        <v>0</v>
      </c>
      <c r="J44" s="19">
        <f>'Sampling Data'!I44</f>
        <v>0</v>
      </c>
      <c r="K44" s="19">
        <f>'Sampling Data'!J44</f>
        <v>0</v>
      </c>
      <c r="L44" s="19">
        <f>'Sampling Data'!K44</f>
        <v>0</v>
      </c>
      <c r="M44" s="19">
        <f>'Sampling Data'!L44</f>
        <v>0</v>
      </c>
      <c r="N44" s="19">
        <f>'Sampling Data'!M44</f>
        <v>0</v>
      </c>
      <c r="O44" s="18">
        <f>'Sampling Data'!N44</f>
        <v>0</v>
      </c>
      <c r="P44" s="18">
        <f>'Sampling Data'!O44</f>
        <v>2</v>
      </c>
      <c r="Q44" s="18">
        <f>'Sampling Data'!P44</f>
        <v>26</v>
      </c>
      <c r="R44" s="18">
        <f>'Sampling Data'!AJ44</f>
        <v>0</v>
      </c>
      <c r="S44" s="112"/>
      <c r="T44" s="112"/>
      <c r="U44" s="113"/>
      <c r="V44" s="113"/>
      <c r="W44" s="112"/>
      <c r="X44" s="112"/>
      <c r="Y44" s="112"/>
      <c r="Z44" s="112"/>
      <c r="AA44" s="15"/>
      <c r="AB44" s="15"/>
      <c r="AC44" s="15"/>
      <c r="AD44" s="15"/>
      <c r="AE44" s="114" t="str">
        <f>IF(NOT(ISBLANK(Audit[[#This Row],[Audit Winning Candidate]])), Audit[[#This Row],[Audit Winning Candidate]]-Audit[[#This Row],[Winning Candidate]], "")</f>
        <v/>
      </c>
      <c r="AF44" s="18" t="str">
        <f>IF(NOT(ISBLANK(Audit[[#This Row],[Audit Losing Candidate]])), Audit[[#This Row],[Audit Losing Candidate]]-Audit[[#This Row],[Losing Candidate]], "")</f>
        <v/>
      </c>
      <c r="AG44" s="18" t="str">
        <f>IF(NOT(ISBLANK(Audit[[#This Row],[Audit Candidate 3]])), Audit[[#This Row],[Audit Candidate 3]]-Audit[[#This Row],[Candidate 3]], "")</f>
        <v/>
      </c>
      <c r="AH44" s="18" t="str">
        <f>IF(NOT(ISBLANK(Audit[[#This Row],[Audit Candidate 4]])),Audit[[#This Row],[Audit Candidate 4]]-Audit[[#This Row],[Candidate 4]], "")</f>
        <v/>
      </c>
      <c r="AI44" s="18" t="str">
        <f>IF(NOT(ISBLANK(Audit[[#This Row],[Audit Candidate 5]])), Audit[[#This Row],[Audit Candidate 5]]-Audit[[#This Row],[Candidate 5]], "")</f>
        <v/>
      </c>
      <c r="AJ44" s="18" t="str">
        <f>IF(NOT(ISBLANK(Audit[[#This Row],[Audit Candidate 6]])), Audit[[#This Row],[Audit Candidate 6]]-Audit[[#This Row],[Candidate 6]], "")</f>
        <v/>
      </c>
      <c r="AK44" s="18" t="str">
        <f>IF(NOT(ISBLANK(Audit[[#This Row],[Audit Candidate 7]])), Audit[[#This Row],[Audit Candidate 7]]-Audit[[#This Row],[Candidate 7]], "")</f>
        <v/>
      </c>
      <c r="AL44" s="18" t="str">
        <f>IF(NOT(ISBLANK(Audit[[#This Row],[Audit Candidate 8]])), Audit[[#This Row],[Audit Candidate 8]]-Audit[[#This Row],[Candidate 8]], "")</f>
        <v/>
      </c>
      <c r="AM44" s="18" t="str">
        <f>IF(NOT(ISBLANK(Audit[[#This Row],[Audit Candidate 9]])), Audit[[#This Row],[Audit Candidate 9]]-Audit[[#This Row],[Candidate 9]], "")</f>
        <v/>
      </c>
      <c r="AN44" s="18" t="str">
        <f>IF(NOT(ISBLANK(Audit[[#This Row],[Audit Candidate 10]])), Audit[[#This Row],[Audit Candidate 10]]-Audit[[#This Row],[Candidate 10]], "")</f>
        <v/>
      </c>
      <c r="AO44" s="18" t="str">
        <f>IF(NOT(ISBLANK(Audit[[#This Row],[Audit Candidate 11]])), Audit[[#This Row],[Audit Candidate 11]]-Audit[[#This Row],[Candidate 11]], "")</f>
        <v/>
      </c>
      <c r="AP44" s="18" t="str">
        <f>IF(NOT(ISBLANK(Audit[[#This Row],[Audit Candidate 12]])), Audit[[#This Row],[Audit Candidate 12]]-Audit[[#This Row],[Candidate 12]], "")</f>
        <v/>
      </c>
      <c r="AQ44" s="18">
        <f>SUMIF(Audit[[#This Row],[Difference Winner]:[Difference Candidate 12]], "&gt;0")</f>
        <v>0</v>
      </c>
      <c r="AR44" s="18">
        <f>SUM(Audit[[#This Row],[Difference Winner]:[Difference Candidate 12]])</f>
        <v>0</v>
      </c>
      <c r="AS44" s="18">
        <f>IF(Audit[[#This Row],[Times p Drawn - With Replacement]]&gt;0, IF(Audit[[#This Row],[Canceled Differences]]&lt;0, Audit[[#This Row],[Max Differences]]+ABS(Audit[[#This Row],[Canceled Differences]]), Audit[[#This Row],[Max Differences]]), 0)</f>
        <v>0</v>
      </c>
      <c r="AT44" s="18">
        <f>'Sampling Data'!AB44</f>
        <v>1.5704997330150453E-3</v>
      </c>
      <c r="AU44" s="18">
        <f>IF(
      SUM(Audit[[#This Row],[Audit Losing Candidate]:[Audit Candidate 12]])
      &lt;&gt;0,
      (Audit[[#This Row],[Winning Candidate]]-Audit[[#This Row],[Losing Candidate]]-(Audit[[#This Row],[Audit Winning Candidate]]-Audit[[#This Row],[Audit Losing Candidate]]))/(Audit[[#Totals],[Winning Candidate]]-Audit[[#Totals],[Losing Candidate]]),
      0
)</f>
        <v>0</v>
      </c>
      <c r="AV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8">
        <f>IF(Audit[[#This Row],[Max Relative Error (ep)]] = 0, 0, Audit[[#This Row],[Max Relative Error (ep)]]/Audit[[#This Row],[Error Bound (up) - Max. possible relative overstatement]])</f>
        <v>0</v>
      </c>
      <c r="BH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 s="18">
        <f t="shared" si="1"/>
        <v>1</v>
      </c>
      <c r="BJ44" s="18">
        <f>PRODUCT($BI$5:BI44)</f>
        <v>1</v>
      </c>
      <c r="BK44" s="20">
        <f>1 - Audit[[#This Row],[K-M P Value]]</f>
        <v>0</v>
      </c>
      <c r="BL44" s="18" t="str">
        <f>IF(Audit[[#This Row],[K-M P Value]]&gt;1-'General Info'!$B$12,"Continue", "Stop")</f>
        <v>Continue</v>
      </c>
      <c r="BM44" s="23" t="b">
        <f>IF(Audit[[#This Row],[Status - Continue or stop audit]] = "Continue", TRUE, IF(BL43 = "Continue", TRUE, FALSE))</f>
        <v>1</v>
      </c>
      <c r="BN44" s="23"/>
    </row>
    <row r="45" spans="1:66" ht="15" hidden="1" customHeight="1" x14ac:dyDescent="0.35">
      <c r="A45" s="18" t="str">
        <f>'Sampling Data'!AI45</f>
        <v/>
      </c>
      <c r="B45" s="18" t="str">
        <f>'Sampling Data'!A45</f>
        <v>0504 CIN 5-D   (AV)</v>
      </c>
      <c r="C45" s="18">
        <f>'Sampling Data'!B45</f>
        <v>17</v>
      </c>
      <c r="D45" s="18">
        <f>'Sampling Data'!C45</f>
        <v>1</v>
      </c>
      <c r="E45" s="19">
        <f>'Sampling Data'!D45</f>
        <v>0</v>
      </c>
      <c r="F45" s="19">
        <f>'Sampling Data'!E45</f>
        <v>0</v>
      </c>
      <c r="G45" s="19">
        <f>'Sampling Data'!F45</f>
        <v>0</v>
      </c>
      <c r="H45" s="19">
        <f>'Sampling Data'!G45</f>
        <v>0</v>
      </c>
      <c r="I45" s="19">
        <f>'Sampling Data'!H45</f>
        <v>0</v>
      </c>
      <c r="J45" s="19">
        <f>'Sampling Data'!I45</f>
        <v>0</v>
      </c>
      <c r="K45" s="19">
        <f>'Sampling Data'!J45</f>
        <v>0</v>
      </c>
      <c r="L45" s="19">
        <f>'Sampling Data'!K45</f>
        <v>0</v>
      </c>
      <c r="M45" s="19">
        <f>'Sampling Data'!L45</f>
        <v>0</v>
      </c>
      <c r="N45" s="19">
        <f>'Sampling Data'!M45</f>
        <v>0</v>
      </c>
      <c r="O45" s="18">
        <f>'Sampling Data'!N45</f>
        <v>0</v>
      </c>
      <c r="P45" s="18">
        <f>'Sampling Data'!O45</f>
        <v>3</v>
      </c>
      <c r="Q45" s="18">
        <f>'Sampling Data'!P45</f>
        <v>21</v>
      </c>
      <c r="R45" s="18">
        <f>'Sampling Data'!AJ45</f>
        <v>0</v>
      </c>
      <c r="S45" s="112"/>
      <c r="T45" s="112"/>
      <c r="U45" s="113"/>
      <c r="V45" s="113"/>
      <c r="W45" s="112"/>
      <c r="X45" s="112"/>
      <c r="Y45" s="112"/>
      <c r="Z45" s="112"/>
      <c r="AA45" s="15"/>
      <c r="AB45" s="15"/>
      <c r="AC45" s="15"/>
      <c r="AD45" s="15"/>
      <c r="AE45" s="114" t="str">
        <f>IF(NOT(ISBLANK(Audit[[#This Row],[Audit Winning Candidate]])), Audit[[#This Row],[Audit Winning Candidate]]-Audit[[#This Row],[Winning Candidate]], "")</f>
        <v/>
      </c>
      <c r="AF45" s="18" t="str">
        <f>IF(NOT(ISBLANK(Audit[[#This Row],[Audit Losing Candidate]])), Audit[[#This Row],[Audit Losing Candidate]]-Audit[[#This Row],[Losing Candidate]], "")</f>
        <v/>
      </c>
      <c r="AG45" s="18" t="str">
        <f>IF(NOT(ISBLANK(Audit[[#This Row],[Audit Candidate 3]])), Audit[[#This Row],[Audit Candidate 3]]-Audit[[#This Row],[Candidate 3]], "")</f>
        <v/>
      </c>
      <c r="AH45" s="18" t="str">
        <f>IF(NOT(ISBLANK(Audit[[#This Row],[Audit Candidate 4]])),Audit[[#This Row],[Audit Candidate 4]]-Audit[[#This Row],[Candidate 4]], "")</f>
        <v/>
      </c>
      <c r="AI45" s="18" t="str">
        <f>IF(NOT(ISBLANK(Audit[[#This Row],[Audit Candidate 5]])), Audit[[#This Row],[Audit Candidate 5]]-Audit[[#This Row],[Candidate 5]], "")</f>
        <v/>
      </c>
      <c r="AJ45" s="18" t="str">
        <f>IF(NOT(ISBLANK(Audit[[#This Row],[Audit Candidate 6]])), Audit[[#This Row],[Audit Candidate 6]]-Audit[[#This Row],[Candidate 6]], "")</f>
        <v/>
      </c>
      <c r="AK45" s="18" t="str">
        <f>IF(NOT(ISBLANK(Audit[[#This Row],[Audit Candidate 7]])), Audit[[#This Row],[Audit Candidate 7]]-Audit[[#This Row],[Candidate 7]], "")</f>
        <v/>
      </c>
      <c r="AL45" s="18" t="str">
        <f>IF(NOT(ISBLANK(Audit[[#This Row],[Audit Candidate 8]])), Audit[[#This Row],[Audit Candidate 8]]-Audit[[#This Row],[Candidate 8]], "")</f>
        <v/>
      </c>
      <c r="AM45" s="18" t="str">
        <f>IF(NOT(ISBLANK(Audit[[#This Row],[Audit Candidate 9]])), Audit[[#This Row],[Audit Candidate 9]]-Audit[[#This Row],[Candidate 9]], "")</f>
        <v/>
      </c>
      <c r="AN45" s="18" t="str">
        <f>IF(NOT(ISBLANK(Audit[[#This Row],[Audit Candidate 10]])), Audit[[#This Row],[Audit Candidate 10]]-Audit[[#This Row],[Candidate 10]], "")</f>
        <v/>
      </c>
      <c r="AO45" s="18" t="str">
        <f>IF(NOT(ISBLANK(Audit[[#This Row],[Audit Candidate 11]])), Audit[[#This Row],[Audit Candidate 11]]-Audit[[#This Row],[Candidate 11]], "")</f>
        <v/>
      </c>
      <c r="AP45" s="18" t="str">
        <f>IF(NOT(ISBLANK(Audit[[#This Row],[Audit Candidate 12]])), Audit[[#This Row],[Audit Candidate 12]]-Audit[[#This Row],[Candidate 12]], "")</f>
        <v/>
      </c>
      <c r="AQ45" s="18">
        <f>SUMIF(Audit[[#This Row],[Difference Winner]:[Difference Candidate 12]], "&gt;0")</f>
        <v>0</v>
      </c>
      <c r="AR45" s="18">
        <f>SUM(Audit[[#This Row],[Difference Winner]:[Difference Candidate 12]])</f>
        <v>0</v>
      </c>
      <c r="AS45" s="18">
        <f>IF(Audit[[#This Row],[Times p Drawn - With Replacement]]&gt;0, IF(Audit[[#This Row],[Canceled Differences]]&lt;0, Audit[[#This Row],[Max Differences]]+ABS(Audit[[#This Row],[Canceled Differences]]), Audit[[#This Row],[Max Differences]]), 0)</f>
        <v>0</v>
      </c>
      <c r="AT45" s="18">
        <f>'Sampling Data'!AB45</f>
        <v>1.1621698024311335E-3</v>
      </c>
      <c r="AU45" s="18">
        <f>IF(
      SUM(Audit[[#This Row],[Audit Losing Candidate]:[Audit Candidate 12]])
      &lt;&gt;0,
      (Audit[[#This Row],[Winning Candidate]]-Audit[[#This Row],[Losing Candidate]]-(Audit[[#This Row],[Audit Winning Candidate]]-Audit[[#This Row],[Audit Losing Candidate]]))/(Audit[[#Totals],[Winning Candidate]]-Audit[[#Totals],[Losing Candidate]]),
      0
)</f>
        <v>0</v>
      </c>
      <c r="AV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8">
        <f>IF(Audit[[#This Row],[Max Relative Error (ep)]] = 0, 0, Audit[[#This Row],[Max Relative Error (ep)]]/Audit[[#This Row],[Error Bound (up) - Max. possible relative overstatement]])</f>
        <v>0</v>
      </c>
      <c r="BH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 s="18">
        <f t="shared" si="1"/>
        <v>1</v>
      </c>
      <c r="BJ45" s="18">
        <f>PRODUCT($BI$5:BI45)</f>
        <v>1</v>
      </c>
      <c r="BK45" s="20">
        <f>1 - Audit[[#This Row],[K-M P Value]]</f>
        <v>0</v>
      </c>
      <c r="BL45" s="18" t="str">
        <f>IF(Audit[[#This Row],[K-M P Value]]&gt;1-'General Info'!$B$12,"Continue", "Stop")</f>
        <v>Continue</v>
      </c>
      <c r="BM45" s="23" t="b">
        <f>IF(Audit[[#This Row],[Status - Continue or stop audit]] = "Continue", TRUE, IF(BL44 = "Continue", TRUE, FALSE))</f>
        <v>1</v>
      </c>
      <c r="BN45" s="23"/>
    </row>
    <row r="46" spans="1:66" ht="15" hidden="1" customHeight="1" x14ac:dyDescent="0.35">
      <c r="A46" s="18" t="str">
        <f>'Sampling Data'!AI46</f>
        <v/>
      </c>
      <c r="B46" s="18" t="str">
        <f>'Sampling Data'!A46</f>
        <v>0505 CIN 5-E   (AV)</v>
      </c>
      <c r="C46" s="18">
        <f>'Sampling Data'!B46</f>
        <v>12</v>
      </c>
      <c r="D46" s="18">
        <f>'Sampling Data'!C46</f>
        <v>1</v>
      </c>
      <c r="E46" s="19">
        <f>'Sampling Data'!D46</f>
        <v>0</v>
      </c>
      <c r="F46" s="19">
        <f>'Sampling Data'!E46</f>
        <v>0</v>
      </c>
      <c r="G46" s="19">
        <f>'Sampling Data'!F46</f>
        <v>0</v>
      </c>
      <c r="H46" s="19">
        <f>'Sampling Data'!G46</f>
        <v>0</v>
      </c>
      <c r="I46" s="19">
        <f>'Sampling Data'!H46</f>
        <v>0</v>
      </c>
      <c r="J46" s="19">
        <f>'Sampling Data'!I46</f>
        <v>0</v>
      </c>
      <c r="K46" s="19">
        <f>'Sampling Data'!J46</f>
        <v>0</v>
      </c>
      <c r="L46" s="19">
        <f>'Sampling Data'!K46</f>
        <v>0</v>
      </c>
      <c r="M46" s="19">
        <f>'Sampling Data'!L46</f>
        <v>0</v>
      </c>
      <c r="N46" s="19">
        <f>'Sampling Data'!M46</f>
        <v>0</v>
      </c>
      <c r="O46" s="18">
        <f>'Sampling Data'!N46</f>
        <v>0</v>
      </c>
      <c r="P46" s="18">
        <f>'Sampling Data'!O46</f>
        <v>0</v>
      </c>
      <c r="Q46" s="18">
        <f>'Sampling Data'!P46</f>
        <v>13</v>
      </c>
      <c r="R46" s="18">
        <f>'Sampling Data'!AJ46</f>
        <v>0</v>
      </c>
      <c r="S46" s="112"/>
      <c r="T46" s="112"/>
      <c r="U46" s="113"/>
      <c r="V46" s="113"/>
      <c r="W46" s="112"/>
      <c r="X46" s="112"/>
      <c r="Y46" s="112"/>
      <c r="Z46" s="112"/>
      <c r="AA46" s="15"/>
      <c r="AB46" s="15"/>
      <c r="AC46" s="15"/>
      <c r="AD46" s="15"/>
      <c r="AE46" s="114" t="str">
        <f>IF(NOT(ISBLANK(Audit[[#This Row],[Audit Winning Candidate]])), Audit[[#This Row],[Audit Winning Candidate]]-Audit[[#This Row],[Winning Candidate]], "")</f>
        <v/>
      </c>
      <c r="AF46" s="18" t="str">
        <f>IF(NOT(ISBLANK(Audit[[#This Row],[Audit Losing Candidate]])), Audit[[#This Row],[Audit Losing Candidate]]-Audit[[#This Row],[Losing Candidate]], "")</f>
        <v/>
      </c>
      <c r="AG46" s="18" t="str">
        <f>IF(NOT(ISBLANK(Audit[[#This Row],[Audit Candidate 3]])), Audit[[#This Row],[Audit Candidate 3]]-Audit[[#This Row],[Candidate 3]], "")</f>
        <v/>
      </c>
      <c r="AH46" s="18" t="str">
        <f>IF(NOT(ISBLANK(Audit[[#This Row],[Audit Candidate 4]])),Audit[[#This Row],[Audit Candidate 4]]-Audit[[#This Row],[Candidate 4]], "")</f>
        <v/>
      </c>
      <c r="AI46" s="18" t="str">
        <f>IF(NOT(ISBLANK(Audit[[#This Row],[Audit Candidate 5]])), Audit[[#This Row],[Audit Candidate 5]]-Audit[[#This Row],[Candidate 5]], "")</f>
        <v/>
      </c>
      <c r="AJ46" s="18" t="str">
        <f>IF(NOT(ISBLANK(Audit[[#This Row],[Audit Candidate 6]])), Audit[[#This Row],[Audit Candidate 6]]-Audit[[#This Row],[Candidate 6]], "")</f>
        <v/>
      </c>
      <c r="AK46" s="18" t="str">
        <f>IF(NOT(ISBLANK(Audit[[#This Row],[Audit Candidate 7]])), Audit[[#This Row],[Audit Candidate 7]]-Audit[[#This Row],[Candidate 7]], "")</f>
        <v/>
      </c>
      <c r="AL46" s="18" t="str">
        <f>IF(NOT(ISBLANK(Audit[[#This Row],[Audit Candidate 8]])), Audit[[#This Row],[Audit Candidate 8]]-Audit[[#This Row],[Candidate 8]], "")</f>
        <v/>
      </c>
      <c r="AM46" s="18" t="str">
        <f>IF(NOT(ISBLANK(Audit[[#This Row],[Audit Candidate 9]])), Audit[[#This Row],[Audit Candidate 9]]-Audit[[#This Row],[Candidate 9]], "")</f>
        <v/>
      </c>
      <c r="AN46" s="18" t="str">
        <f>IF(NOT(ISBLANK(Audit[[#This Row],[Audit Candidate 10]])), Audit[[#This Row],[Audit Candidate 10]]-Audit[[#This Row],[Candidate 10]], "")</f>
        <v/>
      </c>
      <c r="AO46" s="18" t="str">
        <f>IF(NOT(ISBLANK(Audit[[#This Row],[Audit Candidate 11]])), Audit[[#This Row],[Audit Candidate 11]]-Audit[[#This Row],[Candidate 11]], "")</f>
        <v/>
      </c>
      <c r="AP46" s="18" t="str">
        <f>IF(NOT(ISBLANK(Audit[[#This Row],[Audit Candidate 12]])), Audit[[#This Row],[Audit Candidate 12]]-Audit[[#This Row],[Candidate 12]], "")</f>
        <v/>
      </c>
      <c r="AQ46" s="18">
        <f>SUMIF(Audit[[#This Row],[Difference Winner]:[Difference Candidate 12]], "&gt;0")</f>
        <v>0</v>
      </c>
      <c r="AR46" s="18">
        <f>SUM(Audit[[#This Row],[Difference Winner]:[Difference Candidate 12]])</f>
        <v>0</v>
      </c>
      <c r="AS46" s="18">
        <f>IF(Audit[[#This Row],[Times p Drawn - With Replacement]]&gt;0, IF(Audit[[#This Row],[Canceled Differences]]&lt;0, Audit[[#This Row],[Max Differences]]+ABS(Audit[[#This Row],[Canceled Differences]]), Audit[[#This Row],[Max Differences]]), 0)</f>
        <v>0</v>
      </c>
      <c r="AT46" s="18">
        <f>'Sampling Data'!AB46</f>
        <v>7.5383987184722177E-4</v>
      </c>
      <c r="AU46" s="18">
        <f>IF(
      SUM(Audit[[#This Row],[Audit Losing Candidate]:[Audit Candidate 12]])
      &lt;&gt;0,
      (Audit[[#This Row],[Winning Candidate]]-Audit[[#This Row],[Losing Candidate]]-(Audit[[#This Row],[Audit Winning Candidate]]-Audit[[#This Row],[Audit Losing Candidate]]))/(Audit[[#Totals],[Winning Candidate]]-Audit[[#Totals],[Losing Candidate]]),
      0
)</f>
        <v>0</v>
      </c>
      <c r="AV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8">
        <f>IF(Audit[[#This Row],[Max Relative Error (ep)]] = 0, 0, Audit[[#This Row],[Max Relative Error (ep)]]/Audit[[#This Row],[Error Bound (up) - Max. possible relative overstatement]])</f>
        <v>0</v>
      </c>
      <c r="BH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 s="18">
        <f t="shared" si="1"/>
        <v>1</v>
      </c>
      <c r="BJ46" s="18">
        <f>PRODUCT($BI$5:BI46)</f>
        <v>1</v>
      </c>
      <c r="BK46" s="20">
        <f>1 - Audit[[#This Row],[K-M P Value]]</f>
        <v>0</v>
      </c>
      <c r="BL46" s="18" t="str">
        <f>IF(Audit[[#This Row],[K-M P Value]]&gt;1-'General Info'!$B$12,"Continue", "Stop")</f>
        <v>Continue</v>
      </c>
      <c r="BM46" s="23" t="b">
        <f>IF(Audit[[#This Row],[Status - Continue or stop audit]] = "Continue", TRUE, IF(BL45 = "Continue", TRUE, FALSE))</f>
        <v>1</v>
      </c>
      <c r="BN46" s="23"/>
    </row>
    <row r="47" spans="1:66" ht="15" hidden="1" customHeight="1" x14ac:dyDescent="0.35">
      <c r="A47" s="18" t="str">
        <f>'Sampling Data'!AI47</f>
        <v/>
      </c>
      <c r="B47" s="18" t="str">
        <f>'Sampling Data'!A47</f>
        <v>0506 CIN 5-F   (AV)</v>
      </c>
      <c r="C47" s="18">
        <f>'Sampling Data'!B47</f>
        <v>12</v>
      </c>
      <c r="D47" s="18">
        <f>'Sampling Data'!C47</f>
        <v>1</v>
      </c>
      <c r="E47" s="19">
        <f>'Sampling Data'!D47</f>
        <v>0</v>
      </c>
      <c r="F47" s="19">
        <f>'Sampling Data'!E47</f>
        <v>0</v>
      </c>
      <c r="G47" s="19">
        <f>'Sampling Data'!F47</f>
        <v>0</v>
      </c>
      <c r="H47" s="19">
        <f>'Sampling Data'!G47</f>
        <v>0</v>
      </c>
      <c r="I47" s="19">
        <f>'Sampling Data'!H47</f>
        <v>0</v>
      </c>
      <c r="J47" s="19">
        <f>'Sampling Data'!I47</f>
        <v>0</v>
      </c>
      <c r="K47" s="19">
        <f>'Sampling Data'!J47</f>
        <v>0</v>
      </c>
      <c r="L47" s="19">
        <f>'Sampling Data'!K47</f>
        <v>0</v>
      </c>
      <c r="M47" s="19">
        <f>'Sampling Data'!L47</f>
        <v>0</v>
      </c>
      <c r="N47" s="19">
        <f>'Sampling Data'!M47</f>
        <v>0</v>
      </c>
      <c r="O47" s="18">
        <f>'Sampling Data'!N47</f>
        <v>0</v>
      </c>
      <c r="P47" s="18">
        <f>'Sampling Data'!O47</f>
        <v>0</v>
      </c>
      <c r="Q47" s="18">
        <f>'Sampling Data'!P47</f>
        <v>13</v>
      </c>
      <c r="R47" s="18">
        <f>'Sampling Data'!AJ47</f>
        <v>0</v>
      </c>
      <c r="S47" s="112"/>
      <c r="T47" s="112"/>
      <c r="U47" s="113"/>
      <c r="V47" s="113"/>
      <c r="W47" s="112"/>
      <c r="X47" s="112"/>
      <c r="Y47" s="112"/>
      <c r="Z47" s="112"/>
      <c r="AA47" s="15"/>
      <c r="AB47" s="15"/>
      <c r="AC47" s="15"/>
      <c r="AD47" s="15"/>
      <c r="AE47" s="114" t="str">
        <f>IF(NOT(ISBLANK(Audit[[#This Row],[Audit Winning Candidate]])), Audit[[#This Row],[Audit Winning Candidate]]-Audit[[#This Row],[Winning Candidate]], "")</f>
        <v/>
      </c>
      <c r="AF47" s="18" t="str">
        <f>IF(NOT(ISBLANK(Audit[[#This Row],[Audit Losing Candidate]])), Audit[[#This Row],[Audit Losing Candidate]]-Audit[[#This Row],[Losing Candidate]], "")</f>
        <v/>
      </c>
      <c r="AG47" s="18" t="str">
        <f>IF(NOT(ISBLANK(Audit[[#This Row],[Audit Candidate 3]])), Audit[[#This Row],[Audit Candidate 3]]-Audit[[#This Row],[Candidate 3]], "")</f>
        <v/>
      </c>
      <c r="AH47" s="18" t="str">
        <f>IF(NOT(ISBLANK(Audit[[#This Row],[Audit Candidate 4]])),Audit[[#This Row],[Audit Candidate 4]]-Audit[[#This Row],[Candidate 4]], "")</f>
        <v/>
      </c>
      <c r="AI47" s="18" t="str">
        <f>IF(NOT(ISBLANK(Audit[[#This Row],[Audit Candidate 5]])), Audit[[#This Row],[Audit Candidate 5]]-Audit[[#This Row],[Candidate 5]], "")</f>
        <v/>
      </c>
      <c r="AJ47" s="18" t="str">
        <f>IF(NOT(ISBLANK(Audit[[#This Row],[Audit Candidate 6]])), Audit[[#This Row],[Audit Candidate 6]]-Audit[[#This Row],[Candidate 6]], "")</f>
        <v/>
      </c>
      <c r="AK47" s="18" t="str">
        <f>IF(NOT(ISBLANK(Audit[[#This Row],[Audit Candidate 7]])), Audit[[#This Row],[Audit Candidate 7]]-Audit[[#This Row],[Candidate 7]], "")</f>
        <v/>
      </c>
      <c r="AL47" s="18" t="str">
        <f>IF(NOT(ISBLANK(Audit[[#This Row],[Audit Candidate 8]])), Audit[[#This Row],[Audit Candidate 8]]-Audit[[#This Row],[Candidate 8]], "")</f>
        <v/>
      </c>
      <c r="AM47" s="18" t="str">
        <f>IF(NOT(ISBLANK(Audit[[#This Row],[Audit Candidate 9]])), Audit[[#This Row],[Audit Candidate 9]]-Audit[[#This Row],[Candidate 9]], "")</f>
        <v/>
      </c>
      <c r="AN47" s="18" t="str">
        <f>IF(NOT(ISBLANK(Audit[[#This Row],[Audit Candidate 10]])), Audit[[#This Row],[Audit Candidate 10]]-Audit[[#This Row],[Candidate 10]], "")</f>
        <v/>
      </c>
      <c r="AO47" s="18" t="str">
        <f>IF(NOT(ISBLANK(Audit[[#This Row],[Audit Candidate 11]])), Audit[[#This Row],[Audit Candidate 11]]-Audit[[#This Row],[Candidate 11]], "")</f>
        <v/>
      </c>
      <c r="AP47" s="18" t="str">
        <f>IF(NOT(ISBLANK(Audit[[#This Row],[Audit Candidate 12]])), Audit[[#This Row],[Audit Candidate 12]]-Audit[[#This Row],[Candidate 12]], "")</f>
        <v/>
      </c>
      <c r="AQ47" s="18">
        <f>SUMIF(Audit[[#This Row],[Difference Winner]:[Difference Candidate 12]], "&gt;0")</f>
        <v>0</v>
      </c>
      <c r="AR47" s="18">
        <f>SUM(Audit[[#This Row],[Difference Winner]:[Difference Candidate 12]])</f>
        <v>0</v>
      </c>
      <c r="AS47" s="18">
        <f>IF(Audit[[#This Row],[Times p Drawn - With Replacement]]&gt;0, IF(Audit[[#This Row],[Canceled Differences]]&lt;0, Audit[[#This Row],[Max Differences]]+ABS(Audit[[#This Row],[Canceled Differences]]), Audit[[#This Row],[Max Differences]]), 0)</f>
        <v>0</v>
      </c>
      <c r="AT47" s="18">
        <f>'Sampling Data'!AB47</f>
        <v>7.5383987184722177E-4</v>
      </c>
      <c r="AU47" s="18">
        <f>IF(
      SUM(Audit[[#This Row],[Audit Losing Candidate]:[Audit Candidate 12]])
      &lt;&gt;0,
      (Audit[[#This Row],[Winning Candidate]]-Audit[[#This Row],[Losing Candidate]]-(Audit[[#This Row],[Audit Winning Candidate]]-Audit[[#This Row],[Audit Losing Candidate]]))/(Audit[[#Totals],[Winning Candidate]]-Audit[[#Totals],[Losing Candidate]]),
      0
)</f>
        <v>0</v>
      </c>
      <c r="AV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8">
        <f>IF(Audit[[#This Row],[Max Relative Error (ep)]] = 0, 0, Audit[[#This Row],[Max Relative Error (ep)]]/Audit[[#This Row],[Error Bound (up) - Max. possible relative overstatement]])</f>
        <v>0</v>
      </c>
      <c r="BH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 s="18">
        <f t="shared" si="1"/>
        <v>1</v>
      </c>
      <c r="BJ47" s="18">
        <f>PRODUCT($BI$5:BI47)</f>
        <v>1</v>
      </c>
      <c r="BK47" s="20">
        <f>1 - Audit[[#This Row],[K-M P Value]]</f>
        <v>0</v>
      </c>
      <c r="BL47" s="18" t="str">
        <f>IF(Audit[[#This Row],[K-M P Value]]&gt;1-'General Info'!$B$12,"Continue", "Stop")</f>
        <v>Continue</v>
      </c>
      <c r="BM47" s="23" t="b">
        <f>IF(Audit[[#This Row],[Status - Continue or stop audit]] = "Continue", TRUE, IF(BL46 = "Continue", TRUE, FALSE))</f>
        <v>1</v>
      </c>
      <c r="BN47" s="23"/>
    </row>
    <row r="48" spans="1:66" ht="15" hidden="1" customHeight="1" x14ac:dyDescent="0.35">
      <c r="A48" s="18" t="str">
        <f>'Sampling Data'!AI48</f>
        <v/>
      </c>
      <c r="B48" s="18" t="str">
        <f>'Sampling Data'!A48</f>
        <v>0507 CIN 5-G   (AV)</v>
      </c>
      <c r="C48" s="18">
        <f>'Sampling Data'!B48</f>
        <v>28</v>
      </c>
      <c r="D48" s="18">
        <f>'Sampling Data'!C48</f>
        <v>2</v>
      </c>
      <c r="E48" s="19">
        <f>'Sampling Data'!D48</f>
        <v>0</v>
      </c>
      <c r="F48" s="19">
        <f>'Sampling Data'!E48</f>
        <v>0</v>
      </c>
      <c r="G48" s="19">
        <f>'Sampling Data'!F48</f>
        <v>0</v>
      </c>
      <c r="H48" s="19">
        <f>'Sampling Data'!G48</f>
        <v>0</v>
      </c>
      <c r="I48" s="19">
        <f>'Sampling Data'!H48</f>
        <v>0</v>
      </c>
      <c r="J48" s="19">
        <f>'Sampling Data'!I48</f>
        <v>0</v>
      </c>
      <c r="K48" s="19">
        <f>'Sampling Data'!J48</f>
        <v>0</v>
      </c>
      <c r="L48" s="19">
        <f>'Sampling Data'!K48</f>
        <v>0</v>
      </c>
      <c r="M48" s="19">
        <f>'Sampling Data'!L48</f>
        <v>0</v>
      </c>
      <c r="N48" s="19">
        <f>'Sampling Data'!M48</f>
        <v>0</v>
      </c>
      <c r="O48" s="18">
        <f>'Sampling Data'!N48</f>
        <v>0</v>
      </c>
      <c r="P48" s="18">
        <f>'Sampling Data'!O48</f>
        <v>3</v>
      </c>
      <c r="Q48" s="18">
        <f>'Sampling Data'!P48</f>
        <v>33</v>
      </c>
      <c r="R48" s="18">
        <f>'Sampling Data'!AJ48</f>
        <v>0</v>
      </c>
      <c r="S48" s="112"/>
      <c r="T48" s="112"/>
      <c r="U48" s="113"/>
      <c r="V48" s="113"/>
      <c r="W48" s="112"/>
      <c r="X48" s="112"/>
      <c r="Y48" s="112"/>
      <c r="Z48" s="112"/>
      <c r="AA48" s="15"/>
      <c r="AB48" s="15"/>
      <c r="AC48" s="15"/>
      <c r="AD48" s="15"/>
      <c r="AE48" s="114" t="str">
        <f>IF(NOT(ISBLANK(Audit[[#This Row],[Audit Winning Candidate]])), Audit[[#This Row],[Audit Winning Candidate]]-Audit[[#This Row],[Winning Candidate]], "")</f>
        <v/>
      </c>
      <c r="AF48" s="18" t="str">
        <f>IF(NOT(ISBLANK(Audit[[#This Row],[Audit Losing Candidate]])), Audit[[#This Row],[Audit Losing Candidate]]-Audit[[#This Row],[Losing Candidate]], "")</f>
        <v/>
      </c>
      <c r="AG48" s="18" t="str">
        <f>IF(NOT(ISBLANK(Audit[[#This Row],[Audit Candidate 3]])), Audit[[#This Row],[Audit Candidate 3]]-Audit[[#This Row],[Candidate 3]], "")</f>
        <v/>
      </c>
      <c r="AH48" s="18" t="str">
        <f>IF(NOT(ISBLANK(Audit[[#This Row],[Audit Candidate 4]])),Audit[[#This Row],[Audit Candidate 4]]-Audit[[#This Row],[Candidate 4]], "")</f>
        <v/>
      </c>
      <c r="AI48" s="18" t="str">
        <f>IF(NOT(ISBLANK(Audit[[#This Row],[Audit Candidate 5]])), Audit[[#This Row],[Audit Candidate 5]]-Audit[[#This Row],[Candidate 5]], "")</f>
        <v/>
      </c>
      <c r="AJ48" s="18" t="str">
        <f>IF(NOT(ISBLANK(Audit[[#This Row],[Audit Candidate 6]])), Audit[[#This Row],[Audit Candidate 6]]-Audit[[#This Row],[Candidate 6]], "")</f>
        <v/>
      </c>
      <c r="AK48" s="18" t="str">
        <f>IF(NOT(ISBLANK(Audit[[#This Row],[Audit Candidate 7]])), Audit[[#This Row],[Audit Candidate 7]]-Audit[[#This Row],[Candidate 7]], "")</f>
        <v/>
      </c>
      <c r="AL48" s="18" t="str">
        <f>IF(NOT(ISBLANK(Audit[[#This Row],[Audit Candidate 8]])), Audit[[#This Row],[Audit Candidate 8]]-Audit[[#This Row],[Candidate 8]], "")</f>
        <v/>
      </c>
      <c r="AM48" s="18" t="str">
        <f>IF(NOT(ISBLANK(Audit[[#This Row],[Audit Candidate 9]])), Audit[[#This Row],[Audit Candidate 9]]-Audit[[#This Row],[Candidate 9]], "")</f>
        <v/>
      </c>
      <c r="AN48" s="18" t="str">
        <f>IF(NOT(ISBLANK(Audit[[#This Row],[Audit Candidate 10]])), Audit[[#This Row],[Audit Candidate 10]]-Audit[[#This Row],[Candidate 10]], "")</f>
        <v/>
      </c>
      <c r="AO48" s="18" t="str">
        <f>IF(NOT(ISBLANK(Audit[[#This Row],[Audit Candidate 11]])), Audit[[#This Row],[Audit Candidate 11]]-Audit[[#This Row],[Candidate 11]], "")</f>
        <v/>
      </c>
      <c r="AP48" s="18" t="str">
        <f>IF(NOT(ISBLANK(Audit[[#This Row],[Audit Candidate 12]])), Audit[[#This Row],[Audit Candidate 12]]-Audit[[#This Row],[Candidate 12]], "")</f>
        <v/>
      </c>
      <c r="AQ48" s="18">
        <f>SUMIF(Audit[[#This Row],[Difference Winner]:[Difference Candidate 12]], "&gt;0")</f>
        <v>0</v>
      </c>
      <c r="AR48" s="18">
        <f>SUM(Audit[[#This Row],[Difference Winner]:[Difference Candidate 12]])</f>
        <v>0</v>
      </c>
      <c r="AS48" s="18">
        <f>IF(Audit[[#This Row],[Times p Drawn - With Replacement]]&gt;0, IF(Audit[[#This Row],[Canceled Differences]]&lt;0, Audit[[#This Row],[Max Differences]]+ABS(Audit[[#This Row],[Canceled Differences]]), Audit[[#This Row],[Max Differences]]), 0)</f>
        <v>0</v>
      </c>
      <c r="AT48" s="18">
        <f>'Sampling Data'!AB48</f>
        <v>1.8531896849577536E-3</v>
      </c>
      <c r="AU48" s="18">
        <f>IF(
      SUM(Audit[[#This Row],[Audit Losing Candidate]:[Audit Candidate 12]])
      &lt;&gt;0,
      (Audit[[#This Row],[Winning Candidate]]-Audit[[#This Row],[Losing Candidate]]-(Audit[[#This Row],[Audit Winning Candidate]]-Audit[[#This Row],[Audit Losing Candidate]]))/(Audit[[#Totals],[Winning Candidate]]-Audit[[#Totals],[Losing Candidate]]),
      0
)</f>
        <v>0</v>
      </c>
      <c r="AV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8">
        <f>IF(Audit[[#This Row],[Max Relative Error (ep)]] = 0, 0, Audit[[#This Row],[Max Relative Error (ep)]]/Audit[[#This Row],[Error Bound (up) - Max. possible relative overstatement]])</f>
        <v>0</v>
      </c>
      <c r="BH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 s="18">
        <f t="shared" si="1"/>
        <v>1</v>
      </c>
      <c r="BJ48" s="18">
        <f>PRODUCT($BI$5:BI48)</f>
        <v>1</v>
      </c>
      <c r="BK48" s="20">
        <f>1 - Audit[[#This Row],[K-M P Value]]</f>
        <v>0</v>
      </c>
      <c r="BL48" s="18" t="str">
        <f>IF(Audit[[#This Row],[K-M P Value]]&gt;1-'General Info'!$B$12,"Continue", "Stop")</f>
        <v>Continue</v>
      </c>
      <c r="BM48" s="23" t="b">
        <f>IF(Audit[[#This Row],[Status - Continue or stop audit]] = "Continue", TRUE, IF(BL47 = "Continue", TRUE, FALSE))</f>
        <v>1</v>
      </c>
      <c r="BN48" s="23"/>
    </row>
    <row r="49" spans="1:66" ht="15" hidden="1" customHeight="1" x14ac:dyDescent="0.35">
      <c r="A49" s="18" t="str">
        <f>'Sampling Data'!AI49</f>
        <v/>
      </c>
      <c r="B49" s="18" t="str">
        <f>'Sampling Data'!A49</f>
        <v>0508 CIN 5-H   (AV)</v>
      </c>
      <c r="C49" s="18">
        <f>'Sampling Data'!B49</f>
        <v>3</v>
      </c>
      <c r="D49" s="18">
        <f>'Sampling Data'!C49</f>
        <v>1</v>
      </c>
      <c r="E49" s="19">
        <f>'Sampling Data'!D49</f>
        <v>0</v>
      </c>
      <c r="F49" s="19">
        <f>'Sampling Data'!E49</f>
        <v>0</v>
      </c>
      <c r="G49" s="19">
        <f>'Sampling Data'!F49</f>
        <v>0</v>
      </c>
      <c r="H49" s="19">
        <f>'Sampling Data'!G49</f>
        <v>0</v>
      </c>
      <c r="I49" s="19">
        <f>'Sampling Data'!H49</f>
        <v>0</v>
      </c>
      <c r="J49" s="19">
        <f>'Sampling Data'!I49</f>
        <v>0</v>
      </c>
      <c r="K49" s="19">
        <f>'Sampling Data'!J49</f>
        <v>0</v>
      </c>
      <c r="L49" s="19">
        <f>'Sampling Data'!K49</f>
        <v>0</v>
      </c>
      <c r="M49" s="19">
        <f>'Sampling Data'!L49</f>
        <v>0</v>
      </c>
      <c r="N49" s="19">
        <f>'Sampling Data'!M49</f>
        <v>0</v>
      </c>
      <c r="O49" s="18">
        <f>'Sampling Data'!N49</f>
        <v>0</v>
      </c>
      <c r="P49" s="18">
        <f>'Sampling Data'!O49</f>
        <v>0</v>
      </c>
      <c r="Q49" s="18">
        <f>'Sampling Data'!P49</f>
        <v>4</v>
      </c>
      <c r="R49" s="18">
        <f>'Sampling Data'!AJ49</f>
        <v>0</v>
      </c>
      <c r="S49" s="112"/>
      <c r="T49" s="112"/>
      <c r="U49" s="113"/>
      <c r="V49" s="113"/>
      <c r="W49" s="112"/>
      <c r="X49" s="112"/>
      <c r="Y49" s="112"/>
      <c r="Z49" s="112"/>
      <c r="AA49" s="15"/>
      <c r="AB49" s="15"/>
      <c r="AC49" s="15"/>
      <c r="AD49" s="15"/>
      <c r="AE49" s="114" t="str">
        <f>IF(NOT(ISBLANK(Audit[[#This Row],[Audit Winning Candidate]])), Audit[[#This Row],[Audit Winning Candidate]]-Audit[[#This Row],[Winning Candidate]], "")</f>
        <v/>
      </c>
      <c r="AF49" s="18" t="str">
        <f>IF(NOT(ISBLANK(Audit[[#This Row],[Audit Losing Candidate]])), Audit[[#This Row],[Audit Losing Candidate]]-Audit[[#This Row],[Losing Candidate]], "")</f>
        <v/>
      </c>
      <c r="AG49" s="18" t="str">
        <f>IF(NOT(ISBLANK(Audit[[#This Row],[Audit Candidate 3]])), Audit[[#This Row],[Audit Candidate 3]]-Audit[[#This Row],[Candidate 3]], "")</f>
        <v/>
      </c>
      <c r="AH49" s="18" t="str">
        <f>IF(NOT(ISBLANK(Audit[[#This Row],[Audit Candidate 4]])),Audit[[#This Row],[Audit Candidate 4]]-Audit[[#This Row],[Candidate 4]], "")</f>
        <v/>
      </c>
      <c r="AI49" s="18" t="str">
        <f>IF(NOT(ISBLANK(Audit[[#This Row],[Audit Candidate 5]])), Audit[[#This Row],[Audit Candidate 5]]-Audit[[#This Row],[Candidate 5]], "")</f>
        <v/>
      </c>
      <c r="AJ49" s="18" t="str">
        <f>IF(NOT(ISBLANK(Audit[[#This Row],[Audit Candidate 6]])), Audit[[#This Row],[Audit Candidate 6]]-Audit[[#This Row],[Candidate 6]], "")</f>
        <v/>
      </c>
      <c r="AK49" s="18" t="str">
        <f>IF(NOT(ISBLANK(Audit[[#This Row],[Audit Candidate 7]])), Audit[[#This Row],[Audit Candidate 7]]-Audit[[#This Row],[Candidate 7]], "")</f>
        <v/>
      </c>
      <c r="AL49" s="18" t="str">
        <f>IF(NOT(ISBLANK(Audit[[#This Row],[Audit Candidate 8]])), Audit[[#This Row],[Audit Candidate 8]]-Audit[[#This Row],[Candidate 8]], "")</f>
        <v/>
      </c>
      <c r="AM49" s="18" t="str">
        <f>IF(NOT(ISBLANK(Audit[[#This Row],[Audit Candidate 9]])), Audit[[#This Row],[Audit Candidate 9]]-Audit[[#This Row],[Candidate 9]], "")</f>
        <v/>
      </c>
      <c r="AN49" s="18" t="str">
        <f>IF(NOT(ISBLANK(Audit[[#This Row],[Audit Candidate 10]])), Audit[[#This Row],[Audit Candidate 10]]-Audit[[#This Row],[Candidate 10]], "")</f>
        <v/>
      </c>
      <c r="AO49" s="18" t="str">
        <f>IF(NOT(ISBLANK(Audit[[#This Row],[Audit Candidate 11]])), Audit[[#This Row],[Audit Candidate 11]]-Audit[[#This Row],[Candidate 11]], "")</f>
        <v/>
      </c>
      <c r="AP49" s="18" t="str">
        <f>IF(NOT(ISBLANK(Audit[[#This Row],[Audit Candidate 12]])), Audit[[#This Row],[Audit Candidate 12]]-Audit[[#This Row],[Candidate 12]], "")</f>
        <v/>
      </c>
      <c r="AQ49" s="18">
        <f>SUMIF(Audit[[#This Row],[Difference Winner]:[Difference Candidate 12]], "&gt;0")</f>
        <v>0</v>
      </c>
      <c r="AR49" s="18">
        <f>SUM(Audit[[#This Row],[Difference Winner]:[Difference Candidate 12]])</f>
        <v>0</v>
      </c>
      <c r="AS49" s="18">
        <f>IF(Audit[[#This Row],[Times p Drawn - With Replacement]]&gt;0, IF(Audit[[#This Row],[Canceled Differences]]&lt;0, Audit[[#This Row],[Max Differences]]+ABS(Audit[[#This Row],[Canceled Differences]]), Audit[[#This Row],[Max Differences]]), 0)</f>
        <v>0</v>
      </c>
      <c r="AT49" s="18">
        <f>'Sampling Data'!AB49</f>
        <v>1.8845996796180544E-4</v>
      </c>
      <c r="AU49" s="18">
        <f>IF(
      SUM(Audit[[#This Row],[Audit Losing Candidate]:[Audit Candidate 12]])
      &lt;&gt;0,
      (Audit[[#This Row],[Winning Candidate]]-Audit[[#This Row],[Losing Candidate]]-(Audit[[#This Row],[Audit Winning Candidate]]-Audit[[#This Row],[Audit Losing Candidate]]))/(Audit[[#Totals],[Winning Candidate]]-Audit[[#Totals],[Losing Candidate]]),
      0
)</f>
        <v>0</v>
      </c>
      <c r="AV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8">
        <f>IF(Audit[[#This Row],[Max Relative Error (ep)]] = 0, 0, Audit[[#This Row],[Max Relative Error (ep)]]/Audit[[#This Row],[Error Bound (up) - Max. possible relative overstatement]])</f>
        <v>0</v>
      </c>
      <c r="BH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 s="18">
        <f t="shared" si="1"/>
        <v>1</v>
      </c>
      <c r="BJ49" s="18">
        <f>PRODUCT($BI$5:BI49)</f>
        <v>1</v>
      </c>
      <c r="BK49" s="20">
        <f>1 - Audit[[#This Row],[K-M P Value]]</f>
        <v>0</v>
      </c>
      <c r="BL49" s="18" t="str">
        <f>IF(Audit[[#This Row],[K-M P Value]]&gt;1-'General Info'!$B$12,"Continue", "Stop")</f>
        <v>Continue</v>
      </c>
      <c r="BM49" s="23" t="b">
        <f>IF(Audit[[#This Row],[Status - Continue or stop audit]] = "Continue", TRUE, IF(BL48 = "Continue", TRUE, FALSE))</f>
        <v>1</v>
      </c>
      <c r="BN49" s="23"/>
    </row>
    <row r="50" spans="1:66" ht="15" hidden="1" customHeight="1" x14ac:dyDescent="0.35">
      <c r="A50" s="18" t="str">
        <f>'Sampling Data'!AI50</f>
        <v/>
      </c>
      <c r="B50" s="18" t="str">
        <f>'Sampling Data'!A50</f>
        <v>0509 CIN 5-I   (AV)</v>
      </c>
      <c r="C50" s="18">
        <f>'Sampling Data'!B50</f>
        <v>23</v>
      </c>
      <c r="D50" s="18">
        <f>'Sampling Data'!C50</f>
        <v>1</v>
      </c>
      <c r="E50" s="19">
        <f>'Sampling Data'!D50</f>
        <v>0</v>
      </c>
      <c r="F50" s="19">
        <f>'Sampling Data'!E50</f>
        <v>0</v>
      </c>
      <c r="G50" s="19">
        <f>'Sampling Data'!F50</f>
        <v>0</v>
      </c>
      <c r="H50" s="19">
        <f>'Sampling Data'!G50</f>
        <v>0</v>
      </c>
      <c r="I50" s="19">
        <f>'Sampling Data'!H50</f>
        <v>0</v>
      </c>
      <c r="J50" s="19">
        <f>'Sampling Data'!I50</f>
        <v>0</v>
      </c>
      <c r="K50" s="19">
        <f>'Sampling Data'!J50</f>
        <v>0</v>
      </c>
      <c r="L50" s="19">
        <f>'Sampling Data'!K50</f>
        <v>0</v>
      </c>
      <c r="M50" s="19">
        <f>'Sampling Data'!L50</f>
        <v>0</v>
      </c>
      <c r="N50" s="19">
        <f>'Sampling Data'!M50</f>
        <v>0</v>
      </c>
      <c r="O50" s="18">
        <f>'Sampling Data'!N50</f>
        <v>0</v>
      </c>
      <c r="P50" s="18">
        <f>'Sampling Data'!O50</f>
        <v>0</v>
      </c>
      <c r="Q50" s="18">
        <f>'Sampling Data'!P50</f>
        <v>24</v>
      </c>
      <c r="R50" s="18">
        <f>'Sampling Data'!AJ50</f>
        <v>0</v>
      </c>
      <c r="S50" s="112"/>
      <c r="T50" s="112"/>
      <c r="U50" s="113"/>
      <c r="V50" s="113"/>
      <c r="W50" s="112"/>
      <c r="X50" s="112"/>
      <c r="Y50" s="112"/>
      <c r="Z50" s="112"/>
      <c r="AA50" s="15"/>
      <c r="AB50" s="15"/>
      <c r="AC50" s="15"/>
      <c r="AD50" s="15"/>
      <c r="AE50" s="114" t="str">
        <f>IF(NOT(ISBLANK(Audit[[#This Row],[Audit Winning Candidate]])), Audit[[#This Row],[Audit Winning Candidate]]-Audit[[#This Row],[Winning Candidate]], "")</f>
        <v/>
      </c>
      <c r="AF50" s="18" t="str">
        <f>IF(NOT(ISBLANK(Audit[[#This Row],[Audit Losing Candidate]])), Audit[[#This Row],[Audit Losing Candidate]]-Audit[[#This Row],[Losing Candidate]], "")</f>
        <v/>
      </c>
      <c r="AG50" s="18" t="str">
        <f>IF(NOT(ISBLANK(Audit[[#This Row],[Audit Candidate 3]])), Audit[[#This Row],[Audit Candidate 3]]-Audit[[#This Row],[Candidate 3]], "")</f>
        <v/>
      </c>
      <c r="AH50" s="18" t="str">
        <f>IF(NOT(ISBLANK(Audit[[#This Row],[Audit Candidate 4]])),Audit[[#This Row],[Audit Candidate 4]]-Audit[[#This Row],[Candidate 4]], "")</f>
        <v/>
      </c>
      <c r="AI50" s="18" t="str">
        <f>IF(NOT(ISBLANK(Audit[[#This Row],[Audit Candidate 5]])), Audit[[#This Row],[Audit Candidate 5]]-Audit[[#This Row],[Candidate 5]], "")</f>
        <v/>
      </c>
      <c r="AJ50" s="18" t="str">
        <f>IF(NOT(ISBLANK(Audit[[#This Row],[Audit Candidate 6]])), Audit[[#This Row],[Audit Candidate 6]]-Audit[[#This Row],[Candidate 6]], "")</f>
        <v/>
      </c>
      <c r="AK50" s="18" t="str">
        <f>IF(NOT(ISBLANK(Audit[[#This Row],[Audit Candidate 7]])), Audit[[#This Row],[Audit Candidate 7]]-Audit[[#This Row],[Candidate 7]], "")</f>
        <v/>
      </c>
      <c r="AL50" s="18" t="str">
        <f>IF(NOT(ISBLANK(Audit[[#This Row],[Audit Candidate 8]])), Audit[[#This Row],[Audit Candidate 8]]-Audit[[#This Row],[Candidate 8]], "")</f>
        <v/>
      </c>
      <c r="AM50" s="18" t="str">
        <f>IF(NOT(ISBLANK(Audit[[#This Row],[Audit Candidate 9]])), Audit[[#This Row],[Audit Candidate 9]]-Audit[[#This Row],[Candidate 9]], "")</f>
        <v/>
      </c>
      <c r="AN50" s="18" t="str">
        <f>IF(NOT(ISBLANK(Audit[[#This Row],[Audit Candidate 10]])), Audit[[#This Row],[Audit Candidate 10]]-Audit[[#This Row],[Candidate 10]], "")</f>
        <v/>
      </c>
      <c r="AO50" s="18" t="str">
        <f>IF(NOT(ISBLANK(Audit[[#This Row],[Audit Candidate 11]])), Audit[[#This Row],[Audit Candidate 11]]-Audit[[#This Row],[Candidate 11]], "")</f>
        <v/>
      </c>
      <c r="AP50" s="18" t="str">
        <f>IF(NOT(ISBLANK(Audit[[#This Row],[Audit Candidate 12]])), Audit[[#This Row],[Audit Candidate 12]]-Audit[[#This Row],[Candidate 12]], "")</f>
        <v/>
      </c>
      <c r="AQ50" s="18">
        <f>SUMIF(Audit[[#This Row],[Difference Winner]:[Difference Candidate 12]], "&gt;0")</f>
        <v>0</v>
      </c>
      <c r="AR50" s="18">
        <f>SUM(Audit[[#This Row],[Difference Winner]:[Difference Candidate 12]])</f>
        <v>0</v>
      </c>
      <c r="AS50" s="18">
        <f>IF(Audit[[#This Row],[Times p Drawn - With Replacement]]&gt;0, IF(Audit[[#This Row],[Canceled Differences]]&lt;0, Audit[[#This Row],[Max Differences]]+ABS(Audit[[#This Row],[Canceled Differences]]), Audit[[#This Row],[Max Differences]]), 0)</f>
        <v>0</v>
      </c>
      <c r="AT50" s="18">
        <f>'Sampling Data'!AB50</f>
        <v>1.4448597543738418E-3</v>
      </c>
      <c r="AU50" s="18">
        <f>IF(
      SUM(Audit[[#This Row],[Audit Losing Candidate]:[Audit Candidate 12]])
      &lt;&gt;0,
      (Audit[[#This Row],[Winning Candidate]]-Audit[[#This Row],[Losing Candidate]]-(Audit[[#This Row],[Audit Winning Candidate]]-Audit[[#This Row],[Audit Losing Candidate]]))/(Audit[[#Totals],[Winning Candidate]]-Audit[[#Totals],[Losing Candidate]]),
      0
)</f>
        <v>0</v>
      </c>
      <c r="AV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8">
        <f>IF(Audit[[#This Row],[Max Relative Error (ep)]] = 0, 0, Audit[[#This Row],[Max Relative Error (ep)]]/Audit[[#This Row],[Error Bound (up) - Max. possible relative overstatement]])</f>
        <v>0</v>
      </c>
      <c r="BH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 s="18">
        <f t="shared" si="1"/>
        <v>1</v>
      </c>
      <c r="BJ50" s="18">
        <f>PRODUCT($BI$5:BI50)</f>
        <v>1</v>
      </c>
      <c r="BK50" s="20">
        <f>1 - Audit[[#This Row],[K-M P Value]]</f>
        <v>0</v>
      </c>
      <c r="BL50" s="18" t="str">
        <f>IF(Audit[[#This Row],[K-M P Value]]&gt;1-'General Info'!$B$12,"Continue", "Stop")</f>
        <v>Continue</v>
      </c>
      <c r="BM50" s="23" t="b">
        <f>IF(Audit[[#This Row],[Status - Continue or stop audit]] = "Continue", TRUE, IF(BL49 = "Continue", TRUE, FALSE))</f>
        <v>1</v>
      </c>
      <c r="BN50" s="23"/>
    </row>
    <row r="51" spans="1:66" ht="15" hidden="1" customHeight="1" x14ac:dyDescent="0.35">
      <c r="A51" s="18" t="str">
        <f>'Sampling Data'!AI51</f>
        <v/>
      </c>
      <c r="B51" s="18" t="str">
        <f>'Sampling Data'!A51</f>
        <v>0601 CIN 6-A   (AV)</v>
      </c>
      <c r="C51" s="18">
        <f>'Sampling Data'!B51</f>
        <v>7</v>
      </c>
      <c r="D51" s="18">
        <f>'Sampling Data'!C51</f>
        <v>1</v>
      </c>
      <c r="E51" s="19">
        <f>'Sampling Data'!D51</f>
        <v>0</v>
      </c>
      <c r="F51" s="19">
        <f>'Sampling Data'!E51</f>
        <v>0</v>
      </c>
      <c r="G51" s="19">
        <f>'Sampling Data'!F51</f>
        <v>0</v>
      </c>
      <c r="H51" s="19">
        <f>'Sampling Data'!G51</f>
        <v>0</v>
      </c>
      <c r="I51" s="19">
        <f>'Sampling Data'!H51</f>
        <v>0</v>
      </c>
      <c r="J51" s="19">
        <f>'Sampling Data'!I51</f>
        <v>0</v>
      </c>
      <c r="K51" s="19">
        <f>'Sampling Data'!J51</f>
        <v>0</v>
      </c>
      <c r="L51" s="19">
        <f>'Sampling Data'!K51</f>
        <v>0</v>
      </c>
      <c r="M51" s="19">
        <f>'Sampling Data'!L51</f>
        <v>0</v>
      </c>
      <c r="N51" s="19">
        <f>'Sampling Data'!M51</f>
        <v>0</v>
      </c>
      <c r="O51" s="18">
        <f>'Sampling Data'!N51</f>
        <v>0</v>
      </c>
      <c r="P51" s="18">
        <f>'Sampling Data'!O51</f>
        <v>0</v>
      </c>
      <c r="Q51" s="18">
        <f>'Sampling Data'!P51</f>
        <v>8</v>
      </c>
      <c r="R51" s="18">
        <f>'Sampling Data'!AJ51</f>
        <v>0</v>
      </c>
      <c r="S51" s="112"/>
      <c r="T51" s="112"/>
      <c r="U51" s="113"/>
      <c r="V51" s="113"/>
      <c r="W51" s="112"/>
      <c r="X51" s="112"/>
      <c r="Y51" s="112"/>
      <c r="Z51" s="112"/>
      <c r="AA51" s="15"/>
      <c r="AB51" s="15"/>
      <c r="AC51" s="15"/>
      <c r="AD51" s="15"/>
      <c r="AE51" s="114" t="str">
        <f>IF(NOT(ISBLANK(Audit[[#This Row],[Audit Winning Candidate]])), Audit[[#This Row],[Audit Winning Candidate]]-Audit[[#This Row],[Winning Candidate]], "")</f>
        <v/>
      </c>
      <c r="AF51" s="18" t="str">
        <f>IF(NOT(ISBLANK(Audit[[#This Row],[Audit Losing Candidate]])), Audit[[#This Row],[Audit Losing Candidate]]-Audit[[#This Row],[Losing Candidate]], "")</f>
        <v/>
      </c>
      <c r="AG51" s="18" t="str">
        <f>IF(NOT(ISBLANK(Audit[[#This Row],[Audit Candidate 3]])), Audit[[#This Row],[Audit Candidate 3]]-Audit[[#This Row],[Candidate 3]], "")</f>
        <v/>
      </c>
      <c r="AH51" s="18" t="str">
        <f>IF(NOT(ISBLANK(Audit[[#This Row],[Audit Candidate 4]])),Audit[[#This Row],[Audit Candidate 4]]-Audit[[#This Row],[Candidate 4]], "")</f>
        <v/>
      </c>
      <c r="AI51" s="18" t="str">
        <f>IF(NOT(ISBLANK(Audit[[#This Row],[Audit Candidate 5]])), Audit[[#This Row],[Audit Candidate 5]]-Audit[[#This Row],[Candidate 5]], "")</f>
        <v/>
      </c>
      <c r="AJ51" s="18" t="str">
        <f>IF(NOT(ISBLANK(Audit[[#This Row],[Audit Candidate 6]])), Audit[[#This Row],[Audit Candidate 6]]-Audit[[#This Row],[Candidate 6]], "")</f>
        <v/>
      </c>
      <c r="AK51" s="18" t="str">
        <f>IF(NOT(ISBLANK(Audit[[#This Row],[Audit Candidate 7]])), Audit[[#This Row],[Audit Candidate 7]]-Audit[[#This Row],[Candidate 7]], "")</f>
        <v/>
      </c>
      <c r="AL51" s="18" t="str">
        <f>IF(NOT(ISBLANK(Audit[[#This Row],[Audit Candidate 8]])), Audit[[#This Row],[Audit Candidate 8]]-Audit[[#This Row],[Candidate 8]], "")</f>
        <v/>
      </c>
      <c r="AM51" s="18" t="str">
        <f>IF(NOT(ISBLANK(Audit[[#This Row],[Audit Candidate 9]])), Audit[[#This Row],[Audit Candidate 9]]-Audit[[#This Row],[Candidate 9]], "")</f>
        <v/>
      </c>
      <c r="AN51" s="18" t="str">
        <f>IF(NOT(ISBLANK(Audit[[#This Row],[Audit Candidate 10]])), Audit[[#This Row],[Audit Candidate 10]]-Audit[[#This Row],[Candidate 10]], "")</f>
        <v/>
      </c>
      <c r="AO51" s="18" t="str">
        <f>IF(NOT(ISBLANK(Audit[[#This Row],[Audit Candidate 11]])), Audit[[#This Row],[Audit Candidate 11]]-Audit[[#This Row],[Candidate 11]], "")</f>
        <v/>
      </c>
      <c r="AP51" s="18" t="str">
        <f>IF(NOT(ISBLANK(Audit[[#This Row],[Audit Candidate 12]])), Audit[[#This Row],[Audit Candidate 12]]-Audit[[#This Row],[Candidate 12]], "")</f>
        <v/>
      </c>
      <c r="AQ51" s="18">
        <f>SUMIF(Audit[[#This Row],[Difference Winner]:[Difference Candidate 12]], "&gt;0")</f>
        <v>0</v>
      </c>
      <c r="AR51" s="18">
        <f>SUM(Audit[[#This Row],[Difference Winner]:[Difference Candidate 12]])</f>
        <v>0</v>
      </c>
      <c r="AS51" s="18">
        <f>IF(Audit[[#This Row],[Times p Drawn - With Replacement]]&gt;0, IF(Audit[[#This Row],[Canceled Differences]]&lt;0, Audit[[#This Row],[Max Differences]]+ABS(Audit[[#This Row],[Canceled Differences]]), Audit[[#This Row],[Max Differences]]), 0)</f>
        <v>0</v>
      </c>
      <c r="AT51" s="18">
        <f>'Sampling Data'!AB51</f>
        <v>4.3973992524421271E-4</v>
      </c>
      <c r="AU51" s="18">
        <f>IF(
      SUM(Audit[[#This Row],[Audit Losing Candidate]:[Audit Candidate 12]])
      &lt;&gt;0,
      (Audit[[#This Row],[Winning Candidate]]-Audit[[#This Row],[Losing Candidate]]-(Audit[[#This Row],[Audit Winning Candidate]]-Audit[[#This Row],[Audit Losing Candidate]]))/(Audit[[#Totals],[Winning Candidate]]-Audit[[#Totals],[Losing Candidate]]),
      0
)</f>
        <v>0</v>
      </c>
      <c r="AV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8">
        <f>IF(Audit[[#This Row],[Max Relative Error (ep)]] = 0, 0, Audit[[#This Row],[Max Relative Error (ep)]]/Audit[[#This Row],[Error Bound (up) - Max. possible relative overstatement]])</f>
        <v>0</v>
      </c>
      <c r="BH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 s="18">
        <f t="shared" si="1"/>
        <v>1</v>
      </c>
      <c r="BJ51" s="18">
        <f>PRODUCT($BI$5:BI51)</f>
        <v>1</v>
      </c>
      <c r="BK51" s="20">
        <f>1 - Audit[[#This Row],[K-M P Value]]</f>
        <v>0</v>
      </c>
      <c r="BL51" s="18" t="str">
        <f>IF(Audit[[#This Row],[K-M P Value]]&gt;1-'General Info'!$B$12,"Continue", "Stop")</f>
        <v>Continue</v>
      </c>
      <c r="BM51" s="23" t="b">
        <f>IF(Audit[[#This Row],[Status - Continue or stop audit]] = "Continue", TRUE, IF(BL50 = "Continue", TRUE, FALSE))</f>
        <v>1</v>
      </c>
      <c r="BN51" s="23"/>
    </row>
    <row r="52" spans="1:66" ht="15" hidden="1" customHeight="1" x14ac:dyDescent="0.35">
      <c r="A52" s="18" t="str">
        <f>'Sampling Data'!AI52</f>
        <v/>
      </c>
      <c r="B52" s="18" t="str">
        <f>'Sampling Data'!A52</f>
        <v>0602 CIN 6-B   (AV)</v>
      </c>
      <c r="C52" s="18">
        <f>'Sampling Data'!B52</f>
        <v>4</v>
      </c>
      <c r="D52" s="18">
        <f>'Sampling Data'!C52</f>
        <v>1</v>
      </c>
      <c r="E52" s="19">
        <f>'Sampling Data'!D52</f>
        <v>0</v>
      </c>
      <c r="F52" s="19">
        <f>'Sampling Data'!E52</f>
        <v>0</v>
      </c>
      <c r="G52" s="19">
        <f>'Sampling Data'!F52</f>
        <v>0</v>
      </c>
      <c r="H52" s="19">
        <f>'Sampling Data'!G52</f>
        <v>0</v>
      </c>
      <c r="I52" s="19">
        <f>'Sampling Data'!H52</f>
        <v>0</v>
      </c>
      <c r="J52" s="19">
        <f>'Sampling Data'!I52</f>
        <v>0</v>
      </c>
      <c r="K52" s="19">
        <f>'Sampling Data'!J52</f>
        <v>0</v>
      </c>
      <c r="L52" s="19">
        <f>'Sampling Data'!K52</f>
        <v>0</v>
      </c>
      <c r="M52" s="19">
        <f>'Sampling Data'!L52</f>
        <v>0</v>
      </c>
      <c r="N52" s="19">
        <f>'Sampling Data'!M52</f>
        <v>0</v>
      </c>
      <c r="O52" s="18">
        <f>'Sampling Data'!N52</f>
        <v>0</v>
      </c>
      <c r="P52" s="18">
        <f>'Sampling Data'!O52</f>
        <v>2</v>
      </c>
      <c r="Q52" s="18">
        <f>'Sampling Data'!P52</f>
        <v>7</v>
      </c>
      <c r="R52" s="18">
        <f>'Sampling Data'!AJ52</f>
        <v>0</v>
      </c>
      <c r="S52" s="112"/>
      <c r="T52" s="112"/>
      <c r="U52" s="113"/>
      <c r="V52" s="113"/>
      <c r="W52" s="112"/>
      <c r="X52" s="112"/>
      <c r="Y52" s="112"/>
      <c r="Z52" s="112"/>
      <c r="AA52" s="15"/>
      <c r="AB52" s="15"/>
      <c r="AC52" s="15"/>
      <c r="AD52" s="15"/>
      <c r="AE52" s="114" t="str">
        <f>IF(NOT(ISBLANK(Audit[[#This Row],[Audit Winning Candidate]])), Audit[[#This Row],[Audit Winning Candidate]]-Audit[[#This Row],[Winning Candidate]], "")</f>
        <v/>
      </c>
      <c r="AF52" s="18" t="str">
        <f>IF(NOT(ISBLANK(Audit[[#This Row],[Audit Losing Candidate]])), Audit[[#This Row],[Audit Losing Candidate]]-Audit[[#This Row],[Losing Candidate]], "")</f>
        <v/>
      </c>
      <c r="AG52" s="18" t="str">
        <f>IF(NOT(ISBLANK(Audit[[#This Row],[Audit Candidate 3]])), Audit[[#This Row],[Audit Candidate 3]]-Audit[[#This Row],[Candidate 3]], "")</f>
        <v/>
      </c>
      <c r="AH52" s="18" t="str">
        <f>IF(NOT(ISBLANK(Audit[[#This Row],[Audit Candidate 4]])),Audit[[#This Row],[Audit Candidate 4]]-Audit[[#This Row],[Candidate 4]], "")</f>
        <v/>
      </c>
      <c r="AI52" s="18" t="str">
        <f>IF(NOT(ISBLANK(Audit[[#This Row],[Audit Candidate 5]])), Audit[[#This Row],[Audit Candidate 5]]-Audit[[#This Row],[Candidate 5]], "")</f>
        <v/>
      </c>
      <c r="AJ52" s="18" t="str">
        <f>IF(NOT(ISBLANK(Audit[[#This Row],[Audit Candidate 6]])), Audit[[#This Row],[Audit Candidate 6]]-Audit[[#This Row],[Candidate 6]], "")</f>
        <v/>
      </c>
      <c r="AK52" s="18" t="str">
        <f>IF(NOT(ISBLANK(Audit[[#This Row],[Audit Candidate 7]])), Audit[[#This Row],[Audit Candidate 7]]-Audit[[#This Row],[Candidate 7]], "")</f>
        <v/>
      </c>
      <c r="AL52" s="18" t="str">
        <f>IF(NOT(ISBLANK(Audit[[#This Row],[Audit Candidate 8]])), Audit[[#This Row],[Audit Candidate 8]]-Audit[[#This Row],[Candidate 8]], "")</f>
        <v/>
      </c>
      <c r="AM52" s="18" t="str">
        <f>IF(NOT(ISBLANK(Audit[[#This Row],[Audit Candidate 9]])), Audit[[#This Row],[Audit Candidate 9]]-Audit[[#This Row],[Candidate 9]], "")</f>
        <v/>
      </c>
      <c r="AN52" s="18" t="str">
        <f>IF(NOT(ISBLANK(Audit[[#This Row],[Audit Candidate 10]])), Audit[[#This Row],[Audit Candidate 10]]-Audit[[#This Row],[Candidate 10]], "")</f>
        <v/>
      </c>
      <c r="AO52" s="18" t="str">
        <f>IF(NOT(ISBLANK(Audit[[#This Row],[Audit Candidate 11]])), Audit[[#This Row],[Audit Candidate 11]]-Audit[[#This Row],[Candidate 11]], "")</f>
        <v/>
      </c>
      <c r="AP52" s="18" t="str">
        <f>IF(NOT(ISBLANK(Audit[[#This Row],[Audit Candidate 12]])), Audit[[#This Row],[Audit Candidate 12]]-Audit[[#This Row],[Candidate 12]], "")</f>
        <v/>
      </c>
      <c r="AQ52" s="18">
        <f>SUMIF(Audit[[#This Row],[Difference Winner]:[Difference Candidate 12]], "&gt;0")</f>
        <v>0</v>
      </c>
      <c r="AR52" s="18">
        <f>SUM(Audit[[#This Row],[Difference Winner]:[Difference Candidate 12]])</f>
        <v>0</v>
      </c>
      <c r="AS52" s="18">
        <f>IF(Audit[[#This Row],[Times p Drawn - With Replacement]]&gt;0, IF(Audit[[#This Row],[Canceled Differences]]&lt;0, Audit[[#This Row],[Max Differences]]+ABS(Audit[[#This Row],[Canceled Differences]]), Audit[[#This Row],[Max Differences]]), 0)</f>
        <v>0</v>
      </c>
      <c r="AT52" s="18">
        <f>'Sampling Data'!AB52</f>
        <v>3.1409994660300906E-4</v>
      </c>
      <c r="AU52" s="18">
        <f>IF(
      SUM(Audit[[#This Row],[Audit Losing Candidate]:[Audit Candidate 12]])
      &lt;&gt;0,
      (Audit[[#This Row],[Winning Candidate]]-Audit[[#This Row],[Losing Candidate]]-(Audit[[#This Row],[Audit Winning Candidate]]-Audit[[#This Row],[Audit Losing Candidate]]))/(Audit[[#Totals],[Winning Candidate]]-Audit[[#Totals],[Losing Candidate]]),
      0
)</f>
        <v>0</v>
      </c>
      <c r="AV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8">
        <f>IF(Audit[[#This Row],[Max Relative Error (ep)]] = 0, 0, Audit[[#This Row],[Max Relative Error (ep)]]/Audit[[#This Row],[Error Bound (up) - Max. possible relative overstatement]])</f>
        <v>0</v>
      </c>
      <c r="BH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 s="18">
        <f t="shared" si="1"/>
        <v>1</v>
      </c>
      <c r="BJ52" s="18">
        <f>PRODUCT($BI$5:BI52)</f>
        <v>1</v>
      </c>
      <c r="BK52" s="20">
        <f>1 - Audit[[#This Row],[K-M P Value]]</f>
        <v>0</v>
      </c>
      <c r="BL52" s="18" t="str">
        <f>IF(Audit[[#This Row],[K-M P Value]]&gt;1-'General Info'!$B$12,"Continue", "Stop")</f>
        <v>Continue</v>
      </c>
      <c r="BM52" s="23" t="b">
        <f>IF(Audit[[#This Row],[Status - Continue or stop audit]] = "Continue", TRUE, IF(BL51 = "Continue", TRUE, FALSE))</f>
        <v>1</v>
      </c>
      <c r="BN52" s="23"/>
    </row>
    <row r="53" spans="1:66" ht="15" hidden="1" customHeight="1" x14ac:dyDescent="0.35">
      <c r="A53" s="18" t="str">
        <f>'Sampling Data'!AI53</f>
        <v/>
      </c>
      <c r="B53" s="18" t="str">
        <f>'Sampling Data'!A53</f>
        <v>0603 CIN 6-C   (AV)</v>
      </c>
      <c r="C53" s="18">
        <f>'Sampling Data'!B53</f>
        <v>2</v>
      </c>
      <c r="D53" s="18">
        <f>'Sampling Data'!C53</f>
        <v>0</v>
      </c>
      <c r="E53" s="19">
        <f>'Sampling Data'!D53</f>
        <v>0</v>
      </c>
      <c r="F53" s="19">
        <f>'Sampling Data'!E53</f>
        <v>0</v>
      </c>
      <c r="G53" s="19">
        <f>'Sampling Data'!F53</f>
        <v>0</v>
      </c>
      <c r="H53" s="19">
        <f>'Sampling Data'!G53</f>
        <v>0</v>
      </c>
      <c r="I53" s="19">
        <f>'Sampling Data'!H53</f>
        <v>0</v>
      </c>
      <c r="J53" s="19">
        <f>'Sampling Data'!I53</f>
        <v>0</v>
      </c>
      <c r="K53" s="19">
        <f>'Sampling Data'!J53</f>
        <v>0</v>
      </c>
      <c r="L53" s="19">
        <f>'Sampling Data'!K53</f>
        <v>0</v>
      </c>
      <c r="M53" s="19">
        <f>'Sampling Data'!L53</f>
        <v>0</v>
      </c>
      <c r="N53" s="19">
        <f>'Sampling Data'!M53</f>
        <v>0</v>
      </c>
      <c r="O53" s="18">
        <f>'Sampling Data'!N53</f>
        <v>0</v>
      </c>
      <c r="P53" s="18">
        <f>'Sampling Data'!O53</f>
        <v>0</v>
      </c>
      <c r="Q53" s="18">
        <f>'Sampling Data'!P53</f>
        <v>2</v>
      </c>
      <c r="R53" s="18">
        <f>'Sampling Data'!AJ53</f>
        <v>0</v>
      </c>
      <c r="S53" s="112"/>
      <c r="T53" s="112"/>
      <c r="U53" s="113"/>
      <c r="V53" s="113"/>
      <c r="W53" s="112"/>
      <c r="X53" s="112"/>
      <c r="Y53" s="112"/>
      <c r="Z53" s="112"/>
      <c r="AA53" s="15"/>
      <c r="AB53" s="15"/>
      <c r="AC53" s="15"/>
      <c r="AD53" s="15"/>
      <c r="AE53" s="114" t="str">
        <f>IF(NOT(ISBLANK(Audit[[#This Row],[Audit Winning Candidate]])), Audit[[#This Row],[Audit Winning Candidate]]-Audit[[#This Row],[Winning Candidate]], "")</f>
        <v/>
      </c>
      <c r="AF53" s="18" t="str">
        <f>IF(NOT(ISBLANK(Audit[[#This Row],[Audit Losing Candidate]])), Audit[[#This Row],[Audit Losing Candidate]]-Audit[[#This Row],[Losing Candidate]], "")</f>
        <v/>
      </c>
      <c r="AG53" s="18" t="str">
        <f>IF(NOT(ISBLANK(Audit[[#This Row],[Audit Candidate 3]])), Audit[[#This Row],[Audit Candidate 3]]-Audit[[#This Row],[Candidate 3]], "")</f>
        <v/>
      </c>
      <c r="AH53" s="18" t="str">
        <f>IF(NOT(ISBLANK(Audit[[#This Row],[Audit Candidate 4]])),Audit[[#This Row],[Audit Candidate 4]]-Audit[[#This Row],[Candidate 4]], "")</f>
        <v/>
      </c>
      <c r="AI53" s="18" t="str">
        <f>IF(NOT(ISBLANK(Audit[[#This Row],[Audit Candidate 5]])), Audit[[#This Row],[Audit Candidate 5]]-Audit[[#This Row],[Candidate 5]], "")</f>
        <v/>
      </c>
      <c r="AJ53" s="18" t="str">
        <f>IF(NOT(ISBLANK(Audit[[#This Row],[Audit Candidate 6]])), Audit[[#This Row],[Audit Candidate 6]]-Audit[[#This Row],[Candidate 6]], "")</f>
        <v/>
      </c>
      <c r="AK53" s="18" t="str">
        <f>IF(NOT(ISBLANK(Audit[[#This Row],[Audit Candidate 7]])), Audit[[#This Row],[Audit Candidate 7]]-Audit[[#This Row],[Candidate 7]], "")</f>
        <v/>
      </c>
      <c r="AL53" s="18" t="str">
        <f>IF(NOT(ISBLANK(Audit[[#This Row],[Audit Candidate 8]])), Audit[[#This Row],[Audit Candidate 8]]-Audit[[#This Row],[Candidate 8]], "")</f>
        <v/>
      </c>
      <c r="AM53" s="18" t="str">
        <f>IF(NOT(ISBLANK(Audit[[#This Row],[Audit Candidate 9]])), Audit[[#This Row],[Audit Candidate 9]]-Audit[[#This Row],[Candidate 9]], "")</f>
        <v/>
      </c>
      <c r="AN53" s="18" t="str">
        <f>IF(NOT(ISBLANK(Audit[[#This Row],[Audit Candidate 10]])), Audit[[#This Row],[Audit Candidate 10]]-Audit[[#This Row],[Candidate 10]], "")</f>
        <v/>
      </c>
      <c r="AO53" s="18" t="str">
        <f>IF(NOT(ISBLANK(Audit[[#This Row],[Audit Candidate 11]])), Audit[[#This Row],[Audit Candidate 11]]-Audit[[#This Row],[Candidate 11]], "")</f>
        <v/>
      </c>
      <c r="AP53" s="18" t="str">
        <f>IF(NOT(ISBLANK(Audit[[#This Row],[Audit Candidate 12]])), Audit[[#This Row],[Audit Candidate 12]]-Audit[[#This Row],[Candidate 12]], "")</f>
        <v/>
      </c>
      <c r="AQ53" s="18">
        <f>SUMIF(Audit[[#This Row],[Difference Winner]:[Difference Candidate 12]], "&gt;0")</f>
        <v>0</v>
      </c>
      <c r="AR53" s="18">
        <f>SUM(Audit[[#This Row],[Difference Winner]:[Difference Candidate 12]])</f>
        <v>0</v>
      </c>
      <c r="AS53" s="18">
        <f>IF(Audit[[#This Row],[Times p Drawn - With Replacement]]&gt;0, IF(Audit[[#This Row],[Canceled Differences]]&lt;0, Audit[[#This Row],[Max Differences]]+ABS(Audit[[#This Row],[Canceled Differences]]), Audit[[#This Row],[Max Differences]]), 0)</f>
        <v>0</v>
      </c>
      <c r="AT53" s="18">
        <f>'Sampling Data'!AB53</f>
        <v>1.2563997864120362E-4</v>
      </c>
      <c r="AU53" s="18">
        <f>IF(
      SUM(Audit[[#This Row],[Audit Losing Candidate]:[Audit Candidate 12]])
      &lt;&gt;0,
      (Audit[[#This Row],[Winning Candidate]]-Audit[[#This Row],[Losing Candidate]]-(Audit[[#This Row],[Audit Winning Candidate]]-Audit[[#This Row],[Audit Losing Candidate]]))/(Audit[[#Totals],[Winning Candidate]]-Audit[[#Totals],[Losing Candidate]]),
      0
)</f>
        <v>0</v>
      </c>
      <c r="AV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8">
        <f>IF(Audit[[#This Row],[Max Relative Error (ep)]] = 0, 0, Audit[[#This Row],[Max Relative Error (ep)]]/Audit[[#This Row],[Error Bound (up) - Max. possible relative overstatement]])</f>
        <v>0</v>
      </c>
      <c r="BH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 s="18">
        <f t="shared" si="1"/>
        <v>1</v>
      </c>
      <c r="BJ53" s="18">
        <f>PRODUCT($BI$5:BI53)</f>
        <v>1</v>
      </c>
      <c r="BK53" s="20">
        <f>1 - Audit[[#This Row],[K-M P Value]]</f>
        <v>0</v>
      </c>
      <c r="BL53" s="18" t="str">
        <f>IF(Audit[[#This Row],[K-M P Value]]&gt;1-'General Info'!$B$12,"Continue", "Stop")</f>
        <v>Continue</v>
      </c>
      <c r="BM53" s="23" t="b">
        <f>IF(Audit[[#This Row],[Status - Continue or stop audit]] = "Continue", TRUE, IF(BL52 = "Continue", TRUE, FALSE))</f>
        <v>1</v>
      </c>
      <c r="BN53" s="23"/>
    </row>
    <row r="54" spans="1:66" ht="15" hidden="1" customHeight="1" x14ac:dyDescent="0.35">
      <c r="A54" s="18" t="str">
        <f>'Sampling Data'!AI54</f>
        <v/>
      </c>
      <c r="B54" s="18" t="str">
        <f>'Sampling Data'!A54</f>
        <v>0604 CIN 6-D   (AV)</v>
      </c>
      <c r="C54" s="18">
        <f>'Sampling Data'!B54</f>
        <v>1</v>
      </c>
      <c r="D54" s="18">
        <f>'Sampling Data'!C54</f>
        <v>0</v>
      </c>
      <c r="E54" s="19">
        <f>'Sampling Data'!D54</f>
        <v>0</v>
      </c>
      <c r="F54" s="19">
        <f>'Sampling Data'!E54</f>
        <v>0</v>
      </c>
      <c r="G54" s="19">
        <f>'Sampling Data'!F54</f>
        <v>0</v>
      </c>
      <c r="H54" s="19">
        <f>'Sampling Data'!G54</f>
        <v>0</v>
      </c>
      <c r="I54" s="19">
        <f>'Sampling Data'!H54</f>
        <v>0</v>
      </c>
      <c r="J54" s="19">
        <f>'Sampling Data'!I54</f>
        <v>0</v>
      </c>
      <c r="K54" s="19">
        <f>'Sampling Data'!J54</f>
        <v>0</v>
      </c>
      <c r="L54" s="19">
        <f>'Sampling Data'!K54</f>
        <v>0</v>
      </c>
      <c r="M54" s="19">
        <f>'Sampling Data'!L54</f>
        <v>0</v>
      </c>
      <c r="N54" s="19">
        <f>'Sampling Data'!M54</f>
        <v>0</v>
      </c>
      <c r="O54" s="18">
        <f>'Sampling Data'!N54</f>
        <v>0</v>
      </c>
      <c r="P54" s="18">
        <f>'Sampling Data'!O54</f>
        <v>0</v>
      </c>
      <c r="Q54" s="18">
        <f>'Sampling Data'!P54</f>
        <v>1</v>
      </c>
      <c r="R54" s="18">
        <f>'Sampling Data'!AJ54</f>
        <v>0</v>
      </c>
      <c r="S54" s="112"/>
      <c r="T54" s="112"/>
      <c r="U54" s="113"/>
      <c r="V54" s="113"/>
      <c r="W54" s="112"/>
      <c r="X54" s="112"/>
      <c r="Y54" s="112"/>
      <c r="Z54" s="112"/>
      <c r="AA54" s="15"/>
      <c r="AB54" s="15"/>
      <c r="AC54" s="15"/>
      <c r="AD54" s="15"/>
      <c r="AE54" s="114" t="str">
        <f>IF(NOT(ISBLANK(Audit[[#This Row],[Audit Winning Candidate]])), Audit[[#This Row],[Audit Winning Candidate]]-Audit[[#This Row],[Winning Candidate]], "")</f>
        <v/>
      </c>
      <c r="AF54" s="18" t="str">
        <f>IF(NOT(ISBLANK(Audit[[#This Row],[Audit Losing Candidate]])), Audit[[#This Row],[Audit Losing Candidate]]-Audit[[#This Row],[Losing Candidate]], "")</f>
        <v/>
      </c>
      <c r="AG54" s="18" t="str">
        <f>IF(NOT(ISBLANK(Audit[[#This Row],[Audit Candidate 3]])), Audit[[#This Row],[Audit Candidate 3]]-Audit[[#This Row],[Candidate 3]], "")</f>
        <v/>
      </c>
      <c r="AH54" s="18" t="str">
        <f>IF(NOT(ISBLANK(Audit[[#This Row],[Audit Candidate 4]])),Audit[[#This Row],[Audit Candidate 4]]-Audit[[#This Row],[Candidate 4]], "")</f>
        <v/>
      </c>
      <c r="AI54" s="18" t="str">
        <f>IF(NOT(ISBLANK(Audit[[#This Row],[Audit Candidate 5]])), Audit[[#This Row],[Audit Candidate 5]]-Audit[[#This Row],[Candidate 5]], "")</f>
        <v/>
      </c>
      <c r="AJ54" s="18" t="str">
        <f>IF(NOT(ISBLANK(Audit[[#This Row],[Audit Candidate 6]])), Audit[[#This Row],[Audit Candidate 6]]-Audit[[#This Row],[Candidate 6]], "")</f>
        <v/>
      </c>
      <c r="AK54" s="18" t="str">
        <f>IF(NOT(ISBLANK(Audit[[#This Row],[Audit Candidate 7]])), Audit[[#This Row],[Audit Candidate 7]]-Audit[[#This Row],[Candidate 7]], "")</f>
        <v/>
      </c>
      <c r="AL54" s="18" t="str">
        <f>IF(NOT(ISBLANK(Audit[[#This Row],[Audit Candidate 8]])), Audit[[#This Row],[Audit Candidate 8]]-Audit[[#This Row],[Candidate 8]], "")</f>
        <v/>
      </c>
      <c r="AM54" s="18" t="str">
        <f>IF(NOT(ISBLANK(Audit[[#This Row],[Audit Candidate 9]])), Audit[[#This Row],[Audit Candidate 9]]-Audit[[#This Row],[Candidate 9]], "")</f>
        <v/>
      </c>
      <c r="AN54" s="18" t="str">
        <f>IF(NOT(ISBLANK(Audit[[#This Row],[Audit Candidate 10]])), Audit[[#This Row],[Audit Candidate 10]]-Audit[[#This Row],[Candidate 10]], "")</f>
        <v/>
      </c>
      <c r="AO54" s="18" t="str">
        <f>IF(NOT(ISBLANK(Audit[[#This Row],[Audit Candidate 11]])), Audit[[#This Row],[Audit Candidate 11]]-Audit[[#This Row],[Candidate 11]], "")</f>
        <v/>
      </c>
      <c r="AP54" s="18" t="str">
        <f>IF(NOT(ISBLANK(Audit[[#This Row],[Audit Candidate 12]])), Audit[[#This Row],[Audit Candidate 12]]-Audit[[#This Row],[Candidate 12]], "")</f>
        <v/>
      </c>
      <c r="AQ54" s="18">
        <f>SUMIF(Audit[[#This Row],[Difference Winner]:[Difference Candidate 12]], "&gt;0")</f>
        <v>0</v>
      </c>
      <c r="AR54" s="18">
        <f>SUM(Audit[[#This Row],[Difference Winner]:[Difference Candidate 12]])</f>
        <v>0</v>
      </c>
      <c r="AS54" s="18">
        <f>IF(Audit[[#This Row],[Times p Drawn - With Replacement]]&gt;0, IF(Audit[[#This Row],[Canceled Differences]]&lt;0, Audit[[#This Row],[Max Differences]]+ABS(Audit[[#This Row],[Canceled Differences]]), Audit[[#This Row],[Max Differences]]), 0)</f>
        <v>0</v>
      </c>
      <c r="AT54" s="18">
        <f>'Sampling Data'!AB54</f>
        <v>6.2819989320601809E-5</v>
      </c>
      <c r="AU54" s="18">
        <f>IF(
      SUM(Audit[[#This Row],[Audit Losing Candidate]:[Audit Candidate 12]])
      &lt;&gt;0,
      (Audit[[#This Row],[Winning Candidate]]-Audit[[#This Row],[Losing Candidate]]-(Audit[[#This Row],[Audit Winning Candidate]]-Audit[[#This Row],[Audit Losing Candidate]]))/(Audit[[#Totals],[Winning Candidate]]-Audit[[#Totals],[Losing Candidate]]),
      0
)</f>
        <v>0</v>
      </c>
      <c r="AV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8">
        <f>IF(Audit[[#This Row],[Max Relative Error (ep)]] = 0, 0, Audit[[#This Row],[Max Relative Error (ep)]]/Audit[[#This Row],[Error Bound (up) - Max. possible relative overstatement]])</f>
        <v>0</v>
      </c>
      <c r="BH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 s="18">
        <f t="shared" si="1"/>
        <v>1</v>
      </c>
      <c r="BJ54" s="18">
        <f>PRODUCT($BI$5:BI54)</f>
        <v>1</v>
      </c>
      <c r="BK54" s="20">
        <f>1 - Audit[[#This Row],[K-M P Value]]</f>
        <v>0</v>
      </c>
      <c r="BL54" s="18" t="str">
        <f>IF(Audit[[#This Row],[K-M P Value]]&gt;1-'General Info'!$B$12,"Continue", "Stop")</f>
        <v>Continue</v>
      </c>
      <c r="BM54" s="23" t="b">
        <f>IF(Audit[[#This Row],[Status - Continue or stop audit]] = "Continue", TRUE, IF(BL53 = "Continue", TRUE, FALSE))</f>
        <v>1</v>
      </c>
      <c r="BN54" s="23"/>
    </row>
    <row r="55" spans="1:66" ht="15" hidden="1" customHeight="1" x14ac:dyDescent="0.35">
      <c r="A55" s="18" t="str">
        <f>'Sampling Data'!AI55</f>
        <v/>
      </c>
      <c r="B55" s="18" t="str">
        <f>'Sampling Data'!A55</f>
        <v>0605 CIN 6-E   (AV)</v>
      </c>
      <c r="C55" s="18">
        <f>'Sampling Data'!B55</f>
        <v>3</v>
      </c>
      <c r="D55" s="18">
        <f>'Sampling Data'!C55</f>
        <v>2</v>
      </c>
      <c r="E55" s="19">
        <f>'Sampling Data'!D55</f>
        <v>0</v>
      </c>
      <c r="F55" s="19">
        <f>'Sampling Data'!E55</f>
        <v>0</v>
      </c>
      <c r="G55" s="19">
        <f>'Sampling Data'!F55</f>
        <v>0</v>
      </c>
      <c r="H55" s="19">
        <f>'Sampling Data'!G55</f>
        <v>0</v>
      </c>
      <c r="I55" s="19">
        <f>'Sampling Data'!H55</f>
        <v>0</v>
      </c>
      <c r="J55" s="19">
        <f>'Sampling Data'!I55</f>
        <v>0</v>
      </c>
      <c r="K55" s="19">
        <f>'Sampling Data'!J55</f>
        <v>0</v>
      </c>
      <c r="L55" s="19">
        <f>'Sampling Data'!K55</f>
        <v>0</v>
      </c>
      <c r="M55" s="19">
        <f>'Sampling Data'!L55</f>
        <v>0</v>
      </c>
      <c r="N55" s="19">
        <f>'Sampling Data'!M55</f>
        <v>0</v>
      </c>
      <c r="O55" s="18">
        <f>'Sampling Data'!N55</f>
        <v>0</v>
      </c>
      <c r="P55" s="18">
        <f>'Sampling Data'!O55</f>
        <v>0</v>
      </c>
      <c r="Q55" s="18">
        <f>'Sampling Data'!P55</f>
        <v>5</v>
      </c>
      <c r="R55" s="18">
        <f>'Sampling Data'!AJ55</f>
        <v>0</v>
      </c>
      <c r="S55" s="112"/>
      <c r="T55" s="112"/>
      <c r="U55" s="113"/>
      <c r="V55" s="113"/>
      <c r="W55" s="112"/>
      <c r="X55" s="112"/>
      <c r="Y55" s="112"/>
      <c r="Z55" s="112"/>
      <c r="AA55" s="15"/>
      <c r="AB55" s="15"/>
      <c r="AC55" s="15"/>
      <c r="AD55" s="15"/>
      <c r="AE55" s="114" t="str">
        <f>IF(NOT(ISBLANK(Audit[[#This Row],[Audit Winning Candidate]])), Audit[[#This Row],[Audit Winning Candidate]]-Audit[[#This Row],[Winning Candidate]], "")</f>
        <v/>
      </c>
      <c r="AF55" s="18" t="str">
        <f>IF(NOT(ISBLANK(Audit[[#This Row],[Audit Losing Candidate]])), Audit[[#This Row],[Audit Losing Candidate]]-Audit[[#This Row],[Losing Candidate]], "")</f>
        <v/>
      </c>
      <c r="AG55" s="18" t="str">
        <f>IF(NOT(ISBLANK(Audit[[#This Row],[Audit Candidate 3]])), Audit[[#This Row],[Audit Candidate 3]]-Audit[[#This Row],[Candidate 3]], "")</f>
        <v/>
      </c>
      <c r="AH55" s="18" t="str">
        <f>IF(NOT(ISBLANK(Audit[[#This Row],[Audit Candidate 4]])),Audit[[#This Row],[Audit Candidate 4]]-Audit[[#This Row],[Candidate 4]], "")</f>
        <v/>
      </c>
      <c r="AI55" s="18" t="str">
        <f>IF(NOT(ISBLANK(Audit[[#This Row],[Audit Candidate 5]])), Audit[[#This Row],[Audit Candidate 5]]-Audit[[#This Row],[Candidate 5]], "")</f>
        <v/>
      </c>
      <c r="AJ55" s="18" t="str">
        <f>IF(NOT(ISBLANK(Audit[[#This Row],[Audit Candidate 6]])), Audit[[#This Row],[Audit Candidate 6]]-Audit[[#This Row],[Candidate 6]], "")</f>
        <v/>
      </c>
      <c r="AK55" s="18" t="str">
        <f>IF(NOT(ISBLANK(Audit[[#This Row],[Audit Candidate 7]])), Audit[[#This Row],[Audit Candidate 7]]-Audit[[#This Row],[Candidate 7]], "")</f>
        <v/>
      </c>
      <c r="AL55" s="18" t="str">
        <f>IF(NOT(ISBLANK(Audit[[#This Row],[Audit Candidate 8]])), Audit[[#This Row],[Audit Candidate 8]]-Audit[[#This Row],[Candidate 8]], "")</f>
        <v/>
      </c>
      <c r="AM55" s="18" t="str">
        <f>IF(NOT(ISBLANK(Audit[[#This Row],[Audit Candidate 9]])), Audit[[#This Row],[Audit Candidate 9]]-Audit[[#This Row],[Candidate 9]], "")</f>
        <v/>
      </c>
      <c r="AN55" s="18" t="str">
        <f>IF(NOT(ISBLANK(Audit[[#This Row],[Audit Candidate 10]])), Audit[[#This Row],[Audit Candidate 10]]-Audit[[#This Row],[Candidate 10]], "")</f>
        <v/>
      </c>
      <c r="AO55" s="18" t="str">
        <f>IF(NOT(ISBLANK(Audit[[#This Row],[Audit Candidate 11]])), Audit[[#This Row],[Audit Candidate 11]]-Audit[[#This Row],[Candidate 11]], "")</f>
        <v/>
      </c>
      <c r="AP55" s="18" t="str">
        <f>IF(NOT(ISBLANK(Audit[[#This Row],[Audit Candidate 12]])), Audit[[#This Row],[Audit Candidate 12]]-Audit[[#This Row],[Candidate 12]], "")</f>
        <v/>
      </c>
      <c r="AQ55" s="18">
        <f>SUMIF(Audit[[#This Row],[Difference Winner]:[Difference Candidate 12]], "&gt;0")</f>
        <v>0</v>
      </c>
      <c r="AR55" s="18">
        <f>SUM(Audit[[#This Row],[Difference Winner]:[Difference Candidate 12]])</f>
        <v>0</v>
      </c>
      <c r="AS55" s="18">
        <f>IF(Audit[[#This Row],[Times p Drawn - With Replacement]]&gt;0, IF(Audit[[#This Row],[Canceled Differences]]&lt;0, Audit[[#This Row],[Max Differences]]+ABS(Audit[[#This Row],[Canceled Differences]]), Audit[[#This Row],[Max Differences]]), 0)</f>
        <v>0</v>
      </c>
      <c r="AT55" s="18">
        <f>'Sampling Data'!AB55</f>
        <v>1.8845996796180544E-4</v>
      </c>
      <c r="AU55" s="18">
        <f>IF(
      SUM(Audit[[#This Row],[Audit Losing Candidate]:[Audit Candidate 12]])
      &lt;&gt;0,
      (Audit[[#This Row],[Winning Candidate]]-Audit[[#This Row],[Losing Candidate]]-(Audit[[#This Row],[Audit Winning Candidate]]-Audit[[#This Row],[Audit Losing Candidate]]))/(Audit[[#Totals],[Winning Candidate]]-Audit[[#Totals],[Losing Candidate]]),
      0
)</f>
        <v>0</v>
      </c>
      <c r="AV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8">
        <f>IF(Audit[[#This Row],[Max Relative Error (ep)]] = 0, 0, Audit[[#This Row],[Max Relative Error (ep)]]/Audit[[#This Row],[Error Bound (up) - Max. possible relative overstatement]])</f>
        <v>0</v>
      </c>
      <c r="BH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 s="18">
        <f t="shared" si="1"/>
        <v>1</v>
      </c>
      <c r="BJ55" s="18">
        <f>PRODUCT($BI$5:BI55)</f>
        <v>1</v>
      </c>
      <c r="BK55" s="20">
        <f>1 - Audit[[#This Row],[K-M P Value]]</f>
        <v>0</v>
      </c>
      <c r="BL55" s="18" t="str">
        <f>IF(Audit[[#This Row],[K-M P Value]]&gt;1-'General Info'!$B$12,"Continue", "Stop")</f>
        <v>Continue</v>
      </c>
      <c r="BM55" s="23" t="b">
        <f>IF(Audit[[#This Row],[Status - Continue or stop audit]] = "Continue", TRUE, IF(BL54 = "Continue", TRUE, FALSE))</f>
        <v>1</v>
      </c>
      <c r="BN55" s="23"/>
    </row>
    <row r="56" spans="1:66" ht="15" hidden="1" customHeight="1" x14ac:dyDescent="0.35">
      <c r="A56" s="18" t="str">
        <f>'Sampling Data'!AI56</f>
        <v/>
      </c>
      <c r="B56" s="18" t="str">
        <f>'Sampling Data'!A56</f>
        <v>0701 CIN 7-A   (AV)</v>
      </c>
      <c r="C56" s="18">
        <f>'Sampling Data'!B56</f>
        <v>5</v>
      </c>
      <c r="D56" s="18">
        <f>'Sampling Data'!C56</f>
        <v>1</v>
      </c>
      <c r="E56" s="19">
        <f>'Sampling Data'!D56</f>
        <v>0</v>
      </c>
      <c r="F56" s="19">
        <f>'Sampling Data'!E56</f>
        <v>0</v>
      </c>
      <c r="G56" s="19">
        <f>'Sampling Data'!F56</f>
        <v>0</v>
      </c>
      <c r="H56" s="19">
        <f>'Sampling Data'!G56</f>
        <v>0</v>
      </c>
      <c r="I56" s="19">
        <f>'Sampling Data'!H56</f>
        <v>0</v>
      </c>
      <c r="J56" s="19">
        <f>'Sampling Data'!I56</f>
        <v>0</v>
      </c>
      <c r="K56" s="19">
        <f>'Sampling Data'!J56</f>
        <v>0</v>
      </c>
      <c r="L56" s="19">
        <f>'Sampling Data'!K56</f>
        <v>0</v>
      </c>
      <c r="M56" s="19">
        <f>'Sampling Data'!L56</f>
        <v>0</v>
      </c>
      <c r="N56" s="19">
        <f>'Sampling Data'!M56</f>
        <v>0</v>
      </c>
      <c r="O56" s="18">
        <f>'Sampling Data'!N56</f>
        <v>0</v>
      </c>
      <c r="P56" s="18">
        <f>'Sampling Data'!O56</f>
        <v>0</v>
      </c>
      <c r="Q56" s="18">
        <f>'Sampling Data'!P56</f>
        <v>6</v>
      </c>
      <c r="R56" s="18">
        <f>'Sampling Data'!AJ56</f>
        <v>0</v>
      </c>
      <c r="S56" s="112"/>
      <c r="T56" s="112"/>
      <c r="U56" s="113"/>
      <c r="V56" s="113"/>
      <c r="W56" s="112"/>
      <c r="X56" s="112"/>
      <c r="Y56" s="112"/>
      <c r="Z56" s="112"/>
      <c r="AA56" s="15"/>
      <c r="AB56" s="15"/>
      <c r="AC56" s="15"/>
      <c r="AD56" s="15"/>
      <c r="AE56" s="114" t="str">
        <f>IF(NOT(ISBLANK(Audit[[#This Row],[Audit Winning Candidate]])), Audit[[#This Row],[Audit Winning Candidate]]-Audit[[#This Row],[Winning Candidate]], "")</f>
        <v/>
      </c>
      <c r="AF56" s="18" t="str">
        <f>IF(NOT(ISBLANK(Audit[[#This Row],[Audit Losing Candidate]])), Audit[[#This Row],[Audit Losing Candidate]]-Audit[[#This Row],[Losing Candidate]], "")</f>
        <v/>
      </c>
      <c r="AG56" s="18" t="str">
        <f>IF(NOT(ISBLANK(Audit[[#This Row],[Audit Candidate 3]])), Audit[[#This Row],[Audit Candidate 3]]-Audit[[#This Row],[Candidate 3]], "")</f>
        <v/>
      </c>
      <c r="AH56" s="18" t="str">
        <f>IF(NOT(ISBLANK(Audit[[#This Row],[Audit Candidate 4]])),Audit[[#This Row],[Audit Candidate 4]]-Audit[[#This Row],[Candidate 4]], "")</f>
        <v/>
      </c>
      <c r="AI56" s="18" t="str">
        <f>IF(NOT(ISBLANK(Audit[[#This Row],[Audit Candidate 5]])), Audit[[#This Row],[Audit Candidate 5]]-Audit[[#This Row],[Candidate 5]], "")</f>
        <v/>
      </c>
      <c r="AJ56" s="18" t="str">
        <f>IF(NOT(ISBLANK(Audit[[#This Row],[Audit Candidate 6]])), Audit[[#This Row],[Audit Candidate 6]]-Audit[[#This Row],[Candidate 6]], "")</f>
        <v/>
      </c>
      <c r="AK56" s="18" t="str">
        <f>IF(NOT(ISBLANK(Audit[[#This Row],[Audit Candidate 7]])), Audit[[#This Row],[Audit Candidate 7]]-Audit[[#This Row],[Candidate 7]], "")</f>
        <v/>
      </c>
      <c r="AL56" s="18" t="str">
        <f>IF(NOT(ISBLANK(Audit[[#This Row],[Audit Candidate 8]])), Audit[[#This Row],[Audit Candidate 8]]-Audit[[#This Row],[Candidate 8]], "")</f>
        <v/>
      </c>
      <c r="AM56" s="18" t="str">
        <f>IF(NOT(ISBLANK(Audit[[#This Row],[Audit Candidate 9]])), Audit[[#This Row],[Audit Candidate 9]]-Audit[[#This Row],[Candidate 9]], "")</f>
        <v/>
      </c>
      <c r="AN56" s="18" t="str">
        <f>IF(NOT(ISBLANK(Audit[[#This Row],[Audit Candidate 10]])), Audit[[#This Row],[Audit Candidate 10]]-Audit[[#This Row],[Candidate 10]], "")</f>
        <v/>
      </c>
      <c r="AO56" s="18" t="str">
        <f>IF(NOT(ISBLANK(Audit[[#This Row],[Audit Candidate 11]])), Audit[[#This Row],[Audit Candidate 11]]-Audit[[#This Row],[Candidate 11]], "")</f>
        <v/>
      </c>
      <c r="AP56" s="18" t="str">
        <f>IF(NOT(ISBLANK(Audit[[#This Row],[Audit Candidate 12]])), Audit[[#This Row],[Audit Candidate 12]]-Audit[[#This Row],[Candidate 12]], "")</f>
        <v/>
      </c>
      <c r="AQ56" s="18">
        <f>SUMIF(Audit[[#This Row],[Difference Winner]:[Difference Candidate 12]], "&gt;0")</f>
        <v>0</v>
      </c>
      <c r="AR56" s="18">
        <f>SUM(Audit[[#This Row],[Difference Winner]:[Difference Candidate 12]])</f>
        <v>0</v>
      </c>
      <c r="AS56" s="18">
        <f>IF(Audit[[#This Row],[Times p Drawn - With Replacement]]&gt;0, IF(Audit[[#This Row],[Canceled Differences]]&lt;0, Audit[[#This Row],[Max Differences]]+ABS(Audit[[#This Row],[Canceled Differences]]), Audit[[#This Row],[Max Differences]]), 0)</f>
        <v>0</v>
      </c>
      <c r="AT56" s="18">
        <f>'Sampling Data'!AB56</f>
        <v>3.1409994660300906E-4</v>
      </c>
      <c r="AU56" s="18">
        <f>IF(
      SUM(Audit[[#This Row],[Audit Losing Candidate]:[Audit Candidate 12]])
      &lt;&gt;0,
      (Audit[[#This Row],[Winning Candidate]]-Audit[[#This Row],[Losing Candidate]]-(Audit[[#This Row],[Audit Winning Candidate]]-Audit[[#This Row],[Audit Losing Candidate]]))/(Audit[[#Totals],[Winning Candidate]]-Audit[[#Totals],[Losing Candidate]]),
      0
)</f>
        <v>0</v>
      </c>
      <c r="AV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8">
        <f>IF(Audit[[#This Row],[Max Relative Error (ep)]] = 0, 0, Audit[[#This Row],[Max Relative Error (ep)]]/Audit[[#This Row],[Error Bound (up) - Max. possible relative overstatement]])</f>
        <v>0</v>
      </c>
      <c r="BH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 s="18">
        <f t="shared" si="1"/>
        <v>1</v>
      </c>
      <c r="BJ56" s="18">
        <f>PRODUCT($BI$5:BI56)</f>
        <v>1</v>
      </c>
      <c r="BK56" s="20">
        <f>1 - Audit[[#This Row],[K-M P Value]]</f>
        <v>0</v>
      </c>
      <c r="BL56" s="18" t="str">
        <f>IF(Audit[[#This Row],[K-M P Value]]&gt;1-'General Info'!$B$12,"Continue", "Stop")</f>
        <v>Continue</v>
      </c>
      <c r="BM56" s="23" t="b">
        <f>IF(Audit[[#This Row],[Status - Continue or stop audit]] = "Continue", TRUE, IF(BL55 = "Continue", TRUE, FALSE))</f>
        <v>1</v>
      </c>
      <c r="BN56" s="23"/>
    </row>
    <row r="57" spans="1:66" ht="15" hidden="1" customHeight="1" x14ac:dyDescent="0.35">
      <c r="A57" s="18" t="str">
        <f>'Sampling Data'!AI57</f>
        <v/>
      </c>
      <c r="B57" s="18" t="str">
        <f>'Sampling Data'!A57</f>
        <v>0702 CIN 7-B   (AV)</v>
      </c>
      <c r="C57" s="18">
        <f>'Sampling Data'!B57</f>
        <v>1</v>
      </c>
      <c r="D57" s="18">
        <f>'Sampling Data'!C57</f>
        <v>0</v>
      </c>
      <c r="E57" s="19">
        <f>'Sampling Data'!D57</f>
        <v>0</v>
      </c>
      <c r="F57" s="19">
        <f>'Sampling Data'!E57</f>
        <v>0</v>
      </c>
      <c r="G57" s="19">
        <f>'Sampling Data'!F57</f>
        <v>0</v>
      </c>
      <c r="H57" s="19">
        <f>'Sampling Data'!G57</f>
        <v>0</v>
      </c>
      <c r="I57" s="19">
        <f>'Sampling Data'!H57</f>
        <v>0</v>
      </c>
      <c r="J57" s="19">
        <f>'Sampling Data'!I57</f>
        <v>0</v>
      </c>
      <c r="K57" s="19">
        <f>'Sampling Data'!J57</f>
        <v>0</v>
      </c>
      <c r="L57" s="19">
        <f>'Sampling Data'!K57</f>
        <v>0</v>
      </c>
      <c r="M57" s="19">
        <f>'Sampling Data'!L57</f>
        <v>0</v>
      </c>
      <c r="N57" s="19">
        <f>'Sampling Data'!M57</f>
        <v>0</v>
      </c>
      <c r="O57" s="18">
        <f>'Sampling Data'!N57</f>
        <v>0</v>
      </c>
      <c r="P57" s="18">
        <f>'Sampling Data'!O57</f>
        <v>0</v>
      </c>
      <c r="Q57" s="18">
        <f>'Sampling Data'!P57</f>
        <v>1</v>
      </c>
      <c r="R57" s="18">
        <f>'Sampling Data'!AJ57</f>
        <v>0</v>
      </c>
      <c r="S57" s="112"/>
      <c r="T57" s="112"/>
      <c r="U57" s="113"/>
      <c r="V57" s="113"/>
      <c r="W57" s="112"/>
      <c r="X57" s="112"/>
      <c r="Y57" s="112"/>
      <c r="Z57" s="112"/>
      <c r="AA57" s="15"/>
      <c r="AB57" s="15"/>
      <c r="AC57" s="15"/>
      <c r="AD57" s="15"/>
      <c r="AE57" s="114" t="str">
        <f>IF(NOT(ISBLANK(Audit[[#This Row],[Audit Winning Candidate]])), Audit[[#This Row],[Audit Winning Candidate]]-Audit[[#This Row],[Winning Candidate]], "")</f>
        <v/>
      </c>
      <c r="AF57" s="18" t="str">
        <f>IF(NOT(ISBLANK(Audit[[#This Row],[Audit Losing Candidate]])), Audit[[#This Row],[Audit Losing Candidate]]-Audit[[#This Row],[Losing Candidate]], "")</f>
        <v/>
      </c>
      <c r="AG57" s="18" t="str">
        <f>IF(NOT(ISBLANK(Audit[[#This Row],[Audit Candidate 3]])), Audit[[#This Row],[Audit Candidate 3]]-Audit[[#This Row],[Candidate 3]], "")</f>
        <v/>
      </c>
      <c r="AH57" s="18" t="str">
        <f>IF(NOT(ISBLANK(Audit[[#This Row],[Audit Candidate 4]])),Audit[[#This Row],[Audit Candidate 4]]-Audit[[#This Row],[Candidate 4]], "")</f>
        <v/>
      </c>
      <c r="AI57" s="18" t="str">
        <f>IF(NOT(ISBLANK(Audit[[#This Row],[Audit Candidate 5]])), Audit[[#This Row],[Audit Candidate 5]]-Audit[[#This Row],[Candidate 5]], "")</f>
        <v/>
      </c>
      <c r="AJ57" s="18" t="str">
        <f>IF(NOT(ISBLANK(Audit[[#This Row],[Audit Candidate 6]])), Audit[[#This Row],[Audit Candidate 6]]-Audit[[#This Row],[Candidate 6]], "")</f>
        <v/>
      </c>
      <c r="AK57" s="18" t="str">
        <f>IF(NOT(ISBLANK(Audit[[#This Row],[Audit Candidate 7]])), Audit[[#This Row],[Audit Candidate 7]]-Audit[[#This Row],[Candidate 7]], "")</f>
        <v/>
      </c>
      <c r="AL57" s="18" t="str">
        <f>IF(NOT(ISBLANK(Audit[[#This Row],[Audit Candidate 8]])), Audit[[#This Row],[Audit Candidate 8]]-Audit[[#This Row],[Candidate 8]], "")</f>
        <v/>
      </c>
      <c r="AM57" s="18" t="str">
        <f>IF(NOT(ISBLANK(Audit[[#This Row],[Audit Candidate 9]])), Audit[[#This Row],[Audit Candidate 9]]-Audit[[#This Row],[Candidate 9]], "")</f>
        <v/>
      </c>
      <c r="AN57" s="18" t="str">
        <f>IF(NOT(ISBLANK(Audit[[#This Row],[Audit Candidate 10]])), Audit[[#This Row],[Audit Candidate 10]]-Audit[[#This Row],[Candidate 10]], "")</f>
        <v/>
      </c>
      <c r="AO57" s="18" t="str">
        <f>IF(NOT(ISBLANK(Audit[[#This Row],[Audit Candidate 11]])), Audit[[#This Row],[Audit Candidate 11]]-Audit[[#This Row],[Candidate 11]], "")</f>
        <v/>
      </c>
      <c r="AP57" s="18" t="str">
        <f>IF(NOT(ISBLANK(Audit[[#This Row],[Audit Candidate 12]])), Audit[[#This Row],[Audit Candidate 12]]-Audit[[#This Row],[Candidate 12]], "")</f>
        <v/>
      </c>
      <c r="AQ57" s="18">
        <f>SUMIF(Audit[[#This Row],[Difference Winner]:[Difference Candidate 12]], "&gt;0")</f>
        <v>0</v>
      </c>
      <c r="AR57" s="18">
        <f>SUM(Audit[[#This Row],[Difference Winner]:[Difference Candidate 12]])</f>
        <v>0</v>
      </c>
      <c r="AS57" s="18">
        <f>IF(Audit[[#This Row],[Times p Drawn - With Replacement]]&gt;0, IF(Audit[[#This Row],[Canceled Differences]]&lt;0, Audit[[#This Row],[Max Differences]]+ABS(Audit[[#This Row],[Canceled Differences]]), Audit[[#This Row],[Max Differences]]), 0)</f>
        <v>0</v>
      </c>
      <c r="AT57" s="18">
        <f>'Sampling Data'!AB57</f>
        <v>6.2819989320601809E-5</v>
      </c>
      <c r="AU57" s="18">
        <f>IF(
      SUM(Audit[[#This Row],[Audit Losing Candidate]:[Audit Candidate 12]])
      &lt;&gt;0,
      (Audit[[#This Row],[Winning Candidate]]-Audit[[#This Row],[Losing Candidate]]-(Audit[[#This Row],[Audit Winning Candidate]]-Audit[[#This Row],[Audit Losing Candidate]]))/(Audit[[#Totals],[Winning Candidate]]-Audit[[#Totals],[Losing Candidate]]),
      0
)</f>
        <v>0</v>
      </c>
      <c r="AV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8">
        <f>IF(Audit[[#This Row],[Max Relative Error (ep)]] = 0, 0, Audit[[#This Row],[Max Relative Error (ep)]]/Audit[[#This Row],[Error Bound (up) - Max. possible relative overstatement]])</f>
        <v>0</v>
      </c>
      <c r="BH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 s="18">
        <f t="shared" si="1"/>
        <v>1</v>
      </c>
      <c r="BJ57" s="18">
        <f>PRODUCT($BI$5:BI57)</f>
        <v>1</v>
      </c>
      <c r="BK57" s="20">
        <f>1 - Audit[[#This Row],[K-M P Value]]</f>
        <v>0</v>
      </c>
      <c r="BL57" s="18" t="str">
        <f>IF(Audit[[#This Row],[K-M P Value]]&gt;1-'General Info'!$B$12,"Continue", "Stop")</f>
        <v>Continue</v>
      </c>
      <c r="BM57" s="23" t="b">
        <f>IF(Audit[[#This Row],[Status - Continue or stop audit]] = "Continue", TRUE, IF(BL56 = "Continue", TRUE, FALSE))</f>
        <v>1</v>
      </c>
      <c r="BN57" s="23"/>
    </row>
    <row r="58" spans="1:66" ht="15" hidden="1" customHeight="1" x14ac:dyDescent="0.35">
      <c r="A58" s="18" t="str">
        <f>'Sampling Data'!AI58</f>
        <v/>
      </c>
      <c r="B58" s="18" t="str">
        <f>'Sampling Data'!A58</f>
        <v>0703 CIN 7-C   (AV)</v>
      </c>
      <c r="C58" s="18">
        <f>'Sampling Data'!B58</f>
        <v>0</v>
      </c>
      <c r="D58" s="18">
        <f>'Sampling Data'!C58</f>
        <v>0</v>
      </c>
      <c r="E58" s="19">
        <f>'Sampling Data'!D58</f>
        <v>0</v>
      </c>
      <c r="F58" s="19">
        <f>'Sampling Data'!E58</f>
        <v>0</v>
      </c>
      <c r="G58" s="19">
        <f>'Sampling Data'!F58</f>
        <v>0</v>
      </c>
      <c r="H58" s="19">
        <f>'Sampling Data'!G58</f>
        <v>0</v>
      </c>
      <c r="I58" s="19">
        <f>'Sampling Data'!H58</f>
        <v>0</v>
      </c>
      <c r="J58" s="19">
        <f>'Sampling Data'!I58</f>
        <v>0</v>
      </c>
      <c r="K58" s="19">
        <f>'Sampling Data'!J58</f>
        <v>0</v>
      </c>
      <c r="L58" s="19">
        <f>'Sampling Data'!K58</f>
        <v>0</v>
      </c>
      <c r="M58" s="19">
        <f>'Sampling Data'!L58</f>
        <v>0</v>
      </c>
      <c r="N58" s="19">
        <f>'Sampling Data'!M58</f>
        <v>0</v>
      </c>
      <c r="O58" s="18">
        <f>'Sampling Data'!N58</f>
        <v>0</v>
      </c>
      <c r="P58" s="18">
        <f>'Sampling Data'!O58</f>
        <v>0</v>
      </c>
      <c r="Q58" s="18">
        <f>'Sampling Data'!P58</f>
        <v>0</v>
      </c>
      <c r="R58" s="18">
        <f>'Sampling Data'!AJ58</f>
        <v>0</v>
      </c>
      <c r="S58" s="112"/>
      <c r="T58" s="112"/>
      <c r="U58" s="113"/>
      <c r="V58" s="113"/>
      <c r="W58" s="112"/>
      <c r="X58" s="112"/>
      <c r="Y58" s="112"/>
      <c r="Z58" s="112"/>
      <c r="AA58" s="15"/>
      <c r="AB58" s="15"/>
      <c r="AC58" s="15"/>
      <c r="AD58" s="15"/>
      <c r="AE58" s="114" t="str">
        <f>IF(NOT(ISBLANK(Audit[[#This Row],[Audit Winning Candidate]])), Audit[[#This Row],[Audit Winning Candidate]]-Audit[[#This Row],[Winning Candidate]], "")</f>
        <v/>
      </c>
      <c r="AF58" s="18" t="str">
        <f>IF(NOT(ISBLANK(Audit[[#This Row],[Audit Losing Candidate]])), Audit[[#This Row],[Audit Losing Candidate]]-Audit[[#This Row],[Losing Candidate]], "")</f>
        <v/>
      </c>
      <c r="AG58" s="18" t="str">
        <f>IF(NOT(ISBLANK(Audit[[#This Row],[Audit Candidate 3]])), Audit[[#This Row],[Audit Candidate 3]]-Audit[[#This Row],[Candidate 3]], "")</f>
        <v/>
      </c>
      <c r="AH58" s="18" t="str">
        <f>IF(NOT(ISBLANK(Audit[[#This Row],[Audit Candidate 4]])),Audit[[#This Row],[Audit Candidate 4]]-Audit[[#This Row],[Candidate 4]], "")</f>
        <v/>
      </c>
      <c r="AI58" s="18" t="str">
        <f>IF(NOT(ISBLANK(Audit[[#This Row],[Audit Candidate 5]])), Audit[[#This Row],[Audit Candidate 5]]-Audit[[#This Row],[Candidate 5]], "")</f>
        <v/>
      </c>
      <c r="AJ58" s="18" t="str">
        <f>IF(NOT(ISBLANK(Audit[[#This Row],[Audit Candidate 6]])), Audit[[#This Row],[Audit Candidate 6]]-Audit[[#This Row],[Candidate 6]], "")</f>
        <v/>
      </c>
      <c r="AK58" s="18" t="str">
        <f>IF(NOT(ISBLANK(Audit[[#This Row],[Audit Candidate 7]])), Audit[[#This Row],[Audit Candidate 7]]-Audit[[#This Row],[Candidate 7]], "")</f>
        <v/>
      </c>
      <c r="AL58" s="18" t="str">
        <f>IF(NOT(ISBLANK(Audit[[#This Row],[Audit Candidate 8]])), Audit[[#This Row],[Audit Candidate 8]]-Audit[[#This Row],[Candidate 8]], "")</f>
        <v/>
      </c>
      <c r="AM58" s="18" t="str">
        <f>IF(NOT(ISBLANK(Audit[[#This Row],[Audit Candidate 9]])), Audit[[#This Row],[Audit Candidate 9]]-Audit[[#This Row],[Candidate 9]], "")</f>
        <v/>
      </c>
      <c r="AN58" s="18" t="str">
        <f>IF(NOT(ISBLANK(Audit[[#This Row],[Audit Candidate 10]])), Audit[[#This Row],[Audit Candidate 10]]-Audit[[#This Row],[Candidate 10]], "")</f>
        <v/>
      </c>
      <c r="AO58" s="18" t="str">
        <f>IF(NOT(ISBLANK(Audit[[#This Row],[Audit Candidate 11]])), Audit[[#This Row],[Audit Candidate 11]]-Audit[[#This Row],[Candidate 11]], "")</f>
        <v/>
      </c>
      <c r="AP58" s="18" t="str">
        <f>IF(NOT(ISBLANK(Audit[[#This Row],[Audit Candidate 12]])), Audit[[#This Row],[Audit Candidate 12]]-Audit[[#This Row],[Candidate 12]], "")</f>
        <v/>
      </c>
      <c r="AQ58" s="18">
        <f>SUMIF(Audit[[#This Row],[Difference Winner]:[Difference Candidate 12]], "&gt;0")</f>
        <v>0</v>
      </c>
      <c r="AR58" s="18">
        <f>SUM(Audit[[#This Row],[Difference Winner]:[Difference Candidate 12]])</f>
        <v>0</v>
      </c>
      <c r="AS58" s="18">
        <f>IF(Audit[[#This Row],[Times p Drawn - With Replacement]]&gt;0, IF(Audit[[#This Row],[Canceled Differences]]&lt;0, Audit[[#This Row],[Max Differences]]+ABS(Audit[[#This Row],[Canceled Differences]]), Audit[[#This Row],[Max Differences]]), 0)</f>
        <v>0</v>
      </c>
      <c r="AT58" s="18">
        <f>'Sampling Data'!AB58</f>
        <v>0</v>
      </c>
      <c r="AU58" s="18">
        <f>IF(
      SUM(Audit[[#This Row],[Audit Losing Candidate]:[Audit Candidate 12]])
      &lt;&gt;0,
      (Audit[[#This Row],[Winning Candidate]]-Audit[[#This Row],[Losing Candidate]]-(Audit[[#This Row],[Audit Winning Candidate]]-Audit[[#This Row],[Audit Losing Candidate]]))/(Audit[[#Totals],[Winning Candidate]]-Audit[[#Totals],[Losing Candidate]]),
      0
)</f>
        <v>0</v>
      </c>
      <c r="AV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8">
        <f>IF(Audit[[#This Row],[Max Relative Error (ep)]] = 0, 0, Audit[[#This Row],[Max Relative Error (ep)]]/Audit[[#This Row],[Error Bound (up) - Max. possible relative overstatement]])</f>
        <v>0</v>
      </c>
      <c r="BH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 s="18">
        <f t="shared" si="1"/>
        <v>1</v>
      </c>
      <c r="BJ58" s="18">
        <f>PRODUCT($BI$5:BI58)</f>
        <v>1</v>
      </c>
      <c r="BK58" s="20">
        <f>1 - Audit[[#This Row],[K-M P Value]]</f>
        <v>0</v>
      </c>
      <c r="BL58" s="18" t="str">
        <f>IF(Audit[[#This Row],[K-M P Value]]&gt;1-'General Info'!$B$12,"Continue", "Stop")</f>
        <v>Continue</v>
      </c>
      <c r="BM58" s="23" t="b">
        <f>IF(Audit[[#This Row],[Status - Continue or stop audit]] = "Continue", TRUE, IF(BL57 = "Continue", TRUE, FALSE))</f>
        <v>1</v>
      </c>
      <c r="BN58" s="23"/>
    </row>
    <row r="59" spans="1:66" ht="15" hidden="1" customHeight="1" x14ac:dyDescent="0.35">
      <c r="A59" s="18" t="str">
        <f>'Sampling Data'!AI59</f>
        <v/>
      </c>
      <c r="B59" s="18" t="str">
        <f>'Sampling Data'!A59</f>
        <v>0704 CIN 7-D   (AV)</v>
      </c>
      <c r="C59" s="18">
        <f>'Sampling Data'!B59</f>
        <v>3</v>
      </c>
      <c r="D59" s="18">
        <f>'Sampling Data'!C59</f>
        <v>1</v>
      </c>
      <c r="E59" s="19">
        <f>'Sampling Data'!D59</f>
        <v>0</v>
      </c>
      <c r="F59" s="19">
        <f>'Sampling Data'!E59</f>
        <v>0</v>
      </c>
      <c r="G59" s="19">
        <f>'Sampling Data'!F59</f>
        <v>0</v>
      </c>
      <c r="H59" s="19">
        <f>'Sampling Data'!G59</f>
        <v>0</v>
      </c>
      <c r="I59" s="19">
        <f>'Sampling Data'!H59</f>
        <v>0</v>
      </c>
      <c r="J59" s="19">
        <f>'Sampling Data'!I59</f>
        <v>0</v>
      </c>
      <c r="K59" s="19">
        <f>'Sampling Data'!J59</f>
        <v>0</v>
      </c>
      <c r="L59" s="19">
        <f>'Sampling Data'!K59</f>
        <v>0</v>
      </c>
      <c r="M59" s="19">
        <f>'Sampling Data'!L59</f>
        <v>0</v>
      </c>
      <c r="N59" s="19">
        <f>'Sampling Data'!M59</f>
        <v>0</v>
      </c>
      <c r="O59" s="18">
        <f>'Sampling Data'!N59</f>
        <v>0</v>
      </c>
      <c r="P59" s="18">
        <f>'Sampling Data'!O59</f>
        <v>1</v>
      </c>
      <c r="Q59" s="18">
        <f>'Sampling Data'!P59</f>
        <v>5</v>
      </c>
      <c r="R59" s="18">
        <f>'Sampling Data'!AJ59</f>
        <v>0</v>
      </c>
      <c r="S59" s="112"/>
      <c r="T59" s="112"/>
      <c r="U59" s="113"/>
      <c r="V59" s="113"/>
      <c r="W59" s="112"/>
      <c r="X59" s="112"/>
      <c r="Y59" s="112"/>
      <c r="Z59" s="112"/>
      <c r="AA59" s="15"/>
      <c r="AB59" s="15"/>
      <c r="AC59" s="15"/>
      <c r="AD59" s="15"/>
      <c r="AE59" s="114" t="str">
        <f>IF(NOT(ISBLANK(Audit[[#This Row],[Audit Winning Candidate]])), Audit[[#This Row],[Audit Winning Candidate]]-Audit[[#This Row],[Winning Candidate]], "")</f>
        <v/>
      </c>
      <c r="AF59" s="18" t="str">
        <f>IF(NOT(ISBLANK(Audit[[#This Row],[Audit Losing Candidate]])), Audit[[#This Row],[Audit Losing Candidate]]-Audit[[#This Row],[Losing Candidate]], "")</f>
        <v/>
      </c>
      <c r="AG59" s="18" t="str">
        <f>IF(NOT(ISBLANK(Audit[[#This Row],[Audit Candidate 3]])), Audit[[#This Row],[Audit Candidate 3]]-Audit[[#This Row],[Candidate 3]], "")</f>
        <v/>
      </c>
      <c r="AH59" s="18" t="str">
        <f>IF(NOT(ISBLANK(Audit[[#This Row],[Audit Candidate 4]])),Audit[[#This Row],[Audit Candidate 4]]-Audit[[#This Row],[Candidate 4]], "")</f>
        <v/>
      </c>
      <c r="AI59" s="18" t="str">
        <f>IF(NOT(ISBLANK(Audit[[#This Row],[Audit Candidate 5]])), Audit[[#This Row],[Audit Candidate 5]]-Audit[[#This Row],[Candidate 5]], "")</f>
        <v/>
      </c>
      <c r="AJ59" s="18" t="str">
        <f>IF(NOT(ISBLANK(Audit[[#This Row],[Audit Candidate 6]])), Audit[[#This Row],[Audit Candidate 6]]-Audit[[#This Row],[Candidate 6]], "")</f>
        <v/>
      </c>
      <c r="AK59" s="18" t="str">
        <f>IF(NOT(ISBLANK(Audit[[#This Row],[Audit Candidate 7]])), Audit[[#This Row],[Audit Candidate 7]]-Audit[[#This Row],[Candidate 7]], "")</f>
        <v/>
      </c>
      <c r="AL59" s="18" t="str">
        <f>IF(NOT(ISBLANK(Audit[[#This Row],[Audit Candidate 8]])), Audit[[#This Row],[Audit Candidate 8]]-Audit[[#This Row],[Candidate 8]], "")</f>
        <v/>
      </c>
      <c r="AM59" s="18" t="str">
        <f>IF(NOT(ISBLANK(Audit[[#This Row],[Audit Candidate 9]])), Audit[[#This Row],[Audit Candidate 9]]-Audit[[#This Row],[Candidate 9]], "")</f>
        <v/>
      </c>
      <c r="AN59" s="18" t="str">
        <f>IF(NOT(ISBLANK(Audit[[#This Row],[Audit Candidate 10]])), Audit[[#This Row],[Audit Candidate 10]]-Audit[[#This Row],[Candidate 10]], "")</f>
        <v/>
      </c>
      <c r="AO59" s="18" t="str">
        <f>IF(NOT(ISBLANK(Audit[[#This Row],[Audit Candidate 11]])), Audit[[#This Row],[Audit Candidate 11]]-Audit[[#This Row],[Candidate 11]], "")</f>
        <v/>
      </c>
      <c r="AP59" s="18" t="str">
        <f>IF(NOT(ISBLANK(Audit[[#This Row],[Audit Candidate 12]])), Audit[[#This Row],[Audit Candidate 12]]-Audit[[#This Row],[Candidate 12]], "")</f>
        <v/>
      </c>
      <c r="AQ59" s="18">
        <f>SUMIF(Audit[[#This Row],[Difference Winner]:[Difference Candidate 12]], "&gt;0")</f>
        <v>0</v>
      </c>
      <c r="AR59" s="18">
        <f>SUM(Audit[[#This Row],[Difference Winner]:[Difference Candidate 12]])</f>
        <v>0</v>
      </c>
      <c r="AS59" s="18">
        <f>IF(Audit[[#This Row],[Times p Drawn - With Replacement]]&gt;0, IF(Audit[[#This Row],[Canceled Differences]]&lt;0, Audit[[#This Row],[Max Differences]]+ABS(Audit[[#This Row],[Canceled Differences]]), Audit[[#This Row],[Max Differences]]), 0)</f>
        <v>0</v>
      </c>
      <c r="AT59" s="18">
        <f>'Sampling Data'!AB59</f>
        <v>2.1986996262210635E-4</v>
      </c>
      <c r="AU59" s="18">
        <f>IF(
      SUM(Audit[[#This Row],[Audit Losing Candidate]:[Audit Candidate 12]])
      &lt;&gt;0,
      (Audit[[#This Row],[Winning Candidate]]-Audit[[#This Row],[Losing Candidate]]-(Audit[[#This Row],[Audit Winning Candidate]]-Audit[[#This Row],[Audit Losing Candidate]]))/(Audit[[#Totals],[Winning Candidate]]-Audit[[#Totals],[Losing Candidate]]),
      0
)</f>
        <v>0</v>
      </c>
      <c r="AV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8">
        <f>IF(Audit[[#This Row],[Max Relative Error (ep)]] = 0, 0, Audit[[#This Row],[Max Relative Error (ep)]]/Audit[[#This Row],[Error Bound (up) - Max. possible relative overstatement]])</f>
        <v>0</v>
      </c>
      <c r="BH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 s="18">
        <f t="shared" si="1"/>
        <v>1</v>
      </c>
      <c r="BJ59" s="18">
        <f>PRODUCT($BI$5:BI59)</f>
        <v>1</v>
      </c>
      <c r="BK59" s="20">
        <f>1 - Audit[[#This Row],[K-M P Value]]</f>
        <v>0</v>
      </c>
      <c r="BL59" s="18" t="str">
        <f>IF(Audit[[#This Row],[K-M P Value]]&gt;1-'General Info'!$B$12,"Continue", "Stop")</f>
        <v>Continue</v>
      </c>
      <c r="BM59" s="23" t="b">
        <f>IF(Audit[[#This Row],[Status - Continue or stop audit]] = "Continue", TRUE, IF(BL58 = "Continue", TRUE, FALSE))</f>
        <v>1</v>
      </c>
      <c r="BN59" s="23"/>
    </row>
    <row r="60" spans="1:66" ht="15" hidden="1" customHeight="1" x14ac:dyDescent="0.35">
      <c r="A60" s="18" t="str">
        <f>'Sampling Data'!AI60</f>
        <v/>
      </c>
      <c r="B60" s="18" t="str">
        <f>'Sampling Data'!A60</f>
        <v>0705 CIN 7-E   (AV)</v>
      </c>
      <c r="C60" s="18">
        <f>'Sampling Data'!B60</f>
        <v>0</v>
      </c>
      <c r="D60" s="18">
        <f>'Sampling Data'!C60</f>
        <v>0</v>
      </c>
      <c r="E60" s="19">
        <f>'Sampling Data'!D60</f>
        <v>0</v>
      </c>
      <c r="F60" s="19">
        <f>'Sampling Data'!E60</f>
        <v>0</v>
      </c>
      <c r="G60" s="19">
        <f>'Sampling Data'!F60</f>
        <v>0</v>
      </c>
      <c r="H60" s="19">
        <f>'Sampling Data'!G60</f>
        <v>0</v>
      </c>
      <c r="I60" s="19">
        <f>'Sampling Data'!H60</f>
        <v>0</v>
      </c>
      <c r="J60" s="19">
        <f>'Sampling Data'!I60</f>
        <v>0</v>
      </c>
      <c r="K60" s="19">
        <f>'Sampling Data'!J60</f>
        <v>0</v>
      </c>
      <c r="L60" s="19">
        <f>'Sampling Data'!K60</f>
        <v>0</v>
      </c>
      <c r="M60" s="19">
        <f>'Sampling Data'!L60</f>
        <v>0</v>
      </c>
      <c r="N60" s="19">
        <f>'Sampling Data'!M60</f>
        <v>0</v>
      </c>
      <c r="O60" s="18">
        <f>'Sampling Data'!N60</f>
        <v>0</v>
      </c>
      <c r="P60" s="18">
        <f>'Sampling Data'!O60</f>
        <v>0</v>
      </c>
      <c r="Q60" s="18">
        <f>'Sampling Data'!P60</f>
        <v>0</v>
      </c>
      <c r="R60" s="18">
        <f>'Sampling Data'!AJ60</f>
        <v>0</v>
      </c>
      <c r="S60" s="112"/>
      <c r="T60" s="112"/>
      <c r="U60" s="113"/>
      <c r="V60" s="113"/>
      <c r="W60" s="112"/>
      <c r="X60" s="112"/>
      <c r="Y60" s="112"/>
      <c r="Z60" s="112"/>
      <c r="AA60" s="15"/>
      <c r="AB60" s="15"/>
      <c r="AC60" s="15"/>
      <c r="AD60" s="15"/>
      <c r="AE60" s="114" t="str">
        <f>IF(NOT(ISBLANK(Audit[[#This Row],[Audit Winning Candidate]])), Audit[[#This Row],[Audit Winning Candidate]]-Audit[[#This Row],[Winning Candidate]], "")</f>
        <v/>
      </c>
      <c r="AF60" s="18" t="str">
        <f>IF(NOT(ISBLANK(Audit[[#This Row],[Audit Losing Candidate]])), Audit[[#This Row],[Audit Losing Candidate]]-Audit[[#This Row],[Losing Candidate]], "")</f>
        <v/>
      </c>
      <c r="AG60" s="18" t="str">
        <f>IF(NOT(ISBLANK(Audit[[#This Row],[Audit Candidate 3]])), Audit[[#This Row],[Audit Candidate 3]]-Audit[[#This Row],[Candidate 3]], "")</f>
        <v/>
      </c>
      <c r="AH60" s="18" t="str">
        <f>IF(NOT(ISBLANK(Audit[[#This Row],[Audit Candidate 4]])),Audit[[#This Row],[Audit Candidate 4]]-Audit[[#This Row],[Candidate 4]], "")</f>
        <v/>
      </c>
      <c r="AI60" s="18" t="str">
        <f>IF(NOT(ISBLANK(Audit[[#This Row],[Audit Candidate 5]])), Audit[[#This Row],[Audit Candidate 5]]-Audit[[#This Row],[Candidate 5]], "")</f>
        <v/>
      </c>
      <c r="AJ60" s="18" t="str">
        <f>IF(NOT(ISBLANK(Audit[[#This Row],[Audit Candidate 6]])), Audit[[#This Row],[Audit Candidate 6]]-Audit[[#This Row],[Candidate 6]], "")</f>
        <v/>
      </c>
      <c r="AK60" s="18" t="str">
        <f>IF(NOT(ISBLANK(Audit[[#This Row],[Audit Candidate 7]])), Audit[[#This Row],[Audit Candidate 7]]-Audit[[#This Row],[Candidate 7]], "")</f>
        <v/>
      </c>
      <c r="AL60" s="18" t="str">
        <f>IF(NOT(ISBLANK(Audit[[#This Row],[Audit Candidate 8]])), Audit[[#This Row],[Audit Candidate 8]]-Audit[[#This Row],[Candidate 8]], "")</f>
        <v/>
      </c>
      <c r="AM60" s="18" t="str">
        <f>IF(NOT(ISBLANK(Audit[[#This Row],[Audit Candidate 9]])), Audit[[#This Row],[Audit Candidate 9]]-Audit[[#This Row],[Candidate 9]], "")</f>
        <v/>
      </c>
      <c r="AN60" s="18" t="str">
        <f>IF(NOT(ISBLANK(Audit[[#This Row],[Audit Candidate 10]])), Audit[[#This Row],[Audit Candidate 10]]-Audit[[#This Row],[Candidate 10]], "")</f>
        <v/>
      </c>
      <c r="AO60" s="18" t="str">
        <f>IF(NOT(ISBLANK(Audit[[#This Row],[Audit Candidate 11]])), Audit[[#This Row],[Audit Candidate 11]]-Audit[[#This Row],[Candidate 11]], "")</f>
        <v/>
      </c>
      <c r="AP60" s="18" t="str">
        <f>IF(NOT(ISBLANK(Audit[[#This Row],[Audit Candidate 12]])), Audit[[#This Row],[Audit Candidate 12]]-Audit[[#This Row],[Candidate 12]], "")</f>
        <v/>
      </c>
      <c r="AQ60" s="18">
        <f>SUMIF(Audit[[#This Row],[Difference Winner]:[Difference Candidate 12]], "&gt;0")</f>
        <v>0</v>
      </c>
      <c r="AR60" s="18">
        <f>SUM(Audit[[#This Row],[Difference Winner]:[Difference Candidate 12]])</f>
        <v>0</v>
      </c>
      <c r="AS60" s="18">
        <f>IF(Audit[[#This Row],[Times p Drawn - With Replacement]]&gt;0, IF(Audit[[#This Row],[Canceled Differences]]&lt;0, Audit[[#This Row],[Max Differences]]+ABS(Audit[[#This Row],[Canceled Differences]]), Audit[[#This Row],[Max Differences]]), 0)</f>
        <v>0</v>
      </c>
      <c r="AT60" s="18">
        <f>'Sampling Data'!AB60</f>
        <v>0</v>
      </c>
      <c r="AU60" s="18">
        <f>IF(
      SUM(Audit[[#This Row],[Audit Losing Candidate]:[Audit Candidate 12]])
      &lt;&gt;0,
      (Audit[[#This Row],[Winning Candidate]]-Audit[[#This Row],[Losing Candidate]]-(Audit[[#This Row],[Audit Winning Candidate]]-Audit[[#This Row],[Audit Losing Candidate]]))/(Audit[[#Totals],[Winning Candidate]]-Audit[[#Totals],[Losing Candidate]]),
      0
)</f>
        <v>0</v>
      </c>
      <c r="AV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8">
        <f>IF(Audit[[#This Row],[Max Relative Error (ep)]] = 0, 0, Audit[[#This Row],[Max Relative Error (ep)]]/Audit[[#This Row],[Error Bound (up) - Max. possible relative overstatement]])</f>
        <v>0</v>
      </c>
      <c r="BH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 s="18">
        <f t="shared" si="1"/>
        <v>1</v>
      </c>
      <c r="BJ60" s="18">
        <f>PRODUCT($BI$5:BI60)</f>
        <v>1</v>
      </c>
      <c r="BK60" s="20">
        <f>1 - Audit[[#This Row],[K-M P Value]]</f>
        <v>0</v>
      </c>
      <c r="BL60" s="18" t="str">
        <f>IF(Audit[[#This Row],[K-M P Value]]&gt;1-'General Info'!$B$12,"Continue", "Stop")</f>
        <v>Continue</v>
      </c>
      <c r="BM60" s="23" t="b">
        <f>IF(Audit[[#This Row],[Status - Continue or stop audit]] = "Continue", TRUE, IF(BL59 = "Continue", TRUE, FALSE))</f>
        <v>1</v>
      </c>
      <c r="BN60" s="23"/>
    </row>
    <row r="61" spans="1:66" ht="15" hidden="1" customHeight="1" x14ac:dyDescent="0.35">
      <c r="A61" s="18" t="str">
        <f>'Sampling Data'!AI61</f>
        <v/>
      </c>
      <c r="B61" s="18" t="str">
        <f>'Sampling Data'!A61</f>
        <v>0706 CIN 7-F   (AV)</v>
      </c>
      <c r="C61" s="18">
        <f>'Sampling Data'!B61</f>
        <v>0</v>
      </c>
      <c r="D61" s="18">
        <f>'Sampling Data'!C61</f>
        <v>1</v>
      </c>
      <c r="E61" s="19">
        <f>'Sampling Data'!D61</f>
        <v>0</v>
      </c>
      <c r="F61" s="19">
        <f>'Sampling Data'!E61</f>
        <v>0</v>
      </c>
      <c r="G61" s="19">
        <f>'Sampling Data'!F61</f>
        <v>0</v>
      </c>
      <c r="H61" s="19">
        <f>'Sampling Data'!G61</f>
        <v>0</v>
      </c>
      <c r="I61" s="19">
        <f>'Sampling Data'!H61</f>
        <v>0</v>
      </c>
      <c r="J61" s="19">
        <f>'Sampling Data'!I61</f>
        <v>0</v>
      </c>
      <c r="K61" s="19">
        <f>'Sampling Data'!J61</f>
        <v>0</v>
      </c>
      <c r="L61" s="19">
        <f>'Sampling Data'!K61</f>
        <v>0</v>
      </c>
      <c r="M61" s="19">
        <f>'Sampling Data'!L61</f>
        <v>0</v>
      </c>
      <c r="N61" s="19">
        <f>'Sampling Data'!M61</f>
        <v>0</v>
      </c>
      <c r="O61" s="18">
        <f>'Sampling Data'!N61</f>
        <v>0</v>
      </c>
      <c r="P61" s="18">
        <f>'Sampling Data'!O61</f>
        <v>0</v>
      </c>
      <c r="Q61" s="18">
        <f>'Sampling Data'!P61</f>
        <v>1</v>
      </c>
      <c r="R61" s="18">
        <f>'Sampling Data'!AJ61</f>
        <v>0</v>
      </c>
      <c r="S61" s="112"/>
      <c r="T61" s="112"/>
      <c r="U61" s="113"/>
      <c r="V61" s="113"/>
      <c r="W61" s="112"/>
      <c r="X61" s="112"/>
      <c r="Y61" s="112"/>
      <c r="Z61" s="112"/>
      <c r="AA61" s="15"/>
      <c r="AB61" s="15"/>
      <c r="AC61" s="15"/>
      <c r="AD61" s="15"/>
      <c r="AE61" s="114" t="str">
        <f>IF(NOT(ISBLANK(Audit[[#This Row],[Audit Winning Candidate]])), Audit[[#This Row],[Audit Winning Candidate]]-Audit[[#This Row],[Winning Candidate]], "")</f>
        <v/>
      </c>
      <c r="AF61" s="18" t="str">
        <f>IF(NOT(ISBLANK(Audit[[#This Row],[Audit Losing Candidate]])), Audit[[#This Row],[Audit Losing Candidate]]-Audit[[#This Row],[Losing Candidate]], "")</f>
        <v/>
      </c>
      <c r="AG61" s="18" t="str">
        <f>IF(NOT(ISBLANK(Audit[[#This Row],[Audit Candidate 3]])), Audit[[#This Row],[Audit Candidate 3]]-Audit[[#This Row],[Candidate 3]], "")</f>
        <v/>
      </c>
      <c r="AH61" s="18" t="str">
        <f>IF(NOT(ISBLANK(Audit[[#This Row],[Audit Candidate 4]])),Audit[[#This Row],[Audit Candidate 4]]-Audit[[#This Row],[Candidate 4]], "")</f>
        <v/>
      </c>
      <c r="AI61" s="18" t="str">
        <f>IF(NOT(ISBLANK(Audit[[#This Row],[Audit Candidate 5]])), Audit[[#This Row],[Audit Candidate 5]]-Audit[[#This Row],[Candidate 5]], "")</f>
        <v/>
      </c>
      <c r="AJ61" s="18" t="str">
        <f>IF(NOT(ISBLANK(Audit[[#This Row],[Audit Candidate 6]])), Audit[[#This Row],[Audit Candidate 6]]-Audit[[#This Row],[Candidate 6]], "")</f>
        <v/>
      </c>
      <c r="AK61" s="18" t="str">
        <f>IF(NOT(ISBLANK(Audit[[#This Row],[Audit Candidate 7]])), Audit[[#This Row],[Audit Candidate 7]]-Audit[[#This Row],[Candidate 7]], "")</f>
        <v/>
      </c>
      <c r="AL61" s="18" t="str">
        <f>IF(NOT(ISBLANK(Audit[[#This Row],[Audit Candidate 8]])), Audit[[#This Row],[Audit Candidate 8]]-Audit[[#This Row],[Candidate 8]], "")</f>
        <v/>
      </c>
      <c r="AM61" s="18" t="str">
        <f>IF(NOT(ISBLANK(Audit[[#This Row],[Audit Candidate 9]])), Audit[[#This Row],[Audit Candidate 9]]-Audit[[#This Row],[Candidate 9]], "")</f>
        <v/>
      </c>
      <c r="AN61" s="18" t="str">
        <f>IF(NOT(ISBLANK(Audit[[#This Row],[Audit Candidate 10]])), Audit[[#This Row],[Audit Candidate 10]]-Audit[[#This Row],[Candidate 10]], "")</f>
        <v/>
      </c>
      <c r="AO61" s="18" t="str">
        <f>IF(NOT(ISBLANK(Audit[[#This Row],[Audit Candidate 11]])), Audit[[#This Row],[Audit Candidate 11]]-Audit[[#This Row],[Candidate 11]], "")</f>
        <v/>
      </c>
      <c r="AP61" s="18" t="str">
        <f>IF(NOT(ISBLANK(Audit[[#This Row],[Audit Candidate 12]])), Audit[[#This Row],[Audit Candidate 12]]-Audit[[#This Row],[Candidate 12]], "")</f>
        <v/>
      </c>
      <c r="AQ61" s="18">
        <f>SUMIF(Audit[[#This Row],[Difference Winner]:[Difference Candidate 12]], "&gt;0")</f>
        <v>0</v>
      </c>
      <c r="AR61" s="18">
        <f>SUM(Audit[[#This Row],[Difference Winner]:[Difference Candidate 12]])</f>
        <v>0</v>
      </c>
      <c r="AS61" s="18">
        <f>IF(Audit[[#This Row],[Times p Drawn - With Replacement]]&gt;0, IF(Audit[[#This Row],[Canceled Differences]]&lt;0, Audit[[#This Row],[Max Differences]]+ABS(Audit[[#This Row],[Canceled Differences]]), Audit[[#This Row],[Max Differences]]), 0)</f>
        <v>0</v>
      </c>
      <c r="AT61" s="18">
        <f>'Sampling Data'!AB61</f>
        <v>0</v>
      </c>
      <c r="AU61" s="18">
        <f>IF(
      SUM(Audit[[#This Row],[Audit Losing Candidate]:[Audit Candidate 12]])
      &lt;&gt;0,
      (Audit[[#This Row],[Winning Candidate]]-Audit[[#This Row],[Losing Candidate]]-(Audit[[#This Row],[Audit Winning Candidate]]-Audit[[#This Row],[Audit Losing Candidate]]))/(Audit[[#Totals],[Winning Candidate]]-Audit[[#Totals],[Losing Candidate]]),
      0
)</f>
        <v>0</v>
      </c>
      <c r="AV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8">
        <f>IF(Audit[[#This Row],[Max Relative Error (ep)]] = 0, 0, Audit[[#This Row],[Max Relative Error (ep)]]/Audit[[#This Row],[Error Bound (up) - Max. possible relative overstatement]])</f>
        <v>0</v>
      </c>
      <c r="BH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 s="18">
        <f t="shared" si="1"/>
        <v>1</v>
      </c>
      <c r="BJ61" s="18">
        <f>PRODUCT($BI$5:BI61)</f>
        <v>1</v>
      </c>
      <c r="BK61" s="20">
        <f>1 - Audit[[#This Row],[K-M P Value]]</f>
        <v>0</v>
      </c>
      <c r="BL61" s="18" t="str">
        <f>IF(Audit[[#This Row],[K-M P Value]]&gt;1-'General Info'!$B$12,"Continue", "Stop")</f>
        <v>Continue</v>
      </c>
      <c r="BM61" s="23" t="b">
        <f>IF(Audit[[#This Row],[Status - Continue or stop audit]] = "Continue", TRUE, IF(BL60 = "Continue", TRUE, FALSE))</f>
        <v>1</v>
      </c>
      <c r="BN61" s="23"/>
    </row>
    <row r="62" spans="1:66" ht="15" hidden="1" customHeight="1" x14ac:dyDescent="0.35">
      <c r="A62" s="18" t="str">
        <f>'Sampling Data'!AI62</f>
        <v/>
      </c>
      <c r="B62" s="18" t="str">
        <f>'Sampling Data'!A62</f>
        <v>0707 CIN 7-G   (AV)</v>
      </c>
      <c r="C62" s="18">
        <f>'Sampling Data'!B62</f>
        <v>1</v>
      </c>
      <c r="D62" s="18">
        <f>'Sampling Data'!C62</f>
        <v>2</v>
      </c>
      <c r="E62" s="19">
        <f>'Sampling Data'!D62</f>
        <v>0</v>
      </c>
      <c r="F62" s="19">
        <f>'Sampling Data'!E62</f>
        <v>0</v>
      </c>
      <c r="G62" s="19">
        <f>'Sampling Data'!F62</f>
        <v>0</v>
      </c>
      <c r="H62" s="19">
        <f>'Sampling Data'!G62</f>
        <v>0</v>
      </c>
      <c r="I62" s="19">
        <f>'Sampling Data'!H62</f>
        <v>0</v>
      </c>
      <c r="J62" s="19">
        <f>'Sampling Data'!I62</f>
        <v>0</v>
      </c>
      <c r="K62" s="19">
        <f>'Sampling Data'!J62</f>
        <v>0</v>
      </c>
      <c r="L62" s="19">
        <f>'Sampling Data'!K62</f>
        <v>0</v>
      </c>
      <c r="M62" s="19">
        <f>'Sampling Data'!L62</f>
        <v>0</v>
      </c>
      <c r="N62" s="19">
        <f>'Sampling Data'!M62</f>
        <v>0</v>
      </c>
      <c r="O62" s="18">
        <f>'Sampling Data'!N62</f>
        <v>0</v>
      </c>
      <c r="P62" s="18">
        <f>'Sampling Data'!O62</f>
        <v>1</v>
      </c>
      <c r="Q62" s="18">
        <f>'Sampling Data'!P62</f>
        <v>4</v>
      </c>
      <c r="R62" s="18">
        <f>'Sampling Data'!AJ62</f>
        <v>0</v>
      </c>
      <c r="S62" s="112"/>
      <c r="T62" s="112"/>
      <c r="U62" s="113"/>
      <c r="V62" s="113"/>
      <c r="W62" s="112"/>
      <c r="X62" s="112"/>
      <c r="Y62" s="112"/>
      <c r="Z62" s="112"/>
      <c r="AA62" s="15"/>
      <c r="AB62" s="15"/>
      <c r="AC62" s="15"/>
      <c r="AD62" s="15"/>
      <c r="AE62" s="114" t="str">
        <f>IF(NOT(ISBLANK(Audit[[#This Row],[Audit Winning Candidate]])), Audit[[#This Row],[Audit Winning Candidate]]-Audit[[#This Row],[Winning Candidate]], "")</f>
        <v/>
      </c>
      <c r="AF62" s="18" t="str">
        <f>IF(NOT(ISBLANK(Audit[[#This Row],[Audit Losing Candidate]])), Audit[[#This Row],[Audit Losing Candidate]]-Audit[[#This Row],[Losing Candidate]], "")</f>
        <v/>
      </c>
      <c r="AG62" s="18" t="str">
        <f>IF(NOT(ISBLANK(Audit[[#This Row],[Audit Candidate 3]])), Audit[[#This Row],[Audit Candidate 3]]-Audit[[#This Row],[Candidate 3]], "")</f>
        <v/>
      </c>
      <c r="AH62" s="18" t="str">
        <f>IF(NOT(ISBLANK(Audit[[#This Row],[Audit Candidate 4]])),Audit[[#This Row],[Audit Candidate 4]]-Audit[[#This Row],[Candidate 4]], "")</f>
        <v/>
      </c>
      <c r="AI62" s="18" t="str">
        <f>IF(NOT(ISBLANK(Audit[[#This Row],[Audit Candidate 5]])), Audit[[#This Row],[Audit Candidate 5]]-Audit[[#This Row],[Candidate 5]], "")</f>
        <v/>
      </c>
      <c r="AJ62" s="18" t="str">
        <f>IF(NOT(ISBLANK(Audit[[#This Row],[Audit Candidate 6]])), Audit[[#This Row],[Audit Candidate 6]]-Audit[[#This Row],[Candidate 6]], "")</f>
        <v/>
      </c>
      <c r="AK62" s="18" t="str">
        <f>IF(NOT(ISBLANK(Audit[[#This Row],[Audit Candidate 7]])), Audit[[#This Row],[Audit Candidate 7]]-Audit[[#This Row],[Candidate 7]], "")</f>
        <v/>
      </c>
      <c r="AL62" s="18" t="str">
        <f>IF(NOT(ISBLANK(Audit[[#This Row],[Audit Candidate 8]])), Audit[[#This Row],[Audit Candidate 8]]-Audit[[#This Row],[Candidate 8]], "")</f>
        <v/>
      </c>
      <c r="AM62" s="18" t="str">
        <f>IF(NOT(ISBLANK(Audit[[#This Row],[Audit Candidate 9]])), Audit[[#This Row],[Audit Candidate 9]]-Audit[[#This Row],[Candidate 9]], "")</f>
        <v/>
      </c>
      <c r="AN62" s="18" t="str">
        <f>IF(NOT(ISBLANK(Audit[[#This Row],[Audit Candidate 10]])), Audit[[#This Row],[Audit Candidate 10]]-Audit[[#This Row],[Candidate 10]], "")</f>
        <v/>
      </c>
      <c r="AO62" s="18" t="str">
        <f>IF(NOT(ISBLANK(Audit[[#This Row],[Audit Candidate 11]])), Audit[[#This Row],[Audit Candidate 11]]-Audit[[#This Row],[Candidate 11]], "")</f>
        <v/>
      </c>
      <c r="AP62" s="18" t="str">
        <f>IF(NOT(ISBLANK(Audit[[#This Row],[Audit Candidate 12]])), Audit[[#This Row],[Audit Candidate 12]]-Audit[[#This Row],[Candidate 12]], "")</f>
        <v/>
      </c>
      <c r="AQ62" s="18">
        <f>SUMIF(Audit[[#This Row],[Difference Winner]:[Difference Candidate 12]], "&gt;0")</f>
        <v>0</v>
      </c>
      <c r="AR62" s="18">
        <f>SUM(Audit[[#This Row],[Difference Winner]:[Difference Candidate 12]])</f>
        <v>0</v>
      </c>
      <c r="AS62" s="18">
        <f>IF(Audit[[#This Row],[Times p Drawn - With Replacement]]&gt;0, IF(Audit[[#This Row],[Canceled Differences]]&lt;0, Audit[[#This Row],[Max Differences]]+ABS(Audit[[#This Row],[Canceled Differences]]), Audit[[#This Row],[Max Differences]]), 0)</f>
        <v>0</v>
      </c>
      <c r="AT62" s="18">
        <f>'Sampling Data'!AB62</f>
        <v>9.4229983980902721E-5</v>
      </c>
      <c r="AU62" s="18">
        <f>IF(
      SUM(Audit[[#This Row],[Audit Losing Candidate]:[Audit Candidate 12]])
      &lt;&gt;0,
      (Audit[[#This Row],[Winning Candidate]]-Audit[[#This Row],[Losing Candidate]]-(Audit[[#This Row],[Audit Winning Candidate]]-Audit[[#This Row],[Audit Losing Candidate]]))/(Audit[[#Totals],[Winning Candidate]]-Audit[[#Totals],[Losing Candidate]]),
      0
)</f>
        <v>0</v>
      </c>
      <c r="AV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8">
        <f>IF(Audit[[#This Row],[Max Relative Error (ep)]] = 0, 0, Audit[[#This Row],[Max Relative Error (ep)]]/Audit[[#This Row],[Error Bound (up) - Max. possible relative overstatement]])</f>
        <v>0</v>
      </c>
      <c r="BH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 s="18">
        <f t="shared" si="1"/>
        <v>1</v>
      </c>
      <c r="BJ62" s="18">
        <f>PRODUCT($BI$5:BI62)</f>
        <v>1</v>
      </c>
      <c r="BK62" s="20">
        <f>1 - Audit[[#This Row],[K-M P Value]]</f>
        <v>0</v>
      </c>
      <c r="BL62" s="18" t="str">
        <f>IF(Audit[[#This Row],[K-M P Value]]&gt;1-'General Info'!$B$12,"Continue", "Stop")</f>
        <v>Continue</v>
      </c>
      <c r="BM62" s="23" t="b">
        <f>IF(Audit[[#This Row],[Status - Continue or stop audit]] = "Continue", TRUE, IF(BL61 = "Continue", TRUE, FALSE))</f>
        <v>1</v>
      </c>
      <c r="BN62" s="23"/>
    </row>
    <row r="63" spans="1:66" ht="15" hidden="1" customHeight="1" x14ac:dyDescent="0.35">
      <c r="A63" s="18" t="str">
        <f>'Sampling Data'!AI63</f>
        <v/>
      </c>
      <c r="B63" s="18" t="str">
        <f>'Sampling Data'!A63</f>
        <v>0708 CIN 7-H   (AV)</v>
      </c>
      <c r="C63" s="18">
        <f>'Sampling Data'!B63</f>
        <v>0</v>
      </c>
      <c r="D63" s="18">
        <f>'Sampling Data'!C63</f>
        <v>0</v>
      </c>
      <c r="E63" s="19">
        <f>'Sampling Data'!D63</f>
        <v>0</v>
      </c>
      <c r="F63" s="19">
        <f>'Sampling Data'!E63</f>
        <v>0</v>
      </c>
      <c r="G63" s="19">
        <f>'Sampling Data'!F63</f>
        <v>0</v>
      </c>
      <c r="H63" s="19">
        <f>'Sampling Data'!G63</f>
        <v>0</v>
      </c>
      <c r="I63" s="19">
        <f>'Sampling Data'!H63</f>
        <v>0</v>
      </c>
      <c r="J63" s="19">
        <f>'Sampling Data'!I63</f>
        <v>0</v>
      </c>
      <c r="K63" s="19">
        <f>'Sampling Data'!J63</f>
        <v>0</v>
      </c>
      <c r="L63" s="19">
        <f>'Sampling Data'!K63</f>
        <v>0</v>
      </c>
      <c r="M63" s="19">
        <f>'Sampling Data'!L63</f>
        <v>0</v>
      </c>
      <c r="N63" s="19">
        <f>'Sampling Data'!M63</f>
        <v>0</v>
      </c>
      <c r="O63" s="18">
        <f>'Sampling Data'!N63</f>
        <v>0</v>
      </c>
      <c r="P63" s="18">
        <f>'Sampling Data'!O63</f>
        <v>0</v>
      </c>
      <c r="Q63" s="18">
        <f>'Sampling Data'!P63</f>
        <v>0</v>
      </c>
      <c r="R63" s="18">
        <f>'Sampling Data'!AJ63</f>
        <v>0</v>
      </c>
      <c r="S63" s="112"/>
      <c r="T63" s="112"/>
      <c r="U63" s="113"/>
      <c r="V63" s="113"/>
      <c r="W63" s="112"/>
      <c r="X63" s="112"/>
      <c r="Y63" s="112"/>
      <c r="Z63" s="112"/>
      <c r="AA63" s="15"/>
      <c r="AB63" s="15"/>
      <c r="AC63" s="15"/>
      <c r="AD63" s="15"/>
      <c r="AE63" s="114" t="str">
        <f>IF(NOT(ISBLANK(Audit[[#This Row],[Audit Winning Candidate]])), Audit[[#This Row],[Audit Winning Candidate]]-Audit[[#This Row],[Winning Candidate]], "")</f>
        <v/>
      </c>
      <c r="AF63" s="18" t="str">
        <f>IF(NOT(ISBLANK(Audit[[#This Row],[Audit Losing Candidate]])), Audit[[#This Row],[Audit Losing Candidate]]-Audit[[#This Row],[Losing Candidate]], "")</f>
        <v/>
      </c>
      <c r="AG63" s="18" t="str">
        <f>IF(NOT(ISBLANK(Audit[[#This Row],[Audit Candidate 3]])), Audit[[#This Row],[Audit Candidate 3]]-Audit[[#This Row],[Candidate 3]], "")</f>
        <v/>
      </c>
      <c r="AH63" s="18" t="str">
        <f>IF(NOT(ISBLANK(Audit[[#This Row],[Audit Candidate 4]])),Audit[[#This Row],[Audit Candidate 4]]-Audit[[#This Row],[Candidate 4]], "")</f>
        <v/>
      </c>
      <c r="AI63" s="18" t="str">
        <f>IF(NOT(ISBLANK(Audit[[#This Row],[Audit Candidate 5]])), Audit[[#This Row],[Audit Candidate 5]]-Audit[[#This Row],[Candidate 5]], "")</f>
        <v/>
      </c>
      <c r="AJ63" s="18" t="str">
        <f>IF(NOT(ISBLANK(Audit[[#This Row],[Audit Candidate 6]])), Audit[[#This Row],[Audit Candidate 6]]-Audit[[#This Row],[Candidate 6]], "")</f>
        <v/>
      </c>
      <c r="AK63" s="18" t="str">
        <f>IF(NOT(ISBLANK(Audit[[#This Row],[Audit Candidate 7]])), Audit[[#This Row],[Audit Candidate 7]]-Audit[[#This Row],[Candidate 7]], "")</f>
        <v/>
      </c>
      <c r="AL63" s="18" t="str">
        <f>IF(NOT(ISBLANK(Audit[[#This Row],[Audit Candidate 8]])), Audit[[#This Row],[Audit Candidate 8]]-Audit[[#This Row],[Candidate 8]], "")</f>
        <v/>
      </c>
      <c r="AM63" s="18" t="str">
        <f>IF(NOT(ISBLANK(Audit[[#This Row],[Audit Candidate 9]])), Audit[[#This Row],[Audit Candidate 9]]-Audit[[#This Row],[Candidate 9]], "")</f>
        <v/>
      </c>
      <c r="AN63" s="18" t="str">
        <f>IF(NOT(ISBLANK(Audit[[#This Row],[Audit Candidate 10]])), Audit[[#This Row],[Audit Candidate 10]]-Audit[[#This Row],[Candidate 10]], "")</f>
        <v/>
      </c>
      <c r="AO63" s="18" t="str">
        <f>IF(NOT(ISBLANK(Audit[[#This Row],[Audit Candidate 11]])), Audit[[#This Row],[Audit Candidate 11]]-Audit[[#This Row],[Candidate 11]], "")</f>
        <v/>
      </c>
      <c r="AP63" s="18" t="str">
        <f>IF(NOT(ISBLANK(Audit[[#This Row],[Audit Candidate 12]])), Audit[[#This Row],[Audit Candidate 12]]-Audit[[#This Row],[Candidate 12]], "")</f>
        <v/>
      </c>
      <c r="AQ63" s="18">
        <f>SUMIF(Audit[[#This Row],[Difference Winner]:[Difference Candidate 12]], "&gt;0")</f>
        <v>0</v>
      </c>
      <c r="AR63" s="18">
        <f>SUM(Audit[[#This Row],[Difference Winner]:[Difference Candidate 12]])</f>
        <v>0</v>
      </c>
      <c r="AS63" s="18">
        <f>IF(Audit[[#This Row],[Times p Drawn - With Replacement]]&gt;0, IF(Audit[[#This Row],[Canceled Differences]]&lt;0, Audit[[#This Row],[Max Differences]]+ABS(Audit[[#This Row],[Canceled Differences]]), Audit[[#This Row],[Max Differences]]), 0)</f>
        <v>0</v>
      </c>
      <c r="AT63" s="18">
        <f>'Sampling Data'!AB63</f>
        <v>0</v>
      </c>
      <c r="AU63" s="18">
        <f>IF(
      SUM(Audit[[#This Row],[Audit Losing Candidate]:[Audit Candidate 12]])
      &lt;&gt;0,
      (Audit[[#This Row],[Winning Candidate]]-Audit[[#This Row],[Losing Candidate]]-(Audit[[#This Row],[Audit Winning Candidate]]-Audit[[#This Row],[Audit Losing Candidate]]))/(Audit[[#Totals],[Winning Candidate]]-Audit[[#Totals],[Losing Candidate]]),
      0
)</f>
        <v>0</v>
      </c>
      <c r="AV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8">
        <f>IF(Audit[[#This Row],[Max Relative Error (ep)]] = 0, 0, Audit[[#This Row],[Max Relative Error (ep)]]/Audit[[#This Row],[Error Bound (up) - Max. possible relative overstatement]])</f>
        <v>0</v>
      </c>
      <c r="BH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 s="18">
        <f t="shared" si="1"/>
        <v>1</v>
      </c>
      <c r="BJ63" s="18">
        <f>PRODUCT($BI$5:BI63)</f>
        <v>1</v>
      </c>
      <c r="BK63" s="20">
        <f>1 - Audit[[#This Row],[K-M P Value]]</f>
        <v>0</v>
      </c>
      <c r="BL63" s="18" t="str">
        <f>IF(Audit[[#This Row],[K-M P Value]]&gt;1-'General Info'!$B$12,"Continue", "Stop")</f>
        <v>Continue</v>
      </c>
      <c r="BM63" s="23" t="b">
        <f>IF(Audit[[#This Row],[Status - Continue or stop audit]] = "Continue", TRUE, IF(BL62 = "Continue", TRUE, FALSE))</f>
        <v>1</v>
      </c>
      <c r="BN63" s="23"/>
    </row>
    <row r="64" spans="1:66" ht="15" hidden="1" customHeight="1" x14ac:dyDescent="0.35">
      <c r="A64" s="18" t="str">
        <f>'Sampling Data'!AI64</f>
        <v/>
      </c>
      <c r="B64" s="18" t="str">
        <f>'Sampling Data'!A64</f>
        <v>0709 CIN 7-I   (AV)</v>
      </c>
      <c r="C64" s="18">
        <f>'Sampling Data'!B64</f>
        <v>8</v>
      </c>
      <c r="D64" s="18">
        <f>'Sampling Data'!C64</f>
        <v>0</v>
      </c>
      <c r="E64" s="19">
        <f>'Sampling Data'!D64</f>
        <v>0</v>
      </c>
      <c r="F64" s="19">
        <f>'Sampling Data'!E64</f>
        <v>0</v>
      </c>
      <c r="G64" s="19">
        <f>'Sampling Data'!F64</f>
        <v>0</v>
      </c>
      <c r="H64" s="19">
        <f>'Sampling Data'!G64</f>
        <v>0</v>
      </c>
      <c r="I64" s="19">
        <f>'Sampling Data'!H64</f>
        <v>0</v>
      </c>
      <c r="J64" s="19">
        <f>'Sampling Data'!I64</f>
        <v>0</v>
      </c>
      <c r="K64" s="19">
        <f>'Sampling Data'!J64</f>
        <v>0</v>
      </c>
      <c r="L64" s="19">
        <f>'Sampling Data'!K64</f>
        <v>0</v>
      </c>
      <c r="M64" s="19">
        <f>'Sampling Data'!L64</f>
        <v>0</v>
      </c>
      <c r="N64" s="19">
        <f>'Sampling Data'!M64</f>
        <v>0</v>
      </c>
      <c r="O64" s="18">
        <f>'Sampling Data'!N64</f>
        <v>0</v>
      </c>
      <c r="P64" s="18">
        <f>'Sampling Data'!O64</f>
        <v>1</v>
      </c>
      <c r="Q64" s="18">
        <f>'Sampling Data'!P64</f>
        <v>9</v>
      </c>
      <c r="R64" s="18">
        <f>'Sampling Data'!AJ64</f>
        <v>0</v>
      </c>
      <c r="S64" s="112"/>
      <c r="T64" s="112"/>
      <c r="U64" s="113"/>
      <c r="V64" s="113"/>
      <c r="W64" s="112"/>
      <c r="X64" s="112"/>
      <c r="Y64" s="112"/>
      <c r="Z64" s="112"/>
      <c r="AA64" s="15"/>
      <c r="AB64" s="15"/>
      <c r="AC64" s="15"/>
      <c r="AD64" s="15"/>
      <c r="AE64" s="114" t="str">
        <f>IF(NOT(ISBLANK(Audit[[#This Row],[Audit Winning Candidate]])), Audit[[#This Row],[Audit Winning Candidate]]-Audit[[#This Row],[Winning Candidate]], "")</f>
        <v/>
      </c>
      <c r="AF64" s="18" t="str">
        <f>IF(NOT(ISBLANK(Audit[[#This Row],[Audit Losing Candidate]])), Audit[[#This Row],[Audit Losing Candidate]]-Audit[[#This Row],[Losing Candidate]], "")</f>
        <v/>
      </c>
      <c r="AG64" s="18" t="str">
        <f>IF(NOT(ISBLANK(Audit[[#This Row],[Audit Candidate 3]])), Audit[[#This Row],[Audit Candidate 3]]-Audit[[#This Row],[Candidate 3]], "")</f>
        <v/>
      </c>
      <c r="AH64" s="18" t="str">
        <f>IF(NOT(ISBLANK(Audit[[#This Row],[Audit Candidate 4]])),Audit[[#This Row],[Audit Candidate 4]]-Audit[[#This Row],[Candidate 4]], "")</f>
        <v/>
      </c>
      <c r="AI64" s="18" t="str">
        <f>IF(NOT(ISBLANK(Audit[[#This Row],[Audit Candidate 5]])), Audit[[#This Row],[Audit Candidate 5]]-Audit[[#This Row],[Candidate 5]], "")</f>
        <v/>
      </c>
      <c r="AJ64" s="18" t="str">
        <f>IF(NOT(ISBLANK(Audit[[#This Row],[Audit Candidate 6]])), Audit[[#This Row],[Audit Candidate 6]]-Audit[[#This Row],[Candidate 6]], "")</f>
        <v/>
      </c>
      <c r="AK64" s="18" t="str">
        <f>IF(NOT(ISBLANK(Audit[[#This Row],[Audit Candidate 7]])), Audit[[#This Row],[Audit Candidate 7]]-Audit[[#This Row],[Candidate 7]], "")</f>
        <v/>
      </c>
      <c r="AL64" s="18" t="str">
        <f>IF(NOT(ISBLANK(Audit[[#This Row],[Audit Candidate 8]])), Audit[[#This Row],[Audit Candidate 8]]-Audit[[#This Row],[Candidate 8]], "")</f>
        <v/>
      </c>
      <c r="AM64" s="18" t="str">
        <f>IF(NOT(ISBLANK(Audit[[#This Row],[Audit Candidate 9]])), Audit[[#This Row],[Audit Candidate 9]]-Audit[[#This Row],[Candidate 9]], "")</f>
        <v/>
      </c>
      <c r="AN64" s="18" t="str">
        <f>IF(NOT(ISBLANK(Audit[[#This Row],[Audit Candidate 10]])), Audit[[#This Row],[Audit Candidate 10]]-Audit[[#This Row],[Candidate 10]], "")</f>
        <v/>
      </c>
      <c r="AO64" s="18" t="str">
        <f>IF(NOT(ISBLANK(Audit[[#This Row],[Audit Candidate 11]])), Audit[[#This Row],[Audit Candidate 11]]-Audit[[#This Row],[Candidate 11]], "")</f>
        <v/>
      </c>
      <c r="AP64" s="18" t="str">
        <f>IF(NOT(ISBLANK(Audit[[#This Row],[Audit Candidate 12]])), Audit[[#This Row],[Audit Candidate 12]]-Audit[[#This Row],[Candidate 12]], "")</f>
        <v/>
      </c>
      <c r="AQ64" s="18">
        <f>SUMIF(Audit[[#This Row],[Difference Winner]:[Difference Candidate 12]], "&gt;0")</f>
        <v>0</v>
      </c>
      <c r="AR64" s="18">
        <f>SUM(Audit[[#This Row],[Difference Winner]:[Difference Candidate 12]])</f>
        <v>0</v>
      </c>
      <c r="AS64" s="18">
        <f>IF(Audit[[#This Row],[Times p Drawn - With Replacement]]&gt;0, IF(Audit[[#This Row],[Canceled Differences]]&lt;0, Audit[[#This Row],[Max Differences]]+ABS(Audit[[#This Row],[Canceled Differences]]), Audit[[#This Row],[Max Differences]]), 0)</f>
        <v>0</v>
      </c>
      <c r="AT64" s="18">
        <f>'Sampling Data'!AB64</f>
        <v>5.3396990922511547E-4</v>
      </c>
      <c r="AU64" s="18">
        <f>IF(
      SUM(Audit[[#This Row],[Audit Losing Candidate]:[Audit Candidate 12]])
      &lt;&gt;0,
      (Audit[[#This Row],[Winning Candidate]]-Audit[[#This Row],[Losing Candidate]]-(Audit[[#This Row],[Audit Winning Candidate]]-Audit[[#This Row],[Audit Losing Candidate]]))/(Audit[[#Totals],[Winning Candidate]]-Audit[[#Totals],[Losing Candidate]]),
      0
)</f>
        <v>0</v>
      </c>
      <c r="AV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8">
        <f>IF(Audit[[#This Row],[Max Relative Error (ep)]] = 0, 0, Audit[[#This Row],[Max Relative Error (ep)]]/Audit[[#This Row],[Error Bound (up) - Max. possible relative overstatement]])</f>
        <v>0</v>
      </c>
      <c r="BH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 s="18">
        <f t="shared" si="1"/>
        <v>1</v>
      </c>
      <c r="BJ64" s="18">
        <f>PRODUCT($BI$5:BI64)</f>
        <v>1</v>
      </c>
      <c r="BK64" s="20">
        <f>1 - Audit[[#This Row],[K-M P Value]]</f>
        <v>0</v>
      </c>
      <c r="BL64" s="18" t="str">
        <f>IF(Audit[[#This Row],[K-M P Value]]&gt;1-'General Info'!$B$12,"Continue", "Stop")</f>
        <v>Continue</v>
      </c>
      <c r="BM64" s="23" t="b">
        <f>IF(Audit[[#This Row],[Status - Continue or stop audit]] = "Continue", TRUE, IF(BL63 = "Continue", TRUE, FALSE))</f>
        <v>1</v>
      </c>
      <c r="BN64" s="23"/>
    </row>
    <row r="65" spans="1:66" ht="15" hidden="1" customHeight="1" x14ac:dyDescent="0.35">
      <c r="A65" s="18" t="str">
        <f>'Sampling Data'!AI65</f>
        <v/>
      </c>
      <c r="B65" s="18" t="str">
        <f>'Sampling Data'!A65</f>
        <v>0710 CIN 7-J   (AV)</v>
      </c>
      <c r="C65" s="18">
        <f>'Sampling Data'!B65</f>
        <v>0</v>
      </c>
      <c r="D65" s="18">
        <f>'Sampling Data'!C65</f>
        <v>0</v>
      </c>
      <c r="E65" s="19">
        <f>'Sampling Data'!D65</f>
        <v>0</v>
      </c>
      <c r="F65" s="19">
        <f>'Sampling Data'!E65</f>
        <v>0</v>
      </c>
      <c r="G65" s="19">
        <f>'Sampling Data'!F65</f>
        <v>0</v>
      </c>
      <c r="H65" s="19">
        <f>'Sampling Data'!G65</f>
        <v>0</v>
      </c>
      <c r="I65" s="19">
        <f>'Sampling Data'!H65</f>
        <v>0</v>
      </c>
      <c r="J65" s="19">
        <f>'Sampling Data'!I65</f>
        <v>0</v>
      </c>
      <c r="K65" s="19">
        <f>'Sampling Data'!J65</f>
        <v>0</v>
      </c>
      <c r="L65" s="19">
        <f>'Sampling Data'!K65</f>
        <v>0</v>
      </c>
      <c r="M65" s="19">
        <f>'Sampling Data'!L65</f>
        <v>0</v>
      </c>
      <c r="N65" s="19">
        <f>'Sampling Data'!M65</f>
        <v>0</v>
      </c>
      <c r="O65" s="18">
        <f>'Sampling Data'!N65</f>
        <v>0</v>
      </c>
      <c r="P65" s="18">
        <f>'Sampling Data'!O65</f>
        <v>0</v>
      </c>
      <c r="Q65" s="18">
        <f>'Sampling Data'!P65</f>
        <v>0</v>
      </c>
      <c r="R65" s="18">
        <f>'Sampling Data'!AJ65</f>
        <v>0</v>
      </c>
      <c r="S65" s="112"/>
      <c r="T65" s="112"/>
      <c r="U65" s="113"/>
      <c r="V65" s="113"/>
      <c r="W65" s="112"/>
      <c r="X65" s="112"/>
      <c r="Y65" s="112"/>
      <c r="Z65" s="112"/>
      <c r="AA65" s="15"/>
      <c r="AB65" s="15"/>
      <c r="AC65" s="15"/>
      <c r="AD65" s="15"/>
      <c r="AE65" s="114" t="str">
        <f>IF(NOT(ISBLANK(Audit[[#This Row],[Audit Winning Candidate]])), Audit[[#This Row],[Audit Winning Candidate]]-Audit[[#This Row],[Winning Candidate]], "")</f>
        <v/>
      </c>
      <c r="AF65" s="18" t="str">
        <f>IF(NOT(ISBLANK(Audit[[#This Row],[Audit Losing Candidate]])), Audit[[#This Row],[Audit Losing Candidate]]-Audit[[#This Row],[Losing Candidate]], "")</f>
        <v/>
      </c>
      <c r="AG65" s="18" t="str">
        <f>IF(NOT(ISBLANK(Audit[[#This Row],[Audit Candidate 3]])), Audit[[#This Row],[Audit Candidate 3]]-Audit[[#This Row],[Candidate 3]], "")</f>
        <v/>
      </c>
      <c r="AH65" s="18" t="str">
        <f>IF(NOT(ISBLANK(Audit[[#This Row],[Audit Candidate 4]])),Audit[[#This Row],[Audit Candidate 4]]-Audit[[#This Row],[Candidate 4]], "")</f>
        <v/>
      </c>
      <c r="AI65" s="18" t="str">
        <f>IF(NOT(ISBLANK(Audit[[#This Row],[Audit Candidate 5]])), Audit[[#This Row],[Audit Candidate 5]]-Audit[[#This Row],[Candidate 5]], "")</f>
        <v/>
      </c>
      <c r="AJ65" s="18" t="str">
        <f>IF(NOT(ISBLANK(Audit[[#This Row],[Audit Candidate 6]])), Audit[[#This Row],[Audit Candidate 6]]-Audit[[#This Row],[Candidate 6]], "")</f>
        <v/>
      </c>
      <c r="AK65" s="18" t="str">
        <f>IF(NOT(ISBLANK(Audit[[#This Row],[Audit Candidate 7]])), Audit[[#This Row],[Audit Candidate 7]]-Audit[[#This Row],[Candidate 7]], "")</f>
        <v/>
      </c>
      <c r="AL65" s="18" t="str">
        <f>IF(NOT(ISBLANK(Audit[[#This Row],[Audit Candidate 8]])), Audit[[#This Row],[Audit Candidate 8]]-Audit[[#This Row],[Candidate 8]], "")</f>
        <v/>
      </c>
      <c r="AM65" s="18" t="str">
        <f>IF(NOT(ISBLANK(Audit[[#This Row],[Audit Candidate 9]])), Audit[[#This Row],[Audit Candidate 9]]-Audit[[#This Row],[Candidate 9]], "")</f>
        <v/>
      </c>
      <c r="AN65" s="18" t="str">
        <f>IF(NOT(ISBLANK(Audit[[#This Row],[Audit Candidate 10]])), Audit[[#This Row],[Audit Candidate 10]]-Audit[[#This Row],[Candidate 10]], "")</f>
        <v/>
      </c>
      <c r="AO65" s="18" t="str">
        <f>IF(NOT(ISBLANK(Audit[[#This Row],[Audit Candidate 11]])), Audit[[#This Row],[Audit Candidate 11]]-Audit[[#This Row],[Candidate 11]], "")</f>
        <v/>
      </c>
      <c r="AP65" s="18" t="str">
        <f>IF(NOT(ISBLANK(Audit[[#This Row],[Audit Candidate 12]])), Audit[[#This Row],[Audit Candidate 12]]-Audit[[#This Row],[Candidate 12]], "")</f>
        <v/>
      </c>
      <c r="AQ65" s="18">
        <f>SUMIF(Audit[[#This Row],[Difference Winner]:[Difference Candidate 12]], "&gt;0")</f>
        <v>0</v>
      </c>
      <c r="AR65" s="18">
        <f>SUM(Audit[[#This Row],[Difference Winner]:[Difference Candidate 12]])</f>
        <v>0</v>
      </c>
      <c r="AS65" s="18">
        <f>IF(Audit[[#This Row],[Times p Drawn - With Replacement]]&gt;0, IF(Audit[[#This Row],[Canceled Differences]]&lt;0, Audit[[#This Row],[Max Differences]]+ABS(Audit[[#This Row],[Canceled Differences]]), Audit[[#This Row],[Max Differences]]), 0)</f>
        <v>0</v>
      </c>
      <c r="AT65" s="18">
        <f>'Sampling Data'!AB65</f>
        <v>0</v>
      </c>
      <c r="AU65" s="18">
        <f>IF(
      SUM(Audit[[#This Row],[Audit Losing Candidate]:[Audit Candidate 12]])
      &lt;&gt;0,
      (Audit[[#This Row],[Winning Candidate]]-Audit[[#This Row],[Losing Candidate]]-(Audit[[#This Row],[Audit Winning Candidate]]-Audit[[#This Row],[Audit Losing Candidate]]))/(Audit[[#Totals],[Winning Candidate]]-Audit[[#Totals],[Losing Candidate]]),
      0
)</f>
        <v>0</v>
      </c>
      <c r="AV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8">
        <f>IF(Audit[[#This Row],[Max Relative Error (ep)]] = 0, 0, Audit[[#This Row],[Max Relative Error (ep)]]/Audit[[#This Row],[Error Bound (up) - Max. possible relative overstatement]])</f>
        <v>0</v>
      </c>
      <c r="BH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 s="18">
        <f t="shared" si="1"/>
        <v>1</v>
      </c>
      <c r="BJ65" s="18">
        <f>PRODUCT($BI$5:BI65)</f>
        <v>1</v>
      </c>
      <c r="BK65" s="20">
        <f>1 - Audit[[#This Row],[K-M P Value]]</f>
        <v>0</v>
      </c>
      <c r="BL65" s="18" t="str">
        <f>IF(Audit[[#This Row],[K-M P Value]]&gt;1-'General Info'!$B$12,"Continue", "Stop")</f>
        <v>Continue</v>
      </c>
      <c r="BM65" s="23" t="b">
        <f>IF(Audit[[#This Row],[Status - Continue or stop audit]] = "Continue", TRUE, IF(BL64 = "Continue", TRUE, FALSE))</f>
        <v>1</v>
      </c>
      <c r="BN65" s="23"/>
    </row>
    <row r="66" spans="1:66" ht="15" hidden="1" customHeight="1" x14ac:dyDescent="0.35">
      <c r="A66" s="18" t="str">
        <f>'Sampling Data'!AI66</f>
        <v/>
      </c>
      <c r="B66" s="18" t="str">
        <f>'Sampling Data'!A66</f>
        <v>0711 CIN 7-K   (AV)</v>
      </c>
      <c r="C66" s="18">
        <f>'Sampling Data'!B66</f>
        <v>3</v>
      </c>
      <c r="D66" s="18">
        <f>'Sampling Data'!C66</f>
        <v>0</v>
      </c>
      <c r="E66" s="19">
        <f>'Sampling Data'!D66</f>
        <v>0</v>
      </c>
      <c r="F66" s="19">
        <f>'Sampling Data'!E66</f>
        <v>0</v>
      </c>
      <c r="G66" s="19">
        <f>'Sampling Data'!F66</f>
        <v>0</v>
      </c>
      <c r="H66" s="19">
        <f>'Sampling Data'!G66</f>
        <v>0</v>
      </c>
      <c r="I66" s="19">
        <f>'Sampling Data'!H66</f>
        <v>0</v>
      </c>
      <c r="J66" s="19">
        <f>'Sampling Data'!I66</f>
        <v>0</v>
      </c>
      <c r="K66" s="19">
        <f>'Sampling Data'!J66</f>
        <v>0</v>
      </c>
      <c r="L66" s="19">
        <f>'Sampling Data'!K66</f>
        <v>0</v>
      </c>
      <c r="M66" s="19">
        <f>'Sampling Data'!L66</f>
        <v>0</v>
      </c>
      <c r="N66" s="19">
        <f>'Sampling Data'!M66</f>
        <v>0</v>
      </c>
      <c r="O66" s="18">
        <f>'Sampling Data'!N66</f>
        <v>0</v>
      </c>
      <c r="P66" s="18">
        <f>'Sampling Data'!O66</f>
        <v>0</v>
      </c>
      <c r="Q66" s="18">
        <f>'Sampling Data'!P66</f>
        <v>3</v>
      </c>
      <c r="R66" s="18">
        <f>'Sampling Data'!AJ66</f>
        <v>0</v>
      </c>
      <c r="S66" s="112"/>
      <c r="T66" s="112"/>
      <c r="U66" s="113"/>
      <c r="V66" s="113"/>
      <c r="W66" s="112"/>
      <c r="X66" s="112"/>
      <c r="Y66" s="112"/>
      <c r="Z66" s="112"/>
      <c r="AA66" s="15"/>
      <c r="AB66" s="15"/>
      <c r="AC66" s="15"/>
      <c r="AD66" s="15"/>
      <c r="AE66" s="114" t="str">
        <f>IF(NOT(ISBLANK(Audit[[#This Row],[Audit Winning Candidate]])), Audit[[#This Row],[Audit Winning Candidate]]-Audit[[#This Row],[Winning Candidate]], "")</f>
        <v/>
      </c>
      <c r="AF66" s="18" t="str">
        <f>IF(NOT(ISBLANK(Audit[[#This Row],[Audit Losing Candidate]])), Audit[[#This Row],[Audit Losing Candidate]]-Audit[[#This Row],[Losing Candidate]], "")</f>
        <v/>
      </c>
      <c r="AG66" s="18" t="str">
        <f>IF(NOT(ISBLANK(Audit[[#This Row],[Audit Candidate 3]])), Audit[[#This Row],[Audit Candidate 3]]-Audit[[#This Row],[Candidate 3]], "")</f>
        <v/>
      </c>
      <c r="AH66" s="18" t="str">
        <f>IF(NOT(ISBLANK(Audit[[#This Row],[Audit Candidate 4]])),Audit[[#This Row],[Audit Candidate 4]]-Audit[[#This Row],[Candidate 4]], "")</f>
        <v/>
      </c>
      <c r="AI66" s="18" t="str">
        <f>IF(NOT(ISBLANK(Audit[[#This Row],[Audit Candidate 5]])), Audit[[#This Row],[Audit Candidate 5]]-Audit[[#This Row],[Candidate 5]], "")</f>
        <v/>
      </c>
      <c r="AJ66" s="18" t="str">
        <f>IF(NOT(ISBLANK(Audit[[#This Row],[Audit Candidate 6]])), Audit[[#This Row],[Audit Candidate 6]]-Audit[[#This Row],[Candidate 6]], "")</f>
        <v/>
      </c>
      <c r="AK66" s="18" t="str">
        <f>IF(NOT(ISBLANK(Audit[[#This Row],[Audit Candidate 7]])), Audit[[#This Row],[Audit Candidate 7]]-Audit[[#This Row],[Candidate 7]], "")</f>
        <v/>
      </c>
      <c r="AL66" s="18" t="str">
        <f>IF(NOT(ISBLANK(Audit[[#This Row],[Audit Candidate 8]])), Audit[[#This Row],[Audit Candidate 8]]-Audit[[#This Row],[Candidate 8]], "")</f>
        <v/>
      </c>
      <c r="AM66" s="18" t="str">
        <f>IF(NOT(ISBLANK(Audit[[#This Row],[Audit Candidate 9]])), Audit[[#This Row],[Audit Candidate 9]]-Audit[[#This Row],[Candidate 9]], "")</f>
        <v/>
      </c>
      <c r="AN66" s="18" t="str">
        <f>IF(NOT(ISBLANK(Audit[[#This Row],[Audit Candidate 10]])), Audit[[#This Row],[Audit Candidate 10]]-Audit[[#This Row],[Candidate 10]], "")</f>
        <v/>
      </c>
      <c r="AO66" s="18" t="str">
        <f>IF(NOT(ISBLANK(Audit[[#This Row],[Audit Candidate 11]])), Audit[[#This Row],[Audit Candidate 11]]-Audit[[#This Row],[Candidate 11]], "")</f>
        <v/>
      </c>
      <c r="AP66" s="18" t="str">
        <f>IF(NOT(ISBLANK(Audit[[#This Row],[Audit Candidate 12]])), Audit[[#This Row],[Audit Candidate 12]]-Audit[[#This Row],[Candidate 12]], "")</f>
        <v/>
      </c>
      <c r="AQ66" s="18">
        <f>SUMIF(Audit[[#This Row],[Difference Winner]:[Difference Candidate 12]], "&gt;0")</f>
        <v>0</v>
      </c>
      <c r="AR66" s="18">
        <f>SUM(Audit[[#This Row],[Difference Winner]:[Difference Candidate 12]])</f>
        <v>0</v>
      </c>
      <c r="AS66" s="18">
        <f>IF(Audit[[#This Row],[Times p Drawn - With Replacement]]&gt;0, IF(Audit[[#This Row],[Canceled Differences]]&lt;0, Audit[[#This Row],[Max Differences]]+ABS(Audit[[#This Row],[Canceled Differences]]), Audit[[#This Row],[Max Differences]]), 0)</f>
        <v>0</v>
      </c>
      <c r="AT66" s="18">
        <f>'Sampling Data'!AB66</f>
        <v>1.8845996796180544E-4</v>
      </c>
      <c r="AU66" s="18">
        <f>IF(
      SUM(Audit[[#This Row],[Audit Losing Candidate]:[Audit Candidate 12]])
      &lt;&gt;0,
      (Audit[[#This Row],[Winning Candidate]]-Audit[[#This Row],[Losing Candidate]]-(Audit[[#This Row],[Audit Winning Candidate]]-Audit[[#This Row],[Audit Losing Candidate]]))/(Audit[[#Totals],[Winning Candidate]]-Audit[[#Totals],[Losing Candidate]]),
      0
)</f>
        <v>0</v>
      </c>
      <c r="AV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8">
        <f>IF(Audit[[#This Row],[Max Relative Error (ep)]] = 0, 0, Audit[[#This Row],[Max Relative Error (ep)]]/Audit[[#This Row],[Error Bound (up) - Max. possible relative overstatement]])</f>
        <v>0</v>
      </c>
      <c r="BH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 s="18">
        <f t="shared" si="1"/>
        <v>1</v>
      </c>
      <c r="BJ66" s="18">
        <f>PRODUCT($BI$5:BI66)</f>
        <v>1</v>
      </c>
      <c r="BK66" s="20">
        <f>1 - Audit[[#This Row],[K-M P Value]]</f>
        <v>0</v>
      </c>
      <c r="BL66" s="18" t="str">
        <f>IF(Audit[[#This Row],[K-M P Value]]&gt;1-'General Info'!$B$12,"Continue", "Stop")</f>
        <v>Continue</v>
      </c>
      <c r="BM66" s="23" t="b">
        <f>IF(Audit[[#This Row],[Status - Continue or stop audit]] = "Continue", TRUE, IF(BL65 = "Continue", TRUE, FALSE))</f>
        <v>1</v>
      </c>
      <c r="BN66" s="23"/>
    </row>
    <row r="67" spans="1:66" ht="15" hidden="1" customHeight="1" x14ac:dyDescent="0.35">
      <c r="A67" s="18" t="str">
        <f>'Sampling Data'!AI67</f>
        <v/>
      </c>
      <c r="B67" s="18" t="str">
        <f>'Sampling Data'!A67</f>
        <v>0801 CIN 8-A   (AV)</v>
      </c>
      <c r="C67" s="18">
        <f>'Sampling Data'!B67</f>
        <v>0</v>
      </c>
      <c r="D67" s="18">
        <f>'Sampling Data'!C67</f>
        <v>1</v>
      </c>
      <c r="E67" s="19">
        <f>'Sampling Data'!D67</f>
        <v>0</v>
      </c>
      <c r="F67" s="19">
        <f>'Sampling Data'!E67</f>
        <v>0</v>
      </c>
      <c r="G67" s="19">
        <f>'Sampling Data'!F67</f>
        <v>0</v>
      </c>
      <c r="H67" s="19">
        <f>'Sampling Data'!G67</f>
        <v>0</v>
      </c>
      <c r="I67" s="19">
        <f>'Sampling Data'!H67</f>
        <v>0</v>
      </c>
      <c r="J67" s="19">
        <f>'Sampling Data'!I67</f>
        <v>0</v>
      </c>
      <c r="K67" s="19">
        <f>'Sampling Data'!J67</f>
        <v>0</v>
      </c>
      <c r="L67" s="19">
        <f>'Sampling Data'!K67</f>
        <v>0</v>
      </c>
      <c r="M67" s="19">
        <f>'Sampling Data'!L67</f>
        <v>0</v>
      </c>
      <c r="N67" s="19">
        <f>'Sampling Data'!M67</f>
        <v>0</v>
      </c>
      <c r="O67" s="18">
        <f>'Sampling Data'!N67</f>
        <v>0</v>
      </c>
      <c r="P67" s="18">
        <f>'Sampling Data'!O67</f>
        <v>0</v>
      </c>
      <c r="Q67" s="18">
        <f>'Sampling Data'!P67</f>
        <v>1</v>
      </c>
      <c r="R67" s="18">
        <f>'Sampling Data'!AJ67</f>
        <v>0</v>
      </c>
      <c r="S67" s="112"/>
      <c r="T67" s="112"/>
      <c r="U67" s="113"/>
      <c r="V67" s="113"/>
      <c r="W67" s="112"/>
      <c r="X67" s="112"/>
      <c r="Y67" s="112"/>
      <c r="Z67" s="112"/>
      <c r="AA67" s="15"/>
      <c r="AB67" s="15"/>
      <c r="AC67" s="15"/>
      <c r="AD67" s="15"/>
      <c r="AE67" s="114" t="str">
        <f>IF(NOT(ISBLANK(Audit[[#This Row],[Audit Winning Candidate]])), Audit[[#This Row],[Audit Winning Candidate]]-Audit[[#This Row],[Winning Candidate]], "")</f>
        <v/>
      </c>
      <c r="AF67" s="18" t="str">
        <f>IF(NOT(ISBLANK(Audit[[#This Row],[Audit Losing Candidate]])), Audit[[#This Row],[Audit Losing Candidate]]-Audit[[#This Row],[Losing Candidate]], "")</f>
        <v/>
      </c>
      <c r="AG67" s="18" t="str">
        <f>IF(NOT(ISBLANK(Audit[[#This Row],[Audit Candidate 3]])), Audit[[#This Row],[Audit Candidate 3]]-Audit[[#This Row],[Candidate 3]], "")</f>
        <v/>
      </c>
      <c r="AH67" s="18" t="str">
        <f>IF(NOT(ISBLANK(Audit[[#This Row],[Audit Candidate 4]])),Audit[[#This Row],[Audit Candidate 4]]-Audit[[#This Row],[Candidate 4]], "")</f>
        <v/>
      </c>
      <c r="AI67" s="18" t="str">
        <f>IF(NOT(ISBLANK(Audit[[#This Row],[Audit Candidate 5]])), Audit[[#This Row],[Audit Candidate 5]]-Audit[[#This Row],[Candidate 5]], "")</f>
        <v/>
      </c>
      <c r="AJ67" s="18" t="str">
        <f>IF(NOT(ISBLANK(Audit[[#This Row],[Audit Candidate 6]])), Audit[[#This Row],[Audit Candidate 6]]-Audit[[#This Row],[Candidate 6]], "")</f>
        <v/>
      </c>
      <c r="AK67" s="18" t="str">
        <f>IF(NOT(ISBLANK(Audit[[#This Row],[Audit Candidate 7]])), Audit[[#This Row],[Audit Candidate 7]]-Audit[[#This Row],[Candidate 7]], "")</f>
        <v/>
      </c>
      <c r="AL67" s="18" t="str">
        <f>IF(NOT(ISBLANK(Audit[[#This Row],[Audit Candidate 8]])), Audit[[#This Row],[Audit Candidate 8]]-Audit[[#This Row],[Candidate 8]], "")</f>
        <v/>
      </c>
      <c r="AM67" s="18" t="str">
        <f>IF(NOT(ISBLANK(Audit[[#This Row],[Audit Candidate 9]])), Audit[[#This Row],[Audit Candidate 9]]-Audit[[#This Row],[Candidate 9]], "")</f>
        <v/>
      </c>
      <c r="AN67" s="18" t="str">
        <f>IF(NOT(ISBLANK(Audit[[#This Row],[Audit Candidate 10]])), Audit[[#This Row],[Audit Candidate 10]]-Audit[[#This Row],[Candidate 10]], "")</f>
        <v/>
      </c>
      <c r="AO67" s="18" t="str">
        <f>IF(NOT(ISBLANK(Audit[[#This Row],[Audit Candidate 11]])), Audit[[#This Row],[Audit Candidate 11]]-Audit[[#This Row],[Candidate 11]], "")</f>
        <v/>
      </c>
      <c r="AP67" s="18" t="str">
        <f>IF(NOT(ISBLANK(Audit[[#This Row],[Audit Candidate 12]])), Audit[[#This Row],[Audit Candidate 12]]-Audit[[#This Row],[Candidate 12]], "")</f>
        <v/>
      </c>
      <c r="AQ67" s="18">
        <f>SUMIF(Audit[[#This Row],[Difference Winner]:[Difference Candidate 12]], "&gt;0")</f>
        <v>0</v>
      </c>
      <c r="AR67" s="18">
        <f>SUM(Audit[[#This Row],[Difference Winner]:[Difference Candidate 12]])</f>
        <v>0</v>
      </c>
      <c r="AS67" s="18">
        <f>IF(Audit[[#This Row],[Times p Drawn - With Replacement]]&gt;0, IF(Audit[[#This Row],[Canceled Differences]]&lt;0, Audit[[#This Row],[Max Differences]]+ABS(Audit[[#This Row],[Canceled Differences]]), Audit[[#This Row],[Max Differences]]), 0)</f>
        <v>0</v>
      </c>
      <c r="AT67" s="18">
        <f>'Sampling Data'!AB67</f>
        <v>0</v>
      </c>
      <c r="AU67" s="18">
        <f>IF(
      SUM(Audit[[#This Row],[Audit Losing Candidate]:[Audit Candidate 12]])
      &lt;&gt;0,
      (Audit[[#This Row],[Winning Candidate]]-Audit[[#This Row],[Losing Candidate]]-(Audit[[#This Row],[Audit Winning Candidate]]-Audit[[#This Row],[Audit Losing Candidate]]))/(Audit[[#Totals],[Winning Candidate]]-Audit[[#Totals],[Losing Candidate]]),
      0
)</f>
        <v>0</v>
      </c>
      <c r="AV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8">
        <f>IF(Audit[[#This Row],[Max Relative Error (ep)]] = 0, 0, Audit[[#This Row],[Max Relative Error (ep)]]/Audit[[#This Row],[Error Bound (up) - Max. possible relative overstatement]])</f>
        <v>0</v>
      </c>
      <c r="BH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 s="18">
        <f t="shared" si="1"/>
        <v>1</v>
      </c>
      <c r="BJ67" s="18">
        <f>PRODUCT($BI$5:BI67)</f>
        <v>1</v>
      </c>
      <c r="BK67" s="20">
        <f>1 - Audit[[#This Row],[K-M P Value]]</f>
        <v>0</v>
      </c>
      <c r="BL67" s="18" t="str">
        <f>IF(Audit[[#This Row],[K-M P Value]]&gt;1-'General Info'!$B$12,"Continue", "Stop")</f>
        <v>Continue</v>
      </c>
      <c r="BM67" s="23" t="b">
        <f>IF(Audit[[#This Row],[Status - Continue or stop audit]] = "Continue", TRUE, IF(BL66 = "Continue", TRUE, FALSE))</f>
        <v>1</v>
      </c>
      <c r="BN67" s="23"/>
    </row>
    <row r="68" spans="1:66" ht="15" hidden="1" customHeight="1" x14ac:dyDescent="0.35">
      <c r="A68" s="18" t="str">
        <f>'Sampling Data'!AI68</f>
        <v/>
      </c>
      <c r="B68" s="18" t="str">
        <f>'Sampling Data'!A68</f>
        <v>0802 CIN 8-B   (AV)</v>
      </c>
      <c r="C68" s="18">
        <f>'Sampling Data'!B68</f>
        <v>6</v>
      </c>
      <c r="D68" s="18">
        <f>'Sampling Data'!C68</f>
        <v>0</v>
      </c>
      <c r="E68" s="19">
        <f>'Sampling Data'!D68</f>
        <v>0</v>
      </c>
      <c r="F68" s="19">
        <f>'Sampling Data'!E68</f>
        <v>0</v>
      </c>
      <c r="G68" s="19">
        <f>'Sampling Data'!F68</f>
        <v>0</v>
      </c>
      <c r="H68" s="19">
        <f>'Sampling Data'!G68</f>
        <v>0</v>
      </c>
      <c r="I68" s="19">
        <f>'Sampling Data'!H68</f>
        <v>0</v>
      </c>
      <c r="J68" s="19">
        <f>'Sampling Data'!I68</f>
        <v>0</v>
      </c>
      <c r="K68" s="19">
        <f>'Sampling Data'!J68</f>
        <v>0</v>
      </c>
      <c r="L68" s="19">
        <f>'Sampling Data'!K68</f>
        <v>0</v>
      </c>
      <c r="M68" s="19">
        <f>'Sampling Data'!L68</f>
        <v>0</v>
      </c>
      <c r="N68" s="19">
        <f>'Sampling Data'!M68</f>
        <v>0</v>
      </c>
      <c r="O68" s="18">
        <f>'Sampling Data'!N68</f>
        <v>0</v>
      </c>
      <c r="P68" s="18">
        <f>'Sampling Data'!O68</f>
        <v>0</v>
      </c>
      <c r="Q68" s="18">
        <f>'Sampling Data'!P68</f>
        <v>6</v>
      </c>
      <c r="R68" s="18">
        <f>'Sampling Data'!AJ68</f>
        <v>0</v>
      </c>
      <c r="S68" s="112"/>
      <c r="T68" s="112"/>
      <c r="U68" s="113"/>
      <c r="V68" s="113"/>
      <c r="W68" s="112"/>
      <c r="X68" s="112"/>
      <c r="Y68" s="112"/>
      <c r="Z68" s="112"/>
      <c r="AA68" s="15"/>
      <c r="AB68" s="15"/>
      <c r="AC68" s="15"/>
      <c r="AD68" s="15"/>
      <c r="AE68" s="114" t="str">
        <f>IF(NOT(ISBLANK(Audit[[#This Row],[Audit Winning Candidate]])), Audit[[#This Row],[Audit Winning Candidate]]-Audit[[#This Row],[Winning Candidate]], "")</f>
        <v/>
      </c>
      <c r="AF68" s="18" t="str">
        <f>IF(NOT(ISBLANK(Audit[[#This Row],[Audit Losing Candidate]])), Audit[[#This Row],[Audit Losing Candidate]]-Audit[[#This Row],[Losing Candidate]], "")</f>
        <v/>
      </c>
      <c r="AG68" s="18" t="str">
        <f>IF(NOT(ISBLANK(Audit[[#This Row],[Audit Candidate 3]])), Audit[[#This Row],[Audit Candidate 3]]-Audit[[#This Row],[Candidate 3]], "")</f>
        <v/>
      </c>
      <c r="AH68" s="18" t="str">
        <f>IF(NOT(ISBLANK(Audit[[#This Row],[Audit Candidate 4]])),Audit[[#This Row],[Audit Candidate 4]]-Audit[[#This Row],[Candidate 4]], "")</f>
        <v/>
      </c>
      <c r="AI68" s="18" t="str">
        <f>IF(NOT(ISBLANK(Audit[[#This Row],[Audit Candidate 5]])), Audit[[#This Row],[Audit Candidate 5]]-Audit[[#This Row],[Candidate 5]], "")</f>
        <v/>
      </c>
      <c r="AJ68" s="18" t="str">
        <f>IF(NOT(ISBLANK(Audit[[#This Row],[Audit Candidate 6]])), Audit[[#This Row],[Audit Candidate 6]]-Audit[[#This Row],[Candidate 6]], "")</f>
        <v/>
      </c>
      <c r="AK68" s="18" t="str">
        <f>IF(NOT(ISBLANK(Audit[[#This Row],[Audit Candidate 7]])), Audit[[#This Row],[Audit Candidate 7]]-Audit[[#This Row],[Candidate 7]], "")</f>
        <v/>
      </c>
      <c r="AL68" s="18" t="str">
        <f>IF(NOT(ISBLANK(Audit[[#This Row],[Audit Candidate 8]])), Audit[[#This Row],[Audit Candidate 8]]-Audit[[#This Row],[Candidate 8]], "")</f>
        <v/>
      </c>
      <c r="AM68" s="18" t="str">
        <f>IF(NOT(ISBLANK(Audit[[#This Row],[Audit Candidate 9]])), Audit[[#This Row],[Audit Candidate 9]]-Audit[[#This Row],[Candidate 9]], "")</f>
        <v/>
      </c>
      <c r="AN68" s="18" t="str">
        <f>IF(NOT(ISBLANK(Audit[[#This Row],[Audit Candidate 10]])), Audit[[#This Row],[Audit Candidate 10]]-Audit[[#This Row],[Candidate 10]], "")</f>
        <v/>
      </c>
      <c r="AO68" s="18" t="str">
        <f>IF(NOT(ISBLANK(Audit[[#This Row],[Audit Candidate 11]])), Audit[[#This Row],[Audit Candidate 11]]-Audit[[#This Row],[Candidate 11]], "")</f>
        <v/>
      </c>
      <c r="AP68" s="18" t="str">
        <f>IF(NOT(ISBLANK(Audit[[#This Row],[Audit Candidate 12]])), Audit[[#This Row],[Audit Candidate 12]]-Audit[[#This Row],[Candidate 12]], "")</f>
        <v/>
      </c>
      <c r="AQ68" s="18">
        <f>SUMIF(Audit[[#This Row],[Difference Winner]:[Difference Candidate 12]], "&gt;0")</f>
        <v>0</v>
      </c>
      <c r="AR68" s="18">
        <f>SUM(Audit[[#This Row],[Difference Winner]:[Difference Candidate 12]])</f>
        <v>0</v>
      </c>
      <c r="AS68" s="18">
        <f>IF(Audit[[#This Row],[Times p Drawn - With Replacement]]&gt;0, IF(Audit[[#This Row],[Canceled Differences]]&lt;0, Audit[[#This Row],[Max Differences]]+ABS(Audit[[#This Row],[Canceled Differences]]), Audit[[#This Row],[Max Differences]]), 0)</f>
        <v>0</v>
      </c>
      <c r="AT68" s="18">
        <f>'Sampling Data'!AB68</f>
        <v>3.7691993592361088E-4</v>
      </c>
      <c r="AU68" s="18">
        <f>IF(
      SUM(Audit[[#This Row],[Audit Losing Candidate]:[Audit Candidate 12]])
      &lt;&gt;0,
      (Audit[[#This Row],[Winning Candidate]]-Audit[[#This Row],[Losing Candidate]]-(Audit[[#This Row],[Audit Winning Candidate]]-Audit[[#This Row],[Audit Losing Candidate]]))/(Audit[[#Totals],[Winning Candidate]]-Audit[[#Totals],[Losing Candidate]]),
      0
)</f>
        <v>0</v>
      </c>
      <c r="AV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8">
        <f>IF(Audit[[#This Row],[Max Relative Error (ep)]] = 0, 0, Audit[[#This Row],[Max Relative Error (ep)]]/Audit[[#This Row],[Error Bound (up) - Max. possible relative overstatement]])</f>
        <v>0</v>
      </c>
      <c r="BH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 s="18">
        <f t="shared" si="1"/>
        <v>1</v>
      </c>
      <c r="BJ68" s="18">
        <f>PRODUCT($BI$5:BI68)</f>
        <v>1</v>
      </c>
      <c r="BK68" s="20">
        <f>1 - Audit[[#This Row],[K-M P Value]]</f>
        <v>0</v>
      </c>
      <c r="BL68" s="18" t="str">
        <f>IF(Audit[[#This Row],[K-M P Value]]&gt;1-'General Info'!$B$12,"Continue", "Stop")</f>
        <v>Continue</v>
      </c>
      <c r="BM68" s="23" t="b">
        <f>IF(Audit[[#This Row],[Status - Continue or stop audit]] = "Continue", TRUE, IF(BL67 = "Continue", TRUE, FALSE))</f>
        <v>1</v>
      </c>
      <c r="BN68" s="23"/>
    </row>
    <row r="69" spans="1:66" ht="15" hidden="1" customHeight="1" x14ac:dyDescent="0.35">
      <c r="A69" s="18" t="str">
        <f>'Sampling Data'!AI69</f>
        <v/>
      </c>
      <c r="B69" s="18" t="str">
        <f>'Sampling Data'!A69</f>
        <v>0803 CIN 8-C   (AV)</v>
      </c>
      <c r="C69" s="18">
        <f>'Sampling Data'!B69</f>
        <v>29</v>
      </c>
      <c r="D69" s="18">
        <f>'Sampling Data'!C69</f>
        <v>6</v>
      </c>
      <c r="E69" s="19">
        <f>'Sampling Data'!D69</f>
        <v>0</v>
      </c>
      <c r="F69" s="19">
        <f>'Sampling Data'!E69</f>
        <v>0</v>
      </c>
      <c r="G69" s="19">
        <f>'Sampling Data'!F69</f>
        <v>0</v>
      </c>
      <c r="H69" s="19">
        <f>'Sampling Data'!G69</f>
        <v>0</v>
      </c>
      <c r="I69" s="19">
        <f>'Sampling Data'!H69</f>
        <v>0</v>
      </c>
      <c r="J69" s="19">
        <f>'Sampling Data'!I69</f>
        <v>0</v>
      </c>
      <c r="K69" s="19">
        <f>'Sampling Data'!J69</f>
        <v>0</v>
      </c>
      <c r="L69" s="19">
        <f>'Sampling Data'!K69</f>
        <v>0</v>
      </c>
      <c r="M69" s="19">
        <f>'Sampling Data'!L69</f>
        <v>0</v>
      </c>
      <c r="N69" s="19">
        <f>'Sampling Data'!M69</f>
        <v>0</v>
      </c>
      <c r="O69" s="18">
        <f>'Sampling Data'!N69</f>
        <v>0</v>
      </c>
      <c r="P69" s="18">
        <f>'Sampling Data'!O69</f>
        <v>0</v>
      </c>
      <c r="Q69" s="18">
        <f>'Sampling Data'!P69</f>
        <v>35</v>
      </c>
      <c r="R69" s="18">
        <f>'Sampling Data'!AJ69</f>
        <v>0</v>
      </c>
      <c r="S69" s="112"/>
      <c r="T69" s="112"/>
      <c r="U69" s="113"/>
      <c r="V69" s="113"/>
      <c r="W69" s="112"/>
      <c r="X69" s="112"/>
      <c r="Y69" s="112"/>
      <c r="Z69" s="112"/>
      <c r="AA69" s="15"/>
      <c r="AB69" s="15"/>
      <c r="AC69" s="15"/>
      <c r="AD69" s="15"/>
      <c r="AE69" s="114" t="str">
        <f>IF(NOT(ISBLANK(Audit[[#This Row],[Audit Winning Candidate]])), Audit[[#This Row],[Audit Winning Candidate]]-Audit[[#This Row],[Winning Candidate]], "")</f>
        <v/>
      </c>
      <c r="AF69" s="18" t="str">
        <f>IF(NOT(ISBLANK(Audit[[#This Row],[Audit Losing Candidate]])), Audit[[#This Row],[Audit Losing Candidate]]-Audit[[#This Row],[Losing Candidate]], "")</f>
        <v/>
      </c>
      <c r="AG69" s="18" t="str">
        <f>IF(NOT(ISBLANK(Audit[[#This Row],[Audit Candidate 3]])), Audit[[#This Row],[Audit Candidate 3]]-Audit[[#This Row],[Candidate 3]], "")</f>
        <v/>
      </c>
      <c r="AH69" s="18" t="str">
        <f>IF(NOT(ISBLANK(Audit[[#This Row],[Audit Candidate 4]])),Audit[[#This Row],[Audit Candidate 4]]-Audit[[#This Row],[Candidate 4]], "")</f>
        <v/>
      </c>
      <c r="AI69" s="18" t="str">
        <f>IF(NOT(ISBLANK(Audit[[#This Row],[Audit Candidate 5]])), Audit[[#This Row],[Audit Candidate 5]]-Audit[[#This Row],[Candidate 5]], "")</f>
        <v/>
      </c>
      <c r="AJ69" s="18" t="str">
        <f>IF(NOT(ISBLANK(Audit[[#This Row],[Audit Candidate 6]])), Audit[[#This Row],[Audit Candidate 6]]-Audit[[#This Row],[Candidate 6]], "")</f>
        <v/>
      </c>
      <c r="AK69" s="18" t="str">
        <f>IF(NOT(ISBLANK(Audit[[#This Row],[Audit Candidate 7]])), Audit[[#This Row],[Audit Candidate 7]]-Audit[[#This Row],[Candidate 7]], "")</f>
        <v/>
      </c>
      <c r="AL69" s="18" t="str">
        <f>IF(NOT(ISBLANK(Audit[[#This Row],[Audit Candidate 8]])), Audit[[#This Row],[Audit Candidate 8]]-Audit[[#This Row],[Candidate 8]], "")</f>
        <v/>
      </c>
      <c r="AM69" s="18" t="str">
        <f>IF(NOT(ISBLANK(Audit[[#This Row],[Audit Candidate 9]])), Audit[[#This Row],[Audit Candidate 9]]-Audit[[#This Row],[Candidate 9]], "")</f>
        <v/>
      </c>
      <c r="AN69" s="18" t="str">
        <f>IF(NOT(ISBLANK(Audit[[#This Row],[Audit Candidate 10]])), Audit[[#This Row],[Audit Candidate 10]]-Audit[[#This Row],[Candidate 10]], "")</f>
        <v/>
      </c>
      <c r="AO69" s="18" t="str">
        <f>IF(NOT(ISBLANK(Audit[[#This Row],[Audit Candidate 11]])), Audit[[#This Row],[Audit Candidate 11]]-Audit[[#This Row],[Candidate 11]], "")</f>
        <v/>
      </c>
      <c r="AP69" s="18" t="str">
        <f>IF(NOT(ISBLANK(Audit[[#This Row],[Audit Candidate 12]])), Audit[[#This Row],[Audit Candidate 12]]-Audit[[#This Row],[Candidate 12]], "")</f>
        <v/>
      </c>
      <c r="AQ69" s="18">
        <f>SUMIF(Audit[[#This Row],[Difference Winner]:[Difference Candidate 12]], "&gt;0")</f>
        <v>0</v>
      </c>
      <c r="AR69" s="18">
        <f>SUM(Audit[[#This Row],[Difference Winner]:[Difference Candidate 12]])</f>
        <v>0</v>
      </c>
      <c r="AS69" s="18">
        <f>IF(Audit[[#This Row],[Times p Drawn - With Replacement]]&gt;0, IF(Audit[[#This Row],[Canceled Differences]]&lt;0, Audit[[#This Row],[Max Differences]]+ABS(Audit[[#This Row],[Canceled Differences]]), Audit[[#This Row],[Max Differences]]), 0)</f>
        <v>0</v>
      </c>
      <c r="AT69" s="18">
        <f>'Sampling Data'!AB69</f>
        <v>1.8217796902974526E-3</v>
      </c>
      <c r="AU69" s="18">
        <f>IF(
      SUM(Audit[[#This Row],[Audit Losing Candidate]:[Audit Candidate 12]])
      &lt;&gt;0,
      (Audit[[#This Row],[Winning Candidate]]-Audit[[#This Row],[Losing Candidate]]-(Audit[[#This Row],[Audit Winning Candidate]]-Audit[[#This Row],[Audit Losing Candidate]]))/(Audit[[#Totals],[Winning Candidate]]-Audit[[#Totals],[Losing Candidate]]),
      0
)</f>
        <v>0</v>
      </c>
      <c r="AV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8">
        <f>IF(Audit[[#This Row],[Max Relative Error (ep)]] = 0, 0, Audit[[#This Row],[Max Relative Error (ep)]]/Audit[[#This Row],[Error Bound (up) - Max. possible relative overstatement]])</f>
        <v>0</v>
      </c>
      <c r="BH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 s="18">
        <f t="shared" si="1"/>
        <v>1</v>
      </c>
      <c r="BJ69" s="18">
        <f>PRODUCT($BI$5:BI69)</f>
        <v>1</v>
      </c>
      <c r="BK69" s="20">
        <f>1 - Audit[[#This Row],[K-M P Value]]</f>
        <v>0</v>
      </c>
      <c r="BL69" s="18" t="str">
        <f>IF(Audit[[#This Row],[K-M P Value]]&gt;1-'General Info'!$B$12,"Continue", "Stop")</f>
        <v>Continue</v>
      </c>
      <c r="BM69" s="23" t="b">
        <f>IF(Audit[[#This Row],[Status - Continue or stop audit]] = "Continue", TRUE, IF(BL68 = "Continue", TRUE, FALSE))</f>
        <v>1</v>
      </c>
      <c r="BN69" s="23"/>
    </row>
    <row r="70" spans="1:66" ht="15" hidden="1" customHeight="1" x14ac:dyDescent="0.35">
      <c r="A70" s="18" t="str">
        <f>'Sampling Data'!AI70</f>
        <v/>
      </c>
      <c r="B70" s="18" t="str">
        <f>'Sampling Data'!A70</f>
        <v>0804 CIN 8-D   (AV)</v>
      </c>
      <c r="C70" s="18">
        <f>'Sampling Data'!B70</f>
        <v>0</v>
      </c>
      <c r="D70" s="18">
        <f>'Sampling Data'!C70</f>
        <v>1</v>
      </c>
      <c r="E70" s="19">
        <f>'Sampling Data'!D70</f>
        <v>0</v>
      </c>
      <c r="F70" s="19">
        <f>'Sampling Data'!E70</f>
        <v>0</v>
      </c>
      <c r="G70" s="19">
        <f>'Sampling Data'!F70</f>
        <v>0</v>
      </c>
      <c r="H70" s="19">
        <f>'Sampling Data'!G70</f>
        <v>0</v>
      </c>
      <c r="I70" s="19">
        <f>'Sampling Data'!H70</f>
        <v>0</v>
      </c>
      <c r="J70" s="19">
        <f>'Sampling Data'!I70</f>
        <v>0</v>
      </c>
      <c r="K70" s="19">
        <f>'Sampling Data'!J70</f>
        <v>0</v>
      </c>
      <c r="L70" s="19">
        <f>'Sampling Data'!K70</f>
        <v>0</v>
      </c>
      <c r="M70" s="19">
        <f>'Sampling Data'!L70</f>
        <v>0</v>
      </c>
      <c r="N70" s="19">
        <f>'Sampling Data'!M70</f>
        <v>0</v>
      </c>
      <c r="O70" s="18">
        <f>'Sampling Data'!N70</f>
        <v>0</v>
      </c>
      <c r="P70" s="18">
        <f>'Sampling Data'!O70</f>
        <v>0</v>
      </c>
      <c r="Q70" s="18">
        <f>'Sampling Data'!P70</f>
        <v>1</v>
      </c>
      <c r="R70" s="18">
        <f>'Sampling Data'!AJ70</f>
        <v>0</v>
      </c>
      <c r="S70" s="112"/>
      <c r="T70" s="112"/>
      <c r="U70" s="113"/>
      <c r="V70" s="113"/>
      <c r="W70" s="112"/>
      <c r="X70" s="112"/>
      <c r="Y70" s="112"/>
      <c r="Z70" s="112"/>
      <c r="AA70" s="15"/>
      <c r="AB70" s="15"/>
      <c r="AC70" s="15"/>
      <c r="AD70" s="15"/>
      <c r="AE70" s="114" t="str">
        <f>IF(NOT(ISBLANK(Audit[[#This Row],[Audit Winning Candidate]])), Audit[[#This Row],[Audit Winning Candidate]]-Audit[[#This Row],[Winning Candidate]], "")</f>
        <v/>
      </c>
      <c r="AF70" s="18" t="str">
        <f>IF(NOT(ISBLANK(Audit[[#This Row],[Audit Losing Candidate]])), Audit[[#This Row],[Audit Losing Candidate]]-Audit[[#This Row],[Losing Candidate]], "")</f>
        <v/>
      </c>
      <c r="AG70" s="18" t="str">
        <f>IF(NOT(ISBLANK(Audit[[#This Row],[Audit Candidate 3]])), Audit[[#This Row],[Audit Candidate 3]]-Audit[[#This Row],[Candidate 3]], "")</f>
        <v/>
      </c>
      <c r="AH70" s="18" t="str">
        <f>IF(NOT(ISBLANK(Audit[[#This Row],[Audit Candidate 4]])),Audit[[#This Row],[Audit Candidate 4]]-Audit[[#This Row],[Candidate 4]], "")</f>
        <v/>
      </c>
      <c r="AI70" s="18" t="str">
        <f>IF(NOT(ISBLANK(Audit[[#This Row],[Audit Candidate 5]])), Audit[[#This Row],[Audit Candidate 5]]-Audit[[#This Row],[Candidate 5]], "")</f>
        <v/>
      </c>
      <c r="AJ70" s="18" t="str">
        <f>IF(NOT(ISBLANK(Audit[[#This Row],[Audit Candidate 6]])), Audit[[#This Row],[Audit Candidate 6]]-Audit[[#This Row],[Candidate 6]], "")</f>
        <v/>
      </c>
      <c r="AK70" s="18" t="str">
        <f>IF(NOT(ISBLANK(Audit[[#This Row],[Audit Candidate 7]])), Audit[[#This Row],[Audit Candidate 7]]-Audit[[#This Row],[Candidate 7]], "")</f>
        <v/>
      </c>
      <c r="AL70" s="18" t="str">
        <f>IF(NOT(ISBLANK(Audit[[#This Row],[Audit Candidate 8]])), Audit[[#This Row],[Audit Candidate 8]]-Audit[[#This Row],[Candidate 8]], "")</f>
        <v/>
      </c>
      <c r="AM70" s="18" t="str">
        <f>IF(NOT(ISBLANK(Audit[[#This Row],[Audit Candidate 9]])), Audit[[#This Row],[Audit Candidate 9]]-Audit[[#This Row],[Candidate 9]], "")</f>
        <v/>
      </c>
      <c r="AN70" s="18" t="str">
        <f>IF(NOT(ISBLANK(Audit[[#This Row],[Audit Candidate 10]])), Audit[[#This Row],[Audit Candidate 10]]-Audit[[#This Row],[Candidate 10]], "")</f>
        <v/>
      </c>
      <c r="AO70" s="18" t="str">
        <f>IF(NOT(ISBLANK(Audit[[#This Row],[Audit Candidate 11]])), Audit[[#This Row],[Audit Candidate 11]]-Audit[[#This Row],[Candidate 11]], "")</f>
        <v/>
      </c>
      <c r="AP70" s="18" t="str">
        <f>IF(NOT(ISBLANK(Audit[[#This Row],[Audit Candidate 12]])), Audit[[#This Row],[Audit Candidate 12]]-Audit[[#This Row],[Candidate 12]], "")</f>
        <v/>
      </c>
      <c r="AQ70" s="18">
        <f>SUMIF(Audit[[#This Row],[Difference Winner]:[Difference Candidate 12]], "&gt;0")</f>
        <v>0</v>
      </c>
      <c r="AR70" s="18">
        <f>SUM(Audit[[#This Row],[Difference Winner]:[Difference Candidate 12]])</f>
        <v>0</v>
      </c>
      <c r="AS70" s="18">
        <f>IF(Audit[[#This Row],[Times p Drawn - With Replacement]]&gt;0, IF(Audit[[#This Row],[Canceled Differences]]&lt;0, Audit[[#This Row],[Max Differences]]+ABS(Audit[[#This Row],[Canceled Differences]]), Audit[[#This Row],[Max Differences]]), 0)</f>
        <v>0</v>
      </c>
      <c r="AT70" s="18">
        <f>'Sampling Data'!AB70</f>
        <v>0</v>
      </c>
      <c r="AU70" s="18">
        <f>IF(
      SUM(Audit[[#This Row],[Audit Losing Candidate]:[Audit Candidate 12]])
      &lt;&gt;0,
      (Audit[[#This Row],[Winning Candidate]]-Audit[[#This Row],[Losing Candidate]]-(Audit[[#This Row],[Audit Winning Candidate]]-Audit[[#This Row],[Audit Losing Candidate]]))/(Audit[[#Totals],[Winning Candidate]]-Audit[[#Totals],[Losing Candidate]]),
      0
)</f>
        <v>0</v>
      </c>
      <c r="AV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8">
        <f>IF(Audit[[#This Row],[Max Relative Error (ep)]] = 0, 0, Audit[[#This Row],[Max Relative Error (ep)]]/Audit[[#This Row],[Error Bound (up) - Max. possible relative overstatement]])</f>
        <v>0</v>
      </c>
      <c r="BH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 s="18">
        <f t="shared" si="1"/>
        <v>1</v>
      </c>
      <c r="BJ70" s="18">
        <f>PRODUCT($BI$5:BI70)</f>
        <v>1</v>
      </c>
      <c r="BK70" s="20">
        <f>1 - Audit[[#This Row],[K-M P Value]]</f>
        <v>0</v>
      </c>
      <c r="BL70" s="18" t="str">
        <f>IF(Audit[[#This Row],[K-M P Value]]&gt;1-'General Info'!$B$12,"Continue", "Stop")</f>
        <v>Continue</v>
      </c>
      <c r="BM70" s="23" t="b">
        <f>IF(Audit[[#This Row],[Status - Continue or stop audit]] = "Continue", TRUE, IF(BL69 = "Continue", TRUE, FALSE))</f>
        <v>1</v>
      </c>
      <c r="BN70" s="23"/>
    </row>
    <row r="71" spans="1:66" ht="15" hidden="1" customHeight="1" x14ac:dyDescent="0.35">
      <c r="A71" s="18" t="str">
        <f>'Sampling Data'!AI71</f>
        <v/>
      </c>
      <c r="B71" s="18" t="str">
        <f>'Sampling Data'!A71</f>
        <v>0901 CIN 9-A   (AV)</v>
      </c>
      <c r="C71" s="18">
        <f>'Sampling Data'!B71</f>
        <v>0</v>
      </c>
      <c r="D71" s="18">
        <f>'Sampling Data'!C71</f>
        <v>0</v>
      </c>
      <c r="E71" s="19">
        <f>'Sampling Data'!D71</f>
        <v>0</v>
      </c>
      <c r="F71" s="19">
        <f>'Sampling Data'!E71</f>
        <v>0</v>
      </c>
      <c r="G71" s="19">
        <f>'Sampling Data'!F71</f>
        <v>0</v>
      </c>
      <c r="H71" s="19">
        <f>'Sampling Data'!G71</f>
        <v>0</v>
      </c>
      <c r="I71" s="19">
        <f>'Sampling Data'!H71</f>
        <v>0</v>
      </c>
      <c r="J71" s="19">
        <f>'Sampling Data'!I71</f>
        <v>0</v>
      </c>
      <c r="K71" s="19">
        <f>'Sampling Data'!J71</f>
        <v>0</v>
      </c>
      <c r="L71" s="19">
        <f>'Sampling Data'!K71</f>
        <v>0</v>
      </c>
      <c r="M71" s="19">
        <f>'Sampling Data'!L71</f>
        <v>0</v>
      </c>
      <c r="N71" s="19">
        <f>'Sampling Data'!M71</f>
        <v>0</v>
      </c>
      <c r="O71" s="18">
        <f>'Sampling Data'!N71</f>
        <v>0</v>
      </c>
      <c r="P71" s="18">
        <f>'Sampling Data'!O71</f>
        <v>0</v>
      </c>
      <c r="Q71" s="18">
        <f>'Sampling Data'!P71</f>
        <v>0</v>
      </c>
      <c r="R71" s="18">
        <f>'Sampling Data'!AJ71</f>
        <v>0</v>
      </c>
      <c r="S71" s="112"/>
      <c r="T71" s="112"/>
      <c r="U71" s="113"/>
      <c r="V71" s="113"/>
      <c r="W71" s="112"/>
      <c r="X71" s="112"/>
      <c r="Y71" s="112"/>
      <c r="Z71" s="112"/>
      <c r="AA71" s="15"/>
      <c r="AB71" s="15"/>
      <c r="AC71" s="15"/>
      <c r="AD71" s="15"/>
      <c r="AE71" s="114" t="str">
        <f>IF(NOT(ISBLANK(Audit[[#This Row],[Audit Winning Candidate]])), Audit[[#This Row],[Audit Winning Candidate]]-Audit[[#This Row],[Winning Candidate]], "")</f>
        <v/>
      </c>
      <c r="AF71" s="18" t="str">
        <f>IF(NOT(ISBLANK(Audit[[#This Row],[Audit Losing Candidate]])), Audit[[#This Row],[Audit Losing Candidate]]-Audit[[#This Row],[Losing Candidate]], "")</f>
        <v/>
      </c>
      <c r="AG71" s="18" t="str">
        <f>IF(NOT(ISBLANK(Audit[[#This Row],[Audit Candidate 3]])), Audit[[#This Row],[Audit Candidate 3]]-Audit[[#This Row],[Candidate 3]], "")</f>
        <v/>
      </c>
      <c r="AH71" s="18" t="str">
        <f>IF(NOT(ISBLANK(Audit[[#This Row],[Audit Candidate 4]])),Audit[[#This Row],[Audit Candidate 4]]-Audit[[#This Row],[Candidate 4]], "")</f>
        <v/>
      </c>
      <c r="AI71" s="18" t="str">
        <f>IF(NOT(ISBLANK(Audit[[#This Row],[Audit Candidate 5]])), Audit[[#This Row],[Audit Candidate 5]]-Audit[[#This Row],[Candidate 5]], "")</f>
        <v/>
      </c>
      <c r="AJ71" s="18" t="str">
        <f>IF(NOT(ISBLANK(Audit[[#This Row],[Audit Candidate 6]])), Audit[[#This Row],[Audit Candidate 6]]-Audit[[#This Row],[Candidate 6]], "")</f>
        <v/>
      </c>
      <c r="AK71" s="18" t="str">
        <f>IF(NOT(ISBLANK(Audit[[#This Row],[Audit Candidate 7]])), Audit[[#This Row],[Audit Candidate 7]]-Audit[[#This Row],[Candidate 7]], "")</f>
        <v/>
      </c>
      <c r="AL71" s="18" t="str">
        <f>IF(NOT(ISBLANK(Audit[[#This Row],[Audit Candidate 8]])), Audit[[#This Row],[Audit Candidate 8]]-Audit[[#This Row],[Candidate 8]], "")</f>
        <v/>
      </c>
      <c r="AM71" s="18" t="str">
        <f>IF(NOT(ISBLANK(Audit[[#This Row],[Audit Candidate 9]])), Audit[[#This Row],[Audit Candidate 9]]-Audit[[#This Row],[Candidate 9]], "")</f>
        <v/>
      </c>
      <c r="AN71" s="18" t="str">
        <f>IF(NOT(ISBLANK(Audit[[#This Row],[Audit Candidate 10]])), Audit[[#This Row],[Audit Candidate 10]]-Audit[[#This Row],[Candidate 10]], "")</f>
        <v/>
      </c>
      <c r="AO71" s="18" t="str">
        <f>IF(NOT(ISBLANK(Audit[[#This Row],[Audit Candidate 11]])), Audit[[#This Row],[Audit Candidate 11]]-Audit[[#This Row],[Candidate 11]], "")</f>
        <v/>
      </c>
      <c r="AP71" s="18" t="str">
        <f>IF(NOT(ISBLANK(Audit[[#This Row],[Audit Candidate 12]])), Audit[[#This Row],[Audit Candidate 12]]-Audit[[#This Row],[Candidate 12]], "")</f>
        <v/>
      </c>
      <c r="AQ71" s="18">
        <f>SUMIF(Audit[[#This Row],[Difference Winner]:[Difference Candidate 12]], "&gt;0")</f>
        <v>0</v>
      </c>
      <c r="AR71" s="18">
        <f>SUM(Audit[[#This Row],[Difference Winner]:[Difference Candidate 12]])</f>
        <v>0</v>
      </c>
      <c r="AS71" s="18">
        <f>IF(Audit[[#This Row],[Times p Drawn - With Replacement]]&gt;0, IF(Audit[[#This Row],[Canceled Differences]]&lt;0, Audit[[#This Row],[Max Differences]]+ABS(Audit[[#This Row],[Canceled Differences]]), Audit[[#This Row],[Max Differences]]), 0)</f>
        <v>0</v>
      </c>
      <c r="AT71" s="18">
        <f>'Sampling Data'!AB71</f>
        <v>0</v>
      </c>
      <c r="AU71" s="18">
        <f>IF(
      SUM(Audit[[#This Row],[Audit Losing Candidate]:[Audit Candidate 12]])
      &lt;&gt;0,
      (Audit[[#This Row],[Winning Candidate]]-Audit[[#This Row],[Losing Candidate]]-(Audit[[#This Row],[Audit Winning Candidate]]-Audit[[#This Row],[Audit Losing Candidate]]))/(Audit[[#Totals],[Winning Candidate]]-Audit[[#Totals],[Losing Candidate]]),
      0
)</f>
        <v>0</v>
      </c>
      <c r="AV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8">
        <f>IF(Audit[[#This Row],[Max Relative Error (ep)]] = 0, 0, Audit[[#This Row],[Max Relative Error (ep)]]/Audit[[#This Row],[Error Bound (up) - Max. possible relative overstatement]])</f>
        <v>0</v>
      </c>
      <c r="BH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 s="18">
        <f t="shared" si="1"/>
        <v>1</v>
      </c>
      <c r="BJ71" s="18">
        <f>PRODUCT($BI$5:BI71)</f>
        <v>1</v>
      </c>
      <c r="BK71" s="20">
        <f>1 - Audit[[#This Row],[K-M P Value]]</f>
        <v>0</v>
      </c>
      <c r="BL71" s="18" t="str">
        <f>IF(Audit[[#This Row],[K-M P Value]]&gt;1-'General Info'!$B$12,"Continue", "Stop")</f>
        <v>Continue</v>
      </c>
      <c r="BM71" s="23" t="b">
        <f>IF(Audit[[#This Row],[Status - Continue or stop audit]] = "Continue", TRUE, IF(BL70 = "Continue", TRUE, FALSE))</f>
        <v>1</v>
      </c>
      <c r="BN71" s="23"/>
    </row>
    <row r="72" spans="1:66" ht="15" hidden="1" customHeight="1" x14ac:dyDescent="0.35">
      <c r="A72" s="18" t="str">
        <f>'Sampling Data'!AI72</f>
        <v/>
      </c>
      <c r="B72" s="18" t="str">
        <f>'Sampling Data'!A72</f>
        <v>0902 CIN 9-B   (AV)</v>
      </c>
      <c r="C72" s="18">
        <f>'Sampling Data'!B72</f>
        <v>6</v>
      </c>
      <c r="D72" s="18">
        <f>'Sampling Data'!C72</f>
        <v>1</v>
      </c>
      <c r="E72" s="19">
        <f>'Sampling Data'!D72</f>
        <v>0</v>
      </c>
      <c r="F72" s="19">
        <f>'Sampling Data'!E72</f>
        <v>0</v>
      </c>
      <c r="G72" s="19">
        <f>'Sampling Data'!F72</f>
        <v>0</v>
      </c>
      <c r="H72" s="19">
        <f>'Sampling Data'!G72</f>
        <v>0</v>
      </c>
      <c r="I72" s="19">
        <f>'Sampling Data'!H72</f>
        <v>0</v>
      </c>
      <c r="J72" s="19">
        <f>'Sampling Data'!I72</f>
        <v>0</v>
      </c>
      <c r="K72" s="19">
        <f>'Sampling Data'!J72</f>
        <v>0</v>
      </c>
      <c r="L72" s="19">
        <f>'Sampling Data'!K72</f>
        <v>0</v>
      </c>
      <c r="M72" s="19">
        <f>'Sampling Data'!L72</f>
        <v>0</v>
      </c>
      <c r="N72" s="19">
        <f>'Sampling Data'!M72</f>
        <v>0</v>
      </c>
      <c r="O72" s="18">
        <f>'Sampling Data'!N72</f>
        <v>0</v>
      </c>
      <c r="P72" s="18">
        <f>'Sampling Data'!O72</f>
        <v>1</v>
      </c>
      <c r="Q72" s="18">
        <f>'Sampling Data'!P72</f>
        <v>8</v>
      </c>
      <c r="R72" s="18">
        <f>'Sampling Data'!AJ72</f>
        <v>0</v>
      </c>
      <c r="S72" s="112"/>
      <c r="T72" s="112"/>
      <c r="U72" s="113"/>
      <c r="V72" s="113"/>
      <c r="W72" s="112"/>
      <c r="X72" s="112"/>
      <c r="Y72" s="112"/>
      <c r="Z72" s="112"/>
      <c r="AA72" s="15"/>
      <c r="AB72" s="15"/>
      <c r="AC72" s="15"/>
      <c r="AD72" s="15"/>
      <c r="AE72" s="114" t="str">
        <f>IF(NOT(ISBLANK(Audit[[#This Row],[Audit Winning Candidate]])), Audit[[#This Row],[Audit Winning Candidate]]-Audit[[#This Row],[Winning Candidate]], "")</f>
        <v/>
      </c>
      <c r="AF72" s="18" t="str">
        <f>IF(NOT(ISBLANK(Audit[[#This Row],[Audit Losing Candidate]])), Audit[[#This Row],[Audit Losing Candidate]]-Audit[[#This Row],[Losing Candidate]], "")</f>
        <v/>
      </c>
      <c r="AG72" s="18" t="str">
        <f>IF(NOT(ISBLANK(Audit[[#This Row],[Audit Candidate 3]])), Audit[[#This Row],[Audit Candidate 3]]-Audit[[#This Row],[Candidate 3]], "")</f>
        <v/>
      </c>
      <c r="AH72" s="18" t="str">
        <f>IF(NOT(ISBLANK(Audit[[#This Row],[Audit Candidate 4]])),Audit[[#This Row],[Audit Candidate 4]]-Audit[[#This Row],[Candidate 4]], "")</f>
        <v/>
      </c>
      <c r="AI72" s="18" t="str">
        <f>IF(NOT(ISBLANK(Audit[[#This Row],[Audit Candidate 5]])), Audit[[#This Row],[Audit Candidate 5]]-Audit[[#This Row],[Candidate 5]], "")</f>
        <v/>
      </c>
      <c r="AJ72" s="18" t="str">
        <f>IF(NOT(ISBLANK(Audit[[#This Row],[Audit Candidate 6]])), Audit[[#This Row],[Audit Candidate 6]]-Audit[[#This Row],[Candidate 6]], "")</f>
        <v/>
      </c>
      <c r="AK72" s="18" t="str">
        <f>IF(NOT(ISBLANK(Audit[[#This Row],[Audit Candidate 7]])), Audit[[#This Row],[Audit Candidate 7]]-Audit[[#This Row],[Candidate 7]], "")</f>
        <v/>
      </c>
      <c r="AL72" s="18" t="str">
        <f>IF(NOT(ISBLANK(Audit[[#This Row],[Audit Candidate 8]])), Audit[[#This Row],[Audit Candidate 8]]-Audit[[#This Row],[Candidate 8]], "")</f>
        <v/>
      </c>
      <c r="AM72" s="18" t="str">
        <f>IF(NOT(ISBLANK(Audit[[#This Row],[Audit Candidate 9]])), Audit[[#This Row],[Audit Candidate 9]]-Audit[[#This Row],[Candidate 9]], "")</f>
        <v/>
      </c>
      <c r="AN72" s="18" t="str">
        <f>IF(NOT(ISBLANK(Audit[[#This Row],[Audit Candidate 10]])), Audit[[#This Row],[Audit Candidate 10]]-Audit[[#This Row],[Candidate 10]], "")</f>
        <v/>
      </c>
      <c r="AO72" s="18" t="str">
        <f>IF(NOT(ISBLANK(Audit[[#This Row],[Audit Candidate 11]])), Audit[[#This Row],[Audit Candidate 11]]-Audit[[#This Row],[Candidate 11]], "")</f>
        <v/>
      </c>
      <c r="AP72" s="18" t="str">
        <f>IF(NOT(ISBLANK(Audit[[#This Row],[Audit Candidate 12]])), Audit[[#This Row],[Audit Candidate 12]]-Audit[[#This Row],[Candidate 12]], "")</f>
        <v/>
      </c>
      <c r="AQ72" s="18">
        <f>SUMIF(Audit[[#This Row],[Difference Winner]:[Difference Candidate 12]], "&gt;0")</f>
        <v>0</v>
      </c>
      <c r="AR72" s="18">
        <f>SUM(Audit[[#This Row],[Difference Winner]:[Difference Candidate 12]])</f>
        <v>0</v>
      </c>
      <c r="AS72" s="18">
        <f>IF(Audit[[#This Row],[Times p Drawn - With Replacement]]&gt;0, IF(Audit[[#This Row],[Canceled Differences]]&lt;0, Audit[[#This Row],[Max Differences]]+ABS(Audit[[#This Row],[Canceled Differences]]), Audit[[#This Row],[Max Differences]]), 0)</f>
        <v>0</v>
      </c>
      <c r="AT72" s="18">
        <f>'Sampling Data'!AB72</f>
        <v>4.0832993058391182E-4</v>
      </c>
      <c r="AU72" s="18">
        <f>IF(
      SUM(Audit[[#This Row],[Audit Losing Candidate]:[Audit Candidate 12]])
      &lt;&gt;0,
      (Audit[[#This Row],[Winning Candidate]]-Audit[[#This Row],[Losing Candidate]]-(Audit[[#This Row],[Audit Winning Candidate]]-Audit[[#This Row],[Audit Losing Candidate]]))/(Audit[[#Totals],[Winning Candidate]]-Audit[[#Totals],[Losing Candidate]]),
      0
)</f>
        <v>0</v>
      </c>
      <c r="AV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8">
        <f>IF(Audit[[#This Row],[Max Relative Error (ep)]] = 0, 0, Audit[[#This Row],[Max Relative Error (ep)]]/Audit[[#This Row],[Error Bound (up) - Max. possible relative overstatement]])</f>
        <v>0</v>
      </c>
      <c r="BH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 s="18">
        <f t="shared" si="1"/>
        <v>1</v>
      </c>
      <c r="BJ72" s="18">
        <f>PRODUCT($BI$5:BI72)</f>
        <v>1</v>
      </c>
      <c r="BK72" s="20">
        <f>1 - Audit[[#This Row],[K-M P Value]]</f>
        <v>0</v>
      </c>
      <c r="BL72" s="18" t="str">
        <f>IF(Audit[[#This Row],[K-M P Value]]&gt;1-'General Info'!$B$12,"Continue", "Stop")</f>
        <v>Continue</v>
      </c>
      <c r="BM72" s="23" t="b">
        <f>IF(Audit[[#This Row],[Status - Continue or stop audit]] = "Continue", TRUE, IF(BL71 = "Continue", TRUE, FALSE))</f>
        <v>1</v>
      </c>
      <c r="BN72" s="23"/>
    </row>
    <row r="73" spans="1:66" ht="15" hidden="1" customHeight="1" x14ac:dyDescent="0.35">
      <c r="A73" s="18" t="str">
        <f>'Sampling Data'!AI73</f>
        <v/>
      </c>
      <c r="B73" s="18" t="str">
        <f>'Sampling Data'!A73</f>
        <v>0903 CIN 9-C   (AV)</v>
      </c>
      <c r="C73" s="18">
        <f>'Sampling Data'!B73</f>
        <v>0</v>
      </c>
      <c r="D73" s="18">
        <f>'Sampling Data'!C73</f>
        <v>1</v>
      </c>
      <c r="E73" s="19">
        <f>'Sampling Data'!D73</f>
        <v>0</v>
      </c>
      <c r="F73" s="19">
        <f>'Sampling Data'!E73</f>
        <v>0</v>
      </c>
      <c r="G73" s="19">
        <f>'Sampling Data'!F73</f>
        <v>0</v>
      </c>
      <c r="H73" s="19">
        <f>'Sampling Data'!G73</f>
        <v>0</v>
      </c>
      <c r="I73" s="19">
        <f>'Sampling Data'!H73</f>
        <v>0</v>
      </c>
      <c r="J73" s="19">
        <f>'Sampling Data'!I73</f>
        <v>0</v>
      </c>
      <c r="K73" s="19">
        <f>'Sampling Data'!J73</f>
        <v>0</v>
      </c>
      <c r="L73" s="19">
        <f>'Sampling Data'!K73</f>
        <v>0</v>
      </c>
      <c r="M73" s="19">
        <f>'Sampling Data'!L73</f>
        <v>0</v>
      </c>
      <c r="N73" s="19">
        <f>'Sampling Data'!M73</f>
        <v>0</v>
      </c>
      <c r="O73" s="18">
        <f>'Sampling Data'!N73</f>
        <v>0</v>
      </c>
      <c r="P73" s="18">
        <f>'Sampling Data'!O73</f>
        <v>0</v>
      </c>
      <c r="Q73" s="18">
        <f>'Sampling Data'!P73</f>
        <v>1</v>
      </c>
      <c r="R73" s="18">
        <f>'Sampling Data'!AJ73</f>
        <v>0</v>
      </c>
      <c r="S73" s="112"/>
      <c r="T73" s="112"/>
      <c r="U73" s="113"/>
      <c r="V73" s="113"/>
      <c r="W73" s="112"/>
      <c r="X73" s="112"/>
      <c r="Y73" s="112"/>
      <c r="Z73" s="112"/>
      <c r="AA73" s="15"/>
      <c r="AB73" s="15"/>
      <c r="AC73" s="15"/>
      <c r="AD73" s="15"/>
      <c r="AE73" s="114" t="str">
        <f>IF(NOT(ISBLANK(Audit[[#This Row],[Audit Winning Candidate]])), Audit[[#This Row],[Audit Winning Candidate]]-Audit[[#This Row],[Winning Candidate]], "")</f>
        <v/>
      </c>
      <c r="AF73" s="18" t="str">
        <f>IF(NOT(ISBLANK(Audit[[#This Row],[Audit Losing Candidate]])), Audit[[#This Row],[Audit Losing Candidate]]-Audit[[#This Row],[Losing Candidate]], "")</f>
        <v/>
      </c>
      <c r="AG73" s="18" t="str">
        <f>IF(NOT(ISBLANK(Audit[[#This Row],[Audit Candidate 3]])), Audit[[#This Row],[Audit Candidate 3]]-Audit[[#This Row],[Candidate 3]], "")</f>
        <v/>
      </c>
      <c r="AH73" s="18" t="str">
        <f>IF(NOT(ISBLANK(Audit[[#This Row],[Audit Candidate 4]])),Audit[[#This Row],[Audit Candidate 4]]-Audit[[#This Row],[Candidate 4]], "")</f>
        <v/>
      </c>
      <c r="AI73" s="18" t="str">
        <f>IF(NOT(ISBLANK(Audit[[#This Row],[Audit Candidate 5]])), Audit[[#This Row],[Audit Candidate 5]]-Audit[[#This Row],[Candidate 5]], "")</f>
        <v/>
      </c>
      <c r="AJ73" s="18" t="str">
        <f>IF(NOT(ISBLANK(Audit[[#This Row],[Audit Candidate 6]])), Audit[[#This Row],[Audit Candidate 6]]-Audit[[#This Row],[Candidate 6]], "")</f>
        <v/>
      </c>
      <c r="AK73" s="18" t="str">
        <f>IF(NOT(ISBLANK(Audit[[#This Row],[Audit Candidate 7]])), Audit[[#This Row],[Audit Candidate 7]]-Audit[[#This Row],[Candidate 7]], "")</f>
        <v/>
      </c>
      <c r="AL73" s="18" t="str">
        <f>IF(NOT(ISBLANK(Audit[[#This Row],[Audit Candidate 8]])), Audit[[#This Row],[Audit Candidate 8]]-Audit[[#This Row],[Candidate 8]], "")</f>
        <v/>
      </c>
      <c r="AM73" s="18" t="str">
        <f>IF(NOT(ISBLANK(Audit[[#This Row],[Audit Candidate 9]])), Audit[[#This Row],[Audit Candidate 9]]-Audit[[#This Row],[Candidate 9]], "")</f>
        <v/>
      </c>
      <c r="AN73" s="18" t="str">
        <f>IF(NOT(ISBLANK(Audit[[#This Row],[Audit Candidate 10]])), Audit[[#This Row],[Audit Candidate 10]]-Audit[[#This Row],[Candidate 10]], "")</f>
        <v/>
      </c>
      <c r="AO73" s="18" t="str">
        <f>IF(NOT(ISBLANK(Audit[[#This Row],[Audit Candidate 11]])), Audit[[#This Row],[Audit Candidate 11]]-Audit[[#This Row],[Candidate 11]], "")</f>
        <v/>
      </c>
      <c r="AP73" s="18" t="str">
        <f>IF(NOT(ISBLANK(Audit[[#This Row],[Audit Candidate 12]])), Audit[[#This Row],[Audit Candidate 12]]-Audit[[#This Row],[Candidate 12]], "")</f>
        <v/>
      </c>
      <c r="AQ73" s="18">
        <f>SUMIF(Audit[[#This Row],[Difference Winner]:[Difference Candidate 12]], "&gt;0")</f>
        <v>0</v>
      </c>
      <c r="AR73" s="18">
        <f>SUM(Audit[[#This Row],[Difference Winner]:[Difference Candidate 12]])</f>
        <v>0</v>
      </c>
      <c r="AS73" s="18">
        <f>IF(Audit[[#This Row],[Times p Drawn - With Replacement]]&gt;0, IF(Audit[[#This Row],[Canceled Differences]]&lt;0, Audit[[#This Row],[Max Differences]]+ABS(Audit[[#This Row],[Canceled Differences]]), Audit[[#This Row],[Max Differences]]), 0)</f>
        <v>0</v>
      </c>
      <c r="AT73" s="18">
        <f>'Sampling Data'!AB73</f>
        <v>0</v>
      </c>
      <c r="AU73" s="18">
        <f>IF(
      SUM(Audit[[#This Row],[Audit Losing Candidate]:[Audit Candidate 12]])
      &lt;&gt;0,
      (Audit[[#This Row],[Winning Candidate]]-Audit[[#This Row],[Losing Candidate]]-(Audit[[#This Row],[Audit Winning Candidate]]-Audit[[#This Row],[Audit Losing Candidate]]))/(Audit[[#Totals],[Winning Candidate]]-Audit[[#Totals],[Losing Candidate]]),
      0
)</f>
        <v>0</v>
      </c>
      <c r="AV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8">
        <f>IF(Audit[[#This Row],[Max Relative Error (ep)]] = 0, 0, Audit[[#This Row],[Max Relative Error (ep)]]/Audit[[#This Row],[Error Bound (up) - Max. possible relative overstatement]])</f>
        <v>0</v>
      </c>
      <c r="BH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 s="18">
        <f t="shared" si="1"/>
        <v>1</v>
      </c>
      <c r="BJ73" s="18">
        <f>PRODUCT($BI$5:BI73)</f>
        <v>1</v>
      </c>
      <c r="BK73" s="20">
        <f>1 - Audit[[#This Row],[K-M P Value]]</f>
        <v>0</v>
      </c>
      <c r="BL73" s="18" t="str">
        <f>IF(Audit[[#This Row],[K-M P Value]]&gt;1-'General Info'!$B$12,"Continue", "Stop")</f>
        <v>Continue</v>
      </c>
      <c r="BM73" s="23" t="b">
        <f>IF(Audit[[#This Row],[Status - Continue or stop audit]] = "Continue", TRUE, IF(BL72 = "Continue", TRUE, FALSE))</f>
        <v>1</v>
      </c>
      <c r="BN73" s="23"/>
    </row>
    <row r="74" spans="1:66" ht="15" hidden="1" customHeight="1" x14ac:dyDescent="0.35">
      <c r="A74" s="18" t="str">
        <f>'Sampling Data'!AI74</f>
        <v/>
      </c>
      <c r="B74" s="18" t="str">
        <f>'Sampling Data'!A74</f>
        <v>0904 CIN 9-D   (AV)</v>
      </c>
      <c r="C74" s="18">
        <f>'Sampling Data'!B74</f>
        <v>0</v>
      </c>
      <c r="D74" s="18">
        <f>'Sampling Data'!C74</f>
        <v>0</v>
      </c>
      <c r="E74" s="19">
        <f>'Sampling Data'!D74</f>
        <v>0</v>
      </c>
      <c r="F74" s="19">
        <f>'Sampling Data'!E74</f>
        <v>0</v>
      </c>
      <c r="G74" s="19">
        <f>'Sampling Data'!F74</f>
        <v>0</v>
      </c>
      <c r="H74" s="19">
        <f>'Sampling Data'!G74</f>
        <v>0</v>
      </c>
      <c r="I74" s="19">
        <f>'Sampling Data'!H74</f>
        <v>0</v>
      </c>
      <c r="J74" s="19">
        <f>'Sampling Data'!I74</f>
        <v>0</v>
      </c>
      <c r="K74" s="19">
        <f>'Sampling Data'!J74</f>
        <v>0</v>
      </c>
      <c r="L74" s="19">
        <f>'Sampling Data'!K74</f>
        <v>0</v>
      </c>
      <c r="M74" s="19">
        <f>'Sampling Data'!L74</f>
        <v>0</v>
      </c>
      <c r="N74" s="19">
        <f>'Sampling Data'!M74</f>
        <v>0</v>
      </c>
      <c r="O74" s="18">
        <f>'Sampling Data'!N74</f>
        <v>0</v>
      </c>
      <c r="P74" s="18">
        <f>'Sampling Data'!O74</f>
        <v>1</v>
      </c>
      <c r="Q74" s="18">
        <f>'Sampling Data'!P74</f>
        <v>1</v>
      </c>
      <c r="R74" s="18">
        <f>'Sampling Data'!AJ74</f>
        <v>0</v>
      </c>
      <c r="S74" s="112"/>
      <c r="T74" s="112"/>
      <c r="U74" s="113"/>
      <c r="V74" s="113"/>
      <c r="W74" s="112"/>
      <c r="X74" s="112"/>
      <c r="Y74" s="112"/>
      <c r="Z74" s="112"/>
      <c r="AA74" s="15"/>
      <c r="AB74" s="15"/>
      <c r="AC74" s="15"/>
      <c r="AD74" s="15"/>
      <c r="AE74" s="114" t="str">
        <f>IF(NOT(ISBLANK(Audit[[#This Row],[Audit Winning Candidate]])), Audit[[#This Row],[Audit Winning Candidate]]-Audit[[#This Row],[Winning Candidate]], "")</f>
        <v/>
      </c>
      <c r="AF74" s="18" t="str">
        <f>IF(NOT(ISBLANK(Audit[[#This Row],[Audit Losing Candidate]])), Audit[[#This Row],[Audit Losing Candidate]]-Audit[[#This Row],[Losing Candidate]], "")</f>
        <v/>
      </c>
      <c r="AG74" s="18" t="str">
        <f>IF(NOT(ISBLANK(Audit[[#This Row],[Audit Candidate 3]])), Audit[[#This Row],[Audit Candidate 3]]-Audit[[#This Row],[Candidate 3]], "")</f>
        <v/>
      </c>
      <c r="AH74" s="18" t="str">
        <f>IF(NOT(ISBLANK(Audit[[#This Row],[Audit Candidate 4]])),Audit[[#This Row],[Audit Candidate 4]]-Audit[[#This Row],[Candidate 4]], "")</f>
        <v/>
      </c>
      <c r="AI74" s="18" t="str">
        <f>IF(NOT(ISBLANK(Audit[[#This Row],[Audit Candidate 5]])), Audit[[#This Row],[Audit Candidate 5]]-Audit[[#This Row],[Candidate 5]], "")</f>
        <v/>
      </c>
      <c r="AJ74" s="18" t="str">
        <f>IF(NOT(ISBLANK(Audit[[#This Row],[Audit Candidate 6]])), Audit[[#This Row],[Audit Candidate 6]]-Audit[[#This Row],[Candidate 6]], "")</f>
        <v/>
      </c>
      <c r="AK74" s="18" t="str">
        <f>IF(NOT(ISBLANK(Audit[[#This Row],[Audit Candidate 7]])), Audit[[#This Row],[Audit Candidate 7]]-Audit[[#This Row],[Candidate 7]], "")</f>
        <v/>
      </c>
      <c r="AL74" s="18" t="str">
        <f>IF(NOT(ISBLANK(Audit[[#This Row],[Audit Candidate 8]])), Audit[[#This Row],[Audit Candidate 8]]-Audit[[#This Row],[Candidate 8]], "")</f>
        <v/>
      </c>
      <c r="AM74" s="18" t="str">
        <f>IF(NOT(ISBLANK(Audit[[#This Row],[Audit Candidate 9]])), Audit[[#This Row],[Audit Candidate 9]]-Audit[[#This Row],[Candidate 9]], "")</f>
        <v/>
      </c>
      <c r="AN74" s="18" t="str">
        <f>IF(NOT(ISBLANK(Audit[[#This Row],[Audit Candidate 10]])), Audit[[#This Row],[Audit Candidate 10]]-Audit[[#This Row],[Candidate 10]], "")</f>
        <v/>
      </c>
      <c r="AO74" s="18" t="str">
        <f>IF(NOT(ISBLANK(Audit[[#This Row],[Audit Candidate 11]])), Audit[[#This Row],[Audit Candidate 11]]-Audit[[#This Row],[Candidate 11]], "")</f>
        <v/>
      </c>
      <c r="AP74" s="18" t="str">
        <f>IF(NOT(ISBLANK(Audit[[#This Row],[Audit Candidate 12]])), Audit[[#This Row],[Audit Candidate 12]]-Audit[[#This Row],[Candidate 12]], "")</f>
        <v/>
      </c>
      <c r="AQ74" s="18">
        <f>SUMIF(Audit[[#This Row],[Difference Winner]:[Difference Candidate 12]], "&gt;0")</f>
        <v>0</v>
      </c>
      <c r="AR74" s="18">
        <f>SUM(Audit[[#This Row],[Difference Winner]:[Difference Candidate 12]])</f>
        <v>0</v>
      </c>
      <c r="AS74" s="18">
        <f>IF(Audit[[#This Row],[Times p Drawn - With Replacement]]&gt;0, IF(Audit[[#This Row],[Canceled Differences]]&lt;0, Audit[[#This Row],[Max Differences]]+ABS(Audit[[#This Row],[Canceled Differences]]), Audit[[#This Row],[Max Differences]]), 0)</f>
        <v>0</v>
      </c>
      <c r="AT74" s="18">
        <f>'Sampling Data'!AB74</f>
        <v>3.1409994660300905E-5</v>
      </c>
      <c r="AU74" s="18">
        <f>IF(
      SUM(Audit[[#This Row],[Audit Losing Candidate]:[Audit Candidate 12]])
      &lt;&gt;0,
      (Audit[[#This Row],[Winning Candidate]]-Audit[[#This Row],[Losing Candidate]]-(Audit[[#This Row],[Audit Winning Candidate]]-Audit[[#This Row],[Audit Losing Candidate]]))/(Audit[[#Totals],[Winning Candidate]]-Audit[[#Totals],[Losing Candidate]]),
      0
)</f>
        <v>0</v>
      </c>
      <c r="AV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8">
        <f>IF(Audit[[#This Row],[Max Relative Error (ep)]] = 0, 0, Audit[[#This Row],[Max Relative Error (ep)]]/Audit[[#This Row],[Error Bound (up) - Max. possible relative overstatement]])</f>
        <v>0</v>
      </c>
      <c r="BH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 s="18">
        <f t="shared" si="1"/>
        <v>1</v>
      </c>
      <c r="BJ74" s="18">
        <f>PRODUCT($BI$5:BI74)</f>
        <v>1</v>
      </c>
      <c r="BK74" s="20">
        <f>1 - Audit[[#This Row],[K-M P Value]]</f>
        <v>0</v>
      </c>
      <c r="BL74" s="18" t="str">
        <f>IF(Audit[[#This Row],[K-M P Value]]&gt;1-'General Info'!$B$12,"Continue", "Stop")</f>
        <v>Continue</v>
      </c>
      <c r="BM74" s="23" t="b">
        <f>IF(Audit[[#This Row],[Status - Continue or stop audit]] = "Continue", TRUE, IF(BL73 = "Continue", TRUE, FALSE))</f>
        <v>1</v>
      </c>
      <c r="BN74" s="23"/>
    </row>
    <row r="75" spans="1:66" ht="15" hidden="1" customHeight="1" x14ac:dyDescent="0.35">
      <c r="A75" s="18" t="str">
        <f>'Sampling Data'!AI75</f>
        <v/>
      </c>
      <c r="B75" s="18" t="str">
        <f>'Sampling Data'!A75</f>
        <v>1001 CIN 10-A   (AV)</v>
      </c>
      <c r="C75" s="18">
        <f>'Sampling Data'!B75</f>
        <v>4</v>
      </c>
      <c r="D75" s="18">
        <f>'Sampling Data'!C75</f>
        <v>0</v>
      </c>
      <c r="E75" s="19">
        <f>'Sampling Data'!D75</f>
        <v>0</v>
      </c>
      <c r="F75" s="19">
        <f>'Sampling Data'!E75</f>
        <v>0</v>
      </c>
      <c r="G75" s="19">
        <f>'Sampling Data'!F75</f>
        <v>0</v>
      </c>
      <c r="H75" s="19">
        <f>'Sampling Data'!G75</f>
        <v>0</v>
      </c>
      <c r="I75" s="19">
        <f>'Sampling Data'!H75</f>
        <v>0</v>
      </c>
      <c r="J75" s="19">
        <f>'Sampling Data'!I75</f>
        <v>0</v>
      </c>
      <c r="K75" s="19">
        <f>'Sampling Data'!J75</f>
        <v>0</v>
      </c>
      <c r="L75" s="19">
        <f>'Sampling Data'!K75</f>
        <v>0</v>
      </c>
      <c r="M75" s="19">
        <f>'Sampling Data'!L75</f>
        <v>0</v>
      </c>
      <c r="N75" s="19">
        <f>'Sampling Data'!M75</f>
        <v>0</v>
      </c>
      <c r="O75" s="18">
        <f>'Sampling Data'!N75</f>
        <v>0</v>
      </c>
      <c r="P75" s="18">
        <f>'Sampling Data'!O75</f>
        <v>0</v>
      </c>
      <c r="Q75" s="18">
        <f>'Sampling Data'!P75</f>
        <v>4</v>
      </c>
      <c r="R75" s="18">
        <f>'Sampling Data'!AJ75</f>
        <v>0</v>
      </c>
      <c r="S75" s="112"/>
      <c r="T75" s="112"/>
      <c r="U75" s="113"/>
      <c r="V75" s="113"/>
      <c r="W75" s="112"/>
      <c r="X75" s="112"/>
      <c r="Y75" s="112"/>
      <c r="Z75" s="112"/>
      <c r="AA75" s="15"/>
      <c r="AB75" s="15"/>
      <c r="AC75" s="15"/>
      <c r="AD75" s="15"/>
      <c r="AE75" s="114" t="str">
        <f>IF(NOT(ISBLANK(Audit[[#This Row],[Audit Winning Candidate]])), Audit[[#This Row],[Audit Winning Candidate]]-Audit[[#This Row],[Winning Candidate]], "")</f>
        <v/>
      </c>
      <c r="AF75" s="18" t="str">
        <f>IF(NOT(ISBLANK(Audit[[#This Row],[Audit Losing Candidate]])), Audit[[#This Row],[Audit Losing Candidate]]-Audit[[#This Row],[Losing Candidate]], "")</f>
        <v/>
      </c>
      <c r="AG75" s="18" t="str">
        <f>IF(NOT(ISBLANK(Audit[[#This Row],[Audit Candidate 3]])), Audit[[#This Row],[Audit Candidate 3]]-Audit[[#This Row],[Candidate 3]], "")</f>
        <v/>
      </c>
      <c r="AH75" s="18" t="str">
        <f>IF(NOT(ISBLANK(Audit[[#This Row],[Audit Candidate 4]])),Audit[[#This Row],[Audit Candidate 4]]-Audit[[#This Row],[Candidate 4]], "")</f>
        <v/>
      </c>
      <c r="AI75" s="18" t="str">
        <f>IF(NOT(ISBLANK(Audit[[#This Row],[Audit Candidate 5]])), Audit[[#This Row],[Audit Candidate 5]]-Audit[[#This Row],[Candidate 5]], "")</f>
        <v/>
      </c>
      <c r="AJ75" s="18" t="str">
        <f>IF(NOT(ISBLANK(Audit[[#This Row],[Audit Candidate 6]])), Audit[[#This Row],[Audit Candidate 6]]-Audit[[#This Row],[Candidate 6]], "")</f>
        <v/>
      </c>
      <c r="AK75" s="18" t="str">
        <f>IF(NOT(ISBLANK(Audit[[#This Row],[Audit Candidate 7]])), Audit[[#This Row],[Audit Candidate 7]]-Audit[[#This Row],[Candidate 7]], "")</f>
        <v/>
      </c>
      <c r="AL75" s="18" t="str">
        <f>IF(NOT(ISBLANK(Audit[[#This Row],[Audit Candidate 8]])), Audit[[#This Row],[Audit Candidate 8]]-Audit[[#This Row],[Candidate 8]], "")</f>
        <v/>
      </c>
      <c r="AM75" s="18" t="str">
        <f>IF(NOT(ISBLANK(Audit[[#This Row],[Audit Candidate 9]])), Audit[[#This Row],[Audit Candidate 9]]-Audit[[#This Row],[Candidate 9]], "")</f>
        <v/>
      </c>
      <c r="AN75" s="18" t="str">
        <f>IF(NOT(ISBLANK(Audit[[#This Row],[Audit Candidate 10]])), Audit[[#This Row],[Audit Candidate 10]]-Audit[[#This Row],[Candidate 10]], "")</f>
        <v/>
      </c>
      <c r="AO75" s="18" t="str">
        <f>IF(NOT(ISBLANK(Audit[[#This Row],[Audit Candidate 11]])), Audit[[#This Row],[Audit Candidate 11]]-Audit[[#This Row],[Candidate 11]], "")</f>
        <v/>
      </c>
      <c r="AP75" s="18" t="str">
        <f>IF(NOT(ISBLANK(Audit[[#This Row],[Audit Candidate 12]])), Audit[[#This Row],[Audit Candidate 12]]-Audit[[#This Row],[Candidate 12]], "")</f>
        <v/>
      </c>
      <c r="AQ75" s="18">
        <f>SUMIF(Audit[[#This Row],[Difference Winner]:[Difference Candidate 12]], "&gt;0")</f>
        <v>0</v>
      </c>
      <c r="AR75" s="18">
        <f>SUM(Audit[[#This Row],[Difference Winner]:[Difference Candidate 12]])</f>
        <v>0</v>
      </c>
      <c r="AS75" s="18">
        <f>IF(Audit[[#This Row],[Times p Drawn - With Replacement]]&gt;0, IF(Audit[[#This Row],[Canceled Differences]]&lt;0, Audit[[#This Row],[Max Differences]]+ABS(Audit[[#This Row],[Canceled Differences]]), Audit[[#This Row],[Max Differences]]), 0)</f>
        <v>0</v>
      </c>
      <c r="AT75" s="18">
        <f>'Sampling Data'!AB75</f>
        <v>2.5127995728240724E-4</v>
      </c>
      <c r="AU75" s="18">
        <f>IF(
      SUM(Audit[[#This Row],[Audit Losing Candidate]:[Audit Candidate 12]])
      &lt;&gt;0,
      (Audit[[#This Row],[Winning Candidate]]-Audit[[#This Row],[Losing Candidate]]-(Audit[[#This Row],[Audit Winning Candidate]]-Audit[[#This Row],[Audit Losing Candidate]]))/(Audit[[#Totals],[Winning Candidate]]-Audit[[#Totals],[Losing Candidate]]),
      0
)</f>
        <v>0</v>
      </c>
      <c r="AV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8">
        <f>IF(Audit[[#This Row],[Max Relative Error (ep)]] = 0, 0, Audit[[#This Row],[Max Relative Error (ep)]]/Audit[[#This Row],[Error Bound (up) - Max. possible relative overstatement]])</f>
        <v>0</v>
      </c>
      <c r="BH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 s="18">
        <f t="shared" si="1"/>
        <v>1</v>
      </c>
      <c r="BJ75" s="18">
        <f>PRODUCT($BI$5:BI75)</f>
        <v>1</v>
      </c>
      <c r="BK75" s="20">
        <f>1 - Audit[[#This Row],[K-M P Value]]</f>
        <v>0</v>
      </c>
      <c r="BL75" s="18" t="str">
        <f>IF(Audit[[#This Row],[K-M P Value]]&gt;1-'General Info'!$B$12,"Continue", "Stop")</f>
        <v>Continue</v>
      </c>
      <c r="BM75" s="23" t="b">
        <f>IF(Audit[[#This Row],[Status - Continue or stop audit]] = "Continue", TRUE, IF(BL74 = "Continue", TRUE, FALSE))</f>
        <v>1</v>
      </c>
      <c r="BN75" s="23"/>
    </row>
    <row r="76" spans="1:66" ht="15" hidden="1" customHeight="1" x14ac:dyDescent="0.35">
      <c r="A76" s="18" t="str">
        <f>'Sampling Data'!AI76</f>
        <v/>
      </c>
      <c r="B76" s="18" t="str">
        <f>'Sampling Data'!A76</f>
        <v>1002 CIN 10-B   (AV)</v>
      </c>
      <c r="C76" s="18">
        <f>'Sampling Data'!B76</f>
        <v>0</v>
      </c>
      <c r="D76" s="18">
        <f>'Sampling Data'!C76</f>
        <v>0</v>
      </c>
      <c r="E76" s="19">
        <f>'Sampling Data'!D76</f>
        <v>0</v>
      </c>
      <c r="F76" s="19">
        <f>'Sampling Data'!E76</f>
        <v>0</v>
      </c>
      <c r="G76" s="19">
        <f>'Sampling Data'!F76</f>
        <v>0</v>
      </c>
      <c r="H76" s="19">
        <f>'Sampling Data'!G76</f>
        <v>0</v>
      </c>
      <c r="I76" s="19">
        <f>'Sampling Data'!H76</f>
        <v>0</v>
      </c>
      <c r="J76" s="19">
        <f>'Sampling Data'!I76</f>
        <v>0</v>
      </c>
      <c r="K76" s="19">
        <f>'Sampling Data'!J76</f>
        <v>0</v>
      </c>
      <c r="L76" s="19">
        <f>'Sampling Data'!K76</f>
        <v>0</v>
      </c>
      <c r="M76" s="19">
        <f>'Sampling Data'!L76</f>
        <v>0</v>
      </c>
      <c r="N76" s="19">
        <f>'Sampling Data'!M76</f>
        <v>0</v>
      </c>
      <c r="O76" s="18">
        <f>'Sampling Data'!N76</f>
        <v>0</v>
      </c>
      <c r="P76" s="18">
        <f>'Sampling Data'!O76</f>
        <v>0</v>
      </c>
      <c r="Q76" s="18">
        <f>'Sampling Data'!P76</f>
        <v>0</v>
      </c>
      <c r="R76" s="18">
        <f>'Sampling Data'!AJ76</f>
        <v>0</v>
      </c>
      <c r="S76" s="112"/>
      <c r="T76" s="112"/>
      <c r="U76" s="113"/>
      <c r="V76" s="113"/>
      <c r="W76" s="112"/>
      <c r="X76" s="112"/>
      <c r="Y76" s="112"/>
      <c r="Z76" s="112"/>
      <c r="AA76" s="15"/>
      <c r="AB76" s="15"/>
      <c r="AC76" s="15"/>
      <c r="AD76" s="15"/>
      <c r="AE76" s="114" t="str">
        <f>IF(NOT(ISBLANK(Audit[[#This Row],[Audit Winning Candidate]])), Audit[[#This Row],[Audit Winning Candidate]]-Audit[[#This Row],[Winning Candidate]], "")</f>
        <v/>
      </c>
      <c r="AF76" s="18" t="str">
        <f>IF(NOT(ISBLANK(Audit[[#This Row],[Audit Losing Candidate]])), Audit[[#This Row],[Audit Losing Candidate]]-Audit[[#This Row],[Losing Candidate]], "")</f>
        <v/>
      </c>
      <c r="AG76" s="18" t="str">
        <f>IF(NOT(ISBLANK(Audit[[#This Row],[Audit Candidate 3]])), Audit[[#This Row],[Audit Candidate 3]]-Audit[[#This Row],[Candidate 3]], "")</f>
        <v/>
      </c>
      <c r="AH76" s="18" t="str">
        <f>IF(NOT(ISBLANK(Audit[[#This Row],[Audit Candidate 4]])),Audit[[#This Row],[Audit Candidate 4]]-Audit[[#This Row],[Candidate 4]], "")</f>
        <v/>
      </c>
      <c r="AI76" s="18" t="str">
        <f>IF(NOT(ISBLANK(Audit[[#This Row],[Audit Candidate 5]])), Audit[[#This Row],[Audit Candidate 5]]-Audit[[#This Row],[Candidate 5]], "")</f>
        <v/>
      </c>
      <c r="AJ76" s="18" t="str">
        <f>IF(NOT(ISBLANK(Audit[[#This Row],[Audit Candidate 6]])), Audit[[#This Row],[Audit Candidate 6]]-Audit[[#This Row],[Candidate 6]], "")</f>
        <v/>
      </c>
      <c r="AK76" s="18" t="str">
        <f>IF(NOT(ISBLANK(Audit[[#This Row],[Audit Candidate 7]])), Audit[[#This Row],[Audit Candidate 7]]-Audit[[#This Row],[Candidate 7]], "")</f>
        <v/>
      </c>
      <c r="AL76" s="18" t="str">
        <f>IF(NOT(ISBLANK(Audit[[#This Row],[Audit Candidate 8]])), Audit[[#This Row],[Audit Candidate 8]]-Audit[[#This Row],[Candidate 8]], "")</f>
        <v/>
      </c>
      <c r="AM76" s="18" t="str">
        <f>IF(NOT(ISBLANK(Audit[[#This Row],[Audit Candidate 9]])), Audit[[#This Row],[Audit Candidate 9]]-Audit[[#This Row],[Candidate 9]], "")</f>
        <v/>
      </c>
      <c r="AN76" s="18" t="str">
        <f>IF(NOT(ISBLANK(Audit[[#This Row],[Audit Candidate 10]])), Audit[[#This Row],[Audit Candidate 10]]-Audit[[#This Row],[Candidate 10]], "")</f>
        <v/>
      </c>
      <c r="AO76" s="18" t="str">
        <f>IF(NOT(ISBLANK(Audit[[#This Row],[Audit Candidate 11]])), Audit[[#This Row],[Audit Candidate 11]]-Audit[[#This Row],[Candidate 11]], "")</f>
        <v/>
      </c>
      <c r="AP76" s="18" t="str">
        <f>IF(NOT(ISBLANK(Audit[[#This Row],[Audit Candidate 12]])), Audit[[#This Row],[Audit Candidate 12]]-Audit[[#This Row],[Candidate 12]], "")</f>
        <v/>
      </c>
      <c r="AQ76" s="18">
        <f>SUMIF(Audit[[#This Row],[Difference Winner]:[Difference Candidate 12]], "&gt;0")</f>
        <v>0</v>
      </c>
      <c r="AR76" s="18">
        <f>SUM(Audit[[#This Row],[Difference Winner]:[Difference Candidate 12]])</f>
        <v>0</v>
      </c>
      <c r="AS76" s="18">
        <f>IF(Audit[[#This Row],[Times p Drawn - With Replacement]]&gt;0, IF(Audit[[#This Row],[Canceled Differences]]&lt;0, Audit[[#This Row],[Max Differences]]+ABS(Audit[[#This Row],[Canceled Differences]]), Audit[[#This Row],[Max Differences]]), 0)</f>
        <v>0</v>
      </c>
      <c r="AT76" s="18">
        <f>'Sampling Data'!AB76</f>
        <v>0</v>
      </c>
      <c r="AU76" s="18">
        <f>IF(
      SUM(Audit[[#This Row],[Audit Losing Candidate]:[Audit Candidate 12]])
      &lt;&gt;0,
      (Audit[[#This Row],[Winning Candidate]]-Audit[[#This Row],[Losing Candidate]]-(Audit[[#This Row],[Audit Winning Candidate]]-Audit[[#This Row],[Audit Losing Candidate]]))/(Audit[[#Totals],[Winning Candidate]]-Audit[[#Totals],[Losing Candidate]]),
      0
)</f>
        <v>0</v>
      </c>
      <c r="AV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8">
        <f>IF(Audit[[#This Row],[Max Relative Error (ep)]] = 0, 0, Audit[[#This Row],[Max Relative Error (ep)]]/Audit[[#This Row],[Error Bound (up) - Max. possible relative overstatement]])</f>
        <v>0</v>
      </c>
      <c r="BH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 s="18">
        <f t="shared" si="1"/>
        <v>1</v>
      </c>
      <c r="BJ76" s="18">
        <f>PRODUCT($BI$5:BI76)</f>
        <v>1</v>
      </c>
      <c r="BK76" s="20">
        <f>1 - Audit[[#This Row],[K-M P Value]]</f>
        <v>0</v>
      </c>
      <c r="BL76" s="18" t="str">
        <f>IF(Audit[[#This Row],[K-M P Value]]&gt;1-'General Info'!$B$12,"Continue", "Stop")</f>
        <v>Continue</v>
      </c>
      <c r="BM76" s="23" t="b">
        <f>IF(Audit[[#This Row],[Status - Continue or stop audit]] = "Continue", TRUE, IF(BL75 = "Continue", TRUE, FALSE))</f>
        <v>1</v>
      </c>
      <c r="BN76" s="23"/>
    </row>
    <row r="77" spans="1:66" ht="15" hidden="1" customHeight="1" x14ac:dyDescent="0.35">
      <c r="A77" s="18" t="str">
        <f>'Sampling Data'!AI77</f>
        <v/>
      </c>
      <c r="B77" s="18" t="str">
        <f>'Sampling Data'!A77</f>
        <v>1003 CIN 10-C   (AV)</v>
      </c>
      <c r="C77" s="18">
        <f>'Sampling Data'!B77</f>
        <v>0</v>
      </c>
      <c r="D77" s="18">
        <f>'Sampling Data'!C77</f>
        <v>0</v>
      </c>
      <c r="E77" s="19">
        <f>'Sampling Data'!D77</f>
        <v>0</v>
      </c>
      <c r="F77" s="19">
        <f>'Sampling Data'!E77</f>
        <v>0</v>
      </c>
      <c r="G77" s="19">
        <f>'Sampling Data'!F77</f>
        <v>0</v>
      </c>
      <c r="H77" s="19">
        <f>'Sampling Data'!G77</f>
        <v>0</v>
      </c>
      <c r="I77" s="19">
        <f>'Sampling Data'!H77</f>
        <v>0</v>
      </c>
      <c r="J77" s="19">
        <f>'Sampling Data'!I77</f>
        <v>0</v>
      </c>
      <c r="K77" s="19">
        <f>'Sampling Data'!J77</f>
        <v>0</v>
      </c>
      <c r="L77" s="19">
        <f>'Sampling Data'!K77</f>
        <v>0</v>
      </c>
      <c r="M77" s="19">
        <f>'Sampling Data'!L77</f>
        <v>0</v>
      </c>
      <c r="N77" s="19">
        <f>'Sampling Data'!M77</f>
        <v>0</v>
      </c>
      <c r="O77" s="18">
        <f>'Sampling Data'!N77</f>
        <v>0</v>
      </c>
      <c r="P77" s="18">
        <f>'Sampling Data'!O77</f>
        <v>0</v>
      </c>
      <c r="Q77" s="18">
        <f>'Sampling Data'!P77</f>
        <v>0</v>
      </c>
      <c r="R77" s="18">
        <f>'Sampling Data'!AJ77</f>
        <v>0</v>
      </c>
      <c r="S77" s="112"/>
      <c r="T77" s="112"/>
      <c r="U77" s="113"/>
      <c r="V77" s="113"/>
      <c r="W77" s="112"/>
      <c r="X77" s="112"/>
      <c r="Y77" s="112"/>
      <c r="Z77" s="112"/>
      <c r="AA77" s="15"/>
      <c r="AB77" s="15"/>
      <c r="AC77" s="15"/>
      <c r="AD77" s="15"/>
      <c r="AE77" s="114" t="str">
        <f>IF(NOT(ISBLANK(Audit[[#This Row],[Audit Winning Candidate]])), Audit[[#This Row],[Audit Winning Candidate]]-Audit[[#This Row],[Winning Candidate]], "")</f>
        <v/>
      </c>
      <c r="AF77" s="18" t="str">
        <f>IF(NOT(ISBLANK(Audit[[#This Row],[Audit Losing Candidate]])), Audit[[#This Row],[Audit Losing Candidate]]-Audit[[#This Row],[Losing Candidate]], "")</f>
        <v/>
      </c>
      <c r="AG77" s="18" t="str">
        <f>IF(NOT(ISBLANK(Audit[[#This Row],[Audit Candidate 3]])), Audit[[#This Row],[Audit Candidate 3]]-Audit[[#This Row],[Candidate 3]], "")</f>
        <v/>
      </c>
      <c r="AH77" s="18" t="str">
        <f>IF(NOT(ISBLANK(Audit[[#This Row],[Audit Candidate 4]])),Audit[[#This Row],[Audit Candidate 4]]-Audit[[#This Row],[Candidate 4]], "")</f>
        <v/>
      </c>
      <c r="AI77" s="18" t="str">
        <f>IF(NOT(ISBLANK(Audit[[#This Row],[Audit Candidate 5]])), Audit[[#This Row],[Audit Candidate 5]]-Audit[[#This Row],[Candidate 5]], "")</f>
        <v/>
      </c>
      <c r="AJ77" s="18" t="str">
        <f>IF(NOT(ISBLANK(Audit[[#This Row],[Audit Candidate 6]])), Audit[[#This Row],[Audit Candidate 6]]-Audit[[#This Row],[Candidate 6]], "")</f>
        <v/>
      </c>
      <c r="AK77" s="18" t="str">
        <f>IF(NOT(ISBLANK(Audit[[#This Row],[Audit Candidate 7]])), Audit[[#This Row],[Audit Candidate 7]]-Audit[[#This Row],[Candidate 7]], "")</f>
        <v/>
      </c>
      <c r="AL77" s="18" t="str">
        <f>IF(NOT(ISBLANK(Audit[[#This Row],[Audit Candidate 8]])), Audit[[#This Row],[Audit Candidate 8]]-Audit[[#This Row],[Candidate 8]], "")</f>
        <v/>
      </c>
      <c r="AM77" s="18" t="str">
        <f>IF(NOT(ISBLANK(Audit[[#This Row],[Audit Candidate 9]])), Audit[[#This Row],[Audit Candidate 9]]-Audit[[#This Row],[Candidate 9]], "")</f>
        <v/>
      </c>
      <c r="AN77" s="18" t="str">
        <f>IF(NOT(ISBLANK(Audit[[#This Row],[Audit Candidate 10]])), Audit[[#This Row],[Audit Candidate 10]]-Audit[[#This Row],[Candidate 10]], "")</f>
        <v/>
      </c>
      <c r="AO77" s="18" t="str">
        <f>IF(NOT(ISBLANK(Audit[[#This Row],[Audit Candidate 11]])), Audit[[#This Row],[Audit Candidate 11]]-Audit[[#This Row],[Candidate 11]], "")</f>
        <v/>
      </c>
      <c r="AP77" s="18" t="str">
        <f>IF(NOT(ISBLANK(Audit[[#This Row],[Audit Candidate 12]])), Audit[[#This Row],[Audit Candidate 12]]-Audit[[#This Row],[Candidate 12]], "")</f>
        <v/>
      </c>
      <c r="AQ77" s="18">
        <f>SUMIF(Audit[[#This Row],[Difference Winner]:[Difference Candidate 12]], "&gt;0")</f>
        <v>0</v>
      </c>
      <c r="AR77" s="18">
        <f>SUM(Audit[[#This Row],[Difference Winner]:[Difference Candidate 12]])</f>
        <v>0</v>
      </c>
      <c r="AS77" s="18">
        <f>IF(Audit[[#This Row],[Times p Drawn - With Replacement]]&gt;0, IF(Audit[[#This Row],[Canceled Differences]]&lt;0, Audit[[#This Row],[Max Differences]]+ABS(Audit[[#This Row],[Canceled Differences]]), Audit[[#This Row],[Max Differences]]), 0)</f>
        <v>0</v>
      </c>
      <c r="AT77" s="18">
        <f>'Sampling Data'!AB77</f>
        <v>0</v>
      </c>
      <c r="AU77" s="18">
        <f>IF(
      SUM(Audit[[#This Row],[Audit Losing Candidate]:[Audit Candidate 12]])
      &lt;&gt;0,
      (Audit[[#This Row],[Winning Candidate]]-Audit[[#This Row],[Losing Candidate]]-(Audit[[#This Row],[Audit Winning Candidate]]-Audit[[#This Row],[Audit Losing Candidate]]))/(Audit[[#Totals],[Winning Candidate]]-Audit[[#Totals],[Losing Candidate]]),
      0
)</f>
        <v>0</v>
      </c>
      <c r="AV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8">
        <f>IF(Audit[[#This Row],[Max Relative Error (ep)]] = 0, 0, Audit[[#This Row],[Max Relative Error (ep)]]/Audit[[#This Row],[Error Bound (up) - Max. possible relative overstatement]])</f>
        <v>0</v>
      </c>
      <c r="BH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 s="18">
        <f t="shared" si="1"/>
        <v>1</v>
      </c>
      <c r="BJ77" s="18">
        <f>PRODUCT($BI$5:BI77)</f>
        <v>1</v>
      </c>
      <c r="BK77" s="20">
        <f>1 - Audit[[#This Row],[K-M P Value]]</f>
        <v>0</v>
      </c>
      <c r="BL77" s="18" t="str">
        <f>IF(Audit[[#This Row],[K-M P Value]]&gt;1-'General Info'!$B$12,"Continue", "Stop")</f>
        <v>Continue</v>
      </c>
      <c r="BM77" s="23" t="b">
        <f>IF(Audit[[#This Row],[Status - Continue or stop audit]] = "Continue", TRUE, IF(BL76 = "Continue", TRUE, FALSE))</f>
        <v>1</v>
      </c>
      <c r="BN77" s="23"/>
    </row>
    <row r="78" spans="1:66" ht="15" hidden="1" customHeight="1" x14ac:dyDescent="0.35">
      <c r="A78" s="18" t="str">
        <f>'Sampling Data'!AI78</f>
        <v/>
      </c>
      <c r="B78" s="18" t="str">
        <f>'Sampling Data'!A78</f>
        <v>1101 CIN 11-A   (AV)</v>
      </c>
      <c r="C78" s="18">
        <f>'Sampling Data'!B78</f>
        <v>4</v>
      </c>
      <c r="D78" s="18">
        <f>'Sampling Data'!C78</f>
        <v>1</v>
      </c>
      <c r="E78" s="19">
        <f>'Sampling Data'!D78</f>
        <v>0</v>
      </c>
      <c r="F78" s="19">
        <f>'Sampling Data'!E78</f>
        <v>0</v>
      </c>
      <c r="G78" s="19">
        <f>'Sampling Data'!F78</f>
        <v>0</v>
      </c>
      <c r="H78" s="19">
        <f>'Sampling Data'!G78</f>
        <v>0</v>
      </c>
      <c r="I78" s="19">
        <f>'Sampling Data'!H78</f>
        <v>0</v>
      </c>
      <c r="J78" s="19">
        <f>'Sampling Data'!I78</f>
        <v>0</v>
      </c>
      <c r="K78" s="19">
        <f>'Sampling Data'!J78</f>
        <v>0</v>
      </c>
      <c r="L78" s="19">
        <f>'Sampling Data'!K78</f>
        <v>0</v>
      </c>
      <c r="M78" s="19">
        <f>'Sampling Data'!L78</f>
        <v>0</v>
      </c>
      <c r="N78" s="19">
        <f>'Sampling Data'!M78</f>
        <v>0</v>
      </c>
      <c r="O78" s="18">
        <f>'Sampling Data'!N78</f>
        <v>0</v>
      </c>
      <c r="P78" s="18">
        <f>'Sampling Data'!O78</f>
        <v>0</v>
      </c>
      <c r="Q78" s="18">
        <f>'Sampling Data'!P78</f>
        <v>5</v>
      </c>
      <c r="R78" s="18">
        <f>'Sampling Data'!AJ78</f>
        <v>0</v>
      </c>
      <c r="S78" s="112"/>
      <c r="T78" s="112"/>
      <c r="U78" s="113"/>
      <c r="V78" s="113"/>
      <c r="W78" s="112"/>
      <c r="X78" s="112"/>
      <c r="Y78" s="112"/>
      <c r="Z78" s="112"/>
      <c r="AA78" s="15"/>
      <c r="AB78" s="15"/>
      <c r="AC78" s="15"/>
      <c r="AD78" s="15"/>
      <c r="AE78" s="114" t="str">
        <f>IF(NOT(ISBLANK(Audit[[#This Row],[Audit Winning Candidate]])), Audit[[#This Row],[Audit Winning Candidate]]-Audit[[#This Row],[Winning Candidate]], "")</f>
        <v/>
      </c>
      <c r="AF78" s="18" t="str">
        <f>IF(NOT(ISBLANK(Audit[[#This Row],[Audit Losing Candidate]])), Audit[[#This Row],[Audit Losing Candidate]]-Audit[[#This Row],[Losing Candidate]], "")</f>
        <v/>
      </c>
      <c r="AG78" s="18" t="str">
        <f>IF(NOT(ISBLANK(Audit[[#This Row],[Audit Candidate 3]])), Audit[[#This Row],[Audit Candidate 3]]-Audit[[#This Row],[Candidate 3]], "")</f>
        <v/>
      </c>
      <c r="AH78" s="18" t="str">
        <f>IF(NOT(ISBLANK(Audit[[#This Row],[Audit Candidate 4]])),Audit[[#This Row],[Audit Candidate 4]]-Audit[[#This Row],[Candidate 4]], "")</f>
        <v/>
      </c>
      <c r="AI78" s="18" t="str">
        <f>IF(NOT(ISBLANK(Audit[[#This Row],[Audit Candidate 5]])), Audit[[#This Row],[Audit Candidate 5]]-Audit[[#This Row],[Candidate 5]], "")</f>
        <v/>
      </c>
      <c r="AJ78" s="18" t="str">
        <f>IF(NOT(ISBLANK(Audit[[#This Row],[Audit Candidate 6]])), Audit[[#This Row],[Audit Candidate 6]]-Audit[[#This Row],[Candidate 6]], "")</f>
        <v/>
      </c>
      <c r="AK78" s="18" t="str">
        <f>IF(NOT(ISBLANK(Audit[[#This Row],[Audit Candidate 7]])), Audit[[#This Row],[Audit Candidate 7]]-Audit[[#This Row],[Candidate 7]], "")</f>
        <v/>
      </c>
      <c r="AL78" s="18" t="str">
        <f>IF(NOT(ISBLANK(Audit[[#This Row],[Audit Candidate 8]])), Audit[[#This Row],[Audit Candidate 8]]-Audit[[#This Row],[Candidate 8]], "")</f>
        <v/>
      </c>
      <c r="AM78" s="18" t="str">
        <f>IF(NOT(ISBLANK(Audit[[#This Row],[Audit Candidate 9]])), Audit[[#This Row],[Audit Candidate 9]]-Audit[[#This Row],[Candidate 9]], "")</f>
        <v/>
      </c>
      <c r="AN78" s="18" t="str">
        <f>IF(NOT(ISBLANK(Audit[[#This Row],[Audit Candidate 10]])), Audit[[#This Row],[Audit Candidate 10]]-Audit[[#This Row],[Candidate 10]], "")</f>
        <v/>
      </c>
      <c r="AO78" s="18" t="str">
        <f>IF(NOT(ISBLANK(Audit[[#This Row],[Audit Candidate 11]])), Audit[[#This Row],[Audit Candidate 11]]-Audit[[#This Row],[Candidate 11]], "")</f>
        <v/>
      </c>
      <c r="AP78" s="18" t="str">
        <f>IF(NOT(ISBLANK(Audit[[#This Row],[Audit Candidate 12]])), Audit[[#This Row],[Audit Candidate 12]]-Audit[[#This Row],[Candidate 12]], "")</f>
        <v/>
      </c>
      <c r="AQ78" s="18">
        <f>SUMIF(Audit[[#This Row],[Difference Winner]:[Difference Candidate 12]], "&gt;0")</f>
        <v>0</v>
      </c>
      <c r="AR78" s="18">
        <f>SUM(Audit[[#This Row],[Difference Winner]:[Difference Candidate 12]])</f>
        <v>0</v>
      </c>
      <c r="AS78" s="18">
        <f>IF(Audit[[#This Row],[Times p Drawn - With Replacement]]&gt;0, IF(Audit[[#This Row],[Canceled Differences]]&lt;0, Audit[[#This Row],[Max Differences]]+ABS(Audit[[#This Row],[Canceled Differences]]), Audit[[#This Row],[Max Differences]]), 0)</f>
        <v>0</v>
      </c>
      <c r="AT78" s="18">
        <f>'Sampling Data'!AB78</f>
        <v>2.5127995728240724E-4</v>
      </c>
      <c r="AU78" s="18">
        <f>IF(
      SUM(Audit[[#This Row],[Audit Losing Candidate]:[Audit Candidate 12]])
      &lt;&gt;0,
      (Audit[[#This Row],[Winning Candidate]]-Audit[[#This Row],[Losing Candidate]]-(Audit[[#This Row],[Audit Winning Candidate]]-Audit[[#This Row],[Audit Losing Candidate]]))/(Audit[[#Totals],[Winning Candidate]]-Audit[[#Totals],[Losing Candidate]]),
      0
)</f>
        <v>0</v>
      </c>
      <c r="AV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8">
        <f>IF(Audit[[#This Row],[Max Relative Error (ep)]] = 0, 0, Audit[[#This Row],[Max Relative Error (ep)]]/Audit[[#This Row],[Error Bound (up) - Max. possible relative overstatement]])</f>
        <v>0</v>
      </c>
      <c r="BH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 s="18">
        <f t="shared" si="1"/>
        <v>1</v>
      </c>
      <c r="BJ78" s="18">
        <f>PRODUCT($BI$5:BI78)</f>
        <v>1</v>
      </c>
      <c r="BK78" s="20">
        <f>1 - Audit[[#This Row],[K-M P Value]]</f>
        <v>0</v>
      </c>
      <c r="BL78" s="18" t="str">
        <f>IF(Audit[[#This Row],[K-M P Value]]&gt;1-'General Info'!$B$12,"Continue", "Stop")</f>
        <v>Continue</v>
      </c>
      <c r="BM78" s="23" t="b">
        <f>IF(Audit[[#This Row],[Status - Continue or stop audit]] = "Continue", TRUE, IF(BL77 = "Continue", TRUE, FALSE))</f>
        <v>1</v>
      </c>
      <c r="BN78" s="23"/>
    </row>
    <row r="79" spans="1:66" ht="15" hidden="1" customHeight="1" x14ac:dyDescent="0.35">
      <c r="A79" s="18" t="str">
        <f>'Sampling Data'!AI79</f>
        <v/>
      </c>
      <c r="B79" s="18" t="str">
        <f>'Sampling Data'!A79</f>
        <v>1102 CIN 11-B   (AV)</v>
      </c>
      <c r="C79" s="18">
        <f>'Sampling Data'!B79</f>
        <v>3</v>
      </c>
      <c r="D79" s="18">
        <f>'Sampling Data'!C79</f>
        <v>0</v>
      </c>
      <c r="E79" s="19">
        <f>'Sampling Data'!D79</f>
        <v>0</v>
      </c>
      <c r="F79" s="19">
        <f>'Sampling Data'!E79</f>
        <v>0</v>
      </c>
      <c r="G79" s="19">
        <f>'Sampling Data'!F79</f>
        <v>0</v>
      </c>
      <c r="H79" s="19">
        <f>'Sampling Data'!G79</f>
        <v>0</v>
      </c>
      <c r="I79" s="19">
        <f>'Sampling Data'!H79</f>
        <v>0</v>
      </c>
      <c r="J79" s="19">
        <f>'Sampling Data'!I79</f>
        <v>0</v>
      </c>
      <c r="K79" s="19">
        <f>'Sampling Data'!J79</f>
        <v>0</v>
      </c>
      <c r="L79" s="19">
        <f>'Sampling Data'!K79</f>
        <v>0</v>
      </c>
      <c r="M79" s="19">
        <f>'Sampling Data'!L79</f>
        <v>0</v>
      </c>
      <c r="N79" s="19">
        <f>'Sampling Data'!M79</f>
        <v>0</v>
      </c>
      <c r="O79" s="18">
        <f>'Sampling Data'!N79</f>
        <v>0</v>
      </c>
      <c r="P79" s="18">
        <f>'Sampling Data'!O79</f>
        <v>0</v>
      </c>
      <c r="Q79" s="18">
        <f>'Sampling Data'!P79</f>
        <v>3</v>
      </c>
      <c r="R79" s="18">
        <f>'Sampling Data'!AJ79</f>
        <v>0</v>
      </c>
      <c r="S79" s="112"/>
      <c r="T79" s="112"/>
      <c r="U79" s="113"/>
      <c r="V79" s="113"/>
      <c r="W79" s="112"/>
      <c r="X79" s="112"/>
      <c r="Y79" s="112"/>
      <c r="Z79" s="112"/>
      <c r="AA79" s="15"/>
      <c r="AB79" s="15"/>
      <c r="AC79" s="15"/>
      <c r="AD79" s="15"/>
      <c r="AE79" s="114" t="str">
        <f>IF(NOT(ISBLANK(Audit[[#This Row],[Audit Winning Candidate]])), Audit[[#This Row],[Audit Winning Candidate]]-Audit[[#This Row],[Winning Candidate]], "")</f>
        <v/>
      </c>
      <c r="AF79" s="18" t="str">
        <f>IF(NOT(ISBLANK(Audit[[#This Row],[Audit Losing Candidate]])), Audit[[#This Row],[Audit Losing Candidate]]-Audit[[#This Row],[Losing Candidate]], "")</f>
        <v/>
      </c>
      <c r="AG79" s="18" t="str">
        <f>IF(NOT(ISBLANK(Audit[[#This Row],[Audit Candidate 3]])), Audit[[#This Row],[Audit Candidate 3]]-Audit[[#This Row],[Candidate 3]], "")</f>
        <v/>
      </c>
      <c r="AH79" s="18" t="str">
        <f>IF(NOT(ISBLANK(Audit[[#This Row],[Audit Candidate 4]])),Audit[[#This Row],[Audit Candidate 4]]-Audit[[#This Row],[Candidate 4]], "")</f>
        <v/>
      </c>
      <c r="AI79" s="18" t="str">
        <f>IF(NOT(ISBLANK(Audit[[#This Row],[Audit Candidate 5]])), Audit[[#This Row],[Audit Candidate 5]]-Audit[[#This Row],[Candidate 5]], "")</f>
        <v/>
      </c>
      <c r="AJ79" s="18" t="str">
        <f>IF(NOT(ISBLANK(Audit[[#This Row],[Audit Candidate 6]])), Audit[[#This Row],[Audit Candidate 6]]-Audit[[#This Row],[Candidate 6]], "")</f>
        <v/>
      </c>
      <c r="AK79" s="18" t="str">
        <f>IF(NOT(ISBLANK(Audit[[#This Row],[Audit Candidate 7]])), Audit[[#This Row],[Audit Candidate 7]]-Audit[[#This Row],[Candidate 7]], "")</f>
        <v/>
      </c>
      <c r="AL79" s="18" t="str">
        <f>IF(NOT(ISBLANK(Audit[[#This Row],[Audit Candidate 8]])), Audit[[#This Row],[Audit Candidate 8]]-Audit[[#This Row],[Candidate 8]], "")</f>
        <v/>
      </c>
      <c r="AM79" s="18" t="str">
        <f>IF(NOT(ISBLANK(Audit[[#This Row],[Audit Candidate 9]])), Audit[[#This Row],[Audit Candidate 9]]-Audit[[#This Row],[Candidate 9]], "")</f>
        <v/>
      </c>
      <c r="AN79" s="18" t="str">
        <f>IF(NOT(ISBLANK(Audit[[#This Row],[Audit Candidate 10]])), Audit[[#This Row],[Audit Candidate 10]]-Audit[[#This Row],[Candidate 10]], "")</f>
        <v/>
      </c>
      <c r="AO79" s="18" t="str">
        <f>IF(NOT(ISBLANK(Audit[[#This Row],[Audit Candidate 11]])), Audit[[#This Row],[Audit Candidate 11]]-Audit[[#This Row],[Candidate 11]], "")</f>
        <v/>
      </c>
      <c r="AP79" s="18" t="str">
        <f>IF(NOT(ISBLANK(Audit[[#This Row],[Audit Candidate 12]])), Audit[[#This Row],[Audit Candidate 12]]-Audit[[#This Row],[Candidate 12]], "")</f>
        <v/>
      </c>
      <c r="AQ79" s="18">
        <f>SUMIF(Audit[[#This Row],[Difference Winner]:[Difference Candidate 12]], "&gt;0")</f>
        <v>0</v>
      </c>
      <c r="AR79" s="18">
        <f>SUM(Audit[[#This Row],[Difference Winner]:[Difference Candidate 12]])</f>
        <v>0</v>
      </c>
      <c r="AS79" s="18">
        <f>IF(Audit[[#This Row],[Times p Drawn - With Replacement]]&gt;0, IF(Audit[[#This Row],[Canceled Differences]]&lt;0, Audit[[#This Row],[Max Differences]]+ABS(Audit[[#This Row],[Canceled Differences]]), Audit[[#This Row],[Max Differences]]), 0)</f>
        <v>0</v>
      </c>
      <c r="AT79" s="18">
        <f>'Sampling Data'!AB79</f>
        <v>1.8845996796180544E-4</v>
      </c>
      <c r="AU79" s="18">
        <f>IF(
      SUM(Audit[[#This Row],[Audit Losing Candidate]:[Audit Candidate 12]])
      &lt;&gt;0,
      (Audit[[#This Row],[Winning Candidate]]-Audit[[#This Row],[Losing Candidate]]-(Audit[[#This Row],[Audit Winning Candidate]]-Audit[[#This Row],[Audit Losing Candidate]]))/(Audit[[#Totals],[Winning Candidate]]-Audit[[#Totals],[Losing Candidate]]),
      0
)</f>
        <v>0</v>
      </c>
      <c r="AV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8">
        <f>IF(Audit[[#This Row],[Max Relative Error (ep)]] = 0, 0, Audit[[#This Row],[Max Relative Error (ep)]]/Audit[[#This Row],[Error Bound (up) - Max. possible relative overstatement]])</f>
        <v>0</v>
      </c>
      <c r="BH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 s="18">
        <f t="shared" ref="BI79:BI142" si="2">IF(ISERR(POWER(BH79,R79)), 0, POWER(BH79,R79))</f>
        <v>1</v>
      </c>
      <c r="BJ79" s="18">
        <f>PRODUCT($BI$5:BI79)</f>
        <v>1</v>
      </c>
      <c r="BK79" s="20">
        <f>1 - Audit[[#This Row],[K-M P Value]]</f>
        <v>0</v>
      </c>
      <c r="BL79" s="18" t="str">
        <f>IF(Audit[[#This Row],[K-M P Value]]&gt;1-'General Info'!$B$12,"Continue", "Stop")</f>
        <v>Continue</v>
      </c>
      <c r="BM79" s="23" t="b">
        <f>IF(Audit[[#This Row],[Status - Continue or stop audit]] = "Continue", TRUE, IF(BL78 = "Continue", TRUE, FALSE))</f>
        <v>1</v>
      </c>
      <c r="BN79" s="23"/>
    </row>
    <row r="80" spans="1:66" ht="15" hidden="1" customHeight="1" x14ac:dyDescent="0.35">
      <c r="A80" s="18" t="str">
        <f>'Sampling Data'!AI80</f>
        <v/>
      </c>
      <c r="B80" s="18" t="str">
        <f>'Sampling Data'!A80</f>
        <v>1103 CIN 11-C   (AV)</v>
      </c>
      <c r="C80" s="18">
        <f>'Sampling Data'!B80</f>
        <v>2</v>
      </c>
      <c r="D80" s="18">
        <f>'Sampling Data'!C80</f>
        <v>0</v>
      </c>
      <c r="E80" s="19">
        <f>'Sampling Data'!D80</f>
        <v>0</v>
      </c>
      <c r="F80" s="19">
        <f>'Sampling Data'!E80</f>
        <v>0</v>
      </c>
      <c r="G80" s="19">
        <f>'Sampling Data'!F80</f>
        <v>0</v>
      </c>
      <c r="H80" s="19">
        <f>'Sampling Data'!G80</f>
        <v>0</v>
      </c>
      <c r="I80" s="19">
        <f>'Sampling Data'!H80</f>
        <v>0</v>
      </c>
      <c r="J80" s="19">
        <f>'Sampling Data'!I80</f>
        <v>0</v>
      </c>
      <c r="K80" s="19">
        <f>'Sampling Data'!J80</f>
        <v>0</v>
      </c>
      <c r="L80" s="19">
        <f>'Sampling Data'!K80</f>
        <v>0</v>
      </c>
      <c r="M80" s="19">
        <f>'Sampling Data'!L80</f>
        <v>0</v>
      </c>
      <c r="N80" s="19">
        <f>'Sampling Data'!M80</f>
        <v>0</v>
      </c>
      <c r="O80" s="18">
        <f>'Sampling Data'!N80</f>
        <v>0</v>
      </c>
      <c r="P80" s="18">
        <f>'Sampling Data'!O80</f>
        <v>0</v>
      </c>
      <c r="Q80" s="18">
        <f>'Sampling Data'!P80</f>
        <v>2</v>
      </c>
      <c r="R80" s="18">
        <f>'Sampling Data'!AJ80</f>
        <v>0</v>
      </c>
      <c r="S80" s="112"/>
      <c r="T80" s="112"/>
      <c r="U80" s="113"/>
      <c r="V80" s="113"/>
      <c r="W80" s="112"/>
      <c r="X80" s="112"/>
      <c r="Y80" s="112"/>
      <c r="Z80" s="112"/>
      <c r="AA80" s="15"/>
      <c r="AB80" s="15"/>
      <c r="AC80" s="15"/>
      <c r="AD80" s="15"/>
      <c r="AE80" s="114" t="str">
        <f>IF(NOT(ISBLANK(Audit[[#This Row],[Audit Winning Candidate]])), Audit[[#This Row],[Audit Winning Candidate]]-Audit[[#This Row],[Winning Candidate]], "")</f>
        <v/>
      </c>
      <c r="AF80" s="18" t="str">
        <f>IF(NOT(ISBLANK(Audit[[#This Row],[Audit Losing Candidate]])), Audit[[#This Row],[Audit Losing Candidate]]-Audit[[#This Row],[Losing Candidate]], "")</f>
        <v/>
      </c>
      <c r="AG80" s="18" t="str">
        <f>IF(NOT(ISBLANK(Audit[[#This Row],[Audit Candidate 3]])), Audit[[#This Row],[Audit Candidate 3]]-Audit[[#This Row],[Candidate 3]], "")</f>
        <v/>
      </c>
      <c r="AH80" s="18" t="str">
        <f>IF(NOT(ISBLANK(Audit[[#This Row],[Audit Candidate 4]])),Audit[[#This Row],[Audit Candidate 4]]-Audit[[#This Row],[Candidate 4]], "")</f>
        <v/>
      </c>
      <c r="AI80" s="18" t="str">
        <f>IF(NOT(ISBLANK(Audit[[#This Row],[Audit Candidate 5]])), Audit[[#This Row],[Audit Candidate 5]]-Audit[[#This Row],[Candidate 5]], "")</f>
        <v/>
      </c>
      <c r="AJ80" s="18" t="str">
        <f>IF(NOT(ISBLANK(Audit[[#This Row],[Audit Candidate 6]])), Audit[[#This Row],[Audit Candidate 6]]-Audit[[#This Row],[Candidate 6]], "")</f>
        <v/>
      </c>
      <c r="AK80" s="18" t="str">
        <f>IF(NOT(ISBLANK(Audit[[#This Row],[Audit Candidate 7]])), Audit[[#This Row],[Audit Candidate 7]]-Audit[[#This Row],[Candidate 7]], "")</f>
        <v/>
      </c>
      <c r="AL80" s="18" t="str">
        <f>IF(NOT(ISBLANK(Audit[[#This Row],[Audit Candidate 8]])), Audit[[#This Row],[Audit Candidate 8]]-Audit[[#This Row],[Candidate 8]], "")</f>
        <v/>
      </c>
      <c r="AM80" s="18" t="str">
        <f>IF(NOT(ISBLANK(Audit[[#This Row],[Audit Candidate 9]])), Audit[[#This Row],[Audit Candidate 9]]-Audit[[#This Row],[Candidate 9]], "")</f>
        <v/>
      </c>
      <c r="AN80" s="18" t="str">
        <f>IF(NOT(ISBLANK(Audit[[#This Row],[Audit Candidate 10]])), Audit[[#This Row],[Audit Candidate 10]]-Audit[[#This Row],[Candidate 10]], "")</f>
        <v/>
      </c>
      <c r="AO80" s="18" t="str">
        <f>IF(NOT(ISBLANK(Audit[[#This Row],[Audit Candidate 11]])), Audit[[#This Row],[Audit Candidate 11]]-Audit[[#This Row],[Candidate 11]], "")</f>
        <v/>
      </c>
      <c r="AP80" s="18" t="str">
        <f>IF(NOT(ISBLANK(Audit[[#This Row],[Audit Candidate 12]])), Audit[[#This Row],[Audit Candidate 12]]-Audit[[#This Row],[Candidate 12]], "")</f>
        <v/>
      </c>
      <c r="AQ80" s="18">
        <f>SUMIF(Audit[[#This Row],[Difference Winner]:[Difference Candidate 12]], "&gt;0")</f>
        <v>0</v>
      </c>
      <c r="AR80" s="18">
        <f>SUM(Audit[[#This Row],[Difference Winner]:[Difference Candidate 12]])</f>
        <v>0</v>
      </c>
      <c r="AS80" s="18">
        <f>IF(Audit[[#This Row],[Times p Drawn - With Replacement]]&gt;0, IF(Audit[[#This Row],[Canceled Differences]]&lt;0, Audit[[#This Row],[Max Differences]]+ABS(Audit[[#This Row],[Canceled Differences]]), Audit[[#This Row],[Max Differences]]), 0)</f>
        <v>0</v>
      </c>
      <c r="AT80" s="18">
        <f>'Sampling Data'!AB80</f>
        <v>1.2563997864120362E-4</v>
      </c>
      <c r="AU80" s="18">
        <f>IF(
      SUM(Audit[[#This Row],[Audit Losing Candidate]:[Audit Candidate 12]])
      &lt;&gt;0,
      (Audit[[#This Row],[Winning Candidate]]-Audit[[#This Row],[Losing Candidate]]-(Audit[[#This Row],[Audit Winning Candidate]]-Audit[[#This Row],[Audit Losing Candidate]]))/(Audit[[#Totals],[Winning Candidate]]-Audit[[#Totals],[Losing Candidate]]),
      0
)</f>
        <v>0</v>
      </c>
      <c r="AV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8">
        <f>IF(Audit[[#This Row],[Max Relative Error (ep)]] = 0, 0, Audit[[#This Row],[Max Relative Error (ep)]]/Audit[[#This Row],[Error Bound (up) - Max. possible relative overstatement]])</f>
        <v>0</v>
      </c>
      <c r="BH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 s="18">
        <f t="shared" si="2"/>
        <v>1</v>
      </c>
      <c r="BJ80" s="18">
        <f>PRODUCT($BI$5:BI80)</f>
        <v>1</v>
      </c>
      <c r="BK80" s="20">
        <f>1 - Audit[[#This Row],[K-M P Value]]</f>
        <v>0</v>
      </c>
      <c r="BL80" s="18" t="str">
        <f>IF(Audit[[#This Row],[K-M P Value]]&gt;1-'General Info'!$B$12,"Continue", "Stop")</f>
        <v>Continue</v>
      </c>
      <c r="BM80" s="23" t="b">
        <f>IF(Audit[[#This Row],[Status - Continue or stop audit]] = "Continue", TRUE, IF(BL79 = "Continue", TRUE, FALSE))</f>
        <v>1</v>
      </c>
      <c r="BN80" s="23"/>
    </row>
    <row r="81" spans="1:66" ht="15" hidden="1" customHeight="1" x14ac:dyDescent="0.35">
      <c r="A81" s="18" t="str">
        <f>'Sampling Data'!AI81</f>
        <v/>
      </c>
      <c r="B81" s="18" t="str">
        <f>'Sampling Data'!A81</f>
        <v>1104 CIN 11-D   (AV)</v>
      </c>
      <c r="C81" s="18">
        <f>'Sampling Data'!B81</f>
        <v>1</v>
      </c>
      <c r="D81" s="18">
        <f>'Sampling Data'!C81</f>
        <v>1</v>
      </c>
      <c r="E81" s="19">
        <f>'Sampling Data'!D81</f>
        <v>0</v>
      </c>
      <c r="F81" s="19">
        <f>'Sampling Data'!E81</f>
        <v>0</v>
      </c>
      <c r="G81" s="19">
        <f>'Sampling Data'!F81</f>
        <v>0</v>
      </c>
      <c r="H81" s="19">
        <f>'Sampling Data'!G81</f>
        <v>0</v>
      </c>
      <c r="I81" s="19">
        <f>'Sampling Data'!H81</f>
        <v>0</v>
      </c>
      <c r="J81" s="19">
        <f>'Sampling Data'!I81</f>
        <v>0</v>
      </c>
      <c r="K81" s="19">
        <f>'Sampling Data'!J81</f>
        <v>0</v>
      </c>
      <c r="L81" s="19">
        <f>'Sampling Data'!K81</f>
        <v>0</v>
      </c>
      <c r="M81" s="19">
        <f>'Sampling Data'!L81</f>
        <v>0</v>
      </c>
      <c r="N81" s="19">
        <f>'Sampling Data'!M81</f>
        <v>0</v>
      </c>
      <c r="O81" s="18">
        <f>'Sampling Data'!N81</f>
        <v>0</v>
      </c>
      <c r="P81" s="18">
        <f>'Sampling Data'!O81</f>
        <v>0</v>
      </c>
      <c r="Q81" s="18">
        <f>'Sampling Data'!P81</f>
        <v>2</v>
      </c>
      <c r="R81" s="18">
        <f>'Sampling Data'!AJ81</f>
        <v>0</v>
      </c>
      <c r="S81" s="112"/>
      <c r="T81" s="112"/>
      <c r="U81" s="113"/>
      <c r="V81" s="113"/>
      <c r="W81" s="112"/>
      <c r="X81" s="112"/>
      <c r="Y81" s="112"/>
      <c r="Z81" s="112"/>
      <c r="AA81" s="15"/>
      <c r="AB81" s="15"/>
      <c r="AC81" s="15"/>
      <c r="AD81" s="15"/>
      <c r="AE81" s="114" t="str">
        <f>IF(NOT(ISBLANK(Audit[[#This Row],[Audit Winning Candidate]])), Audit[[#This Row],[Audit Winning Candidate]]-Audit[[#This Row],[Winning Candidate]], "")</f>
        <v/>
      </c>
      <c r="AF81" s="18" t="str">
        <f>IF(NOT(ISBLANK(Audit[[#This Row],[Audit Losing Candidate]])), Audit[[#This Row],[Audit Losing Candidate]]-Audit[[#This Row],[Losing Candidate]], "")</f>
        <v/>
      </c>
      <c r="AG81" s="18" t="str">
        <f>IF(NOT(ISBLANK(Audit[[#This Row],[Audit Candidate 3]])), Audit[[#This Row],[Audit Candidate 3]]-Audit[[#This Row],[Candidate 3]], "")</f>
        <v/>
      </c>
      <c r="AH81" s="18" t="str">
        <f>IF(NOT(ISBLANK(Audit[[#This Row],[Audit Candidate 4]])),Audit[[#This Row],[Audit Candidate 4]]-Audit[[#This Row],[Candidate 4]], "")</f>
        <v/>
      </c>
      <c r="AI81" s="18" t="str">
        <f>IF(NOT(ISBLANK(Audit[[#This Row],[Audit Candidate 5]])), Audit[[#This Row],[Audit Candidate 5]]-Audit[[#This Row],[Candidate 5]], "")</f>
        <v/>
      </c>
      <c r="AJ81" s="18" t="str">
        <f>IF(NOT(ISBLANK(Audit[[#This Row],[Audit Candidate 6]])), Audit[[#This Row],[Audit Candidate 6]]-Audit[[#This Row],[Candidate 6]], "")</f>
        <v/>
      </c>
      <c r="AK81" s="18" t="str">
        <f>IF(NOT(ISBLANK(Audit[[#This Row],[Audit Candidate 7]])), Audit[[#This Row],[Audit Candidate 7]]-Audit[[#This Row],[Candidate 7]], "")</f>
        <v/>
      </c>
      <c r="AL81" s="18" t="str">
        <f>IF(NOT(ISBLANK(Audit[[#This Row],[Audit Candidate 8]])), Audit[[#This Row],[Audit Candidate 8]]-Audit[[#This Row],[Candidate 8]], "")</f>
        <v/>
      </c>
      <c r="AM81" s="18" t="str">
        <f>IF(NOT(ISBLANK(Audit[[#This Row],[Audit Candidate 9]])), Audit[[#This Row],[Audit Candidate 9]]-Audit[[#This Row],[Candidate 9]], "")</f>
        <v/>
      </c>
      <c r="AN81" s="18" t="str">
        <f>IF(NOT(ISBLANK(Audit[[#This Row],[Audit Candidate 10]])), Audit[[#This Row],[Audit Candidate 10]]-Audit[[#This Row],[Candidate 10]], "")</f>
        <v/>
      </c>
      <c r="AO81" s="18" t="str">
        <f>IF(NOT(ISBLANK(Audit[[#This Row],[Audit Candidate 11]])), Audit[[#This Row],[Audit Candidate 11]]-Audit[[#This Row],[Candidate 11]], "")</f>
        <v/>
      </c>
      <c r="AP81" s="18" t="str">
        <f>IF(NOT(ISBLANK(Audit[[#This Row],[Audit Candidate 12]])), Audit[[#This Row],[Audit Candidate 12]]-Audit[[#This Row],[Candidate 12]], "")</f>
        <v/>
      </c>
      <c r="AQ81" s="18">
        <f>SUMIF(Audit[[#This Row],[Difference Winner]:[Difference Candidate 12]], "&gt;0")</f>
        <v>0</v>
      </c>
      <c r="AR81" s="18">
        <f>SUM(Audit[[#This Row],[Difference Winner]:[Difference Candidate 12]])</f>
        <v>0</v>
      </c>
      <c r="AS81" s="18">
        <f>IF(Audit[[#This Row],[Times p Drawn - With Replacement]]&gt;0, IF(Audit[[#This Row],[Canceled Differences]]&lt;0, Audit[[#This Row],[Max Differences]]+ABS(Audit[[#This Row],[Canceled Differences]]), Audit[[#This Row],[Max Differences]]), 0)</f>
        <v>0</v>
      </c>
      <c r="AT81" s="18">
        <f>'Sampling Data'!AB81</f>
        <v>6.2819989320601809E-5</v>
      </c>
      <c r="AU81" s="18">
        <f>IF(
      SUM(Audit[[#This Row],[Audit Losing Candidate]:[Audit Candidate 12]])
      &lt;&gt;0,
      (Audit[[#This Row],[Winning Candidate]]-Audit[[#This Row],[Losing Candidate]]-(Audit[[#This Row],[Audit Winning Candidate]]-Audit[[#This Row],[Audit Losing Candidate]]))/(Audit[[#Totals],[Winning Candidate]]-Audit[[#Totals],[Losing Candidate]]),
      0
)</f>
        <v>0</v>
      </c>
      <c r="AV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8">
        <f>IF(Audit[[#This Row],[Max Relative Error (ep)]] = 0, 0, Audit[[#This Row],[Max Relative Error (ep)]]/Audit[[#This Row],[Error Bound (up) - Max. possible relative overstatement]])</f>
        <v>0</v>
      </c>
      <c r="BH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 s="18">
        <f t="shared" si="2"/>
        <v>1</v>
      </c>
      <c r="BJ81" s="18">
        <f>PRODUCT($BI$5:BI81)</f>
        <v>1</v>
      </c>
      <c r="BK81" s="20">
        <f>1 - Audit[[#This Row],[K-M P Value]]</f>
        <v>0</v>
      </c>
      <c r="BL81" s="18" t="str">
        <f>IF(Audit[[#This Row],[K-M P Value]]&gt;1-'General Info'!$B$12,"Continue", "Stop")</f>
        <v>Continue</v>
      </c>
      <c r="BM81" s="23" t="b">
        <f>IF(Audit[[#This Row],[Status - Continue or stop audit]] = "Continue", TRUE, IF(BL80 = "Continue", TRUE, FALSE))</f>
        <v>1</v>
      </c>
      <c r="BN81" s="23"/>
    </row>
    <row r="82" spans="1:66" ht="15" hidden="1" customHeight="1" x14ac:dyDescent="0.35">
      <c r="A82" s="18" t="str">
        <f>'Sampling Data'!AI82</f>
        <v/>
      </c>
      <c r="B82" s="18" t="str">
        <f>'Sampling Data'!A82</f>
        <v>1201 CIN 12-A   (AV)</v>
      </c>
      <c r="C82" s="18">
        <f>'Sampling Data'!B82</f>
        <v>0</v>
      </c>
      <c r="D82" s="18">
        <f>'Sampling Data'!C82</f>
        <v>0</v>
      </c>
      <c r="E82" s="19">
        <f>'Sampling Data'!D82</f>
        <v>0</v>
      </c>
      <c r="F82" s="19">
        <f>'Sampling Data'!E82</f>
        <v>0</v>
      </c>
      <c r="G82" s="19">
        <f>'Sampling Data'!F82</f>
        <v>0</v>
      </c>
      <c r="H82" s="19">
        <f>'Sampling Data'!G82</f>
        <v>0</v>
      </c>
      <c r="I82" s="19">
        <f>'Sampling Data'!H82</f>
        <v>0</v>
      </c>
      <c r="J82" s="19">
        <f>'Sampling Data'!I82</f>
        <v>0</v>
      </c>
      <c r="K82" s="19">
        <f>'Sampling Data'!J82</f>
        <v>0</v>
      </c>
      <c r="L82" s="19">
        <f>'Sampling Data'!K82</f>
        <v>0</v>
      </c>
      <c r="M82" s="19">
        <f>'Sampling Data'!L82</f>
        <v>0</v>
      </c>
      <c r="N82" s="19">
        <f>'Sampling Data'!M82</f>
        <v>0</v>
      </c>
      <c r="O82" s="18">
        <f>'Sampling Data'!N82</f>
        <v>0</v>
      </c>
      <c r="P82" s="18">
        <f>'Sampling Data'!O82</f>
        <v>1</v>
      </c>
      <c r="Q82" s="18">
        <f>'Sampling Data'!P82</f>
        <v>1</v>
      </c>
      <c r="R82" s="18">
        <f>'Sampling Data'!AJ82</f>
        <v>0</v>
      </c>
      <c r="S82" s="112"/>
      <c r="T82" s="112"/>
      <c r="U82" s="113"/>
      <c r="V82" s="113"/>
      <c r="W82" s="112"/>
      <c r="X82" s="112"/>
      <c r="Y82" s="112"/>
      <c r="Z82" s="112"/>
      <c r="AA82" s="15"/>
      <c r="AB82" s="15"/>
      <c r="AC82" s="15"/>
      <c r="AD82" s="15"/>
      <c r="AE82" s="114" t="str">
        <f>IF(NOT(ISBLANK(Audit[[#This Row],[Audit Winning Candidate]])), Audit[[#This Row],[Audit Winning Candidate]]-Audit[[#This Row],[Winning Candidate]], "")</f>
        <v/>
      </c>
      <c r="AF82" s="18" t="str">
        <f>IF(NOT(ISBLANK(Audit[[#This Row],[Audit Losing Candidate]])), Audit[[#This Row],[Audit Losing Candidate]]-Audit[[#This Row],[Losing Candidate]], "")</f>
        <v/>
      </c>
      <c r="AG82" s="18" t="str">
        <f>IF(NOT(ISBLANK(Audit[[#This Row],[Audit Candidate 3]])), Audit[[#This Row],[Audit Candidate 3]]-Audit[[#This Row],[Candidate 3]], "")</f>
        <v/>
      </c>
      <c r="AH82" s="18" t="str">
        <f>IF(NOT(ISBLANK(Audit[[#This Row],[Audit Candidate 4]])),Audit[[#This Row],[Audit Candidate 4]]-Audit[[#This Row],[Candidate 4]], "")</f>
        <v/>
      </c>
      <c r="AI82" s="18" t="str">
        <f>IF(NOT(ISBLANK(Audit[[#This Row],[Audit Candidate 5]])), Audit[[#This Row],[Audit Candidate 5]]-Audit[[#This Row],[Candidate 5]], "")</f>
        <v/>
      </c>
      <c r="AJ82" s="18" t="str">
        <f>IF(NOT(ISBLANK(Audit[[#This Row],[Audit Candidate 6]])), Audit[[#This Row],[Audit Candidate 6]]-Audit[[#This Row],[Candidate 6]], "")</f>
        <v/>
      </c>
      <c r="AK82" s="18" t="str">
        <f>IF(NOT(ISBLANK(Audit[[#This Row],[Audit Candidate 7]])), Audit[[#This Row],[Audit Candidate 7]]-Audit[[#This Row],[Candidate 7]], "")</f>
        <v/>
      </c>
      <c r="AL82" s="18" t="str">
        <f>IF(NOT(ISBLANK(Audit[[#This Row],[Audit Candidate 8]])), Audit[[#This Row],[Audit Candidate 8]]-Audit[[#This Row],[Candidate 8]], "")</f>
        <v/>
      </c>
      <c r="AM82" s="18" t="str">
        <f>IF(NOT(ISBLANK(Audit[[#This Row],[Audit Candidate 9]])), Audit[[#This Row],[Audit Candidate 9]]-Audit[[#This Row],[Candidate 9]], "")</f>
        <v/>
      </c>
      <c r="AN82" s="18" t="str">
        <f>IF(NOT(ISBLANK(Audit[[#This Row],[Audit Candidate 10]])), Audit[[#This Row],[Audit Candidate 10]]-Audit[[#This Row],[Candidate 10]], "")</f>
        <v/>
      </c>
      <c r="AO82" s="18" t="str">
        <f>IF(NOT(ISBLANK(Audit[[#This Row],[Audit Candidate 11]])), Audit[[#This Row],[Audit Candidate 11]]-Audit[[#This Row],[Candidate 11]], "")</f>
        <v/>
      </c>
      <c r="AP82" s="18" t="str">
        <f>IF(NOT(ISBLANK(Audit[[#This Row],[Audit Candidate 12]])), Audit[[#This Row],[Audit Candidate 12]]-Audit[[#This Row],[Candidate 12]], "")</f>
        <v/>
      </c>
      <c r="AQ82" s="18">
        <f>SUMIF(Audit[[#This Row],[Difference Winner]:[Difference Candidate 12]], "&gt;0")</f>
        <v>0</v>
      </c>
      <c r="AR82" s="18">
        <f>SUM(Audit[[#This Row],[Difference Winner]:[Difference Candidate 12]])</f>
        <v>0</v>
      </c>
      <c r="AS82" s="18">
        <f>IF(Audit[[#This Row],[Times p Drawn - With Replacement]]&gt;0, IF(Audit[[#This Row],[Canceled Differences]]&lt;0, Audit[[#This Row],[Max Differences]]+ABS(Audit[[#This Row],[Canceled Differences]]), Audit[[#This Row],[Max Differences]]), 0)</f>
        <v>0</v>
      </c>
      <c r="AT82" s="18">
        <f>'Sampling Data'!AB82</f>
        <v>3.1409994660300905E-5</v>
      </c>
      <c r="AU82" s="18">
        <f>IF(
      SUM(Audit[[#This Row],[Audit Losing Candidate]:[Audit Candidate 12]])
      &lt;&gt;0,
      (Audit[[#This Row],[Winning Candidate]]-Audit[[#This Row],[Losing Candidate]]-(Audit[[#This Row],[Audit Winning Candidate]]-Audit[[#This Row],[Audit Losing Candidate]]))/(Audit[[#Totals],[Winning Candidate]]-Audit[[#Totals],[Losing Candidate]]),
      0
)</f>
        <v>0</v>
      </c>
      <c r="AV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8">
        <f>IF(Audit[[#This Row],[Max Relative Error (ep)]] = 0, 0, Audit[[#This Row],[Max Relative Error (ep)]]/Audit[[#This Row],[Error Bound (up) - Max. possible relative overstatement]])</f>
        <v>0</v>
      </c>
      <c r="BH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 s="18">
        <f t="shared" si="2"/>
        <v>1</v>
      </c>
      <c r="BJ82" s="18">
        <f>PRODUCT($BI$5:BI82)</f>
        <v>1</v>
      </c>
      <c r="BK82" s="20">
        <f>1 - Audit[[#This Row],[K-M P Value]]</f>
        <v>0</v>
      </c>
      <c r="BL82" s="18" t="str">
        <f>IF(Audit[[#This Row],[K-M P Value]]&gt;1-'General Info'!$B$12,"Continue", "Stop")</f>
        <v>Continue</v>
      </c>
      <c r="BM82" s="23" t="b">
        <f>IF(Audit[[#This Row],[Status - Continue or stop audit]] = "Continue", TRUE, IF(BL81 = "Continue", TRUE, FALSE))</f>
        <v>1</v>
      </c>
      <c r="BN82" s="23"/>
    </row>
    <row r="83" spans="1:66" ht="15" hidden="1" customHeight="1" x14ac:dyDescent="0.35">
      <c r="A83" s="18" t="str">
        <f>'Sampling Data'!AI83</f>
        <v/>
      </c>
      <c r="B83" s="18" t="str">
        <f>'Sampling Data'!A83</f>
        <v>1202 CIN 12-B   (AV)</v>
      </c>
      <c r="C83" s="18">
        <f>'Sampling Data'!B83</f>
        <v>0</v>
      </c>
      <c r="D83" s="18">
        <f>'Sampling Data'!C83</f>
        <v>0</v>
      </c>
      <c r="E83" s="19">
        <f>'Sampling Data'!D83</f>
        <v>0</v>
      </c>
      <c r="F83" s="19">
        <f>'Sampling Data'!E83</f>
        <v>0</v>
      </c>
      <c r="G83" s="19">
        <f>'Sampling Data'!F83</f>
        <v>0</v>
      </c>
      <c r="H83" s="19">
        <f>'Sampling Data'!G83</f>
        <v>0</v>
      </c>
      <c r="I83" s="19">
        <f>'Sampling Data'!H83</f>
        <v>0</v>
      </c>
      <c r="J83" s="19">
        <f>'Sampling Data'!I83</f>
        <v>0</v>
      </c>
      <c r="K83" s="19">
        <f>'Sampling Data'!J83</f>
        <v>0</v>
      </c>
      <c r="L83" s="19">
        <f>'Sampling Data'!K83</f>
        <v>0</v>
      </c>
      <c r="M83" s="19">
        <f>'Sampling Data'!L83</f>
        <v>0</v>
      </c>
      <c r="N83" s="19">
        <f>'Sampling Data'!M83</f>
        <v>0</v>
      </c>
      <c r="O83" s="18">
        <f>'Sampling Data'!N83</f>
        <v>0</v>
      </c>
      <c r="P83" s="18">
        <f>'Sampling Data'!O83</f>
        <v>0</v>
      </c>
      <c r="Q83" s="18">
        <f>'Sampling Data'!P83</f>
        <v>0</v>
      </c>
      <c r="R83" s="18">
        <f>'Sampling Data'!AJ83</f>
        <v>0</v>
      </c>
      <c r="S83" s="112"/>
      <c r="T83" s="112"/>
      <c r="U83" s="113"/>
      <c r="V83" s="113"/>
      <c r="W83" s="112"/>
      <c r="X83" s="112"/>
      <c r="Y83" s="112"/>
      <c r="Z83" s="112"/>
      <c r="AA83" s="15"/>
      <c r="AB83" s="15"/>
      <c r="AC83" s="15"/>
      <c r="AD83" s="15"/>
      <c r="AE83" s="114" t="str">
        <f>IF(NOT(ISBLANK(Audit[[#This Row],[Audit Winning Candidate]])), Audit[[#This Row],[Audit Winning Candidate]]-Audit[[#This Row],[Winning Candidate]], "")</f>
        <v/>
      </c>
      <c r="AF83" s="18" t="str">
        <f>IF(NOT(ISBLANK(Audit[[#This Row],[Audit Losing Candidate]])), Audit[[#This Row],[Audit Losing Candidate]]-Audit[[#This Row],[Losing Candidate]], "")</f>
        <v/>
      </c>
      <c r="AG83" s="18" t="str">
        <f>IF(NOT(ISBLANK(Audit[[#This Row],[Audit Candidate 3]])), Audit[[#This Row],[Audit Candidate 3]]-Audit[[#This Row],[Candidate 3]], "")</f>
        <v/>
      </c>
      <c r="AH83" s="18" t="str">
        <f>IF(NOT(ISBLANK(Audit[[#This Row],[Audit Candidate 4]])),Audit[[#This Row],[Audit Candidate 4]]-Audit[[#This Row],[Candidate 4]], "")</f>
        <v/>
      </c>
      <c r="AI83" s="18" t="str">
        <f>IF(NOT(ISBLANK(Audit[[#This Row],[Audit Candidate 5]])), Audit[[#This Row],[Audit Candidate 5]]-Audit[[#This Row],[Candidate 5]], "")</f>
        <v/>
      </c>
      <c r="AJ83" s="18" t="str">
        <f>IF(NOT(ISBLANK(Audit[[#This Row],[Audit Candidate 6]])), Audit[[#This Row],[Audit Candidate 6]]-Audit[[#This Row],[Candidate 6]], "")</f>
        <v/>
      </c>
      <c r="AK83" s="18" t="str">
        <f>IF(NOT(ISBLANK(Audit[[#This Row],[Audit Candidate 7]])), Audit[[#This Row],[Audit Candidate 7]]-Audit[[#This Row],[Candidate 7]], "")</f>
        <v/>
      </c>
      <c r="AL83" s="18" t="str">
        <f>IF(NOT(ISBLANK(Audit[[#This Row],[Audit Candidate 8]])), Audit[[#This Row],[Audit Candidate 8]]-Audit[[#This Row],[Candidate 8]], "")</f>
        <v/>
      </c>
      <c r="AM83" s="18" t="str">
        <f>IF(NOT(ISBLANK(Audit[[#This Row],[Audit Candidate 9]])), Audit[[#This Row],[Audit Candidate 9]]-Audit[[#This Row],[Candidate 9]], "")</f>
        <v/>
      </c>
      <c r="AN83" s="18" t="str">
        <f>IF(NOT(ISBLANK(Audit[[#This Row],[Audit Candidate 10]])), Audit[[#This Row],[Audit Candidate 10]]-Audit[[#This Row],[Candidate 10]], "")</f>
        <v/>
      </c>
      <c r="AO83" s="18" t="str">
        <f>IF(NOT(ISBLANK(Audit[[#This Row],[Audit Candidate 11]])), Audit[[#This Row],[Audit Candidate 11]]-Audit[[#This Row],[Candidate 11]], "")</f>
        <v/>
      </c>
      <c r="AP83" s="18" t="str">
        <f>IF(NOT(ISBLANK(Audit[[#This Row],[Audit Candidate 12]])), Audit[[#This Row],[Audit Candidate 12]]-Audit[[#This Row],[Candidate 12]], "")</f>
        <v/>
      </c>
      <c r="AQ83" s="18">
        <f>SUMIF(Audit[[#This Row],[Difference Winner]:[Difference Candidate 12]], "&gt;0")</f>
        <v>0</v>
      </c>
      <c r="AR83" s="18">
        <f>SUM(Audit[[#This Row],[Difference Winner]:[Difference Candidate 12]])</f>
        <v>0</v>
      </c>
      <c r="AS83" s="18">
        <f>IF(Audit[[#This Row],[Times p Drawn - With Replacement]]&gt;0, IF(Audit[[#This Row],[Canceled Differences]]&lt;0, Audit[[#This Row],[Max Differences]]+ABS(Audit[[#This Row],[Canceled Differences]]), Audit[[#This Row],[Max Differences]]), 0)</f>
        <v>0</v>
      </c>
      <c r="AT83" s="18">
        <f>'Sampling Data'!AB83</f>
        <v>0</v>
      </c>
      <c r="AU83" s="18">
        <f>IF(
      SUM(Audit[[#This Row],[Audit Losing Candidate]:[Audit Candidate 12]])
      &lt;&gt;0,
      (Audit[[#This Row],[Winning Candidate]]-Audit[[#This Row],[Losing Candidate]]-(Audit[[#This Row],[Audit Winning Candidate]]-Audit[[#This Row],[Audit Losing Candidate]]))/(Audit[[#Totals],[Winning Candidate]]-Audit[[#Totals],[Losing Candidate]]),
      0
)</f>
        <v>0</v>
      </c>
      <c r="AV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8">
        <f>IF(Audit[[#This Row],[Max Relative Error (ep)]] = 0, 0, Audit[[#This Row],[Max Relative Error (ep)]]/Audit[[#This Row],[Error Bound (up) - Max. possible relative overstatement]])</f>
        <v>0</v>
      </c>
      <c r="BH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 s="18">
        <f t="shared" si="2"/>
        <v>1</v>
      </c>
      <c r="BJ83" s="18">
        <f>PRODUCT($BI$5:BI83)</f>
        <v>1</v>
      </c>
      <c r="BK83" s="20">
        <f>1 - Audit[[#This Row],[K-M P Value]]</f>
        <v>0</v>
      </c>
      <c r="BL83" s="18" t="str">
        <f>IF(Audit[[#This Row],[K-M P Value]]&gt;1-'General Info'!$B$12,"Continue", "Stop")</f>
        <v>Continue</v>
      </c>
      <c r="BM83" s="23" t="b">
        <f>IF(Audit[[#This Row],[Status - Continue or stop audit]] = "Continue", TRUE, IF(BL82 = "Continue", TRUE, FALSE))</f>
        <v>1</v>
      </c>
      <c r="BN83" s="23"/>
    </row>
    <row r="84" spans="1:66" ht="15" hidden="1" customHeight="1" x14ac:dyDescent="0.35">
      <c r="A84" s="18" t="str">
        <f>'Sampling Data'!AI84</f>
        <v/>
      </c>
      <c r="B84" s="18" t="str">
        <f>'Sampling Data'!A84</f>
        <v>1203 CIN 12-C   (AV)</v>
      </c>
      <c r="C84" s="18">
        <f>'Sampling Data'!B84</f>
        <v>1</v>
      </c>
      <c r="D84" s="18">
        <f>'Sampling Data'!C84</f>
        <v>0</v>
      </c>
      <c r="E84" s="19">
        <f>'Sampling Data'!D84</f>
        <v>0</v>
      </c>
      <c r="F84" s="19">
        <f>'Sampling Data'!E84</f>
        <v>0</v>
      </c>
      <c r="G84" s="19">
        <f>'Sampling Data'!F84</f>
        <v>0</v>
      </c>
      <c r="H84" s="19">
        <f>'Sampling Data'!G84</f>
        <v>0</v>
      </c>
      <c r="I84" s="19">
        <f>'Sampling Data'!H84</f>
        <v>0</v>
      </c>
      <c r="J84" s="19">
        <f>'Sampling Data'!I84</f>
        <v>0</v>
      </c>
      <c r="K84" s="19">
        <f>'Sampling Data'!J84</f>
        <v>0</v>
      </c>
      <c r="L84" s="19">
        <f>'Sampling Data'!K84</f>
        <v>0</v>
      </c>
      <c r="M84" s="19">
        <f>'Sampling Data'!L84</f>
        <v>0</v>
      </c>
      <c r="N84" s="19">
        <f>'Sampling Data'!M84</f>
        <v>0</v>
      </c>
      <c r="O84" s="18">
        <f>'Sampling Data'!N84</f>
        <v>0</v>
      </c>
      <c r="P84" s="18">
        <f>'Sampling Data'!O84</f>
        <v>0</v>
      </c>
      <c r="Q84" s="18">
        <f>'Sampling Data'!P84</f>
        <v>1</v>
      </c>
      <c r="R84" s="18">
        <f>'Sampling Data'!AJ84</f>
        <v>0</v>
      </c>
      <c r="S84" s="112"/>
      <c r="T84" s="112"/>
      <c r="U84" s="113"/>
      <c r="V84" s="113"/>
      <c r="W84" s="112"/>
      <c r="X84" s="112"/>
      <c r="Y84" s="112"/>
      <c r="Z84" s="112"/>
      <c r="AA84" s="15"/>
      <c r="AB84" s="15"/>
      <c r="AC84" s="15"/>
      <c r="AD84" s="15"/>
      <c r="AE84" s="114" t="str">
        <f>IF(NOT(ISBLANK(Audit[[#This Row],[Audit Winning Candidate]])), Audit[[#This Row],[Audit Winning Candidate]]-Audit[[#This Row],[Winning Candidate]], "")</f>
        <v/>
      </c>
      <c r="AF84" s="18" t="str">
        <f>IF(NOT(ISBLANK(Audit[[#This Row],[Audit Losing Candidate]])), Audit[[#This Row],[Audit Losing Candidate]]-Audit[[#This Row],[Losing Candidate]], "")</f>
        <v/>
      </c>
      <c r="AG84" s="18" t="str">
        <f>IF(NOT(ISBLANK(Audit[[#This Row],[Audit Candidate 3]])), Audit[[#This Row],[Audit Candidate 3]]-Audit[[#This Row],[Candidate 3]], "")</f>
        <v/>
      </c>
      <c r="AH84" s="18" t="str">
        <f>IF(NOT(ISBLANK(Audit[[#This Row],[Audit Candidate 4]])),Audit[[#This Row],[Audit Candidate 4]]-Audit[[#This Row],[Candidate 4]], "")</f>
        <v/>
      </c>
      <c r="AI84" s="18" t="str">
        <f>IF(NOT(ISBLANK(Audit[[#This Row],[Audit Candidate 5]])), Audit[[#This Row],[Audit Candidate 5]]-Audit[[#This Row],[Candidate 5]], "")</f>
        <v/>
      </c>
      <c r="AJ84" s="18" t="str">
        <f>IF(NOT(ISBLANK(Audit[[#This Row],[Audit Candidate 6]])), Audit[[#This Row],[Audit Candidate 6]]-Audit[[#This Row],[Candidate 6]], "")</f>
        <v/>
      </c>
      <c r="AK84" s="18" t="str">
        <f>IF(NOT(ISBLANK(Audit[[#This Row],[Audit Candidate 7]])), Audit[[#This Row],[Audit Candidate 7]]-Audit[[#This Row],[Candidate 7]], "")</f>
        <v/>
      </c>
      <c r="AL84" s="18" t="str">
        <f>IF(NOT(ISBLANK(Audit[[#This Row],[Audit Candidate 8]])), Audit[[#This Row],[Audit Candidate 8]]-Audit[[#This Row],[Candidate 8]], "")</f>
        <v/>
      </c>
      <c r="AM84" s="18" t="str">
        <f>IF(NOT(ISBLANK(Audit[[#This Row],[Audit Candidate 9]])), Audit[[#This Row],[Audit Candidate 9]]-Audit[[#This Row],[Candidate 9]], "")</f>
        <v/>
      </c>
      <c r="AN84" s="18" t="str">
        <f>IF(NOT(ISBLANK(Audit[[#This Row],[Audit Candidate 10]])), Audit[[#This Row],[Audit Candidate 10]]-Audit[[#This Row],[Candidate 10]], "")</f>
        <v/>
      </c>
      <c r="AO84" s="18" t="str">
        <f>IF(NOT(ISBLANK(Audit[[#This Row],[Audit Candidate 11]])), Audit[[#This Row],[Audit Candidate 11]]-Audit[[#This Row],[Candidate 11]], "")</f>
        <v/>
      </c>
      <c r="AP84" s="18" t="str">
        <f>IF(NOT(ISBLANK(Audit[[#This Row],[Audit Candidate 12]])), Audit[[#This Row],[Audit Candidate 12]]-Audit[[#This Row],[Candidate 12]], "")</f>
        <v/>
      </c>
      <c r="AQ84" s="18">
        <f>SUMIF(Audit[[#This Row],[Difference Winner]:[Difference Candidate 12]], "&gt;0")</f>
        <v>0</v>
      </c>
      <c r="AR84" s="18">
        <f>SUM(Audit[[#This Row],[Difference Winner]:[Difference Candidate 12]])</f>
        <v>0</v>
      </c>
      <c r="AS84" s="18">
        <f>IF(Audit[[#This Row],[Times p Drawn - With Replacement]]&gt;0, IF(Audit[[#This Row],[Canceled Differences]]&lt;0, Audit[[#This Row],[Max Differences]]+ABS(Audit[[#This Row],[Canceled Differences]]), Audit[[#This Row],[Max Differences]]), 0)</f>
        <v>0</v>
      </c>
      <c r="AT84" s="18">
        <f>'Sampling Data'!AB84</f>
        <v>6.2819989320601809E-5</v>
      </c>
      <c r="AU84" s="18">
        <f>IF(
      SUM(Audit[[#This Row],[Audit Losing Candidate]:[Audit Candidate 12]])
      &lt;&gt;0,
      (Audit[[#This Row],[Winning Candidate]]-Audit[[#This Row],[Losing Candidate]]-(Audit[[#This Row],[Audit Winning Candidate]]-Audit[[#This Row],[Audit Losing Candidate]]))/(Audit[[#Totals],[Winning Candidate]]-Audit[[#Totals],[Losing Candidate]]),
      0
)</f>
        <v>0</v>
      </c>
      <c r="AV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8">
        <f>IF(Audit[[#This Row],[Max Relative Error (ep)]] = 0, 0, Audit[[#This Row],[Max Relative Error (ep)]]/Audit[[#This Row],[Error Bound (up) - Max. possible relative overstatement]])</f>
        <v>0</v>
      </c>
      <c r="BH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 s="18">
        <f t="shared" si="2"/>
        <v>1</v>
      </c>
      <c r="BJ84" s="18">
        <f>PRODUCT($BI$5:BI84)</f>
        <v>1</v>
      </c>
      <c r="BK84" s="20">
        <f>1 - Audit[[#This Row],[K-M P Value]]</f>
        <v>0</v>
      </c>
      <c r="BL84" s="18" t="str">
        <f>IF(Audit[[#This Row],[K-M P Value]]&gt;1-'General Info'!$B$12,"Continue", "Stop")</f>
        <v>Continue</v>
      </c>
      <c r="BM84" s="23" t="b">
        <f>IF(Audit[[#This Row],[Status - Continue or stop audit]] = "Continue", TRUE, IF(BL83 = "Continue", TRUE, FALSE))</f>
        <v>1</v>
      </c>
      <c r="BN84" s="23"/>
    </row>
    <row r="85" spans="1:66" ht="15" hidden="1" customHeight="1" x14ac:dyDescent="0.35">
      <c r="A85" s="18" t="str">
        <f>'Sampling Data'!AI85</f>
        <v/>
      </c>
      <c r="B85" s="18" t="str">
        <f>'Sampling Data'!A85</f>
        <v>1204 CIN 12-D   (AV)</v>
      </c>
      <c r="C85" s="18">
        <f>'Sampling Data'!B85</f>
        <v>7</v>
      </c>
      <c r="D85" s="18">
        <f>'Sampling Data'!C85</f>
        <v>1</v>
      </c>
      <c r="E85" s="19">
        <f>'Sampling Data'!D85</f>
        <v>0</v>
      </c>
      <c r="F85" s="19">
        <f>'Sampling Data'!E85</f>
        <v>0</v>
      </c>
      <c r="G85" s="19">
        <f>'Sampling Data'!F85</f>
        <v>0</v>
      </c>
      <c r="H85" s="19">
        <f>'Sampling Data'!G85</f>
        <v>0</v>
      </c>
      <c r="I85" s="19">
        <f>'Sampling Data'!H85</f>
        <v>0</v>
      </c>
      <c r="J85" s="19">
        <f>'Sampling Data'!I85</f>
        <v>0</v>
      </c>
      <c r="K85" s="19">
        <f>'Sampling Data'!J85</f>
        <v>0</v>
      </c>
      <c r="L85" s="19">
        <f>'Sampling Data'!K85</f>
        <v>0</v>
      </c>
      <c r="M85" s="19">
        <f>'Sampling Data'!L85</f>
        <v>0</v>
      </c>
      <c r="N85" s="19">
        <f>'Sampling Data'!M85</f>
        <v>0</v>
      </c>
      <c r="O85" s="18">
        <f>'Sampling Data'!N85</f>
        <v>0</v>
      </c>
      <c r="P85" s="18">
        <f>'Sampling Data'!O85</f>
        <v>2</v>
      </c>
      <c r="Q85" s="18">
        <f>'Sampling Data'!P85</f>
        <v>10</v>
      </c>
      <c r="R85" s="18">
        <f>'Sampling Data'!AJ85</f>
        <v>0</v>
      </c>
      <c r="S85" s="112"/>
      <c r="T85" s="112"/>
      <c r="U85" s="113"/>
      <c r="V85" s="113"/>
      <c r="W85" s="112"/>
      <c r="X85" s="112"/>
      <c r="Y85" s="112"/>
      <c r="Z85" s="112"/>
      <c r="AA85" s="15"/>
      <c r="AB85" s="15"/>
      <c r="AC85" s="15"/>
      <c r="AD85" s="15"/>
      <c r="AE85" s="114" t="str">
        <f>IF(NOT(ISBLANK(Audit[[#This Row],[Audit Winning Candidate]])), Audit[[#This Row],[Audit Winning Candidate]]-Audit[[#This Row],[Winning Candidate]], "")</f>
        <v/>
      </c>
      <c r="AF85" s="18" t="str">
        <f>IF(NOT(ISBLANK(Audit[[#This Row],[Audit Losing Candidate]])), Audit[[#This Row],[Audit Losing Candidate]]-Audit[[#This Row],[Losing Candidate]], "")</f>
        <v/>
      </c>
      <c r="AG85" s="18" t="str">
        <f>IF(NOT(ISBLANK(Audit[[#This Row],[Audit Candidate 3]])), Audit[[#This Row],[Audit Candidate 3]]-Audit[[#This Row],[Candidate 3]], "")</f>
        <v/>
      </c>
      <c r="AH85" s="18" t="str">
        <f>IF(NOT(ISBLANK(Audit[[#This Row],[Audit Candidate 4]])),Audit[[#This Row],[Audit Candidate 4]]-Audit[[#This Row],[Candidate 4]], "")</f>
        <v/>
      </c>
      <c r="AI85" s="18" t="str">
        <f>IF(NOT(ISBLANK(Audit[[#This Row],[Audit Candidate 5]])), Audit[[#This Row],[Audit Candidate 5]]-Audit[[#This Row],[Candidate 5]], "")</f>
        <v/>
      </c>
      <c r="AJ85" s="18" t="str">
        <f>IF(NOT(ISBLANK(Audit[[#This Row],[Audit Candidate 6]])), Audit[[#This Row],[Audit Candidate 6]]-Audit[[#This Row],[Candidate 6]], "")</f>
        <v/>
      </c>
      <c r="AK85" s="18" t="str">
        <f>IF(NOT(ISBLANK(Audit[[#This Row],[Audit Candidate 7]])), Audit[[#This Row],[Audit Candidate 7]]-Audit[[#This Row],[Candidate 7]], "")</f>
        <v/>
      </c>
      <c r="AL85" s="18" t="str">
        <f>IF(NOT(ISBLANK(Audit[[#This Row],[Audit Candidate 8]])), Audit[[#This Row],[Audit Candidate 8]]-Audit[[#This Row],[Candidate 8]], "")</f>
        <v/>
      </c>
      <c r="AM85" s="18" t="str">
        <f>IF(NOT(ISBLANK(Audit[[#This Row],[Audit Candidate 9]])), Audit[[#This Row],[Audit Candidate 9]]-Audit[[#This Row],[Candidate 9]], "")</f>
        <v/>
      </c>
      <c r="AN85" s="18" t="str">
        <f>IF(NOT(ISBLANK(Audit[[#This Row],[Audit Candidate 10]])), Audit[[#This Row],[Audit Candidate 10]]-Audit[[#This Row],[Candidate 10]], "")</f>
        <v/>
      </c>
      <c r="AO85" s="18" t="str">
        <f>IF(NOT(ISBLANK(Audit[[#This Row],[Audit Candidate 11]])), Audit[[#This Row],[Audit Candidate 11]]-Audit[[#This Row],[Candidate 11]], "")</f>
        <v/>
      </c>
      <c r="AP85" s="18" t="str">
        <f>IF(NOT(ISBLANK(Audit[[#This Row],[Audit Candidate 12]])), Audit[[#This Row],[Audit Candidate 12]]-Audit[[#This Row],[Candidate 12]], "")</f>
        <v/>
      </c>
      <c r="AQ85" s="18">
        <f>SUMIF(Audit[[#This Row],[Difference Winner]:[Difference Candidate 12]], "&gt;0")</f>
        <v>0</v>
      </c>
      <c r="AR85" s="18">
        <f>SUM(Audit[[#This Row],[Difference Winner]:[Difference Candidate 12]])</f>
        <v>0</v>
      </c>
      <c r="AS85" s="18">
        <f>IF(Audit[[#This Row],[Times p Drawn - With Replacement]]&gt;0, IF(Audit[[#This Row],[Canceled Differences]]&lt;0, Audit[[#This Row],[Max Differences]]+ABS(Audit[[#This Row],[Canceled Differences]]), Audit[[#This Row],[Max Differences]]), 0)</f>
        <v>0</v>
      </c>
      <c r="AT85" s="18">
        <f>'Sampling Data'!AB85</f>
        <v>5.0255991456481448E-4</v>
      </c>
      <c r="AU85" s="18">
        <f>IF(
      SUM(Audit[[#This Row],[Audit Losing Candidate]:[Audit Candidate 12]])
      &lt;&gt;0,
      (Audit[[#This Row],[Winning Candidate]]-Audit[[#This Row],[Losing Candidate]]-(Audit[[#This Row],[Audit Winning Candidate]]-Audit[[#This Row],[Audit Losing Candidate]]))/(Audit[[#Totals],[Winning Candidate]]-Audit[[#Totals],[Losing Candidate]]),
      0
)</f>
        <v>0</v>
      </c>
      <c r="AV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8">
        <f>IF(Audit[[#This Row],[Max Relative Error (ep)]] = 0, 0, Audit[[#This Row],[Max Relative Error (ep)]]/Audit[[#This Row],[Error Bound (up) - Max. possible relative overstatement]])</f>
        <v>0</v>
      </c>
      <c r="BH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 s="18">
        <f t="shared" si="2"/>
        <v>1</v>
      </c>
      <c r="BJ85" s="18">
        <f>PRODUCT($BI$5:BI85)</f>
        <v>1</v>
      </c>
      <c r="BK85" s="20">
        <f>1 - Audit[[#This Row],[K-M P Value]]</f>
        <v>0</v>
      </c>
      <c r="BL85" s="18" t="str">
        <f>IF(Audit[[#This Row],[K-M P Value]]&gt;1-'General Info'!$B$12,"Continue", "Stop")</f>
        <v>Continue</v>
      </c>
      <c r="BM85" s="23" t="b">
        <f>IF(Audit[[#This Row],[Status - Continue or stop audit]] = "Continue", TRUE, IF(BL84 = "Continue", TRUE, FALSE))</f>
        <v>1</v>
      </c>
      <c r="BN85" s="23"/>
    </row>
    <row r="86" spans="1:66" ht="15" hidden="1" customHeight="1" x14ac:dyDescent="0.35">
      <c r="A86" s="18" t="str">
        <f>'Sampling Data'!AI86</f>
        <v/>
      </c>
      <c r="B86" s="18" t="str">
        <f>'Sampling Data'!A86</f>
        <v>1205 CIN 12-E   (AV)</v>
      </c>
      <c r="C86" s="18">
        <f>'Sampling Data'!B86</f>
        <v>0</v>
      </c>
      <c r="D86" s="18">
        <f>'Sampling Data'!C86</f>
        <v>0</v>
      </c>
      <c r="E86" s="19">
        <f>'Sampling Data'!D86</f>
        <v>0</v>
      </c>
      <c r="F86" s="19">
        <f>'Sampling Data'!E86</f>
        <v>0</v>
      </c>
      <c r="G86" s="19">
        <f>'Sampling Data'!F86</f>
        <v>0</v>
      </c>
      <c r="H86" s="19">
        <f>'Sampling Data'!G86</f>
        <v>0</v>
      </c>
      <c r="I86" s="19">
        <f>'Sampling Data'!H86</f>
        <v>0</v>
      </c>
      <c r="J86" s="19">
        <f>'Sampling Data'!I86</f>
        <v>0</v>
      </c>
      <c r="K86" s="19">
        <f>'Sampling Data'!J86</f>
        <v>0</v>
      </c>
      <c r="L86" s="19">
        <f>'Sampling Data'!K86</f>
        <v>0</v>
      </c>
      <c r="M86" s="19">
        <f>'Sampling Data'!L86</f>
        <v>0</v>
      </c>
      <c r="N86" s="19">
        <f>'Sampling Data'!M86</f>
        <v>0</v>
      </c>
      <c r="O86" s="18">
        <f>'Sampling Data'!N86</f>
        <v>0</v>
      </c>
      <c r="P86" s="18">
        <f>'Sampling Data'!O86</f>
        <v>0</v>
      </c>
      <c r="Q86" s="18">
        <f>'Sampling Data'!P86</f>
        <v>0</v>
      </c>
      <c r="R86" s="18">
        <f>'Sampling Data'!AJ86</f>
        <v>0</v>
      </c>
      <c r="S86" s="112"/>
      <c r="T86" s="112"/>
      <c r="U86" s="113"/>
      <c r="V86" s="113"/>
      <c r="W86" s="112"/>
      <c r="X86" s="112"/>
      <c r="Y86" s="112"/>
      <c r="Z86" s="112"/>
      <c r="AA86" s="15"/>
      <c r="AB86" s="15"/>
      <c r="AC86" s="15"/>
      <c r="AD86" s="15"/>
      <c r="AE86" s="114" t="str">
        <f>IF(NOT(ISBLANK(Audit[[#This Row],[Audit Winning Candidate]])), Audit[[#This Row],[Audit Winning Candidate]]-Audit[[#This Row],[Winning Candidate]], "")</f>
        <v/>
      </c>
      <c r="AF86" s="18" t="str">
        <f>IF(NOT(ISBLANK(Audit[[#This Row],[Audit Losing Candidate]])), Audit[[#This Row],[Audit Losing Candidate]]-Audit[[#This Row],[Losing Candidate]], "")</f>
        <v/>
      </c>
      <c r="AG86" s="18" t="str">
        <f>IF(NOT(ISBLANK(Audit[[#This Row],[Audit Candidate 3]])), Audit[[#This Row],[Audit Candidate 3]]-Audit[[#This Row],[Candidate 3]], "")</f>
        <v/>
      </c>
      <c r="AH86" s="18" t="str">
        <f>IF(NOT(ISBLANK(Audit[[#This Row],[Audit Candidate 4]])),Audit[[#This Row],[Audit Candidate 4]]-Audit[[#This Row],[Candidate 4]], "")</f>
        <v/>
      </c>
      <c r="AI86" s="18" t="str">
        <f>IF(NOT(ISBLANK(Audit[[#This Row],[Audit Candidate 5]])), Audit[[#This Row],[Audit Candidate 5]]-Audit[[#This Row],[Candidate 5]], "")</f>
        <v/>
      </c>
      <c r="AJ86" s="18" t="str">
        <f>IF(NOT(ISBLANK(Audit[[#This Row],[Audit Candidate 6]])), Audit[[#This Row],[Audit Candidate 6]]-Audit[[#This Row],[Candidate 6]], "")</f>
        <v/>
      </c>
      <c r="AK86" s="18" t="str">
        <f>IF(NOT(ISBLANK(Audit[[#This Row],[Audit Candidate 7]])), Audit[[#This Row],[Audit Candidate 7]]-Audit[[#This Row],[Candidate 7]], "")</f>
        <v/>
      </c>
      <c r="AL86" s="18" t="str">
        <f>IF(NOT(ISBLANK(Audit[[#This Row],[Audit Candidate 8]])), Audit[[#This Row],[Audit Candidate 8]]-Audit[[#This Row],[Candidate 8]], "")</f>
        <v/>
      </c>
      <c r="AM86" s="18" t="str">
        <f>IF(NOT(ISBLANK(Audit[[#This Row],[Audit Candidate 9]])), Audit[[#This Row],[Audit Candidate 9]]-Audit[[#This Row],[Candidate 9]], "")</f>
        <v/>
      </c>
      <c r="AN86" s="18" t="str">
        <f>IF(NOT(ISBLANK(Audit[[#This Row],[Audit Candidate 10]])), Audit[[#This Row],[Audit Candidate 10]]-Audit[[#This Row],[Candidate 10]], "")</f>
        <v/>
      </c>
      <c r="AO86" s="18" t="str">
        <f>IF(NOT(ISBLANK(Audit[[#This Row],[Audit Candidate 11]])), Audit[[#This Row],[Audit Candidate 11]]-Audit[[#This Row],[Candidate 11]], "")</f>
        <v/>
      </c>
      <c r="AP86" s="18" t="str">
        <f>IF(NOT(ISBLANK(Audit[[#This Row],[Audit Candidate 12]])), Audit[[#This Row],[Audit Candidate 12]]-Audit[[#This Row],[Candidate 12]], "")</f>
        <v/>
      </c>
      <c r="AQ86" s="18">
        <f>SUMIF(Audit[[#This Row],[Difference Winner]:[Difference Candidate 12]], "&gt;0")</f>
        <v>0</v>
      </c>
      <c r="AR86" s="18">
        <f>SUM(Audit[[#This Row],[Difference Winner]:[Difference Candidate 12]])</f>
        <v>0</v>
      </c>
      <c r="AS86" s="18">
        <f>IF(Audit[[#This Row],[Times p Drawn - With Replacement]]&gt;0, IF(Audit[[#This Row],[Canceled Differences]]&lt;0, Audit[[#This Row],[Max Differences]]+ABS(Audit[[#This Row],[Canceled Differences]]), Audit[[#This Row],[Max Differences]]), 0)</f>
        <v>0</v>
      </c>
      <c r="AT86" s="18">
        <f>'Sampling Data'!AB86</f>
        <v>0</v>
      </c>
      <c r="AU86" s="18">
        <f>IF(
      SUM(Audit[[#This Row],[Audit Losing Candidate]:[Audit Candidate 12]])
      &lt;&gt;0,
      (Audit[[#This Row],[Winning Candidate]]-Audit[[#This Row],[Losing Candidate]]-(Audit[[#This Row],[Audit Winning Candidate]]-Audit[[#This Row],[Audit Losing Candidate]]))/(Audit[[#Totals],[Winning Candidate]]-Audit[[#Totals],[Losing Candidate]]),
      0
)</f>
        <v>0</v>
      </c>
      <c r="AV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8">
        <f>IF(Audit[[#This Row],[Max Relative Error (ep)]] = 0, 0, Audit[[#This Row],[Max Relative Error (ep)]]/Audit[[#This Row],[Error Bound (up) - Max. possible relative overstatement]])</f>
        <v>0</v>
      </c>
      <c r="BH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 s="18">
        <f t="shared" si="2"/>
        <v>1</v>
      </c>
      <c r="BJ86" s="18">
        <f>PRODUCT($BI$5:BI86)</f>
        <v>1</v>
      </c>
      <c r="BK86" s="20">
        <f>1 - Audit[[#This Row],[K-M P Value]]</f>
        <v>0</v>
      </c>
      <c r="BL86" s="18" t="str">
        <f>IF(Audit[[#This Row],[K-M P Value]]&gt;1-'General Info'!$B$12,"Continue", "Stop")</f>
        <v>Continue</v>
      </c>
      <c r="BM86" s="23" t="b">
        <f>IF(Audit[[#This Row],[Status - Continue or stop audit]] = "Continue", TRUE, IF(BL85 = "Continue", TRUE, FALSE))</f>
        <v>1</v>
      </c>
      <c r="BN86" s="23"/>
    </row>
    <row r="87" spans="1:66" ht="15" hidden="1" customHeight="1" x14ac:dyDescent="0.35">
      <c r="A87" s="18" t="str">
        <f>'Sampling Data'!AI87</f>
        <v/>
      </c>
      <c r="B87" s="18" t="str">
        <f>'Sampling Data'!A87</f>
        <v>1301 CIN 13-A   (AV)</v>
      </c>
      <c r="C87" s="18">
        <f>'Sampling Data'!B87</f>
        <v>0</v>
      </c>
      <c r="D87" s="18">
        <f>'Sampling Data'!C87</f>
        <v>0</v>
      </c>
      <c r="E87" s="19">
        <f>'Sampling Data'!D87</f>
        <v>0</v>
      </c>
      <c r="F87" s="19">
        <f>'Sampling Data'!E87</f>
        <v>0</v>
      </c>
      <c r="G87" s="19">
        <f>'Sampling Data'!F87</f>
        <v>0</v>
      </c>
      <c r="H87" s="19">
        <f>'Sampling Data'!G87</f>
        <v>0</v>
      </c>
      <c r="I87" s="19">
        <f>'Sampling Data'!H87</f>
        <v>0</v>
      </c>
      <c r="J87" s="19">
        <f>'Sampling Data'!I87</f>
        <v>0</v>
      </c>
      <c r="K87" s="19">
        <f>'Sampling Data'!J87</f>
        <v>0</v>
      </c>
      <c r="L87" s="19">
        <f>'Sampling Data'!K87</f>
        <v>0</v>
      </c>
      <c r="M87" s="19">
        <f>'Sampling Data'!L87</f>
        <v>0</v>
      </c>
      <c r="N87" s="19">
        <f>'Sampling Data'!M87</f>
        <v>0</v>
      </c>
      <c r="O87" s="18">
        <f>'Sampling Data'!N87</f>
        <v>0</v>
      </c>
      <c r="P87" s="18">
        <f>'Sampling Data'!O87</f>
        <v>1</v>
      </c>
      <c r="Q87" s="18">
        <f>'Sampling Data'!P87</f>
        <v>1</v>
      </c>
      <c r="R87" s="18">
        <f>'Sampling Data'!AJ87</f>
        <v>0</v>
      </c>
      <c r="S87" s="112"/>
      <c r="T87" s="112"/>
      <c r="U87" s="113"/>
      <c r="V87" s="113"/>
      <c r="W87" s="112"/>
      <c r="X87" s="112"/>
      <c r="Y87" s="112"/>
      <c r="Z87" s="112"/>
      <c r="AA87" s="15"/>
      <c r="AB87" s="15"/>
      <c r="AC87" s="15"/>
      <c r="AD87" s="15"/>
      <c r="AE87" s="114" t="str">
        <f>IF(NOT(ISBLANK(Audit[[#This Row],[Audit Winning Candidate]])), Audit[[#This Row],[Audit Winning Candidate]]-Audit[[#This Row],[Winning Candidate]], "")</f>
        <v/>
      </c>
      <c r="AF87" s="18" t="str">
        <f>IF(NOT(ISBLANK(Audit[[#This Row],[Audit Losing Candidate]])), Audit[[#This Row],[Audit Losing Candidate]]-Audit[[#This Row],[Losing Candidate]], "")</f>
        <v/>
      </c>
      <c r="AG87" s="18" t="str">
        <f>IF(NOT(ISBLANK(Audit[[#This Row],[Audit Candidate 3]])), Audit[[#This Row],[Audit Candidate 3]]-Audit[[#This Row],[Candidate 3]], "")</f>
        <v/>
      </c>
      <c r="AH87" s="18" t="str">
        <f>IF(NOT(ISBLANK(Audit[[#This Row],[Audit Candidate 4]])),Audit[[#This Row],[Audit Candidate 4]]-Audit[[#This Row],[Candidate 4]], "")</f>
        <v/>
      </c>
      <c r="AI87" s="18" t="str">
        <f>IF(NOT(ISBLANK(Audit[[#This Row],[Audit Candidate 5]])), Audit[[#This Row],[Audit Candidate 5]]-Audit[[#This Row],[Candidate 5]], "")</f>
        <v/>
      </c>
      <c r="AJ87" s="18" t="str">
        <f>IF(NOT(ISBLANK(Audit[[#This Row],[Audit Candidate 6]])), Audit[[#This Row],[Audit Candidate 6]]-Audit[[#This Row],[Candidate 6]], "")</f>
        <v/>
      </c>
      <c r="AK87" s="18" t="str">
        <f>IF(NOT(ISBLANK(Audit[[#This Row],[Audit Candidate 7]])), Audit[[#This Row],[Audit Candidate 7]]-Audit[[#This Row],[Candidate 7]], "")</f>
        <v/>
      </c>
      <c r="AL87" s="18" t="str">
        <f>IF(NOT(ISBLANK(Audit[[#This Row],[Audit Candidate 8]])), Audit[[#This Row],[Audit Candidate 8]]-Audit[[#This Row],[Candidate 8]], "")</f>
        <v/>
      </c>
      <c r="AM87" s="18" t="str">
        <f>IF(NOT(ISBLANK(Audit[[#This Row],[Audit Candidate 9]])), Audit[[#This Row],[Audit Candidate 9]]-Audit[[#This Row],[Candidate 9]], "")</f>
        <v/>
      </c>
      <c r="AN87" s="18" t="str">
        <f>IF(NOT(ISBLANK(Audit[[#This Row],[Audit Candidate 10]])), Audit[[#This Row],[Audit Candidate 10]]-Audit[[#This Row],[Candidate 10]], "")</f>
        <v/>
      </c>
      <c r="AO87" s="18" t="str">
        <f>IF(NOT(ISBLANK(Audit[[#This Row],[Audit Candidate 11]])), Audit[[#This Row],[Audit Candidate 11]]-Audit[[#This Row],[Candidate 11]], "")</f>
        <v/>
      </c>
      <c r="AP87" s="18" t="str">
        <f>IF(NOT(ISBLANK(Audit[[#This Row],[Audit Candidate 12]])), Audit[[#This Row],[Audit Candidate 12]]-Audit[[#This Row],[Candidate 12]], "")</f>
        <v/>
      </c>
      <c r="AQ87" s="18">
        <f>SUMIF(Audit[[#This Row],[Difference Winner]:[Difference Candidate 12]], "&gt;0")</f>
        <v>0</v>
      </c>
      <c r="AR87" s="18">
        <f>SUM(Audit[[#This Row],[Difference Winner]:[Difference Candidate 12]])</f>
        <v>0</v>
      </c>
      <c r="AS87" s="18">
        <f>IF(Audit[[#This Row],[Times p Drawn - With Replacement]]&gt;0, IF(Audit[[#This Row],[Canceled Differences]]&lt;0, Audit[[#This Row],[Max Differences]]+ABS(Audit[[#This Row],[Canceled Differences]]), Audit[[#This Row],[Max Differences]]), 0)</f>
        <v>0</v>
      </c>
      <c r="AT87" s="18">
        <f>'Sampling Data'!AB87</f>
        <v>3.1409994660300905E-5</v>
      </c>
      <c r="AU87" s="18">
        <f>IF(
      SUM(Audit[[#This Row],[Audit Losing Candidate]:[Audit Candidate 12]])
      &lt;&gt;0,
      (Audit[[#This Row],[Winning Candidate]]-Audit[[#This Row],[Losing Candidate]]-(Audit[[#This Row],[Audit Winning Candidate]]-Audit[[#This Row],[Audit Losing Candidate]]))/(Audit[[#Totals],[Winning Candidate]]-Audit[[#Totals],[Losing Candidate]]),
      0
)</f>
        <v>0</v>
      </c>
      <c r="AV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8">
        <f>IF(Audit[[#This Row],[Max Relative Error (ep)]] = 0, 0, Audit[[#This Row],[Max Relative Error (ep)]]/Audit[[#This Row],[Error Bound (up) - Max. possible relative overstatement]])</f>
        <v>0</v>
      </c>
      <c r="BH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 s="18">
        <f t="shared" si="2"/>
        <v>1</v>
      </c>
      <c r="BJ87" s="18">
        <f>PRODUCT($BI$5:BI87)</f>
        <v>1</v>
      </c>
      <c r="BK87" s="20">
        <f>1 - Audit[[#This Row],[K-M P Value]]</f>
        <v>0</v>
      </c>
      <c r="BL87" s="18" t="str">
        <f>IF(Audit[[#This Row],[K-M P Value]]&gt;1-'General Info'!$B$12,"Continue", "Stop")</f>
        <v>Continue</v>
      </c>
      <c r="BM87" s="23" t="b">
        <f>IF(Audit[[#This Row],[Status - Continue or stop audit]] = "Continue", TRUE, IF(BL86 = "Continue", TRUE, FALSE))</f>
        <v>1</v>
      </c>
      <c r="BN87" s="23"/>
    </row>
    <row r="88" spans="1:66" ht="15" hidden="1" customHeight="1" x14ac:dyDescent="0.35">
      <c r="A88" s="18" t="str">
        <f>'Sampling Data'!AI88</f>
        <v/>
      </c>
      <c r="B88" s="18" t="str">
        <f>'Sampling Data'!A88</f>
        <v>1302 CIN 13-B   (AV)</v>
      </c>
      <c r="C88" s="18">
        <f>'Sampling Data'!B88</f>
        <v>6</v>
      </c>
      <c r="D88" s="18">
        <f>'Sampling Data'!C88</f>
        <v>0</v>
      </c>
      <c r="E88" s="19">
        <f>'Sampling Data'!D88</f>
        <v>0</v>
      </c>
      <c r="F88" s="19">
        <f>'Sampling Data'!E88</f>
        <v>0</v>
      </c>
      <c r="G88" s="19">
        <f>'Sampling Data'!F88</f>
        <v>0</v>
      </c>
      <c r="H88" s="19">
        <f>'Sampling Data'!G88</f>
        <v>0</v>
      </c>
      <c r="I88" s="19">
        <f>'Sampling Data'!H88</f>
        <v>0</v>
      </c>
      <c r="J88" s="19">
        <f>'Sampling Data'!I88</f>
        <v>0</v>
      </c>
      <c r="K88" s="19">
        <f>'Sampling Data'!J88</f>
        <v>0</v>
      </c>
      <c r="L88" s="19">
        <f>'Sampling Data'!K88</f>
        <v>0</v>
      </c>
      <c r="M88" s="19">
        <f>'Sampling Data'!L88</f>
        <v>0</v>
      </c>
      <c r="N88" s="19">
        <f>'Sampling Data'!M88</f>
        <v>0</v>
      </c>
      <c r="O88" s="18">
        <f>'Sampling Data'!N88</f>
        <v>0</v>
      </c>
      <c r="P88" s="18">
        <f>'Sampling Data'!O88</f>
        <v>0</v>
      </c>
      <c r="Q88" s="18">
        <f>'Sampling Data'!P88</f>
        <v>6</v>
      </c>
      <c r="R88" s="18">
        <f>'Sampling Data'!AJ88</f>
        <v>0</v>
      </c>
      <c r="S88" s="112"/>
      <c r="T88" s="112"/>
      <c r="U88" s="113"/>
      <c r="V88" s="113"/>
      <c r="W88" s="112"/>
      <c r="X88" s="112"/>
      <c r="Y88" s="112"/>
      <c r="Z88" s="112"/>
      <c r="AA88" s="15"/>
      <c r="AB88" s="15"/>
      <c r="AC88" s="15"/>
      <c r="AD88" s="15"/>
      <c r="AE88" s="114" t="str">
        <f>IF(NOT(ISBLANK(Audit[[#This Row],[Audit Winning Candidate]])), Audit[[#This Row],[Audit Winning Candidate]]-Audit[[#This Row],[Winning Candidate]], "")</f>
        <v/>
      </c>
      <c r="AF88" s="18" t="str">
        <f>IF(NOT(ISBLANK(Audit[[#This Row],[Audit Losing Candidate]])), Audit[[#This Row],[Audit Losing Candidate]]-Audit[[#This Row],[Losing Candidate]], "")</f>
        <v/>
      </c>
      <c r="AG88" s="18" t="str">
        <f>IF(NOT(ISBLANK(Audit[[#This Row],[Audit Candidate 3]])), Audit[[#This Row],[Audit Candidate 3]]-Audit[[#This Row],[Candidate 3]], "")</f>
        <v/>
      </c>
      <c r="AH88" s="18" t="str">
        <f>IF(NOT(ISBLANK(Audit[[#This Row],[Audit Candidate 4]])),Audit[[#This Row],[Audit Candidate 4]]-Audit[[#This Row],[Candidate 4]], "")</f>
        <v/>
      </c>
      <c r="AI88" s="18" t="str">
        <f>IF(NOT(ISBLANK(Audit[[#This Row],[Audit Candidate 5]])), Audit[[#This Row],[Audit Candidate 5]]-Audit[[#This Row],[Candidate 5]], "")</f>
        <v/>
      </c>
      <c r="AJ88" s="18" t="str">
        <f>IF(NOT(ISBLANK(Audit[[#This Row],[Audit Candidate 6]])), Audit[[#This Row],[Audit Candidate 6]]-Audit[[#This Row],[Candidate 6]], "")</f>
        <v/>
      </c>
      <c r="AK88" s="18" t="str">
        <f>IF(NOT(ISBLANK(Audit[[#This Row],[Audit Candidate 7]])), Audit[[#This Row],[Audit Candidate 7]]-Audit[[#This Row],[Candidate 7]], "")</f>
        <v/>
      </c>
      <c r="AL88" s="18" t="str">
        <f>IF(NOT(ISBLANK(Audit[[#This Row],[Audit Candidate 8]])), Audit[[#This Row],[Audit Candidate 8]]-Audit[[#This Row],[Candidate 8]], "")</f>
        <v/>
      </c>
      <c r="AM88" s="18" t="str">
        <f>IF(NOT(ISBLANK(Audit[[#This Row],[Audit Candidate 9]])), Audit[[#This Row],[Audit Candidate 9]]-Audit[[#This Row],[Candidate 9]], "")</f>
        <v/>
      </c>
      <c r="AN88" s="18" t="str">
        <f>IF(NOT(ISBLANK(Audit[[#This Row],[Audit Candidate 10]])), Audit[[#This Row],[Audit Candidate 10]]-Audit[[#This Row],[Candidate 10]], "")</f>
        <v/>
      </c>
      <c r="AO88" s="18" t="str">
        <f>IF(NOT(ISBLANK(Audit[[#This Row],[Audit Candidate 11]])), Audit[[#This Row],[Audit Candidate 11]]-Audit[[#This Row],[Candidate 11]], "")</f>
        <v/>
      </c>
      <c r="AP88" s="18" t="str">
        <f>IF(NOT(ISBLANK(Audit[[#This Row],[Audit Candidate 12]])), Audit[[#This Row],[Audit Candidate 12]]-Audit[[#This Row],[Candidate 12]], "")</f>
        <v/>
      </c>
      <c r="AQ88" s="18">
        <f>SUMIF(Audit[[#This Row],[Difference Winner]:[Difference Candidate 12]], "&gt;0")</f>
        <v>0</v>
      </c>
      <c r="AR88" s="18">
        <f>SUM(Audit[[#This Row],[Difference Winner]:[Difference Candidate 12]])</f>
        <v>0</v>
      </c>
      <c r="AS88" s="18">
        <f>IF(Audit[[#This Row],[Times p Drawn - With Replacement]]&gt;0, IF(Audit[[#This Row],[Canceled Differences]]&lt;0, Audit[[#This Row],[Max Differences]]+ABS(Audit[[#This Row],[Canceled Differences]]), Audit[[#This Row],[Max Differences]]), 0)</f>
        <v>0</v>
      </c>
      <c r="AT88" s="18">
        <f>'Sampling Data'!AB88</f>
        <v>3.7691993592361088E-4</v>
      </c>
      <c r="AU88" s="18">
        <f>IF(
      SUM(Audit[[#This Row],[Audit Losing Candidate]:[Audit Candidate 12]])
      &lt;&gt;0,
      (Audit[[#This Row],[Winning Candidate]]-Audit[[#This Row],[Losing Candidate]]-(Audit[[#This Row],[Audit Winning Candidate]]-Audit[[#This Row],[Audit Losing Candidate]]))/(Audit[[#Totals],[Winning Candidate]]-Audit[[#Totals],[Losing Candidate]]),
      0
)</f>
        <v>0</v>
      </c>
      <c r="AV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8">
        <f>IF(Audit[[#This Row],[Max Relative Error (ep)]] = 0, 0, Audit[[#This Row],[Max Relative Error (ep)]]/Audit[[#This Row],[Error Bound (up) - Max. possible relative overstatement]])</f>
        <v>0</v>
      </c>
      <c r="BH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 s="18">
        <f t="shared" si="2"/>
        <v>1</v>
      </c>
      <c r="BJ88" s="18">
        <f>PRODUCT($BI$5:BI88)</f>
        <v>1</v>
      </c>
      <c r="BK88" s="20">
        <f>1 - Audit[[#This Row],[K-M P Value]]</f>
        <v>0</v>
      </c>
      <c r="BL88" s="18" t="str">
        <f>IF(Audit[[#This Row],[K-M P Value]]&gt;1-'General Info'!$B$12,"Continue", "Stop")</f>
        <v>Continue</v>
      </c>
      <c r="BM88" s="23" t="b">
        <f>IF(Audit[[#This Row],[Status - Continue or stop audit]] = "Continue", TRUE, IF(BL87 = "Continue", TRUE, FALSE))</f>
        <v>1</v>
      </c>
      <c r="BN88" s="23"/>
    </row>
    <row r="89" spans="1:66" ht="15" hidden="1" customHeight="1" x14ac:dyDescent="0.35">
      <c r="A89" s="18" t="str">
        <f>'Sampling Data'!AI89</f>
        <v/>
      </c>
      <c r="B89" s="18" t="str">
        <f>'Sampling Data'!A89</f>
        <v>1303 CIN 13-C   (AV)</v>
      </c>
      <c r="C89" s="18">
        <f>'Sampling Data'!B89</f>
        <v>1</v>
      </c>
      <c r="D89" s="18">
        <f>'Sampling Data'!C89</f>
        <v>0</v>
      </c>
      <c r="E89" s="19">
        <f>'Sampling Data'!D89</f>
        <v>0</v>
      </c>
      <c r="F89" s="19">
        <f>'Sampling Data'!E89</f>
        <v>0</v>
      </c>
      <c r="G89" s="19">
        <f>'Sampling Data'!F89</f>
        <v>0</v>
      </c>
      <c r="H89" s="19">
        <f>'Sampling Data'!G89</f>
        <v>0</v>
      </c>
      <c r="I89" s="19">
        <f>'Sampling Data'!H89</f>
        <v>0</v>
      </c>
      <c r="J89" s="19">
        <f>'Sampling Data'!I89</f>
        <v>0</v>
      </c>
      <c r="K89" s="19">
        <f>'Sampling Data'!J89</f>
        <v>0</v>
      </c>
      <c r="L89" s="19">
        <f>'Sampling Data'!K89</f>
        <v>0</v>
      </c>
      <c r="M89" s="19">
        <f>'Sampling Data'!L89</f>
        <v>0</v>
      </c>
      <c r="N89" s="19">
        <f>'Sampling Data'!M89</f>
        <v>0</v>
      </c>
      <c r="O89" s="18">
        <f>'Sampling Data'!N89</f>
        <v>0</v>
      </c>
      <c r="P89" s="18">
        <f>'Sampling Data'!O89</f>
        <v>0</v>
      </c>
      <c r="Q89" s="18">
        <f>'Sampling Data'!P89</f>
        <v>1</v>
      </c>
      <c r="R89" s="18">
        <f>'Sampling Data'!AJ89</f>
        <v>0</v>
      </c>
      <c r="S89" s="112"/>
      <c r="T89" s="112"/>
      <c r="U89" s="113"/>
      <c r="V89" s="113"/>
      <c r="W89" s="112"/>
      <c r="X89" s="112"/>
      <c r="Y89" s="112"/>
      <c r="Z89" s="112"/>
      <c r="AA89" s="15"/>
      <c r="AB89" s="15"/>
      <c r="AC89" s="15"/>
      <c r="AD89" s="15"/>
      <c r="AE89" s="114" t="str">
        <f>IF(NOT(ISBLANK(Audit[[#This Row],[Audit Winning Candidate]])), Audit[[#This Row],[Audit Winning Candidate]]-Audit[[#This Row],[Winning Candidate]], "")</f>
        <v/>
      </c>
      <c r="AF89" s="18" t="str">
        <f>IF(NOT(ISBLANK(Audit[[#This Row],[Audit Losing Candidate]])), Audit[[#This Row],[Audit Losing Candidate]]-Audit[[#This Row],[Losing Candidate]], "")</f>
        <v/>
      </c>
      <c r="AG89" s="18" t="str">
        <f>IF(NOT(ISBLANK(Audit[[#This Row],[Audit Candidate 3]])), Audit[[#This Row],[Audit Candidate 3]]-Audit[[#This Row],[Candidate 3]], "")</f>
        <v/>
      </c>
      <c r="AH89" s="18" t="str">
        <f>IF(NOT(ISBLANK(Audit[[#This Row],[Audit Candidate 4]])),Audit[[#This Row],[Audit Candidate 4]]-Audit[[#This Row],[Candidate 4]], "")</f>
        <v/>
      </c>
      <c r="AI89" s="18" t="str">
        <f>IF(NOT(ISBLANK(Audit[[#This Row],[Audit Candidate 5]])), Audit[[#This Row],[Audit Candidate 5]]-Audit[[#This Row],[Candidate 5]], "")</f>
        <v/>
      </c>
      <c r="AJ89" s="18" t="str">
        <f>IF(NOT(ISBLANK(Audit[[#This Row],[Audit Candidate 6]])), Audit[[#This Row],[Audit Candidate 6]]-Audit[[#This Row],[Candidate 6]], "")</f>
        <v/>
      </c>
      <c r="AK89" s="18" t="str">
        <f>IF(NOT(ISBLANK(Audit[[#This Row],[Audit Candidate 7]])), Audit[[#This Row],[Audit Candidate 7]]-Audit[[#This Row],[Candidate 7]], "")</f>
        <v/>
      </c>
      <c r="AL89" s="18" t="str">
        <f>IF(NOT(ISBLANK(Audit[[#This Row],[Audit Candidate 8]])), Audit[[#This Row],[Audit Candidate 8]]-Audit[[#This Row],[Candidate 8]], "")</f>
        <v/>
      </c>
      <c r="AM89" s="18" t="str">
        <f>IF(NOT(ISBLANK(Audit[[#This Row],[Audit Candidate 9]])), Audit[[#This Row],[Audit Candidate 9]]-Audit[[#This Row],[Candidate 9]], "")</f>
        <v/>
      </c>
      <c r="AN89" s="18" t="str">
        <f>IF(NOT(ISBLANK(Audit[[#This Row],[Audit Candidate 10]])), Audit[[#This Row],[Audit Candidate 10]]-Audit[[#This Row],[Candidate 10]], "")</f>
        <v/>
      </c>
      <c r="AO89" s="18" t="str">
        <f>IF(NOT(ISBLANK(Audit[[#This Row],[Audit Candidate 11]])), Audit[[#This Row],[Audit Candidate 11]]-Audit[[#This Row],[Candidate 11]], "")</f>
        <v/>
      </c>
      <c r="AP89" s="18" t="str">
        <f>IF(NOT(ISBLANK(Audit[[#This Row],[Audit Candidate 12]])), Audit[[#This Row],[Audit Candidate 12]]-Audit[[#This Row],[Candidate 12]], "")</f>
        <v/>
      </c>
      <c r="AQ89" s="18">
        <f>SUMIF(Audit[[#This Row],[Difference Winner]:[Difference Candidate 12]], "&gt;0")</f>
        <v>0</v>
      </c>
      <c r="AR89" s="18">
        <f>SUM(Audit[[#This Row],[Difference Winner]:[Difference Candidate 12]])</f>
        <v>0</v>
      </c>
      <c r="AS89" s="18">
        <f>IF(Audit[[#This Row],[Times p Drawn - With Replacement]]&gt;0, IF(Audit[[#This Row],[Canceled Differences]]&lt;0, Audit[[#This Row],[Max Differences]]+ABS(Audit[[#This Row],[Canceled Differences]]), Audit[[#This Row],[Max Differences]]), 0)</f>
        <v>0</v>
      </c>
      <c r="AT89" s="18">
        <f>'Sampling Data'!AB89</f>
        <v>6.2819989320601809E-5</v>
      </c>
      <c r="AU89" s="18">
        <f>IF(
      SUM(Audit[[#This Row],[Audit Losing Candidate]:[Audit Candidate 12]])
      &lt;&gt;0,
      (Audit[[#This Row],[Winning Candidate]]-Audit[[#This Row],[Losing Candidate]]-(Audit[[#This Row],[Audit Winning Candidate]]-Audit[[#This Row],[Audit Losing Candidate]]))/(Audit[[#Totals],[Winning Candidate]]-Audit[[#Totals],[Losing Candidate]]),
      0
)</f>
        <v>0</v>
      </c>
      <c r="AV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8">
        <f>IF(Audit[[#This Row],[Max Relative Error (ep)]] = 0, 0, Audit[[#This Row],[Max Relative Error (ep)]]/Audit[[#This Row],[Error Bound (up) - Max. possible relative overstatement]])</f>
        <v>0</v>
      </c>
      <c r="BH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 s="18">
        <f t="shared" si="2"/>
        <v>1</v>
      </c>
      <c r="BJ89" s="18">
        <f>PRODUCT($BI$5:BI89)</f>
        <v>1</v>
      </c>
      <c r="BK89" s="20">
        <f>1 - Audit[[#This Row],[K-M P Value]]</f>
        <v>0</v>
      </c>
      <c r="BL89" s="18" t="str">
        <f>IF(Audit[[#This Row],[K-M P Value]]&gt;1-'General Info'!$B$12,"Continue", "Stop")</f>
        <v>Continue</v>
      </c>
      <c r="BM89" s="23" t="b">
        <f>IF(Audit[[#This Row],[Status - Continue or stop audit]] = "Continue", TRUE, IF(BL88 = "Continue", TRUE, FALSE))</f>
        <v>1</v>
      </c>
      <c r="BN89" s="23"/>
    </row>
    <row r="90" spans="1:66" ht="15" hidden="1" customHeight="1" x14ac:dyDescent="0.35">
      <c r="A90" s="18" t="str">
        <f>'Sampling Data'!AI90</f>
        <v/>
      </c>
      <c r="B90" s="18" t="str">
        <f>'Sampling Data'!A90</f>
        <v>1304 CIN 13-D   (AV)</v>
      </c>
      <c r="C90" s="18">
        <f>'Sampling Data'!B90</f>
        <v>2</v>
      </c>
      <c r="D90" s="18">
        <f>'Sampling Data'!C90</f>
        <v>0</v>
      </c>
      <c r="E90" s="19">
        <f>'Sampling Data'!D90</f>
        <v>0</v>
      </c>
      <c r="F90" s="19">
        <f>'Sampling Data'!E90</f>
        <v>0</v>
      </c>
      <c r="G90" s="19">
        <f>'Sampling Data'!F90</f>
        <v>0</v>
      </c>
      <c r="H90" s="19">
        <f>'Sampling Data'!G90</f>
        <v>0</v>
      </c>
      <c r="I90" s="19">
        <f>'Sampling Data'!H90</f>
        <v>0</v>
      </c>
      <c r="J90" s="19">
        <f>'Sampling Data'!I90</f>
        <v>0</v>
      </c>
      <c r="K90" s="19">
        <f>'Sampling Data'!J90</f>
        <v>0</v>
      </c>
      <c r="L90" s="19">
        <f>'Sampling Data'!K90</f>
        <v>0</v>
      </c>
      <c r="M90" s="19">
        <f>'Sampling Data'!L90</f>
        <v>0</v>
      </c>
      <c r="N90" s="19">
        <f>'Sampling Data'!M90</f>
        <v>0</v>
      </c>
      <c r="O90" s="18">
        <f>'Sampling Data'!N90</f>
        <v>0</v>
      </c>
      <c r="P90" s="18">
        <f>'Sampling Data'!O90</f>
        <v>0</v>
      </c>
      <c r="Q90" s="18">
        <f>'Sampling Data'!P90</f>
        <v>2</v>
      </c>
      <c r="R90" s="18">
        <f>'Sampling Data'!AJ90</f>
        <v>0</v>
      </c>
      <c r="S90" s="112"/>
      <c r="T90" s="112"/>
      <c r="U90" s="113"/>
      <c r="V90" s="113"/>
      <c r="W90" s="112"/>
      <c r="X90" s="112"/>
      <c r="Y90" s="112"/>
      <c r="Z90" s="112"/>
      <c r="AA90" s="15"/>
      <c r="AB90" s="15"/>
      <c r="AC90" s="15"/>
      <c r="AD90" s="15"/>
      <c r="AE90" s="114" t="str">
        <f>IF(NOT(ISBLANK(Audit[[#This Row],[Audit Winning Candidate]])), Audit[[#This Row],[Audit Winning Candidate]]-Audit[[#This Row],[Winning Candidate]], "")</f>
        <v/>
      </c>
      <c r="AF90" s="18" t="str">
        <f>IF(NOT(ISBLANK(Audit[[#This Row],[Audit Losing Candidate]])), Audit[[#This Row],[Audit Losing Candidate]]-Audit[[#This Row],[Losing Candidate]], "")</f>
        <v/>
      </c>
      <c r="AG90" s="18" t="str">
        <f>IF(NOT(ISBLANK(Audit[[#This Row],[Audit Candidate 3]])), Audit[[#This Row],[Audit Candidate 3]]-Audit[[#This Row],[Candidate 3]], "")</f>
        <v/>
      </c>
      <c r="AH90" s="18" t="str">
        <f>IF(NOT(ISBLANK(Audit[[#This Row],[Audit Candidate 4]])),Audit[[#This Row],[Audit Candidate 4]]-Audit[[#This Row],[Candidate 4]], "")</f>
        <v/>
      </c>
      <c r="AI90" s="18" t="str">
        <f>IF(NOT(ISBLANK(Audit[[#This Row],[Audit Candidate 5]])), Audit[[#This Row],[Audit Candidate 5]]-Audit[[#This Row],[Candidate 5]], "")</f>
        <v/>
      </c>
      <c r="AJ90" s="18" t="str">
        <f>IF(NOT(ISBLANK(Audit[[#This Row],[Audit Candidate 6]])), Audit[[#This Row],[Audit Candidate 6]]-Audit[[#This Row],[Candidate 6]], "")</f>
        <v/>
      </c>
      <c r="AK90" s="18" t="str">
        <f>IF(NOT(ISBLANK(Audit[[#This Row],[Audit Candidate 7]])), Audit[[#This Row],[Audit Candidate 7]]-Audit[[#This Row],[Candidate 7]], "")</f>
        <v/>
      </c>
      <c r="AL90" s="18" t="str">
        <f>IF(NOT(ISBLANK(Audit[[#This Row],[Audit Candidate 8]])), Audit[[#This Row],[Audit Candidate 8]]-Audit[[#This Row],[Candidate 8]], "")</f>
        <v/>
      </c>
      <c r="AM90" s="18" t="str">
        <f>IF(NOT(ISBLANK(Audit[[#This Row],[Audit Candidate 9]])), Audit[[#This Row],[Audit Candidate 9]]-Audit[[#This Row],[Candidate 9]], "")</f>
        <v/>
      </c>
      <c r="AN90" s="18" t="str">
        <f>IF(NOT(ISBLANK(Audit[[#This Row],[Audit Candidate 10]])), Audit[[#This Row],[Audit Candidate 10]]-Audit[[#This Row],[Candidate 10]], "")</f>
        <v/>
      </c>
      <c r="AO90" s="18" t="str">
        <f>IF(NOT(ISBLANK(Audit[[#This Row],[Audit Candidate 11]])), Audit[[#This Row],[Audit Candidate 11]]-Audit[[#This Row],[Candidate 11]], "")</f>
        <v/>
      </c>
      <c r="AP90" s="18" t="str">
        <f>IF(NOT(ISBLANK(Audit[[#This Row],[Audit Candidate 12]])), Audit[[#This Row],[Audit Candidate 12]]-Audit[[#This Row],[Candidate 12]], "")</f>
        <v/>
      </c>
      <c r="AQ90" s="18">
        <f>SUMIF(Audit[[#This Row],[Difference Winner]:[Difference Candidate 12]], "&gt;0")</f>
        <v>0</v>
      </c>
      <c r="AR90" s="18">
        <f>SUM(Audit[[#This Row],[Difference Winner]:[Difference Candidate 12]])</f>
        <v>0</v>
      </c>
      <c r="AS90" s="18">
        <f>IF(Audit[[#This Row],[Times p Drawn - With Replacement]]&gt;0, IF(Audit[[#This Row],[Canceled Differences]]&lt;0, Audit[[#This Row],[Max Differences]]+ABS(Audit[[#This Row],[Canceled Differences]]), Audit[[#This Row],[Max Differences]]), 0)</f>
        <v>0</v>
      </c>
      <c r="AT90" s="18">
        <f>'Sampling Data'!AB90</f>
        <v>1.2563997864120362E-4</v>
      </c>
      <c r="AU90" s="18">
        <f>IF(
      SUM(Audit[[#This Row],[Audit Losing Candidate]:[Audit Candidate 12]])
      &lt;&gt;0,
      (Audit[[#This Row],[Winning Candidate]]-Audit[[#This Row],[Losing Candidate]]-(Audit[[#This Row],[Audit Winning Candidate]]-Audit[[#This Row],[Audit Losing Candidate]]))/(Audit[[#Totals],[Winning Candidate]]-Audit[[#Totals],[Losing Candidate]]),
      0
)</f>
        <v>0</v>
      </c>
      <c r="AV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8">
        <f>IF(Audit[[#This Row],[Max Relative Error (ep)]] = 0, 0, Audit[[#This Row],[Max Relative Error (ep)]]/Audit[[#This Row],[Error Bound (up) - Max. possible relative overstatement]])</f>
        <v>0</v>
      </c>
      <c r="BH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 s="18">
        <f t="shared" si="2"/>
        <v>1</v>
      </c>
      <c r="BJ90" s="18">
        <f>PRODUCT($BI$5:BI90)</f>
        <v>1</v>
      </c>
      <c r="BK90" s="20">
        <f>1 - Audit[[#This Row],[K-M P Value]]</f>
        <v>0</v>
      </c>
      <c r="BL90" s="18" t="str">
        <f>IF(Audit[[#This Row],[K-M P Value]]&gt;1-'General Info'!$B$12,"Continue", "Stop")</f>
        <v>Continue</v>
      </c>
      <c r="BM90" s="23" t="b">
        <f>IF(Audit[[#This Row],[Status - Continue or stop audit]] = "Continue", TRUE, IF(BL89 = "Continue", TRUE, FALSE))</f>
        <v>1</v>
      </c>
      <c r="BN90" s="23"/>
    </row>
    <row r="91" spans="1:66" ht="15" hidden="1" customHeight="1" x14ac:dyDescent="0.35">
      <c r="A91" s="18" t="str">
        <f>'Sampling Data'!AI91</f>
        <v/>
      </c>
      <c r="B91" s="18" t="str">
        <f>'Sampling Data'!A91</f>
        <v>1305 CIN 13-E   (AV)</v>
      </c>
      <c r="C91" s="18">
        <f>'Sampling Data'!B91</f>
        <v>3</v>
      </c>
      <c r="D91" s="18">
        <f>'Sampling Data'!C91</f>
        <v>0</v>
      </c>
      <c r="E91" s="19">
        <f>'Sampling Data'!D91</f>
        <v>0</v>
      </c>
      <c r="F91" s="19">
        <f>'Sampling Data'!E91</f>
        <v>0</v>
      </c>
      <c r="G91" s="19">
        <f>'Sampling Data'!F91</f>
        <v>0</v>
      </c>
      <c r="H91" s="19">
        <f>'Sampling Data'!G91</f>
        <v>0</v>
      </c>
      <c r="I91" s="19">
        <f>'Sampling Data'!H91</f>
        <v>0</v>
      </c>
      <c r="J91" s="19">
        <f>'Sampling Data'!I91</f>
        <v>0</v>
      </c>
      <c r="K91" s="19">
        <f>'Sampling Data'!J91</f>
        <v>0</v>
      </c>
      <c r="L91" s="19">
        <f>'Sampling Data'!K91</f>
        <v>0</v>
      </c>
      <c r="M91" s="19">
        <f>'Sampling Data'!L91</f>
        <v>0</v>
      </c>
      <c r="N91" s="19">
        <f>'Sampling Data'!M91</f>
        <v>0</v>
      </c>
      <c r="O91" s="18">
        <f>'Sampling Data'!N91</f>
        <v>0</v>
      </c>
      <c r="P91" s="18">
        <f>'Sampling Data'!O91</f>
        <v>0</v>
      </c>
      <c r="Q91" s="18">
        <f>'Sampling Data'!P91</f>
        <v>3</v>
      </c>
      <c r="R91" s="18">
        <f>'Sampling Data'!AJ91</f>
        <v>0</v>
      </c>
      <c r="S91" s="112"/>
      <c r="T91" s="112"/>
      <c r="U91" s="113"/>
      <c r="V91" s="113"/>
      <c r="W91" s="112"/>
      <c r="X91" s="112"/>
      <c r="Y91" s="112"/>
      <c r="Z91" s="112"/>
      <c r="AA91" s="15"/>
      <c r="AB91" s="15"/>
      <c r="AC91" s="15"/>
      <c r="AD91" s="15"/>
      <c r="AE91" s="114" t="str">
        <f>IF(NOT(ISBLANK(Audit[[#This Row],[Audit Winning Candidate]])), Audit[[#This Row],[Audit Winning Candidate]]-Audit[[#This Row],[Winning Candidate]], "")</f>
        <v/>
      </c>
      <c r="AF91" s="18" t="str">
        <f>IF(NOT(ISBLANK(Audit[[#This Row],[Audit Losing Candidate]])), Audit[[#This Row],[Audit Losing Candidate]]-Audit[[#This Row],[Losing Candidate]], "")</f>
        <v/>
      </c>
      <c r="AG91" s="18" t="str">
        <f>IF(NOT(ISBLANK(Audit[[#This Row],[Audit Candidate 3]])), Audit[[#This Row],[Audit Candidate 3]]-Audit[[#This Row],[Candidate 3]], "")</f>
        <v/>
      </c>
      <c r="AH91" s="18" t="str">
        <f>IF(NOT(ISBLANK(Audit[[#This Row],[Audit Candidate 4]])),Audit[[#This Row],[Audit Candidate 4]]-Audit[[#This Row],[Candidate 4]], "")</f>
        <v/>
      </c>
      <c r="AI91" s="18" t="str">
        <f>IF(NOT(ISBLANK(Audit[[#This Row],[Audit Candidate 5]])), Audit[[#This Row],[Audit Candidate 5]]-Audit[[#This Row],[Candidate 5]], "")</f>
        <v/>
      </c>
      <c r="AJ91" s="18" t="str">
        <f>IF(NOT(ISBLANK(Audit[[#This Row],[Audit Candidate 6]])), Audit[[#This Row],[Audit Candidate 6]]-Audit[[#This Row],[Candidate 6]], "")</f>
        <v/>
      </c>
      <c r="AK91" s="18" t="str">
        <f>IF(NOT(ISBLANK(Audit[[#This Row],[Audit Candidate 7]])), Audit[[#This Row],[Audit Candidate 7]]-Audit[[#This Row],[Candidate 7]], "")</f>
        <v/>
      </c>
      <c r="AL91" s="18" t="str">
        <f>IF(NOT(ISBLANK(Audit[[#This Row],[Audit Candidate 8]])), Audit[[#This Row],[Audit Candidate 8]]-Audit[[#This Row],[Candidate 8]], "")</f>
        <v/>
      </c>
      <c r="AM91" s="18" t="str">
        <f>IF(NOT(ISBLANK(Audit[[#This Row],[Audit Candidate 9]])), Audit[[#This Row],[Audit Candidate 9]]-Audit[[#This Row],[Candidate 9]], "")</f>
        <v/>
      </c>
      <c r="AN91" s="18" t="str">
        <f>IF(NOT(ISBLANK(Audit[[#This Row],[Audit Candidate 10]])), Audit[[#This Row],[Audit Candidate 10]]-Audit[[#This Row],[Candidate 10]], "")</f>
        <v/>
      </c>
      <c r="AO91" s="18" t="str">
        <f>IF(NOT(ISBLANK(Audit[[#This Row],[Audit Candidate 11]])), Audit[[#This Row],[Audit Candidate 11]]-Audit[[#This Row],[Candidate 11]], "")</f>
        <v/>
      </c>
      <c r="AP91" s="18" t="str">
        <f>IF(NOT(ISBLANK(Audit[[#This Row],[Audit Candidate 12]])), Audit[[#This Row],[Audit Candidate 12]]-Audit[[#This Row],[Candidate 12]], "")</f>
        <v/>
      </c>
      <c r="AQ91" s="18">
        <f>SUMIF(Audit[[#This Row],[Difference Winner]:[Difference Candidate 12]], "&gt;0")</f>
        <v>0</v>
      </c>
      <c r="AR91" s="18">
        <f>SUM(Audit[[#This Row],[Difference Winner]:[Difference Candidate 12]])</f>
        <v>0</v>
      </c>
      <c r="AS91" s="18">
        <f>IF(Audit[[#This Row],[Times p Drawn - With Replacement]]&gt;0, IF(Audit[[#This Row],[Canceled Differences]]&lt;0, Audit[[#This Row],[Max Differences]]+ABS(Audit[[#This Row],[Canceled Differences]]), Audit[[#This Row],[Max Differences]]), 0)</f>
        <v>0</v>
      </c>
      <c r="AT91" s="18">
        <f>'Sampling Data'!AB91</f>
        <v>1.8845996796180544E-4</v>
      </c>
      <c r="AU91" s="18">
        <f>IF(
      SUM(Audit[[#This Row],[Audit Losing Candidate]:[Audit Candidate 12]])
      &lt;&gt;0,
      (Audit[[#This Row],[Winning Candidate]]-Audit[[#This Row],[Losing Candidate]]-(Audit[[#This Row],[Audit Winning Candidate]]-Audit[[#This Row],[Audit Losing Candidate]]))/(Audit[[#Totals],[Winning Candidate]]-Audit[[#Totals],[Losing Candidate]]),
      0
)</f>
        <v>0</v>
      </c>
      <c r="AV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8">
        <f>IF(Audit[[#This Row],[Max Relative Error (ep)]] = 0, 0, Audit[[#This Row],[Max Relative Error (ep)]]/Audit[[#This Row],[Error Bound (up) - Max. possible relative overstatement]])</f>
        <v>0</v>
      </c>
      <c r="BH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 s="18">
        <f t="shared" si="2"/>
        <v>1</v>
      </c>
      <c r="BJ91" s="18">
        <f>PRODUCT($BI$5:BI91)</f>
        <v>1</v>
      </c>
      <c r="BK91" s="20">
        <f>1 - Audit[[#This Row],[K-M P Value]]</f>
        <v>0</v>
      </c>
      <c r="BL91" s="18" t="str">
        <f>IF(Audit[[#This Row],[K-M P Value]]&gt;1-'General Info'!$B$12,"Continue", "Stop")</f>
        <v>Continue</v>
      </c>
      <c r="BM91" s="23" t="b">
        <f>IF(Audit[[#This Row],[Status - Continue or stop audit]] = "Continue", TRUE, IF(BL90 = "Continue", TRUE, FALSE))</f>
        <v>1</v>
      </c>
      <c r="BN91" s="23"/>
    </row>
    <row r="92" spans="1:66" ht="15" hidden="1" customHeight="1" x14ac:dyDescent="0.35">
      <c r="A92" s="18" t="str">
        <f>'Sampling Data'!AI92</f>
        <v/>
      </c>
      <c r="B92" s="18" t="str">
        <f>'Sampling Data'!A92</f>
        <v>1306 CIN 13-F   (AV)</v>
      </c>
      <c r="C92" s="18">
        <f>'Sampling Data'!B92</f>
        <v>3</v>
      </c>
      <c r="D92" s="18">
        <f>'Sampling Data'!C92</f>
        <v>0</v>
      </c>
      <c r="E92" s="19">
        <f>'Sampling Data'!D92</f>
        <v>0</v>
      </c>
      <c r="F92" s="19">
        <f>'Sampling Data'!E92</f>
        <v>0</v>
      </c>
      <c r="G92" s="19">
        <f>'Sampling Data'!F92</f>
        <v>0</v>
      </c>
      <c r="H92" s="19">
        <f>'Sampling Data'!G92</f>
        <v>0</v>
      </c>
      <c r="I92" s="19">
        <f>'Sampling Data'!H92</f>
        <v>0</v>
      </c>
      <c r="J92" s="19">
        <f>'Sampling Data'!I92</f>
        <v>0</v>
      </c>
      <c r="K92" s="19">
        <f>'Sampling Data'!J92</f>
        <v>0</v>
      </c>
      <c r="L92" s="19">
        <f>'Sampling Data'!K92</f>
        <v>0</v>
      </c>
      <c r="M92" s="19">
        <f>'Sampling Data'!L92</f>
        <v>0</v>
      </c>
      <c r="N92" s="19">
        <f>'Sampling Data'!M92</f>
        <v>0</v>
      </c>
      <c r="O92" s="18">
        <f>'Sampling Data'!N92</f>
        <v>0</v>
      </c>
      <c r="P92" s="18">
        <f>'Sampling Data'!O92</f>
        <v>0</v>
      </c>
      <c r="Q92" s="18">
        <f>'Sampling Data'!P92</f>
        <v>3</v>
      </c>
      <c r="R92" s="18">
        <f>'Sampling Data'!AJ92</f>
        <v>0</v>
      </c>
      <c r="S92" s="112"/>
      <c r="T92" s="112"/>
      <c r="U92" s="113"/>
      <c r="V92" s="113"/>
      <c r="W92" s="112"/>
      <c r="X92" s="112"/>
      <c r="Y92" s="112"/>
      <c r="Z92" s="112"/>
      <c r="AA92" s="15"/>
      <c r="AB92" s="15"/>
      <c r="AC92" s="15"/>
      <c r="AD92" s="15"/>
      <c r="AE92" s="114" t="str">
        <f>IF(NOT(ISBLANK(Audit[[#This Row],[Audit Winning Candidate]])), Audit[[#This Row],[Audit Winning Candidate]]-Audit[[#This Row],[Winning Candidate]], "")</f>
        <v/>
      </c>
      <c r="AF92" s="18" t="str">
        <f>IF(NOT(ISBLANK(Audit[[#This Row],[Audit Losing Candidate]])), Audit[[#This Row],[Audit Losing Candidate]]-Audit[[#This Row],[Losing Candidate]], "")</f>
        <v/>
      </c>
      <c r="AG92" s="18" t="str">
        <f>IF(NOT(ISBLANK(Audit[[#This Row],[Audit Candidate 3]])), Audit[[#This Row],[Audit Candidate 3]]-Audit[[#This Row],[Candidate 3]], "")</f>
        <v/>
      </c>
      <c r="AH92" s="18" t="str">
        <f>IF(NOT(ISBLANK(Audit[[#This Row],[Audit Candidate 4]])),Audit[[#This Row],[Audit Candidate 4]]-Audit[[#This Row],[Candidate 4]], "")</f>
        <v/>
      </c>
      <c r="AI92" s="18" t="str">
        <f>IF(NOT(ISBLANK(Audit[[#This Row],[Audit Candidate 5]])), Audit[[#This Row],[Audit Candidate 5]]-Audit[[#This Row],[Candidate 5]], "")</f>
        <v/>
      </c>
      <c r="AJ92" s="18" t="str">
        <f>IF(NOT(ISBLANK(Audit[[#This Row],[Audit Candidate 6]])), Audit[[#This Row],[Audit Candidate 6]]-Audit[[#This Row],[Candidate 6]], "")</f>
        <v/>
      </c>
      <c r="AK92" s="18" t="str">
        <f>IF(NOT(ISBLANK(Audit[[#This Row],[Audit Candidate 7]])), Audit[[#This Row],[Audit Candidate 7]]-Audit[[#This Row],[Candidate 7]], "")</f>
        <v/>
      </c>
      <c r="AL92" s="18" t="str">
        <f>IF(NOT(ISBLANK(Audit[[#This Row],[Audit Candidate 8]])), Audit[[#This Row],[Audit Candidate 8]]-Audit[[#This Row],[Candidate 8]], "")</f>
        <v/>
      </c>
      <c r="AM92" s="18" t="str">
        <f>IF(NOT(ISBLANK(Audit[[#This Row],[Audit Candidate 9]])), Audit[[#This Row],[Audit Candidate 9]]-Audit[[#This Row],[Candidate 9]], "")</f>
        <v/>
      </c>
      <c r="AN92" s="18" t="str">
        <f>IF(NOT(ISBLANK(Audit[[#This Row],[Audit Candidate 10]])), Audit[[#This Row],[Audit Candidate 10]]-Audit[[#This Row],[Candidate 10]], "")</f>
        <v/>
      </c>
      <c r="AO92" s="18" t="str">
        <f>IF(NOT(ISBLANK(Audit[[#This Row],[Audit Candidate 11]])), Audit[[#This Row],[Audit Candidate 11]]-Audit[[#This Row],[Candidate 11]], "")</f>
        <v/>
      </c>
      <c r="AP92" s="18" t="str">
        <f>IF(NOT(ISBLANK(Audit[[#This Row],[Audit Candidate 12]])), Audit[[#This Row],[Audit Candidate 12]]-Audit[[#This Row],[Candidate 12]], "")</f>
        <v/>
      </c>
      <c r="AQ92" s="18">
        <f>SUMIF(Audit[[#This Row],[Difference Winner]:[Difference Candidate 12]], "&gt;0")</f>
        <v>0</v>
      </c>
      <c r="AR92" s="18">
        <f>SUM(Audit[[#This Row],[Difference Winner]:[Difference Candidate 12]])</f>
        <v>0</v>
      </c>
      <c r="AS92" s="18">
        <f>IF(Audit[[#This Row],[Times p Drawn - With Replacement]]&gt;0, IF(Audit[[#This Row],[Canceled Differences]]&lt;0, Audit[[#This Row],[Max Differences]]+ABS(Audit[[#This Row],[Canceled Differences]]), Audit[[#This Row],[Max Differences]]), 0)</f>
        <v>0</v>
      </c>
      <c r="AT92" s="18">
        <f>'Sampling Data'!AB92</f>
        <v>1.8845996796180544E-4</v>
      </c>
      <c r="AU92" s="18">
        <f>IF(
      SUM(Audit[[#This Row],[Audit Losing Candidate]:[Audit Candidate 12]])
      &lt;&gt;0,
      (Audit[[#This Row],[Winning Candidate]]-Audit[[#This Row],[Losing Candidate]]-(Audit[[#This Row],[Audit Winning Candidate]]-Audit[[#This Row],[Audit Losing Candidate]]))/(Audit[[#Totals],[Winning Candidate]]-Audit[[#Totals],[Losing Candidate]]),
      0
)</f>
        <v>0</v>
      </c>
      <c r="AV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8">
        <f>IF(Audit[[#This Row],[Max Relative Error (ep)]] = 0, 0, Audit[[#This Row],[Max Relative Error (ep)]]/Audit[[#This Row],[Error Bound (up) - Max. possible relative overstatement]])</f>
        <v>0</v>
      </c>
      <c r="BH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 s="18">
        <f t="shared" si="2"/>
        <v>1</v>
      </c>
      <c r="BJ92" s="18">
        <f>PRODUCT($BI$5:BI92)</f>
        <v>1</v>
      </c>
      <c r="BK92" s="20">
        <f>1 - Audit[[#This Row],[K-M P Value]]</f>
        <v>0</v>
      </c>
      <c r="BL92" s="18" t="str">
        <f>IF(Audit[[#This Row],[K-M P Value]]&gt;1-'General Info'!$B$12,"Continue", "Stop")</f>
        <v>Continue</v>
      </c>
      <c r="BM92" s="23" t="b">
        <f>IF(Audit[[#This Row],[Status - Continue or stop audit]] = "Continue", TRUE, IF(BL91 = "Continue", TRUE, FALSE))</f>
        <v>1</v>
      </c>
      <c r="BN92" s="23"/>
    </row>
    <row r="93" spans="1:66" ht="15" hidden="1" customHeight="1" x14ac:dyDescent="0.35">
      <c r="A93" s="18" t="str">
        <f>'Sampling Data'!AI93</f>
        <v/>
      </c>
      <c r="B93" s="18" t="str">
        <f>'Sampling Data'!A93</f>
        <v>1307 CIN 13-G   (AV)</v>
      </c>
      <c r="C93" s="18">
        <f>'Sampling Data'!B93</f>
        <v>0</v>
      </c>
      <c r="D93" s="18">
        <f>'Sampling Data'!C93</f>
        <v>0</v>
      </c>
      <c r="E93" s="19">
        <f>'Sampling Data'!D93</f>
        <v>0</v>
      </c>
      <c r="F93" s="19">
        <f>'Sampling Data'!E93</f>
        <v>0</v>
      </c>
      <c r="G93" s="19">
        <f>'Sampling Data'!F93</f>
        <v>0</v>
      </c>
      <c r="H93" s="19">
        <f>'Sampling Data'!G93</f>
        <v>0</v>
      </c>
      <c r="I93" s="19">
        <f>'Sampling Data'!H93</f>
        <v>0</v>
      </c>
      <c r="J93" s="19">
        <f>'Sampling Data'!I93</f>
        <v>0</v>
      </c>
      <c r="K93" s="19">
        <f>'Sampling Data'!J93</f>
        <v>0</v>
      </c>
      <c r="L93" s="19">
        <f>'Sampling Data'!K93</f>
        <v>0</v>
      </c>
      <c r="M93" s="19">
        <f>'Sampling Data'!L93</f>
        <v>0</v>
      </c>
      <c r="N93" s="19">
        <f>'Sampling Data'!M93</f>
        <v>0</v>
      </c>
      <c r="O93" s="18">
        <f>'Sampling Data'!N93</f>
        <v>0</v>
      </c>
      <c r="P93" s="18">
        <f>'Sampling Data'!O93</f>
        <v>0</v>
      </c>
      <c r="Q93" s="18">
        <f>'Sampling Data'!P93</f>
        <v>0</v>
      </c>
      <c r="R93" s="18">
        <f>'Sampling Data'!AJ93</f>
        <v>0</v>
      </c>
      <c r="S93" s="112"/>
      <c r="T93" s="112"/>
      <c r="U93" s="113"/>
      <c r="V93" s="113"/>
      <c r="W93" s="112"/>
      <c r="X93" s="112"/>
      <c r="Y93" s="112"/>
      <c r="Z93" s="112"/>
      <c r="AA93" s="15"/>
      <c r="AB93" s="15"/>
      <c r="AC93" s="15"/>
      <c r="AD93" s="15"/>
      <c r="AE93" s="114" t="str">
        <f>IF(NOT(ISBLANK(Audit[[#This Row],[Audit Winning Candidate]])), Audit[[#This Row],[Audit Winning Candidate]]-Audit[[#This Row],[Winning Candidate]], "")</f>
        <v/>
      </c>
      <c r="AF93" s="18" t="str">
        <f>IF(NOT(ISBLANK(Audit[[#This Row],[Audit Losing Candidate]])), Audit[[#This Row],[Audit Losing Candidate]]-Audit[[#This Row],[Losing Candidate]], "")</f>
        <v/>
      </c>
      <c r="AG93" s="18" t="str">
        <f>IF(NOT(ISBLANK(Audit[[#This Row],[Audit Candidate 3]])), Audit[[#This Row],[Audit Candidate 3]]-Audit[[#This Row],[Candidate 3]], "")</f>
        <v/>
      </c>
      <c r="AH93" s="18" t="str">
        <f>IF(NOT(ISBLANK(Audit[[#This Row],[Audit Candidate 4]])),Audit[[#This Row],[Audit Candidate 4]]-Audit[[#This Row],[Candidate 4]], "")</f>
        <v/>
      </c>
      <c r="AI93" s="18" t="str">
        <f>IF(NOT(ISBLANK(Audit[[#This Row],[Audit Candidate 5]])), Audit[[#This Row],[Audit Candidate 5]]-Audit[[#This Row],[Candidate 5]], "")</f>
        <v/>
      </c>
      <c r="AJ93" s="18" t="str">
        <f>IF(NOT(ISBLANK(Audit[[#This Row],[Audit Candidate 6]])), Audit[[#This Row],[Audit Candidate 6]]-Audit[[#This Row],[Candidate 6]], "")</f>
        <v/>
      </c>
      <c r="AK93" s="18" t="str">
        <f>IF(NOT(ISBLANK(Audit[[#This Row],[Audit Candidate 7]])), Audit[[#This Row],[Audit Candidate 7]]-Audit[[#This Row],[Candidate 7]], "")</f>
        <v/>
      </c>
      <c r="AL93" s="18" t="str">
        <f>IF(NOT(ISBLANK(Audit[[#This Row],[Audit Candidate 8]])), Audit[[#This Row],[Audit Candidate 8]]-Audit[[#This Row],[Candidate 8]], "")</f>
        <v/>
      </c>
      <c r="AM93" s="18" t="str">
        <f>IF(NOT(ISBLANK(Audit[[#This Row],[Audit Candidate 9]])), Audit[[#This Row],[Audit Candidate 9]]-Audit[[#This Row],[Candidate 9]], "")</f>
        <v/>
      </c>
      <c r="AN93" s="18" t="str">
        <f>IF(NOT(ISBLANK(Audit[[#This Row],[Audit Candidate 10]])), Audit[[#This Row],[Audit Candidate 10]]-Audit[[#This Row],[Candidate 10]], "")</f>
        <v/>
      </c>
      <c r="AO93" s="18" t="str">
        <f>IF(NOT(ISBLANK(Audit[[#This Row],[Audit Candidate 11]])), Audit[[#This Row],[Audit Candidate 11]]-Audit[[#This Row],[Candidate 11]], "")</f>
        <v/>
      </c>
      <c r="AP93" s="18" t="str">
        <f>IF(NOT(ISBLANK(Audit[[#This Row],[Audit Candidate 12]])), Audit[[#This Row],[Audit Candidate 12]]-Audit[[#This Row],[Candidate 12]], "")</f>
        <v/>
      </c>
      <c r="AQ93" s="18">
        <f>SUMIF(Audit[[#This Row],[Difference Winner]:[Difference Candidate 12]], "&gt;0")</f>
        <v>0</v>
      </c>
      <c r="AR93" s="18">
        <f>SUM(Audit[[#This Row],[Difference Winner]:[Difference Candidate 12]])</f>
        <v>0</v>
      </c>
      <c r="AS93" s="18">
        <f>IF(Audit[[#This Row],[Times p Drawn - With Replacement]]&gt;0, IF(Audit[[#This Row],[Canceled Differences]]&lt;0, Audit[[#This Row],[Max Differences]]+ABS(Audit[[#This Row],[Canceled Differences]]), Audit[[#This Row],[Max Differences]]), 0)</f>
        <v>0</v>
      </c>
      <c r="AT93" s="18">
        <f>'Sampling Data'!AB93</f>
        <v>0</v>
      </c>
      <c r="AU93" s="18">
        <f>IF(
      SUM(Audit[[#This Row],[Audit Losing Candidate]:[Audit Candidate 12]])
      &lt;&gt;0,
      (Audit[[#This Row],[Winning Candidate]]-Audit[[#This Row],[Losing Candidate]]-(Audit[[#This Row],[Audit Winning Candidate]]-Audit[[#This Row],[Audit Losing Candidate]]))/(Audit[[#Totals],[Winning Candidate]]-Audit[[#Totals],[Losing Candidate]]),
      0
)</f>
        <v>0</v>
      </c>
      <c r="AV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8">
        <f>IF(Audit[[#This Row],[Max Relative Error (ep)]] = 0, 0, Audit[[#This Row],[Max Relative Error (ep)]]/Audit[[#This Row],[Error Bound (up) - Max. possible relative overstatement]])</f>
        <v>0</v>
      </c>
      <c r="BH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 s="18">
        <f t="shared" si="2"/>
        <v>1</v>
      </c>
      <c r="BJ93" s="18">
        <f>PRODUCT($BI$5:BI93)</f>
        <v>1</v>
      </c>
      <c r="BK93" s="20">
        <f>1 - Audit[[#This Row],[K-M P Value]]</f>
        <v>0</v>
      </c>
      <c r="BL93" s="18" t="str">
        <f>IF(Audit[[#This Row],[K-M P Value]]&gt;1-'General Info'!$B$12,"Continue", "Stop")</f>
        <v>Continue</v>
      </c>
      <c r="BM93" s="23" t="b">
        <f>IF(Audit[[#This Row],[Status - Continue or stop audit]] = "Continue", TRUE, IF(BL92 = "Continue", TRUE, FALSE))</f>
        <v>1</v>
      </c>
      <c r="BN93" s="23"/>
    </row>
    <row r="94" spans="1:66" ht="15" hidden="1" customHeight="1" x14ac:dyDescent="0.35">
      <c r="A94" s="18" t="str">
        <f>'Sampling Data'!AI94</f>
        <v/>
      </c>
      <c r="B94" s="18" t="str">
        <f>'Sampling Data'!A94</f>
        <v>1308 CIN 13-H   (AV)</v>
      </c>
      <c r="C94" s="18">
        <f>'Sampling Data'!B94</f>
        <v>0</v>
      </c>
      <c r="D94" s="18">
        <f>'Sampling Data'!C94</f>
        <v>0</v>
      </c>
      <c r="E94" s="19">
        <f>'Sampling Data'!D94</f>
        <v>0</v>
      </c>
      <c r="F94" s="19">
        <f>'Sampling Data'!E94</f>
        <v>0</v>
      </c>
      <c r="G94" s="19">
        <f>'Sampling Data'!F94</f>
        <v>0</v>
      </c>
      <c r="H94" s="19">
        <f>'Sampling Data'!G94</f>
        <v>0</v>
      </c>
      <c r="I94" s="19">
        <f>'Sampling Data'!H94</f>
        <v>0</v>
      </c>
      <c r="J94" s="19">
        <f>'Sampling Data'!I94</f>
        <v>0</v>
      </c>
      <c r="K94" s="19">
        <f>'Sampling Data'!J94</f>
        <v>0</v>
      </c>
      <c r="L94" s="19">
        <f>'Sampling Data'!K94</f>
        <v>0</v>
      </c>
      <c r="M94" s="19">
        <f>'Sampling Data'!L94</f>
        <v>0</v>
      </c>
      <c r="N94" s="19">
        <f>'Sampling Data'!M94</f>
        <v>0</v>
      </c>
      <c r="O94" s="18">
        <f>'Sampling Data'!N94</f>
        <v>0</v>
      </c>
      <c r="P94" s="18">
        <f>'Sampling Data'!O94</f>
        <v>0</v>
      </c>
      <c r="Q94" s="18">
        <f>'Sampling Data'!P94</f>
        <v>0</v>
      </c>
      <c r="R94" s="18">
        <f>'Sampling Data'!AJ94</f>
        <v>0</v>
      </c>
      <c r="S94" s="112"/>
      <c r="T94" s="112"/>
      <c r="U94" s="113"/>
      <c r="V94" s="113"/>
      <c r="W94" s="112"/>
      <c r="X94" s="112"/>
      <c r="Y94" s="112"/>
      <c r="Z94" s="112"/>
      <c r="AA94" s="15"/>
      <c r="AB94" s="15"/>
      <c r="AC94" s="15"/>
      <c r="AD94" s="15"/>
      <c r="AE94" s="114" t="str">
        <f>IF(NOT(ISBLANK(Audit[[#This Row],[Audit Winning Candidate]])), Audit[[#This Row],[Audit Winning Candidate]]-Audit[[#This Row],[Winning Candidate]], "")</f>
        <v/>
      </c>
      <c r="AF94" s="18" t="str">
        <f>IF(NOT(ISBLANK(Audit[[#This Row],[Audit Losing Candidate]])), Audit[[#This Row],[Audit Losing Candidate]]-Audit[[#This Row],[Losing Candidate]], "")</f>
        <v/>
      </c>
      <c r="AG94" s="18" t="str">
        <f>IF(NOT(ISBLANK(Audit[[#This Row],[Audit Candidate 3]])), Audit[[#This Row],[Audit Candidate 3]]-Audit[[#This Row],[Candidate 3]], "")</f>
        <v/>
      </c>
      <c r="AH94" s="18" t="str">
        <f>IF(NOT(ISBLANK(Audit[[#This Row],[Audit Candidate 4]])),Audit[[#This Row],[Audit Candidate 4]]-Audit[[#This Row],[Candidate 4]], "")</f>
        <v/>
      </c>
      <c r="AI94" s="18" t="str">
        <f>IF(NOT(ISBLANK(Audit[[#This Row],[Audit Candidate 5]])), Audit[[#This Row],[Audit Candidate 5]]-Audit[[#This Row],[Candidate 5]], "")</f>
        <v/>
      </c>
      <c r="AJ94" s="18" t="str">
        <f>IF(NOT(ISBLANK(Audit[[#This Row],[Audit Candidate 6]])), Audit[[#This Row],[Audit Candidate 6]]-Audit[[#This Row],[Candidate 6]], "")</f>
        <v/>
      </c>
      <c r="AK94" s="18" t="str">
        <f>IF(NOT(ISBLANK(Audit[[#This Row],[Audit Candidate 7]])), Audit[[#This Row],[Audit Candidate 7]]-Audit[[#This Row],[Candidate 7]], "")</f>
        <v/>
      </c>
      <c r="AL94" s="18" t="str">
        <f>IF(NOT(ISBLANK(Audit[[#This Row],[Audit Candidate 8]])), Audit[[#This Row],[Audit Candidate 8]]-Audit[[#This Row],[Candidate 8]], "")</f>
        <v/>
      </c>
      <c r="AM94" s="18" t="str">
        <f>IF(NOT(ISBLANK(Audit[[#This Row],[Audit Candidate 9]])), Audit[[#This Row],[Audit Candidate 9]]-Audit[[#This Row],[Candidate 9]], "")</f>
        <v/>
      </c>
      <c r="AN94" s="18" t="str">
        <f>IF(NOT(ISBLANK(Audit[[#This Row],[Audit Candidate 10]])), Audit[[#This Row],[Audit Candidate 10]]-Audit[[#This Row],[Candidate 10]], "")</f>
        <v/>
      </c>
      <c r="AO94" s="18" t="str">
        <f>IF(NOT(ISBLANK(Audit[[#This Row],[Audit Candidate 11]])), Audit[[#This Row],[Audit Candidate 11]]-Audit[[#This Row],[Candidate 11]], "")</f>
        <v/>
      </c>
      <c r="AP94" s="18" t="str">
        <f>IF(NOT(ISBLANK(Audit[[#This Row],[Audit Candidate 12]])), Audit[[#This Row],[Audit Candidate 12]]-Audit[[#This Row],[Candidate 12]], "")</f>
        <v/>
      </c>
      <c r="AQ94" s="18">
        <f>SUMIF(Audit[[#This Row],[Difference Winner]:[Difference Candidate 12]], "&gt;0")</f>
        <v>0</v>
      </c>
      <c r="AR94" s="18">
        <f>SUM(Audit[[#This Row],[Difference Winner]:[Difference Candidate 12]])</f>
        <v>0</v>
      </c>
      <c r="AS94" s="18">
        <f>IF(Audit[[#This Row],[Times p Drawn - With Replacement]]&gt;0, IF(Audit[[#This Row],[Canceled Differences]]&lt;0, Audit[[#This Row],[Max Differences]]+ABS(Audit[[#This Row],[Canceled Differences]]), Audit[[#This Row],[Max Differences]]), 0)</f>
        <v>0</v>
      </c>
      <c r="AT94" s="18">
        <f>'Sampling Data'!AB94</f>
        <v>0</v>
      </c>
      <c r="AU94" s="18">
        <f>IF(
      SUM(Audit[[#This Row],[Audit Losing Candidate]:[Audit Candidate 12]])
      &lt;&gt;0,
      (Audit[[#This Row],[Winning Candidate]]-Audit[[#This Row],[Losing Candidate]]-(Audit[[#This Row],[Audit Winning Candidate]]-Audit[[#This Row],[Audit Losing Candidate]]))/(Audit[[#Totals],[Winning Candidate]]-Audit[[#Totals],[Losing Candidate]]),
      0
)</f>
        <v>0</v>
      </c>
      <c r="AV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8">
        <f>IF(Audit[[#This Row],[Max Relative Error (ep)]] = 0, 0, Audit[[#This Row],[Max Relative Error (ep)]]/Audit[[#This Row],[Error Bound (up) - Max. possible relative overstatement]])</f>
        <v>0</v>
      </c>
      <c r="BH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 s="18">
        <f t="shared" si="2"/>
        <v>1</v>
      </c>
      <c r="BJ94" s="18">
        <f>PRODUCT($BI$5:BI94)</f>
        <v>1</v>
      </c>
      <c r="BK94" s="20">
        <f>1 - Audit[[#This Row],[K-M P Value]]</f>
        <v>0</v>
      </c>
      <c r="BL94" s="18" t="str">
        <f>IF(Audit[[#This Row],[K-M P Value]]&gt;1-'General Info'!$B$12,"Continue", "Stop")</f>
        <v>Continue</v>
      </c>
      <c r="BM94" s="23" t="b">
        <f>IF(Audit[[#This Row],[Status - Continue or stop audit]] = "Continue", TRUE, IF(BL93 = "Continue", TRUE, FALSE))</f>
        <v>1</v>
      </c>
      <c r="BN94" s="23"/>
    </row>
    <row r="95" spans="1:66" ht="15" hidden="1" customHeight="1" x14ac:dyDescent="0.35">
      <c r="A95" s="18" t="str">
        <f>'Sampling Data'!AI95</f>
        <v/>
      </c>
      <c r="B95" s="18" t="str">
        <f>'Sampling Data'!A95</f>
        <v>1401 CIN 14-A   (AV)</v>
      </c>
      <c r="C95" s="18">
        <f>'Sampling Data'!B95</f>
        <v>7</v>
      </c>
      <c r="D95" s="18">
        <f>'Sampling Data'!C95</f>
        <v>2</v>
      </c>
      <c r="E95" s="19">
        <f>'Sampling Data'!D95</f>
        <v>0</v>
      </c>
      <c r="F95" s="19">
        <f>'Sampling Data'!E95</f>
        <v>0</v>
      </c>
      <c r="G95" s="19">
        <f>'Sampling Data'!F95</f>
        <v>0</v>
      </c>
      <c r="H95" s="19">
        <f>'Sampling Data'!G95</f>
        <v>0</v>
      </c>
      <c r="I95" s="19">
        <f>'Sampling Data'!H95</f>
        <v>0</v>
      </c>
      <c r="J95" s="19">
        <f>'Sampling Data'!I95</f>
        <v>0</v>
      </c>
      <c r="K95" s="19">
        <f>'Sampling Data'!J95</f>
        <v>0</v>
      </c>
      <c r="L95" s="19">
        <f>'Sampling Data'!K95</f>
        <v>0</v>
      </c>
      <c r="M95" s="19">
        <f>'Sampling Data'!L95</f>
        <v>0</v>
      </c>
      <c r="N95" s="19">
        <f>'Sampling Data'!M95</f>
        <v>0</v>
      </c>
      <c r="O95" s="18">
        <f>'Sampling Data'!N95</f>
        <v>0</v>
      </c>
      <c r="P95" s="18">
        <f>'Sampling Data'!O95</f>
        <v>1</v>
      </c>
      <c r="Q95" s="18">
        <f>'Sampling Data'!P95</f>
        <v>10</v>
      </c>
      <c r="R95" s="18">
        <f>'Sampling Data'!AJ95</f>
        <v>0</v>
      </c>
      <c r="S95" s="112"/>
      <c r="T95" s="112"/>
      <c r="U95" s="113"/>
      <c r="V95" s="113"/>
      <c r="W95" s="112"/>
      <c r="X95" s="112"/>
      <c r="Y95" s="112"/>
      <c r="Z95" s="112"/>
      <c r="AA95" s="15"/>
      <c r="AB95" s="15"/>
      <c r="AC95" s="15"/>
      <c r="AD95" s="15"/>
      <c r="AE95" s="114" t="str">
        <f>IF(NOT(ISBLANK(Audit[[#This Row],[Audit Winning Candidate]])), Audit[[#This Row],[Audit Winning Candidate]]-Audit[[#This Row],[Winning Candidate]], "")</f>
        <v/>
      </c>
      <c r="AF95" s="18" t="str">
        <f>IF(NOT(ISBLANK(Audit[[#This Row],[Audit Losing Candidate]])), Audit[[#This Row],[Audit Losing Candidate]]-Audit[[#This Row],[Losing Candidate]], "")</f>
        <v/>
      </c>
      <c r="AG95" s="18" t="str">
        <f>IF(NOT(ISBLANK(Audit[[#This Row],[Audit Candidate 3]])), Audit[[#This Row],[Audit Candidate 3]]-Audit[[#This Row],[Candidate 3]], "")</f>
        <v/>
      </c>
      <c r="AH95" s="18" t="str">
        <f>IF(NOT(ISBLANK(Audit[[#This Row],[Audit Candidate 4]])),Audit[[#This Row],[Audit Candidate 4]]-Audit[[#This Row],[Candidate 4]], "")</f>
        <v/>
      </c>
      <c r="AI95" s="18" t="str">
        <f>IF(NOT(ISBLANK(Audit[[#This Row],[Audit Candidate 5]])), Audit[[#This Row],[Audit Candidate 5]]-Audit[[#This Row],[Candidate 5]], "")</f>
        <v/>
      </c>
      <c r="AJ95" s="18" t="str">
        <f>IF(NOT(ISBLANK(Audit[[#This Row],[Audit Candidate 6]])), Audit[[#This Row],[Audit Candidate 6]]-Audit[[#This Row],[Candidate 6]], "")</f>
        <v/>
      </c>
      <c r="AK95" s="18" t="str">
        <f>IF(NOT(ISBLANK(Audit[[#This Row],[Audit Candidate 7]])), Audit[[#This Row],[Audit Candidate 7]]-Audit[[#This Row],[Candidate 7]], "")</f>
        <v/>
      </c>
      <c r="AL95" s="18" t="str">
        <f>IF(NOT(ISBLANK(Audit[[#This Row],[Audit Candidate 8]])), Audit[[#This Row],[Audit Candidate 8]]-Audit[[#This Row],[Candidate 8]], "")</f>
        <v/>
      </c>
      <c r="AM95" s="18" t="str">
        <f>IF(NOT(ISBLANK(Audit[[#This Row],[Audit Candidate 9]])), Audit[[#This Row],[Audit Candidate 9]]-Audit[[#This Row],[Candidate 9]], "")</f>
        <v/>
      </c>
      <c r="AN95" s="18" t="str">
        <f>IF(NOT(ISBLANK(Audit[[#This Row],[Audit Candidate 10]])), Audit[[#This Row],[Audit Candidate 10]]-Audit[[#This Row],[Candidate 10]], "")</f>
        <v/>
      </c>
      <c r="AO95" s="18" t="str">
        <f>IF(NOT(ISBLANK(Audit[[#This Row],[Audit Candidate 11]])), Audit[[#This Row],[Audit Candidate 11]]-Audit[[#This Row],[Candidate 11]], "")</f>
        <v/>
      </c>
      <c r="AP95" s="18" t="str">
        <f>IF(NOT(ISBLANK(Audit[[#This Row],[Audit Candidate 12]])), Audit[[#This Row],[Audit Candidate 12]]-Audit[[#This Row],[Candidate 12]], "")</f>
        <v/>
      </c>
      <c r="AQ95" s="18">
        <f>SUMIF(Audit[[#This Row],[Difference Winner]:[Difference Candidate 12]], "&gt;0")</f>
        <v>0</v>
      </c>
      <c r="AR95" s="18">
        <f>SUM(Audit[[#This Row],[Difference Winner]:[Difference Candidate 12]])</f>
        <v>0</v>
      </c>
      <c r="AS95" s="18">
        <f>IF(Audit[[#This Row],[Times p Drawn - With Replacement]]&gt;0, IF(Audit[[#This Row],[Canceled Differences]]&lt;0, Audit[[#This Row],[Max Differences]]+ABS(Audit[[#This Row],[Canceled Differences]]), Audit[[#This Row],[Max Differences]]), 0)</f>
        <v>0</v>
      </c>
      <c r="AT95" s="18">
        <f>'Sampling Data'!AB95</f>
        <v>4.7114991990451359E-4</v>
      </c>
      <c r="AU95" s="18">
        <f>IF(
      SUM(Audit[[#This Row],[Audit Losing Candidate]:[Audit Candidate 12]])
      &lt;&gt;0,
      (Audit[[#This Row],[Winning Candidate]]-Audit[[#This Row],[Losing Candidate]]-(Audit[[#This Row],[Audit Winning Candidate]]-Audit[[#This Row],[Audit Losing Candidate]]))/(Audit[[#Totals],[Winning Candidate]]-Audit[[#Totals],[Losing Candidate]]),
      0
)</f>
        <v>0</v>
      </c>
      <c r="AV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8">
        <f>IF(Audit[[#This Row],[Max Relative Error (ep)]] = 0, 0, Audit[[#This Row],[Max Relative Error (ep)]]/Audit[[#This Row],[Error Bound (up) - Max. possible relative overstatement]])</f>
        <v>0</v>
      </c>
      <c r="BH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 s="18">
        <f t="shared" si="2"/>
        <v>1</v>
      </c>
      <c r="BJ95" s="18">
        <f>PRODUCT($BI$5:BI95)</f>
        <v>1</v>
      </c>
      <c r="BK95" s="20">
        <f>1 - Audit[[#This Row],[K-M P Value]]</f>
        <v>0</v>
      </c>
      <c r="BL95" s="18" t="str">
        <f>IF(Audit[[#This Row],[K-M P Value]]&gt;1-'General Info'!$B$12,"Continue", "Stop")</f>
        <v>Continue</v>
      </c>
      <c r="BM95" s="23" t="b">
        <f>IF(Audit[[#This Row],[Status - Continue or stop audit]] = "Continue", TRUE, IF(BL94 = "Continue", TRUE, FALSE))</f>
        <v>1</v>
      </c>
      <c r="BN95" s="23"/>
    </row>
    <row r="96" spans="1:66" ht="15" hidden="1" customHeight="1" x14ac:dyDescent="0.35">
      <c r="A96" s="18" t="str">
        <f>'Sampling Data'!AI96</f>
        <v/>
      </c>
      <c r="B96" s="18" t="str">
        <f>'Sampling Data'!A96</f>
        <v>1402 CIN 14-B   (AV)</v>
      </c>
      <c r="C96" s="18">
        <f>'Sampling Data'!B96</f>
        <v>0</v>
      </c>
      <c r="D96" s="18">
        <f>'Sampling Data'!C96</f>
        <v>2</v>
      </c>
      <c r="E96" s="19">
        <f>'Sampling Data'!D96</f>
        <v>0</v>
      </c>
      <c r="F96" s="19">
        <f>'Sampling Data'!E96</f>
        <v>0</v>
      </c>
      <c r="G96" s="19">
        <f>'Sampling Data'!F96</f>
        <v>0</v>
      </c>
      <c r="H96" s="19">
        <f>'Sampling Data'!G96</f>
        <v>0</v>
      </c>
      <c r="I96" s="19">
        <f>'Sampling Data'!H96</f>
        <v>0</v>
      </c>
      <c r="J96" s="19">
        <f>'Sampling Data'!I96</f>
        <v>0</v>
      </c>
      <c r="K96" s="19">
        <f>'Sampling Data'!J96</f>
        <v>0</v>
      </c>
      <c r="L96" s="19">
        <f>'Sampling Data'!K96</f>
        <v>0</v>
      </c>
      <c r="M96" s="19">
        <f>'Sampling Data'!L96</f>
        <v>0</v>
      </c>
      <c r="N96" s="19">
        <f>'Sampling Data'!M96</f>
        <v>0</v>
      </c>
      <c r="O96" s="18">
        <f>'Sampling Data'!N96</f>
        <v>0</v>
      </c>
      <c r="P96" s="18">
        <f>'Sampling Data'!O96</f>
        <v>0</v>
      </c>
      <c r="Q96" s="18">
        <f>'Sampling Data'!P96</f>
        <v>2</v>
      </c>
      <c r="R96" s="18">
        <f>'Sampling Data'!AJ96</f>
        <v>0</v>
      </c>
      <c r="S96" s="112"/>
      <c r="T96" s="112"/>
      <c r="U96" s="113"/>
      <c r="V96" s="113"/>
      <c r="W96" s="112"/>
      <c r="X96" s="112"/>
      <c r="Y96" s="112"/>
      <c r="Z96" s="112"/>
      <c r="AA96" s="15"/>
      <c r="AB96" s="15"/>
      <c r="AC96" s="15"/>
      <c r="AD96" s="15"/>
      <c r="AE96" s="114" t="str">
        <f>IF(NOT(ISBLANK(Audit[[#This Row],[Audit Winning Candidate]])), Audit[[#This Row],[Audit Winning Candidate]]-Audit[[#This Row],[Winning Candidate]], "")</f>
        <v/>
      </c>
      <c r="AF96" s="18" t="str">
        <f>IF(NOT(ISBLANK(Audit[[#This Row],[Audit Losing Candidate]])), Audit[[#This Row],[Audit Losing Candidate]]-Audit[[#This Row],[Losing Candidate]], "")</f>
        <v/>
      </c>
      <c r="AG96" s="18" t="str">
        <f>IF(NOT(ISBLANK(Audit[[#This Row],[Audit Candidate 3]])), Audit[[#This Row],[Audit Candidate 3]]-Audit[[#This Row],[Candidate 3]], "")</f>
        <v/>
      </c>
      <c r="AH96" s="18" t="str">
        <f>IF(NOT(ISBLANK(Audit[[#This Row],[Audit Candidate 4]])),Audit[[#This Row],[Audit Candidate 4]]-Audit[[#This Row],[Candidate 4]], "")</f>
        <v/>
      </c>
      <c r="AI96" s="18" t="str">
        <f>IF(NOT(ISBLANK(Audit[[#This Row],[Audit Candidate 5]])), Audit[[#This Row],[Audit Candidate 5]]-Audit[[#This Row],[Candidate 5]], "")</f>
        <v/>
      </c>
      <c r="AJ96" s="18" t="str">
        <f>IF(NOT(ISBLANK(Audit[[#This Row],[Audit Candidate 6]])), Audit[[#This Row],[Audit Candidate 6]]-Audit[[#This Row],[Candidate 6]], "")</f>
        <v/>
      </c>
      <c r="AK96" s="18" t="str">
        <f>IF(NOT(ISBLANK(Audit[[#This Row],[Audit Candidate 7]])), Audit[[#This Row],[Audit Candidate 7]]-Audit[[#This Row],[Candidate 7]], "")</f>
        <v/>
      </c>
      <c r="AL96" s="18" t="str">
        <f>IF(NOT(ISBLANK(Audit[[#This Row],[Audit Candidate 8]])), Audit[[#This Row],[Audit Candidate 8]]-Audit[[#This Row],[Candidate 8]], "")</f>
        <v/>
      </c>
      <c r="AM96" s="18" t="str">
        <f>IF(NOT(ISBLANK(Audit[[#This Row],[Audit Candidate 9]])), Audit[[#This Row],[Audit Candidate 9]]-Audit[[#This Row],[Candidate 9]], "")</f>
        <v/>
      </c>
      <c r="AN96" s="18" t="str">
        <f>IF(NOT(ISBLANK(Audit[[#This Row],[Audit Candidate 10]])), Audit[[#This Row],[Audit Candidate 10]]-Audit[[#This Row],[Candidate 10]], "")</f>
        <v/>
      </c>
      <c r="AO96" s="18" t="str">
        <f>IF(NOT(ISBLANK(Audit[[#This Row],[Audit Candidate 11]])), Audit[[#This Row],[Audit Candidate 11]]-Audit[[#This Row],[Candidate 11]], "")</f>
        <v/>
      </c>
      <c r="AP96" s="18" t="str">
        <f>IF(NOT(ISBLANK(Audit[[#This Row],[Audit Candidate 12]])), Audit[[#This Row],[Audit Candidate 12]]-Audit[[#This Row],[Candidate 12]], "")</f>
        <v/>
      </c>
      <c r="AQ96" s="18">
        <f>SUMIF(Audit[[#This Row],[Difference Winner]:[Difference Candidate 12]], "&gt;0")</f>
        <v>0</v>
      </c>
      <c r="AR96" s="18">
        <f>SUM(Audit[[#This Row],[Difference Winner]:[Difference Candidate 12]])</f>
        <v>0</v>
      </c>
      <c r="AS96" s="18">
        <f>IF(Audit[[#This Row],[Times p Drawn - With Replacement]]&gt;0, IF(Audit[[#This Row],[Canceled Differences]]&lt;0, Audit[[#This Row],[Max Differences]]+ABS(Audit[[#This Row],[Canceled Differences]]), Audit[[#This Row],[Max Differences]]), 0)</f>
        <v>0</v>
      </c>
      <c r="AT96" s="18">
        <f>'Sampling Data'!AB96</f>
        <v>0</v>
      </c>
      <c r="AU96" s="18">
        <f>IF(
      SUM(Audit[[#This Row],[Audit Losing Candidate]:[Audit Candidate 12]])
      &lt;&gt;0,
      (Audit[[#This Row],[Winning Candidate]]-Audit[[#This Row],[Losing Candidate]]-(Audit[[#This Row],[Audit Winning Candidate]]-Audit[[#This Row],[Audit Losing Candidate]]))/(Audit[[#Totals],[Winning Candidate]]-Audit[[#Totals],[Losing Candidate]]),
      0
)</f>
        <v>0</v>
      </c>
      <c r="AV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8">
        <f>IF(Audit[[#This Row],[Max Relative Error (ep)]] = 0, 0, Audit[[#This Row],[Max Relative Error (ep)]]/Audit[[#This Row],[Error Bound (up) - Max. possible relative overstatement]])</f>
        <v>0</v>
      </c>
      <c r="BH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 s="18">
        <f t="shared" si="2"/>
        <v>1</v>
      </c>
      <c r="BJ96" s="18">
        <f>PRODUCT($BI$5:BI96)</f>
        <v>1</v>
      </c>
      <c r="BK96" s="20">
        <f>1 - Audit[[#This Row],[K-M P Value]]</f>
        <v>0</v>
      </c>
      <c r="BL96" s="18" t="str">
        <f>IF(Audit[[#This Row],[K-M P Value]]&gt;1-'General Info'!$B$12,"Continue", "Stop")</f>
        <v>Continue</v>
      </c>
      <c r="BM96" s="23" t="b">
        <f>IF(Audit[[#This Row],[Status - Continue or stop audit]] = "Continue", TRUE, IF(BL95 = "Continue", TRUE, FALSE))</f>
        <v>1</v>
      </c>
      <c r="BN96" s="23"/>
    </row>
    <row r="97" spans="1:66" ht="15" hidden="1" customHeight="1" x14ac:dyDescent="0.35">
      <c r="A97" s="18" t="str">
        <f>'Sampling Data'!AI97</f>
        <v/>
      </c>
      <c r="B97" s="18" t="str">
        <f>'Sampling Data'!A97</f>
        <v>1403 CIN 14-C   (AV)</v>
      </c>
      <c r="C97" s="18">
        <f>'Sampling Data'!B97</f>
        <v>4</v>
      </c>
      <c r="D97" s="18">
        <f>'Sampling Data'!C97</f>
        <v>0</v>
      </c>
      <c r="E97" s="19">
        <f>'Sampling Data'!D97</f>
        <v>0</v>
      </c>
      <c r="F97" s="19">
        <f>'Sampling Data'!E97</f>
        <v>0</v>
      </c>
      <c r="G97" s="19">
        <f>'Sampling Data'!F97</f>
        <v>0</v>
      </c>
      <c r="H97" s="19">
        <f>'Sampling Data'!G97</f>
        <v>0</v>
      </c>
      <c r="I97" s="19">
        <f>'Sampling Data'!H97</f>
        <v>0</v>
      </c>
      <c r="J97" s="19">
        <f>'Sampling Data'!I97</f>
        <v>0</v>
      </c>
      <c r="K97" s="19">
        <f>'Sampling Data'!J97</f>
        <v>0</v>
      </c>
      <c r="L97" s="19">
        <f>'Sampling Data'!K97</f>
        <v>0</v>
      </c>
      <c r="M97" s="19">
        <f>'Sampling Data'!L97</f>
        <v>0</v>
      </c>
      <c r="N97" s="19">
        <f>'Sampling Data'!M97</f>
        <v>0</v>
      </c>
      <c r="O97" s="18">
        <f>'Sampling Data'!N97</f>
        <v>0</v>
      </c>
      <c r="P97" s="18">
        <f>'Sampling Data'!O97</f>
        <v>0</v>
      </c>
      <c r="Q97" s="18">
        <f>'Sampling Data'!P97</f>
        <v>4</v>
      </c>
      <c r="R97" s="18">
        <f>'Sampling Data'!AJ97</f>
        <v>0</v>
      </c>
      <c r="S97" s="112"/>
      <c r="T97" s="112"/>
      <c r="U97" s="113"/>
      <c r="V97" s="113"/>
      <c r="W97" s="112"/>
      <c r="X97" s="112"/>
      <c r="Y97" s="112"/>
      <c r="Z97" s="112"/>
      <c r="AA97" s="15"/>
      <c r="AB97" s="15"/>
      <c r="AC97" s="15"/>
      <c r="AD97" s="15"/>
      <c r="AE97" s="114" t="str">
        <f>IF(NOT(ISBLANK(Audit[[#This Row],[Audit Winning Candidate]])), Audit[[#This Row],[Audit Winning Candidate]]-Audit[[#This Row],[Winning Candidate]], "")</f>
        <v/>
      </c>
      <c r="AF97" s="18" t="str">
        <f>IF(NOT(ISBLANK(Audit[[#This Row],[Audit Losing Candidate]])), Audit[[#This Row],[Audit Losing Candidate]]-Audit[[#This Row],[Losing Candidate]], "")</f>
        <v/>
      </c>
      <c r="AG97" s="18" t="str">
        <f>IF(NOT(ISBLANK(Audit[[#This Row],[Audit Candidate 3]])), Audit[[#This Row],[Audit Candidate 3]]-Audit[[#This Row],[Candidate 3]], "")</f>
        <v/>
      </c>
      <c r="AH97" s="18" t="str">
        <f>IF(NOT(ISBLANK(Audit[[#This Row],[Audit Candidate 4]])),Audit[[#This Row],[Audit Candidate 4]]-Audit[[#This Row],[Candidate 4]], "")</f>
        <v/>
      </c>
      <c r="AI97" s="18" t="str">
        <f>IF(NOT(ISBLANK(Audit[[#This Row],[Audit Candidate 5]])), Audit[[#This Row],[Audit Candidate 5]]-Audit[[#This Row],[Candidate 5]], "")</f>
        <v/>
      </c>
      <c r="AJ97" s="18" t="str">
        <f>IF(NOT(ISBLANK(Audit[[#This Row],[Audit Candidate 6]])), Audit[[#This Row],[Audit Candidate 6]]-Audit[[#This Row],[Candidate 6]], "")</f>
        <v/>
      </c>
      <c r="AK97" s="18" t="str">
        <f>IF(NOT(ISBLANK(Audit[[#This Row],[Audit Candidate 7]])), Audit[[#This Row],[Audit Candidate 7]]-Audit[[#This Row],[Candidate 7]], "")</f>
        <v/>
      </c>
      <c r="AL97" s="18" t="str">
        <f>IF(NOT(ISBLANK(Audit[[#This Row],[Audit Candidate 8]])), Audit[[#This Row],[Audit Candidate 8]]-Audit[[#This Row],[Candidate 8]], "")</f>
        <v/>
      </c>
      <c r="AM97" s="18" t="str">
        <f>IF(NOT(ISBLANK(Audit[[#This Row],[Audit Candidate 9]])), Audit[[#This Row],[Audit Candidate 9]]-Audit[[#This Row],[Candidate 9]], "")</f>
        <v/>
      </c>
      <c r="AN97" s="18" t="str">
        <f>IF(NOT(ISBLANK(Audit[[#This Row],[Audit Candidate 10]])), Audit[[#This Row],[Audit Candidate 10]]-Audit[[#This Row],[Candidate 10]], "")</f>
        <v/>
      </c>
      <c r="AO97" s="18" t="str">
        <f>IF(NOT(ISBLANK(Audit[[#This Row],[Audit Candidate 11]])), Audit[[#This Row],[Audit Candidate 11]]-Audit[[#This Row],[Candidate 11]], "")</f>
        <v/>
      </c>
      <c r="AP97" s="18" t="str">
        <f>IF(NOT(ISBLANK(Audit[[#This Row],[Audit Candidate 12]])), Audit[[#This Row],[Audit Candidate 12]]-Audit[[#This Row],[Candidate 12]], "")</f>
        <v/>
      </c>
      <c r="AQ97" s="18">
        <f>SUMIF(Audit[[#This Row],[Difference Winner]:[Difference Candidate 12]], "&gt;0")</f>
        <v>0</v>
      </c>
      <c r="AR97" s="18">
        <f>SUM(Audit[[#This Row],[Difference Winner]:[Difference Candidate 12]])</f>
        <v>0</v>
      </c>
      <c r="AS97" s="18">
        <f>IF(Audit[[#This Row],[Times p Drawn - With Replacement]]&gt;0, IF(Audit[[#This Row],[Canceled Differences]]&lt;0, Audit[[#This Row],[Max Differences]]+ABS(Audit[[#This Row],[Canceled Differences]]), Audit[[#This Row],[Max Differences]]), 0)</f>
        <v>0</v>
      </c>
      <c r="AT97" s="18">
        <f>'Sampling Data'!AB97</f>
        <v>2.5127995728240724E-4</v>
      </c>
      <c r="AU97" s="18">
        <f>IF(
      SUM(Audit[[#This Row],[Audit Losing Candidate]:[Audit Candidate 12]])
      &lt;&gt;0,
      (Audit[[#This Row],[Winning Candidate]]-Audit[[#This Row],[Losing Candidate]]-(Audit[[#This Row],[Audit Winning Candidate]]-Audit[[#This Row],[Audit Losing Candidate]]))/(Audit[[#Totals],[Winning Candidate]]-Audit[[#Totals],[Losing Candidate]]),
      0
)</f>
        <v>0</v>
      </c>
      <c r="AV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8">
        <f>IF(Audit[[#This Row],[Max Relative Error (ep)]] = 0, 0, Audit[[#This Row],[Max Relative Error (ep)]]/Audit[[#This Row],[Error Bound (up) - Max. possible relative overstatement]])</f>
        <v>0</v>
      </c>
      <c r="BH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 s="18">
        <f t="shared" si="2"/>
        <v>1</v>
      </c>
      <c r="BJ97" s="18">
        <f>PRODUCT($BI$5:BI97)</f>
        <v>1</v>
      </c>
      <c r="BK97" s="20">
        <f>1 - Audit[[#This Row],[K-M P Value]]</f>
        <v>0</v>
      </c>
      <c r="BL97" s="18" t="str">
        <f>IF(Audit[[#This Row],[K-M P Value]]&gt;1-'General Info'!$B$12,"Continue", "Stop")</f>
        <v>Continue</v>
      </c>
      <c r="BM97" s="23" t="b">
        <f>IF(Audit[[#This Row],[Status - Continue or stop audit]] = "Continue", TRUE, IF(BL96 = "Continue", TRUE, FALSE))</f>
        <v>1</v>
      </c>
      <c r="BN97" s="23"/>
    </row>
    <row r="98" spans="1:66" ht="15" hidden="1" customHeight="1" x14ac:dyDescent="0.35">
      <c r="A98" s="18" t="str">
        <f>'Sampling Data'!AI98</f>
        <v/>
      </c>
      <c r="B98" s="18" t="str">
        <f>'Sampling Data'!A98</f>
        <v>1404 CIN 14-D   (AV)</v>
      </c>
      <c r="C98" s="18">
        <f>'Sampling Data'!B98</f>
        <v>10</v>
      </c>
      <c r="D98" s="18">
        <f>'Sampling Data'!C98</f>
        <v>1</v>
      </c>
      <c r="E98" s="19">
        <f>'Sampling Data'!D98</f>
        <v>0</v>
      </c>
      <c r="F98" s="19">
        <f>'Sampling Data'!E98</f>
        <v>0</v>
      </c>
      <c r="G98" s="19">
        <f>'Sampling Data'!F98</f>
        <v>0</v>
      </c>
      <c r="H98" s="19">
        <f>'Sampling Data'!G98</f>
        <v>0</v>
      </c>
      <c r="I98" s="19">
        <f>'Sampling Data'!H98</f>
        <v>0</v>
      </c>
      <c r="J98" s="19">
        <f>'Sampling Data'!I98</f>
        <v>0</v>
      </c>
      <c r="K98" s="19">
        <f>'Sampling Data'!J98</f>
        <v>0</v>
      </c>
      <c r="L98" s="19">
        <f>'Sampling Data'!K98</f>
        <v>0</v>
      </c>
      <c r="M98" s="19">
        <f>'Sampling Data'!L98</f>
        <v>0</v>
      </c>
      <c r="N98" s="19">
        <f>'Sampling Data'!M98</f>
        <v>0</v>
      </c>
      <c r="O98" s="18">
        <f>'Sampling Data'!N98</f>
        <v>0</v>
      </c>
      <c r="P98" s="18">
        <f>'Sampling Data'!O98</f>
        <v>1</v>
      </c>
      <c r="Q98" s="18">
        <f>'Sampling Data'!P98</f>
        <v>12</v>
      </c>
      <c r="R98" s="18">
        <f>'Sampling Data'!AJ98</f>
        <v>0</v>
      </c>
      <c r="S98" s="112"/>
      <c r="T98" s="112"/>
      <c r="U98" s="113"/>
      <c r="V98" s="113"/>
      <c r="W98" s="112"/>
      <c r="X98" s="112"/>
      <c r="Y98" s="112"/>
      <c r="Z98" s="112"/>
      <c r="AA98" s="15"/>
      <c r="AB98" s="15"/>
      <c r="AC98" s="15"/>
      <c r="AD98" s="15"/>
      <c r="AE98" s="114" t="str">
        <f>IF(NOT(ISBLANK(Audit[[#This Row],[Audit Winning Candidate]])), Audit[[#This Row],[Audit Winning Candidate]]-Audit[[#This Row],[Winning Candidate]], "")</f>
        <v/>
      </c>
      <c r="AF98" s="18" t="str">
        <f>IF(NOT(ISBLANK(Audit[[#This Row],[Audit Losing Candidate]])), Audit[[#This Row],[Audit Losing Candidate]]-Audit[[#This Row],[Losing Candidate]], "")</f>
        <v/>
      </c>
      <c r="AG98" s="18" t="str">
        <f>IF(NOT(ISBLANK(Audit[[#This Row],[Audit Candidate 3]])), Audit[[#This Row],[Audit Candidate 3]]-Audit[[#This Row],[Candidate 3]], "")</f>
        <v/>
      </c>
      <c r="AH98" s="18" t="str">
        <f>IF(NOT(ISBLANK(Audit[[#This Row],[Audit Candidate 4]])),Audit[[#This Row],[Audit Candidate 4]]-Audit[[#This Row],[Candidate 4]], "")</f>
        <v/>
      </c>
      <c r="AI98" s="18" t="str">
        <f>IF(NOT(ISBLANK(Audit[[#This Row],[Audit Candidate 5]])), Audit[[#This Row],[Audit Candidate 5]]-Audit[[#This Row],[Candidate 5]], "")</f>
        <v/>
      </c>
      <c r="AJ98" s="18" t="str">
        <f>IF(NOT(ISBLANK(Audit[[#This Row],[Audit Candidate 6]])), Audit[[#This Row],[Audit Candidate 6]]-Audit[[#This Row],[Candidate 6]], "")</f>
        <v/>
      </c>
      <c r="AK98" s="18" t="str">
        <f>IF(NOT(ISBLANK(Audit[[#This Row],[Audit Candidate 7]])), Audit[[#This Row],[Audit Candidate 7]]-Audit[[#This Row],[Candidate 7]], "")</f>
        <v/>
      </c>
      <c r="AL98" s="18" t="str">
        <f>IF(NOT(ISBLANK(Audit[[#This Row],[Audit Candidate 8]])), Audit[[#This Row],[Audit Candidate 8]]-Audit[[#This Row],[Candidate 8]], "")</f>
        <v/>
      </c>
      <c r="AM98" s="18" t="str">
        <f>IF(NOT(ISBLANK(Audit[[#This Row],[Audit Candidate 9]])), Audit[[#This Row],[Audit Candidate 9]]-Audit[[#This Row],[Candidate 9]], "")</f>
        <v/>
      </c>
      <c r="AN98" s="18" t="str">
        <f>IF(NOT(ISBLANK(Audit[[#This Row],[Audit Candidate 10]])), Audit[[#This Row],[Audit Candidate 10]]-Audit[[#This Row],[Candidate 10]], "")</f>
        <v/>
      </c>
      <c r="AO98" s="18" t="str">
        <f>IF(NOT(ISBLANK(Audit[[#This Row],[Audit Candidate 11]])), Audit[[#This Row],[Audit Candidate 11]]-Audit[[#This Row],[Candidate 11]], "")</f>
        <v/>
      </c>
      <c r="AP98" s="18" t="str">
        <f>IF(NOT(ISBLANK(Audit[[#This Row],[Audit Candidate 12]])), Audit[[#This Row],[Audit Candidate 12]]-Audit[[#This Row],[Candidate 12]], "")</f>
        <v/>
      </c>
      <c r="AQ98" s="18">
        <f>SUMIF(Audit[[#This Row],[Difference Winner]:[Difference Candidate 12]], "&gt;0")</f>
        <v>0</v>
      </c>
      <c r="AR98" s="18">
        <f>SUM(Audit[[#This Row],[Difference Winner]:[Difference Candidate 12]])</f>
        <v>0</v>
      </c>
      <c r="AS98" s="18">
        <f>IF(Audit[[#This Row],[Times p Drawn - With Replacement]]&gt;0, IF(Audit[[#This Row],[Canceled Differences]]&lt;0, Audit[[#This Row],[Max Differences]]+ABS(Audit[[#This Row],[Canceled Differences]]), Audit[[#This Row],[Max Differences]]), 0)</f>
        <v>0</v>
      </c>
      <c r="AT98" s="18">
        <f>'Sampling Data'!AB98</f>
        <v>6.5960988786631911E-4</v>
      </c>
      <c r="AU98" s="18">
        <f>IF(
      SUM(Audit[[#This Row],[Audit Losing Candidate]:[Audit Candidate 12]])
      &lt;&gt;0,
      (Audit[[#This Row],[Winning Candidate]]-Audit[[#This Row],[Losing Candidate]]-(Audit[[#This Row],[Audit Winning Candidate]]-Audit[[#This Row],[Audit Losing Candidate]]))/(Audit[[#Totals],[Winning Candidate]]-Audit[[#Totals],[Losing Candidate]]),
      0
)</f>
        <v>0</v>
      </c>
      <c r="AV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8">
        <f>IF(Audit[[#This Row],[Max Relative Error (ep)]] = 0, 0, Audit[[#This Row],[Max Relative Error (ep)]]/Audit[[#This Row],[Error Bound (up) - Max. possible relative overstatement]])</f>
        <v>0</v>
      </c>
      <c r="BH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 s="18">
        <f t="shared" si="2"/>
        <v>1</v>
      </c>
      <c r="BJ98" s="18">
        <f>PRODUCT($BI$5:BI98)</f>
        <v>1</v>
      </c>
      <c r="BK98" s="20">
        <f>1 - Audit[[#This Row],[K-M P Value]]</f>
        <v>0</v>
      </c>
      <c r="BL98" s="18" t="str">
        <f>IF(Audit[[#This Row],[K-M P Value]]&gt;1-'General Info'!$B$12,"Continue", "Stop")</f>
        <v>Continue</v>
      </c>
      <c r="BM98" s="23" t="b">
        <f>IF(Audit[[#This Row],[Status - Continue or stop audit]] = "Continue", TRUE, IF(BL97 = "Continue", TRUE, FALSE))</f>
        <v>1</v>
      </c>
      <c r="BN98" s="23"/>
    </row>
    <row r="99" spans="1:66" ht="15" hidden="1" customHeight="1" x14ac:dyDescent="0.35">
      <c r="A99" s="18" t="str">
        <f>'Sampling Data'!AI99</f>
        <v/>
      </c>
      <c r="B99" s="18" t="str">
        <f>'Sampling Data'!A99</f>
        <v>1405 CIN 14-E   (AV)</v>
      </c>
      <c r="C99" s="18">
        <f>'Sampling Data'!B99</f>
        <v>8</v>
      </c>
      <c r="D99" s="18">
        <f>'Sampling Data'!C99</f>
        <v>0</v>
      </c>
      <c r="E99" s="19">
        <f>'Sampling Data'!D99</f>
        <v>0</v>
      </c>
      <c r="F99" s="19">
        <f>'Sampling Data'!E99</f>
        <v>0</v>
      </c>
      <c r="G99" s="19">
        <f>'Sampling Data'!F99</f>
        <v>0</v>
      </c>
      <c r="H99" s="19">
        <f>'Sampling Data'!G99</f>
        <v>0</v>
      </c>
      <c r="I99" s="19">
        <f>'Sampling Data'!H99</f>
        <v>0</v>
      </c>
      <c r="J99" s="19">
        <f>'Sampling Data'!I99</f>
        <v>0</v>
      </c>
      <c r="K99" s="19">
        <f>'Sampling Data'!J99</f>
        <v>0</v>
      </c>
      <c r="L99" s="19">
        <f>'Sampling Data'!K99</f>
        <v>0</v>
      </c>
      <c r="M99" s="19">
        <f>'Sampling Data'!L99</f>
        <v>0</v>
      </c>
      <c r="N99" s="19">
        <f>'Sampling Data'!M99</f>
        <v>0</v>
      </c>
      <c r="O99" s="18">
        <f>'Sampling Data'!N99</f>
        <v>0</v>
      </c>
      <c r="P99" s="18">
        <f>'Sampling Data'!O99</f>
        <v>0</v>
      </c>
      <c r="Q99" s="18">
        <f>'Sampling Data'!P99</f>
        <v>8</v>
      </c>
      <c r="R99" s="18">
        <f>'Sampling Data'!AJ99</f>
        <v>0</v>
      </c>
      <c r="S99" s="112"/>
      <c r="T99" s="112"/>
      <c r="U99" s="113"/>
      <c r="V99" s="113"/>
      <c r="W99" s="112"/>
      <c r="X99" s="112"/>
      <c r="Y99" s="112"/>
      <c r="Z99" s="112"/>
      <c r="AA99" s="15"/>
      <c r="AB99" s="15"/>
      <c r="AC99" s="15"/>
      <c r="AD99" s="15"/>
      <c r="AE99" s="114" t="str">
        <f>IF(NOT(ISBLANK(Audit[[#This Row],[Audit Winning Candidate]])), Audit[[#This Row],[Audit Winning Candidate]]-Audit[[#This Row],[Winning Candidate]], "")</f>
        <v/>
      </c>
      <c r="AF99" s="18" t="str">
        <f>IF(NOT(ISBLANK(Audit[[#This Row],[Audit Losing Candidate]])), Audit[[#This Row],[Audit Losing Candidate]]-Audit[[#This Row],[Losing Candidate]], "")</f>
        <v/>
      </c>
      <c r="AG99" s="18" t="str">
        <f>IF(NOT(ISBLANK(Audit[[#This Row],[Audit Candidate 3]])), Audit[[#This Row],[Audit Candidate 3]]-Audit[[#This Row],[Candidate 3]], "")</f>
        <v/>
      </c>
      <c r="AH99" s="18" t="str">
        <f>IF(NOT(ISBLANK(Audit[[#This Row],[Audit Candidate 4]])),Audit[[#This Row],[Audit Candidate 4]]-Audit[[#This Row],[Candidate 4]], "")</f>
        <v/>
      </c>
      <c r="AI99" s="18" t="str">
        <f>IF(NOT(ISBLANK(Audit[[#This Row],[Audit Candidate 5]])), Audit[[#This Row],[Audit Candidate 5]]-Audit[[#This Row],[Candidate 5]], "")</f>
        <v/>
      </c>
      <c r="AJ99" s="18" t="str">
        <f>IF(NOT(ISBLANK(Audit[[#This Row],[Audit Candidate 6]])), Audit[[#This Row],[Audit Candidate 6]]-Audit[[#This Row],[Candidate 6]], "")</f>
        <v/>
      </c>
      <c r="AK99" s="18" t="str">
        <f>IF(NOT(ISBLANK(Audit[[#This Row],[Audit Candidate 7]])), Audit[[#This Row],[Audit Candidate 7]]-Audit[[#This Row],[Candidate 7]], "")</f>
        <v/>
      </c>
      <c r="AL99" s="18" t="str">
        <f>IF(NOT(ISBLANK(Audit[[#This Row],[Audit Candidate 8]])), Audit[[#This Row],[Audit Candidate 8]]-Audit[[#This Row],[Candidate 8]], "")</f>
        <v/>
      </c>
      <c r="AM99" s="18" t="str">
        <f>IF(NOT(ISBLANK(Audit[[#This Row],[Audit Candidate 9]])), Audit[[#This Row],[Audit Candidate 9]]-Audit[[#This Row],[Candidate 9]], "")</f>
        <v/>
      </c>
      <c r="AN99" s="18" t="str">
        <f>IF(NOT(ISBLANK(Audit[[#This Row],[Audit Candidate 10]])), Audit[[#This Row],[Audit Candidate 10]]-Audit[[#This Row],[Candidate 10]], "")</f>
        <v/>
      </c>
      <c r="AO99" s="18" t="str">
        <f>IF(NOT(ISBLANK(Audit[[#This Row],[Audit Candidate 11]])), Audit[[#This Row],[Audit Candidate 11]]-Audit[[#This Row],[Candidate 11]], "")</f>
        <v/>
      </c>
      <c r="AP99" s="18" t="str">
        <f>IF(NOT(ISBLANK(Audit[[#This Row],[Audit Candidate 12]])), Audit[[#This Row],[Audit Candidate 12]]-Audit[[#This Row],[Candidate 12]], "")</f>
        <v/>
      </c>
      <c r="AQ99" s="18">
        <f>SUMIF(Audit[[#This Row],[Difference Winner]:[Difference Candidate 12]], "&gt;0")</f>
        <v>0</v>
      </c>
      <c r="AR99" s="18">
        <f>SUM(Audit[[#This Row],[Difference Winner]:[Difference Candidate 12]])</f>
        <v>0</v>
      </c>
      <c r="AS99" s="18">
        <f>IF(Audit[[#This Row],[Times p Drawn - With Replacement]]&gt;0, IF(Audit[[#This Row],[Canceled Differences]]&lt;0, Audit[[#This Row],[Max Differences]]+ABS(Audit[[#This Row],[Canceled Differences]]), Audit[[#This Row],[Max Differences]]), 0)</f>
        <v>0</v>
      </c>
      <c r="AT99" s="18">
        <f>'Sampling Data'!AB99</f>
        <v>5.0255991456481448E-4</v>
      </c>
      <c r="AU99" s="18">
        <f>IF(
      SUM(Audit[[#This Row],[Audit Losing Candidate]:[Audit Candidate 12]])
      &lt;&gt;0,
      (Audit[[#This Row],[Winning Candidate]]-Audit[[#This Row],[Losing Candidate]]-(Audit[[#This Row],[Audit Winning Candidate]]-Audit[[#This Row],[Audit Losing Candidate]]))/(Audit[[#Totals],[Winning Candidate]]-Audit[[#Totals],[Losing Candidate]]),
      0
)</f>
        <v>0</v>
      </c>
      <c r="AV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8">
        <f>IF(Audit[[#This Row],[Max Relative Error (ep)]] = 0, 0, Audit[[#This Row],[Max Relative Error (ep)]]/Audit[[#This Row],[Error Bound (up) - Max. possible relative overstatement]])</f>
        <v>0</v>
      </c>
      <c r="BH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 s="18">
        <f t="shared" si="2"/>
        <v>1</v>
      </c>
      <c r="BJ99" s="18">
        <f>PRODUCT($BI$5:BI99)</f>
        <v>1</v>
      </c>
      <c r="BK99" s="20">
        <f>1 - Audit[[#This Row],[K-M P Value]]</f>
        <v>0</v>
      </c>
      <c r="BL99" s="18" t="str">
        <f>IF(Audit[[#This Row],[K-M P Value]]&gt;1-'General Info'!$B$12,"Continue", "Stop")</f>
        <v>Continue</v>
      </c>
      <c r="BM99" s="23" t="b">
        <f>IF(Audit[[#This Row],[Status - Continue or stop audit]] = "Continue", TRUE, IF(BL98 = "Continue", TRUE, FALSE))</f>
        <v>1</v>
      </c>
      <c r="BN99" s="23"/>
    </row>
    <row r="100" spans="1:66" ht="15" hidden="1" customHeight="1" x14ac:dyDescent="0.35">
      <c r="A100" s="18" t="str">
        <f>'Sampling Data'!AI100</f>
        <v/>
      </c>
      <c r="B100" s="18" t="str">
        <f>'Sampling Data'!A100</f>
        <v>1406 CIN 14-F   (AV)</v>
      </c>
      <c r="C100" s="18">
        <f>'Sampling Data'!B100</f>
        <v>4</v>
      </c>
      <c r="D100" s="18">
        <f>'Sampling Data'!C100</f>
        <v>1</v>
      </c>
      <c r="E100" s="19">
        <f>'Sampling Data'!D100</f>
        <v>0</v>
      </c>
      <c r="F100" s="19">
        <f>'Sampling Data'!E100</f>
        <v>0</v>
      </c>
      <c r="G100" s="19">
        <f>'Sampling Data'!F100</f>
        <v>0</v>
      </c>
      <c r="H100" s="19">
        <f>'Sampling Data'!G100</f>
        <v>0</v>
      </c>
      <c r="I100" s="19">
        <f>'Sampling Data'!H100</f>
        <v>0</v>
      </c>
      <c r="J100" s="19">
        <f>'Sampling Data'!I100</f>
        <v>0</v>
      </c>
      <c r="K100" s="19">
        <f>'Sampling Data'!J100</f>
        <v>0</v>
      </c>
      <c r="L100" s="19">
        <f>'Sampling Data'!K100</f>
        <v>0</v>
      </c>
      <c r="M100" s="19">
        <f>'Sampling Data'!L100</f>
        <v>0</v>
      </c>
      <c r="N100" s="19">
        <f>'Sampling Data'!M100</f>
        <v>0</v>
      </c>
      <c r="O100" s="18">
        <f>'Sampling Data'!N100</f>
        <v>0</v>
      </c>
      <c r="P100" s="18">
        <f>'Sampling Data'!O100</f>
        <v>0</v>
      </c>
      <c r="Q100" s="18">
        <f>'Sampling Data'!P100</f>
        <v>5</v>
      </c>
      <c r="R100" s="18">
        <f>'Sampling Data'!AJ100</f>
        <v>0</v>
      </c>
      <c r="S100" s="112"/>
      <c r="T100" s="112"/>
      <c r="U100" s="113"/>
      <c r="V100" s="113"/>
      <c r="W100" s="112"/>
      <c r="X100" s="112"/>
      <c r="Y100" s="112"/>
      <c r="Z100" s="112"/>
      <c r="AA100" s="15"/>
      <c r="AB100" s="15"/>
      <c r="AC100" s="15"/>
      <c r="AD100" s="15"/>
      <c r="AE100" s="114" t="str">
        <f>IF(NOT(ISBLANK(Audit[[#This Row],[Audit Winning Candidate]])), Audit[[#This Row],[Audit Winning Candidate]]-Audit[[#This Row],[Winning Candidate]], "")</f>
        <v/>
      </c>
      <c r="AF100" s="18" t="str">
        <f>IF(NOT(ISBLANK(Audit[[#This Row],[Audit Losing Candidate]])), Audit[[#This Row],[Audit Losing Candidate]]-Audit[[#This Row],[Losing Candidate]], "")</f>
        <v/>
      </c>
      <c r="AG100" s="18" t="str">
        <f>IF(NOT(ISBLANK(Audit[[#This Row],[Audit Candidate 3]])), Audit[[#This Row],[Audit Candidate 3]]-Audit[[#This Row],[Candidate 3]], "")</f>
        <v/>
      </c>
      <c r="AH100" s="18" t="str">
        <f>IF(NOT(ISBLANK(Audit[[#This Row],[Audit Candidate 4]])),Audit[[#This Row],[Audit Candidate 4]]-Audit[[#This Row],[Candidate 4]], "")</f>
        <v/>
      </c>
      <c r="AI100" s="18" t="str">
        <f>IF(NOT(ISBLANK(Audit[[#This Row],[Audit Candidate 5]])), Audit[[#This Row],[Audit Candidate 5]]-Audit[[#This Row],[Candidate 5]], "")</f>
        <v/>
      </c>
      <c r="AJ100" s="18" t="str">
        <f>IF(NOT(ISBLANK(Audit[[#This Row],[Audit Candidate 6]])), Audit[[#This Row],[Audit Candidate 6]]-Audit[[#This Row],[Candidate 6]], "")</f>
        <v/>
      </c>
      <c r="AK100" s="18" t="str">
        <f>IF(NOT(ISBLANK(Audit[[#This Row],[Audit Candidate 7]])), Audit[[#This Row],[Audit Candidate 7]]-Audit[[#This Row],[Candidate 7]], "")</f>
        <v/>
      </c>
      <c r="AL100" s="18" t="str">
        <f>IF(NOT(ISBLANK(Audit[[#This Row],[Audit Candidate 8]])), Audit[[#This Row],[Audit Candidate 8]]-Audit[[#This Row],[Candidate 8]], "")</f>
        <v/>
      </c>
      <c r="AM100" s="18" t="str">
        <f>IF(NOT(ISBLANK(Audit[[#This Row],[Audit Candidate 9]])), Audit[[#This Row],[Audit Candidate 9]]-Audit[[#This Row],[Candidate 9]], "")</f>
        <v/>
      </c>
      <c r="AN100" s="18" t="str">
        <f>IF(NOT(ISBLANK(Audit[[#This Row],[Audit Candidate 10]])), Audit[[#This Row],[Audit Candidate 10]]-Audit[[#This Row],[Candidate 10]], "")</f>
        <v/>
      </c>
      <c r="AO100" s="18" t="str">
        <f>IF(NOT(ISBLANK(Audit[[#This Row],[Audit Candidate 11]])), Audit[[#This Row],[Audit Candidate 11]]-Audit[[#This Row],[Candidate 11]], "")</f>
        <v/>
      </c>
      <c r="AP100" s="18" t="str">
        <f>IF(NOT(ISBLANK(Audit[[#This Row],[Audit Candidate 12]])), Audit[[#This Row],[Audit Candidate 12]]-Audit[[#This Row],[Candidate 12]], "")</f>
        <v/>
      </c>
      <c r="AQ100" s="18">
        <f>SUMIF(Audit[[#This Row],[Difference Winner]:[Difference Candidate 12]], "&gt;0")</f>
        <v>0</v>
      </c>
      <c r="AR100" s="18">
        <f>SUM(Audit[[#This Row],[Difference Winner]:[Difference Candidate 12]])</f>
        <v>0</v>
      </c>
      <c r="AS100" s="18">
        <f>IF(Audit[[#This Row],[Times p Drawn - With Replacement]]&gt;0, IF(Audit[[#This Row],[Canceled Differences]]&lt;0, Audit[[#This Row],[Max Differences]]+ABS(Audit[[#This Row],[Canceled Differences]]), Audit[[#This Row],[Max Differences]]), 0)</f>
        <v>0</v>
      </c>
      <c r="AT100" s="18">
        <f>'Sampling Data'!AB100</f>
        <v>2.5127995728240724E-4</v>
      </c>
      <c r="AU100" s="18">
        <f>IF(
      SUM(Audit[[#This Row],[Audit Losing Candidate]:[Audit Candidate 12]])
      &lt;&gt;0,
      (Audit[[#This Row],[Winning Candidate]]-Audit[[#This Row],[Losing Candidate]]-(Audit[[#This Row],[Audit Winning Candidate]]-Audit[[#This Row],[Audit Losing Candidate]]))/(Audit[[#Totals],[Winning Candidate]]-Audit[[#Totals],[Losing Candidate]]),
      0
)</f>
        <v>0</v>
      </c>
      <c r="AV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8">
        <f>IF(Audit[[#This Row],[Max Relative Error (ep)]] = 0, 0, Audit[[#This Row],[Max Relative Error (ep)]]/Audit[[#This Row],[Error Bound (up) - Max. possible relative overstatement]])</f>
        <v>0</v>
      </c>
      <c r="BH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 s="18">
        <f t="shared" si="2"/>
        <v>1</v>
      </c>
      <c r="BJ100" s="18">
        <f>PRODUCT($BI$5:BI100)</f>
        <v>1</v>
      </c>
      <c r="BK100" s="20">
        <f>1 - Audit[[#This Row],[K-M P Value]]</f>
        <v>0</v>
      </c>
      <c r="BL100" s="18" t="str">
        <f>IF(Audit[[#This Row],[K-M P Value]]&gt;1-'General Info'!$B$12,"Continue", "Stop")</f>
        <v>Continue</v>
      </c>
      <c r="BM100" s="23" t="b">
        <f>IF(Audit[[#This Row],[Status - Continue or stop audit]] = "Continue", TRUE, IF(BL99 = "Continue", TRUE, FALSE))</f>
        <v>1</v>
      </c>
      <c r="BN100" s="23"/>
    </row>
    <row r="101" spans="1:66" ht="15" hidden="1" customHeight="1" x14ac:dyDescent="0.35">
      <c r="A101" s="18" t="str">
        <f>'Sampling Data'!AI101</f>
        <v/>
      </c>
      <c r="B101" s="18" t="str">
        <f>'Sampling Data'!A101</f>
        <v>1407 CIN 14-G   (AV)</v>
      </c>
      <c r="C101" s="18">
        <f>'Sampling Data'!B101</f>
        <v>11</v>
      </c>
      <c r="D101" s="18">
        <f>'Sampling Data'!C101</f>
        <v>0</v>
      </c>
      <c r="E101" s="19">
        <f>'Sampling Data'!D101</f>
        <v>0</v>
      </c>
      <c r="F101" s="19">
        <f>'Sampling Data'!E101</f>
        <v>0</v>
      </c>
      <c r="G101" s="19">
        <f>'Sampling Data'!F101</f>
        <v>0</v>
      </c>
      <c r="H101" s="19">
        <f>'Sampling Data'!G101</f>
        <v>0</v>
      </c>
      <c r="I101" s="19">
        <f>'Sampling Data'!H101</f>
        <v>0</v>
      </c>
      <c r="J101" s="19">
        <f>'Sampling Data'!I101</f>
        <v>0</v>
      </c>
      <c r="K101" s="19">
        <f>'Sampling Data'!J101</f>
        <v>0</v>
      </c>
      <c r="L101" s="19">
        <f>'Sampling Data'!K101</f>
        <v>0</v>
      </c>
      <c r="M101" s="19">
        <f>'Sampling Data'!L101</f>
        <v>0</v>
      </c>
      <c r="N101" s="19">
        <f>'Sampling Data'!M101</f>
        <v>0</v>
      </c>
      <c r="O101" s="18">
        <f>'Sampling Data'!N101</f>
        <v>0</v>
      </c>
      <c r="P101" s="18">
        <f>'Sampling Data'!O101</f>
        <v>0</v>
      </c>
      <c r="Q101" s="18">
        <f>'Sampling Data'!P101</f>
        <v>11</v>
      </c>
      <c r="R101" s="18">
        <f>'Sampling Data'!AJ101</f>
        <v>0</v>
      </c>
      <c r="S101" s="112"/>
      <c r="T101" s="112"/>
      <c r="U101" s="113"/>
      <c r="V101" s="113"/>
      <c r="W101" s="112"/>
      <c r="X101" s="112"/>
      <c r="Y101" s="112"/>
      <c r="Z101" s="112"/>
      <c r="AA101" s="15"/>
      <c r="AB101" s="15"/>
      <c r="AC101" s="15"/>
      <c r="AD101" s="15"/>
      <c r="AE101" s="114" t="str">
        <f>IF(NOT(ISBLANK(Audit[[#This Row],[Audit Winning Candidate]])), Audit[[#This Row],[Audit Winning Candidate]]-Audit[[#This Row],[Winning Candidate]], "")</f>
        <v/>
      </c>
      <c r="AF101" s="18" t="str">
        <f>IF(NOT(ISBLANK(Audit[[#This Row],[Audit Losing Candidate]])), Audit[[#This Row],[Audit Losing Candidate]]-Audit[[#This Row],[Losing Candidate]], "")</f>
        <v/>
      </c>
      <c r="AG101" s="18" t="str">
        <f>IF(NOT(ISBLANK(Audit[[#This Row],[Audit Candidate 3]])), Audit[[#This Row],[Audit Candidate 3]]-Audit[[#This Row],[Candidate 3]], "")</f>
        <v/>
      </c>
      <c r="AH101" s="18" t="str">
        <f>IF(NOT(ISBLANK(Audit[[#This Row],[Audit Candidate 4]])),Audit[[#This Row],[Audit Candidate 4]]-Audit[[#This Row],[Candidate 4]], "")</f>
        <v/>
      </c>
      <c r="AI101" s="18" t="str">
        <f>IF(NOT(ISBLANK(Audit[[#This Row],[Audit Candidate 5]])), Audit[[#This Row],[Audit Candidate 5]]-Audit[[#This Row],[Candidate 5]], "")</f>
        <v/>
      </c>
      <c r="AJ101" s="18" t="str">
        <f>IF(NOT(ISBLANK(Audit[[#This Row],[Audit Candidate 6]])), Audit[[#This Row],[Audit Candidate 6]]-Audit[[#This Row],[Candidate 6]], "")</f>
        <v/>
      </c>
      <c r="AK101" s="18" t="str">
        <f>IF(NOT(ISBLANK(Audit[[#This Row],[Audit Candidate 7]])), Audit[[#This Row],[Audit Candidate 7]]-Audit[[#This Row],[Candidate 7]], "")</f>
        <v/>
      </c>
      <c r="AL101" s="18" t="str">
        <f>IF(NOT(ISBLANK(Audit[[#This Row],[Audit Candidate 8]])), Audit[[#This Row],[Audit Candidate 8]]-Audit[[#This Row],[Candidate 8]], "")</f>
        <v/>
      </c>
      <c r="AM101" s="18" t="str">
        <f>IF(NOT(ISBLANK(Audit[[#This Row],[Audit Candidate 9]])), Audit[[#This Row],[Audit Candidate 9]]-Audit[[#This Row],[Candidate 9]], "")</f>
        <v/>
      </c>
      <c r="AN101" s="18" t="str">
        <f>IF(NOT(ISBLANK(Audit[[#This Row],[Audit Candidate 10]])), Audit[[#This Row],[Audit Candidate 10]]-Audit[[#This Row],[Candidate 10]], "")</f>
        <v/>
      </c>
      <c r="AO101" s="18" t="str">
        <f>IF(NOT(ISBLANK(Audit[[#This Row],[Audit Candidate 11]])), Audit[[#This Row],[Audit Candidate 11]]-Audit[[#This Row],[Candidate 11]], "")</f>
        <v/>
      </c>
      <c r="AP101" s="18" t="str">
        <f>IF(NOT(ISBLANK(Audit[[#This Row],[Audit Candidate 12]])), Audit[[#This Row],[Audit Candidate 12]]-Audit[[#This Row],[Candidate 12]], "")</f>
        <v/>
      </c>
      <c r="AQ101" s="18">
        <f>SUMIF(Audit[[#This Row],[Difference Winner]:[Difference Candidate 12]], "&gt;0")</f>
        <v>0</v>
      </c>
      <c r="AR101" s="18">
        <f>SUM(Audit[[#This Row],[Difference Winner]:[Difference Candidate 12]])</f>
        <v>0</v>
      </c>
      <c r="AS101" s="18">
        <f>IF(Audit[[#This Row],[Times p Drawn - With Replacement]]&gt;0, IF(Audit[[#This Row],[Canceled Differences]]&lt;0, Audit[[#This Row],[Max Differences]]+ABS(Audit[[#This Row],[Canceled Differences]]), Audit[[#This Row],[Max Differences]]), 0)</f>
        <v>0</v>
      </c>
      <c r="AT101" s="18">
        <f>'Sampling Data'!AB101</f>
        <v>6.9101988252662E-4</v>
      </c>
      <c r="AU101" s="18">
        <f>IF(
      SUM(Audit[[#This Row],[Audit Losing Candidate]:[Audit Candidate 12]])
      &lt;&gt;0,
      (Audit[[#This Row],[Winning Candidate]]-Audit[[#This Row],[Losing Candidate]]-(Audit[[#This Row],[Audit Winning Candidate]]-Audit[[#This Row],[Audit Losing Candidate]]))/(Audit[[#Totals],[Winning Candidate]]-Audit[[#Totals],[Losing Candidate]]),
      0
)</f>
        <v>0</v>
      </c>
      <c r="AV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8">
        <f>IF(Audit[[#This Row],[Max Relative Error (ep)]] = 0, 0, Audit[[#This Row],[Max Relative Error (ep)]]/Audit[[#This Row],[Error Bound (up) - Max. possible relative overstatement]])</f>
        <v>0</v>
      </c>
      <c r="BH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 s="18">
        <f t="shared" si="2"/>
        <v>1</v>
      </c>
      <c r="BJ101" s="18">
        <f>PRODUCT($BI$5:BI101)</f>
        <v>1</v>
      </c>
      <c r="BK101" s="20">
        <f>1 - Audit[[#This Row],[K-M P Value]]</f>
        <v>0</v>
      </c>
      <c r="BL101" s="18" t="str">
        <f>IF(Audit[[#This Row],[K-M P Value]]&gt;1-'General Info'!$B$12,"Continue", "Stop")</f>
        <v>Continue</v>
      </c>
      <c r="BM101" s="23" t="b">
        <f>IF(Audit[[#This Row],[Status - Continue or stop audit]] = "Continue", TRUE, IF(BL100 = "Continue", TRUE, FALSE))</f>
        <v>1</v>
      </c>
      <c r="BN101" s="23"/>
    </row>
    <row r="102" spans="1:66" ht="15" hidden="1" customHeight="1" x14ac:dyDescent="0.35">
      <c r="A102" s="18" t="str">
        <f>'Sampling Data'!AI102</f>
        <v/>
      </c>
      <c r="B102" s="18" t="str">
        <f>'Sampling Data'!A102</f>
        <v>1408 CIN 14-H   (AV)</v>
      </c>
      <c r="C102" s="18">
        <f>'Sampling Data'!B102</f>
        <v>7</v>
      </c>
      <c r="D102" s="18">
        <f>'Sampling Data'!C102</f>
        <v>1</v>
      </c>
      <c r="E102" s="19">
        <f>'Sampling Data'!D102</f>
        <v>0</v>
      </c>
      <c r="F102" s="19">
        <f>'Sampling Data'!E102</f>
        <v>0</v>
      </c>
      <c r="G102" s="19">
        <f>'Sampling Data'!F102</f>
        <v>0</v>
      </c>
      <c r="H102" s="19">
        <f>'Sampling Data'!G102</f>
        <v>0</v>
      </c>
      <c r="I102" s="19">
        <f>'Sampling Data'!H102</f>
        <v>0</v>
      </c>
      <c r="J102" s="19">
        <f>'Sampling Data'!I102</f>
        <v>0</v>
      </c>
      <c r="K102" s="19">
        <f>'Sampling Data'!J102</f>
        <v>0</v>
      </c>
      <c r="L102" s="19">
        <f>'Sampling Data'!K102</f>
        <v>0</v>
      </c>
      <c r="M102" s="19">
        <f>'Sampling Data'!L102</f>
        <v>0</v>
      </c>
      <c r="N102" s="19">
        <f>'Sampling Data'!M102</f>
        <v>0</v>
      </c>
      <c r="O102" s="18">
        <f>'Sampling Data'!N102</f>
        <v>0</v>
      </c>
      <c r="P102" s="18">
        <f>'Sampling Data'!O102</f>
        <v>1</v>
      </c>
      <c r="Q102" s="18">
        <f>'Sampling Data'!P102</f>
        <v>9</v>
      </c>
      <c r="R102" s="18">
        <f>'Sampling Data'!AJ102</f>
        <v>0</v>
      </c>
      <c r="S102" s="112"/>
      <c r="T102" s="112"/>
      <c r="U102" s="113"/>
      <c r="V102" s="113"/>
      <c r="W102" s="112"/>
      <c r="X102" s="112"/>
      <c r="Y102" s="112"/>
      <c r="Z102" s="112"/>
      <c r="AA102" s="15"/>
      <c r="AB102" s="15"/>
      <c r="AC102" s="15"/>
      <c r="AD102" s="15"/>
      <c r="AE102" s="114" t="str">
        <f>IF(NOT(ISBLANK(Audit[[#This Row],[Audit Winning Candidate]])), Audit[[#This Row],[Audit Winning Candidate]]-Audit[[#This Row],[Winning Candidate]], "")</f>
        <v/>
      </c>
      <c r="AF102" s="18" t="str">
        <f>IF(NOT(ISBLANK(Audit[[#This Row],[Audit Losing Candidate]])), Audit[[#This Row],[Audit Losing Candidate]]-Audit[[#This Row],[Losing Candidate]], "")</f>
        <v/>
      </c>
      <c r="AG102" s="18" t="str">
        <f>IF(NOT(ISBLANK(Audit[[#This Row],[Audit Candidate 3]])), Audit[[#This Row],[Audit Candidate 3]]-Audit[[#This Row],[Candidate 3]], "")</f>
        <v/>
      </c>
      <c r="AH102" s="18" t="str">
        <f>IF(NOT(ISBLANK(Audit[[#This Row],[Audit Candidate 4]])),Audit[[#This Row],[Audit Candidate 4]]-Audit[[#This Row],[Candidate 4]], "")</f>
        <v/>
      </c>
      <c r="AI102" s="18" t="str">
        <f>IF(NOT(ISBLANK(Audit[[#This Row],[Audit Candidate 5]])), Audit[[#This Row],[Audit Candidate 5]]-Audit[[#This Row],[Candidate 5]], "")</f>
        <v/>
      </c>
      <c r="AJ102" s="18" t="str">
        <f>IF(NOT(ISBLANK(Audit[[#This Row],[Audit Candidate 6]])), Audit[[#This Row],[Audit Candidate 6]]-Audit[[#This Row],[Candidate 6]], "")</f>
        <v/>
      </c>
      <c r="AK102" s="18" t="str">
        <f>IF(NOT(ISBLANK(Audit[[#This Row],[Audit Candidate 7]])), Audit[[#This Row],[Audit Candidate 7]]-Audit[[#This Row],[Candidate 7]], "")</f>
        <v/>
      </c>
      <c r="AL102" s="18" t="str">
        <f>IF(NOT(ISBLANK(Audit[[#This Row],[Audit Candidate 8]])), Audit[[#This Row],[Audit Candidate 8]]-Audit[[#This Row],[Candidate 8]], "")</f>
        <v/>
      </c>
      <c r="AM102" s="18" t="str">
        <f>IF(NOT(ISBLANK(Audit[[#This Row],[Audit Candidate 9]])), Audit[[#This Row],[Audit Candidate 9]]-Audit[[#This Row],[Candidate 9]], "")</f>
        <v/>
      </c>
      <c r="AN102" s="18" t="str">
        <f>IF(NOT(ISBLANK(Audit[[#This Row],[Audit Candidate 10]])), Audit[[#This Row],[Audit Candidate 10]]-Audit[[#This Row],[Candidate 10]], "")</f>
        <v/>
      </c>
      <c r="AO102" s="18" t="str">
        <f>IF(NOT(ISBLANK(Audit[[#This Row],[Audit Candidate 11]])), Audit[[#This Row],[Audit Candidate 11]]-Audit[[#This Row],[Candidate 11]], "")</f>
        <v/>
      </c>
      <c r="AP102" s="18" t="str">
        <f>IF(NOT(ISBLANK(Audit[[#This Row],[Audit Candidate 12]])), Audit[[#This Row],[Audit Candidate 12]]-Audit[[#This Row],[Candidate 12]], "")</f>
        <v/>
      </c>
      <c r="AQ102" s="18">
        <f>SUMIF(Audit[[#This Row],[Difference Winner]:[Difference Candidate 12]], "&gt;0")</f>
        <v>0</v>
      </c>
      <c r="AR102" s="18">
        <f>SUM(Audit[[#This Row],[Difference Winner]:[Difference Candidate 12]])</f>
        <v>0</v>
      </c>
      <c r="AS102" s="18">
        <f>IF(Audit[[#This Row],[Times p Drawn - With Replacement]]&gt;0, IF(Audit[[#This Row],[Canceled Differences]]&lt;0, Audit[[#This Row],[Max Differences]]+ABS(Audit[[#This Row],[Canceled Differences]]), Audit[[#This Row],[Max Differences]]), 0)</f>
        <v>0</v>
      </c>
      <c r="AT102" s="18">
        <f>'Sampling Data'!AB102</f>
        <v>4.7114991990451359E-4</v>
      </c>
      <c r="AU102" s="18">
        <f>IF(
      SUM(Audit[[#This Row],[Audit Losing Candidate]:[Audit Candidate 12]])
      &lt;&gt;0,
      (Audit[[#This Row],[Winning Candidate]]-Audit[[#This Row],[Losing Candidate]]-(Audit[[#This Row],[Audit Winning Candidate]]-Audit[[#This Row],[Audit Losing Candidate]]))/(Audit[[#Totals],[Winning Candidate]]-Audit[[#Totals],[Losing Candidate]]),
      0
)</f>
        <v>0</v>
      </c>
      <c r="AV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8">
        <f>IF(Audit[[#This Row],[Max Relative Error (ep)]] = 0, 0, Audit[[#This Row],[Max Relative Error (ep)]]/Audit[[#This Row],[Error Bound (up) - Max. possible relative overstatement]])</f>
        <v>0</v>
      </c>
      <c r="BH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 s="18">
        <f t="shared" si="2"/>
        <v>1</v>
      </c>
      <c r="BJ102" s="18">
        <f>PRODUCT($BI$5:BI102)</f>
        <v>1</v>
      </c>
      <c r="BK102" s="20">
        <f>1 - Audit[[#This Row],[K-M P Value]]</f>
        <v>0</v>
      </c>
      <c r="BL102" s="18" t="str">
        <f>IF(Audit[[#This Row],[K-M P Value]]&gt;1-'General Info'!$B$12,"Continue", "Stop")</f>
        <v>Continue</v>
      </c>
      <c r="BM102" s="23" t="b">
        <f>IF(Audit[[#This Row],[Status - Continue or stop audit]] = "Continue", TRUE, IF(BL101 = "Continue", TRUE, FALSE))</f>
        <v>1</v>
      </c>
      <c r="BN102" s="23"/>
    </row>
    <row r="103" spans="1:66" ht="15" hidden="1" customHeight="1" x14ac:dyDescent="0.35">
      <c r="A103" s="18" t="str">
        <f>'Sampling Data'!AI103</f>
        <v/>
      </c>
      <c r="B103" s="18" t="str">
        <f>'Sampling Data'!A103</f>
        <v>1409 CIN 14-I   (AV)</v>
      </c>
      <c r="C103" s="18">
        <f>'Sampling Data'!B103</f>
        <v>3</v>
      </c>
      <c r="D103" s="18">
        <f>'Sampling Data'!C103</f>
        <v>1</v>
      </c>
      <c r="E103" s="19">
        <f>'Sampling Data'!D103</f>
        <v>0</v>
      </c>
      <c r="F103" s="19">
        <f>'Sampling Data'!E103</f>
        <v>0</v>
      </c>
      <c r="G103" s="19">
        <f>'Sampling Data'!F103</f>
        <v>0</v>
      </c>
      <c r="H103" s="19">
        <f>'Sampling Data'!G103</f>
        <v>0</v>
      </c>
      <c r="I103" s="19">
        <f>'Sampling Data'!H103</f>
        <v>0</v>
      </c>
      <c r="J103" s="19">
        <f>'Sampling Data'!I103</f>
        <v>0</v>
      </c>
      <c r="K103" s="19">
        <f>'Sampling Data'!J103</f>
        <v>0</v>
      </c>
      <c r="L103" s="19">
        <f>'Sampling Data'!K103</f>
        <v>0</v>
      </c>
      <c r="M103" s="19">
        <f>'Sampling Data'!L103</f>
        <v>0</v>
      </c>
      <c r="N103" s="19">
        <f>'Sampling Data'!M103</f>
        <v>0</v>
      </c>
      <c r="O103" s="18">
        <f>'Sampling Data'!N103</f>
        <v>0</v>
      </c>
      <c r="P103" s="18">
        <f>'Sampling Data'!O103</f>
        <v>0</v>
      </c>
      <c r="Q103" s="18">
        <f>'Sampling Data'!P103</f>
        <v>4</v>
      </c>
      <c r="R103" s="18">
        <f>'Sampling Data'!AJ103</f>
        <v>0</v>
      </c>
      <c r="S103" s="112"/>
      <c r="T103" s="112"/>
      <c r="U103" s="113"/>
      <c r="V103" s="113"/>
      <c r="W103" s="112"/>
      <c r="X103" s="112"/>
      <c r="Y103" s="112"/>
      <c r="Z103" s="112"/>
      <c r="AA103" s="15"/>
      <c r="AB103" s="15"/>
      <c r="AC103" s="15"/>
      <c r="AD103" s="15"/>
      <c r="AE103" s="114" t="str">
        <f>IF(NOT(ISBLANK(Audit[[#This Row],[Audit Winning Candidate]])), Audit[[#This Row],[Audit Winning Candidate]]-Audit[[#This Row],[Winning Candidate]], "")</f>
        <v/>
      </c>
      <c r="AF103" s="18" t="str">
        <f>IF(NOT(ISBLANK(Audit[[#This Row],[Audit Losing Candidate]])), Audit[[#This Row],[Audit Losing Candidate]]-Audit[[#This Row],[Losing Candidate]], "")</f>
        <v/>
      </c>
      <c r="AG103" s="18" t="str">
        <f>IF(NOT(ISBLANK(Audit[[#This Row],[Audit Candidate 3]])), Audit[[#This Row],[Audit Candidate 3]]-Audit[[#This Row],[Candidate 3]], "")</f>
        <v/>
      </c>
      <c r="AH103" s="18" t="str">
        <f>IF(NOT(ISBLANK(Audit[[#This Row],[Audit Candidate 4]])),Audit[[#This Row],[Audit Candidate 4]]-Audit[[#This Row],[Candidate 4]], "")</f>
        <v/>
      </c>
      <c r="AI103" s="18" t="str">
        <f>IF(NOT(ISBLANK(Audit[[#This Row],[Audit Candidate 5]])), Audit[[#This Row],[Audit Candidate 5]]-Audit[[#This Row],[Candidate 5]], "")</f>
        <v/>
      </c>
      <c r="AJ103" s="18" t="str">
        <f>IF(NOT(ISBLANK(Audit[[#This Row],[Audit Candidate 6]])), Audit[[#This Row],[Audit Candidate 6]]-Audit[[#This Row],[Candidate 6]], "")</f>
        <v/>
      </c>
      <c r="AK103" s="18" t="str">
        <f>IF(NOT(ISBLANK(Audit[[#This Row],[Audit Candidate 7]])), Audit[[#This Row],[Audit Candidate 7]]-Audit[[#This Row],[Candidate 7]], "")</f>
        <v/>
      </c>
      <c r="AL103" s="18" t="str">
        <f>IF(NOT(ISBLANK(Audit[[#This Row],[Audit Candidate 8]])), Audit[[#This Row],[Audit Candidate 8]]-Audit[[#This Row],[Candidate 8]], "")</f>
        <v/>
      </c>
      <c r="AM103" s="18" t="str">
        <f>IF(NOT(ISBLANK(Audit[[#This Row],[Audit Candidate 9]])), Audit[[#This Row],[Audit Candidate 9]]-Audit[[#This Row],[Candidate 9]], "")</f>
        <v/>
      </c>
      <c r="AN103" s="18" t="str">
        <f>IF(NOT(ISBLANK(Audit[[#This Row],[Audit Candidate 10]])), Audit[[#This Row],[Audit Candidate 10]]-Audit[[#This Row],[Candidate 10]], "")</f>
        <v/>
      </c>
      <c r="AO103" s="18" t="str">
        <f>IF(NOT(ISBLANK(Audit[[#This Row],[Audit Candidate 11]])), Audit[[#This Row],[Audit Candidate 11]]-Audit[[#This Row],[Candidate 11]], "")</f>
        <v/>
      </c>
      <c r="AP103" s="18" t="str">
        <f>IF(NOT(ISBLANK(Audit[[#This Row],[Audit Candidate 12]])), Audit[[#This Row],[Audit Candidate 12]]-Audit[[#This Row],[Candidate 12]], "")</f>
        <v/>
      </c>
      <c r="AQ103" s="18">
        <f>SUMIF(Audit[[#This Row],[Difference Winner]:[Difference Candidate 12]], "&gt;0")</f>
        <v>0</v>
      </c>
      <c r="AR103" s="18">
        <f>SUM(Audit[[#This Row],[Difference Winner]:[Difference Candidate 12]])</f>
        <v>0</v>
      </c>
      <c r="AS103" s="18">
        <f>IF(Audit[[#This Row],[Times p Drawn - With Replacement]]&gt;0, IF(Audit[[#This Row],[Canceled Differences]]&lt;0, Audit[[#This Row],[Max Differences]]+ABS(Audit[[#This Row],[Canceled Differences]]), Audit[[#This Row],[Max Differences]]), 0)</f>
        <v>0</v>
      </c>
      <c r="AT103" s="18">
        <f>'Sampling Data'!AB103</f>
        <v>1.8845996796180544E-4</v>
      </c>
      <c r="AU103" s="18">
        <f>IF(
      SUM(Audit[[#This Row],[Audit Losing Candidate]:[Audit Candidate 12]])
      &lt;&gt;0,
      (Audit[[#This Row],[Winning Candidate]]-Audit[[#This Row],[Losing Candidate]]-(Audit[[#This Row],[Audit Winning Candidate]]-Audit[[#This Row],[Audit Losing Candidate]]))/(Audit[[#Totals],[Winning Candidate]]-Audit[[#Totals],[Losing Candidate]]),
      0
)</f>
        <v>0</v>
      </c>
      <c r="AV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8">
        <f>IF(Audit[[#This Row],[Max Relative Error (ep)]] = 0, 0, Audit[[#This Row],[Max Relative Error (ep)]]/Audit[[#This Row],[Error Bound (up) - Max. possible relative overstatement]])</f>
        <v>0</v>
      </c>
      <c r="BH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 s="18">
        <f t="shared" si="2"/>
        <v>1</v>
      </c>
      <c r="BJ103" s="18">
        <f>PRODUCT($BI$5:BI103)</f>
        <v>1</v>
      </c>
      <c r="BK103" s="20">
        <f>1 - Audit[[#This Row],[K-M P Value]]</f>
        <v>0</v>
      </c>
      <c r="BL103" s="18" t="str">
        <f>IF(Audit[[#This Row],[K-M P Value]]&gt;1-'General Info'!$B$12,"Continue", "Stop")</f>
        <v>Continue</v>
      </c>
      <c r="BM103" s="23" t="b">
        <f>IF(Audit[[#This Row],[Status - Continue or stop audit]] = "Continue", TRUE, IF(BL102 = "Continue", TRUE, FALSE))</f>
        <v>1</v>
      </c>
      <c r="BN103" s="23"/>
    </row>
    <row r="104" spans="1:66" ht="15" hidden="1" customHeight="1" x14ac:dyDescent="0.35">
      <c r="A104" s="18" t="str">
        <f>'Sampling Data'!AI104</f>
        <v/>
      </c>
      <c r="B104" s="18" t="str">
        <f>'Sampling Data'!A104</f>
        <v>1501 CIN 15-A   (AV)</v>
      </c>
      <c r="C104" s="18">
        <f>'Sampling Data'!B104</f>
        <v>3</v>
      </c>
      <c r="D104" s="18">
        <f>'Sampling Data'!C104</f>
        <v>1</v>
      </c>
      <c r="E104" s="19">
        <f>'Sampling Data'!D104</f>
        <v>0</v>
      </c>
      <c r="F104" s="19">
        <f>'Sampling Data'!E104</f>
        <v>0</v>
      </c>
      <c r="G104" s="19">
        <f>'Sampling Data'!F104</f>
        <v>0</v>
      </c>
      <c r="H104" s="19">
        <f>'Sampling Data'!G104</f>
        <v>0</v>
      </c>
      <c r="I104" s="19">
        <f>'Sampling Data'!H104</f>
        <v>0</v>
      </c>
      <c r="J104" s="19">
        <f>'Sampling Data'!I104</f>
        <v>0</v>
      </c>
      <c r="K104" s="19">
        <f>'Sampling Data'!J104</f>
        <v>0</v>
      </c>
      <c r="L104" s="19">
        <f>'Sampling Data'!K104</f>
        <v>0</v>
      </c>
      <c r="M104" s="19">
        <f>'Sampling Data'!L104</f>
        <v>0</v>
      </c>
      <c r="N104" s="19">
        <f>'Sampling Data'!M104</f>
        <v>0</v>
      </c>
      <c r="O104" s="18">
        <f>'Sampling Data'!N104</f>
        <v>0</v>
      </c>
      <c r="P104" s="18">
        <f>'Sampling Data'!O104</f>
        <v>0</v>
      </c>
      <c r="Q104" s="18">
        <f>'Sampling Data'!P104</f>
        <v>4</v>
      </c>
      <c r="R104" s="18">
        <f>'Sampling Data'!AJ104</f>
        <v>0</v>
      </c>
      <c r="S104" s="112"/>
      <c r="T104" s="112"/>
      <c r="U104" s="113"/>
      <c r="V104" s="113"/>
      <c r="W104" s="112"/>
      <c r="X104" s="112"/>
      <c r="Y104" s="112"/>
      <c r="Z104" s="112"/>
      <c r="AA104" s="15"/>
      <c r="AB104" s="15"/>
      <c r="AC104" s="15"/>
      <c r="AD104" s="15"/>
      <c r="AE104" s="114" t="str">
        <f>IF(NOT(ISBLANK(Audit[[#This Row],[Audit Winning Candidate]])), Audit[[#This Row],[Audit Winning Candidate]]-Audit[[#This Row],[Winning Candidate]], "")</f>
        <v/>
      </c>
      <c r="AF104" s="18" t="str">
        <f>IF(NOT(ISBLANK(Audit[[#This Row],[Audit Losing Candidate]])), Audit[[#This Row],[Audit Losing Candidate]]-Audit[[#This Row],[Losing Candidate]], "")</f>
        <v/>
      </c>
      <c r="AG104" s="18" t="str">
        <f>IF(NOT(ISBLANK(Audit[[#This Row],[Audit Candidate 3]])), Audit[[#This Row],[Audit Candidate 3]]-Audit[[#This Row],[Candidate 3]], "")</f>
        <v/>
      </c>
      <c r="AH104" s="18" t="str">
        <f>IF(NOT(ISBLANK(Audit[[#This Row],[Audit Candidate 4]])),Audit[[#This Row],[Audit Candidate 4]]-Audit[[#This Row],[Candidate 4]], "")</f>
        <v/>
      </c>
      <c r="AI104" s="18" t="str">
        <f>IF(NOT(ISBLANK(Audit[[#This Row],[Audit Candidate 5]])), Audit[[#This Row],[Audit Candidate 5]]-Audit[[#This Row],[Candidate 5]], "")</f>
        <v/>
      </c>
      <c r="AJ104" s="18" t="str">
        <f>IF(NOT(ISBLANK(Audit[[#This Row],[Audit Candidate 6]])), Audit[[#This Row],[Audit Candidate 6]]-Audit[[#This Row],[Candidate 6]], "")</f>
        <v/>
      </c>
      <c r="AK104" s="18" t="str">
        <f>IF(NOT(ISBLANK(Audit[[#This Row],[Audit Candidate 7]])), Audit[[#This Row],[Audit Candidate 7]]-Audit[[#This Row],[Candidate 7]], "")</f>
        <v/>
      </c>
      <c r="AL104" s="18" t="str">
        <f>IF(NOT(ISBLANK(Audit[[#This Row],[Audit Candidate 8]])), Audit[[#This Row],[Audit Candidate 8]]-Audit[[#This Row],[Candidate 8]], "")</f>
        <v/>
      </c>
      <c r="AM104" s="18" t="str">
        <f>IF(NOT(ISBLANK(Audit[[#This Row],[Audit Candidate 9]])), Audit[[#This Row],[Audit Candidate 9]]-Audit[[#This Row],[Candidate 9]], "")</f>
        <v/>
      </c>
      <c r="AN104" s="18" t="str">
        <f>IF(NOT(ISBLANK(Audit[[#This Row],[Audit Candidate 10]])), Audit[[#This Row],[Audit Candidate 10]]-Audit[[#This Row],[Candidate 10]], "")</f>
        <v/>
      </c>
      <c r="AO104" s="18" t="str">
        <f>IF(NOT(ISBLANK(Audit[[#This Row],[Audit Candidate 11]])), Audit[[#This Row],[Audit Candidate 11]]-Audit[[#This Row],[Candidate 11]], "")</f>
        <v/>
      </c>
      <c r="AP104" s="18" t="str">
        <f>IF(NOT(ISBLANK(Audit[[#This Row],[Audit Candidate 12]])), Audit[[#This Row],[Audit Candidate 12]]-Audit[[#This Row],[Candidate 12]], "")</f>
        <v/>
      </c>
      <c r="AQ104" s="18">
        <f>SUMIF(Audit[[#This Row],[Difference Winner]:[Difference Candidate 12]], "&gt;0")</f>
        <v>0</v>
      </c>
      <c r="AR104" s="18">
        <f>SUM(Audit[[#This Row],[Difference Winner]:[Difference Candidate 12]])</f>
        <v>0</v>
      </c>
      <c r="AS104" s="18">
        <f>IF(Audit[[#This Row],[Times p Drawn - With Replacement]]&gt;0, IF(Audit[[#This Row],[Canceled Differences]]&lt;0, Audit[[#This Row],[Max Differences]]+ABS(Audit[[#This Row],[Canceled Differences]]), Audit[[#This Row],[Max Differences]]), 0)</f>
        <v>0</v>
      </c>
      <c r="AT104" s="18">
        <f>'Sampling Data'!AB104</f>
        <v>1.8845996796180544E-4</v>
      </c>
      <c r="AU104" s="18">
        <f>IF(
      SUM(Audit[[#This Row],[Audit Losing Candidate]:[Audit Candidate 12]])
      &lt;&gt;0,
      (Audit[[#This Row],[Winning Candidate]]-Audit[[#This Row],[Losing Candidate]]-(Audit[[#This Row],[Audit Winning Candidate]]-Audit[[#This Row],[Audit Losing Candidate]]))/(Audit[[#Totals],[Winning Candidate]]-Audit[[#Totals],[Losing Candidate]]),
      0
)</f>
        <v>0</v>
      </c>
      <c r="AV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8">
        <f>IF(Audit[[#This Row],[Max Relative Error (ep)]] = 0, 0, Audit[[#This Row],[Max Relative Error (ep)]]/Audit[[#This Row],[Error Bound (up) - Max. possible relative overstatement]])</f>
        <v>0</v>
      </c>
      <c r="BH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 s="18">
        <f t="shared" si="2"/>
        <v>1</v>
      </c>
      <c r="BJ104" s="18">
        <f>PRODUCT($BI$5:BI104)</f>
        <v>1</v>
      </c>
      <c r="BK104" s="20">
        <f>1 - Audit[[#This Row],[K-M P Value]]</f>
        <v>0</v>
      </c>
      <c r="BL104" s="18" t="str">
        <f>IF(Audit[[#This Row],[K-M P Value]]&gt;1-'General Info'!$B$12,"Continue", "Stop")</f>
        <v>Continue</v>
      </c>
      <c r="BM104" s="23" t="b">
        <f>IF(Audit[[#This Row],[Status - Continue or stop audit]] = "Continue", TRUE, IF(BL103 = "Continue", TRUE, FALSE))</f>
        <v>1</v>
      </c>
      <c r="BN104" s="23"/>
    </row>
    <row r="105" spans="1:66" ht="15" hidden="1" customHeight="1" x14ac:dyDescent="0.35">
      <c r="A105" s="18" t="str">
        <f>'Sampling Data'!AI105</f>
        <v/>
      </c>
      <c r="B105" s="18" t="str">
        <f>'Sampling Data'!A105</f>
        <v>1502 CIN 15-B   (AV)</v>
      </c>
      <c r="C105" s="18">
        <f>'Sampling Data'!B105</f>
        <v>4</v>
      </c>
      <c r="D105" s="18">
        <f>'Sampling Data'!C105</f>
        <v>1</v>
      </c>
      <c r="E105" s="19">
        <f>'Sampling Data'!D105</f>
        <v>0</v>
      </c>
      <c r="F105" s="19">
        <f>'Sampling Data'!E105</f>
        <v>0</v>
      </c>
      <c r="G105" s="19">
        <f>'Sampling Data'!F105</f>
        <v>0</v>
      </c>
      <c r="H105" s="19">
        <f>'Sampling Data'!G105</f>
        <v>0</v>
      </c>
      <c r="I105" s="19">
        <f>'Sampling Data'!H105</f>
        <v>0</v>
      </c>
      <c r="J105" s="19">
        <f>'Sampling Data'!I105</f>
        <v>0</v>
      </c>
      <c r="K105" s="19">
        <f>'Sampling Data'!J105</f>
        <v>0</v>
      </c>
      <c r="L105" s="19">
        <f>'Sampling Data'!K105</f>
        <v>0</v>
      </c>
      <c r="M105" s="19">
        <f>'Sampling Data'!L105</f>
        <v>0</v>
      </c>
      <c r="N105" s="19">
        <f>'Sampling Data'!M105</f>
        <v>0</v>
      </c>
      <c r="O105" s="18">
        <f>'Sampling Data'!N105</f>
        <v>0</v>
      </c>
      <c r="P105" s="18">
        <f>'Sampling Data'!O105</f>
        <v>0</v>
      </c>
      <c r="Q105" s="18">
        <f>'Sampling Data'!P105</f>
        <v>5</v>
      </c>
      <c r="R105" s="18">
        <f>'Sampling Data'!AJ105</f>
        <v>0</v>
      </c>
      <c r="S105" s="112"/>
      <c r="T105" s="112"/>
      <c r="U105" s="113"/>
      <c r="V105" s="113"/>
      <c r="W105" s="112"/>
      <c r="X105" s="112"/>
      <c r="Y105" s="112"/>
      <c r="Z105" s="112"/>
      <c r="AA105" s="15"/>
      <c r="AB105" s="15"/>
      <c r="AC105" s="15"/>
      <c r="AD105" s="15"/>
      <c r="AE105" s="114" t="str">
        <f>IF(NOT(ISBLANK(Audit[[#This Row],[Audit Winning Candidate]])), Audit[[#This Row],[Audit Winning Candidate]]-Audit[[#This Row],[Winning Candidate]], "")</f>
        <v/>
      </c>
      <c r="AF105" s="18" t="str">
        <f>IF(NOT(ISBLANK(Audit[[#This Row],[Audit Losing Candidate]])), Audit[[#This Row],[Audit Losing Candidate]]-Audit[[#This Row],[Losing Candidate]], "")</f>
        <v/>
      </c>
      <c r="AG105" s="18" t="str">
        <f>IF(NOT(ISBLANK(Audit[[#This Row],[Audit Candidate 3]])), Audit[[#This Row],[Audit Candidate 3]]-Audit[[#This Row],[Candidate 3]], "")</f>
        <v/>
      </c>
      <c r="AH105" s="18" t="str">
        <f>IF(NOT(ISBLANK(Audit[[#This Row],[Audit Candidate 4]])),Audit[[#This Row],[Audit Candidate 4]]-Audit[[#This Row],[Candidate 4]], "")</f>
        <v/>
      </c>
      <c r="AI105" s="18" t="str">
        <f>IF(NOT(ISBLANK(Audit[[#This Row],[Audit Candidate 5]])), Audit[[#This Row],[Audit Candidate 5]]-Audit[[#This Row],[Candidate 5]], "")</f>
        <v/>
      </c>
      <c r="AJ105" s="18" t="str">
        <f>IF(NOT(ISBLANK(Audit[[#This Row],[Audit Candidate 6]])), Audit[[#This Row],[Audit Candidate 6]]-Audit[[#This Row],[Candidate 6]], "")</f>
        <v/>
      </c>
      <c r="AK105" s="18" t="str">
        <f>IF(NOT(ISBLANK(Audit[[#This Row],[Audit Candidate 7]])), Audit[[#This Row],[Audit Candidate 7]]-Audit[[#This Row],[Candidate 7]], "")</f>
        <v/>
      </c>
      <c r="AL105" s="18" t="str">
        <f>IF(NOT(ISBLANK(Audit[[#This Row],[Audit Candidate 8]])), Audit[[#This Row],[Audit Candidate 8]]-Audit[[#This Row],[Candidate 8]], "")</f>
        <v/>
      </c>
      <c r="AM105" s="18" t="str">
        <f>IF(NOT(ISBLANK(Audit[[#This Row],[Audit Candidate 9]])), Audit[[#This Row],[Audit Candidate 9]]-Audit[[#This Row],[Candidate 9]], "")</f>
        <v/>
      </c>
      <c r="AN105" s="18" t="str">
        <f>IF(NOT(ISBLANK(Audit[[#This Row],[Audit Candidate 10]])), Audit[[#This Row],[Audit Candidate 10]]-Audit[[#This Row],[Candidate 10]], "")</f>
        <v/>
      </c>
      <c r="AO105" s="18" t="str">
        <f>IF(NOT(ISBLANK(Audit[[#This Row],[Audit Candidate 11]])), Audit[[#This Row],[Audit Candidate 11]]-Audit[[#This Row],[Candidate 11]], "")</f>
        <v/>
      </c>
      <c r="AP105" s="18" t="str">
        <f>IF(NOT(ISBLANK(Audit[[#This Row],[Audit Candidate 12]])), Audit[[#This Row],[Audit Candidate 12]]-Audit[[#This Row],[Candidate 12]], "")</f>
        <v/>
      </c>
      <c r="AQ105" s="18">
        <f>SUMIF(Audit[[#This Row],[Difference Winner]:[Difference Candidate 12]], "&gt;0")</f>
        <v>0</v>
      </c>
      <c r="AR105" s="18">
        <f>SUM(Audit[[#This Row],[Difference Winner]:[Difference Candidate 12]])</f>
        <v>0</v>
      </c>
      <c r="AS105" s="18">
        <f>IF(Audit[[#This Row],[Times p Drawn - With Replacement]]&gt;0, IF(Audit[[#This Row],[Canceled Differences]]&lt;0, Audit[[#This Row],[Max Differences]]+ABS(Audit[[#This Row],[Canceled Differences]]), Audit[[#This Row],[Max Differences]]), 0)</f>
        <v>0</v>
      </c>
      <c r="AT105" s="18">
        <f>'Sampling Data'!AB105</f>
        <v>2.5127995728240724E-4</v>
      </c>
      <c r="AU105" s="18">
        <f>IF(
      SUM(Audit[[#This Row],[Audit Losing Candidate]:[Audit Candidate 12]])
      &lt;&gt;0,
      (Audit[[#This Row],[Winning Candidate]]-Audit[[#This Row],[Losing Candidate]]-(Audit[[#This Row],[Audit Winning Candidate]]-Audit[[#This Row],[Audit Losing Candidate]]))/(Audit[[#Totals],[Winning Candidate]]-Audit[[#Totals],[Losing Candidate]]),
      0
)</f>
        <v>0</v>
      </c>
      <c r="AV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8">
        <f>IF(Audit[[#This Row],[Max Relative Error (ep)]] = 0, 0, Audit[[#This Row],[Max Relative Error (ep)]]/Audit[[#This Row],[Error Bound (up) - Max. possible relative overstatement]])</f>
        <v>0</v>
      </c>
      <c r="BH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 s="18">
        <f t="shared" si="2"/>
        <v>1</v>
      </c>
      <c r="BJ105" s="18">
        <f>PRODUCT($BI$5:BI105)</f>
        <v>1</v>
      </c>
      <c r="BK105" s="20">
        <f>1 - Audit[[#This Row],[K-M P Value]]</f>
        <v>0</v>
      </c>
      <c r="BL105" s="18" t="str">
        <f>IF(Audit[[#This Row],[K-M P Value]]&gt;1-'General Info'!$B$12,"Continue", "Stop")</f>
        <v>Continue</v>
      </c>
      <c r="BM105" s="23" t="b">
        <f>IF(Audit[[#This Row],[Status - Continue or stop audit]] = "Continue", TRUE, IF(BL104 = "Continue", TRUE, FALSE))</f>
        <v>1</v>
      </c>
      <c r="BN105" s="23"/>
    </row>
    <row r="106" spans="1:66" ht="15" hidden="1" customHeight="1" x14ac:dyDescent="0.35">
      <c r="A106" s="18" t="str">
        <f>'Sampling Data'!AI106</f>
        <v/>
      </c>
      <c r="B106" s="18" t="str">
        <f>'Sampling Data'!A106</f>
        <v>1503 CIN 15-C   (AV)</v>
      </c>
      <c r="C106" s="18">
        <f>'Sampling Data'!B106</f>
        <v>0</v>
      </c>
      <c r="D106" s="18">
        <f>'Sampling Data'!C106</f>
        <v>1</v>
      </c>
      <c r="E106" s="19">
        <f>'Sampling Data'!D106</f>
        <v>0</v>
      </c>
      <c r="F106" s="19">
        <f>'Sampling Data'!E106</f>
        <v>0</v>
      </c>
      <c r="G106" s="19">
        <f>'Sampling Data'!F106</f>
        <v>0</v>
      </c>
      <c r="H106" s="19">
        <f>'Sampling Data'!G106</f>
        <v>0</v>
      </c>
      <c r="I106" s="19">
        <f>'Sampling Data'!H106</f>
        <v>0</v>
      </c>
      <c r="J106" s="19">
        <f>'Sampling Data'!I106</f>
        <v>0</v>
      </c>
      <c r="K106" s="19">
        <f>'Sampling Data'!J106</f>
        <v>0</v>
      </c>
      <c r="L106" s="19">
        <f>'Sampling Data'!K106</f>
        <v>0</v>
      </c>
      <c r="M106" s="19">
        <f>'Sampling Data'!L106</f>
        <v>0</v>
      </c>
      <c r="N106" s="19">
        <f>'Sampling Data'!M106</f>
        <v>0</v>
      </c>
      <c r="O106" s="18">
        <f>'Sampling Data'!N106</f>
        <v>0</v>
      </c>
      <c r="P106" s="18">
        <f>'Sampling Data'!O106</f>
        <v>0</v>
      </c>
      <c r="Q106" s="18">
        <f>'Sampling Data'!P106</f>
        <v>1</v>
      </c>
      <c r="R106" s="18">
        <f>'Sampling Data'!AJ106</f>
        <v>0</v>
      </c>
      <c r="S106" s="112"/>
      <c r="T106" s="112"/>
      <c r="U106" s="113"/>
      <c r="V106" s="113"/>
      <c r="W106" s="112"/>
      <c r="X106" s="112"/>
      <c r="Y106" s="112"/>
      <c r="Z106" s="112"/>
      <c r="AA106" s="15"/>
      <c r="AB106" s="15"/>
      <c r="AC106" s="15"/>
      <c r="AD106" s="15"/>
      <c r="AE106" s="114" t="str">
        <f>IF(NOT(ISBLANK(Audit[[#This Row],[Audit Winning Candidate]])), Audit[[#This Row],[Audit Winning Candidate]]-Audit[[#This Row],[Winning Candidate]], "")</f>
        <v/>
      </c>
      <c r="AF106" s="18" t="str">
        <f>IF(NOT(ISBLANK(Audit[[#This Row],[Audit Losing Candidate]])), Audit[[#This Row],[Audit Losing Candidate]]-Audit[[#This Row],[Losing Candidate]], "")</f>
        <v/>
      </c>
      <c r="AG106" s="18" t="str">
        <f>IF(NOT(ISBLANK(Audit[[#This Row],[Audit Candidate 3]])), Audit[[#This Row],[Audit Candidate 3]]-Audit[[#This Row],[Candidate 3]], "")</f>
        <v/>
      </c>
      <c r="AH106" s="18" t="str">
        <f>IF(NOT(ISBLANK(Audit[[#This Row],[Audit Candidate 4]])),Audit[[#This Row],[Audit Candidate 4]]-Audit[[#This Row],[Candidate 4]], "")</f>
        <v/>
      </c>
      <c r="AI106" s="18" t="str">
        <f>IF(NOT(ISBLANK(Audit[[#This Row],[Audit Candidate 5]])), Audit[[#This Row],[Audit Candidate 5]]-Audit[[#This Row],[Candidate 5]], "")</f>
        <v/>
      </c>
      <c r="AJ106" s="18" t="str">
        <f>IF(NOT(ISBLANK(Audit[[#This Row],[Audit Candidate 6]])), Audit[[#This Row],[Audit Candidate 6]]-Audit[[#This Row],[Candidate 6]], "")</f>
        <v/>
      </c>
      <c r="AK106" s="18" t="str">
        <f>IF(NOT(ISBLANK(Audit[[#This Row],[Audit Candidate 7]])), Audit[[#This Row],[Audit Candidate 7]]-Audit[[#This Row],[Candidate 7]], "")</f>
        <v/>
      </c>
      <c r="AL106" s="18" t="str">
        <f>IF(NOT(ISBLANK(Audit[[#This Row],[Audit Candidate 8]])), Audit[[#This Row],[Audit Candidate 8]]-Audit[[#This Row],[Candidate 8]], "")</f>
        <v/>
      </c>
      <c r="AM106" s="18" t="str">
        <f>IF(NOT(ISBLANK(Audit[[#This Row],[Audit Candidate 9]])), Audit[[#This Row],[Audit Candidate 9]]-Audit[[#This Row],[Candidate 9]], "")</f>
        <v/>
      </c>
      <c r="AN106" s="18" t="str">
        <f>IF(NOT(ISBLANK(Audit[[#This Row],[Audit Candidate 10]])), Audit[[#This Row],[Audit Candidate 10]]-Audit[[#This Row],[Candidate 10]], "")</f>
        <v/>
      </c>
      <c r="AO106" s="18" t="str">
        <f>IF(NOT(ISBLANK(Audit[[#This Row],[Audit Candidate 11]])), Audit[[#This Row],[Audit Candidate 11]]-Audit[[#This Row],[Candidate 11]], "")</f>
        <v/>
      </c>
      <c r="AP106" s="18" t="str">
        <f>IF(NOT(ISBLANK(Audit[[#This Row],[Audit Candidate 12]])), Audit[[#This Row],[Audit Candidate 12]]-Audit[[#This Row],[Candidate 12]], "")</f>
        <v/>
      </c>
      <c r="AQ106" s="18">
        <f>SUMIF(Audit[[#This Row],[Difference Winner]:[Difference Candidate 12]], "&gt;0")</f>
        <v>0</v>
      </c>
      <c r="AR106" s="18">
        <f>SUM(Audit[[#This Row],[Difference Winner]:[Difference Candidate 12]])</f>
        <v>0</v>
      </c>
      <c r="AS106" s="18">
        <f>IF(Audit[[#This Row],[Times p Drawn - With Replacement]]&gt;0, IF(Audit[[#This Row],[Canceled Differences]]&lt;0, Audit[[#This Row],[Max Differences]]+ABS(Audit[[#This Row],[Canceled Differences]]), Audit[[#This Row],[Max Differences]]), 0)</f>
        <v>0</v>
      </c>
      <c r="AT106" s="18">
        <f>'Sampling Data'!AB106</f>
        <v>0</v>
      </c>
      <c r="AU106" s="18">
        <f>IF(
      SUM(Audit[[#This Row],[Audit Losing Candidate]:[Audit Candidate 12]])
      &lt;&gt;0,
      (Audit[[#This Row],[Winning Candidate]]-Audit[[#This Row],[Losing Candidate]]-(Audit[[#This Row],[Audit Winning Candidate]]-Audit[[#This Row],[Audit Losing Candidate]]))/(Audit[[#Totals],[Winning Candidate]]-Audit[[#Totals],[Losing Candidate]]),
      0
)</f>
        <v>0</v>
      </c>
      <c r="AV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8">
        <f>IF(Audit[[#This Row],[Max Relative Error (ep)]] = 0, 0, Audit[[#This Row],[Max Relative Error (ep)]]/Audit[[#This Row],[Error Bound (up) - Max. possible relative overstatement]])</f>
        <v>0</v>
      </c>
      <c r="BH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 s="18">
        <f t="shared" si="2"/>
        <v>1</v>
      </c>
      <c r="BJ106" s="18">
        <f>PRODUCT($BI$5:BI106)</f>
        <v>1</v>
      </c>
      <c r="BK106" s="20">
        <f>1 - Audit[[#This Row],[K-M P Value]]</f>
        <v>0</v>
      </c>
      <c r="BL106" s="18" t="str">
        <f>IF(Audit[[#This Row],[K-M P Value]]&gt;1-'General Info'!$B$12,"Continue", "Stop")</f>
        <v>Continue</v>
      </c>
      <c r="BM106" s="23" t="b">
        <f>IF(Audit[[#This Row],[Status - Continue or stop audit]] = "Continue", TRUE, IF(BL105 = "Continue", TRUE, FALSE))</f>
        <v>1</v>
      </c>
      <c r="BN106" s="23"/>
    </row>
    <row r="107" spans="1:66" ht="15" hidden="1" customHeight="1" x14ac:dyDescent="0.35">
      <c r="A107" s="18" t="str">
        <f>'Sampling Data'!AI107</f>
        <v/>
      </c>
      <c r="B107" s="18" t="str">
        <f>'Sampling Data'!A107</f>
        <v>1504 CIN 15-D   (AV)</v>
      </c>
      <c r="C107" s="18">
        <f>'Sampling Data'!B107</f>
        <v>1</v>
      </c>
      <c r="D107" s="18">
        <f>'Sampling Data'!C107</f>
        <v>0</v>
      </c>
      <c r="E107" s="19">
        <f>'Sampling Data'!D107</f>
        <v>0</v>
      </c>
      <c r="F107" s="19">
        <f>'Sampling Data'!E107</f>
        <v>0</v>
      </c>
      <c r="G107" s="19">
        <f>'Sampling Data'!F107</f>
        <v>0</v>
      </c>
      <c r="H107" s="19">
        <f>'Sampling Data'!G107</f>
        <v>0</v>
      </c>
      <c r="I107" s="19">
        <f>'Sampling Data'!H107</f>
        <v>0</v>
      </c>
      <c r="J107" s="19">
        <f>'Sampling Data'!I107</f>
        <v>0</v>
      </c>
      <c r="K107" s="19">
        <f>'Sampling Data'!J107</f>
        <v>0</v>
      </c>
      <c r="L107" s="19">
        <f>'Sampling Data'!K107</f>
        <v>0</v>
      </c>
      <c r="M107" s="19">
        <f>'Sampling Data'!L107</f>
        <v>0</v>
      </c>
      <c r="N107" s="19">
        <f>'Sampling Data'!M107</f>
        <v>0</v>
      </c>
      <c r="O107" s="18">
        <f>'Sampling Data'!N107</f>
        <v>0</v>
      </c>
      <c r="P107" s="18">
        <f>'Sampling Data'!O107</f>
        <v>1</v>
      </c>
      <c r="Q107" s="18">
        <f>'Sampling Data'!P107</f>
        <v>2</v>
      </c>
      <c r="R107" s="18">
        <f>'Sampling Data'!AJ107</f>
        <v>0</v>
      </c>
      <c r="S107" s="112"/>
      <c r="T107" s="112"/>
      <c r="U107" s="113"/>
      <c r="V107" s="113"/>
      <c r="W107" s="112"/>
      <c r="X107" s="112"/>
      <c r="Y107" s="112"/>
      <c r="Z107" s="112"/>
      <c r="AA107" s="15"/>
      <c r="AB107" s="15"/>
      <c r="AC107" s="15"/>
      <c r="AD107" s="15"/>
      <c r="AE107" s="114" t="str">
        <f>IF(NOT(ISBLANK(Audit[[#This Row],[Audit Winning Candidate]])), Audit[[#This Row],[Audit Winning Candidate]]-Audit[[#This Row],[Winning Candidate]], "")</f>
        <v/>
      </c>
      <c r="AF107" s="18" t="str">
        <f>IF(NOT(ISBLANK(Audit[[#This Row],[Audit Losing Candidate]])), Audit[[#This Row],[Audit Losing Candidate]]-Audit[[#This Row],[Losing Candidate]], "")</f>
        <v/>
      </c>
      <c r="AG107" s="18" t="str">
        <f>IF(NOT(ISBLANK(Audit[[#This Row],[Audit Candidate 3]])), Audit[[#This Row],[Audit Candidate 3]]-Audit[[#This Row],[Candidate 3]], "")</f>
        <v/>
      </c>
      <c r="AH107" s="18" t="str">
        <f>IF(NOT(ISBLANK(Audit[[#This Row],[Audit Candidate 4]])),Audit[[#This Row],[Audit Candidate 4]]-Audit[[#This Row],[Candidate 4]], "")</f>
        <v/>
      </c>
      <c r="AI107" s="18" t="str">
        <f>IF(NOT(ISBLANK(Audit[[#This Row],[Audit Candidate 5]])), Audit[[#This Row],[Audit Candidate 5]]-Audit[[#This Row],[Candidate 5]], "")</f>
        <v/>
      </c>
      <c r="AJ107" s="18" t="str">
        <f>IF(NOT(ISBLANK(Audit[[#This Row],[Audit Candidate 6]])), Audit[[#This Row],[Audit Candidate 6]]-Audit[[#This Row],[Candidate 6]], "")</f>
        <v/>
      </c>
      <c r="AK107" s="18" t="str">
        <f>IF(NOT(ISBLANK(Audit[[#This Row],[Audit Candidate 7]])), Audit[[#This Row],[Audit Candidate 7]]-Audit[[#This Row],[Candidate 7]], "")</f>
        <v/>
      </c>
      <c r="AL107" s="18" t="str">
        <f>IF(NOT(ISBLANK(Audit[[#This Row],[Audit Candidate 8]])), Audit[[#This Row],[Audit Candidate 8]]-Audit[[#This Row],[Candidate 8]], "")</f>
        <v/>
      </c>
      <c r="AM107" s="18" t="str">
        <f>IF(NOT(ISBLANK(Audit[[#This Row],[Audit Candidate 9]])), Audit[[#This Row],[Audit Candidate 9]]-Audit[[#This Row],[Candidate 9]], "")</f>
        <v/>
      </c>
      <c r="AN107" s="18" t="str">
        <f>IF(NOT(ISBLANK(Audit[[#This Row],[Audit Candidate 10]])), Audit[[#This Row],[Audit Candidate 10]]-Audit[[#This Row],[Candidate 10]], "")</f>
        <v/>
      </c>
      <c r="AO107" s="18" t="str">
        <f>IF(NOT(ISBLANK(Audit[[#This Row],[Audit Candidate 11]])), Audit[[#This Row],[Audit Candidate 11]]-Audit[[#This Row],[Candidate 11]], "")</f>
        <v/>
      </c>
      <c r="AP107" s="18" t="str">
        <f>IF(NOT(ISBLANK(Audit[[#This Row],[Audit Candidate 12]])), Audit[[#This Row],[Audit Candidate 12]]-Audit[[#This Row],[Candidate 12]], "")</f>
        <v/>
      </c>
      <c r="AQ107" s="18">
        <f>SUMIF(Audit[[#This Row],[Difference Winner]:[Difference Candidate 12]], "&gt;0")</f>
        <v>0</v>
      </c>
      <c r="AR107" s="18">
        <f>SUM(Audit[[#This Row],[Difference Winner]:[Difference Candidate 12]])</f>
        <v>0</v>
      </c>
      <c r="AS107" s="18">
        <f>IF(Audit[[#This Row],[Times p Drawn - With Replacement]]&gt;0, IF(Audit[[#This Row],[Canceled Differences]]&lt;0, Audit[[#This Row],[Max Differences]]+ABS(Audit[[#This Row],[Canceled Differences]]), Audit[[#This Row],[Max Differences]]), 0)</f>
        <v>0</v>
      </c>
      <c r="AT107" s="18">
        <f>'Sampling Data'!AB107</f>
        <v>9.4229983980902721E-5</v>
      </c>
      <c r="AU107" s="18">
        <f>IF(
      SUM(Audit[[#This Row],[Audit Losing Candidate]:[Audit Candidate 12]])
      &lt;&gt;0,
      (Audit[[#This Row],[Winning Candidate]]-Audit[[#This Row],[Losing Candidate]]-(Audit[[#This Row],[Audit Winning Candidate]]-Audit[[#This Row],[Audit Losing Candidate]]))/(Audit[[#Totals],[Winning Candidate]]-Audit[[#Totals],[Losing Candidate]]),
      0
)</f>
        <v>0</v>
      </c>
      <c r="AV1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8">
        <f>IF(Audit[[#This Row],[Max Relative Error (ep)]] = 0, 0, Audit[[#This Row],[Max Relative Error (ep)]]/Audit[[#This Row],[Error Bound (up) - Max. possible relative overstatement]])</f>
        <v>0</v>
      </c>
      <c r="BH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 s="18">
        <f t="shared" si="2"/>
        <v>1</v>
      </c>
      <c r="BJ107" s="18">
        <f>PRODUCT($BI$5:BI107)</f>
        <v>1</v>
      </c>
      <c r="BK107" s="20">
        <f>1 - Audit[[#This Row],[K-M P Value]]</f>
        <v>0</v>
      </c>
      <c r="BL107" s="18" t="str">
        <f>IF(Audit[[#This Row],[K-M P Value]]&gt;1-'General Info'!$B$12,"Continue", "Stop")</f>
        <v>Continue</v>
      </c>
      <c r="BM107" s="23" t="b">
        <f>IF(Audit[[#This Row],[Status - Continue or stop audit]] = "Continue", TRUE, IF(BL106 = "Continue", TRUE, FALSE))</f>
        <v>1</v>
      </c>
      <c r="BN107" s="23"/>
    </row>
    <row r="108" spans="1:66" ht="15" hidden="1" customHeight="1" x14ac:dyDescent="0.35">
      <c r="A108" s="18" t="str">
        <f>'Sampling Data'!AI108</f>
        <v/>
      </c>
      <c r="B108" s="18" t="str">
        <f>'Sampling Data'!A108</f>
        <v>1505 CIN 15-E   (AV)</v>
      </c>
      <c r="C108" s="18">
        <f>'Sampling Data'!B108</f>
        <v>3</v>
      </c>
      <c r="D108" s="18">
        <f>'Sampling Data'!C108</f>
        <v>0</v>
      </c>
      <c r="E108" s="19">
        <f>'Sampling Data'!D108</f>
        <v>0</v>
      </c>
      <c r="F108" s="19">
        <f>'Sampling Data'!E108</f>
        <v>0</v>
      </c>
      <c r="G108" s="19">
        <f>'Sampling Data'!F108</f>
        <v>0</v>
      </c>
      <c r="H108" s="19">
        <f>'Sampling Data'!G108</f>
        <v>0</v>
      </c>
      <c r="I108" s="19">
        <f>'Sampling Data'!H108</f>
        <v>0</v>
      </c>
      <c r="J108" s="19">
        <f>'Sampling Data'!I108</f>
        <v>0</v>
      </c>
      <c r="K108" s="19">
        <f>'Sampling Data'!J108</f>
        <v>0</v>
      </c>
      <c r="L108" s="19">
        <f>'Sampling Data'!K108</f>
        <v>0</v>
      </c>
      <c r="M108" s="19">
        <f>'Sampling Data'!L108</f>
        <v>0</v>
      </c>
      <c r="N108" s="19">
        <f>'Sampling Data'!M108</f>
        <v>0</v>
      </c>
      <c r="O108" s="18">
        <f>'Sampling Data'!N108</f>
        <v>0</v>
      </c>
      <c r="P108" s="18">
        <f>'Sampling Data'!O108</f>
        <v>0</v>
      </c>
      <c r="Q108" s="18">
        <f>'Sampling Data'!P108</f>
        <v>3</v>
      </c>
      <c r="R108" s="18">
        <f>'Sampling Data'!AJ108</f>
        <v>0</v>
      </c>
      <c r="S108" s="112"/>
      <c r="T108" s="112"/>
      <c r="U108" s="113"/>
      <c r="V108" s="113"/>
      <c r="W108" s="112"/>
      <c r="X108" s="112"/>
      <c r="Y108" s="112"/>
      <c r="Z108" s="112"/>
      <c r="AA108" s="15"/>
      <c r="AB108" s="15"/>
      <c r="AC108" s="15"/>
      <c r="AD108" s="15"/>
      <c r="AE108" s="114" t="str">
        <f>IF(NOT(ISBLANK(Audit[[#This Row],[Audit Winning Candidate]])), Audit[[#This Row],[Audit Winning Candidate]]-Audit[[#This Row],[Winning Candidate]], "")</f>
        <v/>
      </c>
      <c r="AF108" s="18" t="str">
        <f>IF(NOT(ISBLANK(Audit[[#This Row],[Audit Losing Candidate]])), Audit[[#This Row],[Audit Losing Candidate]]-Audit[[#This Row],[Losing Candidate]], "")</f>
        <v/>
      </c>
      <c r="AG108" s="18" t="str">
        <f>IF(NOT(ISBLANK(Audit[[#This Row],[Audit Candidate 3]])), Audit[[#This Row],[Audit Candidate 3]]-Audit[[#This Row],[Candidate 3]], "")</f>
        <v/>
      </c>
      <c r="AH108" s="18" t="str">
        <f>IF(NOT(ISBLANK(Audit[[#This Row],[Audit Candidate 4]])),Audit[[#This Row],[Audit Candidate 4]]-Audit[[#This Row],[Candidate 4]], "")</f>
        <v/>
      </c>
      <c r="AI108" s="18" t="str">
        <f>IF(NOT(ISBLANK(Audit[[#This Row],[Audit Candidate 5]])), Audit[[#This Row],[Audit Candidate 5]]-Audit[[#This Row],[Candidate 5]], "")</f>
        <v/>
      </c>
      <c r="AJ108" s="18" t="str">
        <f>IF(NOT(ISBLANK(Audit[[#This Row],[Audit Candidate 6]])), Audit[[#This Row],[Audit Candidate 6]]-Audit[[#This Row],[Candidate 6]], "")</f>
        <v/>
      </c>
      <c r="AK108" s="18" t="str">
        <f>IF(NOT(ISBLANK(Audit[[#This Row],[Audit Candidate 7]])), Audit[[#This Row],[Audit Candidate 7]]-Audit[[#This Row],[Candidate 7]], "")</f>
        <v/>
      </c>
      <c r="AL108" s="18" t="str">
        <f>IF(NOT(ISBLANK(Audit[[#This Row],[Audit Candidate 8]])), Audit[[#This Row],[Audit Candidate 8]]-Audit[[#This Row],[Candidate 8]], "")</f>
        <v/>
      </c>
      <c r="AM108" s="18" t="str">
        <f>IF(NOT(ISBLANK(Audit[[#This Row],[Audit Candidate 9]])), Audit[[#This Row],[Audit Candidate 9]]-Audit[[#This Row],[Candidate 9]], "")</f>
        <v/>
      </c>
      <c r="AN108" s="18" t="str">
        <f>IF(NOT(ISBLANK(Audit[[#This Row],[Audit Candidate 10]])), Audit[[#This Row],[Audit Candidate 10]]-Audit[[#This Row],[Candidate 10]], "")</f>
        <v/>
      </c>
      <c r="AO108" s="18" t="str">
        <f>IF(NOT(ISBLANK(Audit[[#This Row],[Audit Candidate 11]])), Audit[[#This Row],[Audit Candidate 11]]-Audit[[#This Row],[Candidate 11]], "")</f>
        <v/>
      </c>
      <c r="AP108" s="18" t="str">
        <f>IF(NOT(ISBLANK(Audit[[#This Row],[Audit Candidate 12]])), Audit[[#This Row],[Audit Candidate 12]]-Audit[[#This Row],[Candidate 12]], "")</f>
        <v/>
      </c>
      <c r="AQ108" s="18">
        <f>SUMIF(Audit[[#This Row],[Difference Winner]:[Difference Candidate 12]], "&gt;0")</f>
        <v>0</v>
      </c>
      <c r="AR108" s="18">
        <f>SUM(Audit[[#This Row],[Difference Winner]:[Difference Candidate 12]])</f>
        <v>0</v>
      </c>
      <c r="AS108" s="18">
        <f>IF(Audit[[#This Row],[Times p Drawn - With Replacement]]&gt;0, IF(Audit[[#This Row],[Canceled Differences]]&lt;0, Audit[[#This Row],[Max Differences]]+ABS(Audit[[#This Row],[Canceled Differences]]), Audit[[#This Row],[Max Differences]]), 0)</f>
        <v>0</v>
      </c>
      <c r="AT108" s="18">
        <f>'Sampling Data'!AB108</f>
        <v>1.8845996796180544E-4</v>
      </c>
      <c r="AU108" s="18">
        <f>IF(
      SUM(Audit[[#This Row],[Audit Losing Candidate]:[Audit Candidate 12]])
      &lt;&gt;0,
      (Audit[[#This Row],[Winning Candidate]]-Audit[[#This Row],[Losing Candidate]]-(Audit[[#This Row],[Audit Winning Candidate]]-Audit[[#This Row],[Audit Losing Candidate]]))/(Audit[[#Totals],[Winning Candidate]]-Audit[[#Totals],[Losing Candidate]]),
      0
)</f>
        <v>0</v>
      </c>
      <c r="AV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8">
        <f>IF(Audit[[#This Row],[Max Relative Error (ep)]] = 0, 0, Audit[[#This Row],[Max Relative Error (ep)]]/Audit[[#This Row],[Error Bound (up) - Max. possible relative overstatement]])</f>
        <v>0</v>
      </c>
      <c r="BH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 s="18">
        <f t="shared" si="2"/>
        <v>1</v>
      </c>
      <c r="BJ108" s="18">
        <f>PRODUCT($BI$5:BI108)</f>
        <v>1</v>
      </c>
      <c r="BK108" s="20">
        <f>1 - Audit[[#This Row],[K-M P Value]]</f>
        <v>0</v>
      </c>
      <c r="BL108" s="18" t="str">
        <f>IF(Audit[[#This Row],[K-M P Value]]&gt;1-'General Info'!$B$12,"Continue", "Stop")</f>
        <v>Continue</v>
      </c>
      <c r="BM108" s="23" t="b">
        <f>IF(Audit[[#This Row],[Status - Continue or stop audit]] = "Continue", TRUE, IF(BL107 = "Continue", TRUE, FALSE))</f>
        <v>1</v>
      </c>
      <c r="BN108" s="23"/>
    </row>
    <row r="109" spans="1:66" ht="15" hidden="1" customHeight="1" x14ac:dyDescent="0.35">
      <c r="A109" s="18" t="str">
        <f>'Sampling Data'!AI109</f>
        <v/>
      </c>
      <c r="B109" s="18" t="str">
        <f>'Sampling Data'!A109</f>
        <v>1506 CIN 15-F   (AV)</v>
      </c>
      <c r="C109" s="18">
        <f>'Sampling Data'!B109</f>
        <v>7</v>
      </c>
      <c r="D109" s="18">
        <f>'Sampling Data'!C109</f>
        <v>1</v>
      </c>
      <c r="E109" s="19">
        <f>'Sampling Data'!D109</f>
        <v>0</v>
      </c>
      <c r="F109" s="19">
        <f>'Sampling Data'!E109</f>
        <v>0</v>
      </c>
      <c r="G109" s="19">
        <f>'Sampling Data'!F109</f>
        <v>0</v>
      </c>
      <c r="H109" s="19">
        <f>'Sampling Data'!G109</f>
        <v>0</v>
      </c>
      <c r="I109" s="19">
        <f>'Sampling Data'!H109</f>
        <v>0</v>
      </c>
      <c r="J109" s="19">
        <f>'Sampling Data'!I109</f>
        <v>0</v>
      </c>
      <c r="K109" s="19">
        <f>'Sampling Data'!J109</f>
        <v>0</v>
      </c>
      <c r="L109" s="19">
        <f>'Sampling Data'!K109</f>
        <v>0</v>
      </c>
      <c r="M109" s="19">
        <f>'Sampling Data'!L109</f>
        <v>0</v>
      </c>
      <c r="N109" s="19">
        <f>'Sampling Data'!M109</f>
        <v>0</v>
      </c>
      <c r="O109" s="18">
        <f>'Sampling Data'!N109</f>
        <v>0</v>
      </c>
      <c r="P109" s="18">
        <f>'Sampling Data'!O109</f>
        <v>0</v>
      </c>
      <c r="Q109" s="18">
        <f>'Sampling Data'!P109</f>
        <v>8</v>
      </c>
      <c r="R109" s="18">
        <f>'Sampling Data'!AJ109</f>
        <v>0</v>
      </c>
      <c r="S109" s="112"/>
      <c r="T109" s="112"/>
      <c r="U109" s="113"/>
      <c r="V109" s="113"/>
      <c r="W109" s="112"/>
      <c r="X109" s="112"/>
      <c r="Y109" s="112"/>
      <c r="Z109" s="112"/>
      <c r="AA109" s="15"/>
      <c r="AB109" s="15"/>
      <c r="AC109" s="15"/>
      <c r="AD109" s="15"/>
      <c r="AE109" s="114" t="str">
        <f>IF(NOT(ISBLANK(Audit[[#This Row],[Audit Winning Candidate]])), Audit[[#This Row],[Audit Winning Candidate]]-Audit[[#This Row],[Winning Candidate]], "")</f>
        <v/>
      </c>
      <c r="AF109" s="18" t="str">
        <f>IF(NOT(ISBLANK(Audit[[#This Row],[Audit Losing Candidate]])), Audit[[#This Row],[Audit Losing Candidate]]-Audit[[#This Row],[Losing Candidate]], "")</f>
        <v/>
      </c>
      <c r="AG109" s="18" t="str">
        <f>IF(NOT(ISBLANK(Audit[[#This Row],[Audit Candidate 3]])), Audit[[#This Row],[Audit Candidate 3]]-Audit[[#This Row],[Candidate 3]], "")</f>
        <v/>
      </c>
      <c r="AH109" s="18" t="str">
        <f>IF(NOT(ISBLANK(Audit[[#This Row],[Audit Candidate 4]])),Audit[[#This Row],[Audit Candidate 4]]-Audit[[#This Row],[Candidate 4]], "")</f>
        <v/>
      </c>
      <c r="AI109" s="18" t="str">
        <f>IF(NOT(ISBLANK(Audit[[#This Row],[Audit Candidate 5]])), Audit[[#This Row],[Audit Candidate 5]]-Audit[[#This Row],[Candidate 5]], "")</f>
        <v/>
      </c>
      <c r="AJ109" s="18" t="str">
        <f>IF(NOT(ISBLANK(Audit[[#This Row],[Audit Candidate 6]])), Audit[[#This Row],[Audit Candidate 6]]-Audit[[#This Row],[Candidate 6]], "")</f>
        <v/>
      </c>
      <c r="AK109" s="18" t="str">
        <f>IF(NOT(ISBLANK(Audit[[#This Row],[Audit Candidate 7]])), Audit[[#This Row],[Audit Candidate 7]]-Audit[[#This Row],[Candidate 7]], "")</f>
        <v/>
      </c>
      <c r="AL109" s="18" t="str">
        <f>IF(NOT(ISBLANK(Audit[[#This Row],[Audit Candidate 8]])), Audit[[#This Row],[Audit Candidate 8]]-Audit[[#This Row],[Candidate 8]], "")</f>
        <v/>
      </c>
      <c r="AM109" s="18" t="str">
        <f>IF(NOT(ISBLANK(Audit[[#This Row],[Audit Candidate 9]])), Audit[[#This Row],[Audit Candidate 9]]-Audit[[#This Row],[Candidate 9]], "")</f>
        <v/>
      </c>
      <c r="AN109" s="18" t="str">
        <f>IF(NOT(ISBLANK(Audit[[#This Row],[Audit Candidate 10]])), Audit[[#This Row],[Audit Candidate 10]]-Audit[[#This Row],[Candidate 10]], "")</f>
        <v/>
      </c>
      <c r="AO109" s="18" t="str">
        <f>IF(NOT(ISBLANK(Audit[[#This Row],[Audit Candidate 11]])), Audit[[#This Row],[Audit Candidate 11]]-Audit[[#This Row],[Candidate 11]], "")</f>
        <v/>
      </c>
      <c r="AP109" s="18" t="str">
        <f>IF(NOT(ISBLANK(Audit[[#This Row],[Audit Candidate 12]])), Audit[[#This Row],[Audit Candidate 12]]-Audit[[#This Row],[Candidate 12]], "")</f>
        <v/>
      </c>
      <c r="AQ109" s="18">
        <f>SUMIF(Audit[[#This Row],[Difference Winner]:[Difference Candidate 12]], "&gt;0")</f>
        <v>0</v>
      </c>
      <c r="AR109" s="18">
        <f>SUM(Audit[[#This Row],[Difference Winner]:[Difference Candidate 12]])</f>
        <v>0</v>
      </c>
      <c r="AS109" s="18">
        <f>IF(Audit[[#This Row],[Times p Drawn - With Replacement]]&gt;0, IF(Audit[[#This Row],[Canceled Differences]]&lt;0, Audit[[#This Row],[Max Differences]]+ABS(Audit[[#This Row],[Canceled Differences]]), Audit[[#This Row],[Max Differences]]), 0)</f>
        <v>0</v>
      </c>
      <c r="AT109" s="18">
        <f>'Sampling Data'!AB109</f>
        <v>4.3973992524421271E-4</v>
      </c>
      <c r="AU109" s="18">
        <f>IF(
      SUM(Audit[[#This Row],[Audit Losing Candidate]:[Audit Candidate 12]])
      &lt;&gt;0,
      (Audit[[#This Row],[Winning Candidate]]-Audit[[#This Row],[Losing Candidate]]-(Audit[[#This Row],[Audit Winning Candidate]]-Audit[[#This Row],[Audit Losing Candidate]]))/(Audit[[#Totals],[Winning Candidate]]-Audit[[#Totals],[Losing Candidate]]),
      0
)</f>
        <v>0</v>
      </c>
      <c r="AV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8">
        <f>IF(Audit[[#This Row],[Max Relative Error (ep)]] = 0, 0, Audit[[#This Row],[Max Relative Error (ep)]]/Audit[[#This Row],[Error Bound (up) - Max. possible relative overstatement]])</f>
        <v>0</v>
      </c>
      <c r="BH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 s="18">
        <f t="shared" si="2"/>
        <v>1</v>
      </c>
      <c r="BJ109" s="18">
        <f>PRODUCT($BI$5:BI109)</f>
        <v>1</v>
      </c>
      <c r="BK109" s="20">
        <f>1 - Audit[[#This Row],[K-M P Value]]</f>
        <v>0</v>
      </c>
      <c r="BL109" s="18" t="str">
        <f>IF(Audit[[#This Row],[K-M P Value]]&gt;1-'General Info'!$B$12,"Continue", "Stop")</f>
        <v>Continue</v>
      </c>
      <c r="BM109" s="23" t="b">
        <f>IF(Audit[[#This Row],[Status - Continue or stop audit]] = "Continue", TRUE, IF(BL108 = "Continue", TRUE, FALSE))</f>
        <v>1</v>
      </c>
      <c r="BN109" s="23"/>
    </row>
    <row r="110" spans="1:66" ht="15" hidden="1" customHeight="1" x14ac:dyDescent="0.35">
      <c r="A110" s="18" t="str">
        <f>'Sampling Data'!AI110</f>
        <v/>
      </c>
      <c r="B110" s="18" t="str">
        <f>'Sampling Data'!A110</f>
        <v>1507 CIN 15-G   (AV)</v>
      </c>
      <c r="C110" s="18">
        <f>'Sampling Data'!B110</f>
        <v>1</v>
      </c>
      <c r="D110" s="18">
        <f>'Sampling Data'!C110</f>
        <v>0</v>
      </c>
      <c r="E110" s="19">
        <f>'Sampling Data'!D110</f>
        <v>0</v>
      </c>
      <c r="F110" s="19">
        <f>'Sampling Data'!E110</f>
        <v>0</v>
      </c>
      <c r="G110" s="19">
        <f>'Sampling Data'!F110</f>
        <v>0</v>
      </c>
      <c r="H110" s="19">
        <f>'Sampling Data'!G110</f>
        <v>0</v>
      </c>
      <c r="I110" s="19">
        <f>'Sampling Data'!H110</f>
        <v>0</v>
      </c>
      <c r="J110" s="19">
        <f>'Sampling Data'!I110</f>
        <v>0</v>
      </c>
      <c r="K110" s="19">
        <f>'Sampling Data'!J110</f>
        <v>0</v>
      </c>
      <c r="L110" s="19">
        <f>'Sampling Data'!K110</f>
        <v>0</v>
      </c>
      <c r="M110" s="19">
        <f>'Sampling Data'!L110</f>
        <v>0</v>
      </c>
      <c r="N110" s="19">
        <f>'Sampling Data'!M110</f>
        <v>0</v>
      </c>
      <c r="O110" s="18">
        <f>'Sampling Data'!N110</f>
        <v>0</v>
      </c>
      <c r="P110" s="18">
        <f>'Sampling Data'!O110</f>
        <v>0</v>
      </c>
      <c r="Q110" s="18">
        <f>'Sampling Data'!P110</f>
        <v>1</v>
      </c>
      <c r="R110" s="18">
        <f>'Sampling Data'!AJ110</f>
        <v>0</v>
      </c>
      <c r="S110" s="112"/>
      <c r="T110" s="112"/>
      <c r="U110" s="113"/>
      <c r="V110" s="113"/>
      <c r="W110" s="112"/>
      <c r="X110" s="112"/>
      <c r="Y110" s="112"/>
      <c r="Z110" s="112"/>
      <c r="AA110" s="15"/>
      <c r="AB110" s="15"/>
      <c r="AC110" s="15"/>
      <c r="AD110" s="15"/>
      <c r="AE110" s="114" t="str">
        <f>IF(NOT(ISBLANK(Audit[[#This Row],[Audit Winning Candidate]])), Audit[[#This Row],[Audit Winning Candidate]]-Audit[[#This Row],[Winning Candidate]], "")</f>
        <v/>
      </c>
      <c r="AF110" s="18" t="str">
        <f>IF(NOT(ISBLANK(Audit[[#This Row],[Audit Losing Candidate]])), Audit[[#This Row],[Audit Losing Candidate]]-Audit[[#This Row],[Losing Candidate]], "")</f>
        <v/>
      </c>
      <c r="AG110" s="18" t="str">
        <f>IF(NOT(ISBLANK(Audit[[#This Row],[Audit Candidate 3]])), Audit[[#This Row],[Audit Candidate 3]]-Audit[[#This Row],[Candidate 3]], "")</f>
        <v/>
      </c>
      <c r="AH110" s="18" t="str">
        <f>IF(NOT(ISBLANK(Audit[[#This Row],[Audit Candidate 4]])),Audit[[#This Row],[Audit Candidate 4]]-Audit[[#This Row],[Candidate 4]], "")</f>
        <v/>
      </c>
      <c r="AI110" s="18" t="str">
        <f>IF(NOT(ISBLANK(Audit[[#This Row],[Audit Candidate 5]])), Audit[[#This Row],[Audit Candidate 5]]-Audit[[#This Row],[Candidate 5]], "")</f>
        <v/>
      </c>
      <c r="AJ110" s="18" t="str">
        <f>IF(NOT(ISBLANK(Audit[[#This Row],[Audit Candidate 6]])), Audit[[#This Row],[Audit Candidate 6]]-Audit[[#This Row],[Candidate 6]], "")</f>
        <v/>
      </c>
      <c r="AK110" s="18" t="str">
        <f>IF(NOT(ISBLANK(Audit[[#This Row],[Audit Candidate 7]])), Audit[[#This Row],[Audit Candidate 7]]-Audit[[#This Row],[Candidate 7]], "")</f>
        <v/>
      </c>
      <c r="AL110" s="18" t="str">
        <f>IF(NOT(ISBLANK(Audit[[#This Row],[Audit Candidate 8]])), Audit[[#This Row],[Audit Candidate 8]]-Audit[[#This Row],[Candidate 8]], "")</f>
        <v/>
      </c>
      <c r="AM110" s="18" t="str">
        <f>IF(NOT(ISBLANK(Audit[[#This Row],[Audit Candidate 9]])), Audit[[#This Row],[Audit Candidate 9]]-Audit[[#This Row],[Candidate 9]], "")</f>
        <v/>
      </c>
      <c r="AN110" s="18" t="str">
        <f>IF(NOT(ISBLANK(Audit[[#This Row],[Audit Candidate 10]])), Audit[[#This Row],[Audit Candidate 10]]-Audit[[#This Row],[Candidate 10]], "")</f>
        <v/>
      </c>
      <c r="AO110" s="18" t="str">
        <f>IF(NOT(ISBLANK(Audit[[#This Row],[Audit Candidate 11]])), Audit[[#This Row],[Audit Candidate 11]]-Audit[[#This Row],[Candidate 11]], "")</f>
        <v/>
      </c>
      <c r="AP110" s="18" t="str">
        <f>IF(NOT(ISBLANK(Audit[[#This Row],[Audit Candidate 12]])), Audit[[#This Row],[Audit Candidate 12]]-Audit[[#This Row],[Candidate 12]], "")</f>
        <v/>
      </c>
      <c r="AQ110" s="18">
        <f>SUMIF(Audit[[#This Row],[Difference Winner]:[Difference Candidate 12]], "&gt;0")</f>
        <v>0</v>
      </c>
      <c r="AR110" s="18">
        <f>SUM(Audit[[#This Row],[Difference Winner]:[Difference Candidate 12]])</f>
        <v>0</v>
      </c>
      <c r="AS110" s="18">
        <f>IF(Audit[[#This Row],[Times p Drawn - With Replacement]]&gt;0, IF(Audit[[#This Row],[Canceled Differences]]&lt;0, Audit[[#This Row],[Max Differences]]+ABS(Audit[[#This Row],[Canceled Differences]]), Audit[[#This Row],[Max Differences]]), 0)</f>
        <v>0</v>
      </c>
      <c r="AT110" s="18">
        <f>'Sampling Data'!AB110</f>
        <v>6.2819989320601809E-5</v>
      </c>
      <c r="AU110" s="18">
        <f>IF(
      SUM(Audit[[#This Row],[Audit Losing Candidate]:[Audit Candidate 12]])
      &lt;&gt;0,
      (Audit[[#This Row],[Winning Candidate]]-Audit[[#This Row],[Losing Candidate]]-(Audit[[#This Row],[Audit Winning Candidate]]-Audit[[#This Row],[Audit Losing Candidate]]))/(Audit[[#Totals],[Winning Candidate]]-Audit[[#Totals],[Losing Candidate]]),
      0
)</f>
        <v>0</v>
      </c>
      <c r="AV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8">
        <f>IF(Audit[[#This Row],[Max Relative Error (ep)]] = 0, 0, Audit[[#This Row],[Max Relative Error (ep)]]/Audit[[#This Row],[Error Bound (up) - Max. possible relative overstatement]])</f>
        <v>0</v>
      </c>
      <c r="BH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 s="18">
        <f t="shared" si="2"/>
        <v>1</v>
      </c>
      <c r="BJ110" s="18">
        <f>PRODUCT($BI$5:BI110)</f>
        <v>1</v>
      </c>
      <c r="BK110" s="20">
        <f>1 - Audit[[#This Row],[K-M P Value]]</f>
        <v>0</v>
      </c>
      <c r="BL110" s="18" t="str">
        <f>IF(Audit[[#This Row],[K-M P Value]]&gt;1-'General Info'!$B$12,"Continue", "Stop")</f>
        <v>Continue</v>
      </c>
      <c r="BM110" s="23" t="b">
        <f>IF(Audit[[#This Row],[Status - Continue or stop audit]] = "Continue", TRUE, IF(BL109 = "Continue", TRUE, FALSE))</f>
        <v>1</v>
      </c>
      <c r="BN110" s="23"/>
    </row>
    <row r="111" spans="1:66" ht="15" hidden="1" customHeight="1" x14ac:dyDescent="0.35">
      <c r="A111" s="18" t="str">
        <f>'Sampling Data'!AI111</f>
        <v/>
      </c>
      <c r="B111" s="18" t="str">
        <f>'Sampling Data'!A111</f>
        <v>1508 CIN 15-H   (AV)</v>
      </c>
      <c r="C111" s="18">
        <f>'Sampling Data'!B111</f>
        <v>12</v>
      </c>
      <c r="D111" s="18">
        <f>'Sampling Data'!C111</f>
        <v>1</v>
      </c>
      <c r="E111" s="19">
        <f>'Sampling Data'!D111</f>
        <v>0</v>
      </c>
      <c r="F111" s="19">
        <f>'Sampling Data'!E111</f>
        <v>0</v>
      </c>
      <c r="G111" s="19">
        <f>'Sampling Data'!F111</f>
        <v>0</v>
      </c>
      <c r="H111" s="19">
        <f>'Sampling Data'!G111</f>
        <v>0</v>
      </c>
      <c r="I111" s="19">
        <f>'Sampling Data'!H111</f>
        <v>0</v>
      </c>
      <c r="J111" s="19">
        <f>'Sampling Data'!I111</f>
        <v>0</v>
      </c>
      <c r="K111" s="19">
        <f>'Sampling Data'!J111</f>
        <v>0</v>
      </c>
      <c r="L111" s="19">
        <f>'Sampling Data'!K111</f>
        <v>0</v>
      </c>
      <c r="M111" s="19">
        <f>'Sampling Data'!L111</f>
        <v>0</v>
      </c>
      <c r="N111" s="19">
        <f>'Sampling Data'!M111</f>
        <v>0</v>
      </c>
      <c r="O111" s="18">
        <f>'Sampling Data'!N111</f>
        <v>0</v>
      </c>
      <c r="P111" s="18">
        <f>'Sampling Data'!O111</f>
        <v>0</v>
      </c>
      <c r="Q111" s="18">
        <f>'Sampling Data'!P111</f>
        <v>13</v>
      </c>
      <c r="R111" s="18">
        <f>'Sampling Data'!AJ111</f>
        <v>0</v>
      </c>
      <c r="S111" s="112"/>
      <c r="T111" s="112"/>
      <c r="U111" s="113"/>
      <c r="V111" s="113"/>
      <c r="W111" s="112"/>
      <c r="X111" s="112"/>
      <c r="Y111" s="112"/>
      <c r="Z111" s="112"/>
      <c r="AA111" s="15"/>
      <c r="AB111" s="15"/>
      <c r="AC111" s="15"/>
      <c r="AD111" s="15"/>
      <c r="AE111" s="114" t="str">
        <f>IF(NOT(ISBLANK(Audit[[#This Row],[Audit Winning Candidate]])), Audit[[#This Row],[Audit Winning Candidate]]-Audit[[#This Row],[Winning Candidate]], "")</f>
        <v/>
      </c>
      <c r="AF111" s="18" t="str">
        <f>IF(NOT(ISBLANK(Audit[[#This Row],[Audit Losing Candidate]])), Audit[[#This Row],[Audit Losing Candidate]]-Audit[[#This Row],[Losing Candidate]], "")</f>
        <v/>
      </c>
      <c r="AG111" s="18" t="str">
        <f>IF(NOT(ISBLANK(Audit[[#This Row],[Audit Candidate 3]])), Audit[[#This Row],[Audit Candidate 3]]-Audit[[#This Row],[Candidate 3]], "")</f>
        <v/>
      </c>
      <c r="AH111" s="18" t="str">
        <f>IF(NOT(ISBLANK(Audit[[#This Row],[Audit Candidate 4]])),Audit[[#This Row],[Audit Candidate 4]]-Audit[[#This Row],[Candidate 4]], "")</f>
        <v/>
      </c>
      <c r="AI111" s="18" t="str">
        <f>IF(NOT(ISBLANK(Audit[[#This Row],[Audit Candidate 5]])), Audit[[#This Row],[Audit Candidate 5]]-Audit[[#This Row],[Candidate 5]], "")</f>
        <v/>
      </c>
      <c r="AJ111" s="18" t="str">
        <f>IF(NOT(ISBLANK(Audit[[#This Row],[Audit Candidate 6]])), Audit[[#This Row],[Audit Candidate 6]]-Audit[[#This Row],[Candidate 6]], "")</f>
        <v/>
      </c>
      <c r="AK111" s="18" t="str">
        <f>IF(NOT(ISBLANK(Audit[[#This Row],[Audit Candidate 7]])), Audit[[#This Row],[Audit Candidate 7]]-Audit[[#This Row],[Candidate 7]], "")</f>
        <v/>
      </c>
      <c r="AL111" s="18" t="str">
        <f>IF(NOT(ISBLANK(Audit[[#This Row],[Audit Candidate 8]])), Audit[[#This Row],[Audit Candidate 8]]-Audit[[#This Row],[Candidate 8]], "")</f>
        <v/>
      </c>
      <c r="AM111" s="18" t="str">
        <f>IF(NOT(ISBLANK(Audit[[#This Row],[Audit Candidate 9]])), Audit[[#This Row],[Audit Candidate 9]]-Audit[[#This Row],[Candidate 9]], "")</f>
        <v/>
      </c>
      <c r="AN111" s="18" t="str">
        <f>IF(NOT(ISBLANK(Audit[[#This Row],[Audit Candidate 10]])), Audit[[#This Row],[Audit Candidate 10]]-Audit[[#This Row],[Candidate 10]], "")</f>
        <v/>
      </c>
      <c r="AO111" s="18" t="str">
        <f>IF(NOT(ISBLANK(Audit[[#This Row],[Audit Candidate 11]])), Audit[[#This Row],[Audit Candidate 11]]-Audit[[#This Row],[Candidate 11]], "")</f>
        <v/>
      </c>
      <c r="AP111" s="18" t="str">
        <f>IF(NOT(ISBLANK(Audit[[#This Row],[Audit Candidate 12]])), Audit[[#This Row],[Audit Candidate 12]]-Audit[[#This Row],[Candidate 12]], "")</f>
        <v/>
      </c>
      <c r="AQ111" s="18">
        <f>SUMIF(Audit[[#This Row],[Difference Winner]:[Difference Candidate 12]], "&gt;0")</f>
        <v>0</v>
      </c>
      <c r="AR111" s="18">
        <f>SUM(Audit[[#This Row],[Difference Winner]:[Difference Candidate 12]])</f>
        <v>0</v>
      </c>
      <c r="AS111" s="18">
        <f>IF(Audit[[#This Row],[Times p Drawn - With Replacement]]&gt;0, IF(Audit[[#This Row],[Canceled Differences]]&lt;0, Audit[[#This Row],[Max Differences]]+ABS(Audit[[#This Row],[Canceled Differences]]), Audit[[#This Row],[Max Differences]]), 0)</f>
        <v>0</v>
      </c>
      <c r="AT111" s="18">
        <f>'Sampling Data'!AB111</f>
        <v>7.5383987184722177E-4</v>
      </c>
      <c r="AU111" s="18">
        <f>IF(
      SUM(Audit[[#This Row],[Audit Losing Candidate]:[Audit Candidate 12]])
      &lt;&gt;0,
      (Audit[[#This Row],[Winning Candidate]]-Audit[[#This Row],[Losing Candidate]]-(Audit[[#This Row],[Audit Winning Candidate]]-Audit[[#This Row],[Audit Losing Candidate]]))/(Audit[[#Totals],[Winning Candidate]]-Audit[[#Totals],[Losing Candidate]]),
      0
)</f>
        <v>0</v>
      </c>
      <c r="AV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8">
        <f>IF(Audit[[#This Row],[Max Relative Error (ep)]] = 0, 0, Audit[[#This Row],[Max Relative Error (ep)]]/Audit[[#This Row],[Error Bound (up) - Max. possible relative overstatement]])</f>
        <v>0</v>
      </c>
      <c r="BH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 s="18">
        <f t="shared" si="2"/>
        <v>1</v>
      </c>
      <c r="BJ111" s="18">
        <f>PRODUCT($BI$5:BI111)</f>
        <v>1</v>
      </c>
      <c r="BK111" s="20">
        <f>1 - Audit[[#This Row],[K-M P Value]]</f>
        <v>0</v>
      </c>
      <c r="BL111" s="18" t="str">
        <f>IF(Audit[[#This Row],[K-M P Value]]&gt;1-'General Info'!$B$12,"Continue", "Stop")</f>
        <v>Continue</v>
      </c>
      <c r="BM111" s="23" t="b">
        <f>IF(Audit[[#This Row],[Status - Continue or stop audit]] = "Continue", TRUE, IF(BL110 = "Continue", TRUE, FALSE))</f>
        <v>1</v>
      </c>
      <c r="BN111" s="23"/>
    </row>
    <row r="112" spans="1:66" ht="15" hidden="1" customHeight="1" x14ac:dyDescent="0.35">
      <c r="A112" s="18" t="str">
        <f>'Sampling Data'!AI112</f>
        <v/>
      </c>
      <c r="B112" s="18" t="str">
        <f>'Sampling Data'!A112</f>
        <v>1509 CIN 15-I   (AV)</v>
      </c>
      <c r="C112" s="18">
        <f>'Sampling Data'!B112</f>
        <v>3</v>
      </c>
      <c r="D112" s="18">
        <f>'Sampling Data'!C112</f>
        <v>1</v>
      </c>
      <c r="E112" s="19">
        <f>'Sampling Data'!D112</f>
        <v>0</v>
      </c>
      <c r="F112" s="19">
        <f>'Sampling Data'!E112</f>
        <v>0</v>
      </c>
      <c r="G112" s="19">
        <f>'Sampling Data'!F112</f>
        <v>0</v>
      </c>
      <c r="H112" s="19">
        <f>'Sampling Data'!G112</f>
        <v>0</v>
      </c>
      <c r="I112" s="19">
        <f>'Sampling Data'!H112</f>
        <v>0</v>
      </c>
      <c r="J112" s="19">
        <f>'Sampling Data'!I112</f>
        <v>0</v>
      </c>
      <c r="K112" s="19">
        <f>'Sampling Data'!J112</f>
        <v>0</v>
      </c>
      <c r="L112" s="19">
        <f>'Sampling Data'!K112</f>
        <v>0</v>
      </c>
      <c r="M112" s="19">
        <f>'Sampling Data'!L112</f>
        <v>0</v>
      </c>
      <c r="N112" s="19">
        <f>'Sampling Data'!M112</f>
        <v>0</v>
      </c>
      <c r="O112" s="18">
        <f>'Sampling Data'!N112</f>
        <v>0</v>
      </c>
      <c r="P112" s="18">
        <f>'Sampling Data'!O112</f>
        <v>0</v>
      </c>
      <c r="Q112" s="18">
        <f>'Sampling Data'!P112</f>
        <v>4</v>
      </c>
      <c r="R112" s="18">
        <f>'Sampling Data'!AJ112</f>
        <v>0</v>
      </c>
      <c r="S112" s="112"/>
      <c r="T112" s="112"/>
      <c r="U112" s="113"/>
      <c r="V112" s="113"/>
      <c r="W112" s="112"/>
      <c r="X112" s="112"/>
      <c r="Y112" s="112"/>
      <c r="Z112" s="112"/>
      <c r="AA112" s="15"/>
      <c r="AB112" s="15"/>
      <c r="AC112" s="15"/>
      <c r="AD112" s="15"/>
      <c r="AE112" s="114" t="str">
        <f>IF(NOT(ISBLANK(Audit[[#This Row],[Audit Winning Candidate]])), Audit[[#This Row],[Audit Winning Candidate]]-Audit[[#This Row],[Winning Candidate]], "")</f>
        <v/>
      </c>
      <c r="AF112" s="18" t="str">
        <f>IF(NOT(ISBLANK(Audit[[#This Row],[Audit Losing Candidate]])), Audit[[#This Row],[Audit Losing Candidate]]-Audit[[#This Row],[Losing Candidate]], "")</f>
        <v/>
      </c>
      <c r="AG112" s="18" t="str">
        <f>IF(NOT(ISBLANK(Audit[[#This Row],[Audit Candidate 3]])), Audit[[#This Row],[Audit Candidate 3]]-Audit[[#This Row],[Candidate 3]], "")</f>
        <v/>
      </c>
      <c r="AH112" s="18" t="str">
        <f>IF(NOT(ISBLANK(Audit[[#This Row],[Audit Candidate 4]])),Audit[[#This Row],[Audit Candidate 4]]-Audit[[#This Row],[Candidate 4]], "")</f>
        <v/>
      </c>
      <c r="AI112" s="18" t="str">
        <f>IF(NOT(ISBLANK(Audit[[#This Row],[Audit Candidate 5]])), Audit[[#This Row],[Audit Candidate 5]]-Audit[[#This Row],[Candidate 5]], "")</f>
        <v/>
      </c>
      <c r="AJ112" s="18" t="str">
        <f>IF(NOT(ISBLANK(Audit[[#This Row],[Audit Candidate 6]])), Audit[[#This Row],[Audit Candidate 6]]-Audit[[#This Row],[Candidate 6]], "")</f>
        <v/>
      </c>
      <c r="AK112" s="18" t="str">
        <f>IF(NOT(ISBLANK(Audit[[#This Row],[Audit Candidate 7]])), Audit[[#This Row],[Audit Candidate 7]]-Audit[[#This Row],[Candidate 7]], "")</f>
        <v/>
      </c>
      <c r="AL112" s="18" t="str">
        <f>IF(NOT(ISBLANK(Audit[[#This Row],[Audit Candidate 8]])), Audit[[#This Row],[Audit Candidate 8]]-Audit[[#This Row],[Candidate 8]], "")</f>
        <v/>
      </c>
      <c r="AM112" s="18" t="str">
        <f>IF(NOT(ISBLANK(Audit[[#This Row],[Audit Candidate 9]])), Audit[[#This Row],[Audit Candidate 9]]-Audit[[#This Row],[Candidate 9]], "")</f>
        <v/>
      </c>
      <c r="AN112" s="18" t="str">
        <f>IF(NOT(ISBLANK(Audit[[#This Row],[Audit Candidate 10]])), Audit[[#This Row],[Audit Candidate 10]]-Audit[[#This Row],[Candidate 10]], "")</f>
        <v/>
      </c>
      <c r="AO112" s="18" t="str">
        <f>IF(NOT(ISBLANK(Audit[[#This Row],[Audit Candidate 11]])), Audit[[#This Row],[Audit Candidate 11]]-Audit[[#This Row],[Candidate 11]], "")</f>
        <v/>
      </c>
      <c r="AP112" s="18" t="str">
        <f>IF(NOT(ISBLANK(Audit[[#This Row],[Audit Candidate 12]])), Audit[[#This Row],[Audit Candidate 12]]-Audit[[#This Row],[Candidate 12]], "")</f>
        <v/>
      </c>
      <c r="AQ112" s="18">
        <f>SUMIF(Audit[[#This Row],[Difference Winner]:[Difference Candidate 12]], "&gt;0")</f>
        <v>0</v>
      </c>
      <c r="AR112" s="18">
        <f>SUM(Audit[[#This Row],[Difference Winner]:[Difference Candidate 12]])</f>
        <v>0</v>
      </c>
      <c r="AS112" s="18">
        <f>IF(Audit[[#This Row],[Times p Drawn - With Replacement]]&gt;0, IF(Audit[[#This Row],[Canceled Differences]]&lt;0, Audit[[#This Row],[Max Differences]]+ABS(Audit[[#This Row],[Canceled Differences]]), Audit[[#This Row],[Max Differences]]), 0)</f>
        <v>0</v>
      </c>
      <c r="AT112" s="18">
        <f>'Sampling Data'!AB112</f>
        <v>1.8845996796180544E-4</v>
      </c>
      <c r="AU112" s="18">
        <f>IF(
      SUM(Audit[[#This Row],[Audit Losing Candidate]:[Audit Candidate 12]])
      &lt;&gt;0,
      (Audit[[#This Row],[Winning Candidate]]-Audit[[#This Row],[Losing Candidate]]-(Audit[[#This Row],[Audit Winning Candidate]]-Audit[[#This Row],[Audit Losing Candidate]]))/(Audit[[#Totals],[Winning Candidate]]-Audit[[#Totals],[Losing Candidate]]),
      0
)</f>
        <v>0</v>
      </c>
      <c r="AV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8">
        <f>IF(Audit[[#This Row],[Max Relative Error (ep)]] = 0, 0, Audit[[#This Row],[Max Relative Error (ep)]]/Audit[[#This Row],[Error Bound (up) - Max. possible relative overstatement]])</f>
        <v>0</v>
      </c>
      <c r="BH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 s="18">
        <f t="shared" si="2"/>
        <v>1</v>
      </c>
      <c r="BJ112" s="18">
        <f>PRODUCT($BI$5:BI112)</f>
        <v>1</v>
      </c>
      <c r="BK112" s="20">
        <f>1 - Audit[[#This Row],[K-M P Value]]</f>
        <v>0</v>
      </c>
      <c r="BL112" s="18" t="str">
        <f>IF(Audit[[#This Row],[K-M P Value]]&gt;1-'General Info'!$B$12,"Continue", "Stop")</f>
        <v>Continue</v>
      </c>
      <c r="BM112" s="23" t="b">
        <f>IF(Audit[[#This Row],[Status - Continue or stop audit]] = "Continue", TRUE, IF(BL111 = "Continue", TRUE, FALSE))</f>
        <v>1</v>
      </c>
      <c r="BN112" s="23"/>
    </row>
    <row r="113" spans="1:66" ht="15" hidden="1" customHeight="1" x14ac:dyDescent="0.35">
      <c r="A113" s="18" t="str">
        <f>'Sampling Data'!AI113</f>
        <v/>
      </c>
      <c r="B113" s="18" t="str">
        <f>'Sampling Data'!A113</f>
        <v>1510 CIN 15-J   (AV)</v>
      </c>
      <c r="C113" s="18">
        <f>'Sampling Data'!B113</f>
        <v>0</v>
      </c>
      <c r="D113" s="18">
        <f>'Sampling Data'!C113</f>
        <v>0</v>
      </c>
      <c r="E113" s="19">
        <f>'Sampling Data'!D113</f>
        <v>0</v>
      </c>
      <c r="F113" s="19">
        <f>'Sampling Data'!E113</f>
        <v>0</v>
      </c>
      <c r="G113" s="19">
        <f>'Sampling Data'!F113</f>
        <v>0</v>
      </c>
      <c r="H113" s="19">
        <f>'Sampling Data'!G113</f>
        <v>0</v>
      </c>
      <c r="I113" s="19">
        <f>'Sampling Data'!H113</f>
        <v>0</v>
      </c>
      <c r="J113" s="19">
        <f>'Sampling Data'!I113</f>
        <v>0</v>
      </c>
      <c r="K113" s="19">
        <f>'Sampling Data'!J113</f>
        <v>0</v>
      </c>
      <c r="L113" s="19">
        <f>'Sampling Data'!K113</f>
        <v>0</v>
      </c>
      <c r="M113" s="19">
        <f>'Sampling Data'!L113</f>
        <v>0</v>
      </c>
      <c r="N113" s="19">
        <f>'Sampling Data'!M113</f>
        <v>0</v>
      </c>
      <c r="O113" s="18">
        <f>'Sampling Data'!N113</f>
        <v>0</v>
      </c>
      <c r="P113" s="18">
        <f>'Sampling Data'!O113</f>
        <v>0</v>
      </c>
      <c r="Q113" s="18">
        <f>'Sampling Data'!P113</f>
        <v>0</v>
      </c>
      <c r="R113" s="18">
        <f>'Sampling Data'!AJ113</f>
        <v>0</v>
      </c>
      <c r="S113" s="112"/>
      <c r="T113" s="112"/>
      <c r="U113" s="113"/>
      <c r="V113" s="113"/>
      <c r="W113" s="112"/>
      <c r="X113" s="112"/>
      <c r="Y113" s="112"/>
      <c r="Z113" s="112"/>
      <c r="AA113" s="15"/>
      <c r="AB113" s="15"/>
      <c r="AC113" s="15"/>
      <c r="AD113" s="15"/>
      <c r="AE113" s="114" t="str">
        <f>IF(NOT(ISBLANK(Audit[[#This Row],[Audit Winning Candidate]])), Audit[[#This Row],[Audit Winning Candidate]]-Audit[[#This Row],[Winning Candidate]], "")</f>
        <v/>
      </c>
      <c r="AF113" s="18" t="str">
        <f>IF(NOT(ISBLANK(Audit[[#This Row],[Audit Losing Candidate]])), Audit[[#This Row],[Audit Losing Candidate]]-Audit[[#This Row],[Losing Candidate]], "")</f>
        <v/>
      </c>
      <c r="AG113" s="18" t="str">
        <f>IF(NOT(ISBLANK(Audit[[#This Row],[Audit Candidate 3]])), Audit[[#This Row],[Audit Candidate 3]]-Audit[[#This Row],[Candidate 3]], "")</f>
        <v/>
      </c>
      <c r="AH113" s="18" t="str">
        <f>IF(NOT(ISBLANK(Audit[[#This Row],[Audit Candidate 4]])),Audit[[#This Row],[Audit Candidate 4]]-Audit[[#This Row],[Candidate 4]], "")</f>
        <v/>
      </c>
      <c r="AI113" s="18" t="str">
        <f>IF(NOT(ISBLANK(Audit[[#This Row],[Audit Candidate 5]])), Audit[[#This Row],[Audit Candidate 5]]-Audit[[#This Row],[Candidate 5]], "")</f>
        <v/>
      </c>
      <c r="AJ113" s="18" t="str">
        <f>IF(NOT(ISBLANK(Audit[[#This Row],[Audit Candidate 6]])), Audit[[#This Row],[Audit Candidate 6]]-Audit[[#This Row],[Candidate 6]], "")</f>
        <v/>
      </c>
      <c r="AK113" s="18" t="str">
        <f>IF(NOT(ISBLANK(Audit[[#This Row],[Audit Candidate 7]])), Audit[[#This Row],[Audit Candidate 7]]-Audit[[#This Row],[Candidate 7]], "")</f>
        <v/>
      </c>
      <c r="AL113" s="18" t="str">
        <f>IF(NOT(ISBLANK(Audit[[#This Row],[Audit Candidate 8]])), Audit[[#This Row],[Audit Candidate 8]]-Audit[[#This Row],[Candidate 8]], "")</f>
        <v/>
      </c>
      <c r="AM113" s="18" t="str">
        <f>IF(NOT(ISBLANK(Audit[[#This Row],[Audit Candidate 9]])), Audit[[#This Row],[Audit Candidate 9]]-Audit[[#This Row],[Candidate 9]], "")</f>
        <v/>
      </c>
      <c r="AN113" s="18" t="str">
        <f>IF(NOT(ISBLANK(Audit[[#This Row],[Audit Candidate 10]])), Audit[[#This Row],[Audit Candidate 10]]-Audit[[#This Row],[Candidate 10]], "")</f>
        <v/>
      </c>
      <c r="AO113" s="18" t="str">
        <f>IF(NOT(ISBLANK(Audit[[#This Row],[Audit Candidate 11]])), Audit[[#This Row],[Audit Candidate 11]]-Audit[[#This Row],[Candidate 11]], "")</f>
        <v/>
      </c>
      <c r="AP113" s="18" t="str">
        <f>IF(NOT(ISBLANK(Audit[[#This Row],[Audit Candidate 12]])), Audit[[#This Row],[Audit Candidate 12]]-Audit[[#This Row],[Candidate 12]], "")</f>
        <v/>
      </c>
      <c r="AQ113" s="18">
        <f>SUMIF(Audit[[#This Row],[Difference Winner]:[Difference Candidate 12]], "&gt;0")</f>
        <v>0</v>
      </c>
      <c r="AR113" s="18">
        <f>SUM(Audit[[#This Row],[Difference Winner]:[Difference Candidate 12]])</f>
        <v>0</v>
      </c>
      <c r="AS113" s="18">
        <f>IF(Audit[[#This Row],[Times p Drawn - With Replacement]]&gt;0, IF(Audit[[#This Row],[Canceled Differences]]&lt;0, Audit[[#This Row],[Max Differences]]+ABS(Audit[[#This Row],[Canceled Differences]]), Audit[[#This Row],[Max Differences]]), 0)</f>
        <v>0</v>
      </c>
      <c r="AT113" s="18">
        <f>'Sampling Data'!AB113</f>
        <v>0</v>
      </c>
      <c r="AU113" s="18">
        <f>IF(
      SUM(Audit[[#This Row],[Audit Losing Candidate]:[Audit Candidate 12]])
      &lt;&gt;0,
      (Audit[[#This Row],[Winning Candidate]]-Audit[[#This Row],[Losing Candidate]]-(Audit[[#This Row],[Audit Winning Candidate]]-Audit[[#This Row],[Audit Losing Candidate]]))/(Audit[[#Totals],[Winning Candidate]]-Audit[[#Totals],[Losing Candidate]]),
      0
)</f>
        <v>0</v>
      </c>
      <c r="AV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8">
        <f>IF(Audit[[#This Row],[Max Relative Error (ep)]] = 0, 0, Audit[[#This Row],[Max Relative Error (ep)]]/Audit[[#This Row],[Error Bound (up) - Max. possible relative overstatement]])</f>
        <v>0</v>
      </c>
      <c r="BH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3" s="18">
        <f t="shared" si="2"/>
        <v>1</v>
      </c>
      <c r="BJ113" s="18">
        <f>PRODUCT($BI$5:BI113)</f>
        <v>1</v>
      </c>
      <c r="BK113" s="20">
        <f>1 - Audit[[#This Row],[K-M P Value]]</f>
        <v>0</v>
      </c>
      <c r="BL113" s="18" t="str">
        <f>IF(Audit[[#This Row],[K-M P Value]]&gt;1-'General Info'!$B$12,"Continue", "Stop")</f>
        <v>Continue</v>
      </c>
      <c r="BM113" s="23" t="b">
        <f>IF(Audit[[#This Row],[Status - Continue or stop audit]] = "Continue", TRUE, IF(BL112 = "Continue", TRUE, FALSE))</f>
        <v>1</v>
      </c>
      <c r="BN113" s="23"/>
    </row>
    <row r="114" spans="1:66" ht="15" hidden="1" customHeight="1" x14ac:dyDescent="0.35">
      <c r="A114" s="18" t="str">
        <f>'Sampling Data'!AI114</f>
        <v/>
      </c>
      <c r="B114" s="18" t="str">
        <f>'Sampling Data'!A114</f>
        <v>1601 CIN 16-A   (AV)</v>
      </c>
      <c r="C114" s="18">
        <f>'Sampling Data'!B114</f>
        <v>3</v>
      </c>
      <c r="D114" s="18">
        <f>'Sampling Data'!C114</f>
        <v>3</v>
      </c>
      <c r="E114" s="19">
        <f>'Sampling Data'!D114</f>
        <v>0</v>
      </c>
      <c r="F114" s="19">
        <f>'Sampling Data'!E114</f>
        <v>0</v>
      </c>
      <c r="G114" s="19">
        <f>'Sampling Data'!F114</f>
        <v>0</v>
      </c>
      <c r="H114" s="19">
        <f>'Sampling Data'!G114</f>
        <v>0</v>
      </c>
      <c r="I114" s="19">
        <f>'Sampling Data'!H114</f>
        <v>0</v>
      </c>
      <c r="J114" s="19">
        <f>'Sampling Data'!I114</f>
        <v>0</v>
      </c>
      <c r="K114" s="19">
        <f>'Sampling Data'!J114</f>
        <v>0</v>
      </c>
      <c r="L114" s="19">
        <f>'Sampling Data'!K114</f>
        <v>0</v>
      </c>
      <c r="M114" s="19">
        <f>'Sampling Data'!L114</f>
        <v>0</v>
      </c>
      <c r="N114" s="19">
        <f>'Sampling Data'!M114</f>
        <v>0</v>
      </c>
      <c r="O114" s="18">
        <f>'Sampling Data'!N114</f>
        <v>0</v>
      </c>
      <c r="P114" s="18">
        <f>'Sampling Data'!O114</f>
        <v>0</v>
      </c>
      <c r="Q114" s="18">
        <f>'Sampling Data'!P114</f>
        <v>6</v>
      </c>
      <c r="R114" s="18">
        <f>'Sampling Data'!AJ114</f>
        <v>0</v>
      </c>
      <c r="S114" s="112"/>
      <c r="T114" s="112"/>
      <c r="U114" s="113"/>
      <c r="V114" s="113"/>
      <c r="W114" s="112"/>
      <c r="X114" s="112"/>
      <c r="Y114" s="112"/>
      <c r="Z114" s="112"/>
      <c r="AA114" s="15"/>
      <c r="AB114" s="15"/>
      <c r="AC114" s="15"/>
      <c r="AD114" s="15"/>
      <c r="AE114" s="114" t="str">
        <f>IF(NOT(ISBLANK(Audit[[#This Row],[Audit Winning Candidate]])), Audit[[#This Row],[Audit Winning Candidate]]-Audit[[#This Row],[Winning Candidate]], "")</f>
        <v/>
      </c>
      <c r="AF114" s="18" t="str">
        <f>IF(NOT(ISBLANK(Audit[[#This Row],[Audit Losing Candidate]])), Audit[[#This Row],[Audit Losing Candidate]]-Audit[[#This Row],[Losing Candidate]], "")</f>
        <v/>
      </c>
      <c r="AG114" s="18" t="str">
        <f>IF(NOT(ISBLANK(Audit[[#This Row],[Audit Candidate 3]])), Audit[[#This Row],[Audit Candidate 3]]-Audit[[#This Row],[Candidate 3]], "")</f>
        <v/>
      </c>
      <c r="AH114" s="18" t="str">
        <f>IF(NOT(ISBLANK(Audit[[#This Row],[Audit Candidate 4]])),Audit[[#This Row],[Audit Candidate 4]]-Audit[[#This Row],[Candidate 4]], "")</f>
        <v/>
      </c>
      <c r="AI114" s="18" t="str">
        <f>IF(NOT(ISBLANK(Audit[[#This Row],[Audit Candidate 5]])), Audit[[#This Row],[Audit Candidate 5]]-Audit[[#This Row],[Candidate 5]], "")</f>
        <v/>
      </c>
      <c r="AJ114" s="18" t="str">
        <f>IF(NOT(ISBLANK(Audit[[#This Row],[Audit Candidate 6]])), Audit[[#This Row],[Audit Candidate 6]]-Audit[[#This Row],[Candidate 6]], "")</f>
        <v/>
      </c>
      <c r="AK114" s="18" t="str">
        <f>IF(NOT(ISBLANK(Audit[[#This Row],[Audit Candidate 7]])), Audit[[#This Row],[Audit Candidate 7]]-Audit[[#This Row],[Candidate 7]], "")</f>
        <v/>
      </c>
      <c r="AL114" s="18" t="str">
        <f>IF(NOT(ISBLANK(Audit[[#This Row],[Audit Candidate 8]])), Audit[[#This Row],[Audit Candidate 8]]-Audit[[#This Row],[Candidate 8]], "")</f>
        <v/>
      </c>
      <c r="AM114" s="18" t="str">
        <f>IF(NOT(ISBLANK(Audit[[#This Row],[Audit Candidate 9]])), Audit[[#This Row],[Audit Candidate 9]]-Audit[[#This Row],[Candidate 9]], "")</f>
        <v/>
      </c>
      <c r="AN114" s="18" t="str">
        <f>IF(NOT(ISBLANK(Audit[[#This Row],[Audit Candidate 10]])), Audit[[#This Row],[Audit Candidate 10]]-Audit[[#This Row],[Candidate 10]], "")</f>
        <v/>
      </c>
      <c r="AO114" s="18" t="str">
        <f>IF(NOT(ISBLANK(Audit[[#This Row],[Audit Candidate 11]])), Audit[[#This Row],[Audit Candidate 11]]-Audit[[#This Row],[Candidate 11]], "")</f>
        <v/>
      </c>
      <c r="AP114" s="18" t="str">
        <f>IF(NOT(ISBLANK(Audit[[#This Row],[Audit Candidate 12]])), Audit[[#This Row],[Audit Candidate 12]]-Audit[[#This Row],[Candidate 12]], "")</f>
        <v/>
      </c>
      <c r="AQ114" s="18">
        <f>SUMIF(Audit[[#This Row],[Difference Winner]:[Difference Candidate 12]], "&gt;0")</f>
        <v>0</v>
      </c>
      <c r="AR114" s="18">
        <f>SUM(Audit[[#This Row],[Difference Winner]:[Difference Candidate 12]])</f>
        <v>0</v>
      </c>
      <c r="AS114" s="18">
        <f>IF(Audit[[#This Row],[Times p Drawn - With Replacement]]&gt;0, IF(Audit[[#This Row],[Canceled Differences]]&lt;0, Audit[[#This Row],[Max Differences]]+ABS(Audit[[#This Row],[Canceled Differences]]), Audit[[#This Row],[Max Differences]]), 0)</f>
        <v>0</v>
      </c>
      <c r="AT114" s="18">
        <f>'Sampling Data'!AB114</f>
        <v>1.8845996796180544E-4</v>
      </c>
      <c r="AU114" s="18">
        <f>IF(
      SUM(Audit[[#This Row],[Audit Losing Candidate]:[Audit Candidate 12]])
      &lt;&gt;0,
      (Audit[[#This Row],[Winning Candidate]]-Audit[[#This Row],[Losing Candidate]]-(Audit[[#This Row],[Audit Winning Candidate]]-Audit[[#This Row],[Audit Losing Candidate]]))/(Audit[[#Totals],[Winning Candidate]]-Audit[[#Totals],[Losing Candidate]]),
      0
)</f>
        <v>0</v>
      </c>
      <c r="AV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8">
        <f>IF(Audit[[#This Row],[Max Relative Error (ep)]] = 0, 0, Audit[[#This Row],[Max Relative Error (ep)]]/Audit[[#This Row],[Error Bound (up) - Max. possible relative overstatement]])</f>
        <v>0</v>
      </c>
      <c r="BH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4" s="18">
        <f t="shared" si="2"/>
        <v>1</v>
      </c>
      <c r="BJ114" s="18">
        <f>PRODUCT($BI$5:BI114)</f>
        <v>1</v>
      </c>
      <c r="BK114" s="20">
        <f>1 - Audit[[#This Row],[K-M P Value]]</f>
        <v>0</v>
      </c>
      <c r="BL114" s="18" t="str">
        <f>IF(Audit[[#This Row],[K-M P Value]]&gt;1-'General Info'!$B$12,"Continue", "Stop")</f>
        <v>Continue</v>
      </c>
      <c r="BM114" s="23" t="b">
        <f>IF(Audit[[#This Row],[Status - Continue or stop audit]] = "Continue", TRUE, IF(BL113 = "Continue", TRUE, FALSE))</f>
        <v>1</v>
      </c>
      <c r="BN114" s="23"/>
    </row>
    <row r="115" spans="1:66" ht="15" hidden="1" customHeight="1" x14ac:dyDescent="0.35">
      <c r="A115" s="18" t="str">
        <f>'Sampling Data'!AI115</f>
        <v/>
      </c>
      <c r="B115" s="18" t="str">
        <f>'Sampling Data'!A115</f>
        <v>1701 CIN 17-A   (AV)</v>
      </c>
      <c r="C115" s="18">
        <f>'Sampling Data'!B115</f>
        <v>2</v>
      </c>
      <c r="D115" s="18">
        <f>'Sampling Data'!C115</f>
        <v>0</v>
      </c>
      <c r="E115" s="19">
        <f>'Sampling Data'!D115</f>
        <v>0</v>
      </c>
      <c r="F115" s="19">
        <f>'Sampling Data'!E115</f>
        <v>0</v>
      </c>
      <c r="G115" s="19">
        <f>'Sampling Data'!F115</f>
        <v>0</v>
      </c>
      <c r="H115" s="19">
        <f>'Sampling Data'!G115</f>
        <v>0</v>
      </c>
      <c r="I115" s="19">
        <f>'Sampling Data'!H115</f>
        <v>0</v>
      </c>
      <c r="J115" s="19">
        <f>'Sampling Data'!I115</f>
        <v>0</v>
      </c>
      <c r="K115" s="19">
        <f>'Sampling Data'!J115</f>
        <v>0</v>
      </c>
      <c r="L115" s="19">
        <f>'Sampling Data'!K115</f>
        <v>0</v>
      </c>
      <c r="M115" s="19">
        <f>'Sampling Data'!L115</f>
        <v>0</v>
      </c>
      <c r="N115" s="19">
        <f>'Sampling Data'!M115</f>
        <v>0</v>
      </c>
      <c r="O115" s="18">
        <f>'Sampling Data'!N115</f>
        <v>0</v>
      </c>
      <c r="P115" s="18">
        <f>'Sampling Data'!O115</f>
        <v>0</v>
      </c>
      <c r="Q115" s="18">
        <f>'Sampling Data'!P115</f>
        <v>2</v>
      </c>
      <c r="R115" s="18">
        <f>'Sampling Data'!AJ115</f>
        <v>0</v>
      </c>
      <c r="S115" s="112"/>
      <c r="T115" s="112"/>
      <c r="U115" s="113"/>
      <c r="V115" s="113"/>
      <c r="W115" s="112"/>
      <c r="X115" s="112"/>
      <c r="Y115" s="112"/>
      <c r="Z115" s="112"/>
      <c r="AA115" s="15"/>
      <c r="AB115" s="15"/>
      <c r="AC115" s="15"/>
      <c r="AD115" s="15"/>
      <c r="AE115" s="114" t="str">
        <f>IF(NOT(ISBLANK(Audit[[#This Row],[Audit Winning Candidate]])), Audit[[#This Row],[Audit Winning Candidate]]-Audit[[#This Row],[Winning Candidate]], "")</f>
        <v/>
      </c>
      <c r="AF115" s="18" t="str">
        <f>IF(NOT(ISBLANK(Audit[[#This Row],[Audit Losing Candidate]])), Audit[[#This Row],[Audit Losing Candidate]]-Audit[[#This Row],[Losing Candidate]], "")</f>
        <v/>
      </c>
      <c r="AG115" s="18" t="str">
        <f>IF(NOT(ISBLANK(Audit[[#This Row],[Audit Candidate 3]])), Audit[[#This Row],[Audit Candidate 3]]-Audit[[#This Row],[Candidate 3]], "")</f>
        <v/>
      </c>
      <c r="AH115" s="18" t="str">
        <f>IF(NOT(ISBLANK(Audit[[#This Row],[Audit Candidate 4]])),Audit[[#This Row],[Audit Candidate 4]]-Audit[[#This Row],[Candidate 4]], "")</f>
        <v/>
      </c>
      <c r="AI115" s="18" t="str">
        <f>IF(NOT(ISBLANK(Audit[[#This Row],[Audit Candidate 5]])), Audit[[#This Row],[Audit Candidate 5]]-Audit[[#This Row],[Candidate 5]], "")</f>
        <v/>
      </c>
      <c r="AJ115" s="18" t="str">
        <f>IF(NOT(ISBLANK(Audit[[#This Row],[Audit Candidate 6]])), Audit[[#This Row],[Audit Candidate 6]]-Audit[[#This Row],[Candidate 6]], "")</f>
        <v/>
      </c>
      <c r="AK115" s="18" t="str">
        <f>IF(NOT(ISBLANK(Audit[[#This Row],[Audit Candidate 7]])), Audit[[#This Row],[Audit Candidate 7]]-Audit[[#This Row],[Candidate 7]], "")</f>
        <v/>
      </c>
      <c r="AL115" s="18" t="str">
        <f>IF(NOT(ISBLANK(Audit[[#This Row],[Audit Candidate 8]])), Audit[[#This Row],[Audit Candidate 8]]-Audit[[#This Row],[Candidate 8]], "")</f>
        <v/>
      </c>
      <c r="AM115" s="18" t="str">
        <f>IF(NOT(ISBLANK(Audit[[#This Row],[Audit Candidate 9]])), Audit[[#This Row],[Audit Candidate 9]]-Audit[[#This Row],[Candidate 9]], "")</f>
        <v/>
      </c>
      <c r="AN115" s="18" t="str">
        <f>IF(NOT(ISBLANK(Audit[[#This Row],[Audit Candidate 10]])), Audit[[#This Row],[Audit Candidate 10]]-Audit[[#This Row],[Candidate 10]], "")</f>
        <v/>
      </c>
      <c r="AO115" s="18" t="str">
        <f>IF(NOT(ISBLANK(Audit[[#This Row],[Audit Candidate 11]])), Audit[[#This Row],[Audit Candidate 11]]-Audit[[#This Row],[Candidate 11]], "")</f>
        <v/>
      </c>
      <c r="AP115" s="18" t="str">
        <f>IF(NOT(ISBLANK(Audit[[#This Row],[Audit Candidate 12]])), Audit[[#This Row],[Audit Candidate 12]]-Audit[[#This Row],[Candidate 12]], "")</f>
        <v/>
      </c>
      <c r="AQ115" s="18">
        <f>SUMIF(Audit[[#This Row],[Difference Winner]:[Difference Candidate 12]], "&gt;0")</f>
        <v>0</v>
      </c>
      <c r="AR115" s="18">
        <f>SUM(Audit[[#This Row],[Difference Winner]:[Difference Candidate 12]])</f>
        <v>0</v>
      </c>
      <c r="AS115" s="18">
        <f>IF(Audit[[#This Row],[Times p Drawn - With Replacement]]&gt;0, IF(Audit[[#This Row],[Canceled Differences]]&lt;0, Audit[[#This Row],[Max Differences]]+ABS(Audit[[#This Row],[Canceled Differences]]), Audit[[#This Row],[Max Differences]]), 0)</f>
        <v>0</v>
      </c>
      <c r="AT115" s="18">
        <f>'Sampling Data'!AB115</f>
        <v>1.2563997864120362E-4</v>
      </c>
      <c r="AU115" s="18">
        <f>IF(
      SUM(Audit[[#This Row],[Audit Losing Candidate]:[Audit Candidate 12]])
      &lt;&gt;0,
      (Audit[[#This Row],[Winning Candidate]]-Audit[[#This Row],[Losing Candidate]]-(Audit[[#This Row],[Audit Winning Candidate]]-Audit[[#This Row],[Audit Losing Candidate]]))/(Audit[[#Totals],[Winning Candidate]]-Audit[[#Totals],[Losing Candidate]]),
      0
)</f>
        <v>0</v>
      </c>
      <c r="AV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8">
        <f>IF(Audit[[#This Row],[Max Relative Error (ep)]] = 0, 0, Audit[[#This Row],[Max Relative Error (ep)]]/Audit[[#This Row],[Error Bound (up) - Max. possible relative overstatement]])</f>
        <v>0</v>
      </c>
      <c r="BH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5" s="18">
        <f t="shared" si="2"/>
        <v>1</v>
      </c>
      <c r="BJ115" s="18">
        <f>PRODUCT($BI$5:BI115)</f>
        <v>1</v>
      </c>
      <c r="BK115" s="20">
        <f>1 - Audit[[#This Row],[K-M P Value]]</f>
        <v>0</v>
      </c>
      <c r="BL115" s="18" t="str">
        <f>IF(Audit[[#This Row],[K-M P Value]]&gt;1-'General Info'!$B$12,"Continue", "Stop")</f>
        <v>Continue</v>
      </c>
      <c r="BM115" s="23" t="b">
        <f>IF(Audit[[#This Row],[Status - Continue or stop audit]] = "Continue", TRUE, IF(BL114 = "Continue", TRUE, FALSE))</f>
        <v>1</v>
      </c>
      <c r="BN115" s="23"/>
    </row>
    <row r="116" spans="1:66" ht="15" hidden="1" customHeight="1" x14ac:dyDescent="0.35">
      <c r="A116" s="18" t="str">
        <f>'Sampling Data'!AI116</f>
        <v/>
      </c>
      <c r="B116" s="18" t="str">
        <f>'Sampling Data'!A116</f>
        <v>1702 CIN 17-B   (AV)</v>
      </c>
      <c r="C116" s="18">
        <f>'Sampling Data'!B116</f>
        <v>2</v>
      </c>
      <c r="D116" s="18">
        <f>'Sampling Data'!C116</f>
        <v>0</v>
      </c>
      <c r="E116" s="19">
        <f>'Sampling Data'!D116</f>
        <v>0</v>
      </c>
      <c r="F116" s="19">
        <f>'Sampling Data'!E116</f>
        <v>0</v>
      </c>
      <c r="G116" s="19">
        <f>'Sampling Data'!F116</f>
        <v>0</v>
      </c>
      <c r="H116" s="19">
        <f>'Sampling Data'!G116</f>
        <v>0</v>
      </c>
      <c r="I116" s="19">
        <f>'Sampling Data'!H116</f>
        <v>0</v>
      </c>
      <c r="J116" s="19">
        <f>'Sampling Data'!I116</f>
        <v>0</v>
      </c>
      <c r="K116" s="19">
        <f>'Sampling Data'!J116</f>
        <v>0</v>
      </c>
      <c r="L116" s="19">
        <f>'Sampling Data'!K116</f>
        <v>0</v>
      </c>
      <c r="M116" s="19">
        <f>'Sampling Data'!L116</f>
        <v>0</v>
      </c>
      <c r="N116" s="19">
        <f>'Sampling Data'!M116</f>
        <v>0</v>
      </c>
      <c r="O116" s="18">
        <f>'Sampling Data'!N116</f>
        <v>0</v>
      </c>
      <c r="P116" s="18">
        <f>'Sampling Data'!O116</f>
        <v>1</v>
      </c>
      <c r="Q116" s="18">
        <f>'Sampling Data'!P116</f>
        <v>3</v>
      </c>
      <c r="R116" s="18">
        <f>'Sampling Data'!AJ116</f>
        <v>0</v>
      </c>
      <c r="S116" s="112"/>
      <c r="T116" s="112"/>
      <c r="U116" s="113"/>
      <c r="V116" s="113"/>
      <c r="W116" s="112"/>
      <c r="X116" s="112"/>
      <c r="Y116" s="112"/>
      <c r="Z116" s="112"/>
      <c r="AA116" s="15"/>
      <c r="AB116" s="15"/>
      <c r="AC116" s="15"/>
      <c r="AD116" s="15"/>
      <c r="AE116" s="114" t="str">
        <f>IF(NOT(ISBLANK(Audit[[#This Row],[Audit Winning Candidate]])), Audit[[#This Row],[Audit Winning Candidate]]-Audit[[#This Row],[Winning Candidate]], "")</f>
        <v/>
      </c>
      <c r="AF116" s="18" t="str">
        <f>IF(NOT(ISBLANK(Audit[[#This Row],[Audit Losing Candidate]])), Audit[[#This Row],[Audit Losing Candidate]]-Audit[[#This Row],[Losing Candidate]], "")</f>
        <v/>
      </c>
      <c r="AG116" s="18" t="str">
        <f>IF(NOT(ISBLANK(Audit[[#This Row],[Audit Candidate 3]])), Audit[[#This Row],[Audit Candidate 3]]-Audit[[#This Row],[Candidate 3]], "")</f>
        <v/>
      </c>
      <c r="AH116" s="18" t="str">
        <f>IF(NOT(ISBLANK(Audit[[#This Row],[Audit Candidate 4]])),Audit[[#This Row],[Audit Candidate 4]]-Audit[[#This Row],[Candidate 4]], "")</f>
        <v/>
      </c>
      <c r="AI116" s="18" t="str">
        <f>IF(NOT(ISBLANK(Audit[[#This Row],[Audit Candidate 5]])), Audit[[#This Row],[Audit Candidate 5]]-Audit[[#This Row],[Candidate 5]], "")</f>
        <v/>
      </c>
      <c r="AJ116" s="18" t="str">
        <f>IF(NOT(ISBLANK(Audit[[#This Row],[Audit Candidate 6]])), Audit[[#This Row],[Audit Candidate 6]]-Audit[[#This Row],[Candidate 6]], "")</f>
        <v/>
      </c>
      <c r="AK116" s="18" t="str">
        <f>IF(NOT(ISBLANK(Audit[[#This Row],[Audit Candidate 7]])), Audit[[#This Row],[Audit Candidate 7]]-Audit[[#This Row],[Candidate 7]], "")</f>
        <v/>
      </c>
      <c r="AL116" s="18" t="str">
        <f>IF(NOT(ISBLANK(Audit[[#This Row],[Audit Candidate 8]])), Audit[[#This Row],[Audit Candidate 8]]-Audit[[#This Row],[Candidate 8]], "")</f>
        <v/>
      </c>
      <c r="AM116" s="18" t="str">
        <f>IF(NOT(ISBLANK(Audit[[#This Row],[Audit Candidate 9]])), Audit[[#This Row],[Audit Candidate 9]]-Audit[[#This Row],[Candidate 9]], "")</f>
        <v/>
      </c>
      <c r="AN116" s="18" t="str">
        <f>IF(NOT(ISBLANK(Audit[[#This Row],[Audit Candidate 10]])), Audit[[#This Row],[Audit Candidate 10]]-Audit[[#This Row],[Candidate 10]], "")</f>
        <v/>
      </c>
      <c r="AO116" s="18" t="str">
        <f>IF(NOT(ISBLANK(Audit[[#This Row],[Audit Candidate 11]])), Audit[[#This Row],[Audit Candidate 11]]-Audit[[#This Row],[Candidate 11]], "")</f>
        <v/>
      </c>
      <c r="AP116" s="18" t="str">
        <f>IF(NOT(ISBLANK(Audit[[#This Row],[Audit Candidate 12]])), Audit[[#This Row],[Audit Candidate 12]]-Audit[[#This Row],[Candidate 12]], "")</f>
        <v/>
      </c>
      <c r="AQ116" s="18">
        <f>SUMIF(Audit[[#This Row],[Difference Winner]:[Difference Candidate 12]], "&gt;0")</f>
        <v>0</v>
      </c>
      <c r="AR116" s="18">
        <f>SUM(Audit[[#This Row],[Difference Winner]:[Difference Candidate 12]])</f>
        <v>0</v>
      </c>
      <c r="AS116" s="18">
        <f>IF(Audit[[#This Row],[Times p Drawn - With Replacement]]&gt;0, IF(Audit[[#This Row],[Canceled Differences]]&lt;0, Audit[[#This Row],[Max Differences]]+ABS(Audit[[#This Row],[Canceled Differences]]), Audit[[#This Row],[Max Differences]]), 0)</f>
        <v>0</v>
      </c>
      <c r="AT116" s="18">
        <f>'Sampling Data'!AB116</f>
        <v>1.5704997330150453E-4</v>
      </c>
      <c r="AU116" s="18">
        <f>IF(
      SUM(Audit[[#This Row],[Audit Losing Candidate]:[Audit Candidate 12]])
      &lt;&gt;0,
      (Audit[[#This Row],[Winning Candidate]]-Audit[[#This Row],[Losing Candidate]]-(Audit[[#This Row],[Audit Winning Candidate]]-Audit[[#This Row],[Audit Losing Candidate]]))/(Audit[[#Totals],[Winning Candidate]]-Audit[[#Totals],[Losing Candidate]]),
      0
)</f>
        <v>0</v>
      </c>
      <c r="AV1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8">
        <f>IF(Audit[[#This Row],[Max Relative Error (ep)]] = 0, 0, Audit[[#This Row],[Max Relative Error (ep)]]/Audit[[#This Row],[Error Bound (up) - Max. possible relative overstatement]])</f>
        <v>0</v>
      </c>
      <c r="BH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6" s="18">
        <f t="shared" si="2"/>
        <v>1</v>
      </c>
      <c r="BJ116" s="18">
        <f>PRODUCT($BI$5:BI116)</f>
        <v>1</v>
      </c>
      <c r="BK116" s="20">
        <f>1 - Audit[[#This Row],[K-M P Value]]</f>
        <v>0</v>
      </c>
      <c r="BL116" s="18" t="str">
        <f>IF(Audit[[#This Row],[K-M P Value]]&gt;1-'General Info'!$B$12,"Continue", "Stop")</f>
        <v>Continue</v>
      </c>
      <c r="BM116" s="23" t="b">
        <f>IF(Audit[[#This Row],[Status - Continue or stop audit]] = "Continue", TRUE, IF(BL115 = "Continue", TRUE, FALSE))</f>
        <v>1</v>
      </c>
      <c r="BN116" s="23"/>
    </row>
    <row r="117" spans="1:66" ht="15" hidden="1" customHeight="1" x14ac:dyDescent="0.35">
      <c r="A117" s="18" t="str">
        <f>'Sampling Data'!AI117</f>
        <v/>
      </c>
      <c r="B117" s="18" t="str">
        <f>'Sampling Data'!A117</f>
        <v>1703 CIN 17-C   (AV)</v>
      </c>
      <c r="C117" s="18">
        <f>'Sampling Data'!B117</f>
        <v>0</v>
      </c>
      <c r="D117" s="18">
        <f>'Sampling Data'!C117</f>
        <v>0</v>
      </c>
      <c r="E117" s="19">
        <f>'Sampling Data'!D117</f>
        <v>0</v>
      </c>
      <c r="F117" s="19">
        <f>'Sampling Data'!E117</f>
        <v>0</v>
      </c>
      <c r="G117" s="19">
        <f>'Sampling Data'!F117</f>
        <v>0</v>
      </c>
      <c r="H117" s="19">
        <f>'Sampling Data'!G117</f>
        <v>0</v>
      </c>
      <c r="I117" s="19">
        <f>'Sampling Data'!H117</f>
        <v>0</v>
      </c>
      <c r="J117" s="19">
        <f>'Sampling Data'!I117</f>
        <v>0</v>
      </c>
      <c r="K117" s="19">
        <f>'Sampling Data'!J117</f>
        <v>0</v>
      </c>
      <c r="L117" s="19">
        <f>'Sampling Data'!K117</f>
        <v>0</v>
      </c>
      <c r="M117" s="19">
        <f>'Sampling Data'!L117</f>
        <v>0</v>
      </c>
      <c r="N117" s="19">
        <f>'Sampling Data'!M117</f>
        <v>0</v>
      </c>
      <c r="O117" s="18">
        <f>'Sampling Data'!N117</f>
        <v>0</v>
      </c>
      <c r="P117" s="18">
        <f>'Sampling Data'!O117</f>
        <v>0</v>
      </c>
      <c r="Q117" s="18">
        <f>'Sampling Data'!P117</f>
        <v>0</v>
      </c>
      <c r="R117" s="18">
        <f>'Sampling Data'!AJ117</f>
        <v>0</v>
      </c>
      <c r="S117" s="112"/>
      <c r="T117" s="112"/>
      <c r="U117" s="113"/>
      <c r="V117" s="113"/>
      <c r="W117" s="112"/>
      <c r="X117" s="112"/>
      <c r="Y117" s="112"/>
      <c r="Z117" s="112"/>
      <c r="AA117" s="15"/>
      <c r="AB117" s="15"/>
      <c r="AC117" s="15"/>
      <c r="AD117" s="15"/>
      <c r="AE117" s="114" t="str">
        <f>IF(NOT(ISBLANK(Audit[[#This Row],[Audit Winning Candidate]])), Audit[[#This Row],[Audit Winning Candidate]]-Audit[[#This Row],[Winning Candidate]], "")</f>
        <v/>
      </c>
      <c r="AF117" s="18" t="str">
        <f>IF(NOT(ISBLANK(Audit[[#This Row],[Audit Losing Candidate]])), Audit[[#This Row],[Audit Losing Candidate]]-Audit[[#This Row],[Losing Candidate]], "")</f>
        <v/>
      </c>
      <c r="AG117" s="18" t="str">
        <f>IF(NOT(ISBLANK(Audit[[#This Row],[Audit Candidate 3]])), Audit[[#This Row],[Audit Candidate 3]]-Audit[[#This Row],[Candidate 3]], "")</f>
        <v/>
      </c>
      <c r="AH117" s="18" t="str">
        <f>IF(NOT(ISBLANK(Audit[[#This Row],[Audit Candidate 4]])),Audit[[#This Row],[Audit Candidate 4]]-Audit[[#This Row],[Candidate 4]], "")</f>
        <v/>
      </c>
      <c r="AI117" s="18" t="str">
        <f>IF(NOT(ISBLANK(Audit[[#This Row],[Audit Candidate 5]])), Audit[[#This Row],[Audit Candidate 5]]-Audit[[#This Row],[Candidate 5]], "")</f>
        <v/>
      </c>
      <c r="AJ117" s="18" t="str">
        <f>IF(NOT(ISBLANK(Audit[[#This Row],[Audit Candidate 6]])), Audit[[#This Row],[Audit Candidate 6]]-Audit[[#This Row],[Candidate 6]], "")</f>
        <v/>
      </c>
      <c r="AK117" s="18" t="str">
        <f>IF(NOT(ISBLANK(Audit[[#This Row],[Audit Candidate 7]])), Audit[[#This Row],[Audit Candidate 7]]-Audit[[#This Row],[Candidate 7]], "")</f>
        <v/>
      </c>
      <c r="AL117" s="18" t="str">
        <f>IF(NOT(ISBLANK(Audit[[#This Row],[Audit Candidate 8]])), Audit[[#This Row],[Audit Candidate 8]]-Audit[[#This Row],[Candidate 8]], "")</f>
        <v/>
      </c>
      <c r="AM117" s="18" t="str">
        <f>IF(NOT(ISBLANK(Audit[[#This Row],[Audit Candidate 9]])), Audit[[#This Row],[Audit Candidate 9]]-Audit[[#This Row],[Candidate 9]], "")</f>
        <v/>
      </c>
      <c r="AN117" s="18" t="str">
        <f>IF(NOT(ISBLANK(Audit[[#This Row],[Audit Candidate 10]])), Audit[[#This Row],[Audit Candidate 10]]-Audit[[#This Row],[Candidate 10]], "")</f>
        <v/>
      </c>
      <c r="AO117" s="18" t="str">
        <f>IF(NOT(ISBLANK(Audit[[#This Row],[Audit Candidate 11]])), Audit[[#This Row],[Audit Candidate 11]]-Audit[[#This Row],[Candidate 11]], "")</f>
        <v/>
      </c>
      <c r="AP117" s="18" t="str">
        <f>IF(NOT(ISBLANK(Audit[[#This Row],[Audit Candidate 12]])), Audit[[#This Row],[Audit Candidate 12]]-Audit[[#This Row],[Candidate 12]], "")</f>
        <v/>
      </c>
      <c r="AQ117" s="18">
        <f>SUMIF(Audit[[#This Row],[Difference Winner]:[Difference Candidate 12]], "&gt;0")</f>
        <v>0</v>
      </c>
      <c r="AR117" s="18">
        <f>SUM(Audit[[#This Row],[Difference Winner]:[Difference Candidate 12]])</f>
        <v>0</v>
      </c>
      <c r="AS117" s="18">
        <f>IF(Audit[[#This Row],[Times p Drawn - With Replacement]]&gt;0, IF(Audit[[#This Row],[Canceled Differences]]&lt;0, Audit[[#This Row],[Max Differences]]+ABS(Audit[[#This Row],[Canceled Differences]]), Audit[[#This Row],[Max Differences]]), 0)</f>
        <v>0</v>
      </c>
      <c r="AT117" s="18">
        <f>'Sampling Data'!AB117</f>
        <v>0</v>
      </c>
      <c r="AU117" s="18">
        <f>IF(
      SUM(Audit[[#This Row],[Audit Losing Candidate]:[Audit Candidate 12]])
      &lt;&gt;0,
      (Audit[[#This Row],[Winning Candidate]]-Audit[[#This Row],[Losing Candidate]]-(Audit[[#This Row],[Audit Winning Candidate]]-Audit[[#This Row],[Audit Losing Candidate]]))/(Audit[[#Totals],[Winning Candidate]]-Audit[[#Totals],[Losing Candidate]]),
      0
)</f>
        <v>0</v>
      </c>
      <c r="AV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8">
        <f>IF(Audit[[#This Row],[Max Relative Error (ep)]] = 0, 0, Audit[[#This Row],[Max Relative Error (ep)]]/Audit[[#This Row],[Error Bound (up) - Max. possible relative overstatement]])</f>
        <v>0</v>
      </c>
      <c r="BH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7" s="18">
        <f t="shared" si="2"/>
        <v>1</v>
      </c>
      <c r="BJ117" s="18">
        <f>PRODUCT($BI$5:BI117)</f>
        <v>1</v>
      </c>
      <c r="BK117" s="20">
        <f>1 - Audit[[#This Row],[K-M P Value]]</f>
        <v>0</v>
      </c>
      <c r="BL117" s="18" t="str">
        <f>IF(Audit[[#This Row],[K-M P Value]]&gt;1-'General Info'!$B$12,"Continue", "Stop")</f>
        <v>Continue</v>
      </c>
      <c r="BM117" s="23" t="b">
        <f>IF(Audit[[#This Row],[Status - Continue or stop audit]] = "Continue", TRUE, IF(BL116 = "Continue", TRUE, FALSE))</f>
        <v>1</v>
      </c>
      <c r="BN117" s="23"/>
    </row>
    <row r="118" spans="1:66" ht="15" hidden="1" customHeight="1" x14ac:dyDescent="0.35">
      <c r="A118" s="18" t="str">
        <f>'Sampling Data'!AI118</f>
        <v/>
      </c>
      <c r="B118" s="18" t="str">
        <f>'Sampling Data'!A118</f>
        <v>1801 CIN 18-A   (AV)</v>
      </c>
      <c r="C118" s="18">
        <f>'Sampling Data'!B118</f>
        <v>1</v>
      </c>
      <c r="D118" s="18">
        <f>'Sampling Data'!C118</f>
        <v>0</v>
      </c>
      <c r="E118" s="19">
        <f>'Sampling Data'!D118</f>
        <v>0</v>
      </c>
      <c r="F118" s="19">
        <f>'Sampling Data'!E118</f>
        <v>0</v>
      </c>
      <c r="G118" s="19">
        <f>'Sampling Data'!F118</f>
        <v>0</v>
      </c>
      <c r="H118" s="19">
        <f>'Sampling Data'!G118</f>
        <v>0</v>
      </c>
      <c r="I118" s="19">
        <f>'Sampling Data'!H118</f>
        <v>0</v>
      </c>
      <c r="J118" s="19">
        <f>'Sampling Data'!I118</f>
        <v>0</v>
      </c>
      <c r="K118" s="19">
        <f>'Sampling Data'!J118</f>
        <v>0</v>
      </c>
      <c r="L118" s="19">
        <f>'Sampling Data'!K118</f>
        <v>0</v>
      </c>
      <c r="M118" s="19">
        <f>'Sampling Data'!L118</f>
        <v>0</v>
      </c>
      <c r="N118" s="19">
        <f>'Sampling Data'!M118</f>
        <v>0</v>
      </c>
      <c r="O118" s="18">
        <f>'Sampling Data'!N118</f>
        <v>0</v>
      </c>
      <c r="P118" s="18">
        <f>'Sampling Data'!O118</f>
        <v>0</v>
      </c>
      <c r="Q118" s="18">
        <f>'Sampling Data'!P118</f>
        <v>1</v>
      </c>
      <c r="R118" s="18">
        <f>'Sampling Data'!AJ118</f>
        <v>0</v>
      </c>
      <c r="S118" s="112"/>
      <c r="T118" s="112"/>
      <c r="U118" s="113"/>
      <c r="V118" s="113"/>
      <c r="W118" s="112"/>
      <c r="X118" s="112"/>
      <c r="Y118" s="112"/>
      <c r="Z118" s="112"/>
      <c r="AA118" s="15"/>
      <c r="AB118" s="15"/>
      <c r="AC118" s="15"/>
      <c r="AD118" s="15"/>
      <c r="AE118" s="114" t="str">
        <f>IF(NOT(ISBLANK(Audit[[#This Row],[Audit Winning Candidate]])), Audit[[#This Row],[Audit Winning Candidate]]-Audit[[#This Row],[Winning Candidate]], "")</f>
        <v/>
      </c>
      <c r="AF118" s="18" t="str">
        <f>IF(NOT(ISBLANK(Audit[[#This Row],[Audit Losing Candidate]])), Audit[[#This Row],[Audit Losing Candidate]]-Audit[[#This Row],[Losing Candidate]], "")</f>
        <v/>
      </c>
      <c r="AG118" s="18" t="str">
        <f>IF(NOT(ISBLANK(Audit[[#This Row],[Audit Candidate 3]])), Audit[[#This Row],[Audit Candidate 3]]-Audit[[#This Row],[Candidate 3]], "")</f>
        <v/>
      </c>
      <c r="AH118" s="18" t="str">
        <f>IF(NOT(ISBLANK(Audit[[#This Row],[Audit Candidate 4]])),Audit[[#This Row],[Audit Candidate 4]]-Audit[[#This Row],[Candidate 4]], "")</f>
        <v/>
      </c>
      <c r="AI118" s="18" t="str">
        <f>IF(NOT(ISBLANK(Audit[[#This Row],[Audit Candidate 5]])), Audit[[#This Row],[Audit Candidate 5]]-Audit[[#This Row],[Candidate 5]], "")</f>
        <v/>
      </c>
      <c r="AJ118" s="18" t="str">
        <f>IF(NOT(ISBLANK(Audit[[#This Row],[Audit Candidate 6]])), Audit[[#This Row],[Audit Candidate 6]]-Audit[[#This Row],[Candidate 6]], "")</f>
        <v/>
      </c>
      <c r="AK118" s="18" t="str">
        <f>IF(NOT(ISBLANK(Audit[[#This Row],[Audit Candidate 7]])), Audit[[#This Row],[Audit Candidate 7]]-Audit[[#This Row],[Candidate 7]], "")</f>
        <v/>
      </c>
      <c r="AL118" s="18" t="str">
        <f>IF(NOT(ISBLANK(Audit[[#This Row],[Audit Candidate 8]])), Audit[[#This Row],[Audit Candidate 8]]-Audit[[#This Row],[Candidate 8]], "")</f>
        <v/>
      </c>
      <c r="AM118" s="18" t="str">
        <f>IF(NOT(ISBLANK(Audit[[#This Row],[Audit Candidate 9]])), Audit[[#This Row],[Audit Candidate 9]]-Audit[[#This Row],[Candidate 9]], "")</f>
        <v/>
      </c>
      <c r="AN118" s="18" t="str">
        <f>IF(NOT(ISBLANK(Audit[[#This Row],[Audit Candidate 10]])), Audit[[#This Row],[Audit Candidate 10]]-Audit[[#This Row],[Candidate 10]], "")</f>
        <v/>
      </c>
      <c r="AO118" s="18" t="str">
        <f>IF(NOT(ISBLANK(Audit[[#This Row],[Audit Candidate 11]])), Audit[[#This Row],[Audit Candidate 11]]-Audit[[#This Row],[Candidate 11]], "")</f>
        <v/>
      </c>
      <c r="AP118" s="18" t="str">
        <f>IF(NOT(ISBLANK(Audit[[#This Row],[Audit Candidate 12]])), Audit[[#This Row],[Audit Candidate 12]]-Audit[[#This Row],[Candidate 12]], "")</f>
        <v/>
      </c>
      <c r="AQ118" s="18">
        <f>SUMIF(Audit[[#This Row],[Difference Winner]:[Difference Candidate 12]], "&gt;0")</f>
        <v>0</v>
      </c>
      <c r="AR118" s="18">
        <f>SUM(Audit[[#This Row],[Difference Winner]:[Difference Candidate 12]])</f>
        <v>0</v>
      </c>
      <c r="AS118" s="18">
        <f>IF(Audit[[#This Row],[Times p Drawn - With Replacement]]&gt;0, IF(Audit[[#This Row],[Canceled Differences]]&lt;0, Audit[[#This Row],[Max Differences]]+ABS(Audit[[#This Row],[Canceled Differences]]), Audit[[#This Row],[Max Differences]]), 0)</f>
        <v>0</v>
      </c>
      <c r="AT118" s="18">
        <f>'Sampling Data'!AB118</f>
        <v>6.2819989320601809E-5</v>
      </c>
      <c r="AU118" s="18">
        <f>IF(
      SUM(Audit[[#This Row],[Audit Losing Candidate]:[Audit Candidate 12]])
      &lt;&gt;0,
      (Audit[[#This Row],[Winning Candidate]]-Audit[[#This Row],[Losing Candidate]]-(Audit[[#This Row],[Audit Winning Candidate]]-Audit[[#This Row],[Audit Losing Candidate]]))/(Audit[[#Totals],[Winning Candidate]]-Audit[[#Totals],[Losing Candidate]]),
      0
)</f>
        <v>0</v>
      </c>
      <c r="AV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8">
        <f>IF(Audit[[#This Row],[Max Relative Error (ep)]] = 0, 0, Audit[[#This Row],[Max Relative Error (ep)]]/Audit[[#This Row],[Error Bound (up) - Max. possible relative overstatement]])</f>
        <v>0</v>
      </c>
      <c r="BH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8" s="18">
        <f t="shared" si="2"/>
        <v>1</v>
      </c>
      <c r="BJ118" s="18">
        <f>PRODUCT($BI$5:BI118)</f>
        <v>1</v>
      </c>
      <c r="BK118" s="20">
        <f>1 - Audit[[#This Row],[K-M P Value]]</f>
        <v>0</v>
      </c>
      <c r="BL118" s="18" t="str">
        <f>IF(Audit[[#This Row],[K-M P Value]]&gt;1-'General Info'!$B$12,"Continue", "Stop")</f>
        <v>Continue</v>
      </c>
      <c r="BM118" s="23" t="b">
        <f>IF(Audit[[#This Row],[Status - Continue or stop audit]] = "Continue", TRUE, IF(BL117 = "Continue", TRUE, FALSE))</f>
        <v>1</v>
      </c>
      <c r="BN118" s="23"/>
    </row>
    <row r="119" spans="1:66" ht="15" hidden="1" customHeight="1" x14ac:dyDescent="0.35">
      <c r="A119" s="18" t="str">
        <f>'Sampling Data'!AI119</f>
        <v/>
      </c>
      <c r="B119" s="18" t="str">
        <f>'Sampling Data'!A119</f>
        <v>1802 CIN 18-B   (AV)</v>
      </c>
      <c r="C119" s="18">
        <f>'Sampling Data'!B119</f>
        <v>1</v>
      </c>
      <c r="D119" s="18">
        <f>'Sampling Data'!C119</f>
        <v>0</v>
      </c>
      <c r="E119" s="19">
        <f>'Sampling Data'!D119</f>
        <v>0</v>
      </c>
      <c r="F119" s="19">
        <f>'Sampling Data'!E119</f>
        <v>0</v>
      </c>
      <c r="G119" s="19">
        <f>'Sampling Data'!F119</f>
        <v>0</v>
      </c>
      <c r="H119" s="19">
        <f>'Sampling Data'!G119</f>
        <v>0</v>
      </c>
      <c r="I119" s="19">
        <f>'Sampling Data'!H119</f>
        <v>0</v>
      </c>
      <c r="J119" s="19">
        <f>'Sampling Data'!I119</f>
        <v>0</v>
      </c>
      <c r="K119" s="19">
        <f>'Sampling Data'!J119</f>
        <v>0</v>
      </c>
      <c r="L119" s="19">
        <f>'Sampling Data'!K119</f>
        <v>0</v>
      </c>
      <c r="M119" s="19">
        <f>'Sampling Data'!L119</f>
        <v>0</v>
      </c>
      <c r="N119" s="19">
        <f>'Sampling Data'!M119</f>
        <v>0</v>
      </c>
      <c r="O119" s="18">
        <f>'Sampling Data'!N119</f>
        <v>0</v>
      </c>
      <c r="P119" s="18">
        <f>'Sampling Data'!O119</f>
        <v>0</v>
      </c>
      <c r="Q119" s="18">
        <f>'Sampling Data'!P119</f>
        <v>1</v>
      </c>
      <c r="R119" s="18">
        <f>'Sampling Data'!AJ119</f>
        <v>0</v>
      </c>
      <c r="S119" s="112"/>
      <c r="T119" s="112"/>
      <c r="U119" s="113"/>
      <c r="V119" s="113"/>
      <c r="W119" s="112"/>
      <c r="X119" s="112"/>
      <c r="Y119" s="112"/>
      <c r="Z119" s="112"/>
      <c r="AA119" s="15"/>
      <c r="AB119" s="15"/>
      <c r="AC119" s="15"/>
      <c r="AD119" s="15"/>
      <c r="AE119" s="114" t="str">
        <f>IF(NOT(ISBLANK(Audit[[#This Row],[Audit Winning Candidate]])), Audit[[#This Row],[Audit Winning Candidate]]-Audit[[#This Row],[Winning Candidate]], "")</f>
        <v/>
      </c>
      <c r="AF119" s="18" t="str">
        <f>IF(NOT(ISBLANK(Audit[[#This Row],[Audit Losing Candidate]])), Audit[[#This Row],[Audit Losing Candidate]]-Audit[[#This Row],[Losing Candidate]], "")</f>
        <v/>
      </c>
      <c r="AG119" s="18" t="str">
        <f>IF(NOT(ISBLANK(Audit[[#This Row],[Audit Candidate 3]])), Audit[[#This Row],[Audit Candidate 3]]-Audit[[#This Row],[Candidate 3]], "")</f>
        <v/>
      </c>
      <c r="AH119" s="18" t="str">
        <f>IF(NOT(ISBLANK(Audit[[#This Row],[Audit Candidate 4]])),Audit[[#This Row],[Audit Candidate 4]]-Audit[[#This Row],[Candidate 4]], "")</f>
        <v/>
      </c>
      <c r="AI119" s="18" t="str">
        <f>IF(NOT(ISBLANK(Audit[[#This Row],[Audit Candidate 5]])), Audit[[#This Row],[Audit Candidate 5]]-Audit[[#This Row],[Candidate 5]], "")</f>
        <v/>
      </c>
      <c r="AJ119" s="18" t="str">
        <f>IF(NOT(ISBLANK(Audit[[#This Row],[Audit Candidate 6]])), Audit[[#This Row],[Audit Candidate 6]]-Audit[[#This Row],[Candidate 6]], "")</f>
        <v/>
      </c>
      <c r="AK119" s="18" t="str">
        <f>IF(NOT(ISBLANK(Audit[[#This Row],[Audit Candidate 7]])), Audit[[#This Row],[Audit Candidate 7]]-Audit[[#This Row],[Candidate 7]], "")</f>
        <v/>
      </c>
      <c r="AL119" s="18" t="str">
        <f>IF(NOT(ISBLANK(Audit[[#This Row],[Audit Candidate 8]])), Audit[[#This Row],[Audit Candidate 8]]-Audit[[#This Row],[Candidate 8]], "")</f>
        <v/>
      </c>
      <c r="AM119" s="18" t="str">
        <f>IF(NOT(ISBLANK(Audit[[#This Row],[Audit Candidate 9]])), Audit[[#This Row],[Audit Candidate 9]]-Audit[[#This Row],[Candidate 9]], "")</f>
        <v/>
      </c>
      <c r="AN119" s="18" t="str">
        <f>IF(NOT(ISBLANK(Audit[[#This Row],[Audit Candidate 10]])), Audit[[#This Row],[Audit Candidate 10]]-Audit[[#This Row],[Candidate 10]], "")</f>
        <v/>
      </c>
      <c r="AO119" s="18" t="str">
        <f>IF(NOT(ISBLANK(Audit[[#This Row],[Audit Candidate 11]])), Audit[[#This Row],[Audit Candidate 11]]-Audit[[#This Row],[Candidate 11]], "")</f>
        <v/>
      </c>
      <c r="AP119" s="18" t="str">
        <f>IF(NOT(ISBLANK(Audit[[#This Row],[Audit Candidate 12]])), Audit[[#This Row],[Audit Candidate 12]]-Audit[[#This Row],[Candidate 12]], "")</f>
        <v/>
      </c>
      <c r="AQ119" s="18">
        <f>SUMIF(Audit[[#This Row],[Difference Winner]:[Difference Candidate 12]], "&gt;0")</f>
        <v>0</v>
      </c>
      <c r="AR119" s="18">
        <f>SUM(Audit[[#This Row],[Difference Winner]:[Difference Candidate 12]])</f>
        <v>0</v>
      </c>
      <c r="AS119" s="18">
        <f>IF(Audit[[#This Row],[Times p Drawn - With Replacement]]&gt;0, IF(Audit[[#This Row],[Canceled Differences]]&lt;0, Audit[[#This Row],[Max Differences]]+ABS(Audit[[#This Row],[Canceled Differences]]), Audit[[#This Row],[Max Differences]]), 0)</f>
        <v>0</v>
      </c>
      <c r="AT119" s="18">
        <f>'Sampling Data'!AB119</f>
        <v>6.2819989320601809E-5</v>
      </c>
      <c r="AU119" s="18">
        <f>IF(
      SUM(Audit[[#This Row],[Audit Losing Candidate]:[Audit Candidate 12]])
      &lt;&gt;0,
      (Audit[[#This Row],[Winning Candidate]]-Audit[[#This Row],[Losing Candidate]]-(Audit[[#This Row],[Audit Winning Candidate]]-Audit[[#This Row],[Audit Losing Candidate]]))/(Audit[[#Totals],[Winning Candidate]]-Audit[[#Totals],[Losing Candidate]]),
      0
)</f>
        <v>0</v>
      </c>
      <c r="AV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8">
        <f>IF(Audit[[#This Row],[Max Relative Error (ep)]] = 0, 0, Audit[[#This Row],[Max Relative Error (ep)]]/Audit[[#This Row],[Error Bound (up) - Max. possible relative overstatement]])</f>
        <v>0</v>
      </c>
      <c r="BH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9" s="18">
        <f t="shared" si="2"/>
        <v>1</v>
      </c>
      <c r="BJ119" s="18">
        <f>PRODUCT($BI$5:BI119)</f>
        <v>1</v>
      </c>
      <c r="BK119" s="20">
        <f>1 - Audit[[#This Row],[K-M P Value]]</f>
        <v>0</v>
      </c>
      <c r="BL119" s="18" t="str">
        <f>IF(Audit[[#This Row],[K-M P Value]]&gt;1-'General Info'!$B$12,"Continue", "Stop")</f>
        <v>Continue</v>
      </c>
      <c r="BM119" s="23" t="b">
        <f>IF(Audit[[#This Row],[Status - Continue or stop audit]] = "Continue", TRUE, IF(BL118 = "Continue", TRUE, FALSE))</f>
        <v>1</v>
      </c>
      <c r="BN119" s="23"/>
    </row>
    <row r="120" spans="1:66" ht="15" hidden="1" customHeight="1" x14ac:dyDescent="0.35">
      <c r="A120" s="18" t="str">
        <f>'Sampling Data'!AI120</f>
        <v/>
      </c>
      <c r="B120" s="18" t="str">
        <f>'Sampling Data'!A120</f>
        <v>1901 CIN 19-A   (AV)</v>
      </c>
      <c r="C120" s="18">
        <f>'Sampling Data'!B120</f>
        <v>8</v>
      </c>
      <c r="D120" s="18">
        <f>'Sampling Data'!C120</f>
        <v>3</v>
      </c>
      <c r="E120" s="19">
        <f>'Sampling Data'!D120</f>
        <v>0</v>
      </c>
      <c r="F120" s="19">
        <f>'Sampling Data'!E120</f>
        <v>0</v>
      </c>
      <c r="G120" s="19">
        <f>'Sampling Data'!F120</f>
        <v>0</v>
      </c>
      <c r="H120" s="19">
        <f>'Sampling Data'!G120</f>
        <v>0</v>
      </c>
      <c r="I120" s="19">
        <f>'Sampling Data'!H120</f>
        <v>0</v>
      </c>
      <c r="J120" s="19">
        <f>'Sampling Data'!I120</f>
        <v>0</v>
      </c>
      <c r="K120" s="19">
        <f>'Sampling Data'!J120</f>
        <v>0</v>
      </c>
      <c r="L120" s="19">
        <f>'Sampling Data'!K120</f>
        <v>0</v>
      </c>
      <c r="M120" s="19">
        <f>'Sampling Data'!L120</f>
        <v>0</v>
      </c>
      <c r="N120" s="19">
        <f>'Sampling Data'!M120</f>
        <v>0</v>
      </c>
      <c r="O120" s="18">
        <f>'Sampling Data'!N120</f>
        <v>0</v>
      </c>
      <c r="P120" s="18">
        <f>'Sampling Data'!O120</f>
        <v>0</v>
      </c>
      <c r="Q120" s="18">
        <f>'Sampling Data'!P120</f>
        <v>11</v>
      </c>
      <c r="R120" s="18">
        <f>'Sampling Data'!AJ120</f>
        <v>0</v>
      </c>
      <c r="S120" s="112"/>
      <c r="T120" s="112"/>
      <c r="U120" s="113"/>
      <c r="V120" s="113"/>
      <c r="W120" s="112"/>
      <c r="X120" s="112"/>
      <c r="Y120" s="112"/>
      <c r="Z120" s="112"/>
      <c r="AA120" s="15"/>
      <c r="AB120" s="15"/>
      <c r="AC120" s="15"/>
      <c r="AD120" s="15"/>
      <c r="AE120" s="114" t="str">
        <f>IF(NOT(ISBLANK(Audit[[#This Row],[Audit Winning Candidate]])), Audit[[#This Row],[Audit Winning Candidate]]-Audit[[#This Row],[Winning Candidate]], "")</f>
        <v/>
      </c>
      <c r="AF120" s="18" t="str">
        <f>IF(NOT(ISBLANK(Audit[[#This Row],[Audit Losing Candidate]])), Audit[[#This Row],[Audit Losing Candidate]]-Audit[[#This Row],[Losing Candidate]], "")</f>
        <v/>
      </c>
      <c r="AG120" s="18" t="str">
        <f>IF(NOT(ISBLANK(Audit[[#This Row],[Audit Candidate 3]])), Audit[[#This Row],[Audit Candidate 3]]-Audit[[#This Row],[Candidate 3]], "")</f>
        <v/>
      </c>
      <c r="AH120" s="18" t="str">
        <f>IF(NOT(ISBLANK(Audit[[#This Row],[Audit Candidate 4]])),Audit[[#This Row],[Audit Candidate 4]]-Audit[[#This Row],[Candidate 4]], "")</f>
        <v/>
      </c>
      <c r="AI120" s="18" t="str">
        <f>IF(NOT(ISBLANK(Audit[[#This Row],[Audit Candidate 5]])), Audit[[#This Row],[Audit Candidate 5]]-Audit[[#This Row],[Candidate 5]], "")</f>
        <v/>
      </c>
      <c r="AJ120" s="18" t="str">
        <f>IF(NOT(ISBLANK(Audit[[#This Row],[Audit Candidate 6]])), Audit[[#This Row],[Audit Candidate 6]]-Audit[[#This Row],[Candidate 6]], "")</f>
        <v/>
      </c>
      <c r="AK120" s="18" t="str">
        <f>IF(NOT(ISBLANK(Audit[[#This Row],[Audit Candidate 7]])), Audit[[#This Row],[Audit Candidate 7]]-Audit[[#This Row],[Candidate 7]], "")</f>
        <v/>
      </c>
      <c r="AL120" s="18" t="str">
        <f>IF(NOT(ISBLANK(Audit[[#This Row],[Audit Candidate 8]])), Audit[[#This Row],[Audit Candidate 8]]-Audit[[#This Row],[Candidate 8]], "")</f>
        <v/>
      </c>
      <c r="AM120" s="18" t="str">
        <f>IF(NOT(ISBLANK(Audit[[#This Row],[Audit Candidate 9]])), Audit[[#This Row],[Audit Candidate 9]]-Audit[[#This Row],[Candidate 9]], "")</f>
        <v/>
      </c>
      <c r="AN120" s="18" t="str">
        <f>IF(NOT(ISBLANK(Audit[[#This Row],[Audit Candidate 10]])), Audit[[#This Row],[Audit Candidate 10]]-Audit[[#This Row],[Candidate 10]], "")</f>
        <v/>
      </c>
      <c r="AO120" s="18" t="str">
        <f>IF(NOT(ISBLANK(Audit[[#This Row],[Audit Candidate 11]])), Audit[[#This Row],[Audit Candidate 11]]-Audit[[#This Row],[Candidate 11]], "")</f>
        <v/>
      </c>
      <c r="AP120" s="18" t="str">
        <f>IF(NOT(ISBLANK(Audit[[#This Row],[Audit Candidate 12]])), Audit[[#This Row],[Audit Candidate 12]]-Audit[[#This Row],[Candidate 12]], "")</f>
        <v/>
      </c>
      <c r="AQ120" s="18">
        <f>SUMIF(Audit[[#This Row],[Difference Winner]:[Difference Candidate 12]], "&gt;0")</f>
        <v>0</v>
      </c>
      <c r="AR120" s="18">
        <f>SUM(Audit[[#This Row],[Difference Winner]:[Difference Candidate 12]])</f>
        <v>0</v>
      </c>
      <c r="AS120" s="18">
        <f>IF(Audit[[#This Row],[Times p Drawn - With Replacement]]&gt;0, IF(Audit[[#This Row],[Canceled Differences]]&lt;0, Audit[[#This Row],[Max Differences]]+ABS(Audit[[#This Row],[Canceled Differences]]), Audit[[#This Row],[Max Differences]]), 0)</f>
        <v>0</v>
      </c>
      <c r="AT120" s="18">
        <f>'Sampling Data'!AB120</f>
        <v>5.0255991456481448E-4</v>
      </c>
      <c r="AU120" s="18">
        <f>IF(
      SUM(Audit[[#This Row],[Audit Losing Candidate]:[Audit Candidate 12]])
      &lt;&gt;0,
      (Audit[[#This Row],[Winning Candidate]]-Audit[[#This Row],[Losing Candidate]]-(Audit[[#This Row],[Audit Winning Candidate]]-Audit[[#This Row],[Audit Losing Candidate]]))/(Audit[[#Totals],[Winning Candidate]]-Audit[[#Totals],[Losing Candidate]]),
      0
)</f>
        <v>0</v>
      </c>
      <c r="AV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8">
        <f>IF(Audit[[#This Row],[Max Relative Error (ep)]] = 0, 0, Audit[[#This Row],[Max Relative Error (ep)]]/Audit[[#This Row],[Error Bound (up) - Max. possible relative overstatement]])</f>
        <v>0</v>
      </c>
      <c r="BH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0" s="18">
        <f t="shared" si="2"/>
        <v>1</v>
      </c>
      <c r="BJ120" s="18">
        <f>PRODUCT($BI$5:BI120)</f>
        <v>1</v>
      </c>
      <c r="BK120" s="20">
        <f>1 - Audit[[#This Row],[K-M P Value]]</f>
        <v>0</v>
      </c>
      <c r="BL120" s="18" t="str">
        <f>IF(Audit[[#This Row],[K-M P Value]]&gt;1-'General Info'!$B$12,"Continue", "Stop")</f>
        <v>Continue</v>
      </c>
      <c r="BM120" s="23" t="b">
        <f>IF(Audit[[#This Row],[Status - Continue or stop audit]] = "Continue", TRUE, IF(BL119 = "Continue", TRUE, FALSE))</f>
        <v>1</v>
      </c>
      <c r="BN120" s="23"/>
    </row>
    <row r="121" spans="1:66" ht="15" hidden="1" customHeight="1" x14ac:dyDescent="0.35">
      <c r="A121" s="18" t="str">
        <f>'Sampling Data'!AI121</f>
        <v/>
      </c>
      <c r="B121" s="18" t="str">
        <f>'Sampling Data'!A121</f>
        <v>1902 CIN 19-B   (AV)</v>
      </c>
      <c r="C121" s="18">
        <f>'Sampling Data'!B121</f>
        <v>10</v>
      </c>
      <c r="D121" s="18">
        <f>'Sampling Data'!C121</f>
        <v>1</v>
      </c>
      <c r="E121" s="19">
        <f>'Sampling Data'!D121</f>
        <v>0</v>
      </c>
      <c r="F121" s="19">
        <f>'Sampling Data'!E121</f>
        <v>0</v>
      </c>
      <c r="G121" s="19">
        <f>'Sampling Data'!F121</f>
        <v>0</v>
      </c>
      <c r="H121" s="19">
        <f>'Sampling Data'!G121</f>
        <v>0</v>
      </c>
      <c r="I121" s="19">
        <f>'Sampling Data'!H121</f>
        <v>0</v>
      </c>
      <c r="J121" s="19">
        <f>'Sampling Data'!I121</f>
        <v>0</v>
      </c>
      <c r="K121" s="19">
        <f>'Sampling Data'!J121</f>
        <v>0</v>
      </c>
      <c r="L121" s="19">
        <f>'Sampling Data'!K121</f>
        <v>0</v>
      </c>
      <c r="M121" s="19">
        <f>'Sampling Data'!L121</f>
        <v>0</v>
      </c>
      <c r="N121" s="19">
        <f>'Sampling Data'!M121</f>
        <v>0</v>
      </c>
      <c r="O121" s="18">
        <f>'Sampling Data'!N121</f>
        <v>0</v>
      </c>
      <c r="P121" s="18">
        <f>'Sampling Data'!O121</f>
        <v>0</v>
      </c>
      <c r="Q121" s="18">
        <f>'Sampling Data'!P121</f>
        <v>11</v>
      </c>
      <c r="R121" s="18">
        <f>'Sampling Data'!AJ121</f>
        <v>0</v>
      </c>
      <c r="S121" s="112"/>
      <c r="T121" s="112"/>
      <c r="U121" s="113"/>
      <c r="V121" s="113"/>
      <c r="W121" s="112"/>
      <c r="X121" s="112"/>
      <c r="Y121" s="112"/>
      <c r="Z121" s="112"/>
      <c r="AA121" s="15"/>
      <c r="AB121" s="15"/>
      <c r="AC121" s="15"/>
      <c r="AD121" s="15"/>
      <c r="AE121" s="114" t="str">
        <f>IF(NOT(ISBLANK(Audit[[#This Row],[Audit Winning Candidate]])), Audit[[#This Row],[Audit Winning Candidate]]-Audit[[#This Row],[Winning Candidate]], "")</f>
        <v/>
      </c>
      <c r="AF121" s="18" t="str">
        <f>IF(NOT(ISBLANK(Audit[[#This Row],[Audit Losing Candidate]])), Audit[[#This Row],[Audit Losing Candidate]]-Audit[[#This Row],[Losing Candidate]], "")</f>
        <v/>
      </c>
      <c r="AG121" s="18" t="str">
        <f>IF(NOT(ISBLANK(Audit[[#This Row],[Audit Candidate 3]])), Audit[[#This Row],[Audit Candidate 3]]-Audit[[#This Row],[Candidate 3]], "")</f>
        <v/>
      </c>
      <c r="AH121" s="18" t="str">
        <f>IF(NOT(ISBLANK(Audit[[#This Row],[Audit Candidate 4]])),Audit[[#This Row],[Audit Candidate 4]]-Audit[[#This Row],[Candidate 4]], "")</f>
        <v/>
      </c>
      <c r="AI121" s="18" t="str">
        <f>IF(NOT(ISBLANK(Audit[[#This Row],[Audit Candidate 5]])), Audit[[#This Row],[Audit Candidate 5]]-Audit[[#This Row],[Candidate 5]], "")</f>
        <v/>
      </c>
      <c r="AJ121" s="18" t="str">
        <f>IF(NOT(ISBLANK(Audit[[#This Row],[Audit Candidate 6]])), Audit[[#This Row],[Audit Candidate 6]]-Audit[[#This Row],[Candidate 6]], "")</f>
        <v/>
      </c>
      <c r="AK121" s="18" t="str">
        <f>IF(NOT(ISBLANK(Audit[[#This Row],[Audit Candidate 7]])), Audit[[#This Row],[Audit Candidate 7]]-Audit[[#This Row],[Candidate 7]], "")</f>
        <v/>
      </c>
      <c r="AL121" s="18" t="str">
        <f>IF(NOT(ISBLANK(Audit[[#This Row],[Audit Candidate 8]])), Audit[[#This Row],[Audit Candidate 8]]-Audit[[#This Row],[Candidate 8]], "")</f>
        <v/>
      </c>
      <c r="AM121" s="18" t="str">
        <f>IF(NOT(ISBLANK(Audit[[#This Row],[Audit Candidate 9]])), Audit[[#This Row],[Audit Candidate 9]]-Audit[[#This Row],[Candidate 9]], "")</f>
        <v/>
      </c>
      <c r="AN121" s="18" t="str">
        <f>IF(NOT(ISBLANK(Audit[[#This Row],[Audit Candidate 10]])), Audit[[#This Row],[Audit Candidate 10]]-Audit[[#This Row],[Candidate 10]], "")</f>
        <v/>
      </c>
      <c r="AO121" s="18" t="str">
        <f>IF(NOT(ISBLANK(Audit[[#This Row],[Audit Candidate 11]])), Audit[[#This Row],[Audit Candidate 11]]-Audit[[#This Row],[Candidate 11]], "")</f>
        <v/>
      </c>
      <c r="AP121" s="18" t="str">
        <f>IF(NOT(ISBLANK(Audit[[#This Row],[Audit Candidate 12]])), Audit[[#This Row],[Audit Candidate 12]]-Audit[[#This Row],[Candidate 12]], "")</f>
        <v/>
      </c>
      <c r="AQ121" s="18">
        <f>SUMIF(Audit[[#This Row],[Difference Winner]:[Difference Candidate 12]], "&gt;0")</f>
        <v>0</v>
      </c>
      <c r="AR121" s="18">
        <f>SUM(Audit[[#This Row],[Difference Winner]:[Difference Candidate 12]])</f>
        <v>0</v>
      </c>
      <c r="AS121" s="18">
        <f>IF(Audit[[#This Row],[Times p Drawn - With Replacement]]&gt;0, IF(Audit[[#This Row],[Canceled Differences]]&lt;0, Audit[[#This Row],[Max Differences]]+ABS(Audit[[#This Row],[Canceled Differences]]), Audit[[#This Row],[Max Differences]]), 0)</f>
        <v>0</v>
      </c>
      <c r="AT121" s="18">
        <f>'Sampling Data'!AB121</f>
        <v>6.2819989320601812E-4</v>
      </c>
      <c r="AU121" s="18">
        <f>IF(
      SUM(Audit[[#This Row],[Audit Losing Candidate]:[Audit Candidate 12]])
      &lt;&gt;0,
      (Audit[[#This Row],[Winning Candidate]]-Audit[[#This Row],[Losing Candidate]]-(Audit[[#This Row],[Audit Winning Candidate]]-Audit[[#This Row],[Audit Losing Candidate]]))/(Audit[[#Totals],[Winning Candidate]]-Audit[[#Totals],[Losing Candidate]]),
      0
)</f>
        <v>0</v>
      </c>
      <c r="AV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8">
        <f>IF(Audit[[#This Row],[Max Relative Error (ep)]] = 0, 0, Audit[[#This Row],[Max Relative Error (ep)]]/Audit[[#This Row],[Error Bound (up) - Max. possible relative overstatement]])</f>
        <v>0</v>
      </c>
      <c r="BH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1" s="18">
        <f t="shared" si="2"/>
        <v>1</v>
      </c>
      <c r="BJ121" s="18">
        <f>PRODUCT($BI$5:BI121)</f>
        <v>1</v>
      </c>
      <c r="BK121" s="20">
        <f>1 - Audit[[#This Row],[K-M P Value]]</f>
        <v>0</v>
      </c>
      <c r="BL121" s="18" t="str">
        <f>IF(Audit[[#This Row],[K-M P Value]]&gt;1-'General Info'!$B$12,"Continue", "Stop")</f>
        <v>Continue</v>
      </c>
      <c r="BM121" s="23" t="b">
        <f>IF(Audit[[#This Row],[Status - Continue or stop audit]] = "Continue", TRUE, IF(BL120 = "Continue", TRUE, FALSE))</f>
        <v>1</v>
      </c>
      <c r="BN121" s="23"/>
    </row>
    <row r="122" spans="1:66" ht="15" hidden="1" customHeight="1" x14ac:dyDescent="0.35">
      <c r="A122" s="18" t="str">
        <f>'Sampling Data'!AI122</f>
        <v/>
      </c>
      <c r="B122" s="18" t="str">
        <f>'Sampling Data'!A122</f>
        <v>1903 CIN 19-C   (AV)</v>
      </c>
      <c r="C122" s="18">
        <f>'Sampling Data'!B122</f>
        <v>12</v>
      </c>
      <c r="D122" s="18">
        <f>'Sampling Data'!C122</f>
        <v>2</v>
      </c>
      <c r="E122" s="19">
        <f>'Sampling Data'!D122</f>
        <v>0</v>
      </c>
      <c r="F122" s="19">
        <f>'Sampling Data'!E122</f>
        <v>0</v>
      </c>
      <c r="G122" s="19">
        <f>'Sampling Data'!F122</f>
        <v>0</v>
      </c>
      <c r="H122" s="19">
        <f>'Sampling Data'!G122</f>
        <v>0</v>
      </c>
      <c r="I122" s="19">
        <f>'Sampling Data'!H122</f>
        <v>0</v>
      </c>
      <c r="J122" s="19">
        <f>'Sampling Data'!I122</f>
        <v>0</v>
      </c>
      <c r="K122" s="19">
        <f>'Sampling Data'!J122</f>
        <v>0</v>
      </c>
      <c r="L122" s="19">
        <f>'Sampling Data'!K122</f>
        <v>0</v>
      </c>
      <c r="M122" s="19">
        <f>'Sampling Data'!L122</f>
        <v>0</v>
      </c>
      <c r="N122" s="19">
        <f>'Sampling Data'!M122</f>
        <v>0</v>
      </c>
      <c r="O122" s="18">
        <f>'Sampling Data'!N122</f>
        <v>0</v>
      </c>
      <c r="P122" s="18">
        <f>'Sampling Data'!O122</f>
        <v>0</v>
      </c>
      <c r="Q122" s="18">
        <f>'Sampling Data'!P122</f>
        <v>14</v>
      </c>
      <c r="R122" s="18">
        <f>'Sampling Data'!AJ122</f>
        <v>0</v>
      </c>
      <c r="S122" s="112"/>
      <c r="T122" s="112"/>
      <c r="U122" s="113"/>
      <c r="V122" s="113"/>
      <c r="W122" s="112"/>
      <c r="X122" s="112"/>
      <c r="Y122" s="112"/>
      <c r="Z122" s="112"/>
      <c r="AA122" s="15"/>
      <c r="AB122" s="15"/>
      <c r="AC122" s="15"/>
      <c r="AD122" s="15"/>
      <c r="AE122" s="114" t="str">
        <f>IF(NOT(ISBLANK(Audit[[#This Row],[Audit Winning Candidate]])), Audit[[#This Row],[Audit Winning Candidate]]-Audit[[#This Row],[Winning Candidate]], "")</f>
        <v/>
      </c>
      <c r="AF122" s="18" t="str">
        <f>IF(NOT(ISBLANK(Audit[[#This Row],[Audit Losing Candidate]])), Audit[[#This Row],[Audit Losing Candidate]]-Audit[[#This Row],[Losing Candidate]], "")</f>
        <v/>
      </c>
      <c r="AG122" s="18" t="str">
        <f>IF(NOT(ISBLANK(Audit[[#This Row],[Audit Candidate 3]])), Audit[[#This Row],[Audit Candidate 3]]-Audit[[#This Row],[Candidate 3]], "")</f>
        <v/>
      </c>
      <c r="AH122" s="18" t="str">
        <f>IF(NOT(ISBLANK(Audit[[#This Row],[Audit Candidate 4]])),Audit[[#This Row],[Audit Candidate 4]]-Audit[[#This Row],[Candidate 4]], "")</f>
        <v/>
      </c>
      <c r="AI122" s="18" t="str">
        <f>IF(NOT(ISBLANK(Audit[[#This Row],[Audit Candidate 5]])), Audit[[#This Row],[Audit Candidate 5]]-Audit[[#This Row],[Candidate 5]], "")</f>
        <v/>
      </c>
      <c r="AJ122" s="18" t="str">
        <f>IF(NOT(ISBLANK(Audit[[#This Row],[Audit Candidate 6]])), Audit[[#This Row],[Audit Candidate 6]]-Audit[[#This Row],[Candidate 6]], "")</f>
        <v/>
      </c>
      <c r="AK122" s="18" t="str">
        <f>IF(NOT(ISBLANK(Audit[[#This Row],[Audit Candidate 7]])), Audit[[#This Row],[Audit Candidate 7]]-Audit[[#This Row],[Candidate 7]], "")</f>
        <v/>
      </c>
      <c r="AL122" s="18" t="str">
        <f>IF(NOT(ISBLANK(Audit[[#This Row],[Audit Candidate 8]])), Audit[[#This Row],[Audit Candidate 8]]-Audit[[#This Row],[Candidate 8]], "")</f>
        <v/>
      </c>
      <c r="AM122" s="18" t="str">
        <f>IF(NOT(ISBLANK(Audit[[#This Row],[Audit Candidate 9]])), Audit[[#This Row],[Audit Candidate 9]]-Audit[[#This Row],[Candidate 9]], "")</f>
        <v/>
      </c>
      <c r="AN122" s="18" t="str">
        <f>IF(NOT(ISBLANK(Audit[[#This Row],[Audit Candidate 10]])), Audit[[#This Row],[Audit Candidate 10]]-Audit[[#This Row],[Candidate 10]], "")</f>
        <v/>
      </c>
      <c r="AO122" s="18" t="str">
        <f>IF(NOT(ISBLANK(Audit[[#This Row],[Audit Candidate 11]])), Audit[[#This Row],[Audit Candidate 11]]-Audit[[#This Row],[Candidate 11]], "")</f>
        <v/>
      </c>
      <c r="AP122" s="18" t="str">
        <f>IF(NOT(ISBLANK(Audit[[#This Row],[Audit Candidate 12]])), Audit[[#This Row],[Audit Candidate 12]]-Audit[[#This Row],[Candidate 12]], "")</f>
        <v/>
      </c>
      <c r="AQ122" s="18">
        <f>SUMIF(Audit[[#This Row],[Difference Winner]:[Difference Candidate 12]], "&gt;0")</f>
        <v>0</v>
      </c>
      <c r="AR122" s="18">
        <f>SUM(Audit[[#This Row],[Difference Winner]:[Difference Candidate 12]])</f>
        <v>0</v>
      </c>
      <c r="AS122" s="18">
        <f>IF(Audit[[#This Row],[Times p Drawn - With Replacement]]&gt;0, IF(Audit[[#This Row],[Canceled Differences]]&lt;0, Audit[[#This Row],[Max Differences]]+ABS(Audit[[#This Row],[Canceled Differences]]), Audit[[#This Row],[Max Differences]]), 0)</f>
        <v>0</v>
      </c>
      <c r="AT122" s="18">
        <f>'Sampling Data'!AB122</f>
        <v>7.5383987184722177E-4</v>
      </c>
      <c r="AU122" s="18">
        <f>IF(
      SUM(Audit[[#This Row],[Audit Losing Candidate]:[Audit Candidate 12]])
      &lt;&gt;0,
      (Audit[[#This Row],[Winning Candidate]]-Audit[[#This Row],[Losing Candidate]]-(Audit[[#This Row],[Audit Winning Candidate]]-Audit[[#This Row],[Audit Losing Candidate]]))/(Audit[[#Totals],[Winning Candidate]]-Audit[[#Totals],[Losing Candidate]]),
      0
)</f>
        <v>0</v>
      </c>
      <c r="AV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8">
        <f>IF(Audit[[#This Row],[Max Relative Error (ep)]] = 0, 0, Audit[[#This Row],[Max Relative Error (ep)]]/Audit[[#This Row],[Error Bound (up) - Max. possible relative overstatement]])</f>
        <v>0</v>
      </c>
      <c r="BH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2" s="18">
        <f t="shared" si="2"/>
        <v>1</v>
      </c>
      <c r="BJ122" s="18">
        <f>PRODUCT($BI$5:BI122)</f>
        <v>1</v>
      </c>
      <c r="BK122" s="20">
        <f>1 - Audit[[#This Row],[K-M P Value]]</f>
        <v>0</v>
      </c>
      <c r="BL122" s="18" t="str">
        <f>IF(Audit[[#This Row],[K-M P Value]]&gt;1-'General Info'!$B$12,"Continue", "Stop")</f>
        <v>Continue</v>
      </c>
      <c r="BM122" s="23" t="b">
        <f>IF(Audit[[#This Row],[Status - Continue or stop audit]] = "Continue", TRUE, IF(BL121 = "Continue", TRUE, FALSE))</f>
        <v>1</v>
      </c>
      <c r="BN122" s="23"/>
    </row>
    <row r="123" spans="1:66" ht="15" hidden="1" customHeight="1" x14ac:dyDescent="0.35">
      <c r="A123" s="18" t="str">
        <f>'Sampling Data'!AI123</f>
        <v/>
      </c>
      <c r="B123" s="18" t="str">
        <f>'Sampling Data'!A123</f>
        <v>1904 CIN 19-D   (AV)</v>
      </c>
      <c r="C123" s="18">
        <f>'Sampling Data'!B123</f>
        <v>0</v>
      </c>
      <c r="D123" s="18">
        <f>'Sampling Data'!C123</f>
        <v>0</v>
      </c>
      <c r="E123" s="19">
        <f>'Sampling Data'!D123</f>
        <v>0</v>
      </c>
      <c r="F123" s="19">
        <f>'Sampling Data'!E123</f>
        <v>0</v>
      </c>
      <c r="G123" s="19">
        <f>'Sampling Data'!F123</f>
        <v>0</v>
      </c>
      <c r="H123" s="19">
        <f>'Sampling Data'!G123</f>
        <v>0</v>
      </c>
      <c r="I123" s="19">
        <f>'Sampling Data'!H123</f>
        <v>0</v>
      </c>
      <c r="J123" s="19">
        <f>'Sampling Data'!I123</f>
        <v>0</v>
      </c>
      <c r="K123" s="19">
        <f>'Sampling Data'!J123</f>
        <v>0</v>
      </c>
      <c r="L123" s="19">
        <f>'Sampling Data'!K123</f>
        <v>0</v>
      </c>
      <c r="M123" s="19">
        <f>'Sampling Data'!L123</f>
        <v>0</v>
      </c>
      <c r="N123" s="19">
        <f>'Sampling Data'!M123</f>
        <v>0</v>
      </c>
      <c r="O123" s="18">
        <f>'Sampling Data'!N123</f>
        <v>0</v>
      </c>
      <c r="P123" s="18">
        <f>'Sampling Data'!O123</f>
        <v>0</v>
      </c>
      <c r="Q123" s="18">
        <f>'Sampling Data'!P123</f>
        <v>0</v>
      </c>
      <c r="R123" s="18">
        <f>'Sampling Data'!AJ123</f>
        <v>0</v>
      </c>
      <c r="S123" s="112"/>
      <c r="T123" s="112"/>
      <c r="U123" s="113"/>
      <c r="V123" s="113"/>
      <c r="W123" s="112"/>
      <c r="X123" s="112"/>
      <c r="Y123" s="112"/>
      <c r="Z123" s="112"/>
      <c r="AA123" s="15"/>
      <c r="AB123" s="15"/>
      <c r="AC123" s="15"/>
      <c r="AD123" s="15"/>
      <c r="AE123" s="114" t="str">
        <f>IF(NOT(ISBLANK(Audit[[#This Row],[Audit Winning Candidate]])), Audit[[#This Row],[Audit Winning Candidate]]-Audit[[#This Row],[Winning Candidate]], "")</f>
        <v/>
      </c>
      <c r="AF123" s="18" t="str">
        <f>IF(NOT(ISBLANK(Audit[[#This Row],[Audit Losing Candidate]])), Audit[[#This Row],[Audit Losing Candidate]]-Audit[[#This Row],[Losing Candidate]], "")</f>
        <v/>
      </c>
      <c r="AG123" s="18" t="str">
        <f>IF(NOT(ISBLANK(Audit[[#This Row],[Audit Candidate 3]])), Audit[[#This Row],[Audit Candidate 3]]-Audit[[#This Row],[Candidate 3]], "")</f>
        <v/>
      </c>
      <c r="AH123" s="18" t="str">
        <f>IF(NOT(ISBLANK(Audit[[#This Row],[Audit Candidate 4]])),Audit[[#This Row],[Audit Candidate 4]]-Audit[[#This Row],[Candidate 4]], "")</f>
        <v/>
      </c>
      <c r="AI123" s="18" t="str">
        <f>IF(NOT(ISBLANK(Audit[[#This Row],[Audit Candidate 5]])), Audit[[#This Row],[Audit Candidate 5]]-Audit[[#This Row],[Candidate 5]], "")</f>
        <v/>
      </c>
      <c r="AJ123" s="18" t="str">
        <f>IF(NOT(ISBLANK(Audit[[#This Row],[Audit Candidate 6]])), Audit[[#This Row],[Audit Candidate 6]]-Audit[[#This Row],[Candidate 6]], "")</f>
        <v/>
      </c>
      <c r="AK123" s="18" t="str">
        <f>IF(NOT(ISBLANK(Audit[[#This Row],[Audit Candidate 7]])), Audit[[#This Row],[Audit Candidate 7]]-Audit[[#This Row],[Candidate 7]], "")</f>
        <v/>
      </c>
      <c r="AL123" s="18" t="str">
        <f>IF(NOT(ISBLANK(Audit[[#This Row],[Audit Candidate 8]])), Audit[[#This Row],[Audit Candidate 8]]-Audit[[#This Row],[Candidate 8]], "")</f>
        <v/>
      </c>
      <c r="AM123" s="18" t="str">
        <f>IF(NOT(ISBLANK(Audit[[#This Row],[Audit Candidate 9]])), Audit[[#This Row],[Audit Candidate 9]]-Audit[[#This Row],[Candidate 9]], "")</f>
        <v/>
      </c>
      <c r="AN123" s="18" t="str">
        <f>IF(NOT(ISBLANK(Audit[[#This Row],[Audit Candidate 10]])), Audit[[#This Row],[Audit Candidate 10]]-Audit[[#This Row],[Candidate 10]], "")</f>
        <v/>
      </c>
      <c r="AO123" s="18" t="str">
        <f>IF(NOT(ISBLANK(Audit[[#This Row],[Audit Candidate 11]])), Audit[[#This Row],[Audit Candidate 11]]-Audit[[#This Row],[Candidate 11]], "")</f>
        <v/>
      </c>
      <c r="AP123" s="18" t="str">
        <f>IF(NOT(ISBLANK(Audit[[#This Row],[Audit Candidate 12]])), Audit[[#This Row],[Audit Candidate 12]]-Audit[[#This Row],[Candidate 12]], "")</f>
        <v/>
      </c>
      <c r="AQ123" s="18">
        <f>SUMIF(Audit[[#This Row],[Difference Winner]:[Difference Candidate 12]], "&gt;0")</f>
        <v>0</v>
      </c>
      <c r="AR123" s="18">
        <f>SUM(Audit[[#This Row],[Difference Winner]:[Difference Candidate 12]])</f>
        <v>0</v>
      </c>
      <c r="AS123" s="18">
        <f>IF(Audit[[#This Row],[Times p Drawn - With Replacement]]&gt;0, IF(Audit[[#This Row],[Canceled Differences]]&lt;0, Audit[[#This Row],[Max Differences]]+ABS(Audit[[#This Row],[Canceled Differences]]), Audit[[#This Row],[Max Differences]]), 0)</f>
        <v>0</v>
      </c>
      <c r="AT123" s="18">
        <f>'Sampling Data'!AB123</f>
        <v>0</v>
      </c>
      <c r="AU123" s="18">
        <f>IF(
      SUM(Audit[[#This Row],[Audit Losing Candidate]:[Audit Candidate 12]])
      &lt;&gt;0,
      (Audit[[#This Row],[Winning Candidate]]-Audit[[#This Row],[Losing Candidate]]-(Audit[[#This Row],[Audit Winning Candidate]]-Audit[[#This Row],[Audit Losing Candidate]]))/(Audit[[#Totals],[Winning Candidate]]-Audit[[#Totals],[Losing Candidate]]),
      0
)</f>
        <v>0</v>
      </c>
      <c r="AV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8">
        <f>IF(Audit[[#This Row],[Max Relative Error (ep)]] = 0, 0, Audit[[#This Row],[Max Relative Error (ep)]]/Audit[[#This Row],[Error Bound (up) - Max. possible relative overstatement]])</f>
        <v>0</v>
      </c>
      <c r="BH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3" s="18">
        <f t="shared" si="2"/>
        <v>1</v>
      </c>
      <c r="BJ123" s="18">
        <f>PRODUCT($BI$5:BI123)</f>
        <v>1</v>
      </c>
      <c r="BK123" s="20">
        <f>1 - Audit[[#This Row],[K-M P Value]]</f>
        <v>0</v>
      </c>
      <c r="BL123" s="18" t="str">
        <f>IF(Audit[[#This Row],[K-M P Value]]&gt;1-'General Info'!$B$12,"Continue", "Stop")</f>
        <v>Continue</v>
      </c>
      <c r="BM123" s="23" t="b">
        <f>IF(Audit[[#This Row],[Status - Continue or stop audit]] = "Continue", TRUE, IF(BL122 = "Continue", TRUE, FALSE))</f>
        <v>1</v>
      </c>
      <c r="BN123" s="23"/>
    </row>
    <row r="124" spans="1:66" ht="15" hidden="1" customHeight="1" x14ac:dyDescent="0.35">
      <c r="A124" s="18" t="str">
        <f>'Sampling Data'!AI124</f>
        <v/>
      </c>
      <c r="B124" s="18" t="str">
        <f>'Sampling Data'!A124</f>
        <v>2001 CIN 20-A   (AV)</v>
      </c>
      <c r="C124" s="18">
        <f>'Sampling Data'!B124</f>
        <v>3</v>
      </c>
      <c r="D124" s="18">
        <f>'Sampling Data'!C124</f>
        <v>1</v>
      </c>
      <c r="E124" s="19">
        <f>'Sampling Data'!D124</f>
        <v>0</v>
      </c>
      <c r="F124" s="19">
        <f>'Sampling Data'!E124</f>
        <v>0</v>
      </c>
      <c r="G124" s="19">
        <f>'Sampling Data'!F124</f>
        <v>0</v>
      </c>
      <c r="H124" s="19">
        <f>'Sampling Data'!G124</f>
        <v>0</v>
      </c>
      <c r="I124" s="19">
        <f>'Sampling Data'!H124</f>
        <v>0</v>
      </c>
      <c r="J124" s="19">
        <f>'Sampling Data'!I124</f>
        <v>0</v>
      </c>
      <c r="K124" s="19">
        <f>'Sampling Data'!J124</f>
        <v>0</v>
      </c>
      <c r="L124" s="19">
        <f>'Sampling Data'!K124</f>
        <v>0</v>
      </c>
      <c r="M124" s="19">
        <f>'Sampling Data'!L124</f>
        <v>0</v>
      </c>
      <c r="N124" s="19">
        <f>'Sampling Data'!M124</f>
        <v>0</v>
      </c>
      <c r="O124" s="18">
        <f>'Sampling Data'!N124</f>
        <v>0</v>
      </c>
      <c r="P124" s="18">
        <f>'Sampling Data'!O124</f>
        <v>0</v>
      </c>
      <c r="Q124" s="18">
        <f>'Sampling Data'!P124</f>
        <v>4</v>
      </c>
      <c r="R124" s="18">
        <f>'Sampling Data'!AJ124</f>
        <v>0</v>
      </c>
      <c r="S124" s="112"/>
      <c r="T124" s="112"/>
      <c r="U124" s="113"/>
      <c r="V124" s="113"/>
      <c r="W124" s="112"/>
      <c r="X124" s="112"/>
      <c r="Y124" s="112"/>
      <c r="Z124" s="112"/>
      <c r="AA124" s="15"/>
      <c r="AB124" s="15"/>
      <c r="AC124" s="15"/>
      <c r="AD124" s="15"/>
      <c r="AE124" s="114" t="str">
        <f>IF(NOT(ISBLANK(Audit[[#This Row],[Audit Winning Candidate]])), Audit[[#This Row],[Audit Winning Candidate]]-Audit[[#This Row],[Winning Candidate]], "")</f>
        <v/>
      </c>
      <c r="AF124" s="18" t="str">
        <f>IF(NOT(ISBLANK(Audit[[#This Row],[Audit Losing Candidate]])), Audit[[#This Row],[Audit Losing Candidate]]-Audit[[#This Row],[Losing Candidate]], "")</f>
        <v/>
      </c>
      <c r="AG124" s="18" t="str">
        <f>IF(NOT(ISBLANK(Audit[[#This Row],[Audit Candidate 3]])), Audit[[#This Row],[Audit Candidate 3]]-Audit[[#This Row],[Candidate 3]], "")</f>
        <v/>
      </c>
      <c r="AH124" s="18" t="str">
        <f>IF(NOT(ISBLANK(Audit[[#This Row],[Audit Candidate 4]])),Audit[[#This Row],[Audit Candidate 4]]-Audit[[#This Row],[Candidate 4]], "")</f>
        <v/>
      </c>
      <c r="AI124" s="18" t="str">
        <f>IF(NOT(ISBLANK(Audit[[#This Row],[Audit Candidate 5]])), Audit[[#This Row],[Audit Candidate 5]]-Audit[[#This Row],[Candidate 5]], "")</f>
        <v/>
      </c>
      <c r="AJ124" s="18" t="str">
        <f>IF(NOT(ISBLANK(Audit[[#This Row],[Audit Candidate 6]])), Audit[[#This Row],[Audit Candidate 6]]-Audit[[#This Row],[Candidate 6]], "")</f>
        <v/>
      </c>
      <c r="AK124" s="18" t="str">
        <f>IF(NOT(ISBLANK(Audit[[#This Row],[Audit Candidate 7]])), Audit[[#This Row],[Audit Candidate 7]]-Audit[[#This Row],[Candidate 7]], "")</f>
        <v/>
      </c>
      <c r="AL124" s="18" t="str">
        <f>IF(NOT(ISBLANK(Audit[[#This Row],[Audit Candidate 8]])), Audit[[#This Row],[Audit Candidate 8]]-Audit[[#This Row],[Candidate 8]], "")</f>
        <v/>
      </c>
      <c r="AM124" s="18" t="str">
        <f>IF(NOT(ISBLANK(Audit[[#This Row],[Audit Candidate 9]])), Audit[[#This Row],[Audit Candidate 9]]-Audit[[#This Row],[Candidate 9]], "")</f>
        <v/>
      </c>
      <c r="AN124" s="18" t="str">
        <f>IF(NOT(ISBLANK(Audit[[#This Row],[Audit Candidate 10]])), Audit[[#This Row],[Audit Candidate 10]]-Audit[[#This Row],[Candidate 10]], "")</f>
        <v/>
      </c>
      <c r="AO124" s="18" t="str">
        <f>IF(NOT(ISBLANK(Audit[[#This Row],[Audit Candidate 11]])), Audit[[#This Row],[Audit Candidate 11]]-Audit[[#This Row],[Candidate 11]], "")</f>
        <v/>
      </c>
      <c r="AP124" s="18" t="str">
        <f>IF(NOT(ISBLANK(Audit[[#This Row],[Audit Candidate 12]])), Audit[[#This Row],[Audit Candidate 12]]-Audit[[#This Row],[Candidate 12]], "")</f>
        <v/>
      </c>
      <c r="AQ124" s="18">
        <f>SUMIF(Audit[[#This Row],[Difference Winner]:[Difference Candidate 12]], "&gt;0")</f>
        <v>0</v>
      </c>
      <c r="AR124" s="18">
        <f>SUM(Audit[[#This Row],[Difference Winner]:[Difference Candidate 12]])</f>
        <v>0</v>
      </c>
      <c r="AS124" s="18">
        <f>IF(Audit[[#This Row],[Times p Drawn - With Replacement]]&gt;0, IF(Audit[[#This Row],[Canceled Differences]]&lt;0, Audit[[#This Row],[Max Differences]]+ABS(Audit[[#This Row],[Canceled Differences]]), Audit[[#This Row],[Max Differences]]), 0)</f>
        <v>0</v>
      </c>
      <c r="AT124" s="18">
        <f>'Sampling Data'!AB124</f>
        <v>1.8845996796180544E-4</v>
      </c>
      <c r="AU124" s="18">
        <f>IF(
      SUM(Audit[[#This Row],[Audit Losing Candidate]:[Audit Candidate 12]])
      &lt;&gt;0,
      (Audit[[#This Row],[Winning Candidate]]-Audit[[#This Row],[Losing Candidate]]-(Audit[[#This Row],[Audit Winning Candidate]]-Audit[[#This Row],[Audit Losing Candidate]]))/(Audit[[#Totals],[Winning Candidate]]-Audit[[#Totals],[Losing Candidate]]),
      0
)</f>
        <v>0</v>
      </c>
      <c r="AV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8">
        <f>IF(Audit[[#This Row],[Max Relative Error (ep)]] = 0, 0, Audit[[#This Row],[Max Relative Error (ep)]]/Audit[[#This Row],[Error Bound (up) - Max. possible relative overstatement]])</f>
        <v>0</v>
      </c>
      <c r="BH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4" s="18">
        <f t="shared" si="2"/>
        <v>1</v>
      </c>
      <c r="BJ124" s="18">
        <f>PRODUCT($BI$5:BI124)</f>
        <v>1</v>
      </c>
      <c r="BK124" s="20">
        <f>1 - Audit[[#This Row],[K-M P Value]]</f>
        <v>0</v>
      </c>
      <c r="BL124" s="18" t="str">
        <f>IF(Audit[[#This Row],[K-M P Value]]&gt;1-'General Info'!$B$12,"Continue", "Stop")</f>
        <v>Continue</v>
      </c>
      <c r="BM124" s="23" t="b">
        <f>IF(Audit[[#This Row],[Status - Continue or stop audit]] = "Continue", TRUE, IF(BL123 = "Continue", TRUE, FALSE))</f>
        <v>1</v>
      </c>
      <c r="BN124" s="23"/>
    </row>
    <row r="125" spans="1:66" ht="15" hidden="1" customHeight="1" x14ac:dyDescent="0.35">
      <c r="A125" s="18" t="str">
        <f>'Sampling Data'!AI125</f>
        <v/>
      </c>
      <c r="B125" s="18" t="str">
        <f>'Sampling Data'!A125</f>
        <v>2002 CIN 20-B   (AV)</v>
      </c>
      <c r="C125" s="18">
        <f>'Sampling Data'!B125</f>
        <v>4</v>
      </c>
      <c r="D125" s="18">
        <f>'Sampling Data'!C125</f>
        <v>0</v>
      </c>
      <c r="E125" s="19">
        <f>'Sampling Data'!D125</f>
        <v>0</v>
      </c>
      <c r="F125" s="19">
        <f>'Sampling Data'!E125</f>
        <v>0</v>
      </c>
      <c r="G125" s="19">
        <f>'Sampling Data'!F125</f>
        <v>0</v>
      </c>
      <c r="H125" s="19">
        <f>'Sampling Data'!G125</f>
        <v>0</v>
      </c>
      <c r="I125" s="19">
        <f>'Sampling Data'!H125</f>
        <v>0</v>
      </c>
      <c r="J125" s="19">
        <f>'Sampling Data'!I125</f>
        <v>0</v>
      </c>
      <c r="K125" s="19">
        <f>'Sampling Data'!J125</f>
        <v>0</v>
      </c>
      <c r="L125" s="19">
        <f>'Sampling Data'!K125</f>
        <v>0</v>
      </c>
      <c r="M125" s="19">
        <f>'Sampling Data'!L125</f>
        <v>0</v>
      </c>
      <c r="N125" s="19">
        <f>'Sampling Data'!M125</f>
        <v>0</v>
      </c>
      <c r="O125" s="18">
        <f>'Sampling Data'!N125</f>
        <v>0</v>
      </c>
      <c r="P125" s="18">
        <f>'Sampling Data'!O125</f>
        <v>0</v>
      </c>
      <c r="Q125" s="18">
        <f>'Sampling Data'!P125</f>
        <v>4</v>
      </c>
      <c r="R125" s="18">
        <f>'Sampling Data'!AJ125</f>
        <v>0</v>
      </c>
      <c r="S125" s="112"/>
      <c r="T125" s="112"/>
      <c r="U125" s="113"/>
      <c r="V125" s="113"/>
      <c r="W125" s="112"/>
      <c r="X125" s="112"/>
      <c r="Y125" s="112"/>
      <c r="Z125" s="112"/>
      <c r="AA125" s="15"/>
      <c r="AB125" s="15"/>
      <c r="AC125" s="15"/>
      <c r="AD125" s="15"/>
      <c r="AE125" s="114" t="str">
        <f>IF(NOT(ISBLANK(Audit[[#This Row],[Audit Winning Candidate]])), Audit[[#This Row],[Audit Winning Candidate]]-Audit[[#This Row],[Winning Candidate]], "")</f>
        <v/>
      </c>
      <c r="AF125" s="18" t="str">
        <f>IF(NOT(ISBLANK(Audit[[#This Row],[Audit Losing Candidate]])), Audit[[#This Row],[Audit Losing Candidate]]-Audit[[#This Row],[Losing Candidate]], "")</f>
        <v/>
      </c>
      <c r="AG125" s="18" t="str">
        <f>IF(NOT(ISBLANK(Audit[[#This Row],[Audit Candidate 3]])), Audit[[#This Row],[Audit Candidate 3]]-Audit[[#This Row],[Candidate 3]], "")</f>
        <v/>
      </c>
      <c r="AH125" s="18" t="str">
        <f>IF(NOT(ISBLANK(Audit[[#This Row],[Audit Candidate 4]])),Audit[[#This Row],[Audit Candidate 4]]-Audit[[#This Row],[Candidate 4]], "")</f>
        <v/>
      </c>
      <c r="AI125" s="18" t="str">
        <f>IF(NOT(ISBLANK(Audit[[#This Row],[Audit Candidate 5]])), Audit[[#This Row],[Audit Candidate 5]]-Audit[[#This Row],[Candidate 5]], "")</f>
        <v/>
      </c>
      <c r="AJ125" s="18" t="str">
        <f>IF(NOT(ISBLANK(Audit[[#This Row],[Audit Candidate 6]])), Audit[[#This Row],[Audit Candidate 6]]-Audit[[#This Row],[Candidate 6]], "")</f>
        <v/>
      </c>
      <c r="AK125" s="18" t="str">
        <f>IF(NOT(ISBLANK(Audit[[#This Row],[Audit Candidate 7]])), Audit[[#This Row],[Audit Candidate 7]]-Audit[[#This Row],[Candidate 7]], "")</f>
        <v/>
      </c>
      <c r="AL125" s="18" t="str">
        <f>IF(NOT(ISBLANK(Audit[[#This Row],[Audit Candidate 8]])), Audit[[#This Row],[Audit Candidate 8]]-Audit[[#This Row],[Candidate 8]], "")</f>
        <v/>
      </c>
      <c r="AM125" s="18" t="str">
        <f>IF(NOT(ISBLANK(Audit[[#This Row],[Audit Candidate 9]])), Audit[[#This Row],[Audit Candidate 9]]-Audit[[#This Row],[Candidate 9]], "")</f>
        <v/>
      </c>
      <c r="AN125" s="18" t="str">
        <f>IF(NOT(ISBLANK(Audit[[#This Row],[Audit Candidate 10]])), Audit[[#This Row],[Audit Candidate 10]]-Audit[[#This Row],[Candidate 10]], "")</f>
        <v/>
      </c>
      <c r="AO125" s="18" t="str">
        <f>IF(NOT(ISBLANK(Audit[[#This Row],[Audit Candidate 11]])), Audit[[#This Row],[Audit Candidate 11]]-Audit[[#This Row],[Candidate 11]], "")</f>
        <v/>
      </c>
      <c r="AP125" s="18" t="str">
        <f>IF(NOT(ISBLANK(Audit[[#This Row],[Audit Candidate 12]])), Audit[[#This Row],[Audit Candidate 12]]-Audit[[#This Row],[Candidate 12]], "")</f>
        <v/>
      </c>
      <c r="AQ125" s="18">
        <f>SUMIF(Audit[[#This Row],[Difference Winner]:[Difference Candidate 12]], "&gt;0")</f>
        <v>0</v>
      </c>
      <c r="AR125" s="18">
        <f>SUM(Audit[[#This Row],[Difference Winner]:[Difference Candidate 12]])</f>
        <v>0</v>
      </c>
      <c r="AS125" s="18">
        <f>IF(Audit[[#This Row],[Times p Drawn - With Replacement]]&gt;0, IF(Audit[[#This Row],[Canceled Differences]]&lt;0, Audit[[#This Row],[Max Differences]]+ABS(Audit[[#This Row],[Canceled Differences]]), Audit[[#This Row],[Max Differences]]), 0)</f>
        <v>0</v>
      </c>
      <c r="AT125" s="18">
        <f>'Sampling Data'!AB125</f>
        <v>2.5127995728240724E-4</v>
      </c>
      <c r="AU125" s="18">
        <f>IF(
      SUM(Audit[[#This Row],[Audit Losing Candidate]:[Audit Candidate 12]])
      &lt;&gt;0,
      (Audit[[#This Row],[Winning Candidate]]-Audit[[#This Row],[Losing Candidate]]-(Audit[[#This Row],[Audit Winning Candidate]]-Audit[[#This Row],[Audit Losing Candidate]]))/(Audit[[#Totals],[Winning Candidate]]-Audit[[#Totals],[Losing Candidate]]),
      0
)</f>
        <v>0</v>
      </c>
      <c r="AV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8">
        <f>IF(Audit[[#This Row],[Max Relative Error (ep)]] = 0, 0, Audit[[#This Row],[Max Relative Error (ep)]]/Audit[[#This Row],[Error Bound (up) - Max. possible relative overstatement]])</f>
        <v>0</v>
      </c>
      <c r="BH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5" s="18">
        <f t="shared" si="2"/>
        <v>1</v>
      </c>
      <c r="BJ125" s="18">
        <f>PRODUCT($BI$5:BI125)</f>
        <v>1</v>
      </c>
      <c r="BK125" s="20">
        <f>1 - Audit[[#This Row],[K-M P Value]]</f>
        <v>0</v>
      </c>
      <c r="BL125" s="18" t="str">
        <f>IF(Audit[[#This Row],[K-M P Value]]&gt;1-'General Info'!$B$12,"Continue", "Stop")</f>
        <v>Continue</v>
      </c>
      <c r="BM125" s="23" t="b">
        <f>IF(Audit[[#This Row],[Status - Continue or stop audit]] = "Continue", TRUE, IF(BL124 = "Continue", TRUE, FALSE))</f>
        <v>1</v>
      </c>
      <c r="BN125" s="23"/>
    </row>
    <row r="126" spans="1:66" ht="15" hidden="1" customHeight="1" x14ac:dyDescent="0.35">
      <c r="A126" s="18" t="str">
        <f>'Sampling Data'!AI126</f>
        <v/>
      </c>
      <c r="B126" s="18" t="str">
        <f>'Sampling Data'!A126</f>
        <v>2003 CIN 20-C   (AV)</v>
      </c>
      <c r="C126" s="18">
        <f>'Sampling Data'!B126</f>
        <v>12</v>
      </c>
      <c r="D126" s="18">
        <f>'Sampling Data'!C126</f>
        <v>3</v>
      </c>
      <c r="E126" s="19">
        <f>'Sampling Data'!D126</f>
        <v>0</v>
      </c>
      <c r="F126" s="19">
        <f>'Sampling Data'!E126</f>
        <v>0</v>
      </c>
      <c r="G126" s="19">
        <f>'Sampling Data'!F126</f>
        <v>0</v>
      </c>
      <c r="H126" s="19">
        <f>'Sampling Data'!G126</f>
        <v>0</v>
      </c>
      <c r="I126" s="19">
        <f>'Sampling Data'!H126</f>
        <v>0</v>
      </c>
      <c r="J126" s="19">
        <f>'Sampling Data'!I126</f>
        <v>0</v>
      </c>
      <c r="K126" s="19">
        <f>'Sampling Data'!J126</f>
        <v>0</v>
      </c>
      <c r="L126" s="19">
        <f>'Sampling Data'!K126</f>
        <v>0</v>
      </c>
      <c r="M126" s="19">
        <f>'Sampling Data'!L126</f>
        <v>0</v>
      </c>
      <c r="N126" s="19">
        <f>'Sampling Data'!M126</f>
        <v>0</v>
      </c>
      <c r="O126" s="18">
        <f>'Sampling Data'!N126</f>
        <v>0</v>
      </c>
      <c r="P126" s="18">
        <f>'Sampling Data'!O126</f>
        <v>0</v>
      </c>
      <c r="Q126" s="18">
        <f>'Sampling Data'!P126</f>
        <v>15</v>
      </c>
      <c r="R126" s="18">
        <f>'Sampling Data'!AJ126</f>
        <v>0</v>
      </c>
      <c r="S126" s="112"/>
      <c r="T126" s="112"/>
      <c r="U126" s="113"/>
      <c r="V126" s="113"/>
      <c r="W126" s="112"/>
      <c r="X126" s="112"/>
      <c r="Y126" s="112"/>
      <c r="Z126" s="112"/>
      <c r="AA126" s="15"/>
      <c r="AB126" s="15"/>
      <c r="AC126" s="15"/>
      <c r="AD126" s="15"/>
      <c r="AE126" s="114" t="str">
        <f>IF(NOT(ISBLANK(Audit[[#This Row],[Audit Winning Candidate]])), Audit[[#This Row],[Audit Winning Candidate]]-Audit[[#This Row],[Winning Candidate]], "")</f>
        <v/>
      </c>
      <c r="AF126" s="18" t="str">
        <f>IF(NOT(ISBLANK(Audit[[#This Row],[Audit Losing Candidate]])), Audit[[#This Row],[Audit Losing Candidate]]-Audit[[#This Row],[Losing Candidate]], "")</f>
        <v/>
      </c>
      <c r="AG126" s="18" t="str">
        <f>IF(NOT(ISBLANK(Audit[[#This Row],[Audit Candidate 3]])), Audit[[#This Row],[Audit Candidate 3]]-Audit[[#This Row],[Candidate 3]], "")</f>
        <v/>
      </c>
      <c r="AH126" s="18" t="str">
        <f>IF(NOT(ISBLANK(Audit[[#This Row],[Audit Candidate 4]])),Audit[[#This Row],[Audit Candidate 4]]-Audit[[#This Row],[Candidate 4]], "")</f>
        <v/>
      </c>
      <c r="AI126" s="18" t="str">
        <f>IF(NOT(ISBLANK(Audit[[#This Row],[Audit Candidate 5]])), Audit[[#This Row],[Audit Candidate 5]]-Audit[[#This Row],[Candidate 5]], "")</f>
        <v/>
      </c>
      <c r="AJ126" s="18" t="str">
        <f>IF(NOT(ISBLANK(Audit[[#This Row],[Audit Candidate 6]])), Audit[[#This Row],[Audit Candidate 6]]-Audit[[#This Row],[Candidate 6]], "")</f>
        <v/>
      </c>
      <c r="AK126" s="18" t="str">
        <f>IF(NOT(ISBLANK(Audit[[#This Row],[Audit Candidate 7]])), Audit[[#This Row],[Audit Candidate 7]]-Audit[[#This Row],[Candidate 7]], "")</f>
        <v/>
      </c>
      <c r="AL126" s="18" t="str">
        <f>IF(NOT(ISBLANK(Audit[[#This Row],[Audit Candidate 8]])), Audit[[#This Row],[Audit Candidate 8]]-Audit[[#This Row],[Candidate 8]], "")</f>
        <v/>
      </c>
      <c r="AM126" s="18" t="str">
        <f>IF(NOT(ISBLANK(Audit[[#This Row],[Audit Candidate 9]])), Audit[[#This Row],[Audit Candidate 9]]-Audit[[#This Row],[Candidate 9]], "")</f>
        <v/>
      </c>
      <c r="AN126" s="18" t="str">
        <f>IF(NOT(ISBLANK(Audit[[#This Row],[Audit Candidate 10]])), Audit[[#This Row],[Audit Candidate 10]]-Audit[[#This Row],[Candidate 10]], "")</f>
        <v/>
      </c>
      <c r="AO126" s="18" t="str">
        <f>IF(NOT(ISBLANK(Audit[[#This Row],[Audit Candidate 11]])), Audit[[#This Row],[Audit Candidate 11]]-Audit[[#This Row],[Candidate 11]], "")</f>
        <v/>
      </c>
      <c r="AP126" s="18" t="str">
        <f>IF(NOT(ISBLANK(Audit[[#This Row],[Audit Candidate 12]])), Audit[[#This Row],[Audit Candidate 12]]-Audit[[#This Row],[Candidate 12]], "")</f>
        <v/>
      </c>
      <c r="AQ126" s="18">
        <f>SUMIF(Audit[[#This Row],[Difference Winner]:[Difference Candidate 12]], "&gt;0")</f>
        <v>0</v>
      </c>
      <c r="AR126" s="18">
        <f>SUM(Audit[[#This Row],[Difference Winner]:[Difference Candidate 12]])</f>
        <v>0</v>
      </c>
      <c r="AS126" s="18">
        <f>IF(Audit[[#This Row],[Times p Drawn - With Replacement]]&gt;0, IF(Audit[[#This Row],[Canceled Differences]]&lt;0, Audit[[#This Row],[Max Differences]]+ABS(Audit[[#This Row],[Canceled Differences]]), Audit[[#This Row],[Max Differences]]), 0)</f>
        <v>0</v>
      </c>
      <c r="AT126" s="18">
        <f>'Sampling Data'!AB126</f>
        <v>7.5383987184722177E-4</v>
      </c>
      <c r="AU126" s="18">
        <f>IF(
      SUM(Audit[[#This Row],[Audit Losing Candidate]:[Audit Candidate 12]])
      &lt;&gt;0,
      (Audit[[#This Row],[Winning Candidate]]-Audit[[#This Row],[Losing Candidate]]-(Audit[[#This Row],[Audit Winning Candidate]]-Audit[[#This Row],[Audit Losing Candidate]]))/(Audit[[#Totals],[Winning Candidate]]-Audit[[#Totals],[Losing Candidate]]),
      0
)</f>
        <v>0</v>
      </c>
      <c r="AV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8">
        <f>IF(Audit[[#This Row],[Max Relative Error (ep)]] = 0, 0, Audit[[#This Row],[Max Relative Error (ep)]]/Audit[[#This Row],[Error Bound (up) - Max. possible relative overstatement]])</f>
        <v>0</v>
      </c>
      <c r="BH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6" s="18">
        <f t="shared" si="2"/>
        <v>1</v>
      </c>
      <c r="BJ126" s="18">
        <f>PRODUCT($BI$5:BI126)</f>
        <v>1</v>
      </c>
      <c r="BK126" s="20">
        <f>1 - Audit[[#This Row],[K-M P Value]]</f>
        <v>0</v>
      </c>
      <c r="BL126" s="18" t="str">
        <f>IF(Audit[[#This Row],[K-M P Value]]&gt;1-'General Info'!$B$12,"Continue", "Stop")</f>
        <v>Continue</v>
      </c>
      <c r="BM126" s="23" t="b">
        <f>IF(Audit[[#This Row],[Status - Continue or stop audit]] = "Continue", TRUE, IF(BL125 = "Continue", TRUE, FALSE))</f>
        <v>1</v>
      </c>
      <c r="BN126" s="23"/>
    </row>
    <row r="127" spans="1:66" ht="15" hidden="1" customHeight="1" x14ac:dyDescent="0.35">
      <c r="A127" s="18" t="str">
        <f>'Sampling Data'!AI127</f>
        <v/>
      </c>
      <c r="B127" s="18" t="str">
        <f>'Sampling Data'!A127</f>
        <v>2004 CIN 20-D   (AV)</v>
      </c>
      <c r="C127" s="18">
        <f>'Sampling Data'!B127</f>
        <v>6</v>
      </c>
      <c r="D127" s="18">
        <f>'Sampling Data'!C127</f>
        <v>0</v>
      </c>
      <c r="E127" s="19">
        <f>'Sampling Data'!D127</f>
        <v>0</v>
      </c>
      <c r="F127" s="19">
        <f>'Sampling Data'!E127</f>
        <v>0</v>
      </c>
      <c r="G127" s="19">
        <f>'Sampling Data'!F127</f>
        <v>0</v>
      </c>
      <c r="H127" s="19">
        <f>'Sampling Data'!G127</f>
        <v>0</v>
      </c>
      <c r="I127" s="19">
        <f>'Sampling Data'!H127</f>
        <v>0</v>
      </c>
      <c r="J127" s="19">
        <f>'Sampling Data'!I127</f>
        <v>0</v>
      </c>
      <c r="K127" s="19">
        <f>'Sampling Data'!J127</f>
        <v>0</v>
      </c>
      <c r="L127" s="19">
        <f>'Sampling Data'!K127</f>
        <v>0</v>
      </c>
      <c r="M127" s="19">
        <f>'Sampling Data'!L127</f>
        <v>0</v>
      </c>
      <c r="N127" s="19">
        <f>'Sampling Data'!M127</f>
        <v>0</v>
      </c>
      <c r="O127" s="18">
        <f>'Sampling Data'!N127</f>
        <v>0</v>
      </c>
      <c r="P127" s="18">
        <f>'Sampling Data'!O127</f>
        <v>0</v>
      </c>
      <c r="Q127" s="18">
        <f>'Sampling Data'!P127</f>
        <v>6</v>
      </c>
      <c r="R127" s="18">
        <f>'Sampling Data'!AJ127</f>
        <v>0</v>
      </c>
      <c r="S127" s="112"/>
      <c r="T127" s="112"/>
      <c r="U127" s="113"/>
      <c r="V127" s="113"/>
      <c r="W127" s="112"/>
      <c r="X127" s="112"/>
      <c r="Y127" s="112"/>
      <c r="Z127" s="112"/>
      <c r="AA127" s="15"/>
      <c r="AB127" s="15"/>
      <c r="AC127" s="15"/>
      <c r="AD127" s="15"/>
      <c r="AE127" s="114" t="str">
        <f>IF(NOT(ISBLANK(Audit[[#This Row],[Audit Winning Candidate]])), Audit[[#This Row],[Audit Winning Candidate]]-Audit[[#This Row],[Winning Candidate]], "")</f>
        <v/>
      </c>
      <c r="AF127" s="18" t="str">
        <f>IF(NOT(ISBLANK(Audit[[#This Row],[Audit Losing Candidate]])), Audit[[#This Row],[Audit Losing Candidate]]-Audit[[#This Row],[Losing Candidate]], "")</f>
        <v/>
      </c>
      <c r="AG127" s="18" t="str">
        <f>IF(NOT(ISBLANK(Audit[[#This Row],[Audit Candidate 3]])), Audit[[#This Row],[Audit Candidate 3]]-Audit[[#This Row],[Candidate 3]], "")</f>
        <v/>
      </c>
      <c r="AH127" s="18" t="str">
        <f>IF(NOT(ISBLANK(Audit[[#This Row],[Audit Candidate 4]])),Audit[[#This Row],[Audit Candidate 4]]-Audit[[#This Row],[Candidate 4]], "")</f>
        <v/>
      </c>
      <c r="AI127" s="18" t="str">
        <f>IF(NOT(ISBLANK(Audit[[#This Row],[Audit Candidate 5]])), Audit[[#This Row],[Audit Candidate 5]]-Audit[[#This Row],[Candidate 5]], "")</f>
        <v/>
      </c>
      <c r="AJ127" s="18" t="str">
        <f>IF(NOT(ISBLANK(Audit[[#This Row],[Audit Candidate 6]])), Audit[[#This Row],[Audit Candidate 6]]-Audit[[#This Row],[Candidate 6]], "")</f>
        <v/>
      </c>
      <c r="AK127" s="18" t="str">
        <f>IF(NOT(ISBLANK(Audit[[#This Row],[Audit Candidate 7]])), Audit[[#This Row],[Audit Candidate 7]]-Audit[[#This Row],[Candidate 7]], "")</f>
        <v/>
      </c>
      <c r="AL127" s="18" t="str">
        <f>IF(NOT(ISBLANK(Audit[[#This Row],[Audit Candidate 8]])), Audit[[#This Row],[Audit Candidate 8]]-Audit[[#This Row],[Candidate 8]], "")</f>
        <v/>
      </c>
      <c r="AM127" s="18" t="str">
        <f>IF(NOT(ISBLANK(Audit[[#This Row],[Audit Candidate 9]])), Audit[[#This Row],[Audit Candidate 9]]-Audit[[#This Row],[Candidate 9]], "")</f>
        <v/>
      </c>
      <c r="AN127" s="18" t="str">
        <f>IF(NOT(ISBLANK(Audit[[#This Row],[Audit Candidate 10]])), Audit[[#This Row],[Audit Candidate 10]]-Audit[[#This Row],[Candidate 10]], "")</f>
        <v/>
      </c>
      <c r="AO127" s="18" t="str">
        <f>IF(NOT(ISBLANK(Audit[[#This Row],[Audit Candidate 11]])), Audit[[#This Row],[Audit Candidate 11]]-Audit[[#This Row],[Candidate 11]], "")</f>
        <v/>
      </c>
      <c r="AP127" s="18" t="str">
        <f>IF(NOT(ISBLANK(Audit[[#This Row],[Audit Candidate 12]])), Audit[[#This Row],[Audit Candidate 12]]-Audit[[#This Row],[Candidate 12]], "")</f>
        <v/>
      </c>
      <c r="AQ127" s="18">
        <f>SUMIF(Audit[[#This Row],[Difference Winner]:[Difference Candidate 12]], "&gt;0")</f>
        <v>0</v>
      </c>
      <c r="AR127" s="18">
        <f>SUM(Audit[[#This Row],[Difference Winner]:[Difference Candidate 12]])</f>
        <v>0</v>
      </c>
      <c r="AS127" s="18">
        <f>IF(Audit[[#This Row],[Times p Drawn - With Replacement]]&gt;0, IF(Audit[[#This Row],[Canceled Differences]]&lt;0, Audit[[#This Row],[Max Differences]]+ABS(Audit[[#This Row],[Canceled Differences]]), Audit[[#This Row],[Max Differences]]), 0)</f>
        <v>0</v>
      </c>
      <c r="AT127" s="18">
        <f>'Sampling Data'!AB127</f>
        <v>3.7691993592361088E-4</v>
      </c>
      <c r="AU127" s="18">
        <f>IF(
      SUM(Audit[[#This Row],[Audit Losing Candidate]:[Audit Candidate 12]])
      &lt;&gt;0,
      (Audit[[#This Row],[Winning Candidate]]-Audit[[#This Row],[Losing Candidate]]-(Audit[[#This Row],[Audit Winning Candidate]]-Audit[[#This Row],[Audit Losing Candidate]]))/(Audit[[#Totals],[Winning Candidate]]-Audit[[#Totals],[Losing Candidate]]),
      0
)</f>
        <v>0</v>
      </c>
      <c r="AV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8">
        <f>IF(Audit[[#This Row],[Max Relative Error (ep)]] = 0, 0, Audit[[#This Row],[Max Relative Error (ep)]]/Audit[[#This Row],[Error Bound (up) - Max. possible relative overstatement]])</f>
        <v>0</v>
      </c>
      <c r="BH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7" s="18">
        <f t="shared" si="2"/>
        <v>1</v>
      </c>
      <c r="BJ127" s="18">
        <f>PRODUCT($BI$5:BI127)</f>
        <v>1</v>
      </c>
      <c r="BK127" s="20">
        <f>1 - Audit[[#This Row],[K-M P Value]]</f>
        <v>0</v>
      </c>
      <c r="BL127" s="18" t="str">
        <f>IF(Audit[[#This Row],[K-M P Value]]&gt;1-'General Info'!$B$12,"Continue", "Stop")</f>
        <v>Continue</v>
      </c>
      <c r="BM127" s="23" t="b">
        <f>IF(Audit[[#This Row],[Status - Continue or stop audit]] = "Continue", TRUE, IF(BL126 = "Continue", TRUE, FALSE))</f>
        <v>1</v>
      </c>
      <c r="BN127" s="23"/>
    </row>
    <row r="128" spans="1:66" ht="15" hidden="1" customHeight="1" x14ac:dyDescent="0.35">
      <c r="A128" s="18" t="str">
        <f>'Sampling Data'!AI128</f>
        <v/>
      </c>
      <c r="B128" s="18" t="str">
        <f>'Sampling Data'!A128</f>
        <v>2005 CIN 20-E   (AV)</v>
      </c>
      <c r="C128" s="18">
        <f>'Sampling Data'!B128</f>
        <v>1</v>
      </c>
      <c r="D128" s="18">
        <f>'Sampling Data'!C128</f>
        <v>0</v>
      </c>
      <c r="E128" s="19">
        <f>'Sampling Data'!D128</f>
        <v>0</v>
      </c>
      <c r="F128" s="19">
        <f>'Sampling Data'!E128</f>
        <v>0</v>
      </c>
      <c r="G128" s="19">
        <f>'Sampling Data'!F128</f>
        <v>0</v>
      </c>
      <c r="H128" s="19">
        <f>'Sampling Data'!G128</f>
        <v>0</v>
      </c>
      <c r="I128" s="19">
        <f>'Sampling Data'!H128</f>
        <v>0</v>
      </c>
      <c r="J128" s="19">
        <f>'Sampling Data'!I128</f>
        <v>0</v>
      </c>
      <c r="K128" s="19">
        <f>'Sampling Data'!J128</f>
        <v>0</v>
      </c>
      <c r="L128" s="19">
        <f>'Sampling Data'!K128</f>
        <v>0</v>
      </c>
      <c r="M128" s="19">
        <f>'Sampling Data'!L128</f>
        <v>0</v>
      </c>
      <c r="N128" s="19">
        <f>'Sampling Data'!M128</f>
        <v>0</v>
      </c>
      <c r="O128" s="18">
        <f>'Sampling Data'!N128</f>
        <v>0</v>
      </c>
      <c r="P128" s="18">
        <f>'Sampling Data'!O128</f>
        <v>0</v>
      </c>
      <c r="Q128" s="18">
        <f>'Sampling Data'!P128</f>
        <v>1</v>
      </c>
      <c r="R128" s="18">
        <f>'Sampling Data'!AJ128</f>
        <v>0</v>
      </c>
      <c r="S128" s="112"/>
      <c r="T128" s="112"/>
      <c r="U128" s="113"/>
      <c r="V128" s="113"/>
      <c r="W128" s="112"/>
      <c r="X128" s="112"/>
      <c r="Y128" s="112"/>
      <c r="Z128" s="112"/>
      <c r="AA128" s="15"/>
      <c r="AB128" s="15"/>
      <c r="AC128" s="15"/>
      <c r="AD128" s="15"/>
      <c r="AE128" s="114" t="str">
        <f>IF(NOT(ISBLANK(Audit[[#This Row],[Audit Winning Candidate]])), Audit[[#This Row],[Audit Winning Candidate]]-Audit[[#This Row],[Winning Candidate]], "")</f>
        <v/>
      </c>
      <c r="AF128" s="18" t="str">
        <f>IF(NOT(ISBLANK(Audit[[#This Row],[Audit Losing Candidate]])), Audit[[#This Row],[Audit Losing Candidate]]-Audit[[#This Row],[Losing Candidate]], "")</f>
        <v/>
      </c>
      <c r="AG128" s="18" t="str">
        <f>IF(NOT(ISBLANK(Audit[[#This Row],[Audit Candidate 3]])), Audit[[#This Row],[Audit Candidate 3]]-Audit[[#This Row],[Candidate 3]], "")</f>
        <v/>
      </c>
      <c r="AH128" s="18" t="str">
        <f>IF(NOT(ISBLANK(Audit[[#This Row],[Audit Candidate 4]])),Audit[[#This Row],[Audit Candidate 4]]-Audit[[#This Row],[Candidate 4]], "")</f>
        <v/>
      </c>
      <c r="AI128" s="18" t="str">
        <f>IF(NOT(ISBLANK(Audit[[#This Row],[Audit Candidate 5]])), Audit[[#This Row],[Audit Candidate 5]]-Audit[[#This Row],[Candidate 5]], "")</f>
        <v/>
      </c>
      <c r="AJ128" s="18" t="str">
        <f>IF(NOT(ISBLANK(Audit[[#This Row],[Audit Candidate 6]])), Audit[[#This Row],[Audit Candidate 6]]-Audit[[#This Row],[Candidate 6]], "")</f>
        <v/>
      </c>
      <c r="AK128" s="18" t="str">
        <f>IF(NOT(ISBLANK(Audit[[#This Row],[Audit Candidate 7]])), Audit[[#This Row],[Audit Candidate 7]]-Audit[[#This Row],[Candidate 7]], "")</f>
        <v/>
      </c>
      <c r="AL128" s="18" t="str">
        <f>IF(NOT(ISBLANK(Audit[[#This Row],[Audit Candidate 8]])), Audit[[#This Row],[Audit Candidate 8]]-Audit[[#This Row],[Candidate 8]], "")</f>
        <v/>
      </c>
      <c r="AM128" s="18" t="str">
        <f>IF(NOT(ISBLANK(Audit[[#This Row],[Audit Candidate 9]])), Audit[[#This Row],[Audit Candidate 9]]-Audit[[#This Row],[Candidate 9]], "")</f>
        <v/>
      </c>
      <c r="AN128" s="18" t="str">
        <f>IF(NOT(ISBLANK(Audit[[#This Row],[Audit Candidate 10]])), Audit[[#This Row],[Audit Candidate 10]]-Audit[[#This Row],[Candidate 10]], "")</f>
        <v/>
      </c>
      <c r="AO128" s="18" t="str">
        <f>IF(NOT(ISBLANK(Audit[[#This Row],[Audit Candidate 11]])), Audit[[#This Row],[Audit Candidate 11]]-Audit[[#This Row],[Candidate 11]], "")</f>
        <v/>
      </c>
      <c r="AP128" s="18" t="str">
        <f>IF(NOT(ISBLANK(Audit[[#This Row],[Audit Candidate 12]])), Audit[[#This Row],[Audit Candidate 12]]-Audit[[#This Row],[Candidate 12]], "")</f>
        <v/>
      </c>
      <c r="AQ128" s="18">
        <f>SUMIF(Audit[[#This Row],[Difference Winner]:[Difference Candidate 12]], "&gt;0")</f>
        <v>0</v>
      </c>
      <c r="AR128" s="18">
        <f>SUM(Audit[[#This Row],[Difference Winner]:[Difference Candidate 12]])</f>
        <v>0</v>
      </c>
      <c r="AS128" s="18">
        <f>IF(Audit[[#This Row],[Times p Drawn - With Replacement]]&gt;0, IF(Audit[[#This Row],[Canceled Differences]]&lt;0, Audit[[#This Row],[Max Differences]]+ABS(Audit[[#This Row],[Canceled Differences]]), Audit[[#This Row],[Max Differences]]), 0)</f>
        <v>0</v>
      </c>
      <c r="AT128" s="18">
        <f>'Sampling Data'!AB128</f>
        <v>6.2819989320601809E-5</v>
      </c>
      <c r="AU128" s="18">
        <f>IF(
      SUM(Audit[[#This Row],[Audit Losing Candidate]:[Audit Candidate 12]])
      &lt;&gt;0,
      (Audit[[#This Row],[Winning Candidate]]-Audit[[#This Row],[Losing Candidate]]-(Audit[[#This Row],[Audit Winning Candidate]]-Audit[[#This Row],[Audit Losing Candidate]]))/(Audit[[#Totals],[Winning Candidate]]-Audit[[#Totals],[Losing Candidate]]),
      0
)</f>
        <v>0</v>
      </c>
      <c r="AV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8">
        <f>IF(Audit[[#This Row],[Max Relative Error (ep)]] = 0, 0, Audit[[#This Row],[Max Relative Error (ep)]]/Audit[[#This Row],[Error Bound (up) - Max. possible relative overstatement]])</f>
        <v>0</v>
      </c>
      <c r="BH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8" s="18">
        <f t="shared" si="2"/>
        <v>1</v>
      </c>
      <c r="BJ128" s="18">
        <f>PRODUCT($BI$5:BI128)</f>
        <v>1</v>
      </c>
      <c r="BK128" s="20">
        <f>1 - Audit[[#This Row],[K-M P Value]]</f>
        <v>0</v>
      </c>
      <c r="BL128" s="18" t="str">
        <f>IF(Audit[[#This Row],[K-M P Value]]&gt;1-'General Info'!$B$12,"Continue", "Stop")</f>
        <v>Continue</v>
      </c>
      <c r="BM128" s="23" t="b">
        <f>IF(Audit[[#This Row],[Status - Continue or stop audit]] = "Continue", TRUE, IF(BL127 = "Continue", TRUE, FALSE))</f>
        <v>1</v>
      </c>
      <c r="BN128" s="23"/>
    </row>
    <row r="129" spans="1:66" ht="15" hidden="1" customHeight="1" x14ac:dyDescent="0.35">
      <c r="A129" s="18" t="str">
        <f>'Sampling Data'!AI129</f>
        <v/>
      </c>
      <c r="B129" s="18" t="str">
        <f>'Sampling Data'!A129</f>
        <v>2101 CIN 21-A   (AV)</v>
      </c>
      <c r="C129" s="18">
        <f>'Sampling Data'!B129</f>
        <v>4</v>
      </c>
      <c r="D129" s="18">
        <f>'Sampling Data'!C129</f>
        <v>0</v>
      </c>
      <c r="E129" s="19">
        <f>'Sampling Data'!D129</f>
        <v>0</v>
      </c>
      <c r="F129" s="19">
        <f>'Sampling Data'!E129</f>
        <v>0</v>
      </c>
      <c r="G129" s="19">
        <f>'Sampling Data'!F129</f>
        <v>0</v>
      </c>
      <c r="H129" s="19">
        <f>'Sampling Data'!G129</f>
        <v>0</v>
      </c>
      <c r="I129" s="19">
        <f>'Sampling Data'!H129</f>
        <v>0</v>
      </c>
      <c r="J129" s="19">
        <f>'Sampling Data'!I129</f>
        <v>0</v>
      </c>
      <c r="K129" s="19">
        <f>'Sampling Data'!J129</f>
        <v>0</v>
      </c>
      <c r="L129" s="19">
        <f>'Sampling Data'!K129</f>
        <v>0</v>
      </c>
      <c r="M129" s="19">
        <f>'Sampling Data'!L129</f>
        <v>0</v>
      </c>
      <c r="N129" s="19">
        <f>'Sampling Data'!M129</f>
        <v>0</v>
      </c>
      <c r="O129" s="18">
        <f>'Sampling Data'!N129</f>
        <v>0</v>
      </c>
      <c r="P129" s="18">
        <f>'Sampling Data'!O129</f>
        <v>0</v>
      </c>
      <c r="Q129" s="18">
        <f>'Sampling Data'!P129</f>
        <v>4</v>
      </c>
      <c r="R129" s="18">
        <f>'Sampling Data'!AJ129</f>
        <v>0</v>
      </c>
      <c r="S129" s="112"/>
      <c r="T129" s="112"/>
      <c r="U129" s="113"/>
      <c r="V129" s="113"/>
      <c r="W129" s="112"/>
      <c r="X129" s="112"/>
      <c r="Y129" s="112"/>
      <c r="Z129" s="112"/>
      <c r="AA129" s="15"/>
      <c r="AB129" s="15"/>
      <c r="AC129" s="15"/>
      <c r="AD129" s="15"/>
      <c r="AE129" s="114" t="str">
        <f>IF(NOT(ISBLANK(Audit[[#This Row],[Audit Winning Candidate]])), Audit[[#This Row],[Audit Winning Candidate]]-Audit[[#This Row],[Winning Candidate]], "")</f>
        <v/>
      </c>
      <c r="AF129" s="18" t="str">
        <f>IF(NOT(ISBLANK(Audit[[#This Row],[Audit Losing Candidate]])), Audit[[#This Row],[Audit Losing Candidate]]-Audit[[#This Row],[Losing Candidate]], "")</f>
        <v/>
      </c>
      <c r="AG129" s="18" t="str">
        <f>IF(NOT(ISBLANK(Audit[[#This Row],[Audit Candidate 3]])), Audit[[#This Row],[Audit Candidate 3]]-Audit[[#This Row],[Candidate 3]], "")</f>
        <v/>
      </c>
      <c r="AH129" s="18" t="str">
        <f>IF(NOT(ISBLANK(Audit[[#This Row],[Audit Candidate 4]])),Audit[[#This Row],[Audit Candidate 4]]-Audit[[#This Row],[Candidate 4]], "")</f>
        <v/>
      </c>
      <c r="AI129" s="18" t="str">
        <f>IF(NOT(ISBLANK(Audit[[#This Row],[Audit Candidate 5]])), Audit[[#This Row],[Audit Candidate 5]]-Audit[[#This Row],[Candidate 5]], "")</f>
        <v/>
      </c>
      <c r="AJ129" s="18" t="str">
        <f>IF(NOT(ISBLANK(Audit[[#This Row],[Audit Candidate 6]])), Audit[[#This Row],[Audit Candidate 6]]-Audit[[#This Row],[Candidate 6]], "")</f>
        <v/>
      </c>
      <c r="AK129" s="18" t="str">
        <f>IF(NOT(ISBLANK(Audit[[#This Row],[Audit Candidate 7]])), Audit[[#This Row],[Audit Candidate 7]]-Audit[[#This Row],[Candidate 7]], "")</f>
        <v/>
      </c>
      <c r="AL129" s="18" t="str">
        <f>IF(NOT(ISBLANK(Audit[[#This Row],[Audit Candidate 8]])), Audit[[#This Row],[Audit Candidate 8]]-Audit[[#This Row],[Candidate 8]], "")</f>
        <v/>
      </c>
      <c r="AM129" s="18" t="str">
        <f>IF(NOT(ISBLANK(Audit[[#This Row],[Audit Candidate 9]])), Audit[[#This Row],[Audit Candidate 9]]-Audit[[#This Row],[Candidate 9]], "")</f>
        <v/>
      </c>
      <c r="AN129" s="18" t="str">
        <f>IF(NOT(ISBLANK(Audit[[#This Row],[Audit Candidate 10]])), Audit[[#This Row],[Audit Candidate 10]]-Audit[[#This Row],[Candidate 10]], "")</f>
        <v/>
      </c>
      <c r="AO129" s="18" t="str">
        <f>IF(NOT(ISBLANK(Audit[[#This Row],[Audit Candidate 11]])), Audit[[#This Row],[Audit Candidate 11]]-Audit[[#This Row],[Candidate 11]], "")</f>
        <v/>
      </c>
      <c r="AP129" s="18" t="str">
        <f>IF(NOT(ISBLANK(Audit[[#This Row],[Audit Candidate 12]])), Audit[[#This Row],[Audit Candidate 12]]-Audit[[#This Row],[Candidate 12]], "")</f>
        <v/>
      </c>
      <c r="AQ129" s="18">
        <f>SUMIF(Audit[[#This Row],[Difference Winner]:[Difference Candidate 12]], "&gt;0")</f>
        <v>0</v>
      </c>
      <c r="AR129" s="18">
        <f>SUM(Audit[[#This Row],[Difference Winner]:[Difference Candidate 12]])</f>
        <v>0</v>
      </c>
      <c r="AS129" s="18">
        <f>IF(Audit[[#This Row],[Times p Drawn - With Replacement]]&gt;0, IF(Audit[[#This Row],[Canceled Differences]]&lt;0, Audit[[#This Row],[Max Differences]]+ABS(Audit[[#This Row],[Canceled Differences]]), Audit[[#This Row],[Max Differences]]), 0)</f>
        <v>0</v>
      </c>
      <c r="AT129" s="18">
        <f>'Sampling Data'!AB129</f>
        <v>2.5127995728240724E-4</v>
      </c>
      <c r="AU129" s="18">
        <f>IF(
      SUM(Audit[[#This Row],[Audit Losing Candidate]:[Audit Candidate 12]])
      &lt;&gt;0,
      (Audit[[#This Row],[Winning Candidate]]-Audit[[#This Row],[Losing Candidate]]-(Audit[[#This Row],[Audit Winning Candidate]]-Audit[[#This Row],[Audit Losing Candidate]]))/(Audit[[#Totals],[Winning Candidate]]-Audit[[#Totals],[Losing Candidate]]),
      0
)</f>
        <v>0</v>
      </c>
      <c r="AV1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8">
        <f>IF(Audit[[#This Row],[Max Relative Error (ep)]] = 0, 0, Audit[[#This Row],[Max Relative Error (ep)]]/Audit[[#This Row],[Error Bound (up) - Max. possible relative overstatement]])</f>
        <v>0</v>
      </c>
      <c r="BH1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29" s="18">
        <f t="shared" si="2"/>
        <v>1</v>
      </c>
      <c r="BJ129" s="18">
        <f>PRODUCT($BI$5:BI129)</f>
        <v>1</v>
      </c>
      <c r="BK129" s="20">
        <f>1 - Audit[[#This Row],[K-M P Value]]</f>
        <v>0</v>
      </c>
      <c r="BL129" s="18" t="str">
        <f>IF(Audit[[#This Row],[K-M P Value]]&gt;1-'General Info'!$B$12,"Continue", "Stop")</f>
        <v>Continue</v>
      </c>
      <c r="BM129" s="23" t="b">
        <f>IF(Audit[[#This Row],[Status - Continue or stop audit]] = "Continue", TRUE, IF(BL128 = "Continue", TRUE, FALSE))</f>
        <v>1</v>
      </c>
      <c r="BN129" s="23"/>
    </row>
    <row r="130" spans="1:66" ht="15" hidden="1" customHeight="1" x14ac:dyDescent="0.35">
      <c r="A130" s="18" t="str">
        <f>'Sampling Data'!AI130</f>
        <v/>
      </c>
      <c r="B130" s="18" t="str">
        <f>'Sampling Data'!A130</f>
        <v>2102 CIN 21-B   (AV)</v>
      </c>
      <c r="C130" s="18">
        <f>'Sampling Data'!B130</f>
        <v>3</v>
      </c>
      <c r="D130" s="18">
        <f>'Sampling Data'!C130</f>
        <v>0</v>
      </c>
      <c r="E130" s="19">
        <f>'Sampling Data'!D130</f>
        <v>0</v>
      </c>
      <c r="F130" s="19">
        <f>'Sampling Data'!E130</f>
        <v>0</v>
      </c>
      <c r="G130" s="19">
        <f>'Sampling Data'!F130</f>
        <v>0</v>
      </c>
      <c r="H130" s="19">
        <f>'Sampling Data'!G130</f>
        <v>0</v>
      </c>
      <c r="I130" s="19">
        <f>'Sampling Data'!H130</f>
        <v>0</v>
      </c>
      <c r="J130" s="19">
        <f>'Sampling Data'!I130</f>
        <v>0</v>
      </c>
      <c r="K130" s="19">
        <f>'Sampling Data'!J130</f>
        <v>0</v>
      </c>
      <c r="L130" s="19">
        <f>'Sampling Data'!K130</f>
        <v>0</v>
      </c>
      <c r="M130" s="19">
        <f>'Sampling Data'!L130</f>
        <v>0</v>
      </c>
      <c r="N130" s="19">
        <f>'Sampling Data'!M130</f>
        <v>0</v>
      </c>
      <c r="O130" s="18">
        <f>'Sampling Data'!N130</f>
        <v>0</v>
      </c>
      <c r="P130" s="18">
        <f>'Sampling Data'!O130</f>
        <v>0</v>
      </c>
      <c r="Q130" s="18">
        <f>'Sampling Data'!P130</f>
        <v>3</v>
      </c>
      <c r="R130" s="18">
        <f>'Sampling Data'!AJ130</f>
        <v>0</v>
      </c>
      <c r="S130" s="112"/>
      <c r="T130" s="112"/>
      <c r="U130" s="113"/>
      <c r="V130" s="113"/>
      <c r="W130" s="112"/>
      <c r="X130" s="112"/>
      <c r="Y130" s="112"/>
      <c r="Z130" s="112"/>
      <c r="AA130" s="15"/>
      <c r="AB130" s="15"/>
      <c r="AC130" s="15"/>
      <c r="AD130" s="15"/>
      <c r="AE130" s="114" t="str">
        <f>IF(NOT(ISBLANK(Audit[[#This Row],[Audit Winning Candidate]])), Audit[[#This Row],[Audit Winning Candidate]]-Audit[[#This Row],[Winning Candidate]], "")</f>
        <v/>
      </c>
      <c r="AF130" s="18" t="str">
        <f>IF(NOT(ISBLANK(Audit[[#This Row],[Audit Losing Candidate]])), Audit[[#This Row],[Audit Losing Candidate]]-Audit[[#This Row],[Losing Candidate]], "")</f>
        <v/>
      </c>
      <c r="AG130" s="18" t="str">
        <f>IF(NOT(ISBLANK(Audit[[#This Row],[Audit Candidate 3]])), Audit[[#This Row],[Audit Candidate 3]]-Audit[[#This Row],[Candidate 3]], "")</f>
        <v/>
      </c>
      <c r="AH130" s="18" t="str">
        <f>IF(NOT(ISBLANK(Audit[[#This Row],[Audit Candidate 4]])),Audit[[#This Row],[Audit Candidate 4]]-Audit[[#This Row],[Candidate 4]], "")</f>
        <v/>
      </c>
      <c r="AI130" s="18" t="str">
        <f>IF(NOT(ISBLANK(Audit[[#This Row],[Audit Candidate 5]])), Audit[[#This Row],[Audit Candidate 5]]-Audit[[#This Row],[Candidate 5]], "")</f>
        <v/>
      </c>
      <c r="AJ130" s="18" t="str">
        <f>IF(NOT(ISBLANK(Audit[[#This Row],[Audit Candidate 6]])), Audit[[#This Row],[Audit Candidate 6]]-Audit[[#This Row],[Candidate 6]], "")</f>
        <v/>
      </c>
      <c r="AK130" s="18" t="str">
        <f>IF(NOT(ISBLANK(Audit[[#This Row],[Audit Candidate 7]])), Audit[[#This Row],[Audit Candidate 7]]-Audit[[#This Row],[Candidate 7]], "")</f>
        <v/>
      </c>
      <c r="AL130" s="18" t="str">
        <f>IF(NOT(ISBLANK(Audit[[#This Row],[Audit Candidate 8]])), Audit[[#This Row],[Audit Candidate 8]]-Audit[[#This Row],[Candidate 8]], "")</f>
        <v/>
      </c>
      <c r="AM130" s="18" t="str">
        <f>IF(NOT(ISBLANK(Audit[[#This Row],[Audit Candidate 9]])), Audit[[#This Row],[Audit Candidate 9]]-Audit[[#This Row],[Candidate 9]], "")</f>
        <v/>
      </c>
      <c r="AN130" s="18" t="str">
        <f>IF(NOT(ISBLANK(Audit[[#This Row],[Audit Candidate 10]])), Audit[[#This Row],[Audit Candidate 10]]-Audit[[#This Row],[Candidate 10]], "")</f>
        <v/>
      </c>
      <c r="AO130" s="18" t="str">
        <f>IF(NOT(ISBLANK(Audit[[#This Row],[Audit Candidate 11]])), Audit[[#This Row],[Audit Candidate 11]]-Audit[[#This Row],[Candidate 11]], "")</f>
        <v/>
      </c>
      <c r="AP130" s="18" t="str">
        <f>IF(NOT(ISBLANK(Audit[[#This Row],[Audit Candidate 12]])), Audit[[#This Row],[Audit Candidate 12]]-Audit[[#This Row],[Candidate 12]], "")</f>
        <v/>
      </c>
      <c r="AQ130" s="18">
        <f>SUMIF(Audit[[#This Row],[Difference Winner]:[Difference Candidate 12]], "&gt;0")</f>
        <v>0</v>
      </c>
      <c r="AR130" s="18">
        <f>SUM(Audit[[#This Row],[Difference Winner]:[Difference Candidate 12]])</f>
        <v>0</v>
      </c>
      <c r="AS130" s="18">
        <f>IF(Audit[[#This Row],[Times p Drawn - With Replacement]]&gt;0, IF(Audit[[#This Row],[Canceled Differences]]&lt;0, Audit[[#This Row],[Max Differences]]+ABS(Audit[[#This Row],[Canceled Differences]]), Audit[[#This Row],[Max Differences]]), 0)</f>
        <v>0</v>
      </c>
      <c r="AT130" s="18">
        <f>'Sampling Data'!AB130</f>
        <v>1.8845996796180544E-4</v>
      </c>
      <c r="AU130" s="18">
        <f>IF(
      SUM(Audit[[#This Row],[Audit Losing Candidate]:[Audit Candidate 12]])
      &lt;&gt;0,
      (Audit[[#This Row],[Winning Candidate]]-Audit[[#This Row],[Losing Candidate]]-(Audit[[#This Row],[Audit Winning Candidate]]-Audit[[#This Row],[Audit Losing Candidate]]))/(Audit[[#Totals],[Winning Candidate]]-Audit[[#Totals],[Losing Candidate]]),
      0
)</f>
        <v>0</v>
      </c>
      <c r="AV1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8">
        <f>IF(Audit[[#This Row],[Max Relative Error (ep)]] = 0, 0, Audit[[#This Row],[Max Relative Error (ep)]]/Audit[[#This Row],[Error Bound (up) - Max. possible relative overstatement]])</f>
        <v>0</v>
      </c>
      <c r="BH1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0" s="18">
        <f t="shared" si="2"/>
        <v>1</v>
      </c>
      <c r="BJ130" s="18">
        <f>PRODUCT($BI$5:BI130)</f>
        <v>1</v>
      </c>
      <c r="BK130" s="20">
        <f>1 - Audit[[#This Row],[K-M P Value]]</f>
        <v>0</v>
      </c>
      <c r="BL130" s="18" t="str">
        <f>IF(Audit[[#This Row],[K-M P Value]]&gt;1-'General Info'!$B$12,"Continue", "Stop")</f>
        <v>Continue</v>
      </c>
      <c r="BM130" s="23" t="b">
        <f>IF(Audit[[#This Row],[Status - Continue or stop audit]] = "Continue", TRUE, IF(BL129 = "Continue", TRUE, FALSE))</f>
        <v>1</v>
      </c>
      <c r="BN130" s="23"/>
    </row>
    <row r="131" spans="1:66" ht="15" hidden="1" customHeight="1" x14ac:dyDescent="0.35">
      <c r="A131" s="18" t="str">
        <f>'Sampling Data'!AI131</f>
        <v/>
      </c>
      <c r="B131" s="18" t="str">
        <f>'Sampling Data'!A131</f>
        <v>2103 CIN 21-C   (AV)</v>
      </c>
      <c r="C131" s="18">
        <f>'Sampling Data'!B131</f>
        <v>6</v>
      </c>
      <c r="D131" s="18">
        <f>'Sampling Data'!C131</f>
        <v>2</v>
      </c>
      <c r="E131" s="19">
        <f>'Sampling Data'!D131</f>
        <v>0</v>
      </c>
      <c r="F131" s="19">
        <f>'Sampling Data'!E131</f>
        <v>0</v>
      </c>
      <c r="G131" s="19">
        <f>'Sampling Data'!F131</f>
        <v>0</v>
      </c>
      <c r="H131" s="19">
        <f>'Sampling Data'!G131</f>
        <v>0</v>
      </c>
      <c r="I131" s="19">
        <f>'Sampling Data'!H131</f>
        <v>0</v>
      </c>
      <c r="J131" s="19">
        <f>'Sampling Data'!I131</f>
        <v>0</v>
      </c>
      <c r="K131" s="19">
        <f>'Sampling Data'!J131</f>
        <v>0</v>
      </c>
      <c r="L131" s="19">
        <f>'Sampling Data'!K131</f>
        <v>0</v>
      </c>
      <c r="M131" s="19">
        <f>'Sampling Data'!L131</f>
        <v>0</v>
      </c>
      <c r="N131" s="19">
        <f>'Sampling Data'!M131</f>
        <v>0</v>
      </c>
      <c r="O131" s="18">
        <f>'Sampling Data'!N131</f>
        <v>0</v>
      </c>
      <c r="P131" s="18">
        <f>'Sampling Data'!O131</f>
        <v>0</v>
      </c>
      <c r="Q131" s="18">
        <f>'Sampling Data'!P131</f>
        <v>8</v>
      </c>
      <c r="R131" s="18">
        <f>'Sampling Data'!AJ131</f>
        <v>0</v>
      </c>
      <c r="S131" s="112"/>
      <c r="T131" s="112"/>
      <c r="U131" s="113"/>
      <c r="V131" s="113"/>
      <c r="W131" s="112"/>
      <c r="X131" s="112"/>
      <c r="Y131" s="112"/>
      <c r="Z131" s="112"/>
      <c r="AA131" s="15"/>
      <c r="AB131" s="15"/>
      <c r="AC131" s="15"/>
      <c r="AD131" s="15"/>
      <c r="AE131" s="114" t="str">
        <f>IF(NOT(ISBLANK(Audit[[#This Row],[Audit Winning Candidate]])), Audit[[#This Row],[Audit Winning Candidate]]-Audit[[#This Row],[Winning Candidate]], "")</f>
        <v/>
      </c>
      <c r="AF131" s="18" t="str">
        <f>IF(NOT(ISBLANK(Audit[[#This Row],[Audit Losing Candidate]])), Audit[[#This Row],[Audit Losing Candidate]]-Audit[[#This Row],[Losing Candidate]], "")</f>
        <v/>
      </c>
      <c r="AG131" s="18" t="str">
        <f>IF(NOT(ISBLANK(Audit[[#This Row],[Audit Candidate 3]])), Audit[[#This Row],[Audit Candidate 3]]-Audit[[#This Row],[Candidate 3]], "")</f>
        <v/>
      </c>
      <c r="AH131" s="18" t="str">
        <f>IF(NOT(ISBLANK(Audit[[#This Row],[Audit Candidate 4]])),Audit[[#This Row],[Audit Candidate 4]]-Audit[[#This Row],[Candidate 4]], "")</f>
        <v/>
      </c>
      <c r="AI131" s="18" t="str">
        <f>IF(NOT(ISBLANK(Audit[[#This Row],[Audit Candidate 5]])), Audit[[#This Row],[Audit Candidate 5]]-Audit[[#This Row],[Candidate 5]], "")</f>
        <v/>
      </c>
      <c r="AJ131" s="18" t="str">
        <f>IF(NOT(ISBLANK(Audit[[#This Row],[Audit Candidate 6]])), Audit[[#This Row],[Audit Candidate 6]]-Audit[[#This Row],[Candidate 6]], "")</f>
        <v/>
      </c>
      <c r="AK131" s="18" t="str">
        <f>IF(NOT(ISBLANK(Audit[[#This Row],[Audit Candidate 7]])), Audit[[#This Row],[Audit Candidate 7]]-Audit[[#This Row],[Candidate 7]], "")</f>
        <v/>
      </c>
      <c r="AL131" s="18" t="str">
        <f>IF(NOT(ISBLANK(Audit[[#This Row],[Audit Candidate 8]])), Audit[[#This Row],[Audit Candidate 8]]-Audit[[#This Row],[Candidate 8]], "")</f>
        <v/>
      </c>
      <c r="AM131" s="18" t="str">
        <f>IF(NOT(ISBLANK(Audit[[#This Row],[Audit Candidate 9]])), Audit[[#This Row],[Audit Candidate 9]]-Audit[[#This Row],[Candidate 9]], "")</f>
        <v/>
      </c>
      <c r="AN131" s="18" t="str">
        <f>IF(NOT(ISBLANK(Audit[[#This Row],[Audit Candidate 10]])), Audit[[#This Row],[Audit Candidate 10]]-Audit[[#This Row],[Candidate 10]], "")</f>
        <v/>
      </c>
      <c r="AO131" s="18" t="str">
        <f>IF(NOT(ISBLANK(Audit[[#This Row],[Audit Candidate 11]])), Audit[[#This Row],[Audit Candidate 11]]-Audit[[#This Row],[Candidate 11]], "")</f>
        <v/>
      </c>
      <c r="AP131" s="18" t="str">
        <f>IF(NOT(ISBLANK(Audit[[#This Row],[Audit Candidate 12]])), Audit[[#This Row],[Audit Candidate 12]]-Audit[[#This Row],[Candidate 12]], "")</f>
        <v/>
      </c>
      <c r="AQ131" s="18">
        <f>SUMIF(Audit[[#This Row],[Difference Winner]:[Difference Candidate 12]], "&gt;0")</f>
        <v>0</v>
      </c>
      <c r="AR131" s="18">
        <f>SUM(Audit[[#This Row],[Difference Winner]:[Difference Candidate 12]])</f>
        <v>0</v>
      </c>
      <c r="AS131" s="18">
        <f>IF(Audit[[#This Row],[Times p Drawn - With Replacement]]&gt;0, IF(Audit[[#This Row],[Canceled Differences]]&lt;0, Audit[[#This Row],[Max Differences]]+ABS(Audit[[#This Row],[Canceled Differences]]), Audit[[#This Row],[Max Differences]]), 0)</f>
        <v>0</v>
      </c>
      <c r="AT131" s="18">
        <f>'Sampling Data'!AB131</f>
        <v>3.7691993592361088E-4</v>
      </c>
      <c r="AU131" s="18">
        <f>IF(
      SUM(Audit[[#This Row],[Audit Losing Candidate]:[Audit Candidate 12]])
      &lt;&gt;0,
      (Audit[[#This Row],[Winning Candidate]]-Audit[[#This Row],[Losing Candidate]]-(Audit[[#This Row],[Audit Winning Candidate]]-Audit[[#This Row],[Audit Losing Candidate]]))/(Audit[[#Totals],[Winning Candidate]]-Audit[[#Totals],[Losing Candidate]]),
      0
)</f>
        <v>0</v>
      </c>
      <c r="AV1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8">
        <f>IF(Audit[[#This Row],[Max Relative Error (ep)]] = 0, 0, Audit[[#This Row],[Max Relative Error (ep)]]/Audit[[#This Row],[Error Bound (up) - Max. possible relative overstatement]])</f>
        <v>0</v>
      </c>
      <c r="BH1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1" s="18">
        <f t="shared" si="2"/>
        <v>1</v>
      </c>
      <c r="BJ131" s="18">
        <f>PRODUCT($BI$5:BI131)</f>
        <v>1</v>
      </c>
      <c r="BK131" s="20">
        <f>1 - Audit[[#This Row],[K-M P Value]]</f>
        <v>0</v>
      </c>
      <c r="BL131" s="18" t="str">
        <f>IF(Audit[[#This Row],[K-M P Value]]&gt;1-'General Info'!$B$12,"Continue", "Stop")</f>
        <v>Continue</v>
      </c>
      <c r="BM131" s="23" t="b">
        <f>IF(Audit[[#This Row],[Status - Continue or stop audit]] = "Continue", TRUE, IF(BL130 = "Continue", TRUE, FALSE))</f>
        <v>1</v>
      </c>
      <c r="BN131" s="23"/>
    </row>
    <row r="132" spans="1:66" ht="15" hidden="1" customHeight="1" x14ac:dyDescent="0.35">
      <c r="A132" s="18" t="str">
        <f>'Sampling Data'!AI132</f>
        <v/>
      </c>
      <c r="B132" s="18" t="str">
        <f>'Sampling Data'!A132</f>
        <v>2104 CIN 21-D   (AV)</v>
      </c>
      <c r="C132" s="18">
        <f>'Sampling Data'!B132</f>
        <v>2</v>
      </c>
      <c r="D132" s="18">
        <f>'Sampling Data'!C132</f>
        <v>3</v>
      </c>
      <c r="E132" s="19">
        <f>'Sampling Data'!D132</f>
        <v>0</v>
      </c>
      <c r="F132" s="19">
        <f>'Sampling Data'!E132</f>
        <v>0</v>
      </c>
      <c r="G132" s="19">
        <f>'Sampling Data'!F132</f>
        <v>0</v>
      </c>
      <c r="H132" s="19">
        <f>'Sampling Data'!G132</f>
        <v>0</v>
      </c>
      <c r="I132" s="19">
        <f>'Sampling Data'!H132</f>
        <v>0</v>
      </c>
      <c r="J132" s="19">
        <f>'Sampling Data'!I132</f>
        <v>0</v>
      </c>
      <c r="K132" s="19">
        <f>'Sampling Data'!J132</f>
        <v>0</v>
      </c>
      <c r="L132" s="19">
        <f>'Sampling Data'!K132</f>
        <v>0</v>
      </c>
      <c r="M132" s="19">
        <f>'Sampling Data'!L132</f>
        <v>0</v>
      </c>
      <c r="N132" s="19">
        <f>'Sampling Data'!M132</f>
        <v>0</v>
      </c>
      <c r="O132" s="18">
        <f>'Sampling Data'!N132</f>
        <v>0</v>
      </c>
      <c r="P132" s="18">
        <f>'Sampling Data'!O132</f>
        <v>0</v>
      </c>
      <c r="Q132" s="18">
        <f>'Sampling Data'!P132</f>
        <v>5</v>
      </c>
      <c r="R132" s="18">
        <f>'Sampling Data'!AJ132</f>
        <v>0</v>
      </c>
      <c r="S132" s="112"/>
      <c r="T132" s="112"/>
      <c r="U132" s="113"/>
      <c r="V132" s="113"/>
      <c r="W132" s="112"/>
      <c r="X132" s="112"/>
      <c r="Y132" s="112"/>
      <c r="Z132" s="112"/>
      <c r="AA132" s="15"/>
      <c r="AB132" s="15"/>
      <c r="AC132" s="15"/>
      <c r="AD132" s="15"/>
      <c r="AE132" s="114" t="str">
        <f>IF(NOT(ISBLANK(Audit[[#This Row],[Audit Winning Candidate]])), Audit[[#This Row],[Audit Winning Candidate]]-Audit[[#This Row],[Winning Candidate]], "")</f>
        <v/>
      </c>
      <c r="AF132" s="18" t="str">
        <f>IF(NOT(ISBLANK(Audit[[#This Row],[Audit Losing Candidate]])), Audit[[#This Row],[Audit Losing Candidate]]-Audit[[#This Row],[Losing Candidate]], "")</f>
        <v/>
      </c>
      <c r="AG132" s="18" t="str">
        <f>IF(NOT(ISBLANK(Audit[[#This Row],[Audit Candidate 3]])), Audit[[#This Row],[Audit Candidate 3]]-Audit[[#This Row],[Candidate 3]], "")</f>
        <v/>
      </c>
      <c r="AH132" s="18" t="str">
        <f>IF(NOT(ISBLANK(Audit[[#This Row],[Audit Candidate 4]])),Audit[[#This Row],[Audit Candidate 4]]-Audit[[#This Row],[Candidate 4]], "")</f>
        <v/>
      </c>
      <c r="AI132" s="18" t="str">
        <f>IF(NOT(ISBLANK(Audit[[#This Row],[Audit Candidate 5]])), Audit[[#This Row],[Audit Candidate 5]]-Audit[[#This Row],[Candidate 5]], "")</f>
        <v/>
      </c>
      <c r="AJ132" s="18" t="str">
        <f>IF(NOT(ISBLANK(Audit[[#This Row],[Audit Candidate 6]])), Audit[[#This Row],[Audit Candidate 6]]-Audit[[#This Row],[Candidate 6]], "")</f>
        <v/>
      </c>
      <c r="AK132" s="18" t="str">
        <f>IF(NOT(ISBLANK(Audit[[#This Row],[Audit Candidate 7]])), Audit[[#This Row],[Audit Candidate 7]]-Audit[[#This Row],[Candidate 7]], "")</f>
        <v/>
      </c>
      <c r="AL132" s="18" t="str">
        <f>IF(NOT(ISBLANK(Audit[[#This Row],[Audit Candidate 8]])), Audit[[#This Row],[Audit Candidate 8]]-Audit[[#This Row],[Candidate 8]], "")</f>
        <v/>
      </c>
      <c r="AM132" s="18" t="str">
        <f>IF(NOT(ISBLANK(Audit[[#This Row],[Audit Candidate 9]])), Audit[[#This Row],[Audit Candidate 9]]-Audit[[#This Row],[Candidate 9]], "")</f>
        <v/>
      </c>
      <c r="AN132" s="18" t="str">
        <f>IF(NOT(ISBLANK(Audit[[#This Row],[Audit Candidate 10]])), Audit[[#This Row],[Audit Candidate 10]]-Audit[[#This Row],[Candidate 10]], "")</f>
        <v/>
      </c>
      <c r="AO132" s="18" t="str">
        <f>IF(NOT(ISBLANK(Audit[[#This Row],[Audit Candidate 11]])), Audit[[#This Row],[Audit Candidate 11]]-Audit[[#This Row],[Candidate 11]], "")</f>
        <v/>
      </c>
      <c r="AP132" s="18" t="str">
        <f>IF(NOT(ISBLANK(Audit[[#This Row],[Audit Candidate 12]])), Audit[[#This Row],[Audit Candidate 12]]-Audit[[#This Row],[Candidate 12]], "")</f>
        <v/>
      </c>
      <c r="AQ132" s="18">
        <f>SUMIF(Audit[[#This Row],[Difference Winner]:[Difference Candidate 12]], "&gt;0")</f>
        <v>0</v>
      </c>
      <c r="AR132" s="18">
        <f>SUM(Audit[[#This Row],[Difference Winner]:[Difference Candidate 12]])</f>
        <v>0</v>
      </c>
      <c r="AS132" s="18">
        <f>IF(Audit[[#This Row],[Times p Drawn - With Replacement]]&gt;0, IF(Audit[[#This Row],[Canceled Differences]]&lt;0, Audit[[#This Row],[Max Differences]]+ABS(Audit[[#This Row],[Canceled Differences]]), Audit[[#This Row],[Max Differences]]), 0)</f>
        <v>0</v>
      </c>
      <c r="AT132" s="18">
        <f>'Sampling Data'!AB132</f>
        <v>1.2563997864120362E-4</v>
      </c>
      <c r="AU132" s="18">
        <f>IF(
      SUM(Audit[[#This Row],[Audit Losing Candidate]:[Audit Candidate 12]])
      &lt;&gt;0,
      (Audit[[#This Row],[Winning Candidate]]-Audit[[#This Row],[Losing Candidate]]-(Audit[[#This Row],[Audit Winning Candidate]]-Audit[[#This Row],[Audit Losing Candidate]]))/(Audit[[#Totals],[Winning Candidate]]-Audit[[#Totals],[Losing Candidate]]),
      0
)</f>
        <v>0</v>
      </c>
      <c r="AV1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8">
        <f>IF(Audit[[#This Row],[Max Relative Error (ep)]] = 0, 0, Audit[[#This Row],[Max Relative Error (ep)]]/Audit[[#This Row],[Error Bound (up) - Max. possible relative overstatement]])</f>
        <v>0</v>
      </c>
      <c r="BH1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2" s="18">
        <f t="shared" si="2"/>
        <v>1</v>
      </c>
      <c r="BJ132" s="18">
        <f>PRODUCT($BI$5:BI132)</f>
        <v>1</v>
      </c>
      <c r="BK132" s="20">
        <f>1 - Audit[[#This Row],[K-M P Value]]</f>
        <v>0</v>
      </c>
      <c r="BL132" s="18" t="str">
        <f>IF(Audit[[#This Row],[K-M P Value]]&gt;1-'General Info'!$B$12,"Continue", "Stop")</f>
        <v>Continue</v>
      </c>
      <c r="BM132" s="23" t="b">
        <f>IF(Audit[[#This Row],[Status - Continue or stop audit]] = "Continue", TRUE, IF(BL131 = "Continue", TRUE, FALSE))</f>
        <v>1</v>
      </c>
      <c r="BN132" s="23"/>
    </row>
    <row r="133" spans="1:66" ht="15" hidden="1" customHeight="1" x14ac:dyDescent="0.35">
      <c r="A133" s="18" t="str">
        <f>'Sampling Data'!AI133</f>
        <v/>
      </c>
      <c r="B133" s="18" t="str">
        <f>'Sampling Data'!A133</f>
        <v>2105 CIN 21-E   (AV)</v>
      </c>
      <c r="C133" s="18">
        <f>'Sampling Data'!B133</f>
        <v>0</v>
      </c>
      <c r="D133" s="18">
        <f>'Sampling Data'!C133</f>
        <v>0</v>
      </c>
      <c r="E133" s="19">
        <f>'Sampling Data'!D133</f>
        <v>0</v>
      </c>
      <c r="F133" s="19">
        <f>'Sampling Data'!E133</f>
        <v>0</v>
      </c>
      <c r="G133" s="19">
        <f>'Sampling Data'!F133</f>
        <v>0</v>
      </c>
      <c r="H133" s="19">
        <f>'Sampling Data'!G133</f>
        <v>0</v>
      </c>
      <c r="I133" s="19">
        <f>'Sampling Data'!H133</f>
        <v>0</v>
      </c>
      <c r="J133" s="19">
        <f>'Sampling Data'!I133</f>
        <v>0</v>
      </c>
      <c r="K133" s="19">
        <f>'Sampling Data'!J133</f>
        <v>0</v>
      </c>
      <c r="L133" s="19">
        <f>'Sampling Data'!K133</f>
        <v>0</v>
      </c>
      <c r="M133" s="19">
        <f>'Sampling Data'!L133</f>
        <v>0</v>
      </c>
      <c r="N133" s="19">
        <f>'Sampling Data'!M133</f>
        <v>0</v>
      </c>
      <c r="O133" s="18">
        <f>'Sampling Data'!N133</f>
        <v>0</v>
      </c>
      <c r="P133" s="18">
        <f>'Sampling Data'!O133</f>
        <v>0</v>
      </c>
      <c r="Q133" s="18">
        <f>'Sampling Data'!P133</f>
        <v>0</v>
      </c>
      <c r="R133" s="18">
        <f>'Sampling Data'!AJ133</f>
        <v>0</v>
      </c>
      <c r="S133" s="112"/>
      <c r="T133" s="112"/>
      <c r="U133" s="113"/>
      <c r="V133" s="113"/>
      <c r="W133" s="112"/>
      <c r="X133" s="112"/>
      <c r="Y133" s="112"/>
      <c r="Z133" s="112"/>
      <c r="AA133" s="15"/>
      <c r="AB133" s="15"/>
      <c r="AC133" s="15"/>
      <c r="AD133" s="15"/>
      <c r="AE133" s="114" t="str">
        <f>IF(NOT(ISBLANK(Audit[[#This Row],[Audit Winning Candidate]])), Audit[[#This Row],[Audit Winning Candidate]]-Audit[[#This Row],[Winning Candidate]], "")</f>
        <v/>
      </c>
      <c r="AF133" s="18" t="str">
        <f>IF(NOT(ISBLANK(Audit[[#This Row],[Audit Losing Candidate]])), Audit[[#This Row],[Audit Losing Candidate]]-Audit[[#This Row],[Losing Candidate]], "")</f>
        <v/>
      </c>
      <c r="AG133" s="18" t="str">
        <f>IF(NOT(ISBLANK(Audit[[#This Row],[Audit Candidate 3]])), Audit[[#This Row],[Audit Candidate 3]]-Audit[[#This Row],[Candidate 3]], "")</f>
        <v/>
      </c>
      <c r="AH133" s="18" t="str">
        <f>IF(NOT(ISBLANK(Audit[[#This Row],[Audit Candidate 4]])),Audit[[#This Row],[Audit Candidate 4]]-Audit[[#This Row],[Candidate 4]], "")</f>
        <v/>
      </c>
      <c r="AI133" s="18" t="str">
        <f>IF(NOT(ISBLANK(Audit[[#This Row],[Audit Candidate 5]])), Audit[[#This Row],[Audit Candidate 5]]-Audit[[#This Row],[Candidate 5]], "")</f>
        <v/>
      </c>
      <c r="AJ133" s="18" t="str">
        <f>IF(NOT(ISBLANK(Audit[[#This Row],[Audit Candidate 6]])), Audit[[#This Row],[Audit Candidate 6]]-Audit[[#This Row],[Candidate 6]], "")</f>
        <v/>
      </c>
      <c r="AK133" s="18" t="str">
        <f>IF(NOT(ISBLANK(Audit[[#This Row],[Audit Candidate 7]])), Audit[[#This Row],[Audit Candidate 7]]-Audit[[#This Row],[Candidate 7]], "")</f>
        <v/>
      </c>
      <c r="AL133" s="18" t="str">
        <f>IF(NOT(ISBLANK(Audit[[#This Row],[Audit Candidate 8]])), Audit[[#This Row],[Audit Candidate 8]]-Audit[[#This Row],[Candidate 8]], "")</f>
        <v/>
      </c>
      <c r="AM133" s="18" t="str">
        <f>IF(NOT(ISBLANK(Audit[[#This Row],[Audit Candidate 9]])), Audit[[#This Row],[Audit Candidate 9]]-Audit[[#This Row],[Candidate 9]], "")</f>
        <v/>
      </c>
      <c r="AN133" s="18" t="str">
        <f>IF(NOT(ISBLANK(Audit[[#This Row],[Audit Candidate 10]])), Audit[[#This Row],[Audit Candidate 10]]-Audit[[#This Row],[Candidate 10]], "")</f>
        <v/>
      </c>
      <c r="AO133" s="18" t="str">
        <f>IF(NOT(ISBLANK(Audit[[#This Row],[Audit Candidate 11]])), Audit[[#This Row],[Audit Candidate 11]]-Audit[[#This Row],[Candidate 11]], "")</f>
        <v/>
      </c>
      <c r="AP133" s="18" t="str">
        <f>IF(NOT(ISBLANK(Audit[[#This Row],[Audit Candidate 12]])), Audit[[#This Row],[Audit Candidate 12]]-Audit[[#This Row],[Candidate 12]], "")</f>
        <v/>
      </c>
      <c r="AQ133" s="18">
        <f>SUMIF(Audit[[#This Row],[Difference Winner]:[Difference Candidate 12]], "&gt;0")</f>
        <v>0</v>
      </c>
      <c r="AR133" s="18">
        <f>SUM(Audit[[#This Row],[Difference Winner]:[Difference Candidate 12]])</f>
        <v>0</v>
      </c>
      <c r="AS133" s="18">
        <f>IF(Audit[[#This Row],[Times p Drawn - With Replacement]]&gt;0, IF(Audit[[#This Row],[Canceled Differences]]&lt;0, Audit[[#This Row],[Max Differences]]+ABS(Audit[[#This Row],[Canceled Differences]]), Audit[[#This Row],[Max Differences]]), 0)</f>
        <v>0</v>
      </c>
      <c r="AT133" s="18">
        <f>'Sampling Data'!AB133</f>
        <v>0</v>
      </c>
      <c r="AU133" s="18">
        <f>IF(
      SUM(Audit[[#This Row],[Audit Losing Candidate]:[Audit Candidate 12]])
      &lt;&gt;0,
      (Audit[[#This Row],[Winning Candidate]]-Audit[[#This Row],[Losing Candidate]]-(Audit[[#This Row],[Audit Winning Candidate]]-Audit[[#This Row],[Audit Losing Candidate]]))/(Audit[[#Totals],[Winning Candidate]]-Audit[[#Totals],[Losing Candidate]]),
      0
)</f>
        <v>0</v>
      </c>
      <c r="AV1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8">
        <f>IF(Audit[[#This Row],[Max Relative Error (ep)]] = 0, 0, Audit[[#This Row],[Max Relative Error (ep)]]/Audit[[#This Row],[Error Bound (up) - Max. possible relative overstatement]])</f>
        <v>0</v>
      </c>
      <c r="BH1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3" s="18">
        <f t="shared" si="2"/>
        <v>1</v>
      </c>
      <c r="BJ133" s="18">
        <f>PRODUCT($BI$5:BI133)</f>
        <v>1</v>
      </c>
      <c r="BK133" s="20">
        <f>1 - Audit[[#This Row],[K-M P Value]]</f>
        <v>0</v>
      </c>
      <c r="BL133" s="18" t="str">
        <f>IF(Audit[[#This Row],[K-M P Value]]&gt;1-'General Info'!$B$12,"Continue", "Stop")</f>
        <v>Continue</v>
      </c>
      <c r="BM133" s="23" t="b">
        <f>IF(Audit[[#This Row],[Status - Continue or stop audit]] = "Continue", TRUE, IF(BL132 = "Continue", TRUE, FALSE))</f>
        <v>1</v>
      </c>
      <c r="BN133" s="23"/>
    </row>
    <row r="134" spans="1:66" ht="15" hidden="1" customHeight="1" x14ac:dyDescent="0.35">
      <c r="A134" s="18" t="str">
        <f>'Sampling Data'!AI134</f>
        <v/>
      </c>
      <c r="B134" s="18" t="str">
        <f>'Sampling Data'!A134</f>
        <v>2201 CIN 22-A   (AV)</v>
      </c>
      <c r="C134" s="18">
        <f>'Sampling Data'!B134</f>
        <v>3</v>
      </c>
      <c r="D134" s="18">
        <f>'Sampling Data'!C134</f>
        <v>0</v>
      </c>
      <c r="E134" s="19">
        <f>'Sampling Data'!D134</f>
        <v>0</v>
      </c>
      <c r="F134" s="19">
        <f>'Sampling Data'!E134</f>
        <v>0</v>
      </c>
      <c r="G134" s="19">
        <f>'Sampling Data'!F134</f>
        <v>0</v>
      </c>
      <c r="H134" s="19">
        <f>'Sampling Data'!G134</f>
        <v>0</v>
      </c>
      <c r="I134" s="19">
        <f>'Sampling Data'!H134</f>
        <v>0</v>
      </c>
      <c r="J134" s="19">
        <f>'Sampling Data'!I134</f>
        <v>0</v>
      </c>
      <c r="K134" s="19">
        <f>'Sampling Data'!J134</f>
        <v>0</v>
      </c>
      <c r="L134" s="19">
        <f>'Sampling Data'!K134</f>
        <v>0</v>
      </c>
      <c r="M134" s="19">
        <f>'Sampling Data'!L134</f>
        <v>0</v>
      </c>
      <c r="N134" s="19">
        <f>'Sampling Data'!M134</f>
        <v>0</v>
      </c>
      <c r="O134" s="18">
        <f>'Sampling Data'!N134</f>
        <v>0</v>
      </c>
      <c r="P134" s="18">
        <f>'Sampling Data'!O134</f>
        <v>0</v>
      </c>
      <c r="Q134" s="18">
        <f>'Sampling Data'!P134</f>
        <v>3</v>
      </c>
      <c r="R134" s="18">
        <f>'Sampling Data'!AJ134</f>
        <v>0</v>
      </c>
      <c r="S134" s="112"/>
      <c r="T134" s="112"/>
      <c r="U134" s="113"/>
      <c r="V134" s="113"/>
      <c r="W134" s="112"/>
      <c r="X134" s="112"/>
      <c r="Y134" s="112"/>
      <c r="Z134" s="112"/>
      <c r="AA134" s="15"/>
      <c r="AB134" s="15"/>
      <c r="AC134" s="15"/>
      <c r="AD134" s="15"/>
      <c r="AE134" s="114" t="str">
        <f>IF(NOT(ISBLANK(Audit[[#This Row],[Audit Winning Candidate]])), Audit[[#This Row],[Audit Winning Candidate]]-Audit[[#This Row],[Winning Candidate]], "")</f>
        <v/>
      </c>
      <c r="AF134" s="18" t="str">
        <f>IF(NOT(ISBLANK(Audit[[#This Row],[Audit Losing Candidate]])), Audit[[#This Row],[Audit Losing Candidate]]-Audit[[#This Row],[Losing Candidate]], "")</f>
        <v/>
      </c>
      <c r="AG134" s="18" t="str">
        <f>IF(NOT(ISBLANK(Audit[[#This Row],[Audit Candidate 3]])), Audit[[#This Row],[Audit Candidate 3]]-Audit[[#This Row],[Candidate 3]], "")</f>
        <v/>
      </c>
      <c r="AH134" s="18" t="str">
        <f>IF(NOT(ISBLANK(Audit[[#This Row],[Audit Candidate 4]])),Audit[[#This Row],[Audit Candidate 4]]-Audit[[#This Row],[Candidate 4]], "")</f>
        <v/>
      </c>
      <c r="AI134" s="18" t="str">
        <f>IF(NOT(ISBLANK(Audit[[#This Row],[Audit Candidate 5]])), Audit[[#This Row],[Audit Candidate 5]]-Audit[[#This Row],[Candidate 5]], "")</f>
        <v/>
      </c>
      <c r="AJ134" s="18" t="str">
        <f>IF(NOT(ISBLANK(Audit[[#This Row],[Audit Candidate 6]])), Audit[[#This Row],[Audit Candidate 6]]-Audit[[#This Row],[Candidate 6]], "")</f>
        <v/>
      </c>
      <c r="AK134" s="18" t="str">
        <f>IF(NOT(ISBLANK(Audit[[#This Row],[Audit Candidate 7]])), Audit[[#This Row],[Audit Candidate 7]]-Audit[[#This Row],[Candidate 7]], "")</f>
        <v/>
      </c>
      <c r="AL134" s="18" t="str">
        <f>IF(NOT(ISBLANK(Audit[[#This Row],[Audit Candidate 8]])), Audit[[#This Row],[Audit Candidate 8]]-Audit[[#This Row],[Candidate 8]], "")</f>
        <v/>
      </c>
      <c r="AM134" s="18" t="str">
        <f>IF(NOT(ISBLANK(Audit[[#This Row],[Audit Candidate 9]])), Audit[[#This Row],[Audit Candidate 9]]-Audit[[#This Row],[Candidate 9]], "")</f>
        <v/>
      </c>
      <c r="AN134" s="18" t="str">
        <f>IF(NOT(ISBLANK(Audit[[#This Row],[Audit Candidate 10]])), Audit[[#This Row],[Audit Candidate 10]]-Audit[[#This Row],[Candidate 10]], "")</f>
        <v/>
      </c>
      <c r="AO134" s="18" t="str">
        <f>IF(NOT(ISBLANK(Audit[[#This Row],[Audit Candidate 11]])), Audit[[#This Row],[Audit Candidate 11]]-Audit[[#This Row],[Candidate 11]], "")</f>
        <v/>
      </c>
      <c r="AP134" s="18" t="str">
        <f>IF(NOT(ISBLANK(Audit[[#This Row],[Audit Candidate 12]])), Audit[[#This Row],[Audit Candidate 12]]-Audit[[#This Row],[Candidate 12]], "")</f>
        <v/>
      </c>
      <c r="AQ134" s="18">
        <f>SUMIF(Audit[[#This Row],[Difference Winner]:[Difference Candidate 12]], "&gt;0")</f>
        <v>0</v>
      </c>
      <c r="AR134" s="18">
        <f>SUM(Audit[[#This Row],[Difference Winner]:[Difference Candidate 12]])</f>
        <v>0</v>
      </c>
      <c r="AS134" s="18">
        <f>IF(Audit[[#This Row],[Times p Drawn - With Replacement]]&gt;0, IF(Audit[[#This Row],[Canceled Differences]]&lt;0, Audit[[#This Row],[Max Differences]]+ABS(Audit[[#This Row],[Canceled Differences]]), Audit[[#This Row],[Max Differences]]), 0)</f>
        <v>0</v>
      </c>
      <c r="AT134" s="18">
        <f>'Sampling Data'!AB134</f>
        <v>1.8845996796180544E-4</v>
      </c>
      <c r="AU134" s="18">
        <f>IF(
      SUM(Audit[[#This Row],[Audit Losing Candidate]:[Audit Candidate 12]])
      &lt;&gt;0,
      (Audit[[#This Row],[Winning Candidate]]-Audit[[#This Row],[Losing Candidate]]-(Audit[[#This Row],[Audit Winning Candidate]]-Audit[[#This Row],[Audit Losing Candidate]]))/(Audit[[#Totals],[Winning Candidate]]-Audit[[#Totals],[Losing Candidate]]),
      0
)</f>
        <v>0</v>
      </c>
      <c r="AV1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8">
        <f>IF(Audit[[#This Row],[Max Relative Error (ep)]] = 0, 0, Audit[[#This Row],[Max Relative Error (ep)]]/Audit[[#This Row],[Error Bound (up) - Max. possible relative overstatement]])</f>
        <v>0</v>
      </c>
      <c r="BH1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4" s="18">
        <f t="shared" si="2"/>
        <v>1</v>
      </c>
      <c r="BJ134" s="18">
        <f>PRODUCT($BI$5:BI134)</f>
        <v>1</v>
      </c>
      <c r="BK134" s="20">
        <f>1 - Audit[[#This Row],[K-M P Value]]</f>
        <v>0</v>
      </c>
      <c r="BL134" s="18" t="str">
        <f>IF(Audit[[#This Row],[K-M P Value]]&gt;1-'General Info'!$B$12,"Continue", "Stop")</f>
        <v>Continue</v>
      </c>
      <c r="BM134" s="23" t="b">
        <f>IF(Audit[[#This Row],[Status - Continue or stop audit]] = "Continue", TRUE, IF(BL133 = "Continue", TRUE, FALSE))</f>
        <v>1</v>
      </c>
      <c r="BN134" s="23"/>
    </row>
    <row r="135" spans="1:66" ht="15" hidden="1" customHeight="1" x14ac:dyDescent="0.35">
      <c r="A135" s="18" t="str">
        <f>'Sampling Data'!AI135</f>
        <v/>
      </c>
      <c r="B135" s="18" t="str">
        <f>'Sampling Data'!A135</f>
        <v>2202 CIN 22-B   (AV)</v>
      </c>
      <c r="C135" s="18">
        <f>'Sampling Data'!B135</f>
        <v>1</v>
      </c>
      <c r="D135" s="18">
        <f>'Sampling Data'!C135</f>
        <v>1</v>
      </c>
      <c r="E135" s="19">
        <f>'Sampling Data'!D135</f>
        <v>0</v>
      </c>
      <c r="F135" s="19">
        <f>'Sampling Data'!E135</f>
        <v>0</v>
      </c>
      <c r="G135" s="19">
        <f>'Sampling Data'!F135</f>
        <v>0</v>
      </c>
      <c r="H135" s="19">
        <f>'Sampling Data'!G135</f>
        <v>0</v>
      </c>
      <c r="I135" s="19">
        <f>'Sampling Data'!H135</f>
        <v>0</v>
      </c>
      <c r="J135" s="19">
        <f>'Sampling Data'!I135</f>
        <v>0</v>
      </c>
      <c r="K135" s="19">
        <f>'Sampling Data'!J135</f>
        <v>0</v>
      </c>
      <c r="L135" s="19">
        <f>'Sampling Data'!K135</f>
        <v>0</v>
      </c>
      <c r="M135" s="19">
        <f>'Sampling Data'!L135</f>
        <v>0</v>
      </c>
      <c r="N135" s="19">
        <f>'Sampling Data'!M135</f>
        <v>0</v>
      </c>
      <c r="O135" s="18">
        <f>'Sampling Data'!N135</f>
        <v>0</v>
      </c>
      <c r="P135" s="18">
        <f>'Sampling Data'!O135</f>
        <v>0</v>
      </c>
      <c r="Q135" s="18">
        <f>'Sampling Data'!P135</f>
        <v>2</v>
      </c>
      <c r="R135" s="18">
        <f>'Sampling Data'!AJ135</f>
        <v>0</v>
      </c>
      <c r="S135" s="112"/>
      <c r="T135" s="112"/>
      <c r="U135" s="113"/>
      <c r="V135" s="113"/>
      <c r="W135" s="112"/>
      <c r="X135" s="112"/>
      <c r="Y135" s="112"/>
      <c r="Z135" s="112"/>
      <c r="AA135" s="15"/>
      <c r="AB135" s="15"/>
      <c r="AC135" s="15"/>
      <c r="AD135" s="15"/>
      <c r="AE135" s="114" t="str">
        <f>IF(NOT(ISBLANK(Audit[[#This Row],[Audit Winning Candidate]])), Audit[[#This Row],[Audit Winning Candidate]]-Audit[[#This Row],[Winning Candidate]], "")</f>
        <v/>
      </c>
      <c r="AF135" s="18" t="str">
        <f>IF(NOT(ISBLANK(Audit[[#This Row],[Audit Losing Candidate]])), Audit[[#This Row],[Audit Losing Candidate]]-Audit[[#This Row],[Losing Candidate]], "")</f>
        <v/>
      </c>
      <c r="AG135" s="18" t="str">
        <f>IF(NOT(ISBLANK(Audit[[#This Row],[Audit Candidate 3]])), Audit[[#This Row],[Audit Candidate 3]]-Audit[[#This Row],[Candidate 3]], "")</f>
        <v/>
      </c>
      <c r="AH135" s="18" t="str">
        <f>IF(NOT(ISBLANK(Audit[[#This Row],[Audit Candidate 4]])),Audit[[#This Row],[Audit Candidate 4]]-Audit[[#This Row],[Candidate 4]], "")</f>
        <v/>
      </c>
      <c r="AI135" s="18" t="str">
        <f>IF(NOT(ISBLANK(Audit[[#This Row],[Audit Candidate 5]])), Audit[[#This Row],[Audit Candidate 5]]-Audit[[#This Row],[Candidate 5]], "")</f>
        <v/>
      </c>
      <c r="AJ135" s="18" t="str">
        <f>IF(NOT(ISBLANK(Audit[[#This Row],[Audit Candidate 6]])), Audit[[#This Row],[Audit Candidate 6]]-Audit[[#This Row],[Candidate 6]], "")</f>
        <v/>
      </c>
      <c r="AK135" s="18" t="str">
        <f>IF(NOT(ISBLANK(Audit[[#This Row],[Audit Candidate 7]])), Audit[[#This Row],[Audit Candidate 7]]-Audit[[#This Row],[Candidate 7]], "")</f>
        <v/>
      </c>
      <c r="AL135" s="18" t="str">
        <f>IF(NOT(ISBLANK(Audit[[#This Row],[Audit Candidate 8]])), Audit[[#This Row],[Audit Candidate 8]]-Audit[[#This Row],[Candidate 8]], "")</f>
        <v/>
      </c>
      <c r="AM135" s="18" t="str">
        <f>IF(NOT(ISBLANK(Audit[[#This Row],[Audit Candidate 9]])), Audit[[#This Row],[Audit Candidate 9]]-Audit[[#This Row],[Candidate 9]], "")</f>
        <v/>
      </c>
      <c r="AN135" s="18" t="str">
        <f>IF(NOT(ISBLANK(Audit[[#This Row],[Audit Candidate 10]])), Audit[[#This Row],[Audit Candidate 10]]-Audit[[#This Row],[Candidate 10]], "")</f>
        <v/>
      </c>
      <c r="AO135" s="18" t="str">
        <f>IF(NOT(ISBLANK(Audit[[#This Row],[Audit Candidate 11]])), Audit[[#This Row],[Audit Candidate 11]]-Audit[[#This Row],[Candidate 11]], "")</f>
        <v/>
      </c>
      <c r="AP135" s="18" t="str">
        <f>IF(NOT(ISBLANK(Audit[[#This Row],[Audit Candidate 12]])), Audit[[#This Row],[Audit Candidate 12]]-Audit[[#This Row],[Candidate 12]], "")</f>
        <v/>
      </c>
      <c r="AQ135" s="18">
        <f>SUMIF(Audit[[#This Row],[Difference Winner]:[Difference Candidate 12]], "&gt;0")</f>
        <v>0</v>
      </c>
      <c r="AR135" s="18">
        <f>SUM(Audit[[#This Row],[Difference Winner]:[Difference Candidate 12]])</f>
        <v>0</v>
      </c>
      <c r="AS135" s="18">
        <f>IF(Audit[[#This Row],[Times p Drawn - With Replacement]]&gt;0, IF(Audit[[#This Row],[Canceled Differences]]&lt;0, Audit[[#This Row],[Max Differences]]+ABS(Audit[[#This Row],[Canceled Differences]]), Audit[[#This Row],[Max Differences]]), 0)</f>
        <v>0</v>
      </c>
      <c r="AT135" s="18">
        <f>'Sampling Data'!AB135</f>
        <v>6.2819989320601809E-5</v>
      </c>
      <c r="AU135" s="18">
        <f>IF(
      SUM(Audit[[#This Row],[Audit Losing Candidate]:[Audit Candidate 12]])
      &lt;&gt;0,
      (Audit[[#This Row],[Winning Candidate]]-Audit[[#This Row],[Losing Candidate]]-(Audit[[#This Row],[Audit Winning Candidate]]-Audit[[#This Row],[Audit Losing Candidate]]))/(Audit[[#Totals],[Winning Candidate]]-Audit[[#Totals],[Losing Candidate]]),
      0
)</f>
        <v>0</v>
      </c>
      <c r="AV1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8">
        <f>IF(Audit[[#This Row],[Max Relative Error (ep)]] = 0, 0, Audit[[#This Row],[Max Relative Error (ep)]]/Audit[[#This Row],[Error Bound (up) - Max. possible relative overstatement]])</f>
        <v>0</v>
      </c>
      <c r="BH1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5" s="18">
        <f t="shared" si="2"/>
        <v>1</v>
      </c>
      <c r="BJ135" s="18">
        <f>PRODUCT($BI$5:BI135)</f>
        <v>1</v>
      </c>
      <c r="BK135" s="20">
        <f>1 - Audit[[#This Row],[K-M P Value]]</f>
        <v>0</v>
      </c>
      <c r="BL135" s="18" t="str">
        <f>IF(Audit[[#This Row],[K-M P Value]]&gt;1-'General Info'!$B$12,"Continue", "Stop")</f>
        <v>Continue</v>
      </c>
      <c r="BM135" s="23" t="b">
        <f>IF(Audit[[#This Row],[Status - Continue or stop audit]] = "Continue", TRUE, IF(BL134 = "Continue", TRUE, FALSE))</f>
        <v>1</v>
      </c>
      <c r="BN135" s="23"/>
    </row>
    <row r="136" spans="1:66" ht="15" hidden="1" customHeight="1" x14ac:dyDescent="0.35">
      <c r="A136" s="18" t="str">
        <f>'Sampling Data'!AI136</f>
        <v/>
      </c>
      <c r="B136" s="18" t="str">
        <f>'Sampling Data'!A136</f>
        <v>2203 CIN 22-C   (AV)</v>
      </c>
      <c r="C136" s="18">
        <f>'Sampling Data'!B136</f>
        <v>0</v>
      </c>
      <c r="D136" s="18">
        <f>'Sampling Data'!C136</f>
        <v>0</v>
      </c>
      <c r="E136" s="19">
        <f>'Sampling Data'!D136</f>
        <v>0</v>
      </c>
      <c r="F136" s="19">
        <f>'Sampling Data'!E136</f>
        <v>0</v>
      </c>
      <c r="G136" s="19">
        <f>'Sampling Data'!F136</f>
        <v>0</v>
      </c>
      <c r="H136" s="19">
        <f>'Sampling Data'!G136</f>
        <v>0</v>
      </c>
      <c r="I136" s="19">
        <f>'Sampling Data'!H136</f>
        <v>0</v>
      </c>
      <c r="J136" s="19">
        <f>'Sampling Data'!I136</f>
        <v>0</v>
      </c>
      <c r="K136" s="19">
        <f>'Sampling Data'!J136</f>
        <v>0</v>
      </c>
      <c r="L136" s="19">
        <f>'Sampling Data'!K136</f>
        <v>0</v>
      </c>
      <c r="M136" s="19">
        <f>'Sampling Data'!L136</f>
        <v>0</v>
      </c>
      <c r="N136" s="19">
        <f>'Sampling Data'!M136</f>
        <v>0</v>
      </c>
      <c r="O136" s="18">
        <f>'Sampling Data'!N136</f>
        <v>0</v>
      </c>
      <c r="P136" s="18">
        <f>'Sampling Data'!O136</f>
        <v>0</v>
      </c>
      <c r="Q136" s="18">
        <f>'Sampling Data'!P136</f>
        <v>0</v>
      </c>
      <c r="R136" s="18">
        <f>'Sampling Data'!AJ136</f>
        <v>0</v>
      </c>
      <c r="S136" s="112"/>
      <c r="T136" s="112"/>
      <c r="U136" s="113"/>
      <c r="V136" s="113"/>
      <c r="W136" s="112"/>
      <c r="X136" s="112"/>
      <c r="Y136" s="112"/>
      <c r="Z136" s="112"/>
      <c r="AA136" s="15"/>
      <c r="AB136" s="15"/>
      <c r="AC136" s="15"/>
      <c r="AD136" s="15"/>
      <c r="AE136" s="114" t="str">
        <f>IF(NOT(ISBLANK(Audit[[#This Row],[Audit Winning Candidate]])), Audit[[#This Row],[Audit Winning Candidate]]-Audit[[#This Row],[Winning Candidate]], "")</f>
        <v/>
      </c>
      <c r="AF136" s="18" t="str">
        <f>IF(NOT(ISBLANK(Audit[[#This Row],[Audit Losing Candidate]])), Audit[[#This Row],[Audit Losing Candidate]]-Audit[[#This Row],[Losing Candidate]], "")</f>
        <v/>
      </c>
      <c r="AG136" s="18" t="str">
        <f>IF(NOT(ISBLANK(Audit[[#This Row],[Audit Candidate 3]])), Audit[[#This Row],[Audit Candidate 3]]-Audit[[#This Row],[Candidate 3]], "")</f>
        <v/>
      </c>
      <c r="AH136" s="18" t="str">
        <f>IF(NOT(ISBLANK(Audit[[#This Row],[Audit Candidate 4]])),Audit[[#This Row],[Audit Candidate 4]]-Audit[[#This Row],[Candidate 4]], "")</f>
        <v/>
      </c>
      <c r="AI136" s="18" t="str">
        <f>IF(NOT(ISBLANK(Audit[[#This Row],[Audit Candidate 5]])), Audit[[#This Row],[Audit Candidate 5]]-Audit[[#This Row],[Candidate 5]], "")</f>
        <v/>
      </c>
      <c r="AJ136" s="18" t="str">
        <f>IF(NOT(ISBLANK(Audit[[#This Row],[Audit Candidate 6]])), Audit[[#This Row],[Audit Candidate 6]]-Audit[[#This Row],[Candidate 6]], "")</f>
        <v/>
      </c>
      <c r="AK136" s="18" t="str">
        <f>IF(NOT(ISBLANK(Audit[[#This Row],[Audit Candidate 7]])), Audit[[#This Row],[Audit Candidate 7]]-Audit[[#This Row],[Candidate 7]], "")</f>
        <v/>
      </c>
      <c r="AL136" s="18" t="str">
        <f>IF(NOT(ISBLANK(Audit[[#This Row],[Audit Candidate 8]])), Audit[[#This Row],[Audit Candidate 8]]-Audit[[#This Row],[Candidate 8]], "")</f>
        <v/>
      </c>
      <c r="AM136" s="18" t="str">
        <f>IF(NOT(ISBLANK(Audit[[#This Row],[Audit Candidate 9]])), Audit[[#This Row],[Audit Candidate 9]]-Audit[[#This Row],[Candidate 9]], "")</f>
        <v/>
      </c>
      <c r="AN136" s="18" t="str">
        <f>IF(NOT(ISBLANK(Audit[[#This Row],[Audit Candidate 10]])), Audit[[#This Row],[Audit Candidate 10]]-Audit[[#This Row],[Candidate 10]], "")</f>
        <v/>
      </c>
      <c r="AO136" s="18" t="str">
        <f>IF(NOT(ISBLANK(Audit[[#This Row],[Audit Candidate 11]])), Audit[[#This Row],[Audit Candidate 11]]-Audit[[#This Row],[Candidate 11]], "")</f>
        <v/>
      </c>
      <c r="AP136" s="18" t="str">
        <f>IF(NOT(ISBLANK(Audit[[#This Row],[Audit Candidate 12]])), Audit[[#This Row],[Audit Candidate 12]]-Audit[[#This Row],[Candidate 12]], "")</f>
        <v/>
      </c>
      <c r="AQ136" s="18">
        <f>SUMIF(Audit[[#This Row],[Difference Winner]:[Difference Candidate 12]], "&gt;0")</f>
        <v>0</v>
      </c>
      <c r="AR136" s="18">
        <f>SUM(Audit[[#This Row],[Difference Winner]:[Difference Candidate 12]])</f>
        <v>0</v>
      </c>
      <c r="AS136" s="18">
        <f>IF(Audit[[#This Row],[Times p Drawn - With Replacement]]&gt;0, IF(Audit[[#This Row],[Canceled Differences]]&lt;0, Audit[[#This Row],[Max Differences]]+ABS(Audit[[#This Row],[Canceled Differences]]), Audit[[#This Row],[Max Differences]]), 0)</f>
        <v>0</v>
      </c>
      <c r="AT136" s="18">
        <f>'Sampling Data'!AB136</f>
        <v>0</v>
      </c>
      <c r="AU136" s="18">
        <f>IF(
      SUM(Audit[[#This Row],[Audit Losing Candidate]:[Audit Candidate 12]])
      &lt;&gt;0,
      (Audit[[#This Row],[Winning Candidate]]-Audit[[#This Row],[Losing Candidate]]-(Audit[[#This Row],[Audit Winning Candidate]]-Audit[[#This Row],[Audit Losing Candidate]]))/(Audit[[#Totals],[Winning Candidate]]-Audit[[#Totals],[Losing Candidate]]),
      0
)</f>
        <v>0</v>
      </c>
      <c r="AV1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8">
        <f>IF(Audit[[#This Row],[Max Relative Error (ep)]] = 0, 0, Audit[[#This Row],[Max Relative Error (ep)]]/Audit[[#This Row],[Error Bound (up) - Max. possible relative overstatement]])</f>
        <v>0</v>
      </c>
      <c r="BH1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6" s="18">
        <f t="shared" si="2"/>
        <v>1</v>
      </c>
      <c r="BJ136" s="18">
        <f>PRODUCT($BI$5:BI136)</f>
        <v>1</v>
      </c>
      <c r="BK136" s="20">
        <f>1 - Audit[[#This Row],[K-M P Value]]</f>
        <v>0</v>
      </c>
      <c r="BL136" s="18" t="str">
        <f>IF(Audit[[#This Row],[K-M P Value]]&gt;1-'General Info'!$B$12,"Continue", "Stop")</f>
        <v>Continue</v>
      </c>
      <c r="BM136" s="23" t="b">
        <f>IF(Audit[[#This Row],[Status - Continue or stop audit]] = "Continue", TRUE, IF(BL135 = "Continue", TRUE, FALSE))</f>
        <v>1</v>
      </c>
      <c r="BN136" s="23"/>
    </row>
    <row r="137" spans="1:66" ht="15" hidden="1" customHeight="1" x14ac:dyDescent="0.35">
      <c r="A137" s="18" t="str">
        <f>'Sampling Data'!AI137</f>
        <v/>
      </c>
      <c r="B137" s="18" t="str">
        <f>'Sampling Data'!A137</f>
        <v>2301 CIN 23-A   (AV)</v>
      </c>
      <c r="C137" s="18">
        <f>'Sampling Data'!B137</f>
        <v>4</v>
      </c>
      <c r="D137" s="18">
        <f>'Sampling Data'!C137</f>
        <v>0</v>
      </c>
      <c r="E137" s="19">
        <f>'Sampling Data'!D137</f>
        <v>0</v>
      </c>
      <c r="F137" s="19">
        <f>'Sampling Data'!E137</f>
        <v>0</v>
      </c>
      <c r="G137" s="19">
        <f>'Sampling Data'!F137</f>
        <v>0</v>
      </c>
      <c r="H137" s="19">
        <f>'Sampling Data'!G137</f>
        <v>0</v>
      </c>
      <c r="I137" s="19">
        <f>'Sampling Data'!H137</f>
        <v>0</v>
      </c>
      <c r="J137" s="19">
        <f>'Sampling Data'!I137</f>
        <v>0</v>
      </c>
      <c r="K137" s="19">
        <f>'Sampling Data'!J137</f>
        <v>0</v>
      </c>
      <c r="L137" s="19">
        <f>'Sampling Data'!K137</f>
        <v>0</v>
      </c>
      <c r="M137" s="19">
        <f>'Sampling Data'!L137</f>
        <v>0</v>
      </c>
      <c r="N137" s="19">
        <f>'Sampling Data'!M137</f>
        <v>0</v>
      </c>
      <c r="O137" s="18">
        <f>'Sampling Data'!N137</f>
        <v>0</v>
      </c>
      <c r="P137" s="18">
        <f>'Sampling Data'!O137</f>
        <v>0</v>
      </c>
      <c r="Q137" s="18">
        <f>'Sampling Data'!P137</f>
        <v>4</v>
      </c>
      <c r="R137" s="18">
        <f>'Sampling Data'!AJ137</f>
        <v>0</v>
      </c>
      <c r="S137" s="112"/>
      <c r="T137" s="112"/>
      <c r="U137" s="113"/>
      <c r="V137" s="113"/>
      <c r="W137" s="112"/>
      <c r="X137" s="112"/>
      <c r="Y137" s="112"/>
      <c r="Z137" s="112"/>
      <c r="AA137" s="15"/>
      <c r="AB137" s="15"/>
      <c r="AC137" s="15"/>
      <c r="AD137" s="15"/>
      <c r="AE137" s="114" t="str">
        <f>IF(NOT(ISBLANK(Audit[[#This Row],[Audit Winning Candidate]])), Audit[[#This Row],[Audit Winning Candidate]]-Audit[[#This Row],[Winning Candidate]], "")</f>
        <v/>
      </c>
      <c r="AF137" s="18" t="str">
        <f>IF(NOT(ISBLANK(Audit[[#This Row],[Audit Losing Candidate]])), Audit[[#This Row],[Audit Losing Candidate]]-Audit[[#This Row],[Losing Candidate]], "")</f>
        <v/>
      </c>
      <c r="AG137" s="18" t="str">
        <f>IF(NOT(ISBLANK(Audit[[#This Row],[Audit Candidate 3]])), Audit[[#This Row],[Audit Candidate 3]]-Audit[[#This Row],[Candidate 3]], "")</f>
        <v/>
      </c>
      <c r="AH137" s="18" t="str">
        <f>IF(NOT(ISBLANK(Audit[[#This Row],[Audit Candidate 4]])),Audit[[#This Row],[Audit Candidate 4]]-Audit[[#This Row],[Candidate 4]], "")</f>
        <v/>
      </c>
      <c r="AI137" s="18" t="str">
        <f>IF(NOT(ISBLANK(Audit[[#This Row],[Audit Candidate 5]])), Audit[[#This Row],[Audit Candidate 5]]-Audit[[#This Row],[Candidate 5]], "")</f>
        <v/>
      </c>
      <c r="AJ137" s="18" t="str">
        <f>IF(NOT(ISBLANK(Audit[[#This Row],[Audit Candidate 6]])), Audit[[#This Row],[Audit Candidate 6]]-Audit[[#This Row],[Candidate 6]], "")</f>
        <v/>
      </c>
      <c r="AK137" s="18" t="str">
        <f>IF(NOT(ISBLANK(Audit[[#This Row],[Audit Candidate 7]])), Audit[[#This Row],[Audit Candidate 7]]-Audit[[#This Row],[Candidate 7]], "")</f>
        <v/>
      </c>
      <c r="AL137" s="18" t="str">
        <f>IF(NOT(ISBLANK(Audit[[#This Row],[Audit Candidate 8]])), Audit[[#This Row],[Audit Candidate 8]]-Audit[[#This Row],[Candidate 8]], "")</f>
        <v/>
      </c>
      <c r="AM137" s="18" t="str">
        <f>IF(NOT(ISBLANK(Audit[[#This Row],[Audit Candidate 9]])), Audit[[#This Row],[Audit Candidate 9]]-Audit[[#This Row],[Candidate 9]], "")</f>
        <v/>
      </c>
      <c r="AN137" s="18" t="str">
        <f>IF(NOT(ISBLANK(Audit[[#This Row],[Audit Candidate 10]])), Audit[[#This Row],[Audit Candidate 10]]-Audit[[#This Row],[Candidate 10]], "")</f>
        <v/>
      </c>
      <c r="AO137" s="18" t="str">
        <f>IF(NOT(ISBLANK(Audit[[#This Row],[Audit Candidate 11]])), Audit[[#This Row],[Audit Candidate 11]]-Audit[[#This Row],[Candidate 11]], "")</f>
        <v/>
      </c>
      <c r="AP137" s="18" t="str">
        <f>IF(NOT(ISBLANK(Audit[[#This Row],[Audit Candidate 12]])), Audit[[#This Row],[Audit Candidate 12]]-Audit[[#This Row],[Candidate 12]], "")</f>
        <v/>
      </c>
      <c r="AQ137" s="18">
        <f>SUMIF(Audit[[#This Row],[Difference Winner]:[Difference Candidate 12]], "&gt;0")</f>
        <v>0</v>
      </c>
      <c r="AR137" s="18">
        <f>SUM(Audit[[#This Row],[Difference Winner]:[Difference Candidate 12]])</f>
        <v>0</v>
      </c>
      <c r="AS137" s="18">
        <f>IF(Audit[[#This Row],[Times p Drawn - With Replacement]]&gt;0, IF(Audit[[#This Row],[Canceled Differences]]&lt;0, Audit[[#This Row],[Max Differences]]+ABS(Audit[[#This Row],[Canceled Differences]]), Audit[[#This Row],[Max Differences]]), 0)</f>
        <v>0</v>
      </c>
      <c r="AT137" s="18">
        <f>'Sampling Data'!AB137</f>
        <v>2.5127995728240724E-4</v>
      </c>
      <c r="AU137" s="18">
        <f>IF(
      SUM(Audit[[#This Row],[Audit Losing Candidate]:[Audit Candidate 12]])
      &lt;&gt;0,
      (Audit[[#This Row],[Winning Candidate]]-Audit[[#This Row],[Losing Candidate]]-(Audit[[#This Row],[Audit Winning Candidate]]-Audit[[#This Row],[Audit Losing Candidate]]))/(Audit[[#Totals],[Winning Candidate]]-Audit[[#Totals],[Losing Candidate]]),
      0
)</f>
        <v>0</v>
      </c>
      <c r="AV1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8">
        <f>IF(Audit[[#This Row],[Max Relative Error (ep)]] = 0, 0, Audit[[#This Row],[Max Relative Error (ep)]]/Audit[[#This Row],[Error Bound (up) - Max. possible relative overstatement]])</f>
        <v>0</v>
      </c>
      <c r="BH1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7" s="18">
        <f t="shared" si="2"/>
        <v>1</v>
      </c>
      <c r="BJ137" s="18">
        <f>PRODUCT($BI$5:BI137)</f>
        <v>1</v>
      </c>
      <c r="BK137" s="20">
        <f>1 - Audit[[#This Row],[K-M P Value]]</f>
        <v>0</v>
      </c>
      <c r="BL137" s="18" t="str">
        <f>IF(Audit[[#This Row],[K-M P Value]]&gt;1-'General Info'!$B$12,"Continue", "Stop")</f>
        <v>Continue</v>
      </c>
      <c r="BM137" s="23" t="b">
        <f>IF(Audit[[#This Row],[Status - Continue or stop audit]] = "Continue", TRUE, IF(BL136 = "Continue", TRUE, FALSE))</f>
        <v>1</v>
      </c>
      <c r="BN137" s="23"/>
    </row>
    <row r="138" spans="1:66" ht="15" hidden="1" customHeight="1" x14ac:dyDescent="0.35">
      <c r="A138" s="18" t="str">
        <f>'Sampling Data'!AI138</f>
        <v/>
      </c>
      <c r="B138" s="18" t="str">
        <f>'Sampling Data'!A138</f>
        <v>2302 CIN 23-B   (AV)</v>
      </c>
      <c r="C138" s="18">
        <f>'Sampling Data'!B138</f>
        <v>1</v>
      </c>
      <c r="D138" s="18">
        <f>'Sampling Data'!C138</f>
        <v>0</v>
      </c>
      <c r="E138" s="19">
        <f>'Sampling Data'!D138</f>
        <v>0</v>
      </c>
      <c r="F138" s="19">
        <f>'Sampling Data'!E138</f>
        <v>0</v>
      </c>
      <c r="G138" s="19">
        <f>'Sampling Data'!F138</f>
        <v>0</v>
      </c>
      <c r="H138" s="19">
        <f>'Sampling Data'!G138</f>
        <v>0</v>
      </c>
      <c r="I138" s="19">
        <f>'Sampling Data'!H138</f>
        <v>0</v>
      </c>
      <c r="J138" s="19">
        <f>'Sampling Data'!I138</f>
        <v>0</v>
      </c>
      <c r="K138" s="19">
        <f>'Sampling Data'!J138</f>
        <v>0</v>
      </c>
      <c r="L138" s="19">
        <f>'Sampling Data'!K138</f>
        <v>0</v>
      </c>
      <c r="M138" s="19">
        <f>'Sampling Data'!L138</f>
        <v>0</v>
      </c>
      <c r="N138" s="19">
        <f>'Sampling Data'!M138</f>
        <v>0</v>
      </c>
      <c r="O138" s="18">
        <f>'Sampling Data'!N138</f>
        <v>0</v>
      </c>
      <c r="P138" s="18">
        <f>'Sampling Data'!O138</f>
        <v>0</v>
      </c>
      <c r="Q138" s="18">
        <f>'Sampling Data'!P138</f>
        <v>1</v>
      </c>
      <c r="R138" s="18">
        <f>'Sampling Data'!AJ138</f>
        <v>0</v>
      </c>
      <c r="S138" s="112"/>
      <c r="T138" s="112"/>
      <c r="U138" s="113"/>
      <c r="V138" s="113"/>
      <c r="W138" s="112"/>
      <c r="X138" s="112"/>
      <c r="Y138" s="112"/>
      <c r="Z138" s="112"/>
      <c r="AA138" s="15"/>
      <c r="AB138" s="15"/>
      <c r="AC138" s="15"/>
      <c r="AD138" s="15"/>
      <c r="AE138" s="114" t="str">
        <f>IF(NOT(ISBLANK(Audit[[#This Row],[Audit Winning Candidate]])), Audit[[#This Row],[Audit Winning Candidate]]-Audit[[#This Row],[Winning Candidate]], "")</f>
        <v/>
      </c>
      <c r="AF138" s="18" t="str">
        <f>IF(NOT(ISBLANK(Audit[[#This Row],[Audit Losing Candidate]])), Audit[[#This Row],[Audit Losing Candidate]]-Audit[[#This Row],[Losing Candidate]], "")</f>
        <v/>
      </c>
      <c r="AG138" s="18" t="str">
        <f>IF(NOT(ISBLANK(Audit[[#This Row],[Audit Candidate 3]])), Audit[[#This Row],[Audit Candidate 3]]-Audit[[#This Row],[Candidate 3]], "")</f>
        <v/>
      </c>
      <c r="AH138" s="18" t="str">
        <f>IF(NOT(ISBLANK(Audit[[#This Row],[Audit Candidate 4]])),Audit[[#This Row],[Audit Candidate 4]]-Audit[[#This Row],[Candidate 4]], "")</f>
        <v/>
      </c>
      <c r="AI138" s="18" t="str">
        <f>IF(NOT(ISBLANK(Audit[[#This Row],[Audit Candidate 5]])), Audit[[#This Row],[Audit Candidate 5]]-Audit[[#This Row],[Candidate 5]], "")</f>
        <v/>
      </c>
      <c r="AJ138" s="18" t="str">
        <f>IF(NOT(ISBLANK(Audit[[#This Row],[Audit Candidate 6]])), Audit[[#This Row],[Audit Candidate 6]]-Audit[[#This Row],[Candidate 6]], "")</f>
        <v/>
      </c>
      <c r="AK138" s="18" t="str">
        <f>IF(NOT(ISBLANK(Audit[[#This Row],[Audit Candidate 7]])), Audit[[#This Row],[Audit Candidate 7]]-Audit[[#This Row],[Candidate 7]], "")</f>
        <v/>
      </c>
      <c r="AL138" s="18" t="str">
        <f>IF(NOT(ISBLANK(Audit[[#This Row],[Audit Candidate 8]])), Audit[[#This Row],[Audit Candidate 8]]-Audit[[#This Row],[Candidate 8]], "")</f>
        <v/>
      </c>
      <c r="AM138" s="18" t="str">
        <f>IF(NOT(ISBLANK(Audit[[#This Row],[Audit Candidate 9]])), Audit[[#This Row],[Audit Candidate 9]]-Audit[[#This Row],[Candidate 9]], "")</f>
        <v/>
      </c>
      <c r="AN138" s="18" t="str">
        <f>IF(NOT(ISBLANK(Audit[[#This Row],[Audit Candidate 10]])), Audit[[#This Row],[Audit Candidate 10]]-Audit[[#This Row],[Candidate 10]], "")</f>
        <v/>
      </c>
      <c r="AO138" s="18" t="str">
        <f>IF(NOT(ISBLANK(Audit[[#This Row],[Audit Candidate 11]])), Audit[[#This Row],[Audit Candidate 11]]-Audit[[#This Row],[Candidate 11]], "")</f>
        <v/>
      </c>
      <c r="AP138" s="18" t="str">
        <f>IF(NOT(ISBLANK(Audit[[#This Row],[Audit Candidate 12]])), Audit[[#This Row],[Audit Candidate 12]]-Audit[[#This Row],[Candidate 12]], "")</f>
        <v/>
      </c>
      <c r="AQ138" s="18">
        <f>SUMIF(Audit[[#This Row],[Difference Winner]:[Difference Candidate 12]], "&gt;0")</f>
        <v>0</v>
      </c>
      <c r="AR138" s="18">
        <f>SUM(Audit[[#This Row],[Difference Winner]:[Difference Candidate 12]])</f>
        <v>0</v>
      </c>
      <c r="AS138" s="18">
        <f>IF(Audit[[#This Row],[Times p Drawn - With Replacement]]&gt;0, IF(Audit[[#This Row],[Canceled Differences]]&lt;0, Audit[[#This Row],[Max Differences]]+ABS(Audit[[#This Row],[Canceled Differences]]), Audit[[#This Row],[Max Differences]]), 0)</f>
        <v>0</v>
      </c>
      <c r="AT138" s="18">
        <f>'Sampling Data'!AB138</f>
        <v>6.2819989320601809E-5</v>
      </c>
      <c r="AU138" s="18">
        <f>IF(
      SUM(Audit[[#This Row],[Audit Losing Candidate]:[Audit Candidate 12]])
      &lt;&gt;0,
      (Audit[[#This Row],[Winning Candidate]]-Audit[[#This Row],[Losing Candidate]]-(Audit[[#This Row],[Audit Winning Candidate]]-Audit[[#This Row],[Audit Losing Candidate]]))/(Audit[[#Totals],[Winning Candidate]]-Audit[[#Totals],[Losing Candidate]]),
      0
)</f>
        <v>0</v>
      </c>
      <c r="AV1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8">
        <f>IF(Audit[[#This Row],[Max Relative Error (ep)]] = 0, 0, Audit[[#This Row],[Max Relative Error (ep)]]/Audit[[#This Row],[Error Bound (up) - Max. possible relative overstatement]])</f>
        <v>0</v>
      </c>
      <c r="BH1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8" s="18">
        <f t="shared" si="2"/>
        <v>1</v>
      </c>
      <c r="BJ138" s="18">
        <f>PRODUCT($BI$5:BI138)</f>
        <v>1</v>
      </c>
      <c r="BK138" s="20">
        <f>1 - Audit[[#This Row],[K-M P Value]]</f>
        <v>0</v>
      </c>
      <c r="BL138" s="18" t="str">
        <f>IF(Audit[[#This Row],[K-M P Value]]&gt;1-'General Info'!$B$12,"Continue", "Stop")</f>
        <v>Continue</v>
      </c>
      <c r="BM138" s="23" t="b">
        <f>IF(Audit[[#This Row],[Status - Continue or stop audit]] = "Continue", TRUE, IF(BL137 = "Continue", TRUE, FALSE))</f>
        <v>1</v>
      </c>
      <c r="BN138" s="23"/>
    </row>
    <row r="139" spans="1:66" ht="15" hidden="1" customHeight="1" x14ac:dyDescent="0.35">
      <c r="A139" s="18" t="str">
        <f>'Sampling Data'!AI139</f>
        <v/>
      </c>
      <c r="B139" s="18" t="str">
        <f>'Sampling Data'!A139</f>
        <v>2303 CIN 23-C   (AV)</v>
      </c>
      <c r="C139" s="18">
        <f>'Sampling Data'!B139</f>
        <v>3</v>
      </c>
      <c r="D139" s="18">
        <f>'Sampling Data'!C139</f>
        <v>1</v>
      </c>
      <c r="E139" s="19">
        <f>'Sampling Data'!D139</f>
        <v>0</v>
      </c>
      <c r="F139" s="19">
        <f>'Sampling Data'!E139</f>
        <v>0</v>
      </c>
      <c r="G139" s="19">
        <f>'Sampling Data'!F139</f>
        <v>0</v>
      </c>
      <c r="H139" s="19">
        <f>'Sampling Data'!G139</f>
        <v>0</v>
      </c>
      <c r="I139" s="19">
        <f>'Sampling Data'!H139</f>
        <v>0</v>
      </c>
      <c r="J139" s="19">
        <f>'Sampling Data'!I139</f>
        <v>0</v>
      </c>
      <c r="K139" s="19">
        <f>'Sampling Data'!J139</f>
        <v>0</v>
      </c>
      <c r="L139" s="19">
        <f>'Sampling Data'!K139</f>
        <v>0</v>
      </c>
      <c r="M139" s="19">
        <f>'Sampling Data'!L139</f>
        <v>0</v>
      </c>
      <c r="N139" s="19">
        <f>'Sampling Data'!M139</f>
        <v>0</v>
      </c>
      <c r="O139" s="18">
        <f>'Sampling Data'!N139</f>
        <v>0</v>
      </c>
      <c r="P139" s="18">
        <f>'Sampling Data'!O139</f>
        <v>0</v>
      </c>
      <c r="Q139" s="18">
        <f>'Sampling Data'!P139</f>
        <v>4</v>
      </c>
      <c r="R139" s="18">
        <f>'Sampling Data'!AJ139</f>
        <v>0</v>
      </c>
      <c r="S139" s="112"/>
      <c r="T139" s="112"/>
      <c r="U139" s="113"/>
      <c r="V139" s="113"/>
      <c r="W139" s="112"/>
      <c r="X139" s="112"/>
      <c r="Y139" s="112"/>
      <c r="Z139" s="112"/>
      <c r="AA139" s="15"/>
      <c r="AB139" s="15"/>
      <c r="AC139" s="15"/>
      <c r="AD139" s="15"/>
      <c r="AE139" s="114" t="str">
        <f>IF(NOT(ISBLANK(Audit[[#This Row],[Audit Winning Candidate]])), Audit[[#This Row],[Audit Winning Candidate]]-Audit[[#This Row],[Winning Candidate]], "")</f>
        <v/>
      </c>
      <c r="AF139" s="18" t="str">
        <f>IF(NOT(ISBLANK(Audit[[#This Row],[Audit Losing Candidate]])), Audit[[#This Row],[Audit Losing Candidate]]-Audit[[#This Row],[Losing Candidate]], "")</f>
        <v/>
      </c>
      <c r="AG139" s="18" t="str">
        <f>IF(NOT(ISBLANK(Audit[[#This Row],[Audit Candidate 3]])), Audit[[#This Row],[Audit Candidate 3]]-Audit[[#This Row],[Candidate 3]], "")</f>
        <v/>
      </c>
      <c r="AH139" s="18" t="str">
        <f>IF(NOT(ISBLANK(Audit[[#This Row],[Audit Candidate 4]])),Audit[[#This Row],[Audit Candidate 4]]-Audit[[#This Row],[Candidate 4]], "")</f>
        <v/>
      </c>
      <c r="AI139" s="18" t="str">
        <f>IF(NOT(ISBLANK(Audit[[#This Row],[Audit Candidate 5]])), Audit[[#This Row],[Audit Candidate 5]]-Audit[[#This Row],[Candidate 5]], "")</f>
        <v/>
      </c>
      <c r="AJ139" s="18" t="str">
        <f>IF(NOT(ISBLANK(Audit[[#This Row],[Audit Candidate 6]])), Audit[[#This Row],[Audit Candidate 6]]-Audit[[#This Row],[Candidate 6]], "")</f>
        <v/>
      </c>
      <c r="AK139" s="18" t="str">
        <f>IF(NOT(ISBLANK(Audit[[#This Row],[Audit Candidate 7]])), Audit[[#This Row],[Audit Candidate 7]]-Audit[[#This Row],[Candidate 7]], "")</f>
        <v/>
      </c>
      <c r="AL139" s="18" t="str">
        <f>IF(NOT(ISBLANK(Audit[[#This Row],[Audit Candidate 8]])), Audit[[#This Row],[Audit Candidate 8]]-Audit[[#This Row],[Candidate 8]], "")</f>
        <v/>
      </c>
      <c r="AM139" s="18" t="str">
        <f>IF(NOT(ISBLANK(Audit[[#This Row],[Audit Candidate 9]])), Audit[[#This Row],[Audit Candidate 9]]-Audit[[#This Row],[Candidate 9]], "")</f>
        <v/>
      </c>
      <c r="AN139" s="18" t="str">
        <f>IF(NOT(ISBLANK(Audit[[#This Row],[Audit Candidate 10]])), Audit[[#This Row],[Audit Candidate 10]]-Audit[[#This Row],[Candidate 10]], "")</f>
        <v/>
      </c>
      <c r="AO139" s="18" t="str">
        <f>IF(NOT(ISBLANK(Audit[[#This Row],[Audit Candidate 11]])), Audit[[#This Row],[Audit Candidate 11]]-Audit[[#This Row],[Candidate 11]], "")</f>
        <v/>
      </c>
      <c r="AP139" s="18" t="str">
        <f>IF(NOT(ISBLANK(Audit[[#This Row],[Audit Candidate 12]])), Audit[[#This Row],[Audit Candidate 12]]-Audit[[#This Row],[Candidate 12]], "")</f>
        <v/>
      </c>
      <c r="AQ139" s="18">
        <f>SUMIF(Audit[[#This Row],[Difference Winner]:[Difference Candidate 12]], "&gt;0")</f>
        <v>0</v>
      </c>
      <c r="AR139" s="18">
        <f>SUM(Audit[[#This Row],[Difference Winner]:[Difference Candidate 12]])</f>
        <v>0</v>
      </c>
      <c r="AS139" s="18">
        <f>IF(Audit[[#This Row],[Times p Drawn - With Replacement]]&gt;0, IF(Audit[[#This Row],[Canceled Differences]]&lt;0, Audit[[#This Row],[Max Differences]]+ABS(Audit[[#This Row],[Canceled Differences]]), Audit[[#This Row],[Max Differences]]), 0)</f>
        <v>0</v>
      </c>
      <c r="AT139" s="18">
        <f>'Sampling Data'!AB139</f>
        <v>1.8845996796180544E-4</v>
      </c>
      <c r="AU139" s="18">
        <f>IF(
      SUM(Audit[[#This Row],[Audit Losing Candidate]:[Audit Candidate 12]])
      &lt;&gt;0,
      (Audit[[#This Row],[Winning Candidate]]-Audit[[#This Row],[Losing Candidate]]-(Audit[[#This Row],[Audit Winning Candidate]]-Audit[[#This Row],[Audit Losing Candidate]]))/(Audit[[#Totals],[Winning Candidate]]-Audit[[#Totals],[Losing Candidate]]),
      0
)</f>
        <v>0</v>
      </c>
      <c r="AV1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8">
        <f>IF(Audit[[#This Row],[Max Relative Error (ep)]] = 0, 0, Audit[[#This Row],[Max Relative Error (ep)]]/Audit[[#This Row],[Error Bound (up) - Max. possible relative overstatement]])</f>
        <v>0</v>
      </c>
      <c r="BH1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39" s="18">
        <f t="shared" si="2"/>
        <v>1</v>
      </c>
      <c r="BJ139" s="18">
        <f>PRODUCT($BI$5:BI139)</f>
        <v>1</v>
      </c>
      <c r="BK139" s="20">
        <f>1 - Audit[[#This Row],[K-M P Value]]</f>
        <v>0</v>
      </c>
      <c r="BL139" s="18" t="str">
        <f>IF(Audit[[#This Row],[K-M P Value]]&gt;1-'General Info'!$B$12,"Continue", "Stop")</f>
        <v>Continue</v>
      </c>
      <c r="BM139" s="23" t="b">
        <f>IF(Audit[[#This Row],[Status - Continue or stop audit]] = "Continue", TRUE, IF(BL138 = "Continue", TRUE, FALSE))</f>
        <v>1</v>
      </c>
      <c r="BN139" s="23"/>
    </row>
    <row r="140" spans="1:66" ht="15" hidden="1" customHeight="1" x14ac:dyDescent="0.35">
      <c r="A140" s="18" t="str">
        <f>'Sampling Data'!AI140</f>
        <v/>
      </c>
      <c r="B140" s="18" t="str">
        <f>'Sampling Data'!A140</f>
        <v>2304 CIN 23-D   (AV)</v>
      </c>
      <c r="C140" s="18">
        <f>'Sampling Data'!B140</f>
        <v>3</v>
      </c>
      <c r="D140" s="18">
        <f>'Sampling Data'!C140</f>
        <v>0</v>
      </c>
      <c r="E140" s="19">
        <f>'Sampling Data'!D140</f>
        <v>0</v>
      </c>
      <c r="F140" s="19">
        <f>'Sampling Data'!E140</f>
        <v>0</v>
      </c>
      <c r="G140" s="19">
        <f>'Sampling Data'!F140</f>
        <v>0</v>
      </c>
      <c r="H140" s="19">
        <f>'Sampling Data'!G140</f>
        <v>0</v>
      </c>
      <c r="I140" s="19">
        <f>'Sampling Data'!H140</f>
        <v>0</v>
      </c>
      <c r="J140" s="19">
        <f>'Sampling Data'!I140</f>
        <v>0</v>
      </c>
      <c r="K140" s="19">
        <f>'Sampling Data'!J140</f>
        <v>0</v>
      </c>
      <c r="L140" s="19">
        <f>'Sampling Data'!K140</f>
        <v>0</v>
      </c>
      <c r="M140" s="19">
        <f>'Sampling Data'!L140</f>
        <v>0</v>
      </c>
      <c r="N140" s="19">
        <f>'Sampling Data'!M140</f>
        <v>0</v>
      </c>
      <c r="O140" s="18">
        <f>'Sampling Data'!N140</f>
        <v>0</v>
      </c>
      <c r="P140" s="18">
        <f>'Sampling Data'!O140</f>
        <v>0</v>
      </c>
      <c r="Q140" s="18">
        <f>'Sampling Data'!P140</f>
        <v>3</v>
      </c>
      <c r="R140" s="18">
        <f>'Sampling Data'!AJ140</f>
        <v>0</v>
      </c>
      <c r="S140" s="112"/>
      <c r="T140" s="112"/>
      <c r="U140" s="113"/>
      <c r="V140" s="113"/>
      <c r="W140" s="112"/>
      <c r="X140" s="112"/>
      <c r="Y140" s="112"/>
      <c r="Z140" s="112"/>
      <c r="AA140" s="15"/>
      <c r="AB140" s="15"/>
      <c r="AC140" s="15"/>
      <c r="AD140" s="15"/>
      <c r="AE140" s="114" t="str">
        <f>IF(NOT(ISBLANK(Audit[[#This Row],[Audit Winning Candidate]])), Audit[[#This Row],[Audit Winning Candidate]]-Audit[[#This Row],[Winning Candidate]], "")</f>
        <v/>
      </c>
      <c r="AF140" s="18" t="str">
        <f>IF(NOT(ISBLANK(Audit[[#This Row],[Audit Losing Candidate]])), Audit[[#This Row],[Audit Losing Candidate]]-Audit[[#This Row],[Losing Candidate]], "")</f>
        <v/>
      </c>
      <c r="AG140" s="18" t="str">
        <f>IF(NOT(ISBLANK(Audit[[#This Row],[Audit Candidate 3]])), Audit[[#This Row],[Audit Candidate 3]]-Audit[[#This Row],[Candidate 3]], "")</f>
        <v/>
      </c>
      <c r="AH140" s="18" t="str">
        <f>IF(NOT(ISBLANK(Audit[[#This Row],[Audit Candidate 4]])),Audit[[#This Row],[Audit Candidate 4]]-Audit[[#This Row],[Candidate 4]], "")</f>
        <v/>
      </c>
      <c r="AI140" s="18" t="str">
        <f>IF(NOT(ISBLANK(Audit[[#This Row],[Audit Candidate 5]])), Audit[[#This Row],[Audit Candidate 5]]-Audit[[#This Row],[Candidate 5]], "")</f>
        <v/>
      </c>
      <c r="AJ140" s="18" t="str">
        <f>IF(NOT(ISBLANK(Audit[[#This Row],[Audit Candidate 6]])), Audit[[#This Row],[Audit Candidate 6]]-Audit[[#This Row],[Candidate 6]], "")</f>
        <v/>
      </c>
      <c r="AK140" s="18" t="str">
        <f>IF(NOT(ISBLANK(Audit[[#This Row],[Audit Candidate 7]])), Audit[[#This Row],[Audit Candidate 7]]-Audit[[#This Row],[Candidate 7]], "")</f>
        <v/>
      </c>
      <c r="AL140" s="18" t="str">
        <f>IF(NOT(ISBLANK(Audit[[#This Row],[Audit Candidate 8]])), Audit[[#This Row],[Audit Candidate 8]]-Audit[[#This Row],[Candidate 8]], "")</f>
        <v/>
      </c>
      <c r="AM140" s="18" t="str">
        <f>IF(NOT(ISBLANK(Audit[[#This Row],[Audit Candidate 9]])), Audit[[#This Row],[Audit Candidate 9]]-Audit[[#This Row],[Candidate 9]], "")</f>
        <v/>
      </c>
      <c r="AN140" s="18" t="str">
        <f>IF(NOT(ISBLANK(Audit[[#This Row],[Audit Candidate 10]])), Audit[[#This Row],[Audit Candidate 10]]-Audit[[#This Row],[Candidate 10]], "")</f>
        <v/>
      </c>
      <c r="AO140" s="18" t="str">
        <f>IF(NOT(ISBLANK(Audit[[#This Row],[Audit Candidate 11]])), Audit[[#This Row],[Audit Candidate 11]]-Audit[[#This Row],[Candidate 11]], "")</f>
        <v/>
      </c>
      <c r="AP140" s="18" t="str">
        <f>IF(NOT(ISBLANK(Audit[[#This Row],[Audit Candidate 12]])), Audit[[#This Row],[Audit Candidate 12]]-Audit[[#This Row],[Candidate 12]], "")</f>
        <v/>
      </c>
      <c r="AQ140" s="18">
        <f>SUMIF(Audit[[#This Row],[Difference Winner]:[Difference Candidate 12]], "&gt;0")</f>
        <v>0</v>
      </c>
      <c r="AR140" s="18">
        <f>SUM(Audit[[#This Row],[Difference Winner]:[Difference Candidate 12]])</f>
        <v>0</v>
      </c>
      <c r="AS140" s="18">
        <f>IF(Audit[[#This Row],[Times p Drawn - With Replacement]]&gt;0, IF(Audit[[#This Row],[Canceled Differences]]&lt;0, Audit[[#This Row],[Max Differences]]+ABS(Audit[[#This Row],[Canceled Differences]]), Audit[[#This Row],[Max Differences]]), 0)</f>
        <v>0</v>
      </c>
      <c r="AT140" s="18">
        <f>'Sampling Data'!AB140</f>
        <v>1.8845996796180544E-4</v>
      </c>
      <c r="AU140" s="18">
        <f>IF(
      SUM(Audit[[#This Row],[Audit Losing Candidate]:[Audit Candidate 12]])
      &lt;&gt;0,
      (Audit[[#This Row],[Winning Candidate]]-Audit[[#This Row],[Losing Candidate]]-(Audit[[#This Row],[Audit Winning Candidate]]-Audit[[#This Row],[Audit Losing Candidate]]))/(Audit[[#Totals],[Winning Candidate]]-Audit[[#Totals],[Losing Candidate]]),
      0
)</f>
        <v>0</v>
      </c>
      <c r="AV1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8">
        <f>IF(Audit[[#This Row],[Max Relative Error (ep)]] = 0, 0, Audit[[#This Row],[Max Relative Error (ep)]]/Audit[[#This Row],[Error Bound (up) - Max. possible relative overstatement]])</f>
        <v>0</v>
      </c>
      <c r="BH1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0" s="18">
        <f t="shared" si="2"/>
        <v>1</v>
      </c>
      <c r="BJ140" s="18">
        <f>PRODUCT($BI$5:BI140)</f>
        <v>1</v>
      </c>
      <c r="BK140" s="20">
        <f>1 - Audit[[#This Row],[K-M P Value]]</f>
        <v>0</v>
      </c>
      <c r="BL140" s="18" t="str">
        <f>IF(Audit[[#This Row],[K-M P Value]]&gt;1-'General Info'!$B$12,"Continue", "Stop")</f>
        <v>Continue</v>
      </c>
      <c r="BM140" s="23" t="b">
        <f>IF(Audit[[#This Row],[Status - Continue or stop audit]] = "Continue", TRUE, IF(BL139 = "Continue", TRUE, FALSE))</f>
        <v>1</v>
      </c>
      <c r="BN140" s="23"/>
    </row>
    <row r="141" spans="1:66" ht="15" hidden="1" customHeight="1" x14ac:dyDescent="0.35">
      <c r="A141" s="18" t="str">
        <f>'Sampling Data'!AI141</f>
        <v/>
      </c>
      <c r="B141" s="18" t="str">
        <f>'Sampling Data'!A141</f>
        <v>2305 CIN 23-E   (AV)</v>
      </c>
      <c r="C141" s="18">
        <f>'Sampling Data'!B141</f>
        <v>2</v>
      </c>
      <c r="D141" s="18">
        <f>'Sampling Data'!C141</f>
        <v>0</v>
      </c>
      <c r="E141" s="19">
        <f>'Sampling Data'!D141</f>
        <v>0</v>
      </c>
      <c r="F141" s="19">
        <f>'Sampling Data'!E141</f>
        <v>0</v>
      </c>
      <c r="G141" s="19">
        <f>'Sampling Data'!F141</f>
        <v>0</v>
      </c>
      <c r="H141" s="19">
        <f>'Sampling Data'!G141</f>
        <v>0</v>
      </c>
      <c r="I141" s="19">
        <f>'Sampling Data'!H141</f>
        <v>0</v>
      </c>
      <c r="J141" s="19">
        <f>'Sampling Data'!I141</f>
        <v>0</v>
      </c>
      <c r="K141" s="19">
        <f>'Sampling Data'!J141</f>
        <v>0</v>
      </c>
      <c r="L141" s="19">
        <f>'Sampling Data'!K141</f>
        <v>0</v>
      </c>
      <c r="M141" s="19">
        <f>'Sampling Data'!L141</f>
        <v>0</v>
      </c>
      <c r="N141" s="19">
        <f>'Sampling Data'!M141</f>
        <v>0</v>
      </c>
      <c r="O141" s="18">
        <f>'Sampling Data'!N141</f>
        <v>0</v>
      </c>
      <c r="P141" s="18">
        <f>'Sampling Data'!O141</f>
        <v>0</v>
      </c>
      <c r="Q141" s="18">
        <f>'Sampling Data'!P141</f>
        <v>2</v>
      </c>
      <c r="R141" s="18">
        <f>'Sampling Data'!AJ141</f>
        <v>0</v>
      </c>
      <c r="S141" s="112"/>
      <c r="T141" s="112"/>
      <c r="U141" s="113"/>
      <c r="V141" s="113"/>
      <c r="W141" s="112"/>
      <c r="X141" s="112"/>
      <c r="Y141" s="112"/>
      <c r="Z141" s="112"/>
      <c r="AA141" s="15"/>
      <c r="AB141" s="15"/>
      <c r="AC141" s="15"/>
      <c r="AD141" s="15"/>
      <c r="AE141" s="114" t="str">
        <f>IF(NOT(ISBLANK(Audit[[#This Row],[Audit Winning Candidate]])), Audit[[#This Row],[Audit Winning Candidate]]-Audit[[#This Row],[Winning Candidate]], "")</f>
        <v/>
      </c>
      <c r="AF141" s="18" t="str">
        <f>IF(NOT(ISBLANK(Audit[[#This Row],[Audit Losing Candidate]])), Audit[[#This Row],[Audit Losing Candidate]]-Audit[[#This Row],[Losing Candidate]], "")</f>
        <v/>
      </c>
      <c r="AG141" s="18" t="str">
        <f>IF(NOT(ISBLANK(Audit[[#This Row],[Audit Candidate 3]])), Audit[[#This Row],[Audit Candidate 3]]-Audit[[#This Row],[Candidate 3]], "")</f>
        <v/>
      </c>
      <c r="AH141" s="18" t="str">
        <f>IF(NOT(ISBLANK(Audit[[#This Row],[Audit Candidate 4]])),Audit[[#This Row],[Audit Candidate 4]]-Audit[[#This Row],[Candidate 4]], "")</f>
        <v/>
      </c>
      <c r="AI141" s="18" t="str">
        <f>IF(NOT(ISBLANK(Audit[[#This Row],[Audit Candidate 5]])), Audit[[#This Row],[Audit Candidate 5]]-Audit[[#This Row],[Candidate 5]], "")</f>
        <v/>
      </c>
      <c r="AJ141" s="18" t="str">
        <f>IF(NOT(ISBLANK(Audit[[#This Row],[Audit Candidate 6]])), Audit[[#This Row],[Audit Candidate 6]]-Audit[[#This Row],[Candidate 6]], "")</f>
        <v/>
      </c>
      <c r="AK141" s="18" t="str">
        <f>IF(NOT(ISBLANK(Audit[[#This Row],[Audit Candidate 7]])), Audit[[#This Row],[Audit Candidate 7]]-Audit[[#This Row],[Candidate 7]], "")</f>
        <v/>
      </c>
      <c r="AL141" s="18" t="str">
        <f>IF(NOT(ISBLANK(Audit[[#This Row],[Audit Candidate 8]])), Audit[[#This Row],[Audit Candidate 8]]-Audit[[#This Row],[Candidate 8]], "")</f>
        <v/>
      </c>
      <c r="AM141" s="18" t="str">
        <f>IF(NOT(ISBLANK(Audit[[#This Row],[Audit Candidate 9]])), Audit[[#This Row],[Audit Candidate 9]]-Audit[[#This Row],[Candidate 9]], "")</f>
        <v/>
      </c>
      <c r="AN141" s="18" t="str">
        <f>IF(NOT(ISBLANK(Audit[[#This Row],[Audit Candidate 10]])), Audit[[#This Row],[Audit Candidate 10]]-Audit[[#This Row],[Candidate 10]], "")</f>
        <v/>
      </c>
      <c r="AO141" s="18" t="str">
        <f>IF(NOT(ISBLANK(Audit[[#This Row],[Audit Candidate 11]])), Audit[[#This Row],[Audit Candidate 11]]-Audit[[#This Row],[Candidate 11]], "")</f>
        <v/>
      </c>
      <c r="AP141" s="18" t="str">
        <f>IF(NOT(ISBLANK(Audit[[#This Row],[Audit Candidate 12]])), Audit[[#This Row],[Audit Candidate 12]]-Audit[[#This Row],[Candidate 12]], "")</f>
        <v/>
      </c>
      <c r="AQ141" s="18">
        <f>SUMIF(Audit[[#This Row],[Difference Winner]:[Difference Candidate 12]], "&gt;0")</f>
        <v>0</v>
      </c>
      <c r="AR141" s="18">
        <f>SUM(Audit[[#This Row],[Difference Winner]:[Difference Candidate 12]])</f>
        <v>0</v>
      </c>
      <c r="AS141" s="18">
        <f>IF(Audit[[#This Row],[Times p Drawn - With Replacement]]&gt;0, IF(Audit[[#This Row],[Canceled Differences]]&lt;0, Audit[[#This Row],[Max Differences]]+ABS(Audit[[#This Row],[Canceled Differences]]), Audit[[#This Row],[Max Differences]]), 0)</f>
        <v>0</v>
      </c>
      <c r="AT141" s="18">
        <f>'Sampling Data'!AB141</f>
        <v>1.2563997864120362E-4</v>
      </c>
      <c r="AU141" s="18">
        <f>IF(
      SUM(Audit[[#This Row],[Audit Losing Candidate]:[Audit Candidate 12]])
      &lt;&gt;0,
      (Audit[[#This Row],[Winning Candidate]]-Audit[[#This Row],[Losing Candidate]]-(Audit[[#This Row],[Audit Winning Candidate]]-Audit[[#This Row],[Audit Losing Candidate]]))/(Audit[[#Totals],[Winning Candidate]]-Audit[[#Totals],[Losing Candidate]]),
      0
)</f>
        <v>0</v>
      </c>
      <c r="AV1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8">
        <f>IF(Audit[[#This Row],[Max Relative Error (ep)]] = 0, 0, Audit[[#This Row],[Max Relative Error (ep)]]/Audit[[#This Row],[Error Bound (up) - Max. possible relative overstatement]])</f>
        <v>0</v>
      </c>
      <c r="BH1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1" s="18">
        <f t="shared" si="2"/>
        <v>1</v>
      </c>
      <c r="BJ141" s="18">
        <f>PRODUCT($BI$5:BI141)</f>
        <v>1</v>
      </c>
      <c r="BK141" s="20">
        <f>1 - Audit[[#This Row],[K-M P Value]]</f>
        <v>0</v>
      </c>
      <c r="BL141" s="18" t="str">
        <f>IF(Audit[[#This Row],[K-M P Value]]&gt;1-'General Info'!$B$12,"Continue", "Stop")</f>
        <v>Continue</v>
      </c>
      <c r="BM141" s="23" t="b">
        <f>IF(Audit[[#This Row],[Status - Continue or stop audit]] = "Continue", TRUE, IF(BL140 = "Continue", TRUE, FALSE))</f>
        <v>1</v>
      </c>
      <c r="BN141" s="23"/>
    </row>
    <row r="142" spans="1:66" ht="15" hidden="1" customHeight="1" x14ac:dyDescent="0.35">
      <c r="A142" s="18" t="str">
        <f>'Sampling Data'!AI142</f>
        <v/>
      </c>
      <c r="B142" s="18" t="str">
        <f>'Sampling Data'!A142</f>
        <v>2306 CIN 23-F   (AV)</v>
      </c>
      <c r="C142" s="18">
        <f>'Sampling Data'!B142</f>
        <v>6</v>
      </c>
      <c r="D142" s="18">
        <f>'Sampling Data'!C142</f>
        <v>0</v>
      </c>
      <c r="E142" s="19">
        <f>'Sampling Data'!D142</f>
        <v>0</v>
      </c>
      <c r="F142" s="19">
        <f>'Sampling Data'!E142</f>
        <v>0</v>
      </c>
      <c r="G142" s="19">
        <f>'Sampling Data'!F142</f>
        <v>0</v>
      </c>
      <c r="H142" s="19">
        <f>'Sampling Data'!G142</f>
        <v>0</v>
      </c>
      <c r="I142" s="19">
        <f>'Sampling Data'!H142</f>
        <v>0</v>
      </c>
      <c r="J142" s="19">
        <f>'Sampling Data'!I142</f>
        <v>0</v>
      </c>
      <c r="K142" s="19">
        <f>'Sampling Data'!J142</f>
        <v>0</v>
      </c>
      <c r="L142" s="19">
        <f>'Sampling Data'!K142</f>
        <v>0</v>
      </c>
      <c r="M142" s="19">
        <f>'Sampling Data'!L142</f>
        <v>0</v>
      </c>
      <c r="N142" s="19">
        <f>'Sampling Data'!M142</f>
        <v>0</v>
      </c>
      <c r="O142" s="18">
        <f>'Sampling Data'!N142</f>
        <v>0</v>
      </c>
      <c r="P142" s="18">
        <f>'Sampling Data'!O142</f>
        <v>0</v>
      </c>
      <c r="Q142" s="18">
        <f>'Sampling Data'!P142</f>
        <v>6</v>
      </c>
      <c r="R142" s="18">
        <f>'Sampling Data'!AJ142</f>
        <v>0</v>
      </c>
      <c r="S142" s="112"/>
      <c r="T142" s="112"/>
      <c r="U142" s="113"/>
      <c r="V142" s="113"/>
      <c r="W142" s="112"/>
      <c r="X142" s="112"/>
      <c r="Y142" s="112"/>
      <c r="Z142" s="112"/>
      <c r="AA142" s="15"/>
      <c r="AB142" s="15"/>
      <c r="AC142" s="15"/>
      <c r="AD142" s="15"/>
      <c r="AE142" s="114" t="str">
        <f>IF(NOT(ISBLANK(Audit[[#This Row],[Audit Winning Candidate]])), Audit[[#This Row],[Audit Winning Candidate]]-Audit[[#This Row],[Winning Candidate]], "")</f>
        <v/>
      </c>
      <c r="AF142" s="18" t="str">
        <f>IF(NOT(ISBLANK(Audit[[#This Row],[Audit Losing Candidate]])), Audit[[#This Row],[Audit Losing Candidate]]-Audit[[#This Row],[Losing Candidate]], "")</f>
        <v/>
      </c>
      <c r="AG142" s="18" t="str">
        <f>IF(NOT(ISBLANK(Audit[[#This Row],[Audit Candidate 3]])), Audit[[#This Row],[Audit Candidate 3]]-Audit[[#This Row],[Candidate 3]], "")</f>
        <v/>
      </c>
      <c r="AH142" s="18" t="str">
        <f>IF(NOT(ISBLANK(Audit[[#This Row],[Audit Candidate 4]])),Audit[[#This Row],[Audit Candidate 4]]-Audit[[#This Row],[Candidate 4]], "")</f>
        <v/>
      </c>
      <c r="AI142" s="18" t="str">
        <f>IF(NOT(ISBLANK(Audit[[#This Row],[Audit Candidate 5]])), Audit[[#This Row],[Audit Candidate 5]]-Audit[[#This Row],[Candidate 5]], "")</f>
        <v/>
      </c>
      <c r="AJ142" s="18" t="str">
        <f>IF(NOT(ISBLANK(Audit[[#This Row],[Audit Candidate 6]])), Audit[[#This Row],[Audit Candidate 6]]-Audit[[#This Row],[Candidate 6]], "")</f>
        <v/>
      </c>
      <c r="AK142" s="18" t="str">
        <f>IF(NOT(ISBLANK(Audit[[#This Row],[Audit Candidate 7]])), Audit[[#This Row],[Audit Candidate 7]]-Audit[[#This Row],[Candidate 7]], "")</f>
        <v/>
      </c>
      <c r="AL142" s="18" t="str">
        <f>IF(NOT(ISBLANK(Audit[[#This Row],[Audit Candidate 8]])), Audit[[#This Row],[Audit Candidate 8]]-Audit[[#This Row],[Candidate 8]], "")</f>
        <v/>
      </c>
      <c r="AM142" s="18" t="str">
        <f>IF(NOT(ISBLANK(Audit[[#This Row],[Audit Candidate 9]])), Audit[[#This Row],[Audit Candidate 9]]-Audit[[#This Row],[Candidate 9]], "")</f>
        <v/>
      </c>
      <c r="AN142" s="18" t="str">
        <f>IF(NOT(ISBLANK(Audit[[#This Row],[Audit Candidate 10]])), Audit[[#This Row],[Audit Candidate 10]]-Audit[[#This Row],[Candidate 10]], "")</f>
        <v/>
      </c>
      <c r="AO142" s="18" t="str">
        <f>IF(NOT(ISBLANK(Audit[[#This Row],[Audit Candidate 11]])), Audit[[#This Row],[Audit Candidate 11]]-Audit[[#This Row],[Candidate 11]], "")</f>
        <v/>
      </c>
      <c r="AP142" s="18" t="str">
        <f>IF(NOT(ISBLANK(Audit[[#This Row],[Audit Candidate 12]])), Audit[[#This Row],[Audit Candidate 12]]-Audit[[#This Row],[Candidate 12]], "")</f>
        <v/>
      </c>
      <c r="AQ142" s="18">
        <f>SUMIF(Audit[[#This Row],[Difference Winner]:[Difference Candidate 12]], "&gt;0")</f>
        <v>0</v>
      </c>
      <c r="AR142" s="18">
        <f>SUM(Audit[[#This Row],[Difference Winner]:[Difference Candidate 12]])</f>
        <v>0</v>
      </c>
      <c r="AS142" s="18">
        <f>IF(Audit[[#This Row],[Times p Drawn - With Replacement]]&gt;0, IF(Audit[[#This Row],[Canceled Differences]]&lt;0, Audit[[#This Row],[Max Differences]]+ABS(Audit[[#This Row],[Canceled Differences]]), Audit[[#This Row],[Max Differences]]), 0)</f>
        <v>0</v>
      </c>
      <c r="AT142" s="18">
        <f>'Sampling Data'!AB142</f>
        <v>3.7691993592361088E-4</v>
      </c>
      <c r="AU142" s="18">
        <f>IF(
      SUM(Audit[[#This Row],[Audit Losing Candidate]:[Audit Candidate 12]])
      &lt;&gt;0,
      (Audit[[#This Row],[Winning Candidate]]-Audit[[#This Row],[Losing Candidate]]-(Audit[[#This Row],[Audit Winning Candidate]]-Audit[[#This Row],[Audit Losing Candidate]]))/(Audit[[#Totals],[Winning Candidate]]-Audit[[#Totals],[Losing Candidate]]),
      0
)</f>
        <v>0</v>
      </c>
      <c r="AV1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8">
        <f>IF(Audit[[#This Row],[Max Relative Error (ep)]] = 0, 0, Audit[[#This Row],[Max Relative Error (ep)]]/Audit[[#This Row],[Error Bound (up) - Max. possible relative overstatement]])</f>
        <v>0</v>
      </c>
      <c r="BH1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2" s="18">
        <f t="shared" si="2"/>
        <v>1</v>
      </c>
      <c r="BJ142" s="18">
        <f>PRODUCT($BI$5:BI142)</f>
        <v>1</v>
      </c>
      <c r="BK142" s="20">
        <f>1 - Audit[[#This Row],[K-M P Value]]</f>
        <v>0</v>
      </c>
      <c r="BL142" s="18" t="str">
        <f>IF(Audit[[#This Row],[K-M P Value]]&gt;1-'General Info'!$B$12,"Continue", "Stop")</f>
        <v>Continue</v>
      </c>
      <c r="BM142" s="23" t="b">
        <f>IF(Audit[[#This Row],[Status - Continue or stop audit]] = "Continue", TRUE, IF(BL141 = "Continue", TRUE, FALSE))</f>
        <v>1</v>
      </c>
      <c r="BN142" s="23"/>
    </row>
    <row r="143" spans="1:66" ht="15" hidden="1" customHeight="1" x14ac:dyDescent="0.35">
      <c r="A143" s="18" t="str">
        <f>'Sampling Data'!AI143</f>
        <v/>
      </c>
      <c r="B143" s="18" t="str">
        <f>'Sampling Data'!A143</f>
        <v>2307 CIN 23-G   (AV)</v>
      </c>
      <c r="C143" s="18">
        <f>'Sampling Data'!B143</f>
        <v>1</v>
      </c>
      <c r="D143" s="18">
        <f>'Sampling Data'!C143</f>
        <v>0</v>
      </c>
      <c r="E143" s="19">
        <f>'Sampling Data'!D143</f>
        <v>0</v>
      </c>
      <c r="F143" s="19">
        <f>'Sampling Data'!E143</f>
        <v>0</v>
      </c>
      <c r="G143" s="19">
        <f>'Sampling Data'!F143</f>
        <v>0</v>
      </c>
      <c r="H143" s="19">
        <f>'Sampling Data'!G143</f>
        <v>0</v>
      </c>
      <c r="I143" s="19">
        <f>'Sampling Data'!H143</f>
        <v>0</v>
      </c>
      <c r="J143" s="19">
        <f>'Sampling Data'!I143</f>
        <v>0</v>
      </c>
      <c r="K143" s="19">
        <f>'Sampling Data'!J143</f>
        <v>0</v>
      </c>
      <c r="L143" s="19">
        <f>'Sampling Data'!K143</f>
        <v>0</v>
      </c>
      <c r="M143" s="19">
        <f>'Sampling Data'!L143</f>
        <v>0</v>
      </c>
      <c r="N143" s="19">
        <f>'Sampling Data'!M143</f>
        <v>0</v>
      </c>
      <c r="O143" s="18">
        <f>'Sampling Data'!N143</f>
        <v>0</v>
      </c>
      <c r="P143" s="18">
        <f>'Sampling Data'!O143</f>
        <v>0</v>
      </c>
      <c r="Q143" s="18">
        <f>'Sampling Data'!P143</f>
        <v>1</v>
      </c>
      <c r="R143" s="18">
        <f>'Sampling Data'!AJ143</f>
        <v>0</v>
      </c>
      <c r="S143" s="112"/>
      <c r="T143" s="112"/>
      <c r="U143" s="113"/>
      <c r="V143" s="113"/>
      <c r="W143" s="112"/>
      <c r="X143" s="112"/>
      <c r="Y143" s="112"/>
      <c r="Z143" s="112"/>
      <c r="AA143" s="15"/>
      <c r="AB143" s="15"/>
      <c r="AC143" s="15"/>
      <c r="AD143" s="15"/>
      <c r="AE143" s="114" t="str">
        <f>IF(NOT(ISBLANK(Audit[[#This Row],[Audit Winning Candidate]])), Audit[[#This Row],[Audit Winning Candidate]]-Audit[[#This Row],[Winning Candidate]], "")</f>
        <v/>
      </c>
      <c r="AF143" s="18" t="str">
        <f>IF(NOT(ISBLANK(Audit[[#This Row],[Audit Losing Candidate]])), Audit[[#This Row],[Audit Losing Candidate]]-Audit[[#This Row],[Losing Candidate]], "")</f>
        <v/>
      </c>
      <c r="AG143" s="18" t="str">
        <f>IF(NOT(ISBLANK(Audit[[#This Row],[Audit Candidate 3]])), Audit[[#This Row],[Audit Candidate 3]]-Audit[[#This Row],[Candidate 3]], "")</f>
        <v/>
      </c>
      <c r="AH143" s="18" t="str">
        <f>IF(NOT(ISBLANK(Audit[[#This Row],[Audit Candidate 4]])),Audit[[#This Row],[Audit Candidate 4]]-Audit[[#This Row],[Candidate 4]], "")</f>
        <v/>
      </c>
      <c r="AI143" s="18" t="str">
        <f>IF(NOT(ISBLANK(Audit[[#This Row],[Audit Candidate 5]])), Audit[[#This Row],[Audit Candidate 5]]-Audit[[#This Row],[Candidate 5]], "")</f>
        <v/>
      </c>
      <c r="AJ143" s="18" t="str">
        <f>IF(NOT(ISBLANK(Audit[[#This Row],[Audit Candidate 6]])), Audit[[#This Row],[Audit Candidate 6]]-Audit[[#This Row],[Candidate 6]], "")</f>
        <v/>
      </c>
      <c r="AK143" s="18" t="str">
        <f>IF(NOT(ISBLANK(Audit[[#This Row],[Audit Candidate 7]])), Audit[[#This Row],[Audit Candidate 7]]-Audit[[#This Row],[Candidate 7]], "")</f>
        <v/>
      </c>
      <c r="AL143" s="18" t="str">
        <f>IF(NOT(ISBLANK(Audit[[#This Row],[Audit Candidate 8]])), Audit[[#This Row],[Audit Candidate 8]]-Audit[[#This Row],[Candidate 8]], "")</f>
        <v/>
      </c>
      <c r="AM143" s="18" t="str">
        <f>IF(NOT(ISBLANK(Audit[[#This Row],[Audit Candidate 9]])), Audit[[#This Row],[Audit Candidate 9]]-Audit[[#This Row],[Candidate 9]], "")</f>
        <v/>
      </c>
      <c r="AN143" s="18" t="str">
        <f>IF(NOT(ISBLANK(Audit[[#This Row],[Audit Candidate 10]])), Audit[[#This Row],[Audit Candidate 10]]-Audit[[#This Row],[Candidate 10]], "")</f>
        <v/>
      </c>
      <c r="AO143" s="18" t="str">
        <f>IF(NOT(ISBLANK(Audit[[#This Row],[Audit Candidate 11]])), Audit[[#This Row],[Audit Candidate 11]]-Audit[[#This Row],[Candidate 11]], "")</f>
        <v/>
      </c>
      <c r="AP143" s="18" t="str">
        <f>IF(NOT(ISBLANK(Audit[[#This Row],[Audit Candidate 12]])), Audit[[#This Row],[Audit Candidate 12]]-Audit[[#This Row],[Candidate 12]], "")</f>
        <v/>
      </c>
      <c r="AQ143" s="18">
        <f>SUMIF(Audit[[#This Row],[Difference Winner]:[Difference Candidate 12]], "&gt;0")</f>
        <v>0</v>
      </c>
      <c r="AR143" s="18">
        <f>SUM(Audit[[#This Row],[Difference Winner]:[Difference Candidate 12]])</f>
        <v>0</v>
      </c>
      <c r="AS143" s="18">
        <f>IF(Audit[[#This Row],[Times p Drawn - With Replacement]]&gt;0, IF(Audit[[#This Row],[Canceled Differences]]&lt;0, Audit[[#This Row],[Max Differences]]+ABS(Audit[[#This Row],[Canceled Differences]]), Audit[[#This Row],[Max Differences]]), 0)</f>
        <v>0</v>
      </c>
      <c r="AT143" s="18">
        <f>'Sampling Data'!AB143</f>
        <v>6.2819989320601809E-5</v>
      </c>
      <c r="AU143" s="18">
        <f>IF(
      SUM(Audit[[#This Row],[Audit Losing Candidate]:[Audit Candidate 12]])
      &lt;&gt;0,
      (Audit[[#This Row],[Winning Candidate]]-Audit[[#This Row],[Losing Candidate]]-(Audit[[#This Row],[Audit Winning Candidate]]-Audit[[#This Row],[Audit Losing Candidate]]))/(Audit[[#Totals],[Winning Candidate]]-Audit[[#Totals],[Losing Candidate]]),
      0
)</f>
        <v>0</v>
      </c>
      <c r="AV1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8">
        <f>IF(Audit[[#This Row],[Max Relative Error (ep)]] = 0, 0, Audit[[#This Row],[Max Relative Error (ep)]]/Audit[[#This Row],[Error Bound (up) - Max. possible relative overstatement]])</f>
        <v>0</v>
      </c>
      <c r="BH1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3" s="18">
        <f t="shared" ref="BI143:BI206" si="3">IF(ISERR(POWER(BH143,R143)), 0, POWER(BH143,R143))</f>
        <v>1</v>
      </c>
      <c r="BJ143" s="18">
        <f>PRODUCT($BI$5:BI143)</f>
        <v>1</v>
      </c>
      <c r="BK143" s="20">
        <f>1 - Audit[[#This Row],[K-M P Value]]</f>
        <v>0</v>
      </c>
      <c r="BL143" s="18" t="str">
        <f>IF(Audit[[#This Row],[K-M P Value]]&gt;1-'General Info'!$B$12,"Continue", "Stop")</f>
        <v>Continue</v>
      </c>
      <c r="BM143" s="23" t="b">
        <f>IF(Audit[[#This Row],[Status - Continue or stop audit]] = "Continue", TRUE, IF(BL142 = "Continue", TRUE, FALSE))</f>
        <v>1</v>
      </c>
      <c r="BN143" s="23"/>
    </row>
    <row r="144" spans="1:66" ht="15" hidden="1" customHeight="1" x14ac:dyDescent="0.35">
      <c r="A144" s="18" t="str">
        <f>'Sampling Data'!AI144</f>
        <v/>
      </c>
      <c r="B144" s="18" t="str">
        <f>'Sampling Data'!A144</f>
        <v>2308 CIN 23-H   (AV)</v>
      </c>
      <c r="C144" s="18">
        <f>'Sampling Data'!B144</f>
        <v>7</v>
      </c>
      <c r="D144" s="18">
        <f>'Sampling Data'!C144</f>
        <v>0</v>
      </c>
      <c r="E144" s="19">
        <f>'Sampling Data'!D144</f>
        <v>0</v>
      </c>
      <c r="F144" s="19">
        <f>'Sampling Data'!E144</f>
        <v>0</v>
      </c>
      <c r="G144" s="19">
        <f>'Sampling Data'!F144</f>
        <v>0</v>
      </c>
      <c r="H144" s="19">
        <f>'Sampling Data'!G144</f>
        <v>0</v>
      </c>
      <c r="I144" s="19">
        <f>'Sampling Data'!H144</f>
        <v>0</v>
      </c>
      <c r="J144" s="19">
        <f>'Sampling Data'!I144</f>
        <v>0</v>
      </c>
      <c r="K144" s="19">
        <f>'Sampling Data'!J144</f>
        <v>0</v>
      </c>
      <c r="L144" s="19">
        <f>'Sampling Data'!K144</f>
        <v>0</v>
      </c>
      <c r="M144" s="19">
        <f>'Sampling Data'!L144</f>
        <v>0</v>
      </c>
      <c r="N144" s="19">
        <f>'Sampling Data'!M144</f>
        <v>0</v>
      </c>
      <c r="O144" s="18">
        <f>'Sampling Data'!N144</f>
        <v>0</v>
      </c>
      <c r="P144" s="18">
        <f>'Sampling Data'!O144</f>
        <v>2</v>
      </c>
      <c r="Q144" s="18">
        <f>'Sampling Data'!P144</f>
        <v>9</v>
      </c>
      <c r="R144" s="18">
        <f>'Sampling Data'!AJ144</f>
        <v>0</v>
      </c>
      <c r="S144" s="112"/>
      <c r="T144" s="112"/>
      <c r="U144" s="113"/>
      <c r="V144" s="113"/>
      <c r="W144" s="112"/>
      <c r="X144" s="112"/>
      <c r="Y144" s="112"/>
      <c r="Z144" s="112"/>
      <c r="AA144" s="15"/>
      <c r="AB144" s="15"/>
      <c r="AC144" s="15"/>
      <c r="AD144" s="15"/>
      <c r="AE144" s="114" t="str">
        <f>IF(NOT(ISBLANK(Audit[[#This Row],[Audit Winning Candidate]])), Audit[[#This Row],[Audit Winning Candidate]]-Audit[[#This Row],[Winning Candidate]], "")</f>
        <v/>
      </c>
      <c r="AF144" s="18" t="str">
        <f>IF(NOT(ISBLANK(Audit[[#This Row],[Audit Losing Candidate]])), Audit[[#This Row],[Audit Losing Candidate]]-Audit[[#This Row],[Losing Candidate]], "")</f>
        <v/>
      </c>
      <c r="AG144" s="18" t="str">
        <f>IF(NOT(ISBLANK(Audit[[#This Row],[Audit Candidate 3]])), Audit[[#This Row],[Audit Candidate 3]]-Audit[[#This Row],[Candidate 3]], "")</f>
        <v/>
      </c>
      <c r="AH144" s="18" t="str">
        <f>IF(NOT(ISBLANK(Audit[[#This Row],[Audit Candidate 4]])),Audit[[#This Row],[Audit Candidate 4]]-Audit[[#This Row],[Candidate 4]], "")</f>
        <v/>
      </c>
      <c r="AI144" s="18" t="str">
        <f>IF(NOT(ISBLANK(Audit[[#This Row],[Audit Candidate 5]])), Audit[[#This Row],[Audit Candidate 5]]-Audit[[#This Row],[Candidate 5]], "")</f>
        <v/>
      </c>
      <c r="AJ144" s="18" t="str">
        <f>IF(NOT(ISBLANK(Audit[[#This Row],[Audit Candidate 6]])), Audit[[#This Row],[Audit Candidate 6]]-Audit[[#This Row],[Candidate 6]], "")</f>
        <v/>
      </c>
      <c r="AK144" s="18" t="str">
        <f>IF(NOT(ISBLANK(Audit[[#This Row],[Audit Candidate 7]])), Audit[[#This Row],[Audit Candidate 7]]-Audit[[#This Row],[Candidate 7]], "")</f>
        <v/>
      </c>
      <c r="AL144" s="18" t="str">
        <f>IF(NOT(ISBLANK(Audit[[#This Row],[Audit Candidate 8]])), Audit[[#This Row],[Audit Candidate 8]]-Audit[[#This Row],[Candidate 8]], "")</f>
        <v/>
      </c>
      <c r="AM144" s="18" t="str">
        <f>IF(NOT(ISBLANK(Audit[[#This Row],[Audit Candidate 9]])), Audit[[#This Row],[Audit Candidate 9]]-Audit[[#This Row],[Candidate 9]], "")</f>
        <v/>
      </c>
      <c r="AN144" s="18" t="str">
        <f>IF(NOT(ISBLANK(Audit[[#This Row],[Audit Candidate 10]])), Audit[[#This Row],[Audit Candidate 10]]-Audit[[#This Row],[Candidate 10]], "")</f>
        <v/>
      </c>
      <c r="AO144" s="18" t="str">
        <f>IF(NOT(ISBLANK(Audit[[#This Row],[Audit Candidate 11]])), Audit[[#This Row],[Audit Candidate 11]]-Audit[[#This Row],[Candidate 11]], "")</f>
        <v/>
      </c>
      <c r="AP144" s="18" t="str">
        <f>IF(NOT(ISBLANK(Audit[[#This Row],[Audit Candidate 12]])), Audit[[#This Row],[Audit Candidate 12]]-Audit[[#This Row],[Candidate 12]], "")</f>
        <v/>
      </c>
      <c r="AQ144" s="18">
        <f>SUMIF(Audit[[#This Row],[Difference Winner]:[Difference Candidate 12]], "&gt;0")</f>
        <v>0</v>
      </c>
      <c r="AR144" s="18">
        <f>SUM(Audit[[#This Row],[Difference Winner]:[Difference Candidate 12]])</f>
        <v>0</v>
      </c>
      <c r="AS144" s="18">
        <f>IF(Audit[[#This Row],[Times p Drawn - With Replacement]]&gt;0, IF(Audit[[#This Row],[Canceled Differences]]&lt;0, Audit[[#This Row],[Max Differences]]+ABS(Audit[[#This Row],[Canceled Differences]]), Audit[[#This Row],[Max Differences]]), 0)</f>
        <v>0</v>
      </c>
      <c r="AT144" s="18">
        <f>'Sampling Data'!AB144</f>
        <v>5.0255991456481448E-4</v>
      </c>
      <c r="AU144" s="18">
        <f>IF(
      SUM(Audit[[#This Row],[Audit Losing Candidate]:[Audit Candidate 12]])
      &lt;&gt;0,
      (Audit[[#This Row],[Winning Candidate]]-Audit[[#This Row],[Losing Candidate]]-(Audit[[#This Row],[Audit Winning Candidate]]-Audit[[#This Row],[Audit Losing Candidate]]))/(Audit[[#Totals],[Winning Candidate]]-Audit[[#Totals],[Losing Candidate]]),
      0
)</f>
        <v>0</v>
      </c>
      <c r="AV1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8">
        <f>IF(Audit[[#This Row],[Max Relative Error (ep)]] = 0, 0, Audit[[#This Row],[Max Relative Error (ep)]]/Audit[[#This Row],[Error Bound (up) - Max. possible relative overstatement]])</f>
        <v>0</v>
      </c>
      <c r="BH1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4" s="18">
        <f t="shared" si="3"/>
        <v>1</v>
      </c>
      <c r="BJ144" s="18">
        <f>PRODUCT($BI$5:BI144)</f>
        <v>1</v>
      </c>
      <c r="BK144" s="20">
        <f>1 - Audit[[#This Row],[K-M P Value]]</f>
        <v>0</v>
      </c>
      <c r="BL144" s="18" t="str">
        <f>IF(Audit[[#This Row],[K-M P Value]]&gt;1-'General Info'!$B$12,"Continue", "Stop")</f>
        <v>Continue</v>
      </c>
      <c r="BM144" s="23" t="b">
        <f>IF(Audit[[#This Row],[Status - Continue or stop audit]] = "Continue", TRUE, IF(BL143 = "Continue", TRUE, FALSE))</f>
        <v>1</v>
      </c>
      <c r="BN144" s="23"/>
    </row>
    <row r="145" spans="1:66" ht="15" hidden="1" customHeight="1" x14ac:dyDescent="0.35">
      <c r="A145" s="18" t="str">
        <f>'Sampling Data'!AI145</f>
        <v/>
      </c>
      <c r="B145" s="18" t="str">
        <f>'Sampling Data'!A145</f>
        <v>2309 CIN 23-I   (AV)</v>
      </c>
      <c r="C145" s="18">
        <f>'Sampling Data'!B145</f>
        <v>11</v>
      </c>
      <c r="D145" s="18">
        <f>'Sampling Data'!C145</f>
        <v>1</v>
      </c>
      <c r="E145" s="19">
        <f>'Sampling Data'!D145</f>
        <v>0</v>
      </c>
      <c r="F145" s="19">
        <f>'Sampling Data'!E145</f>
        <v>0</v>
      </c>
      <c r="G145" s="19">
        <f>'Sampling Data'!F145</f>
        <v>0</v>
      </c>
      <c r="H145" s="19">
        <f>'Sampling Data'!G145</f>
        <v>0</v>
      </c>
      <c r="I145" s="19">
        <f>'Sampling Data'!H145</f>
        <v>0</v>
      </c>
      <c r="J145" s="19">
        <f>'Sampling Data'!I145</f>
        <v>0</v>
      </c>
      <c r="K145" s="19">
        <f>'Sampling Data'!J145</f>
        <v>0</v>
      </c>
      <c r="L145" s="19">
        <f>'Sampling Data'!K145</f>
        <v>0</v>
      </c>
      <c r="M145" s="19">
        <f>'Sampling Data'!L145</f>
        <v>0</v>
      </c>
      <c r="N145" s="19">
        <f>'Sampling Data'!M145</f>
        <v>0</v>
      </c>
      <c r="O145" s="18">
        <f>'Sampling Data'!N145</f>
        <v>0</v>
      </c>
      <c r="P145" s="18">
        <f>'Sampling Data'!O145</f>
        <v>0</v>
      </c>
      <c r="Q145" s="18">
        <f>'Sampling Data'!P145</f>
        <v>12</v>
      </c>
      <c r="R145" s="18">
        <f>'Sampling Data'!AJ145</f>
        <v>0</v>
      </c>
      <c r="S145" s="112"/>
      <c r="T145" s="112"/>
      <c r="U145" s="113"/>
      <c r="V145" s="113"/>
      <c r="W145" s="112"/>
      <c r="X145" s="112"/>
      <c r="Y145" s="112"/>
      <c r="Z145" s="112"/>
      <c r="AA145" s="15"/>
      <c r="AB145" s="15"/>
      <c r="AC145" s="15"/>
      <c r="AD145" s="15"/>
      <c r="AE145" s="114" t="str">
        <f>IF(NOT(ISBLANK(Audit[[#This Row],[Audit Winning Candidate]])), Audit[[#This Row],[Audit Winning Candidate]]-Audit[[#This Row],[Winning Candidate]], "")</f>
        <v/>
      </c>
      <c r="AF145" s="18" t="str">
        <f>IF(NOT(ISBLANK(Audit[[#This Row],[Audit Losing Candidate]])), Audit[[#This Row],[Audit Losing Candidate]]-Audit[[#This Row],[Losing Candidate]], "")</f>
        <v/>
      </c>
      <c r="AG145" s="18" t="str">
        <f>IF(NOT(ISBLANK(Audit[[#This Row],[Audit Candidate 3]])), Audit[[#This Row],[Audit Candidate 3]]-Audit[[#This Row],[Candidate 3]], "")</f>
        <v/>
      </c>
      <c r="AH145" s="18" t="str">
        <f>IF(NOT(ISBLANK(Audit[[#This Row],[Audit Candidate 4]])),Audit[[#This Row],[Audit Candidate 4]]-Audit[[#This Row],[Candidate 4]], "")</f>
        <v/>
      </c>
      <c r="AI145" s="18" t="str">
        <f>IF(NOT(ISBLANK(Audit[[#This Row],[Audit Candidate 5]])), Audit[[#This Row],[Audit Candidate 5]]-Audit[[#This Row],[Candidate 5]], "")</f>
        <v/>
      </c>
      <c r="AJ145" s="18" t="str">
        <f>IF(NOT(ISBLANK(Audit[[#This Row],[Audit Candidate 6]])), Audit[[#This Row],[Audit Candidate 6]]-Audit[[#This Row],[Candidate 6]], "")</f>
        <v/>
      </c>
      <c r="AK145" s="18" t="str">
        <f>IF(NOT(ISBLANK(Audit[[#This Row],[Audit Candidate 7]])), Audit[[#This Row],[Audit Candidate 7]]-Audit[[#This Row],[Candidate 7]], "")</f>
        <v/>
      </c>
      <c r="AL145" s="18" t="str">
        <f>IF(NOT(ISBLANK(Audit[[#This Row],[Audit Candidate 8]])), Audit[[#This Row],[Audit Candidate 8]]-Audit[[#This Row],[Candidate 8]], "")</f>
        <v/>
      </c>
      <c r="AM145" s="18" t="str">
        <f>IF(NOT(ISBLANK(Audit[[#This Row],[Audit Candidate 9]])), Audit[[#This Row],[Audit Candidate 9]]-Audit[[#This Row],[Candidate 9]], "")</f>
        <v/>
      </c>
      <c r="AN145" s="18" t="str">
        <f>IF(NOT(ISBLANK(Audit[[#This Row],[Audit Candidate 10]])), Audit[[#This Row],[Audit Candidate 10]]-Audit[[#This Row],[Candidate 10]], "")</f>
        <v/>
      </c>
      <c r="AO145" s="18" t="str">
        <f>IF(NOT(ISBLANK(Audit[[#This Row],[Audit Candidate 11]])), Audit[[#This Row],[Audit Candidate 11]]-Audit[[#This Row],[Candidate 11]], "")</f>
        <v/>
      </c>
      <c r="AP145" s="18" t="str">
        <f>IF(NOT(ISBLANK(Audit[[#This Row],[Audit Candidate 12]])), Audit[[#This Row],[Audit Candidate 12]]-Audit[[#This Row],[Candidate 12]], "")</f>
        <v/>
      </c>
      <c r="AQ145" s="18">
        <f>SUMIF(Audit[[#This Row],[Difference Winner]:[Difference Candidate 12]], "&gt;0")</f>
        <v>0</v>
      </c>
      <c r="AR145" s="18">
        <f>SUM(Audit[[#This Row],[Difference Winner]:[Difference Candidate 12]])</f>
        <v>0</v>
      </c>
      <c r="AS145" s="18">
        <f>IF(Audit[[#This Row],[Times p Drawn - With Replacement]]&gt;0, IF(Audit[[#This Row],[Canceled Differences]]&lt;0, Audit[[#This Row],[Max Differences]]+ABS(Audit[[#This Row],[Canceled Differences]]), Audit[[#This Row],[Max Differences]]), 0)</f>
        <v>0</v>
      </c>
      <c r="AT145" s="18">
        <f>'Sampling Data'!AB145</f>
        <v>6.9101988252662E-4</v>
      </c>
      <c r="AU145" s="18">
        <f>IF(
      SUM(Audit[[#This Row],[Audit Losing Candidate]:[Audit Candidate 12]])
      &lt;&gt;0,
      (Audit[[#This Row],[Winning Candidate]]-Audit[[#This Row],[Losing Candidate]]-(Audit[[#This Row],[Audit Winning Candidate]]-Audit[[#This Row],[Audit Losing Candidate]]))/(Audit[[#Totals],[Winning Candidate]]-Audit[[#Totals],[Losing Candidate]]),
      0
)</f>
        <v>0</v>
      </c>
      <c r="AV1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8">
        <f>IF(Audit[[#This Row],[Max Relative Error (ep)]] = 0, 0, Audit[[#This Row],[Max Relative Error (ep)]]/Audit[[#This Row],[Error Bound (up) - Max. possible relative overstatement]])</f>
        <v>0</v>
      </c>
      <c r="BH1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5" s="18">
        <f t="shared" si="3"/>
        <v>1</v>
      </c>
      <c r="BJ145" s="18">
        <f>PRODUCT($BI$5:BI145)</f>
        <v>1</v>
      </c>
      <c r="BK145" s="20">
        <f>1 - Audit[[#This Row],[K-M P Value]]</f>
        <v>0</v>
      </c>
      <c r="BL145" s="18" t="str">
        <f>IF(Audit[[#This Row],[K-M P Value]]&gt;1-'General Info'!$B$12,"Continue", "Stop")</f>
        <v>Continue</v>
      </c>
      <c r="BM145" s="23" t="b">
        <f>IF(Audit[[#This Row],[Status - Continue or stop audit]] = "Continue", TRUE, IF(BL144 = "Continue", TRUE, FALSE))</f>
        <v>1</v>
      </c>
      <c r="BN145" s="23"/>
    </row>
    <row r="146" spans="1:66" ht="15" hidden="1" customHeight="1" x14ac:dyDescent="0.35">
      <c r="A146" s="18" t="str">
        <f>'Sampling Data'!AI146</f>
        <v/>
      </c>
      <c r="B146" s="18" t="str">
        <f>'Sampling Data'!A146</f>
        <v>2310 CIN 23-J   (AV)</v>
      </c>
      <c r="C146" s="18">
        <f>'Sampling Data'!B146</f>
        <v>10</v>
      </c>
      <c r="D146" s="18">
        <f>'Sampling Data'!C146</f>
        <v>0</v>
      </c>
      <c r="E146" s="19">
        <f>'Sampling Data'!D146</f>
        <v>0</v>
      </c>
      <c r="F146" s="19">
        <f>'Sampling Data'!E146</f>
        <v>0</v>
      </c>
      <c r="G146" s="19">
        <f>'Sampling Data'!F146</f>
        <v>0</v>
      </c>
      <c r="H146" s="19">
        <f>'Sampling Data'!G146</f>
        <v>0</v>
      </c>
      <c r="I146" s="19">
        <f>'Sampling Data'!H146</f>
        <v>0</v>
      </c>
      <c r="J146" s="19">
        <f>'Sampling Data'!I146</f>
        <v>0</v>
      </c>
      <c r="K146" s="19">
        <f>'Sampling Data'!J146</f>
        <v>0</v>
      </c>
      <c r="L146" s="19">
        <f>'Sampling Data'!K146</f>
        <v>0</v>
      </c>
      <c r="M146" s="19">
        <f>'Sampling Data'!L146</f>
        <v>0</v>
      </c>
      <c r="N146" s="19">
        <f>'Sampling Data'!M146</f>
        <v>0</v>
      </c>
      <c r="O146" s="18">
        <f>'Sampling Data'!N146</f>
        <v>0</v>
      </c>
      <c r="P146" s="18">
        <f>'Sampling Data'!O146</f>
        <v>0</v>
      </c>
      <c r="Q146" s="18">
        <f>'Sampling Data'!P146</f>
        <v>10</v>
      </c>
      <c r="R146" s="18">
        <f>'Sampling Data'!AJ146</f>
        <v>0</v>
      </c>
      <c r="S146" s="112"/>
      <c r="T146" s="112"/>
      <c r="U146" s="113"/>
      <c r="V146" s="113"/>
      <c r="W146" s="112"/>
      <c r="X146" s="112"/>
      <c r="Y146" s="112"/>
      <c r="Z146" s="112"/>
      <c r="AA146" s="15"/>
      <c r="AB146" s="15"/>
      <c r="AC146" s="15"/>
      <c r="AD146" s="15"/>
      <c r="AE146" s="114" t="str">
        <f>IF(NOT(ISBLANK(Audit[[#This Row],[Audit Winning Candidate]])), Audit[[#This Row],[Audit Winning Candidate]]-Audit[[#This Row],[Winning Candidate]], "")</f>
        <v/>
      </c>
      <c r="AF146" s="18" t="str">
        <f>IF(NOT(ISBLANK(Audit[[#This Row],[Audit Losing Candidate]])), Audit[[#This Row],[Audit Losing Candidate]]-Audit[[#This Row],[Losing Candidate]], "")</f>
        <v/>
      </c>
      <c r="AG146" s="18" t="str">
        <f>IF(NOT(ISBLANK(Audit[[#This Row],[Audit Candidate 3]])), Audit[[#This Row],[Audit Candidate 3]]-Audit[[#This Row],[Candidate 3]], "")</f>
        <v/>
      </c>
      <c r="AH146" s="18" t="str">
        <f>IF(NOT(ISBLANK(Audit[[#This Row],[Audit Candidate 4]])),Audit[[#This Row],[Audit Candidate 4]]-Audit[[#This Row],[Candidate 4]], "")</f>
        <v/>
      </c>
      <c r="AI146" s="18" t="str">
        <f>IF(NOT(ISBLANK(Audit[[#This Row],[Audit Candidate 5]])), Audit[[#This Row],[Audit Candidate 5]]-Audit[[#This Row],[Candidate 5]], "")</f>
        <v/>
      </c>
      <c r="AJ146" s="18" t="str">
        <f>IF(NOT(ISBLANK(Audit[[#This Row],[Audit Candidate 6]])), Audit[[#This Row],[Audit Candidate 6]]-Audit[[#This Row],[Candidate 6]], "")</f>
        <v/>
      </c>
      <c r="AK146" s="18" t="str">
        <f>IF(NOT(ISBLANK(Audit[[#This Row],[Audit Candidate 7]])), Audit[[#This Row],[Audit Candidate 7]]-Audit[[#This Row],[Candidate 7]], "")</f>
        <v/>
      </c>
      <c r="AL146" s="18" t="str">
        <f>IF(NOT(ISBLANK(Audit[[#This Row],[Audit Candidate 8]])), Audit[[#This Row],[Audit Candidate 8]]-Audit[[#This Row],[Candidate 8]], "")</f>
        <v/>
      </c>
      <c r="AM146" s="18" t="str">
        <f>IF(NOT(ISBLANK(Audit[[#This Row],[Audit Candidate 9]])), Audit[[#This Row],[Audit Candidate 9]]-Audit[[#This Row],[Candidate 9]], "")</f>
        <v/>
      </c>
      <c r="AN146" s="18" t="str">
        <f>IF(NOT(ISBLANK(Audit[[#This Row],[Audit Candidate 10]])), Audit[[#This Row],[Audit Candidate 10]]-Audit[[#This Row],[Candidate 10]], "")</f>
        <v/>
      </c>
      <c r="AO146" s="18" t="str">
        <f>IF(NOT(ISBLANK(Audit[[#This Row],[Audit Candidate 11]])), Audit[[#This Row],[Audit Candidate 11]]-Audit[[#This Row],[Candidate 11]], "")</f>
        <v/>
      </c>
      <c r="AP146" s="18" t="str">
        <f>IF(NOT(ISBLANK(Audit[[#This Row],[Audit Candidate 12]])), Audit[[#This Row],[Audit Candidate 12]]-Audit[[#This Row],[Candidate 12]], "")</f>
        <v/>
      </c>
      <c r="AQ146" s="18">
        <f>SUMIF(Audit[[#This Row],[Difference Winner]:[Difference Candidate 12]], "&gt;0")</f>
        <v>0</v>
      </c>
      <c r="AR146" s="18">
        <f>SUM(Audit[[#This Row],[Difference Winner]:[Difference Candidate 12]])</f>
        <v>0</v>
      </c>
      <c r="AS146" s="18">
        <f>IF(Audit[[#This Row],[Times p Drawn - With Replacement]]&gt;0, IF(Audit[[#This Row],[Canceled Differences]]&lt;0, Audit[[#This Row],[Max Differences]]+ABS(Audit[[#This Row],[Canceled Differences]]), Audit[[#This Row],[Max Differences]]), 0)</f>
        <v>0</v>
      </c>
      <c r="AT146" s="18">
        <f>'Sampling Data'!AB146</f>
        <v>6.2819989320601812E-4</v>
      </c>
      <c r="AU146" s="18">
        <f>IF(
      SUM(Audit[[#This Row],[Audit Losing Candidate]:[Audit Candidate 12]])
      &lt;&gt;0,
      (Audit[[#This Row],[Winning Candidate]]-Audit[[#This Row],[Losing Candidate]]-(Audit[[#This Row],[Audit Winning Candidate]]-Audit[[#This Row],[Audit Losing Candidate]]))/(Audit[[#Totals],[Winning Candidate]]-Audit[[#Totals],[Losing Candidate]]),
      0
)</f>
        <v>0</v>
      </c>
      <c r="AV1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8">
        <f>IF(Audit[[#This Row],[Max Relative Error (ep)]] = 0, 0, Audit[[#This Row],[Max Relative Error (ep)]]/Audit[[#This Row],[Error Bound (up) - Max. possible relative overstatement]])</f>
        <v>0</v>
      </c>
      <c r="BH1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6" s="18">
        <f t="shared" si="3"/>
        <v>1</v>
      </c>
      <c r="BJ146" s="18">
        <f>PRODUCT($BI$5:BI146)</f>
        <v>1</v>
      </c>
      <c r="BK146" s="20">
        <f>1 - Audit[[#This Row],[K-M P Value]]</f>
        <v>0</v>
      </c>
      <c r="BL146" s="18" t="str">
        <f>IF(Audit[[#This Row],[K-M P Value]]&gt;1-'General Info'!$B$12,"Continue", "Stop")</f>
        <v>Continue</v>
      </c>
      <c r="BM146" s="23" t="b">
        <f>IF(Audit[[#This Row],[Status - Continue or stop audit]] = "Continue", TRUE, IF(BL145 = "Continue", TRUE, FALSE))</f>
        <v>1</v>
      </c>
      <c r="BN146" s="23"/>
    </row>
    <row r="147" spans="1:66" ht="15" hidden="1" customHeight="1" x14ac:dyDescent="0.35">
      <c r="A147" s="18" t="str">
        <f>'Sampling Data'!AI147</f>
        <v/>
      </c>
      <c r="B147" s="18" t="str">
        <f>'Sampling Data'!A147</f>
        <v>2311 CIN 23-K   (AV)</v>
      </c>
      <c r="C147" s="18">
        <f>'Sampling Data'!B147</f>
        <v>4</v>
      </c>
      <c r="D147" s="18">
        <f>'Sampling Data'!C147</f>
        <v>1</v>
      </c>
      <c r="E147" s="19">
        <f>'Sampling Data'!D147</f>
        <v>0</v>
      </c>
      <c r="F147" s="19">
        <f>'Sampling Data'!E147</f>
        <v>0</v>
      </c>
      <c r="G147" s="19">
        <f>'Sampling Data'!F147</f>
        <v>0</v>
      </c>
      <c r="H147" s="19">
        <f>'Sampling Data'!G147</f>
        <v>0</v>
      </c>
      <c r="I147" s="19">
        <f>'Sampling Data'!H147</f>
        <v>0</v>
      </c>
      <c r="J147" s="19">
        <f>'Sampling Data'!I147</f>
        <v>0</v>
      </c>
      <c r="K147" s="19">
        <f>'Sampling Data'!J147</f>
        <v>0</v>
      </c>
      <c r="L147" s="19">
        <f>'Sampling Data'!K147</f>
        <v>0</v>
      </c>
      <c r="M147" s="19">
        <f>'Sampling Data'!L147</f>
        <v>0</v>
      </c>
      <c r="N147" s="19">
        <f>'Sampling Data'!M147</f>
        <v>0</v>
      </c>
      <c r="O147" s="18">
        <f>'Sampling Data'!N147</f>
        <v>0</v>
      </c>
      <c r="P147" s="18">
        <f>'Sampling Data'!O147</f>
        <v>0</v>
      </c>
      <c r="Q147" s="18">
        <f>'Sampling Data'!P147</f>
        <v>5</v>
      </c>
      <c r="R147" s="18">
        <f>'Sampling Data'!AJ147</f>
        <v>0</v>
      </c>
      <c r="S147" s="112"/>
      <c r="T147" s="112"/>
      <c r="U147" s="113"/>
      <c r="V147" s="113"/>
      <c r="W147" s="112"/>
      <c r="X147" s="112"/>
      <c r="Y147" s="112"/>
      <c r="Z147" s="112"/>
      <c r="AA147" s="15"/>
      <c r="AB147" s="15"/>
      <c r="AC147" s="15"/>
      <c r="AD147" s="15"/>
      <c r="AE147" s="114" t="str">
        <f>IF(NOT(ISBLANK(Audit[[#This Row],[Audit Winning Candidate]])), Audit[[#This Row],[Audit Winning Candidate]]-Audit[[#This Row],[Winning Candidate]], "")</f>
        <v/>
      </c>
      <c r="AF147" s="18" t="str">
        <f>IF(NOT(ISBLANK(Audit[[#This Row],[Audit Losing Candidate]])), Audit[[#This Row],[Audit Losing Candidate]]-Audit[[#This Row],[Losing Candidate]], "")</f>
        <v/>
      </c>
      <c r="AG147" s="18" t="str">
        <f>IF(NOT(ISBLANK(Audit[[#This Row],[Audit Candidate 3]])), Audit[[#This Row],[Audit Candidate 3]]-Audit[[#This Row],[Candidate 3]], "")</f>
        <v/>
      </c>
      <c r="AH147" s="18" t="str">
        <f>IF(NOT(ISBLANK(Audit[[#This Row],[Audit Candidate 4]])),Audit[[#This Row],[Audit Candidate 4]]-Audit[[#This Row],[Candidate 4]], "")</f>
        <v/>
      </c>
      <c r="AI147" s="18" t="str">
        <f>IF(NOT(ISBLANK(Audit[[#This Row],[Audit Candidate 5]])), Audit[[#This Row],[Audit Candidate 5]]-Audit[[#This Row],[Candidate 5]], "")</f>
        <v/>
      </c>
      <c r="AJ147" s="18" t="str">
        <f>IF(NOT(ISBLANK(Audit[[#This Row],[Audit Candidate 6]])), Audit[[#This Row],[Audit Candidate 6]]-Audit[[#This Row],[Candidate 6]], "")</f>
        <v/>
      </c>
      <c r="AK147" s="18" t="str">
        <f>IF(NOT(ISBLANK(Audit[[#This Row],[Audit Candidate 7]])), Audit[[#This Row],[Audit Candidate 7]]-Audit[[#This Row],[Candidate 7]], "")</f>
        <v/>
      </c>
      <c r="AL147" s="18" t="str">
        <f>IF(NOT(ISBLANK(Audit[[#This Row],[Audit Candidate 8]])), Audit[[#This Row],[Audit Candidate 8]]-Audit[[#This Row],[Candidate 8]], "")</f>
        <v/>
      </c>
      <c r="AM147" s="18" t="str">
        <f>IF(NOT(ISBLANK(Audit[[#This Row],[Audit Candidate 9]])), Audit[[#This Row],[Audit Candidate 9]]-Audit[[#This Row],[Candidate 9]], "")</f>
        <v/>
      </c>
      <c r="AN147" s="18" t="str">
        <f>IF(NOT(ISBLANK(Audit[[#This Row],[Audit Candidate 10]])), Audit[[#This Row],[Audit Candidate 10]]-Audit[[#This Row],[Candidate 10]], "")</f>
        <v/>
      </c>
      <c r="AO147" s="18" t="str">
        <f>IF(NOT(ISBLANK(Audit[[#This Row],[Audit Candidate 11]])), Audit[[#This Row],[Audit Candidate 11]]-Audit[[#This Row],[Candidate 11]], "")</f>
        <v/>
      </c>
      <c r="AP147" s="18" t="str">
        <f>IF(NOT(ISBLANK(Audit[[#This Row],[Audit Candidate 12]])), Audit[[#This Row],[Audit Candidate 12]]-Audit[[#This Row],[Candidate 12]], "")</f>
        <v/>
      </c>
      <c r="AQ147" s="18">
        <f>SUMIF(Audit[[#This Row],[Difference Winner]:[Difference Candidate 12]], "&gt;0")</f>
        <v>0</v>
      </c>
      <c r="AR147" s="18">
        <f>SUM(Audit[[#This Row],[Difference Winner]:[Difference Candidate 12]])</f>
        <v>0</v>
      </c>
      <c r="AS147" s="18">
        <f>IF(Audit[[#This Row],[Times p Drawn - With Replacement]]&gt;0, IF(Audit[[#This Row],[Canceled Differences]]&lt;0, Audit[[#This Row],[Max Differences]]+ABS(Audit[[#This Row],[Canceled Differences]]), Audit[[#This Row],[Max Differences]]), 0)</f>
        <v>0</v>
      </c>
      <c r="AT147" s="18">
        <f>'Sampling Data'!AB147</f>
        <v>2.5127995728240724E-4</v>
      </c>
      <c r="AU147" s="18">
        <f>IF(
      SUM(Audit[[#This Row],[Audit Losing Candidate]:[Audit Candidate 12]])
      &lt;&gt;0,
      (Audit[[#This Row],[Winning Candidate]]-Audit[[#This Row],[Losing Candidate]]-(Audit[[#This Row],[Audit Winning Candidate]]-Audit[[#This Row],[Audit Losing Candidate]]))/(Audit[[#Totals],[Winning Candidate]]-Audit[[#Totals],[Losing Candidate]]),
      0
)</f>
        <v>0</v>
      </c>
      <c r="AV1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8">
        <f>IF(Audit[[#This Row],[Max Relative Error (ep)]] = 0, 0, Audit[[#This Row],[Max Relative Error (ep)]]/Audit[[#This Row],[Error Bound (up) - Max. possible relative overstatement]])</f>
        <v>0</v>
      </c>
      <c r="BH1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7" s="18">
        <f t="shared" si="3"/>
        <v>1</v>
      </c>
      <c r="BJ147" s="18">
        <f>PRODUCT($BI$5:BI147)</f>
        <v>1</v>
      </c>
      <c r="BK147" s="20">
        <f>1 - Audit[[#This Row],[K-M P Value]]</f>
        <v>0</v>
      </c>
      <c r="BL147" s="18" t="str">
        <f>IF(Audit[[#This Row],[K-M P Value]]&gt;1-'General Info'!$B$12,"Continue", "Stop")</f>
        <v>Continue</v>
      </c>
      <c r="BM147" s="23" t="b">
        <f>IF(Audit[[#This Row],[Status - Continue or stop audit]] = "Continue", TRUE, IF(BL146 = "Continue", TRUE, FALSE))</f>
        <v>1</v>
      </c>
      <c r="BN147" s="23"/>
    </row>
    <row r="148" spans="1:66" ht="15" hidden="1" customHeight="1" x14ac:dyDescent="0.35">
      <c r="A148" s="18" t="str">
        <f>'Sampling Data'!AI148</f>
        <v/>
      </c>
      <c r="B148" s="18" t="str">
        <f>'Sampling Data'!A148</f>
        <v>2312 CIN 23-L   (AV)</v>
      </c>
      <c r="C148" s="18">
        <f>'Sampling Data'!B148</f>
        <v>0</v>
      </c>
      <c r="D148" s="18">
        <f>'Sampling Data'!C148</f>
        <v>0</v>
      </c>
      <c r="E148" s="19">
        <f>'Sampling Data'!D148</f>
        <v>0</v>
      </c>
      <c r="F148" s="19">
        <f>'Sampling Data'!E148</f>
        <v>0</v>
      </c>
      <c r="G148" s="19">
        <f>'Sampling Data'!F148</f>
        <v>0</v>
      </c>
      <c r="H148" s="19">
        <f>'Sampling Data'!G148</f>
        <v>0</v>
      </c>
      <c r="I148" s="19">
        <f>'Sampling Data'!H148</f>
        <v>0</v>
      </c>
      <c r="J148" s="19">
        <f>'Sampling Data'!I148</f>
        <v>0</v>
      </c>
      <c r="K148" s="19">
        <f>'Sampling Data'!J148</f>
        <v>0</v>
      </c>
      <c r="L148" s="19">
        <f>'Sampling Data'!K148</f>
        <v>0</v>
      </c>
      <c r="M148" s="19">
        <f>'Sampling Data'!L148</f>
        <v>0</v>
      </c>
      <c r="N148" s="19">
        <f>'Sampling Data'!M148</f>
        <v>0</v>
      </c>
      <c r="O148" s="18">
        <f>'Sampling Data'!N148</f>
        <v>0</v>
      </c>
      <c r="P148" s="18">
        <f>'Sampling Data'!O148</f>
        <v>0</v>
      </c>
      <c r="Q148" s="18">
        <f>'Sampling Data'!P148</f>
        <v>0</v>
      </c>
      <c r="R148" s="18">
        <f>'Sampling Data'!AJ148</f>
        <v>0</v>
      </c>
      <c r="S148" s="112"/>
      <c r="T148" s="112"/>
      <c r="U148" s="113"/>
      <c r="V148" s="113"/>
      <c r="W148" s="112"/>
      <c r="X148" s="112"/>
      <c r="Y148" s="112"/>
      <c r="Z148" s="112"/>
      <c r="AA148" s="15"/>
      <c r="AB148" s="15"/>
      <c r="AC148" s="15"/>
      <c r="AD148" s="15"/>
      <c r="AE148" s="114" t="str">
        <f>IF(NOT(ISBLANK(Audit[[#This Row],[Audit Winning Candidate]])), Audit[[#This Row],[Audit Winning Candidate]]-Audit[[#This Row],[Winning Candidate]], "")</f>
        <v/>
      </c>
      <c r="AF148" s="18" t="str">
        <f>IF(NOT(ISBLANK(Audit[[#This Row],[Audit Losing Candidate]])), Audit[[#This Row],[Audit Losing Candidate]]-Audit[[#This Row],[Losing Candidate]], "")</f>
        <v/>
      </c>
      <c r="AG148" s="18" t="str">
        <f>IF(NOT(ISBLANK(Audit[[#This Row],[Audit Candidate 3]])), Audit[[#This Row],[Audit Candidate 3]]-Audit[[#This Row],[Candidate 3]], "")</f>
        <v/>
      </c>
      <c r="AH148" s="18" t="str">
        <f>IF(NOT(ISBLANK(Audit[[#This Row],[Audit Candidate 4]])),Audit[[#This Row],[Audit Candidate 4]]-Audit[[#This Row],[Candidate 4]], "")</f>
        <v/>
      </c>
      <c r="AI148" s="18" t="str">
        <f>IF(NOT(ISBLANK(Audit[[#This Row],[Audit Candidate 5]])), Audit[[#This Row],[Audit Candidate 5]]-Audit[[#This Row],[Candidate 5]], "")</f>
        <v/>
      </c>
      <c r="AJ148" s="18" t="str">
        <f>IF(NOT(ISBLANK(Audit[[#This Row],[Audit Candidate 6]])), Audit[[#This Row],[Audit Candidate 6]]-Audit[[#This Row],[Candidate 6]], "")</f>
        <v/>
      </c>
      <c r="AK148" s="18" t="str">
        <f>IF(NOT(ISBLANK(Audit[[#This Row],[Audit Candidate 7]])), Audit[[#This Row],[Audit Candidate 7]]-Audit[[#This Row],[Candidate 7]], "")</f>
        <v/>
      </c>
      <c r="AL148" s="18" t="str">
        <f>IF(NOT(ISBLANK(Audit[[#This Row],[Audit Candidate 8]])), Audit[[#This Row],[Audit Candidate 8]]-Audit[[#This Row],[Candidate 8]], "")</f>
        <v/>
      </c>
      <c r="AM148" s="18" t="str">
        <f>IF(NOT(ISBLANK(Audit[[#This Row],[Audit Candidate 9]])), Audit[[#This Row],[Audit Candidate 9]]-Audit[[#This Row],[Candidate 9]], "")</f>
        <v/>
      </c>
      <c r="AN148" s="18" t="str">
        <f>IF(NOT(ISBLANK(Audit[[#This Row],[Audit Candidate 10]])), Audit[[#This Row],[Audit Candidate 10]]-Audit[[#This Row],[Candidate 10]], "")</f>
        <v/>
      </c>
      <c r="AO148" s="18" t="str">
        <f>IF(NOT(ISBLANK(Audit[[#This Row],[Audit Candidate 11]])), Audit[[#This Row],[Audit Candidate 11]]-Audit[[#This Row],[Candidate 11]], "")</f>
        <v/>
      </c>
      <c r="AP148" s="18" t="str">
        <f>IF(NOT(ISBLANK(Audit[[#This Row],[Audit Candidate 12]])), Audit[[#This Row],[Audit Candidate 12]]-Audit[[#This Row],[Candidate 12]], "")</f>
        <v/>
      </c>
      <c r="AQ148" s="18">
        <f>SUMIF(Audit[[#This Row],[Difference Winner]:[Difference Candidate 12]], "&gt;0")</f>
        <v>0</v>
      </c>
      <c r="AR148" s="18">
        <f>SUM(Audit[[#This Row],[Difference Winner]:[Difference Candidate 12]])</f>
        <v>0</v>
      </c>
      <c r="AS148" s="18">
        <f>IF(Audit[[#This Row],[Times p Drawn - With Replacement]]&gt;0, IF(Audit[[#This Row],[Canceled Differences]]&lt;0, Audit[[#This Row],[Max Differences]]+ABS(Audit[[#This Row],[Canceled Differences]]), Audit[[#This Row],[Max Differences]]), 0)</f>
        <v>0</v>
      </c>
      <c r="AT148" s="18">
        <f>'Sampling Data'!AB148</f>
        <v>0</v>
      </c>
      <c r="AU148" s="18">
        <f>IF(
      SUM(Audit[[#This Row],[Audit Losing Candidate]:[Audit Candidate 12]])
      &lt;&gt;0,
      (Audit[[#This Row],[Winning Candidate]]-Audit[[#This Row],[Losing Candidate]]-(Audit[[#This Row],[Audit Winning Candidate]]-Audit[[#This Row],[Audit Losing Candidate]]))/(Audit[[#Totals],[Winning Candidate]]-Audit[[#Totals],[Losing Candidate]]),
      0
)</f>
        <v>0</v>
      </c>
      <c r="AV1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8">
        <f>IF(Audit[[#This Row],[Max Relative Error (ep)]] = 0, 0, Audit[[#This Row],[Max Relative Error (ep)]]/Audit[[#This Row],[Error Bound (up) - Max. possible relative overstatement]])</f>
        <v>0</v>
      </c>
      <c r="BH1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8" s="18">
        <f t="shared" si="3"/>
        <v>1</v>
      </c>
      <c r="BJ148" s="18">
        <f>PRODUCT($BI$5:BI148)</f>
        <v>1</v>
      </c>
      <c r="BK148" s="20">
        <f>1 - Audit[[#This Row],[K-M P Value]]</f>
        <v>0</v>
      </c>
      <c r="BL148" s="18" t="str">
        <f>IF(Audit[[#This Row],[K-M P Value]]&gt;1-'General Info'!$B$12,"Continue", "Stop")</f>
        <v>Continue</v>
      </c>
      <c r="BM148" s="23" t="b">
        <f>IF(Audit[[#This Row],[Status - Continue or stop audit]] = "Continue", TRUE, IF(BL147 = "Continue", TRUE, FALSE))</f>
        <v>1</v>
      </c>
      <c r="BN148" s="23"/>
    </row>
    <row r="149" spans="1:66" ht="15" hidden="1" customHeight="1" x14ac:dyDescent="0.35">
      <c r="A149" s="18" t="str">
        <f>'Sampling Data'!AI149</f>
        <v/>
      </c>
      <c r="B149" s="18" t="str">
        <f>'Sampling Data'!A149</f>
        <v>2313 CIN 23-M   (AV)</v>
      </c>
      <c r="C149" s="18">
        <f>'Sampling Data'!B149</f>
        <v>13</v>
      </c>
      <c r="D149" s="18">
        <f>'Sampling Data'!C149</f>
        <v>0</v>
      </c>
      <c r="E149" s="19">
        <f>'Sampling Data'!D149</f>
        <v>0</v>
      </c>
      <c r="F149" s="19">
        <f>'Sampling Data'!E149</f>
        <v>0</v>
      </c>
      <c r="G149" s="19">
        <f>'Sampling Data'!F149</f>
        <v>0</v>
      </c>
      <c r="H149" s="19">
        <f>'Sampling Data'!G149</f>
        <v>0</v>
      </c>
      <c r="I149" s="19">
        <f>'Sampling Data'!H149</f>
        <v>0</v>
      </c>
      <c r="J149" s="19">
        <f>'Sampling Data'!I149</f>
        <v>0</v>
      </c>
      <c r="K149" s="19">
        <f>'Sampling Data'!J149</f>
        <v>0</v>
      </c>
      <c r="L149" s="19">
        <f>'Sampling Data'!K149</f>
        <v>0</v>
      </c>
      <c r="M149" s="19">
        <f>'Sampling Data'!L149</f>
        <v>0</v>
      </c>
      <c r="N149" s="19">
        <f>'Sampling Data'!M149</f>
        <v>0</v>
      </c>
      <c r="O149" s="18">
        <f>'Sampling Data'!N149</f>
        <v>0</v>
      </c>
      <c r="P149" s="18">
        <f>'Sampling Data'!O149</f>
        <v>0</v>
      </c>
      <c r="Q149" s="18">
        <f>'Sampling Data'!P149</f>
        <v>13</v>
      </c>
      <c r="R149" s="18">
        <f>'Sampling Data'!AJ149</f>
        <v>0</v>
      </c>
      <c r="S149" s="112"/>
      <c r="T149" s="112"/>
      <c r="U149" s="113"/>
      <c r="V149" s="113"/>
      <c r="W149" s="112"/>
      <c r="X149" s="112"/>
      <c r="Y149" s="112"/>
      <c r="Z149" s="112"/>
      <c r="AA149" s="15"/>
      <c r="AB149" s="15"/>
      <c r="AC149" s="15"/>
      <c r="AD149" s="15"/>
      <c r="AE149" s="114" t="str">
        <f>IF(NOT(ISBLANK(Audit[[#This Row],[Audit Winning Candidate]])), Audit[[#This Row],[Audit Winning Candidate]]-Audit[[#This Row],[Winning Candidate]], "")</f>
        <v/>
      </c>
      <c r="AF149" s="18" t="str">
        <f>IF(NOT(ISBLANK(Audit[[#This Row],[Audit Losing Candidate]])), Audit[[#This Row],[Audit Losing Candidate]]-Audit[[#This Row],[Losing Candidate]], "")</f>
        <v/>
      </c>
      <c r="AG149" s="18" t="str">
        <f>IF(NOT(ISBLANK(Audit[[#This Row],[Audit Candidate 3]])), Audit[[#This Row],[Audit Candidate 3]]-Audit[[#This Row],[Candidate 3]], "")</f>
        <v/>
      </c>
      <c r="AH149" s="18" t="str">
        <f>IF(NOT(ISBLANK(Audit[[#This Row],[Audit Candidate 4]])),Audit[[#This Row],[Audit Candidate 4]]-Audit[[#This Row],[Candidate 4]], "")</f>
        <v/>
      </c>
      <c r="AI149" s="18" t="str">
        <f>IF(NOT(ISBLANK(Audit[[#This Row],[Audit Candidate 5]])), Audit[[#This Row],[Audit Candidate 5]]-Audit[[#This Row],[Candidate 5]], "")</f>
        <v/>
      </c>
      <c r="AJ149" s="18" t="str">
        <f>IF(NOT(ISBLANK(Audit[[#This Row],[Audit Candidate 6]])), Audit[[#This Row],[Audit Candidate 6]]-Audit[[#This Row],[Candidate 6]], "")</f>
        <v/>
      </c>
      <c r="AK149" s="18" t="str">
        <f>IF(NOT(ISBLANK(Audit[[#This Row],[Audit Candidate 7]])), Audit[[#This Row],[Audit Candidate 7]]-Audit[[#This Row],[Candidate 7]], "")</f>
        <v/>
      </c>
      <c r="AL149" s="18" t="str">
        <f>IF(NOT(ISBLANK(Audit[[#This Row],[Audit Candidate 8]])), Audit[[#This Row],[Audit Candidate 8]]-Audit[[#This Row],[Candidate 8]], "")</f>
        <v/>
      </c>
      <c r="AM149" s="18" t="str">
        <f>IF(NOT(ISBLANK(Audit[[#This Row],[Audit Candidate 9]])), Audit[[#This Row],[Audit Candidate 9]]-Audit[[#This Row],[Candidate 9]], "")</f>
        <v/>
      </c>
      <c r="AN149" s="18" t="str">
        <f>IF(NOT(ISBLANK(Audit[[#This Row],[Audit Candidate 10]])), Audit[[#This Row],[Audit Candidate 10]]-Audit[[#This Row],[Candidate 10]], "")</f>
        <v/>
      </c>
      <c r="AO149" s="18" t="str">
        <f>IF(NOT(ISBLANK(Audit[[#This Row],[Audit Candidate 11]])), Audit[[#This Row],[Audit Candidate 11]]-Audit[[#This Row],[Candidate 11]], "")</f>
        <v/>
      </c>
      <c r="AP149" s="18" t="str">
        <f>IF(NOT(ISBLANK(Audit[[#This Row],[Audit Candidate 12]])), Audit[[#This Row],[Audit Candidate 12]]-Audit[[#This Row],[Candidate 12]], "")</f>
        <v/>
      </c>
      <c r="AQ149" s="18">
        <f>SUMIF(Audit[[#This Row],[Difference Winner]:[Difference Candidate 12]], "&gt;0")</f>
        <v>0</v>
      </c>
      <c r="AR149" s="18">
        <f>SUM(Audit[[#This Row],[Difference Winner]:[Difference Candidate 12]])</f>
        <v>0</v>
      </c>
      <c r="AS149" s="18">
        <f>IF(Audit[[#This Row],[Times p Drawn - With Replacement]]&gt;0, IF(Audit[[#This Row],[Canceled Differences]]&lt;0, Audit[[#This Row],[Max Differences]]+ABS(Audit[[#This Row],[Canceled Differences]]), Audit[[#This Row],[Max Differences]]), 0)</f>
        <v>0</v>
      </c>
      <c r="AT149" s="18">
        <f>'Sampling Data'!AB149</f>
        <v>8.1665986116782364E-4</v>
      </c>
      <c r="AU149" s="18">
        <f>IF(
      SUM(Audit[[#This Row],[Audit Losing Candidate]:[Audit Candidate 12]])
      &lt;&gt;0,
      (Audit[[#This Row],[Winning Candidate]]-Audit[[#This Row],[Losing Candidate]]-(Audit[[#This Row],[Audit Winning Candidate]]-Audit[[#This Row],[Audit Losing Candidate]]))/(Audit[[#Totals],[Winning Candidate]]-Audit[[#Totals],[Losing Candidate]]),
      0
)</f>
        <v>0</v>
      </c>
      <c r="AV1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8">
        <f>IF(Audit[[#This Row],[Max Relative Error (ep)]] = 0, 0, Audit[[#This Row],[Max Relative Error (ep)]]/Audit[[#This Row],[Error Bound (up) - Max. possible relative overstatement]])</f>
        <v>0</v>
      </c>
      <c r="BH1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49" s="18">
        <f t="shared" si="3"/>
        <v>1</v>
      </c>
      <c r="BJ149" s="18">
        <f>PRODUCT($BI$5:BI149)</f>
        <v>1</v>
      </c>
      <c r="BK149" s="20">
        <f>1 - Audit[[#This Row],[K-M P Value]]</f>
        <v>0</v>
      </c>
      <c r="BL149" s="18" t="str">
        <f>IF(Audit[[#This Row],[K-M P Value]]&gt;1-'General Info'!$B$12,"Continue", "Stop")</f>
        <v>Continue</v>
      </c>
      <c r="BM149" s="23" t="b">
        <f>IF(Audit[[#This Row],[Status - Continue or stop audit]] = "Continue", TRUE, IF(BL148 = "Continue", TRUE, FALSE))</f>
        <v>1</v>
      </c>
      <c r="BN149" s="23"/>
    </row>
    <row r="150" spans="1:66" ht="15" hidden="1" customHeight="1" x14ac:dyDescent="0.35">
      <c r="A150" s="18" t="str">
        <f>'Sampling Data'!AI150</f>
        <v/>
      </c>
      <c r="B150" s="18" t="str">
        <f>'Sampling Data'!A150</f>
        <v>2314 CIN 23-N   (AV)</v>
      </c>
      <c r="C150" s="18">
        <f>'Sampling Data'!B150</f>
        <v>5</v>
      </c>
      <c r="D150" s="18">
        <f>'Sampling Data'!C150</f>
        <v>0</v>
      </c>
      <c r="E150" s="19">
        <f>'Sampling Data'!D150</f>
        <v>0</v>
      </c>
      <c r="F150" s="19">
        <f>'Sampling Data'!E150</f>
        <v>0</v>
      </c>
      <c r="G150" s="19">
        <f>'Sampling Data'!F150</f>
        <v>0</v>
      </c>
      <c r="H150" s="19">
        <f>'Sampling Data'!G150</f>
        <v>0</v>
      </c>
      <c r="I150" s="19">
        <f>'Sampling Data'!H150</f>
        <v>0</v>
      </c>
      <c r="J150" s="19">
        <f>'Sampling Data'!I150</f>
        <v>0</v>
      </c>
      <c r="K150" s="19">
        <f>'Sampling Data'!J150</f>
        <v>0</v>
      </c>
      <c r="L150" s="19">
        <f>'Sampling Data'!K150</f>
        <v>0</v>
      </c>
      <c r="M150" s="19">
        <f>'Sampling Data'!L150</f>
        <v>0</v>
      </c>
      <c r="N150" s="19">
        <f>'Sampling Data'!M150</f>
        <v>0</v>
      </c>
      <c r="O150" s="18">
        <f>'Sampling Data'!N150</f>
        <v>0</v>
      </c>
      <c r="P150" s="18">
        <f>'Sampling Data'!O150</f>
        <v>0</v>
      </c>
      <c r="Q150" s="18">
        <f>'Sampling Data'!P150</f>
        <v>5</v>
      </c>
      <c r="R150" s="18">
        <f>'Sampling Data'!AJ150</f>
        <v>0</v>
      </c>
      <c r="S150" s="112"/>
      <c r="T150" s="112"/>
      <c r="U150" s="113"/>
      <c r="V150" s="113"/>
      <c r="W150" s="112"/>
      <c r="X150" s="112"/>
      <c r="Y150" s="112"/>
      <c r="Z150" s="112"/>
      <c r="AA150" s="15"/>
      <c r="AB150" s="15"/>
      <c r="AC150" s="15"/>
      <c r="AD150" s="15"/>
      <c r="AE150" s="114" t="str">
        <f>IF(NOT(ISBLANK(Audit[[#This Row],[Audit Winning Candidate]])), Audit[[#This Row],[Audit Winning Candidate]]-Audit[[#This Row],[Winning Candidate]], "")</f>
        <v/>
      </c>
      <c r="AF150" s="18" t="str">
        <f>IF(NOT(ISBLANK(Audit[[#This Row],[Audit Losing Candidate]])), Audit[[#This Row],[Audit Losing Candidate]]-Audit[[#This Row],[Losing Candidate]], "")</f>
        <v/>
      </c>
      <c r="AG150" s="18" t="str">
        <f>IF(NOT(ISBLANK(Audit[[#This Row],[Audit Candidate 3]])), Audit[[#This Row],[Audit Candidate 3]]-Audit[[#This Row],[Candidate 3]], "")</f>
        <v/>
      </c>
      <c r="AH150" s="18" t="str">
        <f>IF(NOT(ISBLANK(Audit[[#This Row],[Audit Candidate 4]])),Audit[[#This Row],[Audit Candidate 4]]-Audit[[#This Row],[Candidate 4]], "")</f>
        <v/>
      </c>
      <c r="AI150" s="18" t="str">
        <f>IF(NOT(ISBLANK(Audit[[#This Row],[Audit Candidate 5]])), Audit[[#This Row],[Audit Candidate 5]]-Audit[[#This Row],[Candidate 5]], "")</f>
        <v/>
      </c>
      <c r="AJ150" s="18" t="str">
        <f>IF(NOT(ISBLANK(Audit[[#This Row],[Audit Candidate 6]])), Audit[[#This Row],[Audit Candidate 6]]-Audit[[#This Row],[Candidate 6]], "")</f>
        <v/>
      </c>
      <c r="AK150" s="18" t="str">
        <f>IF(NOT(ISBLANK(Audit[[#This Row],[Audit Candidate 7]])), Audit[[#This Row],[Audit Candidate 7]]-Audit[[#This Row],[Candidate 7]], "")</f>
        <v/>
      </c>
      <c r="AL150" s="18" t="str">
        <f>IF(NOT(ISBLANK(Audit[[#This Row],[Audit Candidate 8]])), Audit[[#This Row],[Audit Candidate 8]]-Audit[[#This Row],[Candidate 8]], "")</f>
        <v/>
      </c>
      <c r="AM150" s="18" t="str">
        <f>IF(NOT(ISBLANK(Audit[[#This Row],[Audit Candidate 9]])), Audit[[#This Row],[Audit Candidate 9]]-Audit[[#This Row],[Candidate 9]], "")</f>
        <v/>
      </c>
      <c r="AN150" s="18" t="str">
        <f>IF(NOT(ISBLANK(Audit[[#This Row],[Audit Candidate 10]])), Audit[[#This Row],[Audit Candidate 10]]-Audit[[#This Row],[Candidate 10]], "")</f>
        <v/>
      </c>
      <c r="AO150" s="18" t="str">
        <f>IF(NOT(ISBLANK(Audit[[#This Row],[Audit Candidate 11]])), Audit[[#This Row],[Audit Candidate 11]]-Audit[[#This Row],[Candidate 11]], "")</f>
        <v/>
      </c>
      <c r="AP150" s="18" t="str">
        <f>IF(NOT(ISBLANK(Audit[[#This Row],[Audit Candidate 12]])), Audit[[#This Row],[Audit Candidate 12]]-Audit[[#This Row],[Candidate 12]], "")</f>
        <v/>
      </c>
      <c r="AQ150" s="18">
        <f>SUMIF(Audit[[#This Row],[Difference Winner]:[Difference Candidate 12]], "&gt;0")</f>
        <v>0</v>
      </c>
      <c r="AR150" s="18">
        <f>SUM(Audit[[#This Row],[Difference Winner]:[Difference Candidate 12]])</f>
        <v>0</v>
      </c>
      <c r="AS150" s="18">
        <f>IF(Audit[[#This Row],[Times p Drawn - With Replacement]]&gt;0, IF(Audit[[#This Row],[Canceled Differences]]&lt;0, Audit[[#This Row],[Max Differences]]+ABS(Audit[[#This Row],[Canceled Differences]]), Audit[[#This Row],[Max Differences]]), 0)</f>
        <v>0</v>
      </c>
      <c r="AT150" s="18">
        <f>'Sampling Data'!AB150</f>
        <v>3.1409994660300906E-4</v>
      </c>
      <c r="AU150" s="18">
        <f>IF(
      SUM(Audit[[#This Row],[Audit Losing Candidate]:[Audit Candidate 12]])
      &lt;&gt;0,
      (Audit[[#This Row],[Winning Candidate]]-Audit[[#This Row],[Losing Candidate]]-(Audit[[#This Row],[Audit Winning Candidate]]-Audit[[#This Row],[Audit Losing Candidate]]))/(Audit[[#Totals],[Winning Candidate]]-Audit[[#Totals],[Losing Candidate]]),
      0
)</f>
        <v>0</v>
      </c>
      <c r="AV1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8">
        <f>IF(Audit[[#This Row],[Max Relative Error (ep)]] = 0, 0, Audit[[#This Row],[Max Relative Error (ep)]]/Audit[[#This Row],[Error Bound (up) - Max. possible relative overstatement]])</f>
        <v>0</v>
      </c>
      <c r="BH1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0" s="18">
        <f t="shared" si="3"/>
        <v>1</v>
      </c>
      <c r="BJ150" s="18">
        <f>PRODUCT($BI$5:BI150)</f>
        <v>1</v>
      </c>
      <c r="BK150" s="20">
        <f>1 - Audit[[#This Row],[K-M P Value]]</f>
        <v>0</v>
      </c>
      <c r="BL150" s="18" t="str">
        <f>IF(Audit[[#This Row],[K-M P Value]]&gt;1-'General Info'!$B$12,"Continue", "Stop")</f>
        <v>Continue</v>
      </c>
      <c r="BM150" s="23" t="b">
        <f>IF(Audit[[#This Row],[Status - Continue or stop audit]] = "Continue", TRUE, IF(BL149 = "Continue", TRUE, FALSE))</f>
        <v>1</v>
      </c>
      <c r="BN150" s="23"/>
    </row>
    <row r="151" spans="1:66" ht="15" hidden="1" customHeight="1" x14ac:dyDescent="0.35">
      <c r="A151" s="18" t="str">
        <f>'Sampling Data'!AI151</f>
        <v/>
      </c>
      <c r="B151" s="18" t="str">
        <f>'Sampling Data'!A151</f>
        <v>2315 CIN 23-O   (AV)</v>
      </c>
      <c r="C151" s="18">
        <f>'Sampling Data'!B151</f>
        <v>11</v>
      </c>
      <c r="D151" s="18">
        <f>'Sampling Data'!C151</f>
        <v>3</v>
      </c>
      <c r="E151" s="19">
        <f>'Sampling Data'!D151</f>
        <v>0</v>
      </c>
      <c r="F151" s="19">
        <f>'Sampling Data'!E151</f>
        <v>0</v>
      </c>
      <c r="G151" s="19">
        <f>'Sampling Data'!F151</f>
        <v>0</v>
      </c>
      <c r="H151" s="19">
        <f>'Sampling Data'!G151</f>
        <v>0</v>
      </c>
      <c r="I151" s="19">
        <f>'Sampling Data'!H151</f>
        <v>0</v>
      </c>
      <c r="J151" s="19">
        <f>'Sampling Data'!I151</f>
        <v>0</v>
      </c>
      <c r="K151" s="19">
        <f>'Sampling Data'!J151</f>
        <v>0</v>
      </c>
      <c r="L151" s="19">
        <f>'Sampling Data'!K151</f>
        <v>0</v>
      </c>
      <c r="M151" s="19">
        <f>'Sampling Data'!L151</f>
        <v>0</v>
      </c>
      <c r="N151" s="19">
        <f>'Sampling Data'!M151</f>
        <v>0</v>
      </c>
      <c r="O151" s="18">
        <f>'Sampling Data'!N151</f>
        <v>0</v>
      </c>
      <c r="P151" s="18">
        <f>'Sampling Data'!O151</f>
        <v>0</v>
      </c>
      <c r="Q151" s="18">
        <f>'Sampling Data'!P151</f>
        <v>14</v>
      </c>
      <c r="R151" s="18">
        <f>'Sampling Data'!AJ151</f>
        <v>0</v>
      </c>
      <c r="S151" s="112"/>
      <c r="T151" s="112"/>
      <c r="U151" s="113"/>
      <c r="V151" s="113"/>
      <c r="W151" s="112"/>
      <c r="X151" s="112"/>
      <c r="Y151" s="112"/>
      <c r="Z151" s="112"/>
      <c r="AA151" s="15"/>
      <c r="AB151" s="15"/>
      <c r="AC151" s="15"/>
      <c r="AD151" s="15"/>
      <c r="AE151" s="114" t="str">
        <f>IF(NOT(ISBLANK(Audit[[#This Row],[Audit Winning Candidate]])), Audit[[#This Row],[Audit Winning Candidate]]-Audit[[#This Row],[Winning Candidate]], "")</f>
        <v/>
      </c>
      <c r="AF151" s="18" t="str">
        <f>IF(NOT(ISBLANK(Audit[[#This Row],[Audit Losing Candidate]])), Audit[[#This Row],[Audit Losing Candidate]]-Audit[[#This Row],[Losing Candidate]], "")</f>
        <v/>
      </c>
      <c r="AG151" s="18" t="str">
        <f>IF(NOT(ISBLANK(Audit[[#This Row],[Audit Candidate 3]])), Audit[[#This Row],[Audit Candidate 3]]-Audit[[#This Row],[Candidate 3]], "")</f>
        <v/>
      </c>
      <c r="AH151" s="18" t="str">
        <f>IF(NOT(ISBLANK(Audit[[#This Row],[Audit Candidate 4]])),Audit[[#This Row],[Audit Candidate 4]]-Audit[[#This Row],[Candidate 4]], "")</f>
        <v/>
      </c>
      <c r="AI151" s="18" t="str">
        <f>IF(NOT(ISBLANK(Audit[[#This Row],[Audit Candidate 5]])), Audit[[#This Row],[Audit Candidate 5]]-Audit[[#This Row],[Candidate 5]], "")</f>
        <v/>
      </c>
      <c r="AJ151" s="18" t="str">
        <f>IF(NOT(ISBLANK(Audit[[#This Row],[Audit Candidate 6]])), Audit[[#This Row],[Audit Candidate 6]]-Audit[[#This Row],[Candidate 6]], "")</f>
        <v/>
      </c>
      <c r="AK151" s="18" t="str">
        <f>IF(NOT(ISBLANK(Audit[[#This Row],[Audit Candidate 7]])), Audit[[#This Row],[Audit Candidate 7]]-Audit[[#This Row],[Candidate 7]], "")</f>
        <v/>
      </c>
      <c r="AL151" s="18" t="str">
        <f>IF(NOT(ISBLANK(Audit[[#This Row],[Audit Candidate 8]])), Audit[[#This Row],[Audit Candidate 8]]-Audit[[#This Row],[Candidate 8]], "")</f>
        <v/>
      </c>
      <c r="AM151" s="18" t="str">
        <f>IF(NOT(ISBLANK(Audit[[#This Row],[Audit Candidate 9]])), Audit[[#This Row],[Audit Candidate 9]]-Audit[[#This Row],[Candidate 9]], "")</f>
        <v/>
      </c>
      <c r="AN151" s="18" t="str">
        <f>IF(NOT(ISBLANK(Audit[[#This Row],[Audit Candidate 10]])), Audit[[#This Row],[Audit Candidate 10]]-Audit[[#This Row],[Candidate 10]], "")</f>
        <v/>
      </c>
      <c r="AO151" s="18" t="str">
        <f>IF(NOT(ISBLANK(Audit[[#This Row],[Audit Candidate 11]])), Audit[[#This Row],[Audit Candidate 11]]-Audit[[#This Row],[Candidate 11]], "")</f>
        <v/>
      </c>
      <c r="AP151" s="18" t="str">
        <f>IF(NOT(ISBLANK(Audit[[#This Row],[Audit Candidate 12]])), Audit[[#This Row],[Audit Candidate 12]]-Audit[[#This Row],[Candidate 12]], "")</f>
        <v/>
      </c>
      <c r="AQ151" s="18">
        <f>SUMIF(Audit[[#This Row],[Difference Winner]:[Difference Candidate 12]], "&gt;0")</f>
        <v>0</v>
      </c>
      <c r="AR151" s="18">
        <f>SUM(Audit[[#This Row],[Difference Winner]:[Difference Candidate 12]])</f>
        <v>0</v>
      </c>
      <c r="AS151" s="18">
        <f>IF(Audit[[#This Row],[Times p Drawn - With Replacement]]&gt;0, IF(Audit[[#This Row],[Canceled Differences]]&lt;0, Audit[[#This Row],[Max Differences]]+ABS(Audit[[#This Row],[Canceled Differences]]), Audit[[#This Row],[Max Differences]]), 0)</f>
        <v>0</v>
      </c>
      <c r="AT151" s="18">
        <f>'Sampling Data'!AB151</f>
        <v>6.9101988252662E-4</v>
      </c>
      <c r="AU151" s="18">
        <f>IF(
      SUM(Audit[[#This Row],[Audit Losing Candidate]:[Audit Candidate 12]])
      &lt;&gt;0,
      (Audit[[#This Row],[Winning Candidate]]-Audit[[#This Row],[Losing Candidate]]-(Audit[[#This Row],[Audit Winning Candidate]]-Audit[[#This Row],[Audit Losing Candidate]]))/(Audit[[#Totals],[Winning Candidate]]-Audit[[#Totals],[Losing Candidate]]),
      0
)</f>
        <v>0</v>
      </c>
      <c r="AV1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8">
        <f>IF(Audit[[#This Row],[Max Relative Error (ep)]] = 0, 0, Audit[[#This Row],[Max Relative Error (ep)]]/Audit[[#This Row],[Error Bound (up) - Max. possible relative overstatement]])</f>
        <v>0</v>
      </c>
      <c r="BH1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1" s="18">
        <f t="shared" si="3"/>
        <v>1</v>
      </c>
      <c r="BJ151" s="18">
        <f>PRODUCT($BI$5:BI151)</f>
        <v>1</v>
      </c>
      <c r="BK151" s="20">
        <f>1 - Audit[[#This Row],[K-M P Value]]</f>
        <v>0</v>
      </c>
      <c r="BL151" s="18" t="str">
        <f>IF(Audit[[#This Row],[K-M P Value]]&gt;1-'General Info'!$B$12,"Continue", "Stop")</f>
        <v>Continue</v>
      </c>
      <c r="BM151" s="23" t="b">
        <f>IF(Audit[[#This Row],[Status - Continue or stop audit]] = "Continue", TRUE, IF(BL150 = "Continue", TRUE, FALSE))</f>
        <v>1</v>
      </c>
      <c r="BN151" s="23"/>
    </row>
    <row r="152" spans="1:66" ht="15" hidden="1" customHeight="1" x14ac:dyDescent="0.35">
      <c r="A152" s="18" t="str">
        <f>'Sampling Data'!AI152</f>
        <v/>
      </c>
      <c r="B152" s="18" t="str">
        <f>'Sampling Data'!A152</f>
        <v>2316 CIN 23-P   (AV)</v>
      </c>
      <c r="C152" s="18">
        <f>'Sampling Data'!B152</f>
        <v>15</v>
      </c>
      <c r="D152" s="18">
        <f>'Sampling Data'!C152</f>
        <v>1</v>
      </c>
      <c r="E152" s="19">
        <f>'Sampling Data'!D152</f>
        <v>0</v>
      </c>
      <c r="F152" s="19">
        <f>'Sampling Data'!E152</f>
        <v>0</v>
      </c>
      <c r="G152" s="19">
        <f>'Sampling Data'!F152</f>
        <v>0</v>
      </c>
      <c r="H152" s="19">
        <f>'Sampling Data'!G152</f>
        <v>0</v>
      </c>
      <c r="I152" s="19">
        <f>'Sampling Data'!H152</f>
        <v>0</v>
      </c>
      <c r="J152" s="19">
        <f>'Sampling Data'!I152</f>
        <v>0</v>
      </c>
      <c r="K152" s="19">
        <f>'Sampling Data'!J152</f>
        <v>0</v>
      </c>
      <c r="L152" s="19">
        <f>'Sampling Data'!K152</f>
        <v>0</v>
      </c>
      <c r="M152" s="19">
        <f>'Sampling Data'!L152</f>
        <v>0</v>
      </c>
      <c r="N152" s="19">
        <f>'Sampling Data'!M152</f>
        <v>0</v>
      </c>
      <c r="O152" s="18">
        <f>'Sampling Data'!N152</f>
        <v>0</v>
      </c>
      <c r="P152" s="18">
        <f>'Sampling Data'!O152</f>
        <v>0</v>
      </c>
      <c r="Q152" s="18">
        <f>'Sampling Data'!P152</f>
        <v>16</v>
      </c>
      <c r="R152" s="18">
        <f>'Sampling Data'!AJ152</f>
        <v>0</v>
      </c>
      <c r="S152" s="112"/>
      <c r="T152" s="112"/>
      <c r="U152" s="113"/>
      <c r="V152" s="113"/>
      <c r="W152" s="112"/>
      <c r="X152" s="112"/>
      <c r="Y152" s="112"/>
      <c r="Z152" s="112"/>
      <c r="AA152" s="15"/>
      <c r="AB152" s="15"/>
      <c r="AC152" s="15"/>
      <c r="AD152" s="15"/>
      <c r="AE152" s="114" t="str">
        <f>IF(NOT(ISBLANK(Audit[[#This Row],[Audit Winning Candidate]])), Audit[[#This Row],[Audit Winning Candidate]]-Audit[[#This Row],[Winning Candidate]], "")</f>
        <v/>
      </c>
      <c r="AF152" s="18" t="str">
        <f>IF(NOT(ISBLANK(Audit[[#This Row],[Audit Losing Candidate]])), Audit[[#This Row],[Audit Losing Candidate]]-Audit[[#This Row],[Losing Candidate]], "")</f>
        <v/>
      </c>
      <c r="AG152" s="18" t="str">
        <f>IF(NOT(ISBLANK(Audit[[#This Row],[Audit Candidate 3]])), Audit[[#This Row],[Audit Candidate 3]]-Audit[[#This Row],[Candidate 3]], "")</f>
        <v/>
      </c>
      <c r="AH152" s="18" t="str">
        <f>IF(NOT(ISBLANK(Audit[[#This Row],[Audit Candidate 4]])),Audit[[#This Row],[Audit Candidate 4]]-Audit[[#This Row],[Candidate 4]], "")</f>
        <v/>
      </c>
      <c r="AI152" s="18" t="str">
        <f>IF(NOT(ISBLANK(Audit[[#This Row],[Audit Candidate 5]])), Audit[[#This Row],[Audit Candidate 5]]-Audit[[#This Row],[Candidate 5]], "")</f>
        <v/>
      </c>
      <c r="AJ152" s="18" t="str">
        <f>IF(NOT(ISBLANK(Audit[[#This Row],[Audit Candidate 6]])), Audit[[#This Row],[Audit Candidate 6]]-Audit[[#This Row],[Candidate 6]], "")</f>
        <v/>
      </c>
      <c r="AK152" s="18" t="str">
        <f>IF(NOT(ISBLANK(Audit[[#This Row],[Audit Candidate 7]])), Audit[[#This Row],[Audit Candidate 7]]-Audit[[#This Row],[Candidate 7]], "")</f>
        <v/>
      </c>
      <c r="AL152" s="18" t="str">
        <f>IF(NOT(ISBLANK(Audit[[#This Row],[Audit Candidate 8]])), Audit[[#This Row],[Audit Candidate 8]]-Audit[[#This Row],[Candidate 8]], "")</f>
        <v/>
      </c>
      <c r="AM152" s="18" t="str">
        <f>IF(NOT(ISBLANK(Audit[[#This Row],[Audit Candidate 9]])), Audit[[#This Row],[Audit Candidate 9]]-Audit[[#This Row],[Candidate 9]], "")</f>
        <v/>
      </c>
      <c r="AN152" s="18" t="str">
        <f>IF(NOT(ISBLANK(Audit[[#This Row],[Audit Candidate 10]])), Audit[[#This Row],[Audit Candidate 10]]-Audit[[#This Row],[Candidate 10]], "")</f>
        <v/>
      </c>
      <c r="AO152" s="18" t="str">
        <f>IF(NOT(ISBLANK(Audit[[#This Row],[Audit Candidate 11]])), Audit[[#This Row],[Audit Candidate 11]]-Audit[[#This Row],[Candidate 11]], "")</f>
        <v/>
      </c>
      <c r="AP152" s="18" t="str">
        <f>IF(NOT(ISBLANK(Audit[[#This Row],[Audit Candidate 12]])), Audit[[#This Row],[Audit Candidate 12]]-Audit[[#This Row],[Candidate 12]], "")</f>
        <v/>
      </c>
      <c r="AQ152" s="18">
        <f>SUMIF(Audit[[#This Row],[Difference Winner]:[Difference Candidate 12]], "&gt;0")</f>
        <v>0</v>
      </c>
      <c r="AR152" s="18">
        <f>SUM(Audit[[#This Row],[Difference Winner]:[Difference Candidate 12]])</f>
        <v>0</v>
      </c>
      <c r="AS152" s="18">
        <f>IF(Audit[[#This Row],[Times p Drawn - With Replacement]]&gt;0, IF(Audit[[#This Row],[Canceled Differences]]&lt;0, Audit[[#This Row],[Max Differences]]+ABS(Audit[[#This Row],[Canceled Differences]]), Audit[[#This Row],[Max Differences]]), 0)</f>
        <v>0</v>
      </c>
      <c r="AT152" s="18">
        <f>'Sampling Data'!AB152</f>
        <v>9.4229983980902718E-4</v>
      </c>
      <c r="AU152" s="18">
        <f>IF(
      SUM(Audit[[#This Row],[Audit Losing Candidate]:[Audit Candidate 12]])
      &lt;&gt;0,
      (Audit[[#This Row],[Winning Candidate]]-Audit[[#This Row],[Losing Candidate]]-(Audit[[#This Row],[Audit Winning Candidate]]-Audit[[#This Row],[Audit Losing Candidate]]))/(Audit[[#Totals],[Winning Candidate]]-Audit[[#Totals],[Losing Candidate]]),
      0
)</f>
        <v>0</v>
      </c>
      <c r="AV1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8">
        <f>IF(Audit[[#This Row],[Max Relative Error (ep)]] = 0, 0, Audit[[#This Row],[Max Relative Error (ep)]]/Audit[[#This Row],[Error Bound (up) - Max. possible relative overstatement]])</f>
        <v>0</v>
      </c>
      <c r="BH1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2" s="18">
        <f t="shared" si="3"/>
        <v>1</v>
      </c>
      <c r="BJ152" s="18">
        <f>PRODUCT($BI$5:BI152)</f>
        <v>1</v>
      </c>
      <c r="BK152" s="20">
        <f>1 - Audit[[#This Row],[K-M P Value]]</f>
        <v>0</v>
      </c>
      <c r="BL152" s="18" t="str">
        <f>IF(Audit[[#This Row],[K-M P Value]]&gt;1-'General Info'!$B$12,"Continue", "Stop")</f>
        <v>Continue</v>
      </c>
      <c r="BM152" s="23" t="b">
        <f>IF(Audit[[#This Row],[Status - Continue or stop audit]] = "Continue", TRUE, IF(BL151 = "Continue", TRUE, FALSE))</f>
        <v>1</v>
      </c>
      <c r="BN152" s="23"/>
    </row>
    <row r="153" spans="1:66" ht="15" hidden="1" customHeight="1" x14ac:dyDescent="0.35">
      <c r="A153" s="18" t="str">
        <f>'Sampling Data'!AI153</f>
        <v/>
      </c>
      <c r="B153" s="18" t="str">
        <f>'Sampling Data'!A153</f>
        <v>2317 CIN 23-Q   (AV)</v>
      </c>
      <c r="C153" s="18">
        <f>'Sampling Data'!B153</f>
        <v>22</v>
      </c>
      <c r="D153" s="18">
        <f>'Sampling Data'!C153</f>
        <v>1</v>
      </c>
      <c r="E153" s="19">
        <f>'Sampling Data'!D153</f>
        <v>0</v>
      </c>
      <c r="F153" s="19">
        <f>'Sampling Data'!E153</f>
        <v>0</v>
      </c>
      <c r="G153" s="19">
        <f>'Sampling Data'!F153</f>
        <v>0</v>
      </c>
      <c r="H153" s="19">
        <f>'Sampling Data'!G153</f>
        <v>0</v>
      </c>
      <c r="I153" s="19">
        <f>'Sampling Data'!H153</f>
        <v>0</v>
      </c>
      <c r="J153" s="19">
        <f>'Sampling Data'!I153</f>
        <v>0</v>
      </c>
      <c r="K153" s="19">
        <f>'Sampling Data'!J153</f>
        <v>0</v>
      </c>
      <c r="L153" s="19">
        <f>'Sampling Data'!K153</f>
        <v>0</v>
      </c>
      <c r="M153" s="19">
        <f>'Sampling Data'!L153</f>
        <v>0</v>
      </c>
      <c r="N153" s="19">
        <f>'Sampling Data'!M153</f>
        <v>0</v>
      </c>
      <c r="O153" s="18">
        <f>'Sampling Data'!N153</f>
        <v>0</v>
      </c>
      <c r="P153" s="18">
        <f>'Sampling Data'!O153</f>
        <v>0</v>
      </c>
      <c r="Q153" s="18">
        <f>'Sampling Data'!P153</f>
        <v>23</v>
      </c>
      <c r="R153" s="18">
        <f>'Sampling Data'!AJ153</f>
        <v>0</v>
      </c>
      <c r="S153" s="112"/>
      <c r="T153" s="112"/>
      <c r="U153" s="113"/>
      <c r="V153" s="113"/>
      <c r="W153" s="112"/>
      <c r="X153" s="112"/>
      <c r="Y153" s="112"/>
      <c r="Z153" s="112"/>
      <c r="AA153" s="15"/>
      <c r="AB153" s="15"/>
      <c r="AC153" s="15"/>
      <c r="AD153" s="15"/>
      <c r="AE153" s="114" t="str">
        <f>IF(NOT(ISBLANK(Audit[[#This Row],[Audit Winning Candidate]])), Audit[[#This Row],[Audit Winning Candidate]]-Audit[[#This Row],[Winning Candidate]], "")</f>
        <v/>
      </c>
      <c r="AF153" s="18" t="str">
        <f>IF(NOT(ISBLANK(Audit[[#This Row],[Audit Losing Candidate]])), Audit[[#This Row],[Audit Losing Candidate]]-Audit[[#This Row],[Losing Candidate]], "")</f>
        <v/>
      </c>
      <c r="AG153" s="18" t="str">
        <f>IF(NOT(ISBLANK(Audit[[#This Row],[Audit Candidate 3]])), Audit[[#This Row],[Audit Candidate 3]]-Audit[[#This Row],[Candidate 3]], "")</f>
        <v/>
      </c>
      <c r="AH153" s="18" t="str">
        <f>IF(NOT(ISBLANK(Audit[[#This Row],[Audit Candidate 4]])),Audit[[#This Row],[Audit Candidate 4]]-Audit[[#This Row],[Candidate 4]], "")</f>
        <v/>
      </c>
      <c r="AI153" s="18" t="str">
        <f>IF(NOT(ISBLANK(Audit[[#This Row],[Audit Candidate 5]])), Audit[[#This Row],[Audit Candidate 5]]-Audit[[#This Row],[Candidate 5]], "")</f>
        <v/>
      </c>
      <c r="AJ153" s="18" t="str">
        <f>IF(NOT(ISBLANK(Audit[[#This Row],[Audit Candidate 6]])), Audit[[#This Row],[Audit Candidate 6]]-Audit[[#This Row],[Candidate 6]], "")</f>
        <v/>
      </c>
      <c r="AK153" s="18" t="str">
        <f>IF(NOT(ISBLANK(Audit[[#This Row],[Audit Candidate 7]])), Audit[[#This Row],[Audit Candidate 7]]-Audit[[#This Row],[Candidate 7]], "")</f>
        <v/>
      </c>
      <c r="AL153" s="18" t="str">
        <f>IF(NOT(ISBLANK(Audit[[#This Row],[Audit Candidate 8]])), Audit[[#This Row],[Audit Candidate 8]]-Audit[[#This Row],[Candidate 8]], "")</f>
        <v/>
      </c>
      <c r="AM153" s="18" t="str">
        <f>IF(NOT(ISBLANK(Audit[[#This Row],[Audit Candidate 9]])), Audit[[#This Row],[Audit Candidate 9]]-Audit[[#This Row],[Candidate 9]], "")</f>
        <v/>
      </c>
      <c r="AN153" s="18" t="str">
        <f>IF(NOT(ISBLANK(Audit[[#This Row],[Audit Candidate 10]])), Audit[[#This Row],[Audit Candidate 10]]-Audit[[#This Row],[Candidate 10]], "")</f>
        <v/>
      </c>
      <c r="AO153" s="18" t="str">
        <f>IF(NOT(ISBLANK(Audit[[#This Row],[Audit Candidate 11]])), Audit[[#This Row],[Audit Candidate 11]]-Audit[[#This Row],[Candidate 11]], "")</f>
        <v/>
      </c>
      <c r="AP153" s="18" t="str">
        <f>IF(NOT(ISBLANK(Audit[[#This Row],[Audit Candidate 12]])), Audit[[#This Row],[Audit Candidate 12]]-Audit[[#This Row],[Candidate 12]], "")</f>
        <v/>
      </c>
      <c r="AQ153" s="18">
        <f>SUMIF(Audit[[#This Row],[Difference Winner]:[Difference Candidate 12]], "&gt;0")</f>
        <v>0</v>
      </c>
      <c r="AR153" s="18">
        <f>SUM(Audit[[#This Row],[Difference Winner]:[Difference Candidate 12]])</f>
        <v>0</v>
      </c>
      <c r="AS153" s="18">
        <f>IF(Audit[[#This Row],[Times p Drawn - With Replacement]]&gt;0, IF(Audit[[#This Row],[Canceled Differences]]&lt;0, Audit[[#This Row],[Max Differences]]+ABS(Audit[[#This Row],[Canceled Differences]]), Audit[[#This Row],[Max Differences]]), 0)</f>
        <v>0</v>
      </c>
      <c r="AT153" s="18">
        <f>'Sampling Data'!AB153</f>
        <v>1.38203976505324E-3</v>
      </c>
      <c r="AU153" s="18">
        <f>IF(
      SUM(Audit[[#This Row],[Audit Losing Candidate]:[Audit Candidate 12]])
      &lt;&gt;0,
      (Audit[[#This Row],[Winning Candidate]]-Audit[[#This Row],[Losing Candidate]]-(Audit[[#This Row],[Audit Winning Candidate]]-Audit[[#This Row],[Audit Losing Candidate]]))/(Audit[[#Totals],[Winning Candidate]]-Audit[[#Totals],[Losing Candidate]]),
      0
)</f>
        <v>0</v>
      </c>
      <c r="AV1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8">
        <f>IF(Audit[[#This Row],[Max Relative Error (ep)]] = 0, 0, Audit[[#This Row],[Max Relative Error (ep)]]/Audit[[#This Row],[Error Bound (up) - Max. possible relative overstatement]])</f>
        <v>0</v>
      </c>
      <c r="BH1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3" s="18">
        <f t="shared" si="3"/>
        <v>1</v>
      </c>
      <c r="BJ153" s="18">
        <f>PRODUCT($BI$5:BI153)</f>
        <v>1</v>
      </c>
      <c r="BK153" s="20">
        <f>1 - Audit[[#This Row],[K-M P Value]]</f>
        <v>0</v>
      </c>
      <c r="BL153" s="18" t="str">
        <f>IF(Audit[[#This Row],[K-M P Value]]&gt;1-'General Info'!$B$12,"Continue", "Stop")</f>
        <v>Continue</v>
      </c>
      <c r="BM153" s="23" t="b">
        <f>IF(Audit[[#This Row],[Status - Continue or stop audit]] = "Continue", TRUE, IF(BL152 = "Continue", TRUE, FALSE))</f>
        <v>1</v>
      </c>
      <c r="BN153" s="23"/>
    </row>
    <row r="154" spans="1:66" ht="15" hidden="1" customHeight="1" x14ac:dyDescent="0.35">
      <c r="A154" s="18" t="str">
        <f>'Sampling Data'!AI154</f>
        <v/>
      </c>
      <c r="B154" s="18" t="str">
        <f>'Sampling Data'!A154</f>
        <v>2318 CIN 23-R   (AV)</v>
      </c>
      <c r="C154" s="18">
        <f>'Sampling Data'!B154</f>
        <v>2</v>
      </c>
      <c r="D154" s="18">
        <f>'Sampling Data'!C154</f>
        <v>0</v>
      </c>
      <c r="E154" s="19">
        <f>'Sampling Data'!D154</f>
        <v>0</v>
      </c>
      <c r="F154" s="19">
        <f>'Sampling Data'!E154</f>
        <v>0</v>
      </c>
      <c r="G154" s="19">
        <f>'Sampling Data'!F154</f>
        <v>0</v>
      </c>
      <c r="H154" s="19">
        <f>'Sampling Data'!G154</f>
        <v>0</v>
      </c>
      <c r="I154" s="19">
        <f>'Sampling Data'!H154</f>
        <v>0</v>
      </c>
      <c r="J154" s="19">
        <f>'Sampling Data'!I154</f>
        <v>0</v>
      </c>
      <c r="K154" s="19">
        <f>'Sampling Data'!J154</f>
        <v>0</v>
      </c>
      <c r="L154" s="19">
        <f>'Sampling Data'!K154</f>
        <v>0</v>
      </c>
      <c r="M154" s="19">
        <f>'Sampling Data'!L154</f>
        <v>0</v>
      </c>
      <c r="N154" s="19">
        <f>'Sampling Data'!M154</f>
        <v>0</v>
      </c>
      <c r="O154" s="18">
        <f>'Sampling Data'!N154</f>
        <v>0</v>
      </c>
      <c r="P154" s="18">
        <f>'Sampling Data'!O154</f>
        <v>0</v>
      </c>
      <c r="Q154" s="18">
        <f>'Sampling Data'!P154</f>
        <v>2</v>
      </c>
      <c r="R154" s="18">
        <f>'Sampling Data'!AJ154</f>
        <v>0</v>
      </c>
      <c r="S154" s="112"/>
      <c r="T154" s="112"/>
      <c r="U154" s="113"/>
      <c r="V154" s="113"/>
      <c r="W154" s="112"/>
      <c r="X154" s="112"/>
      <c r="Y154" s="112"/>
      <c r="Z154" s="112"/>
      <c r="AA154" s="15"/>
      <c r="AB154" s="15"/>
      <c r="AC154" s="15"/>
      <c r="AD154" s="15"/>
      <c r="AE154" s="114" t="str">
        <f>IF(NOT(ISBLANK(Audit[[#This Row],[Audit Winning Candidate]])), Audit[[#This Row],[Audit Winning Candidate]]-Audit[[#This Row],[Winning Candidate]], "")</f>
        <v/>
      </c>
      <c r="AF154" s="18" t="str">
        <f>IF(NOT(ISBLANK(Audit[[#This Row],[Audit Losing Candidate]])), Audit[[#This Row],[Audit Losing Candidate]]-Audit[[#This Row],[Losing Candidate]], "")</f>
        <v/>
      </c>
      <c r="AG154" s="18" t="str">
        <f>IF(NOT(ISBLANK(Audit[[#This Row],[Audit Candidate 3]])), Audit[[#This Row],[Audit Candidate 3]]-Audit[[#This Row],[Candidate 3]], "")</f>
        <v/>
      </c>
      <c r="AH154" s="18" t="str">
        <f>IF(NOT(ISBLANK(Audit[[#This Row],[Audit Candidate 4]])),Audit[[#This Row],[Audit Candidate 4]]-Audit[[#This Row],[Candidate 4]], "")</f>
        <v/>
      </c>
      <c r="AI154" s="18" t="str">
        <f>IF(NOT(ISBLANK(Audit[[#This Row],[Audit Candidate 5]])), Audit[[#This Row],[Audit Candidate 5]]-Audit[[#This Row],[Candidate 5]], "")</f>
        <v/>
      </c>
      <c r="AJ154" s="18" t="str">
        <f>IF(NOT(ISBLANK(Audit[[#This Row],[Audit Candidate 6]])), Audit[[#This Row],[Audit Candidate 6]]-Audit[[#This Row],[Candidate 6]], "")</f>
        <v/>
      </c>
      <c r="AK154" s="18" t="str">
        <f>IF(NOT(ISBLANK(Audit[[#This Row],[Audit Candidate 7]])), Audit[[#This Row],[Audit Candidate 7]]-Audit[[#This Row],[Candidate 7]], "")</f>
        <v/>
      </c>
      <c r="AL154" s="18" t="str">
        <f>IF(NOT(ISBLANK(Audit[[#This Row],[Audit Candidate 8]])), Audit[[#This Row],[Audit Candidate 8]]-Audit[[#This Row],[Candidate 8]], "")</f>
        <v/>
      </c>
      <c r="AM154" s="18" t="str">
        <f>IF(NOT(ISBLANK(Audit[[#This Row],[Audit Candidate 9]])), Audit[[#This Row],[Audit Candidate 9]]-Audit[[#This Row],[Candidate 9]], "")</f>
        <v/>
      </c>
      <c r="AN154" s="18" t="str">
        <f>IF(NOT(ISBLANK(Audit[[#This Row],[Audit Candidate 10]])), Audit[[#This Row],[Audit Candidate 10]]-Audit[[#This Row],[Candidate 10]], "")</f>
        <v/>
      </c>
      <c r="AO154" s="18" t="str">
        <f>IF(NOT(ISBLANK(Audit[[#This Row],[Audit Candidate 11]])), Audit[[#This Row],[Audit Candidate 11]]-Audit[[#This Row],[Candidate 11]], "")</f>
        <v/>
      </c>
      <c r="AP154" s="18" t="str">
        <f>IF(NOT(ISBLANK(Audit[[#This Row],[Audit Candidate 12]])), Audit[[#This Row],[Audit Candidate 12]]-Audit[[#This Row],[Candidate 12]], "")</f>
        <v/>
      </c>
      <c r="AQ154" s="18">
        <f>SUMIF(Audit[[#This Row],[Difference Winner]:[Difference Candidate 12]], "&gt;0")</f>
        <v>0</v>
      </c>
      <c r="AR154" s="18">
        <f>SUM(Audit[[#This Row],[Difference Winner]:[Difference Candidate 12]])</f>
        <v>0</v>
      </c>
      <c r="AS154" s="18">
        <f>IF(Audit[[#This Row],[Times p Drawn - With Replacement]]&gt;0, IF(Audit[[#This Row],[Canceled Differences]]&lt;0, Audit[[#This Row],[Max Differences]]+ABS(Audit[[#This Row],[Canceled Differences]]), Audit[[#This Row],[Max Differences]]), 0)</f>
        <v>0</v>
      </c>
      <c r="AT154" s="18">
        <f>'Sampling Data'!AB154</f>
        <v>1.2563997864120362E-4</v>
      </c>
      <c r="AU154" s="18">
        <f>IF(
      SUM(Audit[[#This Row],[Audit Losing Candidate]:[Audit Candidate 12]])
      &lt;&gt;0,
      (Audit[[#This Row],[Winning Candidate]]-Audit[[#This Row],[Losing Candidate]]-(Audit[[#This Row],[Audit Winning Candidate]]-Audit[[#This Row],[Audit Losing Candidate]]))/(Audit[[#Totals],[Winning Candidate]]-Audit[[#Totals],[Losing Candidate]]),
      0
)</f>
        <v>0</v>
      </c>
      <c r="AV1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8">
        <f>IF(Audit[[#This Row],[Max Relative Error (ep)]] = 0, 0, Audit[[#This Row],[Max Relative Error (ep)]]/Audit[[#This Row],[Error Bound (up) - Max. possible relative overstatement]])</f>
        <v>0</v>
      </c>
      <c r="BH1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4" s="18">
        <f t="shared" si="3"/>
        <v>1</v>
      </c>
      <c r="BJ154" s="18">
        <f>PRODUCT($BI$5:BI154)</f>
        <v>1</v>
      </c>
      <c r="BK154" s="20">
        <f>1 - Audit[[#This Row],[K-M P Value]]</f>
        <v>0</v>
      </c>
      <c r="BL154" s="18" t="str">
        <f>IF(Audit[[#This Row],[K-M P Value]]&gt;1-'General Info'!$B$12,"Continue", "Stop")</f>
        <v>Continue</v>
      </c>
      <c r="BM154" s="23" t="b">
        <f>IF(Audit[[#This Row],[Status - Continue or stop audit]] = "Continue", TRUE, IF(BL153 = "Continue", TRUE, FALSE))</f>
        <v>1</v>
      </c>
      <c r="BN154" s="23"/>
    </row>
    <row r="155" spans="1:66" ht="15" hidden="1" customHeight="1" x14ac:dyDescent="0.35">
      <c r="A155" s="18" t="str">
        <f>'Sampling Data'!AI155</f>
        <v/>
      </c>
      <c r="B155" s="18" t="str">
        <f>'Sampling Data'!A155</f>
        <v>2401 CIN 24-A   (AV)</v>
      </c>
      <c r="C155" s="18">
        <f>'Sampling Data'!B155</f>
        <v>3</v>
      </c>
      <c r="D155" s="18">
        <f>'Sampling Data'!C155</f>
        <v>0</v>
      </c>
      <c r="E155" s="19">
        <f>'Sampling Data'!D155</f>
        <v>0</v>
      </c>
      <c r="F155" s="19">
        <f>'Sampling Data'!E155</f>
        <v>0</v>
      </c>
      <c r="G155" s="19">
        <f>'Sampling Data'!F155</f>
        <v>0</v>
      </c>
      <c r="H155" s="19">
        <f>'Sampling Data'!G155</f>
        <v>0</v>
      </c>
      <c r="I155" s="19">
        <f>'Sampling Data'!H155</f>
        <v>0</v>
      </c>
      <c r="J155" s="19">
        <f>'Sampling Data'!I155</f>
        <v>0</v>
      </c>
      <c r="K155" s="19">
        <f>'Sampling Data'!J155</f>
        <v>0</v>
      </c>
      <c r="L155" s="19">
        <f>'Sampling Data'!K155</f>
        <v>0</v>
      </c>
      <c r="M155" s="19">
        <f>'Sampling Data'!L155</f>
        <v>0</v>
      </c>
      <c r="N155" s="19">
        <f>'Sampling Data'!M155</f>
        <v>0</v>
      </c>
      <c r="O155" s="18">
        <f>'Sampling Data'!N155</f>
        <v>0</v>
      </c>
      <c r="P155" s="18">
        <f>'Sampling Data'!O155</f>
        <v>0</v>
      </c>
      <c r="Q155" s="18">
        <f>'Sampling Data'!P155</f>
        <v>3</v>
      </c>
      <c r="R155" s="18">
        <f>'Sampling Data'!AJ155</f>
        <v>0</v>
      </c>
      <c r="S155" s="112"/>
      <c r="T155" s="112"/>
      <c r="U155" s="113"/>
      <c r="V155" s="113"/>
      <c r="W155" s="112"/>
      <c r="X155" s="112"/>
      <c r="Y155" s="112"/>
      <c r="Z155" s="112"/>
      <c r="AA155" s="15"/>
      <c r="AB155" s="15"/>
      <c r="AC155" s="15"/>
      <c r="AD155" s="15"/>
      <c r="AE155" s="114" t="str">
        <f>IF(NOT(ISBLANK(Audit[[#This Row],[Audit Winning Candidate]])), Audit[[#This Row],[Audit Winning Candidate]]-Audit[[#This Row],[Winning Candidate]], "")</f>
        <v/>
      </c>
      <c r="AF155" s="18" t="str">
        <f>IF(NOT(ISBLANK(Audit[[#This Row],[Audit Losing Candidate]])), Audit[[#This Row],[Audit Losing Candidate]]-Audit[[#This Row],[Losing Candidate]], "")</f>
        <v/>
      </c>
      <c r="AG155" s="18" t="str">
        <f>IF(NOT(ISBLANK(Audit[[#This Row],[Audit Candidate 3]])), Audit[[#This Row],[Audit Candidate 3]]-Audit[[#This Row],[Candidate 3]], "")</f>
        <v/>
      </c>
      <c r="AH155" s="18" t="str">
        <f>IF(NOT(ISBLANK(Audit[[#This Row],[Audit Candidate 4]])),Audit[[#This Row],[Audit Candidate 4]]-Audit[[#This Row],[Candidate 4]], "")</f>
        <v/>
      </c>
      <c r="AI155" s="18" t="str">
        <f>IF(NOT(ISBLANK(Audit[[#This Row],[Audit Candidate 5]])), Audit[[#This Row],[Audit Candidate 5]]-Audit[[#This Row],[Candidate 5]], "")</f>
        <v/>
      </c>
      <c r="AJ155" s="18" t="str">
        <f>IF(NOT(ISBLANK(Audit[[#This Row],[Audit Candidate 6]])), Audit[[#This Row],[Audit Candidate 6]]-Audit[[#This Row],[Candidate 6]], "")</f>
        <v/>
      </c>
      <c r="AK155" s="18" t="str">
        <f>IF(NOT(ISBLANK(Audit[[#This Row],[Audit Candidate 7]])), Audit[[#This Row],[Audit Candidate 7]]-Audit[[#This Row],[Candidate 7]], "")</f>
        <v/>
      </c>
      <c r="AL155" s="18" t="str">
        <f>IF(NOT(ISBLANK(Audit[[#This Row],[Audit Candidate 8]])), Audit[[#This Row],[Audit Candidate 8]]-Audit[[#This Row],[Candidate 8]], "")</f>
        <v/>
      </c>
      <c r="AM155" s="18" t="str">
        <f>IF(NOT(ISBLANK(Audit[[#This Row],[Audit Candidate 9]])), Audit[[#This Row],[Audit Candidate 9]]-Audit[[#This Row],[Candidate 9]], "")</f>
        <v/>
      </c>
      <c r="AN155" s="18" t="str">
        <f>IF(NOT(ISBLANK(Audit[[#This Row],[Audit Candidate 10]])), Audit[[#This Row],[Audit Candidate 10]]-Audit[[#This Row],[Candidate 10]], "")</f>
        <v/>
      </c>
      <c r="AO155" s="18" t="str">
        <f>IF(NOT(ISBLANK(Audit[[#This Row],[Audit Candidate 11]])), Audit[[#This Row],[Audit Candidate 11]]-Audit[[#This Row],[Candidate 11]], "")</f>
        <v/>
      </c>
      <c r="AP155" s="18" t="str">
        <f>IF(NOT(ISBLANK(Audit[[#This Row],[Audit Candidate 12]])), Audit[[#This Row],[Audit Candidate 12]]-Audit[[#This Row],[Candidate 12]], "")</f>
        <v/>
      </c>
      <c r="AQ155" s="18">
        <f>SUMIF(Audit[[#This Row],[Difference Winner]:[Difference Candidate 12]], "&gt;0")</f>
        <v>0</v>
      </c>
      <c r="AR155" s="18">
        <f>SUM(Audit[[#This Row],[Difference Winner]:[Difference Candidate 12]])</f>
        <v>0</v>
      </c>
      <c r="AS155" s="18">
        <f>IF(Audit[[#This Row],[Times p Drawn - With Replacement]]&gt;0, IF(Audit[[#This Row],[Canceled Differences]]&lt;0, Audit[[#This Row],[Max Differences]]+ABS(Audit[[#This Row],[Canceled Differences]]), Audit[[#This Row],[Max Differences]]), 0)</f>
        <v>0</v>
      </c>
      <c r="AT155" s="18">
        <f>'Sampling Data'!AB155</f>
        <v>1.8845996796180544E-4</v>
      </c>
      <c r="AU155" s="18">
        <f>IF(
      SUM(Audit[[#This Row],[Audit Losing Candidate]:[Audit Candidate 12]])
      &lt;&gt;0,
      (Audit[[#This Row],[Winning Candidate]]-Audit[[#This Row],[Losing Candidate]]-(Audit[[#This Row],[Audit Winning Candidate]]-Audit[[#This Row],[Audit Losing Candidate]]))/(Audit[[#Totals],[Winning Candidate]]-Audit[[#Totals],[Losing Candidate]]),
      0
)</f>
        <v>0</v>
      </c>
      <c r="AV1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8">
        <f>IF(Audit[[#This Row],[Max Relative Error (ep)]] = 0, 0, Audit[[#This Row],[Max Relative Error (ep)]]/Audit[[#This Row],[Error Bound (up) - Max. possible relative overstatement]])</f>
        <v>0</v>
      </c>
      <c r="BH1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5" s="18">
        <f t="shared" si="3"/>
        <v>1</v>
      </c>
      <c r="BJ155" s="18">
        <f>PRODUCT($BI$5:BI155)</f>
        <v>1</v>
      </c>
      <c r="BK155" s="20">
        <f>1 - Audit[[#This Row],[K-M P Value]]</f>
        <v>0</v>
      </c>
      <c r="BL155" s="18" t="str">
        <f>IF(Audit[[#This Row],[K-M P Value]]&gt;1-'General Info'!$B$12,"Continue", "Stop")</f>
        <v>Continue</v>
      </c>
      <c r="BM155" s="23" t="b">
        <f>IF(Audit[[#This Row],[Status - Continue or stop audit]] = "Continue", TRUE, IF(BL154 = "Continue", TRUE, FALSE))</f>
        <v>1</v>
      </c>
      <c r="BN155" s="23"/>
    </row>
    <row r="156" spans="1:66" ht="15" hidden="1" customHeight="1" x14ac:dyDescent="0.35">
      <c r="A156" s="18" t="str">
        <f>'Sampling Data'!AI156</f>
        <v/>
      </c>
      <c r="B156" s="18" t="str">
        <f>'Sampling Data'!A156</f>
        <v>2402 CIN 24-B   (AV)</v>
      </c>
      <c r="C156" s="18">
        <f>'Sampling Data'!B156</f>
        <v>3</v>
      </c>
      <c r="D156" s="18">
        <f>'Sampling Data'!C156</f>
        <v>0</v>
      </c>
      <c r="E156" s="19">
        <f>'Sampling Data'!D156</f>
        <v>0</v>
      </c>
      <c r="F156" s="19">
        <f>'Sampling Data'!E156</f>
        <v>0</v>
      </c>
      <c r="G156" s="19">
        <f>'Sampling Data'!F156</f>
        <v>0</v>
      </c>
      <c r="H156" s="19">
        <f>'Sampling Data'!G156</f>
        <v>0</v>
      </c>
      <c r="I156" s="19">
        <f>'Sampling Data'!H156</f>
        <v>0</v>
      </c>
      <c r="J156" s="19">
        <f>'Sampling Data'!I156</f>
        <v>0</v>
      </c>
      <c r="K156" s="19">
        <f>'Sampling Data'!J156</f>
        <v>0</v>
      </c>
      <c r="L156" s="19">
        <f>'Sampling Data'!K156</f>
        <v>0</v>
      </c>
      <c r="M156" s="19">
        <f>'Sampling Data'!L156</f>
        <v>0</v>
      </c>
      <c r="N156" s="19">
        <f>'Sampling Data'!M156</f>
        <v>0</v>
      </c>
      <c r="O156" s="18">
        <f>'Sampling Data'!N156</f>
        <v>0</v>
      </c>
      <c r="P156" s="18">
        <f>'Sampling Data'!O156</f>
        <v>0</v>
      </c>
      <c r="Q156" s="18">
        <f>'Sampling Data'!P156</f>
        <v>3</v>
      </c>
      <c r="R156" s="18">
        <f>'Sampling Data'!AJ156</f>
        <v>0</v>
      </c>
      <c r="S156" s="112"/>
      <c r="T156" s="112"/>
      <c r="U156" s="113"/>
      <c r="V156" s="113"/>
      <c r="W156" s="112"/>
      <c r="X156" s="112"/>
      <c r="Y156" s="112"/>
      <c r="Z156" s="112"/>
      <c r="AA156" s="15"/>
      <c r="AB156" s="15"/>
      <c r="AC156" s="15"/>
      <c r="AD156" s="15"/>
      <c r="AE156" s="114" t="str">
        <f>IF(NOT(ISBLANK(Audit[[#This Row],[Audit Winning Candidate]])), Audit[[#This Row],[Audit Winning Candidate]]-Audit[[#This Row],[Winning Candidate]], "")</f>
        <v/>
      </c>
      <c r="AF156" s="18" t="str">
        <f>IF(NOT(ISBLANK(Audit[[#This Row],[Audit Losing Candidate]])), Audit[[#This Row],[Audit Losing Candidate]]-Audit[[#This Row],[Losing Candidate]], "")</f>
        <v/>
      </c>
      <c r="AG156" s="18" t="str">
        <f>IF(NOT(ISBLANK(Audit[[#This Row],[Audit Candidate 3]])), Audit[[#This Row],[Audit Candidate 3]]-Audit[[#This Row],[Candidate 3]], "")</f>
        <v/>
      </c>
      <c r="AH156" s="18" t="str">
        <f>IF(NOT(ISBLANK(Audit[[#This Row],[Audit Candidate 4]])),Audit[[#This Row],[Audit Candidate 4]]-Audit[[#This Row],[Candidate 4]], "")</f>
        <v/>
      </c>
      <c r="AI156" s="18" t="str">
        <f>IF(NOT(ISBLANK(Audit[[#This Row],[Audit Candidate 5]])), Audit[[#This Row],[Audit Candidate 5]]-Audit[[#This Row],[Candidate 5]], "")</f>
        <v/>
      </c>
      <c r="AJ156" s="18" t="str">
        <f>IF(NOT(ISBLANK(Audit[[#This Row],[Audit Candidate 6]])), Audit[[#This Row],[Audit Candidate 6]]-Audit[[#This Row],[Candidate 6]], "")</f>
        <v/>
      </c>
      <c r="AK156" s="18" t="str">
        <f>IF(NOT(ISBLANK(Audit[[#This Row],[Audit Candidate 7]])), Audit[[#This Row],[Audit Candidate 7]]-Audit[[#This Row],[Candidate 7]], "")</f>
        <v/>
      </c>
      <c r="AL156" s="18" t="str">
        <f>IF(NOT(ISBLANK(Audit[[#This Row],[Audit Candidate 8]])), Audit[[#This Row],[Audit Candidate 8]]-Audit[[#This Row],[Candidate 8]], "")</f>
        <v/>
      </c>
      <c r="AM156" s="18" t="str">
        <f>IF(NOT(ISBLANK(Audit[[#This Row],[Audit Candidate 9]])), Audit[[#This Row],[Audit Candidate 9]]-Audit[[#This Row],[Candidate 9]], "")</f>
        <v/>
      </c>
      <c r="AN156" s="18" t="str">
        <f>IF(NOT(ISBLANK(Audit[[#This Row],[Audit Candidate 10]])), Audit[[#This Row],[Audit Candidate 10]]-Audit[[#This Row],[Candidate 10]], "")</f>
        <v/>
      </c>
      <c r="AO156" s="18" t="str">
        <f>IF(NOT(ISBLANK(Audit[[#This Row],[Audit Candidate 11]])), Audit[[#This Row],[Audit Candidate 11]]-Audit[[#This Row],[Candidate 11]], "")</f>
        <v/>
      </c>
      <c r="AP156" s="18" t="str">
        <f>IF(NOT(ISBLANK(Audit[[#This Row],[Audit Candidate 12]])), Audit[[#This Row],[Audit Candidate 12]]-Audit[[#This Row],[Candidate 12]], "")</f>
        <v/>
      </c>
      <c r="AQ156" s="18">
        <f>SUMIF(Audit[[#This Row],[Difference Winner]:[Difference Candidate 12]], "&gt;0")</f>
        <v>0</v>
      </c>
      <c r="AR156" s="18">
        <f>SUM(Audit[[#This Row],[Difference Winner]:[Difference Candidate 12]])</f>
        <v>0</v>
      </c>
      <c r="AS156" s="18">
        <f>IF(Audit[[#This Row],[Times p Drawn - With Replacement]]&gt;0, IF(Audit[[#This Row],[Canceled Differences]]&lt;0, Audit[[#This Row],[Max Differences]]+ABS(Audit[[#This Row],[Canceled Differences]]), Audit[[#This Row],[Max Differences]]), 0)</f>
        <v>0</v>
      </c>
      <c r="AT156" s="18">
        <f>'Sampling Data'!AB156</f>
        <v>1.8845996796180544E-4</v>
      </c>
      <c r="AU156" s="18">
        <f>IF(
      SUM(Audit[[#This Row],[Audit Losing Candidate]:[Audit Candidate 12]])
      &lt;&gt;0,
      (Audit[[#This Row],[Winning Candidate]]-Audit[[#This Row],[Losing Candidate]]-(Audit[[#This Row],[Audit Winning Candidate]]-Audit[[#This Row],[Audit Losing Candidate]]))/(Audit[[#Totals],[Winning Candidate]]-Audit[[#Totals],[Losing Candidate]]),
      0
)</f>
        <v>0</v>
      </c>
      <c r="AV1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8">
        <f>IF(Audit[[#This Row],[Max Relative Error (ep)]] = 0, 0, Audit[[#This Row],[Max Relative Error (ep)]]/Audit[[#This Row],[Error Bound (up) - Max. possible relative overstatement]])</f>
        <v>0</v>
      </c>
      <c r="BH1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6" s="18">
        <f t="shared" si="3"/>
        <v>1</v>
      </c>
      <c r="BJ156" s="18">
        <f>PRODUCT($BI$5:BI156)</f>
        <v>1</v>
      </c>
      <c r="BK156" s="20">
        <f>1 - Audit[[#This Row],[K-M P Value]]</f>
        <v>0</v>
      </c>
      <c r="BL156" s="18" t="str">
        <f>IF(Audit[[#This Row],[K-M P Value]]&gt;1-'General Info'!$B$12,"Continue", "Stop")</f>
        <v>Continue</v>
      </c>
      <c r="BM156" s="23" t="b">
        <f>IF(Audit[[#This Row],[Status - Continue or stop audit]] = "Continue", TRUE, IF(BL155 = "Continue", TRUE, FALSE))</f>
        <v>1</v>
      </c>
      <c r="BN156" s="23"/>
    </row>
    <row r="157" spans="1:66" ht="15" hidden="1" customHeight="1" x14ac:dyDescent="0.35">
      <c r="A157" s="18" t="str">
        <f>'Sampling Data'!AI157</f>
        <v/>
      </c>
      <c r="B157" s="18" t="str">
        <f>'Sampling Data'!A157</f>
        <v>2403 CIN 24-C   (AV)</v>
      </c>
      <c r="C157" s="18">
        <f>'Sampling Data'!B157</f>
        <v>15</v>
      </c>
      <c r="D157" s="18">
        <f>'Sampling Data'!C157</f>
        <v>5</v>
      </c>
      <c r="E157" s="19">
        <f>'Sampling Data'!D157</f>
        <v>0</v>
      </c>
      <c r="F157" s="19">
        <f>'Sampling Data'!E157</f>
        <v>0</v>
      </c>
      <c r="G157" s="19">
        <f>'Sampling Data'!F157</f>
        <v>0</v>
      </c>
      <c r="H157" s="19">
        <f>'Sampling Data'!G157</f>
        <v>0</v>
      </c>
      <c r="I157" s="19">
        <f>'Sampling Data'!H157</f>
        <v>0</v>
      </c>
      <c r="J157" s="19">
        <f>'Sampling Data'!I157</f>
        <v>0</v>
      </c>
      <c r="K157" s="19">
        <f>'Sampling Data'!J157</f>
        <v>0</v>
      </c>
      <c r="L157" s="19">
        <f>'Sampling Data'!K157</f>
        <v>0</v>
      </c>
      <c r="M157" s="19">
        <f>'Sampling Data'!L157</f>
        <v>0</v>
      </c>
      <c r="N157" s="19">
        <f>'Sampling Data'!M157</f>
        <v>0</v>
      </c>
      <c r="O157" s="18">
        <f>'Sampling Data'!N157</f>
        <v>0</v>
      </c>
      <c r="P157" s="18">
        <f>'Sampling Data'!O157</f>
        <v>0</v>
      </c>
      <c r="Q157" s="18">
        <f>'Sampling Data'!P157</f>
        <v>20</v>
      </c>
      <c r="R157" s="18">
        <f>'Sampling Data'!AJ157</f>
        <v>0</v>
      </c>
      <c r="S157" s="112"/>
      <c r="T157" s="112"/>
      <c r="U157" s="113"/>
      <c r="V157" s="113"/>
      <c r="W157" s="112"/>
      <c r="X157" s="112"/>
      <c r="Y157" s="112"/>
      <c r="Z157" s="112"/>
      <c r="AA157" s="15"/>
      <c r="AB157" s="15"/>
      <c r="AC157" s="15"/>
      <c r="AD157" s="15"/>
      <c r="AE157" s="114" t="str">
        <f>IF(NOT(ISBLANK(Audit[[#This Row],[Audit Winning Candidate]])), Audit[[#This Row],[Audit Winning Candidate]]-Audit[[#This Row],[Winning Candidate]], "")</f>
        <v/>
      </c>
      <c r="AF157" s="18" t="str">
        <f>IF(NOT(ISBLANK(Audit[[#This Row],[Audit Losing Candidate]])), Audit[[#This Row],[Audit Losing Candidate]]-Audit[[#This Row],[Losing Candidate]], "")</f>
        <v/>
      </c>
      <c r="AG157" s="18" t="str">
        <f>IF(NOT(ISBLANK(Audit[[#This Row],[Audit Candidate 3]])), Audit[[#This Row],[Audit Candidate 3]]-Audit[[#This Row],[Candidate 3]], "")</f>
        <v/>
      </c>
      <c r="AH157" s="18" t="str">
        <f>IF(NOT(ISBLANK(Audit[[#This Row],[Audit Candidate 4]])),Audit[[#This Row],[Audit Candidate 4]]-Audit[[#This Row],[Candidate 4]], "")</f>
        <v/>
      </c>
      <c r="AI157" s="18" t="str">
        <f>IF(NOT(ISBLANK(Audit[[#This Row],[Audit Candidate 5]])), Audit[[#This Row],[Audit Candidate 5]]-Audit[[#This Row],[Candidate 5]], "")</f>
        <v/>
      </c>
      <c r="AJ157" s="18" t="str">
        <f>IF(NOT(ISBLANK(Audit[[#This Row],[Audit Candidate 6]])), Audit[[#This Row],[Audit Candidate 6]]-Audit[[#This Row],[Candidate 6]], "")</f>
        <v/>
      </c>
      <c r="AK157" s="18" t="str">
        <f>IF(NOT(ISBLANK(Audit[[#This Row],[Audit Candidate 7]])), Audit[[#This Row],[Audit Candidate 7]]-Audit[[#This Row],[Candidate 7]], "")</f>
        <v/>
      </c>
      <c r="AL157" s="18" t="str">
        <f>IF(NOT(ISBLANK(Audit[[#This Row],[Audit Candidate 8]])), Audit[[#This Row],[Audit Candidate 8]]-Audit[[#This Row],[Candidate 8]], "")</f>
        <v/>
      </c>
      <c r="AM157" s="18" t="str">
        <f>IF(NOT(ISBLANK(Audit[[#This Row],[Audit Candidate 9]])), Audit[[#This Row],[Audit Candidate 9]]-Audit[[#This Row],[Candidate 9]], "")</f>
        <v/>
      </c>
      <c r="AN157" s="18" t="str">
        <f>IF(NOT(ISBLANK(Audit[[#This Row],[Audit Candidate 10]])), Audit[[#This Row],[Audit Candidate 10]]-Audit[[#This Row],[Candidate 10]], "")</f>
        <v/>
      </c>
      <c r="AO157" s="18" t="str">
        <f>IF(NOT(ISBLANK(Audit[[#This Row],[Audit Candidate 11]])), Audit[[#This Row],[Audit Candidate 11]]-Audit[[#This Row],[Candidate 11]], "")</f>
        <v/>
      </c>
      <c r="AP157" s="18" t="str">
        <f>IF(NOT(ISBLANK(Audit[[#This Row],[Audit Candidate 12]])), Audit[[#This Row],[Audit Candidate 12]]-Audit[[#This Row],[Candidate 12]], "")</f>
        <v/>
      </c>
      <c r="AQ157" s="18">
        <f>SUMIF(Audit[[#This Row],[Difference Winner]:[Difference Candidate 12]], "&gt;0")</f>
        <v>0</v>
      </c>
      <c r="AR157" s="18">
        <f>SUM(Audit[[#This Row],[Difference Winner]:[Difference Candidate 12]])</f>
        <v>0</v>
      </c>
      <c r="AS157" s="18">
        <f>IF(Audit[[#This Row],[Times p Drawn - With Replacement]]&gt;0, IF(Audit[[#This Row],[Canceled Differences]]&lt;0, Audit[[#This Row],[Max Differences]]+ABS(Audit[[#This Row],[Canceled Differences]]), Audit[[#This Row],[Max Differences]]), 0)</f>
        <v>0</v>
      </c>
      <c r="AT157" s="18">
        <f>'Sampling Data'!AB157</f>
        <v>9.4229983980902718E-4</v>
      </c>
      <c r="AU157" s="18">
        <f>IF(
      SUM(Audit[[#This Row],[Audit Losing Candidate]:[Audit Candidate 12]])
      &lt;&gt;0,
      (Audit[[#This Row],[Winning Candidate]]-Audit[[#This Row],[Losing Candidate]]-(Audit[[#This Row],[Audit Winning Candidate]]-Audit[[#This Row],[Audit Losing Candidate]]))/(Audit[[#Totals],[Winning Candidate]]-Audit[[#Totals],[Losing Candidate]]),
      0
)</f>
        <v>0</v>
      </c>
      <c r="AV1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8">
        <f>IF(Audit[[#This Row],[Max Relative Error (ep)]] = 0, 0, Audit[[#This Row],[Max Relative Error (ep)]]/Audit[[#This Row],[Error Bound (up) - Max. possible relative overstatement]])</f>
        <v>0</v>
      </c>
      <c r="BH1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7" s="18">
        <f t="shared" si="3"/>
        <v>1</v>
      </c>
      <c r="BJ157" s="18">
        <f>PRODUCT($BI$5:BI157)</f>
        <v>1</v>
      </c>
      <c r="BK157" s="20">
        <f>1 - Audit[[#This Row],[K-M P Value]]</f>
        <v>0</v>
      </c>
      <c r="BL157" s="18" t="str">
        <f>IF(Audit[[#This Row],[K-M P Value]]&gt;1-'General Info'!$B$12,"Continue", "Stop")</f>
        <v>Continue</v>
      </c>
      <c r="BM157" s="23" t="b">
        <f>IF(Audit[[#This Row],[Status - Continue or stop audit]] = "Continue", TRUE, IF(BL156 = "Continue", TRUE, FALSE))</f>
        <v>1</v>
      </c>
      <c r="BN157" s="23"/>
    </row>
    <row r="158" spans="1:66" ht="15" hidden="1" customHeight="1" x14ac:dyDescent="0.35">
      <c r="A158" s="18" t="str">
        <f>'Sampling Data'!AI158</f>
        <v/>
      </c>
      <c r="B158" s="18" t="str">
        <f>'Sampling Data'!A158</f>
        <v>2404 CIN 24-D   (AV)</v>
      </c>
      <c r="C158" s="18">
        <f>'Sampling Data'!B158</f>
        <v>5</v>
      </c>
      <c r="D158" s="18">
        <f>'Sampling Data'!C158</f>
        <v>1</v>
      </c>
      <c r="E158" s="19">
        <f>'Sampling Data'!D158</f>
        <v>0</v>
      </c>
      <c r="F158" s="19">
        <f>'Sampling Data'!E158</f>
        <v>0</v>
      </c>
      <c r="G158" s="19">
        <f>'Sampling Data'!F158</f>
        <v>0</v>
      </c>
      <c r="H158" s="19">
        <f>'Sampling Data'!G158</f>
        <v>0</v>
      </c>
      <c r="I158" s="19">
        <f>'Sampling Data'!H158</f>
        <v>0</v>
      </c>
      <c r="J158" s="19">
        <f>'Sampling Data'!I158</f>
        <v>0</v>
      </c>
      <c r="K158" s="19">
        <f>'Sampling Data'!J158</f>
        <v>0</v>
      </c>
      <c r="L158" s="19">
        <f>'Sampling Data'!K158</f>
        <v>0</v>
      </c>
      <c r="M158" s="19">
        <f>'Sampling Data'!L158</f>
        <v>0</v>
      </c>
      <c r="N158" s="19">
        <f>'Sampling Data'!M158</f>
        <v>0</v>
      </c>
      <c r="O158" s="18">
        <f>'Sampling Data'!N158</f>
        <v>0</v>
      </c>
      <c r="P158" s="18">
        <f>'Sampling Data'!O158</f>
        <v>0</v>
      </c>
      <c r="Q158" s="18">
        <f>'Sampling Data'!P158</f>
        <v>6</v>
      </c>
      <c r="R158" s="18">
        <f>'Sampling Data'!AJ158</f>
        <v>0</v>
      </c>
      <c r="S158" s="112"/>
      <c r="T158" s="112"/>
      <c r="U158" s="113"/>
      <c r="V158" s="113"/>
      <c r="W158" s="112"/>
      <c r="X158" s="112"/>
      <c r="Y158" s="112"/>
      <c r="Z158" s="112"/>
      <c r="AA158" s="15"/>
      <c r="AB158" s="15"/>
      <c r="AC158" s="15"/>
      <c r="AD158" s="15"/>
      <c r="AE158" s="114" t="str">
        <f>IF(NOT(ISBLANK(Audit[[#This Row],[Audit Winning Candidate]])), Audit[[#This Row],[Audit Winning Candidate]]-Audit[[#This Row],[Winning Candidate]], "")</f>
        <v/>
      </c>
      <c r="AF158" s="18" t="str">
        <f>IF(NOT(ISBLANK(Audit[[#This Row],[Audit Losing Candidate]])), Audit[[#This Row],[Audit Losing Candidate]]-Audit[[#This Row],[Losing Candidate]], "")</f>
        <v/>
      </c>
      <c r="AG158" s="18" t="str">
        <f>IF(NOT(ISBLANK(Audit[[#This Row],[Audit Candidate 3]])), Audit[[#This Row],[Audit Candidate 3]]-Audit[[#This Row],[Candidate 3]], "")</f>
        <v/>
      </c>
      <c r="AH158" s="18" t="str">
        <f>IF(NOT(ISBLANK(Audit[[#This Row],[Audit Candidate 4]])),Audit[[#This Row],[Audit Candidate 4]]-Audit[[#This Row],[Candidate 4]], "")</f>
        <v/>
      </c>
      <c r="AI158" s="18" t="str">
        <f>IF(NOT(ISBLANK(Audit[[#This Row],[Audit Candidate 5]])), Audit[[#This Row],[Audit Candidate 5]]-Audit[[#This Row],[Candidate 5]], "")</f>
        <v/>
      </c>
      <c r="AJ158" s="18" t="str">
        <f>IF(NOT(ISBLANK(Audit[[#This Row],[Audit Candidate 6]])), Audit[[#This Row],[Audit Candidate 6]]-Audit[[#This Row],[Candidate 6]], "")</f>
        <v/>
      </c>
      <c r="AK158" s="18" t="str">
        <f>IF(NOT(ISBLANK(Audit[[#This Row],[Audit Candidate 7]])), Audit[[#This Row],[Audit Candidate 7]]-Audit[[#This Row],[Candidate 7]], "")</f>
        <v/>
      </c>
      <c r="AL158" s="18" t="str">
        <f>IF(NOT(ISBLANK(Audit[[#This Row],[Audit Candidate 8]])), Audit[[#This Row],[Audit Candidate 8]]-Audit[[#This Row],[Candidate 8]], "")</f>
        <v/>
      </c>
      <c r="AM158" s="18" t="str">
        <f>IF(NOT(ISBLANK(Audit[[#This Row],[Audit Candidate 9]])), Audit[[#This Row],[Audit Candidate 9]]-Audit[[#This Row],[Candidate 9]], "")</f>
        <v/>
      </c>
      <c r="AN158" s="18" t="str">
        <f>IF(NOT(ISBLANK(Audit[[#This Row],[Audit Candidate 10]])), Audit[[#This Row],[Audit Candidate 10]]-Audit[[#This Row],[Candidate 10]], "")</f>
        <v/>
      </c>
      <c r="AO158" s="18" t="str">
        <f>IF(NOT(ISBLANK(Audit[[#This Row],[Audit Candidate 11]])), Audit[[#This Row],[Audit Candidate 11]]-Audit[[#This Row],[Candidate 11]], "")</f>
        <v/>
      </c>
      <c r="AP158" s="18" t="str">
        <f>IF(NOT(ISBLANK(Audit[[#This Row],[Audit Candidate 12]])), Audit[[#This Row],[Audit Candidate 12]]-Audit[[#This Row],[Candidate 12]], "")</f>
        <v/>
      </c>
      <c r="AQ158" s="18">
        <f>SUMIF(Audit[[#This Row],[Difference Winner]:[Difference Candidate 12]], "&gt;0")</f>
        <v>0</v>
      </c>
      <c r="AR158" s="18">
        <f>SUM(Audit[[#This Row],[Difference Winner]:[Difference Candidate 12]])</f>
        <v>0</v>
      </c>
      <c r="AS158" s="18">
        <f>IF(Audit[[#This Row],[Times p Drawn - With Replacement]]&gt;0, IF(Audit[[#This Row],[Canceled Differences]]&lt;0, Audit[[#This Row],[Max Differences]]+ABS(Audit[[#This Row],[Canceled Differences]]), Audit[[#This Row],[Max Differences]]), 0)</f>
        <v>0</v>
      </c>
      <c r="AT158" s="18">
        <f>'Sampling Data'!AB158</f>
        <v>3.1409994660300906E-4</v>
      </c>
      <c r="AU158" s="18">
        <f>IF(
      SUM(Audit[[#This Row],[Audit Losing Candidate]:[Audit Candidate 12]])
      &lt;&gt;0,
      (Audit[[#This Row],[Winning Candidate]]-Audit[[#This Row],[Losing Candidate]]-(Audit[[#This Row],[Audit Winning Candidate]]-Audit[[#This Row],[Audit Losing Candidate]]))/(Audit[[#Totals],[Winning Candidate]]-Audit[[#Totals],[Losing Candidate]]),
      0
)</f>
        <v>0</v>
      </c>
      <c r="AV1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8">
        <f>IF(Audit[[#This Row],[Max Relative Error (ep)]] = 0, 0, Audit[[#This Row],[Max Relative Error (ep)]]/Audit[[#This Row],[Error Bound (up) - Max. possible relative overstatement]])</f>
        <v>0</v>
      </c>
      <c r="BH1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8" s="18">
        <f t="shared" si="3"/>
        <v>1</v>
      </c>
      <c r="BJ158" s="18">
        <f>PRODUCT($BI$5:BI158)</f>
        <v>1</v>
      </c>
      <c r="BK158" s="20">
        <f>1 - Audit[[#This Row],[K-M P Value]]</f>
        <v>0</v>
      </c>
      <c r="BL158" s="18" t="str">
        <f>IF(Audit[[#This Row],[K-M P Value]]&gt;1-'General Info'!$B$12,"Continue", "Stop")</f>
        <v>Continue</v>
      </c>
      <c r="BM158" s="23" t="b">
        <f>IF(Audit[[#This Row],[Status - Continue or stop audit]] = "Continue", TRUE, IF(BL157 = "Continue", TRUE, FALSE))</f>
        <v>1</v>
      </c>
      <c r="BN158" s="23"/>
    </row>
    <row r="159" spans="1:66" ht="15" hidden="1" customHeight="1" x14ac:dyDescent="0.35">
      <c r="A159" s="18" t="str">
        <f>'Sampling Data'!AI159</f>
        <v/>
      </c>
      <c r="B159" s="18" t="str">
        <f>'Sampling Data'!A159</f>
        <v>2405 CIN 24-E   (AV)</v>
      </c>
      <c r="C159" s="18">
        <f>'Sampling Data'!B159</f>
        <v>0</v>
      </c>
      <c r="D159" s="18">
        <f>'Sampling Data'!C159</f>
        <v>0</v>
      </c>
      <c r="E159" s="19">
        <f>'Sampling Data'!D159</f>
        <v>0</v>
      </c>
      <c r="F159" s="19">
        <f>'Sampling Data'!E159</f>
        <v>0</v>
      </c>
      <c r="G159" s="19">
        <f>'Sampling Data'!F159</f>
        <v>0</v>
      </c>
      <c r="H159" s="19">
        <f>'Sampling Data'!G159</f>
        <v>0</v>
      </c>
      <c r="I159" s="19">
        <f>'Sampling Data'!H159</f>
        <v>0</v>
      </c>
      <c r="J159" s="19">
        <f>'Sampling Data'!I159</f>
        <v>0</v>
      </c>
      <c r="K159" s="19">
        <f>'Sampling Data'!J159</f>
        <v>0</v>
      </c>
      <c r="L159" s="19">
        <f>'Sampling Data'!K159</f>
        <v>0</v>
      </c>
      <c r="M159" s="19">
        <f>'Sampling Data'!L159</f>
        <v>0</v>
      </c>
      <c r="N159" s="19">
        <f>'Sampling Data'!M159</f>
        <v>0</v>
      </c>
      <c r="O159" s="18">
        <f>'Sampling Data'!N159</f>
        <v>0</v>
      </c>
      <c r="P159" s="18">
        <f>'Sampling Data'!O159</f>
        <v>0</v>
      </c>
      <c r="Q159" s="18">
        <f>'Sampling Data'!P159</f>
        <v>0</v>
      </c>
      <c r="R159" s="18">
        <f>'Sampling Data'!AJ159</f>
        <v>0</v>
      </c>
      <c r="S159" s="112"/>
      <c r="T159" s="112"/>
      <c r="U159" s="113"/>
      <c r="V159" s="113"/>
      <c r="W159" s="112"/>
      <c r="X159" s="112"/>
      <c r="Y159" s="112"/>
      <c r="Z159" s="112"/>
      <c r="AA159" s="15"/>
      <c r="AB159" s="15"/>
      <c r="AC159" s="15"/>
      <c r="AD159" s="15"/>
      <c r="AE159" s="114" t="str">
        <f>IF(NOT(ISBLANK(Audit[[#This Row],[Audit Winning Candidate]])), Audit[[#This Row],[Audit Winning Candidate]]-Audit[[#This Row],[Winning Candidate]], "")</f>
        <v/>
      </c>
      <c r="AF159" s="18" t="str">
        <f>IF(NOT(ISBLANK(Audit[[#This Row],[Audit Losing Candidate]])), Audit[[#This Row],[Audit Losing Candidate]]-Audit[[#This Row],[Losing Candidate]], "")</f>
        <v/>
      </c>
      <c r="AG159" s="18" t="str">
        <f>IF(NOT(ISBLANK(Audit[[#This Row],[Audit Candidate 3]])), Audit[[#This Row],[Audit Candidate 3]]-Audit[[#This Row],[Candidate 3]], "")</f>
        <v/>
      </c>
      <c r="AH159" s="18" t="str">
        <f>IF(NOT(ISBLANK(Audit[[#This Row],[Audit Candidate 4]])),Audit[[#This Row],[Audit Candidate 4]]-Audit[[#This Row],[Candidate 4]], "")</f>
        <v/>
      </c>
      <c r="AI159" s="18" t="str">
        <f>IF(NOT(ISBLANK(Audit[[#This Row],[Audit Candidate 5]])), Audit[[#This Row],[Audit Candidate 5]]-Audit[[#This Row],[Candidate 5]], "")</f>
        <v/>
      </c>
      <c r="AJ159" s="18" t="str">
        <f>IF(NOT(ISBLANK(Audit[[#This Row],[Audit Candidate 6]])), Audit[[#This Row],[Audit Candidate 6]]-Audit[[#This Row],[Candidate 6]], "")</f>
        <v/>
      </c>
      <c r="AK159" s="18" t="str">
        <f>IF(NOT(ISBLANK(Audit[[#This Row],[Audit Candidate 7]])), Audit[[#This Row],[Audit Candidate 7]]-Audit[[#This Row],[Candidate 7]], "")</f>
        <v/>
      </c>
      <c r="AL159" s="18" t="str">
        <f>IF(NOT(ISBLANK(Audit[[#This Row],[Audit Candidate 8]])), Audit[[#This Row],[Audit Candidate 8]]-Audit[[#This Row],[Candidate 8]], "")</f>
        <v/>
      </c>
      <c r="AM159" s="18" t="str">
        <f>IF(NOT(ISBLANK(Audit[[#This Row],[Audit Candidate 9]])), Audit[[#This Row],[Audit Candidate 9]]-Audit[[#This Row],[Candidate 9]], "")</f>
        <v/>
      </c>
      <c r="AN159" s="18" t="str">
        <f>IF(NOT(ISBLANK(Audit[[#This Row],[Audit Candidate 10]])), Audit[[#This Row],[Audit Candidate 10]]-Audit[[#This Row],[Candidate 10]], "")</f>
        <v/>
      </c>
      <c r="AO159" s="18" t="str">
        <f>IF(NOT(ISBLANK(Audit[[#This Row],[Audit Candidate 11]])), Audit[[#This Row],[Audit Candidate 11]]-Audit[[#This Row],[Candidate 11]], "")</f>
        <v/>
      </c>
      <c r="AP159" s="18" t="str">
        <f>IF(NOT(ISBLANK(Audit[[#This Row],[Audit Candidate 12]])), Audit[[#This Row],[Audit Candidate 12]]-Audit[[#This Row],[Candidate 12]], "")</f>
        <v/>
      </c>
      <c r="AQ159" s="18">
        <f>SUMIF(Audit[[#This Row],[Difference Winner]:[Difference Candidate 12]], "&gt;0")</f>
        <v>0</v>
      </c>
      <c r="AR159" s="18">
        <f>SUM(Audit[[#This Row],[Difference Winner]:[Difference Candidate 12]])</f>
        <v>0</v>
      </c>
      <c r="AS159" s="18">
        <f>IF(Audit[[#This Row],[Times p Drawn - With Replacement]]&gt;0, IF(Audit[[#This Row],[Canceled Differences]]&lt;0, Audit[[#This Row],[Max Differences]]+ABS(Audit[[#This Row],[Canceled Differences]]), Audit[[#This Row],[Max Differences]]), 0)</f>
        <v>0</v>
      </c>
      <c r="AT159" s="18">
        <f>'Sampling Data'!AB159</f>
        <v>0</v>
      </c>
      <c r="AU159" s="18">
        <f>IF(
      SUM(Audit[[#This Row],[Audit Losing Candidate]:[Audit Candidate 12]])
      &lt;&gt;0,
      (Audit[[#This Row],[Winning Candidate]]-Audit[[#This Row],[Losing Candidate]]-(Audit[[#This Row],[Audit Winning Candidate]]-Audit[[#This Row],[Audit Losing Candidate]]))/(Audit[[#Totals],[Winning Candidate]]-Audit[[#Totals],[Losing Candidate]]),
      0
)</f>
        <v>0</v>
      </c>
      <c r="AV1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8">
        <f>IF(Audit[[#This Row],[Max Relative Error (ep)]] = 0, 0, Audit[[#This Row],[Max Relative Error (ep)]]/Audit[[#This Row],[Error Bound (up) - Max. possible relative overstatement]])</f>
        <v>0</v>
      </c>
      <c r="BH1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59" s="18">
        <f t="shared" si="3"/>
        <v>1</v>
      </c>
      <c r="BJ159" s="18">
        <f>PRODUCT($BI$5:BI159)</f>
        <v>1</v>
      </c>
      <c r="BK159" s="20">
        <f>1 - Audit[[#This Row],[K-M P Value]]</f>
        <v>0</v>
      </c>
      <c r="BL159" s="18" t="str">
        <f>IF(Audit[[#This Row],[K-M P Value]]&gt;1-'General Info'!$B$12,"Continue", "Stop")</f>
        <v>Continue</v>
      </c>
      <c r="BM159" s="23" t="b">
        <f>IF(Audit[[#This Row],[Status - Continue or stop audit]] = "Continue", TRUE, IF(BL158 = "Continue", TRUE, FALSE))</f>
        <v>1</v>
      </c>
      <c r="BN159" s="23"/>
    </row>
    <row r="160" spans="1:66" ht="15" hidden="1" customHeight="1" x14ac:dyDescent="0.35">
      <c r="A160" s="18" t="str">
        <f>'Sampling Data'!AI160</f>
        <v/>
      </c>
      <c r="B160" s="18" t="str">
        <f>'Sampling Data'!A160</f>
        <v>2406 CIN 24-F   (AV)</v>
      </c>
      <c r="C160" s="18">
        <f>'Sampling Data'!B160</f>
        <v>0</v>
      </c>
      <c r="D160" s="18">
        <f>'Sampling Data'!C160</f>
        <v>2</v>
      </c>
      <c r="E160" s="19">
        <f>'Sampling Data'!D160</f>
        <v>0</v>
      </c>
      <c r="F160" s="19">
        <f>'Sampling Data'!E160</f>
        <v>0</v>
      </c>
      <c r="G160" s="19">
        <f>'Sampling Data'!F160</f>
        <v>0</v>
      </c>
      <c r="H160" s="19">
        <f>'Sampling Data'!G160</f>
        <v>0</v>
      </c>
      <c r="I160" s="19">
        <f>'Sampling Data'!H160</f>
        <v>0</v>
      </c>
      <c r="J160" s="19">
        <f>'Sampling Data'!I160</f>
        <v>0</v>
      </c>
      <c r="K160" s="19">
        <f>'Sampling Data'!J160</f>
        <v>0</v>
      </c>
      <c r="L160" s="19">
        <f>'Sampling Data'!K160</f>
        <v>0</v>
      </c>
      <c r="M160" s="19">
        <f>'Sampling Data'!L160</f>
        <v>0</v>
      </c>
      <c r="N160" s="19">
        <f>'Sampling Data'!M160</f>
        <v>0</v>
      </c>
      <c r="O160" s="18">
        <f>'Sampling Data'!N160</f>
        <v>0</v>
      </c>
      <c r="P160" s="18">
        <f>'Sampling Data'!O160</f>
        <v>0</v>
      </c>
      <c r="Q160" s="18">
        <f>'Sampling Data'!P160</f>
        <v>2</v>
      </c>
      <c r="R160" s="18">
        <f>'Sampling Data'!AJ160</f>
        <v>0</v>
      </c>
      <c r="S160" s="112"/>
      <c r="T160" s="112"/>
      <c r="U160" s="113"/>
      <c r="V160" s="113"/>
      <c r="W160" s="112"/>
      <c r="X160" s="112"/>
      <c r="Y160" s="112"/>
      <c r="Z160" s="112"/>
      <c r="AA160" s="15"/>
      <c r="AB160" s="15"/>
      <c r="AC160" s="15"/>
      <c r="AD160" s="15"/>
      <c r="AE160" s="114" t="str">
        <f>IF(NOT(ISBLANK(Audit[[#This Row],[Audit Winning Candidate]])), Audit[[#This Row],[Audit Winning Candidate]]-Audit[[#This Row],[Winning Candidate]], "")</f>
        <v/>
      </c>
      <c r="AF160" s="18" t="str">
        <f>IF(NOT(ISBLANK(Audit[[#This Row],[Audit Losing Candidate]])), Audit[[#This Row],[Audit Losing Candidate]]-Audit[[#This Row],[Losing Candidate]], "")</f>
        <v/>
      </c>
      <c r="AG160" s="18" t="str">
        <f>IF(NOT(ISBLANK(Audit[[#This Row],[Audit Candidate 3]])), Audit[[#This Row],[Audit Candidate 3]]-Audit[[#This Row],[Candidate 3]], "")</f>
        <v/>
      </c>
      <c r="AH160" s="18" t="str">
        <f>IF(NOT(ISBLANK(Audit[[#This Row],[Audit Candidate 4]])),Audit[[#This Row],[Audit Candidate 4]]-Audit[[#This Row],[Candidate 4]], "")</f>
        <v/>
      </c>
      <c r="AI160" s="18" t="str">
        <f>IF(NOT(ISBLANK(Audit[[#This Row],[Audit Candidate 5]])), Audit[[#This Row],[Audit Candidate 5]]-Audit[[#This Row],[Candidate 5]], "")</f>
        <v/>
      </c>
      <c r="AJ160" s="18" t="str">
        <f>IF(NOT(ISBLANK(Audit[[#This Row],[Audit Candidate 6]])), Audit[[#This Row],[Audit Candidate 6]]-Audit[[#This Row],[Candidate 6]], "")</f>
        <v/>
      </c>
      <c r="AK160" s="18" t="str">
        <f>IF(NOT(ISBLANK(Audit[[#This Row],[Audit Candidate 7]])), Audit[[#This Row],[Audit Candidate 7]]-Audit[[#This Row],[Candidate 7]], "")</f>
        <v/>
      </c>
      <c r="AL160" s="18" t="str">
        <f>IF(NOT(ISBLANK(Audit[[#This Row],[Audit Candidate 8]])), Audit[[#This Row],[Audit Candidate 8]]-Audit[[#This Row],[Candidate 8]], "")</f>
        <v/>
      </c>
      <c r="AM160" s="18" t="str">
        <f>IF(NOT(ISBLANK(Audit[[#This Row],[Audit Candidate 9]])), Audit[[#This Row],[Audit Candidate 9]]-Audit[[#This Row],[Candidate 9]], "")</f>
        <v/>
      </c>
      <c r="AN160" s="18" t="str">
        <f>IF(NOT(ISBLANK(Audit[[#This Row],[Audit Candidate 10]])), Audit[[#This Row],[Audit Candidate 10]]-Audit[[#This Row],[Candidate 10]], "")</f>
        <v/>
      </c>
      <c r="AO160" s="18" t="str">
        <f>IF(NOT(ISBLANK(Audit[[#This Row],[Audit Candidate 11]])), Audit[[#This Row],[Audit Candidate 11]]-Audit[[#This Row],[Candidate 11]], "")</f>
        <v/>
      </c>
      <c r="AP160" s="18" t="str">
        <f>IF(NOT(ISBLANK(Audit[[#This Row],[Audit Candidate 12]])), Audit[[#This Row],[Audit Candidate 12]]-Audit[[#This Row],[Candidate 12]], "")</f>
        <v/>
      </c>
      <c r="AQ160" s="18">
        <f>SUMIF(Audit[[#This Row],[Difference Winner]:[Difference Candidate 12]], "&gt;0")</f>
        <v>0</v>
      </c>
      <c r="AR160" s="18">
        <f>SUM(Audit[[#This Row],[Difference Winner]:[Difference Candidate 12]])</f>
        <v>0</v>
      </c>
      <c r="AS160" s="18">
        <f>IF(Audit[[#This Row],[Times p Drawn - With Replacement]]&gt;0, IF(Audit[[#This Row],[Canceled Differences]]&lt;0, Audit[[#This Row],[Max Differences]]+ABS(Audit[[#This Row],[Canceled Differences]]), Audit[[#This Row],[Max Differences]]), 0)</f>
        <v>0</v>
      </c>
      <c r="AT160" s="18">
        <f>'Sampling Data'!AB160</f>
        <v>0</v>
      </c>
      <c r="AU160" s="18">
        <f>IF(
      SUM(Audit[[#This Row],[Audit Losing Candidate]:[Audit Candidate 12]])
      &lt;&gt;0,
      (Audit[[#This Row],[Winning Candidate]]-Audit[[#This Row],[Losing Candidate]]-(Audit[[#This Row],[Audit Winning Candidate]]-Audit[[#This Row],[Audit Losing Candidate]]))/(Audit[[#Totals],[Winning Candidate]]-Audit[[#Totals],[Losing Candidate]]),
      0
)</f>
        <v>0</v>
      </c>
      <c r="AV1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8">
        <f>IF(Audit[[#This Row],[Max Relative Error (ep)]] = 0, 0, Audit[[#This Row],[Max Relative Error (ep)]]/Audit[[#This Row],[Error Bound (up) - Max. possible relative overstatement]])</f>
        <v>0</v>
      </c>
      <c r="BH1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0" s="18">
        <f t="shared" si="3"/>
        <v>1</v>
      </c>
      <c r="BJ160" s="18">
        <f>PRODUCT($BI$5:BI160)</f>
        <v>1</v>
      </c>
      <c r="BK160" s="20">
        <f>1 - Audit[[#This Row],[K-M P Value]]</f>
        <v>0</v>
      </c>
      <c r="BL160" s="18" t="str">
        <f>IF(Audit[[#This Row],[K-M P Value]]&gt;1-'General Info'!$B$12,"Continue", "Stop")</f>
        <v>Continue</v>
      </c>
      <c r="BM160" s="23" t="b">
        <f>IF(Audit[[#This Row],[Status - Continue or stop audit]] = "Continue", TRUE, IF(BL159 = "Continue", TRUE, FALSE))</f>
        <v>1</v>
      </c>
      <c r="BN160" s="23"/>
    </row>
    <row r="161" spans="1:66" ht="15" hidden="1" customHeight="1" x14ac:dyDescent="0.35">
      <c r="A161" s="18" t="str">
        <f>'Sampling Data'!AI161</f>
        <v/>
      </c>
      <c r="B161" s="18" t="str">
        <f>'Sampling Data'!A161</f>
        <v>2407 CIN 24-G   (AV)</v>
      </c>
      <c r="C161" s="18">
        <f>'Sampling Data'!B161</f>
        <v>6</v>
      </c>
      <c r="D161" s="18">
        <f>'Sampling Data'!C161</f>
        <v>1</v>
      </c>
      <c r="E161" s="19">
        <f>'Sampling Data'!D161</f>
        <v>0</v>
      </c>
      <c r="F161" s="19">
        <f>'Sampling Data'!E161</f>
        <v>0</v>
      </c>
      <c r="G161" s="19">
        <f>'Sampling Data'!F161</f>
        <v>0</v>
      </c>
      <c r="H161" s="19">
        <f>'Sampling Data'!G161</f>
        <v>0</v>
      </c>
      <c r="I161" s="19">
        <f>'Sampling Data'!H161</f>
        <v>0</v>
      </c>
      <c r="J161" s="19">
        <f>'Sampling Data'!I161</f>
        <v>0</v>
      </c>
      <c r="K161" s="19">
        <f>'Sampling Data'!J161</f>
        <v>0</v>
      </c>
      <c r="L161" s="19">
        <f>'Sampling Data'!K161</f>
        <v>0</v>
      </c>
      <c r="M161" s="19">
        <f>'Sampling Data'!L161</f>
        <v>0</v>
      </c>
      <c r="N161" s="19">
        <f>'Sampling Data'!M161</f>
        <v>0</v>
      </c>
      <c r="O161" s="18">
        <f>'Sampling Data'!N161</f>
        <v>0</v>
      </c>
      <c r="P161" s="18">
        <f>'Sampling Data'!O161</f>
        <v>0</v>
      </c>
      <c r="Q161" s="18">
        <f>'Sampling Data'!P161</f>
        <v>7</v>
      </c>
      <c r="R161" s="18">
        <f>'Sampling Data'!AJ161</f>
        <v>0</v>
      </c>
      <c r="S161" s="112"/>
      <c r="T161" s="112"/>
      <c r="U161" s="113"/>
      <c r="V161" s="113"/>
      <c r="W161" s="112"/>
      <c r="X161" s="112"/>
      <c r="Y161" s="112"/>
      <c r="Z161" s="112"/>
      <c r="AA161" s="15"/>
      <c r="AB161" s="15"/>
      <c r="AC161" s="15"/>
      <c r="AD161" s="15"/>
      <c r="AE161" s="114" t="str">
        <f>IF(NOT(ISBLANK(Audit[[#This Row],[Audit Winning Candidate]])), Audit[[#This Row],[Audit Winning Candidate]]-Audit[[#This Row],[Winning Candidate]], "")</f>
        <v/>
      </c>
      <c r="AF161" s="18" t="str">
        <f>IF(NOT(ISBLANK(Audit[[#This Row],[Audit Losing Candidate]])), Audit[[#This Row],[Audit Losing Candidate]]-Audit[[#This Row],[Losing Candidate]], "")</f>
        <v/>
      </c>
      <c r="AG161" s="18" t="str">
        <f>IF(NOT(ISBLANK(Audit[[#This Row],[Audit Candidate 3]])), Audit[[#This Row],[Audit Candidate 3]]-Audit[[#This Row],[Candidate 3]], "")</f>
        <v/>
      </c>
      <c r="AH161" s="18" t="str">
        <f>IF(NOT(ISBLANK(Audit[[#This Row],[Audit Candidate 4]])),Audit[[#This Row],[Audit Candidate 4]]-Audit[[#This Row],[Candidate 4]], "")</f>
        <v/>
      </c>
      <c r="AI161" s="18" t="str">
        <f>IF(NOT(ISBLANK(Audit[[#This Row],[Audit Candidate 5]])), Audit[[#This Row],[Audit Candidate 5]]-Audit[[#This Row],[Candidate 5]], "")</f>
        <v/>
      </c>
      <c r="AJ161" s="18" t="str">
        <f>IF(NOT(ISBLANK(Audit[[#This Row],[Audit Candidate 6]])), Audit[[#This Row],[Audit Candidate 6]]-Audit[[#This Row],[Candidate 6]], "")</f>
        <v/>
      </c>
      <c r="AK161" s="18" t="str">
        <f>IF(NOT(ISBLANK(Audit[[#This Row],[Audit Candidate 7]])), Audit[[#This Row],[Audit Candidate 7]]-Audit[[#This Row],[Candidate 7]], "")</f>
        <v/>
      </c>
      <c r="AL161" s="18" t="str">
        <f>IF(NOT(ISBLANK(Audit[[#This Row],[Audit Candidate 8]])), Audit[[#This Row],[Audit Candidate 8]]-Audit[[#This Row],[Candidate 8]], "")</f>
        <v/>
      </c>
      <c r="AM161" s="18" t="str">
        <f>IF(NOT(ISBLANK(Audit[[#This Row],[Audit Candidate 9]])), Audit[[#This Row],[Audit Candidate 9]]-Audit[[#This Row],[Candidate 9]], "")</f>
        <v/>
      </c>
      <c r="AN161" s="18" t="str">
        <f>IF(NOT(ISBLANK(Audit[[#This Row],[Audit Candidate 10]])), Audit[[#This Row],[Audit Candidate 10]]-Audit[[#This Row],[Candidate 10]], "")</f>
        <v/>
      </c>
      <c r="AO161" s="18" t="str">
        <f>IF(NOT(ISBLANK(Audit[[#This Row],[Audit Candidate 11]])), Audit[[#This Row],[Audit Candidate 11]]-Audit[[#This Row],[Candidate 11]], "")</f>
        <v/>
      </c>
      <c r="AP161" s="18" t="str">
        <f>IF(NOT(ISBLANK(Audit[[#This Row],[Audit Candidate 12]])), Audit[[#This Row],[Audit Candidate 12]]-Audit[[#This Row],[Candidate 12]], "")</f>
        <v/>
      </c>
      <c r="AQ161" s="18">
        <f>SUMIF(Audit[[#This Row],[Difference Winner]:[Difference Candidate 12]], "&gt;0")</f>
        <v>0</v>
      </c>
      <c r="AR161" s="18">
        <f>SUM(Audit[[#This Row],[Difference Winner]:[Difference Candidate 12]])</f>
        <v>0</v>
      </c>
      <c r="AS161" s="18">
        <f>IF(Audit[[#This Row],[Times p Drawn - With Replacement]]&gt;0, IF(Audit[[#This Row],[Canceled Differences]]&lt;0, Audit[[#This Row],[Max Differences]]+ABS(Audit[[#This Row],[Canceled Differences]]), Audit[[#This Row],[Max Differences]]), 0)</f>
        <v>0</v>
      </c>
      <c r="AT161" s="18">
        <f>'Sampling Data'!AB161</f>
        <v>3.7691993592361088E-4</v>
      </c>
      <c r="AU161" s="18">
        <f>IF(
      SUM(Audit[[#This Row],[Audit Losing Candidate]:[Audit Candidate 12]])
      &lt;&gt;0,
      (Audit[[#This Row],[Winning Candidate]]-Audit[[#This Row],[Losing Candidate]]-(Audit[[#This Row],[Audit Winning Candidate]]-Audit[[#This Row],[Audit Losing Candidate]]))/(Audit[[#Totals],[Winning Candidate]]-Audit[[#Totals],[Losing Candidate]]),
      0
)</f>
        <v>0</v>
      </c>
      <c r="AV1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8">
        <f>IF(Audit[[#This Row],[Max Relative Error (ep)]] = 0, 0, Audit[[#This Row],[Max Relative Error (ep)]]/Audit[[#This Row],[Error Bound (up) - Max. possible relative overstatement]])</f>
        <v>0</v>
      </c>
      <c r="BH1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1" s="18">
        <f t="shared" si="3"/>
        <v>1</v>
      </c>
      <c r="BJ161" s="18">
        <f>PRODUCT($BI$5:BI161)</f>
        <v>1</v>
      </c>
      <c r="BK161" s="20">
        <f>1 - Audit[[#This Row],[K-M P Value]]</f>
        <v>0</v>
      </c>
      <c r="BL161" s="18" t="str">
        <f>IF(Audit[[#This Row],[K-M P Value]]&gt;1-'General Info'!$B$12,"Continue", "Stop")</f>
        <v>Continue</v>
      </c>
      <c r="BM161" s="23" t="b">
        <f>IF(Audit[[#This Row],[Status - Continue or stop audit]] = "Continue", TRUE, IF(BL160 = "Continue", TRUE, FALSE))</f>
        <v>1</v>
      </c>
      <c r="BN161" s="23"/>
    </row>
    <row r="162" spans="1:66" ht="15" hidden="1" customHeight="1" x14ac:dyDescent="0.35">
      <c r="A162" s="18" t="str">
        <f>'Sampling Data'!AI162</f>
        <v/>
      </c>
      <c r="B162" s="18" t="str">
        <f>'Sampling Data'!A162</f>
        <v>2408 CIN 24-H   (AV)</v>
      </c>
      <c r="C162" s="18">
        <f>'Sampling Data'!B162</f>
        <v>0</v>
      </c>
      <c r="D162" s="18">
        <f>'Sampling Data'!C162</f>
        <v>0</v>
      </c>
      <c r="E162" s="19">
        <f>'Sampling Data'!D162</f>
        <v>0</v>
      </c>
      <c r="F162" s="19">
        <f>'Sampling Data'!E162</f>
        <v>0</v>
      </c>
      <c r="G162" s="19">
        <f>'Sampling Data'!F162</f>
        <v>0</v>
      </c>
      <c r="H162" s="19">
        <f>'Sampling Data'!G162</f>
        <v>0</v>
      </c>
      <c r="I162" s="19">
        <f>'Sampling Data'!H162</f>
        <v>0</v>
      </c>
      <c r="J162" s="19">
        <f>'Sampling Data'!I162</f>
        <v>0</v>
      </c>
      <c r="K162" s="19">
        <f>'Sampling Data'!J162</f>
        <v>0</v>
      </c>
      <c r="L162" s="19">
        <f>'Sampling Data'!K162</f>
        <v>0</v>
      </c>
      <c r="M162" s="19">
        <f>'Sampling Data'!L162</f>
        <v>0</v>
      </c>
      <c r="N162" s="19">
        <f>'Sampling Data'!M162</f>
        <v>0</v>
      </c>
      <c r="O162" s="18">
        <f>'Sampling Data'!N162</f>
        <v>0</v>
      </c>
      <c r="P162" s="18">
        <f>'Sampling Data'!O162</f>
        <v>0</v>
      </c>
      <c r="Q162" s="18">
        <f>'Sampling Data'!P162</f>
        <v>0</v>
      </c>
      <c r="R162" s="18">
        <f>'Sampling Data'!AJ162</f>
        <v>0</v>
      </c>
      <c r="S162" s="112"/>
      <c r="T162" s="112"/>
      <c r="U162" s="113"/>
      <c r="V162" s="113"/>
      <c r="W162" s="112"/>
      <c r="X162" s="112"/>
      <c r="Y162" s="112"/>
      <c r="Z162" s="112"/>
      <c r="AA162" s="15"/>
      <c r="AB162" s="15"/>
      <c r="AC162" s="15"/>
      <c r="AD162" s="15"/>
      <c r="AE162" s="114" t="str">
        <f>IF(NOT(ISBLANK(Audit[[#This Row],[Audit Winning Candidate]])), Audit[[#This Row],[Audit Winning Candidate]]-Audit[[#This Row],[Winning Candidate]], "")</f>
        <v/>
      </c>
      <c r="AF162" s="18" t="str">
        <f>IF(NOT(ISBLANK(Audit[[#This Row],[Audit Losing Candidate]])), Audit[[#This Row],[Audit Losing Candidate]]-Audit[[#This Row],[Losing Candidate]], "")</f>
        <v/>
      </c>
      <c r="AG162" s="18" t="str">
        <f>IF(NOT(ISBLANK(Audit[[#This Row],[Audit Candidate 3]])), Audit[[#This Row],[Audit Candidate 3]]-Audit[[#This Row],[Candidate 3]], "")</f>
        <v/>
      </c>
      <c r="AH162" s="18" t="str">
        <f>IF(NOT(ISBLANK(Audit[[#This Row],[Audit Candidate 4]])),Audit[[#This Row],[Audit Candidate 4]]-Audit[[#This Row],[Candidate 4]], "")</f>
        <v/>
      </c>
      <c r="AI162" s="18" t="str">
        <f>IF(NOT(ISBLANK(Audit[[#This Row],[Audit Candidate 5]])), Audit[[#This Row],[Audit Candidate 5]]-Audit[[#This Row],[Candidate 5]], "")</f>
        <v/>
      </c>
      <c r="AJ162" s="18" t="str">
        <f>IF(NOT(ISBLANK(Audit[[#This Row],[Audit Candidate 6]])), Audit[[#This Row],[Audit Candidate 6]]-Audit[[#This Row],[Candidate 6]], "")</f>
        <v/>
      </c>
      <c r="AK162" s="18" t="str">
        <f>IF(NOT(ISBLANK(Audit[[#This Row],[Audit Candidate 7]])), Audit[[#This Row],[Audit Candidate 7]]-Audit[[#This Row],[Candidate 7]], "")</f>
        <v/>
      </c>
      <c r="AL162" s="18" t="str">
        <f>IF(NOT(ISBLANK(Audit[[#This Row],[Audit Candidate 8]])), Audit[[#This Row],[Audit Candidate 8]]-Audit[[#This Row],[Candidate 8]], "")</f>
        <v/>
      </c>
      <c r="AM162" s="18" t="str">
        <f>IF(NOT(ISBLANK(Audit[[#This Row],[Audit Candidate 9]])), Audit[[#This Row],[Audit Candidate 9]]-Audit[[#This Row],[Candidate 9]], "")</f>
        <v/>
      </c>
      <c r="AN162" s="18" t="str">
        <f>IF(NOT(ISBLANK(Audit[[#This Row],[Audit Candidate 10]])), Audit[[#This Row],[Audit Candidate 10]]-Audit[[#This Row],[Candidate 10]], "")</f>
        <v/>
      </c>
      <c r="AO162" s="18" t="str">
        <f>IF(NOT(ISBLANK(Audit[[#This Row],[Audit Candidate 11]])), Audit[[#This Row],[Audit Candidate 11]]-Audit[[#This Row],[Candidate 11]], "")</f>
        <v/>
      </c>
      <c r="AP162" s="18" t="str">
        <f>IF(NOT(ISBLANK(Audit[[#This Row],[Audit Candidate 12]])), Audit[[#This Row],[Audit Candidate 12]]-Audit[[#This Row],[Candidate 12]], "")</f>
        <v/>
      </c>
      <c r="AQ162" s="18">
        <f>SUMIF(Audit[[#This Row],[Difference Winner]:[Difference Candidate 12]], "&gt;0")</f>
        <v>0</v>
      </c>
      <c r="AR162" s="18">
        <f>SUM(Audit[[#This Row],[Difference Winner]:[Difference Candidate 12]])</f>
        <v>0</v>
      </c>
      <c r="AS162" s="18">
        <f>IF(Audit[[#This Row],[Times p Drawn - With Replacement]]&gt;0, IF(Audit[[#This Row],[Canceled Differences]]&lt;0, Audit[[#This Row],[Max Differences]]+ABS(Audit[[#This Row],[Canceled Differences]]), Audit[[#This Row],[Max Differences]]), 0)</f>
        <v>0</v>
      </c>
      <c r="AT162" s="18">
        <f>'Sampling Data'!AB162</f>
        <v>0</v>
      </c>
      <c r="AU162" s="18">
        <f>IF(
      SUM(Audit[[#This Row],[Audit Losing Candidate]:[Audit Candidate 12]])
      &lt;&gt;0,
      (Audit[[#This Row],[Winning Candidate]]-Audit[[#This Row],[Losing Candidate]]-(Audit[[#This Row],[Audit Winning Candidate]]-Audit[[#This Row],[Audit Losing Candidate]]))/(Audit[[#Totals],[Winning Candidate]]-Audit[[#Totals],[Losing Candidate]]),
      0
)</f>
        <v>0</v>
      </c>
      <c r="AV1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8">
        <f>IF(Audit[[#This Row],[Max Relative Error (ep)]] = 0, 0, Audit[[#This Row],[Max Relative Error (ep)]]/Audit[[#This Row],[Error Bound (up) - Max. possible relative overstatement]])</f>
        <v>0</v>
      </c>
      <c r="BH1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2" s="18">
        <f t="shared" si="3"/>
        <v>1</v>
      </c>
      <c r="BJ162" s="18">
        <f>PRODUCT($BI$5:BI162)</f>
        <v>1</v>
      </c>
      <c r="BK162" s="20">
        <f>1 - Audit[[#This Row],[K-M P Value]]</f>
        <v>0</v>
      </c>
      <c r="BL162" s="18" t="str">
        <f>IF(Audit[[#This Row],[K-M P Value]]&gt;1-'General Info'!$B$12,"Continue", "Stop")</f>
        <v>Continue</v>
      </c>
      <c r="BM162" s="23" t="b">
        <f>IF(Audit[[#This Row],[Status - Continue or stop audit]] = "Continue", TRUE, IF(BL161 = "Continue", TRUE, FALSE))</f>
        <v>1</v>
      </c>
      <c r="BN162" s="23"/>
    </row>
    <row r="163" spans="1:66" ht="15" hidden="1" customHeight="1" x14ac:dyDescent="0.35">
      <c r="A163" s="18" t="str">
        <f>'Sampling Data'!AI163</f>
        <v/>
      </c>
      <c r="B163" s="18" t="str">
        <f>'Sampling Data'!A163</f>
        <v>2409 CIN 24-I   (AV)</v>
      </c>
      <c r="C163" s="18">
        <f>'Sampling Data'!B163</f>
        <v>0</v>
      </c>
      <c r="D163" s="18">
        <f>'Sampling Data'!C163</f>
        <v>0</v>
      </c>
      <c r="E163" s="19">
        <f>'Sampling Data'!D163</f>
        <v>0</v>
      </c>
      <c r="F163" s="19">
        <f>'Sampling Data'!E163</f>
        <v>0</v>
      </c>
      <c r="G163" s="19">
        <f>'Sampling Data'!F163</f>
        <v>0</v>
      </c>
      <c r="H163" s="19">
        <f>'Sampling Data'!G163</f>
        <v>0</v>
      </c>
      <c r="I163" s="19">
        <f>'Sampling Data'!H163</f>
        <v>0</v>
      </c>
      <c r="J163" s="19">
        <f>'Sampling Data'!I163</f>
        <v>0</v>
      </c>
      <c r="K163" s="19">
        <f>'Sampling Data'!J163</f>
        <v>0</v>
      </c>
      <c r="L163" s="19">
        <f>'Sampling Data'!K163</f>
        <v>0</v>
      </c>
      <c r="M163" s="19">
        <f>'Sampling Data'!L163</f>
        <v>0</v>
      </c>
      <c r="N163" s="19">
        <f>'Sampling Data'!M163</f>
        <v>0</v>
      </c>
      <c r="O163" s="18">
        <f>'Sampling Data'!N163</f>
        <v>0</v>
      </c>
      <c r="P163" s="18">
        <f>'Sampling Data'!O163</f>
        <v>0</v>
      </c>
      <c r="Q163" s="18">
        <f>'Sampling Data'!P163</f>
        <v>0</v>
      </c>
      <c r="R163" s="18">
        <f>'Sampling Data'!AJ163</f>
        <v>0</v>
      </c>
      <c r="S163" s="112"/>
      <c r="T163" s="112"/>
      <c r="U163" s="113"/>
      <c r="V163" s="113"/>
      <c r="W163" s="112"/>
      <c r="X163" s="112"/>
      <c r="Y163" s="112"/>
      <c r="Z163" s="112"/>
      <c r="AA163" s="15"/>
      <c r="AB163" s="15"/>
      <c r="AC163" s="15"/>
      <c r="AD163" s="15"/>
      <c r="AE163" s="114" t="str">
        <f>IF(NOT(ISBLANK(Audit[[#This Row],[Audit Winning Candidate]])), Audit[[#This Row],[Audit Winning Candidate]]-Audit[[#This Row],[Winning Candidate]], "")</f>
        <v/>
      </c>
      <c r="AF163" s="18" t="str">
        <f>IF(NOT(ISBLANK(Audit[[#This Row],[Audit Losing Candidate]])), Audit[[#This Row],[Audit Losing Candidate]]-Audit[[#This Row],[Losing Candidate]], "")</f>
        <v/>
      </c>
      <c r="AG163" s="18" t="str">
        <f>IF(NOT(ISBLANK(Audit[[#This Row],[Audit Candidate 3]])), Audit[[#This Row],[Audit Candidate 3]]-Audit[[#This Row],[Candidate 3]], "")</f>
        <v/>
      </c>
      <c r="AH163" s="18" t="str">
        <f>IF(NOT(ISBLANK(Audit[[#This Row],[Audit Candidate 4]])),Audit[[#This Row],[Audit Candidate 4]]-Audit[[#This Row],[Candidate 4]], "")</f>
        <v/>
      </c>
      <c r="AI163" s="18" t="str">
        <f>IF(NOT(ISBLANK(Audit[[#This Row],[Audit Candidate 5]])), Audit[[#This Row],[Audit Candidate 5]]-Audit[[#This Row],[Candidate 5]], "")</f>
        <v/>
      </c>
      <c r="AJ163" s="18" t="str">
        <f>IF(NOT(ISBLANK(Audit[[#This Row],[Audit Candidate 6]])), Audit[[#This Row],[Audit Candidate 6]]-Audit[[#This Row],[Candidate 6]], "")</f>
        <v/>
      </c>
      <c r="AK163" s="18" t="str">
        <f>IF(NOT(ISBLANK(Audit[[#This Row],[Audit Candidate 7]])), Audit[[#This Row],[Audit Candidate 7]]-Audit[[#This Row],[Candidate 7]], "")</f>
        <v/>
      </c>
      <c r="AL163" s="18" t="str">
        <f>IF(NOT(ISBLANK(Audit[[#This Row],[Audit Candidate 8]])), Audit[[#This Row],[Audit Candidate 8]]-Audit[[#This Row],[Candidate 8]], "")</f>
        <v/>
      </c>
      <c r="AM163" s="18" t="str">
        <f>IF(NOT(ISBLANK(Audit[[#This Row],[Audit Candidate 9]])), Audit[[#This Row],[Audit Candidate 9]]-Audit[[#This Row],[Candidate 9]], "")</f>
        <v/>
      </c>
      <c r="AN163" s="18" t="str">
        <f>IF(NOT(ISBLANK(Audit[[#This Row],[Audit Candidate 10]])), Audit[[#This Row],[Audit Candidate 10]]-Audit[[#This Row],[Candidate 10]], "")</f>
        <v/>
      </c>
      <c r="AO163" s="18" t="str">
        <f>IF(NOT(ISBLANK(Audit[[#This Row],[Audit Candidate 11]])), Audit[[#This Row],[Audit Candidate 11]]-Audit[[#This Row],[Candidate 11]], "")</f>
        <v/>
      </c>
      <c r="AP163" s="18" t="str">
        <f>IF(NOT(ISBLANK(Audit[[#This Row],[Audit Candidate 12]])), Audit[[#This Row],[Audit Candidate 12]]-Audit[[#This Row],[Candidate 12]], "")</f>
        <v/>
      </c>
      <c r="AQ163" s="18">
        <f>SUMIF(Audit[[#This Row],[Difference Winner]:[Difference Candidate 12]], "&gt;0")</f>
        <v>0</v>
      </c>
      <c r="AR163" s="18">
        <f>SUM(Audit[[#This Row],[Difference Winner]:[Difference Candidate 12]])</f>
        <v>0</v>
      </c>
      <c r="AS163" s="18">
        <f>IF(Audit[[#This Row],[Times p Drawn - With Replacement]]&gt;0, IF(Audit[[#This Row],[Canceled Differences]]&lt;0, Audit[[#This Row],[Max Differences]]+ABS(Audit[[#This Row],[Canceled Differences]]), Audit[[#This Row],[Max Differences]]), 0)</f>
        <v>0</v>
      </c>
      <c r="AT163" s="18">
        <f>'Sampling Data'!AB163</f>
        <v>0</v>
      </c>
      <c r="AU163" s="18">
        <f>IF(
      SUM(Audit[[#This Row],[Audit Losing Candidate]:[Audit Candidate 12]])
      &lt;&gt;0,
      (Audit[[#This Row],[Winning Candidate]]-Audit[[#This Row],[Losing Candidate]]-(Audit[[#This Row],[Audit Winning Candidate]]-Audit[[#This Row],[Audit Losing Candidate]]))/(Audit[[#Totals],[Winning Candidate]]-Audit[[#Totals],[Losing Candidate]]),
      0
)</f>
        <v>0</v>
      </c>
      <c r="AV1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8">
        <f>IF(Audit[[#This Row],[Max Relative Error (ep)]] = 0, 0, Audit[[#This Row],[Max Relative Error (ep)]]/Audit[[#This Row],[Error Bound (up) - Max. possible relative overstatement]])</f>
        <v>0</v>
      </c>
      <c r="BH1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3" s="18">
        <f t="shared" si="3"/>
        <v>1</v>
      </c>
      <c r="BJ163" s="18">
        <f>PRODUCT($BI$5:BI163)</f>
        <v>1</v>
      </c>
      <c r="BK163" s="20">
        <f>1 - Audit[[#This Row],[K-M P Value]]</f>
        <v>0</v>
      </c>
      <c r="BL163" s="18" t="str">
        <f>IF(Audit[[#This Row],[K-M P Value]]&gt;1-'General Info'!$B$12,"Continue", "Stop")</f>
        <v>Continue</v>
      </c>
      <c r="BM163" s="23" t="b">
        <f>IF(Audit[[#This Row],[Status - Continue or stop audit]] = "Continue", TRUE, IF(BL162 = "Continue", TRUE, FALSE))</f>
        <v>1</v>
      </c>
      <c r="BN163" s="23"/>
    </row>
    <row r="164" spans="1:66" ht="15" hidden="1" customHeight="1" x14ac:dyDescent="0.35">
      <c r="A164" s="18" t="str">
        <f>'Sampling Data'!AI164</f>
        <v/>
      </c>
      <c r="B164" s="18" t="str">
        <f>'Sampling Data'!A164</f>
        <v>2501 CIN 25-A   (AV)</v>
      </c>
      <c r="C164" s="18">
        <f>'Sampling Data'!B164</f>
        <v>1</v>
      </c>
      <c r="D164" s="18">
        <f>'Sampling Data'!C164</f>
        <v>0</v>
      </c>
      <c r="E164" s="19">
        <f>'Sampling Data'!D164</f>
        <v>0</v>
      </c>
      <c r="F164" s="19">
        <f>'Sampling Data'!E164</f>
        <v>0</v>
      </c>
      <c r="G164" s="19">
        <f>'Sampling Data'!F164</f>
        <v>0</v>
      </c>
      <c r="H164" s="19">
        <f>'Sampling Data'!G164</f>
        <v>0</v>
      </c>
      <c r="I164" s="19">
        <f>'Sampling Data'!H164</f>
        <v>0</v>
      </c>
      <c r="J164" s="19">
        <f>'Sampling Data'!I164</f>
        <v>0</v>
      </c>
      <c r="K164" s="19">
        <f>'Sampling Data'!J164</f>
        <v>0</v>
      </c>
      <c r="L164" s="19">
        <f>'Sampling Data'!K164</f>
        <v>0</v>
      </c>
      <c r="M164" s="19">
        <f>'Sampling Data'!L164</f>
        <v>0</v>
      </c>
      <c r="N164" s="19">
        <f>'Sampling Data'!M164</f>
        <v>0</v>
      </c>
      <c r="O164" s="18">
        <f>'Sampling Data'!N164</f>
        <v>0</v>
      </c>
      <c r="P164" s="18">
        <f>'Sampling Data'!O164</f>
        <v>0</v>
      </c>
      <c r="Q164" s="18">
        <f>'Sampling Data'!P164</f>
        <v>1</v>
      </c>
      <c r="R164" s="18">
        <f>'Sampling Data'!AJ164</f>
        <v>0</v>
      </c>
      <c r="S164" s="112"/>
      <c r="T164" s="112"/>
      <c r="U164" s="113"/>
      <c r="V164" s="113"/>
      <c r="W164" s="112"/>
      <c r="X164" s="112"/>
      <c r="Y164" s="112"/>
      <c r="Z164" s="112"/>
      <c r="AA164" s="15"/>
      <c r="AB164" s="15"/>
      <c r="AC164" s="15"/>
      <c r="AD164" s="15"/>
      <c r="AE164" s="114" t="str">
        <f>IF(NOT(ISBLANK(Audit[[#This Row],[Audit Winning Candidate]])), Audit[[#This Row],[Audit Winning Candidate]]-Audit[[#This Row],[Winning Candidate]], "")</f>
        <v/>
      </c>
      <c r="AF164" s="18" t="str">
        <f>IF(NOT(ISBLANK(Audit[[#This Row],[Audit Losing Candidate]])), Audit[[#This Row],[Audit Losing Candidate]]-Audit[[#This Row],[Losing Candidate]], "")</f>
        <v/>
      </c>
      <c r="AG164" s="18" t="str">
        <f>IF(NOT(ISBLANK(Audit[[#This Row],[Audit Candidate 3]])), Audit[[#This Row],[Audit Candidate 3]]-Audit[[#This Row],[Candidate 3]], "")</f>
        <v/>
      </c>
      <c r="AH164" s="18" t="str">
        <f>IF(NOT(ISBLANK(Audit[[#This Row],[Audit Candidate 4]])),Audit[[#This Row],[Audit Candidate 4]]-Audit[[#This Row],[Candidate 4]], "")</f>
        <v/>
      </c>
      <c r="AI164" s="18" t="str">
        <f>IF(NOT(ISBLANK(Audit[[#This Row],[Audit Candidate 5]])), Audit[[#This Row],[Audit Candidate 5]]-Audit[[#This Row],[Candidate 5]], "")</f>
        <v/>
      </c>
      <c r="AJ164" s="18" t="str">
        <f>IF(NOT(ISBLANK(Audit[[#This Row],[Audit Candidate 6]])), Audit[[#This Row],[Audit Candidate 6]]-Audit[[#This Row],[Candidate 6]], "")</f>
        <v/>
      </c>
      <c r="AK164" s="18" t="str">
        <f>IF(NOT(ISBLANK(Audit[[#This Row],[Audit Candidate 7]])), Audit[[#This Row],[Audit Candidate 7]]-Audit[[#This Row],[Candidate 7]], "")</f>
        <v/>
      </c>
      <c r="AL164" s="18" t="str">
        <f>IF(NOT(ISBLANK(Audit[[#This Row],[Audit Candidate 8]])), Audit[[#This Row],[Audit Candidate 8]]-Audit[[#This Row],[Candidate 8]], "")</f>
        <v/>
      </c>
      <c r="AM164" s="18" t="str">
        <f>IF(NOT(ISBLANK(Audit[[#This Row],[Audit Candidate 9]])), Audit[[#This Row],[Audit Candidate 9]]-Audit[[#This Row],[Candidate 9]], "")</f>
        <v/>
      </c>
      <c r="AN164" s="18" t="str">
        <f>IF(NOT(ISBLANK(Audit[[#This Row],[Audit Candidate 10]])), Audit[[#This Row],[Audit Candidate 10]]-Audit[[#This Row],[Candidate 10]], "")</f>
        <v/>
      </c>
      <c r="AO164" s="18" t="str">
        <f>IF(NOT(ISBLANK(Audit[[#This Row],[Audit Candidate 11]])), Audit[[#This Row],[Audit Candidate 11]]-Audit[[#This Row],[Candidate 11]], "")</f>
        <v/>
      </c>
      <c r="AP164" s="18" t="str">
        <f>IF(NOT(ISBLANK(Audit[[#This Row],[Audit Candidate 12]])), Audit[[#This Row],[Audit Candidate 12]]-Audit[[#This Row],[Candidate 12]], "")</f>
        <v/>
      </c>
      <c r="AQ164" s="18">
        <f>SUMIF(Audit[[#This Row],[Difference Winner]:[Difference Candidate 12]], "&gt;0")</f>
        <v>0</v>
      </c>
      <c r="AR164" s="18">
        <f>SUM(Audit[[#This Row],[Difference Winner]:[Difference Candidate 12]])</f>
        <v>0</v>
      </c>
      <c r="AS164" s="18">
        <f>IF(Audit[[#This Row],[Times p Drawn - With Replacement]]&gt;0, IF(Audit[[#This Row],[Canceled Differences]]&lt;0, Audit[[#This Row],[Max Differences]]+ABS(Audit[[#This Row],[Canceled Differences]]), Audit[[#This Row],[Max Differences]]), 0)</f>
        <v>0</v>
      </c>
      <c r="AT164" s="18">
        <f>'Sampling Data'!AB164</f>
        <v>6.2819989320601809E-5</v>
      </c>
      <c r="AU164" s="18">
        <f>IF(
      SUM(Audit[[#This Row],[Audit Losing Candidate]:[Audit Candidate 12]])
      &lt;&gt;0,
      (Audit[[#This Row],[Winning Candidate]]-Audit[[#This Row],[Losing Candidate]]-(Audit[[#This Row],[Audit Winning Candidate]]-Audit[[#This Row],[Audit Losing Candidate]]))/(Audit[[#Totals],[Winning Candidate]]-Audit[[#Totals],[Losing Candidate]]),
      0
)</f>
        <v>0</v>
      </c>
      <c r="AV1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8">
        <f>IF(Audit[[#This Row],[Max Relative Error (ep)]] = 0, 0, Audit[[#This Row],[Max Relative Error (ep)]]/Audit[[#This Row],[Error Bound (up) - Max. possible relative overstatement]])</f>
        <v>0</v>
      </c>
      <c r="BH1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4" s="18">
        <f t="shared" si="3"/>
        <v>1</v>
      </c>
      <c r="BJ164" s="18">
        <f>PRODUCT($BI$5:BI164)</f>
        <v>1</v>
      </c>
      <c r="BK164" s="20">
        <f>1 - Audit[[#This Row],[K-M P Value]]</f>
        <v>0</v>
      </c>
      <c r="BL164" s="18" t="str">
        <f>IF(Audit[[#This Row],[K-M P Value]]&gt;1-'General Info'!$B$12,"Continue", "Stop")</f>
        <v>Continue</v>
      </c>
      <c r="BM164" s="23" t="b">
        <f>IF(Audit[[#This Row],[Status - Continue or stop audit]] = "Continue", TRUE, IF(BL163 = "Continue", TRUE, FALSE))</f>
        <v>1</v>
      </c>
      <c r="BN164" s="23"/>
    </row>
    <row r="165" spans="1:66" ht="15" hidden="1" customHeight="1" x14ac:dyDescent="0.35">
      <c r="A165" s="18" t="str">
        <f>'Sampling Data'!AI165</f>
        <v/>
      </c>
      <c r="B165" s="18" t="str">
        <f>'Sampling Data'!A165</f>
        <v>2502 CIN 25-B   (AV)</v>
      </c>
      <c r="C165" s="18">
        <f>'Sampling Data'!B165</f>
        <v>4</v>
      </c>
      <c r="D165" s="18">
        <f>'Sampling Data'!C165</f>
        <v>2</v>
      </c>
      <c r="E165" s="19">
        <f>'Sampling Data'!D165</f>
        <v>0</v>
      </c>
      <c r="F165" s="19">
        <f>'Sampling Data'!E165</f>
        <v>0</v>
      </c>
      <c r="G165" s="19">
        <f>'Sampling Data'!F165</f>
        <v>0</v>
      </c>
      <c r="H165" s="19">
        <f>'Sampling Data'!G165</f>
        <v>0</v>
      </c>
      <c r="I165" s="19">
        <f>'Sampling Data'!H165</f>
        <v>0</v>
      </c>
      <c r="J165" s="19">
        <f>'Sampling Data'!I165</f>
        <v>0</v>
      </c>
      <c r="K165" s="19">
        <f>'Sampling Data'!J165</f>
        <v>0</v>
      </c>
      <c r="L165" s="19">
        <f>'Sampling Data'!K165</f>
        <v>0</v>
      </c>
      <c r="M165" s="19">
        <f>'Sampling Data'!L165</f>
        <v>0</v>
      </c>
      <c r="N165" s="19">
        <f>'Sampling Data'!M165</f>
        <v>0</v>
      </c>
      <c r="O165" s="18">
        <f>'Sampling Data'!N165</f>
        <v>0</v>
      </c>
      <c r="P165" s="18">
        <f>'Sampling Data'!O165</f>
        <v>0</v>
      </c>
      <c r="Q165" s="18">
        <f>'Sampling Data'!P165</f>
        <v>6</v>
      </c>
      <c r="R165" s="18">
        <f>'Sampling Data'!AJ165</f>
        <v>0</v>
      </c>
      <c r="S165" s="112"/>
      <c r="T165" s="112"/>
      <c r="U165" s="113"/>
      <c r="V165" s="113"/>
      <c r="W165" s="112"/>
      <c r="X165" s="112"/>
      <c r="Y165" s="112"/>
      <c r="Z165" s="112"/>
      <c r="AA165" s="15"/>
      <c r="AB165" s="15"/>
      <c r="AC165" s="15"/>
      <c r="AD165" s="15"/>
      <c r="AE165" s="114" t="str">
        <f>IF(NOT(ISBLANK(Audit[[#This Row],[Audit Winning Candidate]])), Audit[[#This Row],[Audit Winning Candidate]]-Audit[[#This Row],[Winning Candidate]], "")</f>
        <v/>
      </c>
      <c r="AF165" s="18" t="str">
        <f>IF(NOT(ISBLANK(Audit[[#This Row],[Audit Losing Candidate]])), Audit[[#This Row],[Audit Losing Candidate]]-Audit[[#This Row],[Losing Candidate]], "")</f>
        <v/>
      </c>
      <c r="AG165" s="18" t="str">
        <f>IF(NOT(ISBLANK(Audit[[#This Row],[Audit Candidate 3]])), Audit[[#This Row],[Audit Candidate 3]]-Audit[[#This Row],[Candidate 3]], "")</f>
        <v/>
      </c>
      <c r="AH165" s="18" t="str">
        <f>IF(NOT(ISBLANK(Audit[[#This Row],[Audit Candidate 4]])),Audit[[#This Row],[Audit Candidate 4]]-Audit[[#This Row],[Candidate 4]], "")</f>
        <v/>
      </c>
      <c r="AI165" s="18" t="str">
        <f>IF(NOT(ISBLANK(Audit[[#This Row],[Audit Candidate 5]])), Audit[[#This Row],[Audit Candidate 5]]-Audit[[#This Row],[Candidate 5]], "")</f>
        <v/>
      </c>
      <c r="AJ165" s="18" t="str">
        <f>IF(NOT(ISBLANK(Audit[[#This Row],[Audit Candidate 6]])), Audit[[#This Row],[Audit Candidate 6]]-Audit[[#This Row],[Candidate 6]], "")</f>
        <v/>
      </c>
      <c r="AK165" s="18" t="str">
        <f>IF(NOT(ISBLANK(Audit[[#This Row],[Audit Candidate 7]])), Audit[[#This Row],[Audit Candidate 7]]-Audit[[#This Row],[Candidate 7]], "")</f>
        <v/>
      </c>
      <c r="AL165" s="18" t="str">
        <f>IF(NOT(ISBLANK(Audit[[#This Row],[Audit Candidate 8]])), Audit[[#This Row],[Audit Candidate 8]]-Audit[[#This Row],[Candidate 8]], "")</f>
        <v/>
      </c>
      <c r="AM165" s="18" t="str">
        <f>IF(NOT(ISBLANK(Audit[[#This Row],[Audit Candidate 9]])), Audit[[#This Row],[Audit Candidate 9]]-Audit[[#This Row],[Candidate 9]], "")</f>
        <v/>
      </c>
      <c r="AN165" s="18" t="str">
        <f>IF(NOT(ISBLANK(Audit[[#This Row],[Audit Candidate 10]])), Audit[[#This Row],[Audit Candidate 10]]-Audit[[#This Row],[Candidate 10]], "")</f>
        <v/>
      </c>
      <c r="AO165" s="18" t="str">
        <f>IF(NOT(ISBLANK(Audit[[#This Row],[Audit Candidate 11]])), Audit[[#This Row],[Audit Candidate 11]]-Audit[[#This Row],[Candidate 11]], "")</f>
        <v/>
      </c>
      <c r="AP165" s="18" t="str">
        <f>IF(NOT(ISBLANK(Audit[[#This Row],[Audit Candidate 12]])), Audit[[#This Row],[Audit Candidate 12]]-Audit[[#This Row],[Candidate 12]], "")</f>
        <v/>
      </c>
      <c r="AQ165" s="18">
        <f>SUMIF(Audit[[#This Row],[Difference Winner]:[Difference Candidate 12]], "&gt;0")</f>
        <v>0</v>
      </c>
      <c r="AR165" s="18">
        <f>SUM(Audit[[#This Row],[Difference Winner]:[Difference Candidate 12]])</f>
        <v>0</v>
      </c>
      <c r="AS165" s="18">
        <f>IF(Audit[[#This Row],[Times p Drawn - With Replacement]]&gt;0, IF(Audit[[#This Row],[Canceled Differences]]&lt;0, Audit[[#This Row],[Max Differences]]+ABS(Audit[[#This Row],[Canceled Differences]]), Audit[[#This Row],[Max Differences]]), 0)</f>
        <v>0</v>
      </c>
      <c r="AT165" s="18">
        <f>'Sampling Data'!AB165</f>
        <v>2.5127995728240724E-4</v>
      </c>
      <c r="AU165" s="18">
        <f>IF(
      SUM(Audit[[#This Row],[Audit Losing Candidate]:[Audit Candidate 12]])
      &lt;&gt;0,
      (Audit[[#This Row],[Winning Candidate]]-Audit[[#This Row],[Losing Candidate]]-(Audit[[#This Row],[Audit Winning Candidate]]-Audit[[#This Row],[Audit Losing Candidate]]))/(Audit[[#Totals],[Winning Candidate]]-Audit[[#Totals],[Losing Candidate]]),
      0
)</f>
        <v>0</v>
      </c>
      <c r="AV1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8">
        <f>IF(Audit[[#This Row],[Max Relative Error (ep)]] = 0, 0, Audit[[#This Row],[Max Relative Error (ep)]]/Audit[[#This Row],[Error Bound (up) - Max. possible relative overstatement]])</f>
        <v>0</v>
      </c>
      <c r="BH1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5" s="18">
        <f t="shared" si="3"/>
        <v>1</v>
      </c>
      <c r="BJ165" s="18">
        <f>PRODUCT($BI$5:BI165)</f>
        <v>1</v>
      </c>
      <c r="BK165" s="20">
        <f>1 - Audit[[#This Row],[K-M P Value]]</f>
        <v>0</v>
      </c>
      <c r="BL165" s="18" t="str">
        <f>IF(Audit[[#This Row],[K-M P Value]]&gt;1-'General Info'!$B$12,"Continue", "Stop")</f>
        <v>Continue</v>
      </c>
      <c r="BM165" s="23" t="b">
        <f>IF(Audit[[#This Row],[Status - Continue or stop audit]] = "Continue", TRUE, IF(BL164 = "Continue", TRUE, FALSE))</f>
        <v>1</v>
      </c>
      <c r="BN165" s="23"/>
    </row>
    <row r="166" spans="1:66" ht="15" hidden="1" customHeight="1" x14ac:dyDescent="0.35">
      <c r="A166" s="18" t="str">
        <f>'Sampling Data'!AI166</f>
        <v/>
      </c>
      <c r="B166" s="18" t="str">
        <f>'Sampling Data'!A166</f>
        <v>2503 CIN 25-C   (AV)</v>
      </c>
      <c r="C166" s="18">
        <f>'Sampling Data'!B166</f>
        <v>9</v>
      </c>
      <c r="D166" s="18">
        <f>'Sampling Data'!C166</f>
        <v>0</v>
      </c>
      <c r="E166" s="19">
        <f>'Sampling Data'!D166</f>
        <v>0</v>
      </c>
      <c r="F166" s="19">
        <f>'Sampling Data'!E166</f>
        <v>0</v>
      </c>
      <c r="G166" s="19">
        <f>'Sampling Data'!F166</f>
        <v>0</v>
      </c>
      <c r="H166" s="19">
        <f>'Sampling Data'!G166</f>
        <v>0</v>
      </c>
      <c r="I166" s="19">
        <f>'Sampling Data'!H166</f>
        <v>0</v>
      </c>
      <c r="J166" s="19">
        <f>'Sampling Data'!I166</f>
        <v>0</v>
      </c>
      <c r="K166" s="19">
        <f>'Sampling Data'!J166</f>
        <v>0</v>
      </c>
      <c r="L166" s="19">
        <f>'Sampling Data'!K166</f>
        <v>0</v>
      </c>
      <c r="M166" s="19">
        <f>'Sampling Data'!L166</f>
        <v>0</v>
      </c>
      <c r="N166" s="19">
        <f>'Sampling Data'!M166</f>
        <v>0</v>
      </c>
      <c r="O166" s="18">
        <f>'Sampling Data'!N166</f>
        <v>0</v>
      </c>
      <c r="P166" s="18">
        <f>'Sampling Data'!O166</f>
        <v>0</v>
      </c>
      <c r="Q166" s="18">
        <f>'Sampling Data'!P166</f>
        <v>9</v>
      </c>
      <c r="R166" s="18">
        <f>'Sampling Data'!AJ166</f>
        <v>0</v>
      </c>
      <c r="S166" s="112"/>
      <c r="T166" s="112"/>
      <c r="U166" s="113"/>
      <c r="V166" s="113"/>
      <c r="W166" s="112"/>
      <c r="X166" s="112"/>
      <c r="Y166" s="112"/>
      <c r="Z166" s="112"/>
      <c r="AA166" s="15"/>
      <c r="AB166" s="15"/>
      <c r="AC166" s="15"/>
      <c r="AD166" s="15"/>
      <c r="AE166" s="114" t="str">
        <f>IF(NOT(ISBLANK(Audit[[#This Row],[Audit Winning Candidate]])), Audit[[#This Row],[Audit Winning Candidate]]-Audit[[#This Row],[Winning Candidate]], "")</f>
        <v/>
      </c>
      <c r="AF166" s="18" t="str">
        <f>IF(NOT(ISBLANK(Audit[[#This Row],[Audit Losing Candidate]])), Audit[[#This Row],[Audit Losing Candidate]]-Audit[[#This Row],[Losing Candidate]], "")</f>
        <v/>
      </c>
      <c r="AG166" s="18" t="str">
        <f>IF(NOT(ISBLANK(Audit[[#This Row],[Audit Candidate 3]])), Audit[[#This Row],[Audit Candidate 3]]-Audit[[#This Row],[Candidate 3]], "")</f>
        <v/>
      </c>
      <c r="AH166" s="18" t="str">
        <f>IF(NOT(ISBLANK(Audit[[#This Row],[Audit Candidate 4]])),Audit[[#This Row],[Audit Candidate 4]]-Audit[[#This Row],[Candidate 4]], "")</f>
        <v/>
      </c>
      <c r="AI166" s="18" t="str">
        <f>IF(NOT(ISBLANK(Audit[[#This Row],[Audit Candidate 5]])), Audit[[#This Row],[Audit Candidate 5]]-Audit[[#This Row],[Candidate 5]], "")</f>
        <v/>
      </c>
      <c r="AJ166" s="18" t="str">
        <f>IF(NOT(ISBLANK(Audit[[#This Row],[Audit Candidate 6]])), Audit[[#This Row],[Audit Candidate 6]]-Audit[[#This Row],[Candidate 6]], "")</f>
        <v/>
      </c>
      <c r="AK166" s="18" t="str">
        <f>IF(NOT(ISBLANK(Audit[[#This Row],[Audit Candidate 7]])), Audit[[#This Row],[Audit Candidate 7]]-Audit[[#This Row],[Candidate 7]], "")</f>
        <v/>
      </c>
      <c r="AL166" s="18" t="str">
        <f>IF(NOT(ISBLANK(Audit[[#This Row],[Audit Candidate 8]])), Audit[[#This Row],[Audit Candidate 8]]-Audit[[#This Row],[Candidate 8]], "")</f>
        <v/>
      </c>
      <c r="AM166" s="18" t="str">
        <f>IF(NOT(ISBLANK(Audit[[#This Row],[Audit Candidate 9]])), Audit[[#This Row],[Audit Candidate 9]]-Audit[[#This Row],[Candidate 9]], "")</f>
        <v/>
      </c>
      <c r="AN166" s="18" t="str">
        <f>IF(NOT(ISBLANK(Audit[[#This Row],[Audit Candidate 10]])), Audit[[#This Row],[Audit Candidate 10]]-Audit[[#This Row],[Candidate 10]], "")</f>
        <v/>
      </c>
      <c r="AO166" s="18" t="str">
        <f>IF(NOT(ISBLANK(Audit[[#This Row],[Audit Candidate 11]])), Audit[[#This Row],[Audit Candidate 11]]-Audit[[#This Row],[Candidate 11]], "")</f>
        <v/>
      </c>
      <c r="AP166" s="18" t="str">
        <f>IF(NOT(ISBLANK(Audit[[#This Row],[Audit Candidate 12]])), Audit[[#This Row],[Audit Candidate 12]]-Audit[[#This Row],[Candidate 12]], "")</f>
        <v/>
      </c>
      <c r="AQ166" s="18">
        <f>SUMIF(Audit[[#This Row],[Difference Winner]:[Difference Candidate 12]], "&gt;0")</f>
        <v>0</v>
      </c>
      <c r="AR166" s="18">
        <f>SUM(Audit[[#This Row],[Difference Winner]:[Difference Candidate 12]])</f>
        <v>0</v>
      </c>
      <c r="AS166" s="18">
        <f>IF(Audit[[#This Row],[Times p Drawn - With Replacement]]&gt;0, IF(Audit[[#This Row],[Canceled Differences]]&lt;0, Audit[[#This Row],[Max Differences]]+ABS(Audit[[#This Row],[Canceled Differences]]), Audit[[#This Row],[Max Differences]]), 0)</f>
        <v>0</v>
      </c>
      <c r="AT166" s="18">
        <f>'Sampling Data'!AB166</f>
        <v>5.6537990388541635E-4</v>
      </c>
      <c r="AU166" s="18">
        <f>IF(
      SUM(Audit[[#This Row],[Audit Losing Candidate]:[Audit Candidate 12]])
      &lt;&gt;0,
      (Audit[[#This Row],[Winning Candidate]]-Audit[[#This Row],[Losing Candidate]]-(Audit[[#This Row],[Audit Winning Candidate]]-Audit[[#This Row],[Audit Losing Candidate]]))/(Audit[[#Totals],[Winning Candidate]]-Audit[[#Totals],[Losing Candidate]]),
      0
)</f>
        <v>0</v>
      </c>
      <c r="AV1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8">
        <f>IF(Audit[[#This Row],[Max Relative Error (ep)]] = 0, 0, Audit[[#This Row],[Max Relative Error (ep)]]/Audit[[#This Row],[Error Bound (up) - Max. possible relative overstatement]])</f>
        <v>0</v>
      </c>
      <c r="BH1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6" s="18">
        <f t="shared" si="3"/>
        <v>1</v>
      </c>
      <c r="BJ166" s="18">
        <f>PRODUCT($BI$5:BI166)</f>
        <v>1</v>
      </c>
      <c r="BK166" s="20">
        <f>1 - Audit[[#This Row],[K-M P Value]]</f>
        <v>0</v>
      </c>
      <c r="BL166" s="18" t="str">
        <f>IF(Audit[[#This Row],[K-M P Value]]&gt;1-'General Info'!$B$12,"Continue", "Stop")</f>
        <v>Continue</v>
      </c>
      <c r="BM166" s="23" t="b">
        <f>IF(Audit[[#This Row],[Status - Continue or stop audit]] = "Continue", TRUE, IF(BL165 = "Continue", TRUE, FALSE))</f>
        <v>1</v>
      </c>
      <c r="BN166" s="23"/>
    </row>
    <row r="167" spans="1:66" ht="15" hidden="1" customHeight="1" x14ac:dyDescent="0.35">
      <c r="A167" s="18" t="str">
        <f>'Sampling Data'!AI167</f>
        <v/>
      </c>
      <c r="B167" s="18" t="str">
        <f>'Sampling Data'!A167</f>
        <v>2504 CIN 25-D   (AV)</v>
      </c>
      <c r="C167" s="18">
        <f>'Sampling Data'!B167</f>
        <v>7</v>
      </c>
      <c r="D167" s="18">
        <f>'Sampling Data'!C167</f>
        <v>1</v>
      </c>
      <c r="E167" s="19">
        <f>'Sampling Data'!D167</f>
        <v>0</v>
      </c>
      <c r="F167" s="19">
        <f>'Sampling Data'!E167</f>
        <v>0</v>
      </c>
      <c r="G167" s="19">
        <f>'Sampling Data'!F167</f>
        <v>0</v>
      </c>
      <c r="H167" s="19">
        <f>'Sampling Data'!G167</f>
        <v>0</v>
      </c>
      <c r="I167" s="19">
        <f>'Sampling Data'!H167</f>
        <v>0</v>
      </c>
      <c r="J167" s="19">
        <f>'Sampling Data'!I167</f>
        <v>0</v>
      </c>
      <c r="K167" s="19">
        <f>'Sampling Data'!J167</f>
        <v>0</v>
      </c>
      <c r="L167" s="19">
        <f>'Sampling Data'!K167</f>
        <v>0</v>
      </c>
      <c r="M167" s="19">
        <f>'Sampling Data'!L167</f>
        <v>0</v>
      </c>
      <c r="N167" s="19">
        <f>'Sampling Data'!M167</f>
        <v>0</v>
      </c>
      <c r="O167" s="18">
        <f>'Sampling Data'!N167</f>
        <v>0</v>
      </c>
      <c r="P167" s="18">
        <f>'Sampling Data'!O167</f>
        <v>1</v>
      </c>
      <c r="Q167" s="18">
        <f>'Sampling Data'!P167</f>
        <v>9</v>
      </c>
      <c r="R167" s="18">
        <f>'Sampling Data'!AJ167</f>
        <v>0</v>
      </c>
      <c r="S167" s="112"/>
      <c r="T167" s="112"/>
      <c r="U167" s="113"/>
      <c r="V167" s="113"/>
      <c r="W167" s="112"/>
      <c r="X167" s="112"/>
      <c r="Y167" s="112"/>
      <c r="Z167" s="112"/>
      <c r="AA167" s="15"/>
      <c r="AB167" s="15"/>
      <c r="AC167" s="15"/>
      <c r="AD167" s="15"/>
      <c r="AE167" s="114" t="str">
        <f>IF(NOT(ISBLANK(Audit[[#This Row],[Audit Winning Candidate]])), Audit[[#This Row],[Audit Winning Candidate]]-Audit[[#This Row],[Winning Candidate]], "")</f>
        <v/>
      </c>
      <c r="AF167" s="18" t="str">
        <f>IF(NOT(ISBLANK(Audit[[#This Row],[Audit Losing Candidate]])), Audit[[#This Row],[Audit Losing Candidate]]-Audit[[#This Row],[Losing Candidate]], "")</f>
        <v/>
      </c>
      <c r="AG167" s="18" t="str">
        <f>IF(NOT(ISBLANK(Audit[[#This Row],[Audit Candidate 3]])), Audit[[#This Row],[Audit Candidate 3]]-Audit[[#This Row],[Candidate 3]], "")</f>
        <v/>
      </c>
      <c r="AH167" s="18" t="str">
        <f>IF(NOT(ISBLANK(Audit[[#This Row],[Audit Candidate 4]])),Audit[[#This Row],[Audit Candidate 4]]-Audit[[#This Row],[Candidate 4]], "")</f>
        <v/>
      </c>
      <c r="AI167" s="18" t="str">
        <f>IF(NOT(ISBLANK(Audit[[#This Row],[Audit Candidate 5]])), Audit[[#This Row],[Audit Candidate 5]]-Audit[[#This Row],[Candidate 5]], "")</f>
        <v/>
      </c>
      <c r="AJ167" s="18" t="str">
        <f>IF(NOT(ISBLANK(Audit[[#This Row],[Audit Candidate 6]])), Audit[[#This Row],[Audit Candidate 6]]-Audit[[#This Row],[Candidate 6]], "")</f>
        <v/>
      </c>
      <c r="AK167" s="18" t="str">
        <f>IF(NOT(ISBLANK(Audit[[#This Row],[Audit Candidate 7]])), Audit[[#This Row],[Audit Candidate 7]]-Audit[[#This Row],[Candidate 7]], "")</f>
        <v/>
      </c>
      <c r="AL167" s="18" t="str">
        <f>IF(NOT(ISBLANK(Audit[[#This Row],[Audit Candidate 8]])), Audit[[#This Row],[Audit Candidate 8]]-Audit[[#This Row],[Candidate 8]], "")</f>
        <v/>
      </c>
      <c r="AM167" s="18" t="str">
        <f>IF(NOT(ISBLANK(Audit[[#This Row],[Audit Candidate 9]])), Audit[[#This Row],[Audit Candidate 9]]-Audit[[#This Row],[Candidate 9]], "")</f>
        <v/>
      </c>
      <c r="AN167" s="18" t="str">
        <f>IF(NOT(ISBLANK(Audit[[#This Row],[Audit Candidate 10]])), Audit[[#This Row],[Audit Candidate 10]]-Audit[[#This Row],[Candidate 10]], "")</f>
        <v/>
      </c>
      <c r="AO167" s="18" t="str">
        <f>IF(NOT(ISBLANK(Audit[[#This Row],[Audit Candidate 11]])), Audit[[#This Row],[Audit Candidate 11]]-Audit[[#This Row],[Candidate 11]], "")</f>
        <v/>
      </c>
      <c r="AP167" s="18" t="str">
        <f>IF(NOT(ISBLANK(Audit[[#This Row],[Audit Candidate 12]])), Audit[[#This Row],[Audit Candidate 12]]-Audit[[#This Row],[Candidate 12]], "")</f>
        <v/>
      </c>
      <c r="AQ167" s="18">
        <f>SUMIF(Audit[[#This Row],[Difference Winner]:[Difference Candidate 12]], "&gt;0")</f>
        <v>0</v>
      </c>
      <c r="AR167" s="18">
        <f>SUM(Audit[[#This Row],[Difference Winner]:[Difference Candidate 12]])</f>
        <v>0</v>
      </c>
      <c r="AS167" s="18">
        <f>IF(Audit[[#This Row],[Times p Drawn - With Replacement]]&gt;0, IF(Audit[[#This Row],[Canceled Differences]]&lt;0, Audit[[#This Row],[Max Differences]]+ABS(Audit[[#This Row],[Canceled Differences]]), Audit[[#This Row],[Max Differences]]), 0)</f>
        <v>0</v>
      </c>
      <c r="AT167" s="18">
        <f>'Sampling Data'!AB167</f>
        <v>4.7114991990451359E-4</v>
      </c>
      <c r="AU167" s="18">
        <f>IF(
      SUM(Audit[[#This Row],[Audit Losing Candidate]:[Audit Candidate 12]])
      &lt;&gt;0,
      (Audit[[#This Row],[Winning Candidate]]-Audit[[#This Row],[Losing Candidate]]-(Audit[[#This Row],[Audit Winning Candidate]]-Audit[[#This Row],[Audit Losing Candidate]]))/(Audit[[#Totals],[Winning Candidate]]-Audit[[#Totals],[Losing Candidate]]),
      0
)</f>
        <v>0</v>
      </c>
      <c r="AV1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8">
        <f>IF(Audit[[#This Row],[Max Relative Error (ep)]] = 0, 0, Audit[[#This Row],[Max Relative Error (ep)]]/Audit[[#This Row],[Error Bound (up) - Max. possible relative overstatement]])</f>
        <v>0</v>
      </c>
      <c r="BH1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7" s="18">
        <f t="shared" si="3"/>
        <v>1</v>
      </c>
      <c r="BJ167" s="18">
        <f>PRODUCT($BI$5:BI167)</f>
        <v>1</v>
      </c>
      <c r="BK167" s="20">
        <f>1 - Audit[[#This Row],[K-M P Value]]</f>
        <v>0</v>
      </c>
      <c r="BL167" s="18" t="str">
        <f>IF(Audit[[#This Row],[K-M P Value]]&gt;1-'General Info'!$B$12,"Continue", "Stop")</f>
        <v>Continue</v>
      </c>
      <c r="BM167" s="23" t="b">
        <f>IF(Audit[[#This Row],[Status - Continue or stop audit]] = "Continue", TRUE, IF(BL166 = "Continue", TRUE, FALSE))</f>
        <v>1</v>
      </c>
      <c r="BN167" s="23"/>
    </row>
    <row r="168" spans="1:66" ht="15" hidden="1" customHeight="1" x14ac:dyDescent="0.35">
      <c r="A168" s="18" t="str">
        <f>'Sampling Data'!AI168</f>
        <v/>
      </c>
      <c r="B168" s="18" t="str">
        <f>'Sampling Data'!A168</f>
        <v>2505 CIN 25-E   (AV)</v>
      </c>
      <c r="C168" s="18">
        <f>'Sampling Data'!B168</f>
        <v>9</v>
      </c>
      <c r="D168" s="18">
        <f>'Sampling Data'!C168</f>
        <v>0</v>
      </c>
      <c r="E168" s="19">
        <f>'Sampling Data'!D168</f>
        <v>0</v>
      </c>
      <c r="F168" s="19">
        <f>'Sampling Data'!E168</f>
        <v>0</v>
      </c>
      <c r="G168" s="19">
        <f>'Sampling Data'!F168</f>
        <v>0</v>
      </c>
      <c r="H168" s="19">
        <f>'Sampling Data'!G168</f>
        <v>0</v>
      </c>
      <c r="I168" s="19">
        <f>'Sampling Data'!H168</f>
        <v>0</v>
      </c>
      <c r="J168" s="19">
        <f>'Sampling Data'!I168</f>
        <v>0</v>
      </c>
      <c r="K168" s="19">
        <f>'Sampling Data'!J168</f>
        <v>0</v>
      </c>
      <c r="L168" s="19">
        <f>'Sampling Data'!K168</f>
        <v>0</v>
      </c>
      <c r="M168" s="19">
        <f>'Sampling Data'!L168</f>
        <v>0</v>
      </c>
      <c r="N168" s="19">
        <f>'Sampling Data'!M168</f>
        <v>0</v>
      </c>
      <c r="O168" s="18">
        <f>'Sampling Data'!N168</f>
        <v>0</v>
      </c>
      <c r="P168" s="18">
        <f>'Sampling Data'!O168</f>
        <v>0</v>
      </c>
      <c r="Q168" s="18">
        <f>'Sampling Data'!P168</f>
        <v>9</v>
      </c>
      <c r="R168" s="18">
        <f>'Sampling Data'!AJ168</f>
        <v>0</v>
      </c>
      <c r="S168" s="112"/>
      <c r="T168" s="112"/>
      <c r="U168" s="113"/>
      <c r="V168" s="113"/>
      <c r="W168" s="112"/>
      <c r="X168" s="112"/>
      <c r="Y168" s="112"/>
      <c r="Z168" s="112"/>
      <c r="AA168" s="15"/>
      <c r="AB168" s="15"/>
      <c r="AC168" s="15"/>
      <c r="AD168" s="15"/>
      <c r="AE168" s="114" t="str">
        <f>IF(NOT(ISBLANK(Audit[[#This Row],[Audit Winning Candidate]])), Audit[[#This Row],[Audit Winning Candidate]]-Audit[[#This Row],[Winning Candidate]], "")</f>
        <v/>
      </c>
      <c r="AF168" s="18" t="str">
        <f>IF(NOT(ISBLANK(Audit[[#This Row],[Audit Losing Candidate]])), Audit[[#This Row],[Audit Losing Candidate]]-Audit[[#This Row],[Losing Candidate]], "")</f>
        <v/>
      </c>
      <c r="AG168" s="18" t="str">
        <f>IF(NOT(ISBLANK(Audit[[#This Row],[Audit Candidate 3]])), Audit[[#This Row],[Audit Candidate 3]]-Audit[[#This Row],[Candidate 3]], "")</f>
        <v/>
      </c>
      <c r="AH168" s="18" t="str">
        <f>IF(NOT(ISBLANK(Audit[[#This Row],[Audit Candidate 4]])),Audit[[#This Row],[Audit Candidate 4]]-Audit[[#This Row],[Candidate 4]], "")</f>
        <v/>
      </c>
      <c r="AI168" s="18" t="str">
        <f>IF(NOT(ISBLANK(Audit[[#This Row],[Audit Candidate 5]])), Audit[[#This Row],[Audit Candidate 5]]-Audit[[#This Row],[Candidate 5]], "")</f>
        <v/>
      </c>
      <c r="AJ168" s="18" t="str">
        <f>IF(NOT(ISBLANK(Audit[[#This Row],[Audit Candidate 6]])), Audit[[#This Row],[Audit Candidate 6]]-Audit[[#This Row],[Candidate 6]], "")</f>
        <v/>
      </c>
      <c r="AK168" s="18" t="str">
        <f>IF(NOT(ISBLANK(Audit[[#This Row],[Audit Candidate 7]])), Audit[[#This Row],[Audit Candidate 7]]-Audit[[#This Row],[Candidate 7]], "")</f>
        <v/>
      </c>
      <c r="AL168" s="18" t="str">
        <f>IF(NOT(ISBLANK(Audit[[#This Row],[Audit Candidate 8]])), Audit[[#This Row],[Audit Candidate 8]]-Audit[[#This Row],[Candidate 8]], "")</f>
        <v/>
      </c>
      <c r="AM168" s="18" t="str">
        <f>IF(NOT(ISBLANK(Audit[[#This Row],[Audit Candidate 9]])), Audit[[#This Row],[Audit Candidate 9]]-Audit[[#This Row],[Candidate 9]], "")</f>
        <v/>
      </c>
      <c r="AN168" s="18" t="str">
        <f>IF(NOT(ISBLANK(Audit[[#This Row],[Audit Candidate 10]])), Audit[[#This Row],[Audit Candidate 10]]-Audit[[#This Row],[Candidate 10]], "")</f>
        <v/>
      </c>
      <c r="AO168" s="18" t="str">
        <f>IF(NOT(ISBLANK(Audit[[#This Row],[Audit Candidate 11]])), Audit[[#This Row],[Audit Candidate 11]]-Audit[[#This Row],[Candidate 11]], "")</f>
        <v/>
      </c>
      <c r="AP168" s="18" t="str">
        <f>IF(NOT(ISBLANK(Audit[[#This Row],[Audit Candidate 12]])), Audit[[#This Row],[Audit Candidate 12]]-Audit[[#This Row],[Candidate 12]], "")</f>
        <v/>
      </c>
      <c r="AQ168" s="18">
        <f>SUMIF(Audit[[#This Row],[Difference Winner]:[Difference Candidate 12]], "&gt;0")</f>
        <v>0</v>
      </c>
      <c r="AR168" s="18">
        <f>SUM(Audit[[#This Row],[Difference Winner]:[Difference Candidate 12]])</f>
        <v>0</v>
      </c>
      <c r="AS168" s="18">
        <f>IF(Audit[[#This Row],[Times p Drawn - With Replacement]]&gt;0, IF(Audit[[#This Row],[Canceled Differences]]&lt;0, Audit[[#This Row],[Max Differences]]+ABS(Audit[[#This Row],[Canceled Differences]]), Audit[[#This Row],[Max Differences]]), 0)</f>
        <v>0</v>
      </c>
      <c r="AT168" s="18">
        <f>'Sampling Data'!AB168</f>
        <v>5.6537990388541635E-4</v>
      </c>
      <c r="AU168" s="18">
        <f>IF(
      SUM(Audit[[#This Row],[Audit Losing Candidate]:[Audit Candidate 12]])
      &lt;&gt;0,
      (Audit[[#This Row],[Winning Candidate]]-Audit[[#This Row],[Losing Candidate]]-(Audit[[#This Row],[Audit Winning Candidate]]-Audit[[#This Row],[Audit Losing Candidate]]))/(Audit[[#Totals],[Winning Candidate]]-Audit[[#Totals],[Losing Candidate]]),
      0
)</f>
        <v>0</v>
      </c>
      <c r="AV1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8">
        <f>IF(Audit[[#This Row],[Max Relative Error (ep)]] = 0, 0, Audit[[#This Row],[Max Relative Error (ep)]]/Audit[[#This Row],[Error Bound (up) - Max. possible relative overstatement]])</f>
        <v>0</v>
      </c>
      <c r="BH1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8" s="18">
        <f t="shared" si="3"/>
        <v>1</v>
      </c>
      <c r="BJ168" s="18">
        <f>PRODUCT($BI$5:BI168)</f>
        <v>1</v>
      </c>
      <c r="BK168" s="20">
        <f>1 - Audit[[#This Row],[K-M P Value]]</f>
        <v>0</v>
      </c>
      <c r="BL168" s="18" t="str">
        <f>IF(Audit[[#This Row],[K-M P Value]]&gt;1-'General Info'!$B$12,"Continue", "Stop")</f>
        <v>Continue</v>
      </c>
      <c r="BM168" s="23" t="b">
        <f>IF(Audit[[#This Row],[Status - Continue or stop audit]] = "Continue", TRUE, IF(BL167 = "Continue", TRUE, FALSE))</f>
        <v>1</v>
      </c>
      <c r="BN168" s="23"/>
    </row>
    <row r="169" spans="1:66" ht="15" hidden="1" customHeight="1" x14ac:dyDescent="0.35">
      <c r="A169" s="18" t="str">
        <f>'Sampling Data'!AI169</f>
        <v/>
      </c>
      <c r="B169" s="18" t="str">
        <f>'Sampling Data'!A169</f>
        <v>2506 CIN 25-F   (AV)</v>
      </c>
      <c r="C169" s="18">
        <f>'Sampling Data'!B169</f>
        <v>3</v>
      </c>
      <c r="D169" s="18">
        <f>'Sampling Data'!C169</f>
        <v>1</v>
      </c>
      <c r="E169" s="19">
        <f>'Sampling Data'!D169</f>
        <v>0</v>
      </c>
      <c r="F169" s="19">
        <f>'Sampling Data'!E169</f>
        <v>0</v>
      </c>
      <c r="G169" s="19">
        <f>'Sampling Data'!F169</f>
        <v>0</v>
      </c>
      <c r="H169" s="19">
        <f>'Sampling Data'!G169</f>
        <v>0</v>
      </c>
      <c r="I169" s="19">
        <f>'Sampling Data'!H169</f>
        <v>0</v>
      </c>
      <c r="J169" s="19">
        <f>'Sampling Data'!I169</f>
        <v>0</v>
      </c>
      <c r="K169" s="19">
        <f>'Sampling Data'!J169</f>
        <v>0</v>
      </c>
      <c r="L169" s="19">
        <f>'Sampling Data'!K169</f>
        <v>0</v>
      </c>
      <c r="M169" s="19">
        <f>'Sampling Data'!L169</f>
        <v>0</v>
      </c>
      <c r="N169" s="19">
        <f>'Sampling Data'!M169</f>
        <v>0</v>
      </c>
      <c r="O169" s="18">
        <f>'Sampling Data'!N169</f>
        <v>0</v>
      </c>
      <c r="P169" s="18">
        <f>'Sampling Data'!O169</f>
        <v>0</v>
      </c>
      <c r="Q169" s="18">
        <f>'Sampling Data'!P169</f>
        <v>4</v>
      </c>
      <c r="R169" s="18">
        <f>'Sampling Data'!AJ169</f>
        <v>0</v>
      </c>
      <c r="S169" s="112"/>
      <c r="T169" s="112"/>
      <c r="U169" s="113"/>
      <c r="V169" s="113"/>
      <c r="W169" s="112"/>
      <c r="X169" s="112"/>
      <c r="Y169" s="112"/>
      <c r="Z169" s="112"/>
      <c r="AA169" s="15"/>
      <c r="AB169" s="15"/>
      <c r="AC169" s="15"/>
      <c r="AD169" s="15"/>
      <c r="AE169" s="114" t="str">
        <f>IF(NOT(ISBLANK(Audit[[#This Row],[Audit Winning Candidate]])), Audit[[#This Row],[Audit Winning Candidate]]-Audit[[#This Row],[Winning Candidate]], "")</f>
        <v/>
      </c>
      <c r="AF169" s="18" t="str">
        <f>IF(NOT(ISBLANK(Audit[[#This Row],[Audit Losing Candidate]])), Audit[[#This Row],[Audit Losing Candidate]]-Audit[[#This Row],[Losing Candidate]], "")</f>
        <v/>
      </c>
      <c r="AG169" s="18" t="str">
        <f>IF(NOT(ISBLANK(Audit[[#This Row],[Audit Candidate 3]])), Audit[[#This Row],[Audit Candidate 3]]-Audit[[#This Row],[Candidate 3]], "")</f>
        <v/>
      </c>
      <c r="AH169" s="18" t="str">
        <f>IF(NOT(ISBLANK(Audit[[#This Row],[Audit Candidate 4]])),Audit[[#This Row],[Audit Candidate 4]]-Audit[[#This Row],[Candidate 4]], "")</f>
        <v/>
      </c>
      <c r="AI169" s="18" t="str">
        <f>IF(NOT(ISBLANK(Audit[[#This Row],[Audit Candidate 5]])), Audit[[#This Row],[Audit Candidate 5]]-Audit[[#This Row],[Candidate 5]], "")</f>
        <v/>
      </c>
      <c r="AJ169" s="18" t="str">
        <f>IF(NOT(ISBLANK(Audit[[#This Row],[Audit Candidate 6]])), Audit[[#This Row],[Audit Candidate 6]]-Audit[[#This Row],[Candidate 6]], "")</f>
        <v/>
      </c>
      <c r="AK169" s="18" t="str">
        <f>IF(NOT(ISBLANK(Audit[[#This Row],[Audit Candidate 7]])), Audit[[#This Row],[Audit Candidate 7]]-Audit[[#This Row],[Candidate 7]], "")</f>
        <v/>
      </c>
      <c r="AL169" s="18" t="str">
        <f>IF(NOT(ISBLANK(Audit[[#This Row],[Audit Candidate 8]])), Audit[[#This Row],[Audit Candidate 8]]-Audit[[#This Row],[Candidate 8]], "")</f>
        <v/>
      </c>
      <c r="AM169" s="18" t="str">
        <f>IF(NOT(ISBLANK(Audit[[#This Row],[Audit Candidate 9]])), Audit[[#This Row],[Audit Candidate 9]]-Audit[[#This Row],[Candidate 9]], "")</f>
        <v/>
      </c>
      <c r="AN169" s="18" t="str">
        <f>IF(NOT(ISBLANK(Audit[[#This Row],[Audit Candidate 10]])), Audit[[#This Row],[Audit Candidate 10]]-Audit[[#This Row],[Candidate 10]], "")</f>
        <v/>
      </c>
      <c r="AO169" s="18" t="str">
        <f>IF(NOT(ISBLANK(Audit[[#This Row],[Audit Candidate 11]])), Audit[[#This Row],[Audit Candidate 11]]-Audit[[#This Row],[Candidate 11]], "")</f>
        <v/>
      </c>
      <c r="AP169" s="18" t="str">
        <f>IF(NOT(ISBLANK(Audit[[#This Row],[Audit Candidate 12]])), Audit[[#This Row],[Audit Candidate 12]]-Audit[[#This Row],[Candidate 12]], "")</f>
        <v/>
      </c>
      <c r="AQ169" s="18">
        <f>SUMIF(Audit[[#This Row],[Difference Winner]:[Difference Candidate 12]], "&gt;0")</f>
        <v>0</v>
      </c>
      <c r="AR169" s="18">
        <f>SUM(Audit[[#This Row],[Difference Winner]:[Difference Candidate 12]])</f>
        <v>0</v>
      </c>
      <c r="AS169" s="18">
        <f>IF(Audit[[#This Row],[Times p Drawn - With Replacement]]&gt;0, IF(Audit[[#This Row],[Canceled Differences]]&lt;0, Audit[[#This Row],[Max Differences]]+ABS(Audit[[#This Row],[Canceled Differences]]), Audit[[#This Row],[Max Differences]]), 0)</f>
        <v>0</v>
      </c>
      <c r="AT169" s="18">
        <f>'Sampling Data'!AB169</f>
        <v>1.8845996796180544E-4</v>
      </c>
      <c r="AU169" s="18">
        <f>IF(
      SUM(Audit[[#This Row],[Audit Losing Candidate]:[Audit Candidate 12]])
      &lt;&gt;0,
      (Audit[[#This Row],[Winning Candidate]]-Audit[[#This Row],[Losing Candidate]]-(Audit[[#This Row],[Audit Winning Candidate]]-Audit[[#This Row],[Audit Losing Candidate]]))/(Audit[[#Totals],[Winning Candidate]]-Audit[[#Totals],[Losing Candidate]]),
      0
)</f>
        <v>0</v>
      </c>
      <c r="AV1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8">
        <f>IF(Audit[[#This Row],[Max Relative Error (ep)]] = 0, 0, Audit[[#This Row],[Max Relative Error (ep)]]/Audit[[#This Row],[Error Bound (up) - Max. possible relative overstatement]])</f>
        <v>0</v>
      </c>
      <c r="BH1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69" s="18">
        <f t="shared" si="3"/>
        <v>1</v>
      </c>
      <c r="BJ169" s="18">
        <f>PRODUCT($BI$5:BI169)</f>
        <v>1</v>
      </c>
      <c r="BK169" s="20">
        <f>1 - Audit[[#This Row],[K-M P Value]]</f>
        <v>0</v>
      </c>
      <c r="BL169" s="18" t="str">
        <f>IF(Audit[[#This Row],[K-M P Value]]&gt;1-'General Info'!$B$12,"Continue", "Stop")</f>
        <v>Continue</v>
      </c>
      <c r="BM169" s="23" t="b">
        <f>IF(Audit[[#This Row],[Status - Continue or stop audit]] = "Continue", TRUE, IF(BL168 = "Continue", TRUE, FALSE))</f>
        <v>1</v>
      </c>
      <c r="BN169" s="23"/>
    </row>
    <row r="170" spans="1:66" ht="15" hidden="1" customHeight="1" x14ac:dyDescent="0.35">
      <c r="A170" s="18" t="str">
        <f>'Sampling Data'!AI170</f>
        <v/>
      </c>
      <c r="B170" s="18" t="str">
        <f>'Sampling Data'!A170</f>
        <v>2507 CIN 25-G   (AV)</v>
      </c>
      <c r="C170" s="18">
        <f>'Sampling Data'!B170</f>
        <v>2</v>
      </c>
      <c r="D170" s="18">
        <f>'Sampling Data'!C170</f>
        <v>0</v>
      </c>
      <c r="E170" s="19">
        <f>'Sampling Data'!D170</f>
        <v>0</v>
      </c>
      <c r="F170" s="19">
        <f>'Sampling Data'!E170</f>
        <v>0</v>
      </c>
      <c r="G170" s="19">
        <f>'Sampling Data'!F170</f>
        <v>0</v>
      </c>
      <c r="H170" s="19">
        <f>'Sampling Data'!G170</f>
        <v>0</v>
      </c>
      <c r="I170" s="19">
        <f>'Sampling Data'!H170</f>
        <v>0</v>
      </c>
      <c r="J170" s="19">
        <f>'Sampling Data'!I170</f>
        <v>0</v>
      </c>
      <c r="K170" s="19">
        <f>'Sampling Data'!J170</f>
        <v>0</v>
      </c>
      <c r="L170" s="19">
        <f>'Sampling Data'!K170</f>
        <v>0</v>
      </c>
      <c r="M170" s="19">
        <f>'Sampling Data'!L170</f>
        <v>0</v>
      </c>
      <c r="N170" s="19">
        <f>'Sampling Data'!M170</f>
        <v>0</v>
      </c>
      <c r="O170" s="18">
        <f>'Sampling Data'!N170</f>
        <v>0</v>
      </c>
      <c r="P170" s="18">
        <f>'Sampling Data'!O170</f>
        <v>0</v>
      </c>
      <c r="Q170" s="18">
        <f>'Sampling Data'!P170</f>
        <v>2</v>
      </c>
      <c r="R170" s="18">
        <f>'Sampling Data'!AJ170</f>
        <v>0</v>
      </c>
      <c r="S170" s="112"/>
      <c r="T170" s="112"/>
      <c r="U170" s="113"/>
      <c r="V170" s="113"/>
      <c r="W170" s="112"/>
      <c r="X170" s="112"/>
      <c r="Y170" s="112"/>
      <c r="Z170" s="112"/>
      <c r="AA170" s="15"/>
      <c r="AB170" s="15"/>
      <c r="AC170" s="15"/>
      <c r="AD170" s="15"/>
      <c r="AE170" s="114" t="str">
        <f>IF(NOT(ISBLANK(Audit[[#This Row],[Audit Winning Candidate]])), Audit[[#This Row],[Audit Winning Candidate]]-Audit[[#This Row],[Winning Candidate]], "")</f>
        <v/>
      </c>
      <c r="AF170" s="18" t="str">
        <f>IF(NOT(ISBLANK(Audit[[#This Row],[Audit Losing Candidate]])), Audit[[#This Row],[Audit Losing Candidate]]-Audit[[#This Row],[Losing Candidate]], "")</f>
        <v/>
      </c>
      <c r="AG170" s="18" t="str">
        <f>IF(NOT(ISBLANK(Audit[[#This Row],[Audit Candidate 3]])), Audit[[#This Row],[Audit Candidate 3]]-Audit[[#This Row],[Candidate 3]], "")</f>
        <v/>
      </c>
      <c r="AH170" s="18" t="str">
        <f>IF(NOT(ISBLANK(Audit[[#This Row],[Audit Candidate 4]])),Audit[[#This Row],[Audit Candidate 4]]-Audit[[#This Row],[Candidate 4]], "")</f>
        <v/>
      </c>
      <c r="AI170" s="18" t="str">
        <f>IF(NOT(ISBLANK(Audit[[#This Row],[Audit Candidate 5]])), Audit[[#This Row],[Audit Candidate 5]]-Audit[[#This Row],[Candidate 5]], "")</f>
        <v/>
      </c>
      <c r="AJ170" s="18" t="str">
        <f>IF(NOT(ISBLANK(Audit[[#This Row],[Audit Candidate 6]])), Audit[[#This Row],[Audit Candidate 6]]-Audit[[#This Row],[Candidate 6]], "")</f>
        <v/>
      </c>
      <c r="AK170" s="18" t="str">
        <f>IF(NOT(ISBLANK(Audit[[#This Row],[Audit Candidate 7]])), Audit[[#This Row],[Audit Candidate 7]]-Audit[[#This Row],[Candidate 7]], "")</f>
        <v/>
      </c>
      <c r="AL170" s="18" t="str">
        <f>IF(NOT(ISBLANK(Audit[[#This Row],[Audit Candidate 8]])), Audit[[#This Row],[Audit Candidate 8]]-Audit[[#This Row],[Candidate 8]], "")</f>
        <v/>
      </c>
      <c r="AM170" s="18" t="str">
        <f>IF(NOT(ISBLANK(Audit[[#This Row],[Audit Candidate 9]])), Audit[[#This Row],[Audit Candidate 9]]-Audit[[#This Row],[Candidate 9]], "")</f>
        <v/>
      </c>
      <c r="AN170" s="18" t="str">
        <f>IF(NOT(ISBLANK(Audit[[#This Row],[Audit Candidate 10]])), Audit[[#This Row],[Audit Candidate 10]]-Audit[[#This Row],[Candidate 10]], "")</f>
        <v/>
      </c>
      <c r="AO170" s="18" t="str">
        <f>IF(NOT(ISBLANK(Audit[[#This Row],[Audit Candidate 11]])), Audit[[#This Row],[Audit Candidate 11]]-Audit[[#This Row],[Candidate 11]], "")</f>
        <v/>
      </c>
      <c r="AP170" s="18" t="str">
        <f>IF(NOT(ISBLANK(Audit[[#This Row],[Audit Candidate 12]])), Audit[[#This Row],[Audit Candidate 12]]-Audit[[#This Row],[Candidate 12]], "")</f>
        <v/>
      </c>
      <c r="AQ170" s="18">
        <f>SUMIF(Audit[[#This Row],[Difference Winner]:[Difference Candidate 12]], "&gt;0")</f>
        <v>0</v>
      </c>
      <c r="AR170" s="18">
        <f>SUM(Audit[[#This Row],[Difference Winner]:[Difference Candidate 12]])</f>
        <v>0</v>
      </c>
      <c r="AS170" s="18">
        <f>IF(Audit[[#This Row],[Times p Drawn - With Replacement]]&gt;0, IF(Audit[[#This Row],[Canceled Differences]]&lt;0, Audit[[#This Row],[Max Differences]]+ABS(Audit[[#This Row],[Canceled Differences]]), Audit[[#This Row],[Max Differences]]), 0)</f>
        <v>0</v>
      </c>
      <c r="AT170" s="18">
        <f>'Sampling Data'!AB170</f>
        <v>1.2563997864120362E-4</v>
      </c>
      <c r="AU170" s="18">
        <f>IF(
      SUM(Audit[[#This Row],[Audit Losing Candidate]:[Audit Candidate 12]])
      &lt;&gt;0,
      (Audit[[#This Row],[Winning Candidate]]-Audit[[#This Row],[Losing Candidate]]-(Audit[[#This Row],[Audit Winning Candidate]]-Audit[[#This Row],[Audit Losing Candidate]]))/(Audit[[#Totals],[Winning Candidate]]-Audit[[#Totals],[Losing Candidate]]),
      0
)</f>
        <v>0</v>
      </c>
      <c r="AV1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8">
        <f>IF(Audit[[#This Row],[Max Relative Error (ep)]] = 0, 0, Audit[[#This Row],[Max Relative Error (ep)]]/Audit[[#This Row],[Error Bound (up) - Max. possible relative overstatement]])</f>
        <v>0</v>
      </c>
      <c r="BH1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0" s="18">
        <f t="shared" si="3"/>
        <v>1</v>
      </c>
      <c r="BJ170" s="18">
        <f>PRODUCT($BI$5:BI170)</f>
        <v>1</v>
      </c>
      <c r="BK170" s="20">
        <f>1 - Audit[[#This Row],[K-M P Value]]</f>
        <v>0</v>
      </c>
      <c r="BL170" s="18" t="str">
        <f>IF(Audit[[#This Row],[K-M P Value]]&gt;1-'General Info'!$B$12,"Continue", "Stop")</f>
        <v>Continue</v>
      </c>
      <c r="BM170" s="23" t="b">
        <f>IF(Audit[[#This Row],[Status - Continue or stop audit]] = "Continue", TRUE, IF(BL169 = "Continue", TRUE, FALSE))</f>
        <v>1</v>
      </c>
      <c r="BN170" s="23"/>
    </row>
    <row r="171" spans="1:66" ht="15" hidden="1" customHeight="1" x14ac:dyDescent="0.35">
      <c r="A171" s="18" t="str">
        <f>'Sampling Data'!AI171</f>
        <v/>
      </c>
      <c r="B171" s="18" t="str">
        <f>'Sampling Data'!A171</f>
        <v>2508 CIN 25-H   (AV)</v>
      </c>
      <c r="C171" s="18">
        <f>'Sampling Data'!B171</f>
        <v>2</v>
      </c>
      <c r="D171" s="18">
        <f>'Sampling Data'!C171</f>
        <v>1</v>
      </c>
      <c r="E171" s="19">
        <f>'Sampling Data'!D171</f>
        <v>0</v>
      </c>
      <c r="F171" s="19">
        <f>'Sampling Data'!E171</f>
        <v>0</v>
      </c>
      <c r="G171" s="19">
        <f>'Sampling Data'!F171</f>
        <v>0</v>
      </c>
      <c r="H171" s="19">
        <f>'Sampling Data'!G171</f>
        <v>0</v>
      </c>
      <c r="I171" s="19">
        <f>'Sampling Data'!H171</f>
        <v>0</v>
      </c>
      <c r="J171" s="19">
        <f>'Sampling Data'!I171</f>
        <v>0</v>
      </c>
      <c r="K171" s="19">
        <f>'Sampling Data'!J171</f>
        <v>0</v>
      </c>
      <c r="L171" s="19">
        <f>'Sampling Data'!K171</f>
        <v>0</v>
      </c>
      <c r="M171" s="19">
        <f>'Sampling Data'!L171</f>
        <v>0</v>
      </c>
      <c r="N171" s="19">
        <f>'Sampling Data'!M171</f>
        <v>0</v>
      </c>
      <c r="O171" s="18">
        <f>'Sampling Data'!N171</f>
        <v>0</v>
      </c>
      <c r="P171" s="18">
        <f>'Sampling Data'!O171</f>
        <v>0</v>
      </c>
      <c r="Q171" s="18">
        <f>'Sampling Data'!P171</f>
        <v>3</v>
      </c>
      <c r="R171" s="18">
        <f>'Sampling Data'!AJ171</f>
        <v>0</v>
      </c>
      <c r="S171" s="112"/>
      <c r="T171" s="112"/>
      <c r="U171" s="113"/>
      <c r="V171" s="113"/>
      <c r="W171" s="112"/>
      <c r="X171" s="112"/>
      <c r="Y171" s="112"/>
      <c r="Z171" s="112"/>
      <c r="AA171" s="15"/>
      <c r="AB171" s="15"/>
      <c r="AC171" s="15"/>
      <c r="AD171" s="15"/>
      <c r="AE171" s="114" t="str">
        <f>IF(NOT(ISBLANK(Audit[[#This Row],[Audit Winning Candidate]])), Audit[[#This Row],[Audit Winning Candidate]]-Audit[[#This Row],[Winning Candidate]], "")</f>
        <v/>
      </c>
      <c r="AF171" s="18" t="str">
        <f>IF(NOT(ISBLANK(Audit[[#This Row],[Audit Losing Candidate]])), Audit[[#This Row],[Audit Losing Candidate]]-Audit[[#This Row],[Losing Candidate]], "")</f>
        <v/>
      </c>
      <c r="AG171" s="18" t="str">
        <f>IF(NOT(ISBLANK(Audit[[#This Row],[Audit Candidate 3]])), Audit[[#This Row],[Audit Candidate 3]]-Audit[[#This Row],[Candidate 3]], "")</f>
        <v/>
      </c>
      <c r="AH171" s="18" t="str">
        <f>IF(NOT(ISBLANK(Audit[[#This Row],[Audit Candidate 4]])),Audit[[#This Row],[Audit Candidate 4]]-Audit[[#This Row],[Candidate 4]], "")</f>
        <v/>
      </c>
      <c r="AI171" s="18" t="str">
        <f>IF(NOT(ISBLANK(Audit[[#This Row],[Audit Candidate 5]])), Audit[[#This Row],[Audit Candidate 5]]-Audit[[#This Row],[Candidate 5]], "")</f>
        <v/>
      </c>
      <c r="AJ171" s="18" t="str">
        <f>IF(NOT(ISBLANK(Audit[[#This Row],[Audit Candidate 6]])), Audit[[#This Row],[Audit Candidate 6]]-Audit[[#This Row],[Candidate 6]], "")</f>
        <v/>
      </c>
      <c r="AK171" s="18" t="str">
        <f>IF(NOT(ISBLANK(Audit[[#This Row],[Audit Candidate 7]])), Audit[[#This Row],[Audit Candidate 7]]-Audit[[#This Row],[Candidate 7]], "")</f>
        <v/>
      </c>
      <c r="AL171" s="18" t="str">
        <f>IF(NOT(ISBLANK(Audit[[#This Row],[Audit Candidate 8]])), Audit[[#This Row],[Audit Candidate 8]]-Audit[[#This Row],[Candidate 8]], "")</f>
        <v/>
      </c>
      <c r="AM171" s="18" t="str">
        <f>IF(NOT(ISBLANK(Audit[[#This Row],[Audit Candidate 9]])), Audit[[#This Row],[Audit Candidate 9]]-Audit[[#This Row],[Candidate 9]], "")</f>
        <v/>
      </c>
      <c r="AN171" s="18" t="str">
        <f>IF(NOT(ISBLANK(Audit[[#This Row],[Audit Candidate 10]])), Audit[[#This Row],[Audit Candidate 10]]-Audit[[#This Row],[Candidate 10]], "")</f>
        <v/>
      </c>
      <c r="AO171" s="18" t="str">
        <f>IF(NOT(ISBLANK(Audit[[#This Row],[Audit Candidate 11]])), Audit[[#This Row],[Audit Candidate 11]]-Audit[[#This Row],[Candidate 11]], "")</f>
        <v/>
      </c>
      <c r="AP171" s="18" t="str">
        <f>IF(NOT(ISBLANK(Audit[[#This Row],[Audit Candidate 12]])), Audit[[#This Row],[Audit Candidate 12]]-Audit[[#This Row],[Candidate 12]], "")</f>
        <v/>
      </c>
      <c r="AQ171" s="18">
        <f>SUMIF(Audit[[#This Row],[Difference Winner]:[Difference Candidate 12]], "&gt;0")</f>
        <v>0</v>
      </c>
      <c r="AR171" s="18">
        <f>SUM(Audit[[#This Row],[Difference Winner]:[Difference Candidate 12]])</f>
        <v>0</v>
      </c>
      <c r="AS171" s="18">
        <f>IF(Audit[[#This Row],[Times p Drawn - With Replacement]]&gt;0, IF(Audit[[#This Row],[Canceled Differences]]&lt;0, Audit[[#This Row],[Max Differences]]+ABS(Audit[[#This Row],[Canceled Differences]]), Audit[[#This Row],[Max Differences]]), 0)</f>
        <v>0</v>
      </c>
      <c r="AT171" s="18">
        <f>'Sampling Data'!AB171</f>
        <v>1.2563997864120362E-4</v>
      </c>
      <c r="AU171" s="18">
        <f>IF(
      SUM(Audit[[#This Row],[Audit Losing Candidate]:[Audit Candidate 12]])
      &lt;&gt;0,
      (Audit[[#This Row],[Winning Candidate]]-Audit[[#This Row],[Losing Candidate]]-(Audit[[#This Row],[Audit Winning Candidate]]-Audit[[#This Row],[Audit Losing Candidate]]))/(Audit[[#Totals],[Winning Candidate]]-Audit[[#Totals],[Losing Candidate]]),
      0
)</f>
        <v>0</v>
      </c>
      <c r="AV1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8">
        <f>IF(Audit[[#This Row],[Max Relative Error (ep)]] = 0, 0, Audit[[#This Row],[Max Relative Error (ep)]]/Audit[[#This Row],[Error Bound (up) - Max. possible relative overstatement]])</f>
        <v>0</v>
      </c>
      <c r="BH1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1" s="18">
        <f t="shared" si="3"/>
        <v>1</v>
      </c>
      <c r="BJ171" s="18">
        <f>PRODUCT($BI$5:BI171)</f>
        <v>1</v>
      </c>
      <c r="BK171" s="20">
        <f>1 - Audit[[#This Row],[K-M P Value]]</f>
        <v>0</v>
      </c>
      <c r="BL171" s="18" t="str">
        <f>IF(Audit[[#This Row],[K-M P Value]]&gt;1-'General Info'!$B$12,"Continue", "Stop")</f>
        <v>Continue</v>
      </c>
      <c r="BM171" s="23" t="b">
        <f>IF(Audit[[#This Row],[Status - Continue or stop audit]] = "Continue", TRUE, IF(BL170 = "Continue", TRUE, FALSE))</f>
        <v>1</v>
      </c>
      <c r="BN171" s="23"/>
    </row>
    <row r="172" spans="1:66" ht="15" hidden="1" customHeight="1" x14ac:dyDescent="0.35">
      <c r="A172" s="18" t="str">
        <f>'Sampling Data'!AI172</f>
        <v/>
      </c>
      <c r="B172" s="18" t="str">
        <f>'Sampling Data'!A172</f>
        <v>2509 CIN 25-I   (AV)</v>
      </c>
      <c r="C172" s="18">
        <f>'Sampling Data'!B172</f>
        <v>5</v>
      </c>
      <c r="D172" s="18">
        <f>'Sampling Data'!C172</f>
        <v>0</v>
      </c>
      <c r="E172" s="19">
        <f>'Sampling Data'!D172</f>
        <v>0</v>
      </c>
      <c r="F172" s="19">
        <f>'Sampling Data'!E172</f>
        <v>0</v>
      </c>
      <c r="G172" s="19">
        <f>'Sampling Data'!F172</f>
        <v>0</v>
      </c>
      <c r="H172" s="19">
        <f>'Sampling Data'!G172</f>
        <v>0</v>
      </c>
      <c r="I172" s="19">
        <f>'Sampling Data'!H172</f>
        <v>0</v>
      </c>
      <c r="J172" s="19">
        <f>'Sampling Data'!I172</f>
        <v>0</v>
      </c>
      <c r="K172" s="19">
        <f>'Sampling Data'!J172</f>
        <v>0</v>
      </c>
      <c r="L172" s="19">
        <f>'Sampling Data'!K172</f>
        <v>0</v>
      </c>
      <c r="M172" s="19">
        <f>'Sampling Data'!L172</f>
        <v>0</v>
      </c>
      <c r="N172" s="19">
        <f>'Sampling Data'!M172</f>
        <v>0</v>
      </c>
      <c r="O172" s="18">
        <f>'Sampling Data'!N172</f>
        <v>0</v>
      </c>
      <c r="P172" s="18">
        <f>'Sampling Data'!O172</f>
        <v>0</v>
      </c>
      <c r="Q172" s="18">
        <f>'Sampling Data'!P172</f>
        <v>5</v>
      </c>
      <c r="R172" s="18">
        <f>'Sampling Data'!AJ172</f>
        <v>0</v>
      </c>
      <c r="S172" s="112"/>
      <c r="T172" s="112"/>
      <c r="U172" s="113"/>
      <c r="V172" s="113"/>
      <c r="W172" s="112"/>
      <c r="X172" s="112"/>
      <c r="Y172" s="112"/>
      <c r="Z172" s="112"/>
      <c r="AA172" s="15"/>
      <c r="AB172" s="15"/>
      <c r="AC172" s="15"/>
      <c r="AD172" s="15"/>
      <c r="AE172" s="114" t="str">
        <f>IF(NOT(ISBLANK(Audit[[#This Row],[Audit Winning Candidate]])), Audit[[#This Row],[Audit Winning Candidate]]-Audit[[#This Row],[Winning Candidate]], "")</f>
        <v/>
      </c>
      <c r="AF172" s="18" t="str">
        <f>IF(NOT(ISBLANK(Audit[[#This Row],[Audit Losing Candidate]])), Audit[[#This Row],[Audit Losing Candidate]]-Audit[[#This Row],[Losing Candidate]], "")</f>
        <v/>
      </c>
      <c r="AG172" s="18" t="str">
        <f>IF(NOT(ISBLANK(Audit[[#This Row],[Audit Candidate 3]])), Audit[[#This Row],[Audit Candidate 3]]-Audit[[#This Row],[Candidate 3]], "")</f>
        <v/>
      </c>
      <c r="AH172" s="18" t="str">
        <f>IF(NOT(ISBLANK(Audit[[#This Row],[Audit Candidate 4]])),Audit[[#This Row],[Audit Candidate 4]]-Audit[[#This Row],[Candidate 4]], "")</f>
        <v/>
      </c>
      <c r="AI172" s="18" t="str">
        <f>IF(NOT(ISBLANK(Audit[[#This Row],[Audit Candidate 5]])), Audit[[#This Row],[Audit Candidate 5]]-Audit[[#This Row],[Candidate 5]], "")</f>
        <v/>
      </c>
      <c r="AJ172" s="18" t="str">
        <f>IF(NOT(ISBLANK(Audit[[#This Row],[Audit Candidate 6]])), Audit[[#This Row],[Audit Candidate 6]]-Audit[[#This Row],[Candidate 6]], "")</f>
        <v/>
      </c>
      <c r="AK172" s="18" t="str">
        <f>IF(NOT(ISBLANK(Audit[[#This Row],[Audit Candidate 7]])), Audit[[#This Row],[Audit Candidate 7]]-Audit[[#This Row],[Candidate 7]], "")</f>
        <v/>
      </c>
      <c r="AL172" s="18" t="str">
        <f>IF(NOT(ISBLANK(Audit[[#This Row],[Audit Candidate 8]])), Audit[[#This Row],[Audit Candidate 8]]-Audit[[#This Row],[Candidate 8]], "")</f>
        <v/>
      </c>
      <c r="AM172" s="18" t="str">
        <f>IF(NOT(ISBLANK(Audit[[#This Row],[Audit Candidate 9]])), Audit[[#This Row],[Audit Candidate 9]]-Audit[[#This Row],[Candidate 9]], "")</f>
        <v/>
      </c>
      <c r="AN172" s="18" t="str">
        <f>IF(NOT(ISBLANK(Audit[[#This Row],[Audit Candidate 10]])), Audit[[#This Row],[Audit Candidate 10]]-Audit[[#This Row],[Candidate 10]], "")</f>
        <v/>
      </c>
      <c r="AO172" s="18" t="str">
        <f>IF(NOT(ISBLANK(Audit[[#This Row],[Audit Candidate 11]])), Audit[[#This Row],[Audit Candidate 11]]-Audit[[#This Row],[Candidate 11]], "")</f>
        <v/>
      </c>
      <c r="AP172" s="18" t="str">
        <f>IF(NOT(ISBLANK(Audit[[#This Row],[Audit Candidate 12]])), Audit[[#This Row],[Audit Candidate 12]]-Audit[[#This Row],[Candidate 12]], "")</f>
        <v/>
      </c>
      <c r="AQ172" s="18">
        <f>SUMIF(Audit[[#This Row],[Difference Winner]:[Difference Candidate 12]], "&gt;0")</f>
        <v>0</v>
      </c>
      <c r="AR172" s="18">
        <f>SUM(Audit[[#This Row],[Difference Winner]:[Difference Candidate 12]])</f>
        <v>0</v>
      </c>
      <c r="AS172" s="18">
        <f>IF(Audit[[#This Row],[Times p Drawn - With Replacement]]&gt;0, IF(Audit[[#This Row],[Canceled Differences]]&lt;0, Audit[[#This Row],[Max Differences]]+ABS(Audit[[#This Row],[Canceled Differences]]), Audit[[#This Row],[Max Differences]]), 0)</f>
        <v>0</v>
      </c>
      <c r="AT172" s="18">
        <f>'Sampling Data'!AB172</f>
        <v>3.1409994660300906E-4</v>
      </c>
      <c r="AU172" s="18">
        <f>IF(
      SUM(Audit[[#This Row],[Audit Losing Candidate]:[Audit Candidate 12]])
      &lt;&gt;0,
      (Audit[[#This Row],[Winning Candidate]]-Audit[[#This Row],[Losing Candidate]]-(Audit[[#This Row],[Audit Winning Candidate]]-Audit[[#This Row],[Audit Losing Candidate]]))/(Audit[[#Totals],[Winning Candidate]]-Audit[[#Totals],[Losing Candidate]]),
      0
)</f>
        <v>0</v>
      </c>
      <c r="AV1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8">
        <f>IF(Audit[[#This Row],[Max Relative Error (ep)]] = 0, 0, Audit[[#This Row],[Max Relative Error (ep)]]/Audit[[#This Row],[Error Bound (up) - Max. possible relative overstatement]])</f>
        <v>0</v>
      </c>
      <c r="BH1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2" s="18">
        <f t="shared" si="3"/>
        <v>1</v>
      </c>
      <c r="BJ172" s="18">
        <f>PRODUCT($BI$5:BI172)</f>
        <v>1</v>
      </c>
      <c r="BK172" s="20">
        <f>1 - Audit[[#This Row],[K-M P Value]]</f>
        <v>0</v>
      </c>
      <c r="BL172" s="18" t="str">
        <f>IF(Audit[[#This Row],[K-M P Value]]&gt;1-'General Info'!$B$12,"Continue", "Stop")</f>
        <v>Continue</v>
      </c>
      <c r="BM172" s="23" t="b">
        <f>IF(Audit[[#This Row],[Status - Continue or stop audit]] = "Continue", TRUE, IF(BL171 = "Continue", TRUE, FALSE))</f>
        <v>1</v>
      </c>
      <c r="BN172" s="23"/>
    </row>
    <row r="173" spans="1:66" ht="15" hidden="1" customHeight="1" x14ac:dyDescent="0.35">
      <c r="A173" s="18" t="str">
        <f>'Sampling Data'!AI173</f>
        <v/>
      </c>
      <c r="B173" s="18" t="str">
        <f>'Sampling Data'!A173</f>
        <v>2510 CIN 25-J   (AV)</v>
      </c>
      <c r="C173" s="18">
        <f>'Sampling Data'!B173</f>
        <v>3</v>
      </c>
      <c r="D173" s="18">
        <f>'Sampling Data'!C173</f>
        <v>0</v>
      </c>
      <c r="E173" s="19">
        <f>'Sampling Data'!D173</f>
        <v>0</v>
      </c>
      <c r="F173" s="19">
        <f>'Sampling Data'!E173</f>
        <v>0</v>
      </c>
      <c r="G173" s="19">
        <f>'Sampling Data'!F173</f>
        <v>0</v>
      </c>
      <c r="H173" s="19">
        <f>'Sampling Data'!G173</f>
        <v>0</v>
      </c>
      <c r="I173" s="19">
        <f>'Sampling Data'!H173</f>
        <v>0</v>
      </c>
      <c r="J173" s="19">
        <f>'Sampling Data'!I173</f>
        <v>0</v>
      </c>
      <c r="K173" s="19">
        <f>'Sampling Data'!J173</f>
        <v>0</v>
      </c>
      <c r="L173" s="19">
        <f>'Sampling Data'!K173</f>
        <v>0</v>
      </c>
      <c r="M173" s="19">
        <f>'Sampling Data'!L173</f>
        <v>0</v>
      </c>
      <c r="N173" s="19">
        <f>'Sampling Data'!M173</f>
        <v>0</v>
      </c>
      <c r="O173" s="18">
        <f>'Sampling Data'!N173</f>
        <v>0</v>
      </c>
      <c r="P173" s="18">
        <f>'Sampling Data'!O173</f>
        <v>0</v>
      </c>
      <c r="Q173" s="18">
        <f>'Sampling Data'!P173</f>
        <v>3</v>
      </c>
      <c r="R173" s="18">
        <f>'Sampling Data'!AJ173</f>
        <v>0</v>
      </c>
      <c r="S173" s="112"/>
      <c r="T173" s="112"/>
      <c r="U173" s="113"/>
      <c r="V173" s="113"/>
      <c r="W173" s="112"/>
      <c r="X173" s="112"/>
      <c r="Y173" s="112"/>
      <c r="Z173" s="112"/>
      <c r="AA173" s="15"/>
      <c r="AB173" s="15"/>
      <c r="AC173" s="15"/>
      <c r="AD173" s="15"/>
      <c r="AE173" s="114" t="str">
        <f>IF(NOT(ISBLANK(Audit[[#This Row],[Audit Winning Candidate]])), Audit[[#This Row],[Audit Winning Candidate]]-Audit[[#This Row],[Winning Candidate]], "")</f>
        <v/>
      </c>
      <c r="AF173" s="18" t="str">
        <f>IF(NOT(ISBLANK(Audit[[#This Row],[Audit Losing Candidate]])), Audit[[#This Row],[Audit Losing Candidate]]-Audit[[#This Row],[Losing Candidate]], "")</f>
        <v/>
      </c>
      <c r="AG173" s="18" t="str">
        <f>IF(NOT(ISBLANK(Audit[[#This Row],[Audit Candidate 3]])), Audit[[#This Row],[Audit Candidate 3]]-Audit[[#This Row],[Candidate 3]], "")</f>
        <v/>
      </c>
      <c r="AH173" s="18" t="str">
        <f>IF(NOT(ISBLANK(Audit[[#This Row],[Audit Candidate 4]])),Audit[[#This Row],[Audit Candidate 4]]-Audit[[#This Row],[Candidate 4]], "")</f>
        <v/>
      </c>
      <c r="AI173" s="18" t="str">
        <f>IF(NOT(ISBLANK(Audit[[#This Row],[Audit Candidate 5]])), Audit[[#This Row],[Audit Candidate 5]]-Audit[[#This Row],[Candidate 5]], "")</f>
        <v/>
      </c>
      <c r="AJ173" s="18" t="str">
        <f>IF(NOT(ISBLANK(Audit[[#This Row],[Audit Candidate 6]])), Audit[[#This Row],[Audit Candidate 6]]-Audit[[#This Row],[Candidate 6]], "")</f>
        <v/>
      </c>
      <c r="AK173" s="18" t="str">
        <f>IF(NOT(ISBLANK(Audit[[#This Row],[Audit Candidate 7]])), Audit[[#This Row],[Audit Candidate 7]]-Audit[[#This Row],[Candidate 7]], "")</f>
        <v/>
      </c>
      <c r="AL173" s="18" t="str">
        <f>IF(NOT(ISBLANK(Audit[[#This Row],[Audit Candidate 8]])), Audit[[#This Row],[Audit Candidate 8]]-Audit[[#This Row],[Candidate 8]], "")</f>
        <v/>
      </c>
      <c r="AM173" s="18" t="str">
        <f>IF(NOT(ISBLANK(Audit[[#This Row],[Audit Candidate 9]])), Audit[[#This Row],[Audit Candidate 9]]-Audit[[#This Row],[Candidate 9]], "")</f>
        <v/>
      </c>
      <c r="AN173" s="18" t="str">
        <f>IF(NOT(ISBLANK(Audit[[#This Row],[Audit Candidate 10]])), Audit[[#This Row],[Audit Candidate 10]]-Audit[[#This Row],[Candidate 10]], "")</f>
        <v/>
      </c>
      <c r="AO173" s="18" t="str">
        <f>IF(NOT(ISBLANK(Audit[[#This Row],[Audit Candidate 11]])), Audit[[#This Row],[Audit Candidate 11]]-Audit[[#This Row],[Candidate 11]], "")</f>
        <v/>
      </c>
      <c r="AP173" s="18" t="str">
        <f>IF(NOT(ISBLANK(Audit[[#This Row],[Audit Candidate 12]])), Audit[[#This Row],[Audit Candidate 12]]-Audit[[#This Row],[Candidate 12]], "")</f>
        <v/>
      </c>
      <c r="AQ173" s="18">
        <f>SUMIF(Audit[[#This Row],[Difference Winner]:[Difference Candidate 12]], "&gt;0")</f>
        <v>0</v>
      </c>
      <c r="AR173" s="18">
        <f>SUM(Audit[[#This Row],[Difference Winner]:[Difference Candidate 12]])</f>
        <v>0</v>
      </c>
      <c r="AS173" s="18">
        <f>IF(Audit[[#This Row],[Times p Drawn - With Replacement]]&gt;0, IF(Audit[[#This Row],[Canceled Differences]]&lt;0, Audit[[#This Row],[Max Differences]]+ABS(Audit[[#This Row],[Canceled Differences]]), Audit[[#This Row],[Max Differences]]), 0)</f>
        <v>0</v>
      </c>
      <c r="AT173" s="18">
        <f>'Sampling Data'!AB173</f>
        <v>1.8845996796180544E-4</v>
      </c>
      <c r="AU173" s="18">
        <f>IF(
      SUM(Audit[[#This Row],[Audit Losing Candidate]:[Audit Candidate 12]])
      &lt;&gt;0,
      (Audit[[#This Row],[Winning Candidate]]-Audit[[#This Row],[Losing Candidate]]-(Audit[[#This Row],[Audit Winning Candidate]]-Audit[[#This Row],[Audit Losing Candidate]]))/(Audit[[#Totals],[Winning Candidate]]-Audit[[#Totals],[Losing Candidate]]),
      0
)</f>
        <v>0</v>
      </c>
      <c r="AV1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8">
        <f>IF(Audit[[#This Row],[Max Relative Error (ep)]] = 0, 0, Audit[[#This Row],[Max Relative Error (ep)]]/Audit[[#This Row],[Error Bound (up) - Max. possible relative overstatement]])</f>
        <v>0</v>
      </c>
      <c r="BH1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3" s="18">
        <f t="shared" si="3"/>
        <v>1</v>
      </c>
      <c r="BJ173" s="18">
        <f>PRODUCT($BI$5:BI173)</f>
        <v>1</v>
      </c>
      <c r="BK173" s="20">
        <f>1 - Audit[[#This Row],[K-M P Value]]</f>
        <v>0</v>
      </c>
      <c r="BL173" s="18" t="str">
        <f>IF(Audit[[#This Row],[K-M P Value]]&gt;1-'General Info'!$B$12,"Continue", "Stop")</f>
        <v>Continue</v>
      </c>
      <c r="BM173" s="23" t="b">
        <f>IF(Audit[[#This Row],[Status - Continue or stop audit]] = "Continue", TRUE, IF(BL172 = "Continue", TRUE, FALSE))</f>
        <v>1</v>
      </c>
      <c r="BN173" s="23"/>
    </row>
    <row r="174" spans="1:66" ht="15" hidden="1" customHeight="1" x14ac:dyDescent="0.35">
      <c r="A174" s="18" t="str">
        <f>'Sampling Data'!AI174</f>
        <v/>
      </c>
      <c r="B174" s="18" t="str">
        <f>'Sampling Data'!A174</f>
        <v>2511 CIN 25-K   (AV)</v>
      </c>
      <c r="C174" s="18">
        <f>'Sampling Data'!B174</f>
        <v>4</v>
      </c>
      <c r="D174" s="18">
        <f>'Sampling Data'!C174</f>
        <v>0</v>
      </c>
      <c r="E174" s="19">
        <f>'Sampling Data'!D174</f>
        <v>0</v>
      </c>
      <c r="F174" s="19">
        <f>'Sampling Data'!E174</f>
        <v>0</v>
      </c>
      <c r="G174" s="19">
        <f>'Sampling Data'!F174</f>
        <v>0</v>
      </c>
      <c r="H174" s="19">
        <f>'Sampling Data'!G174</f>
        <v>0</v>
      </c>
      <c r="I174" s="19">
        <f>'Sampling Data'!H174</f>
        <v>0</v>
      </c>
      <c r="J174" s="19">
        <f>'Sampling Data'!I174</f>
        <v>0</v>
      </c>
      <c r="K174" s="19">
        <f>'Sampling Data'!J174</f>
        <v>0</v>
      </c>
      <c r="L174" s="19">
        <f>'Sampling Data'!K174</f>
        <v>0</v>
      </c>
      <c r="M174" s="19">
        <f>'Sampling Data'!L174</f>
        <v>0</v>
      </c>
      <c r="N174" s="19">
        <f>'Sampling Data'!M174</f>
        <v>0</v>
      </c>
      <c r="O174" s="18">
        <f>'Sampling Data'!N174</f>
        <v>0</v>
      </c>
      <c r="P174" s="18">
        <f>'Sampling Data'!O174</f>
        <v>0</v>
      </c>
      <c r="Q174" s="18">
        <f>'Sampling Data'!P174</f>
        <v>4</v>
      </c>
      <c r="R174" s="18">
        <f>'Sampling Data'!AJ174</f>
        <v>0</v>
      </c>
      <c r="S174" s="112"/>
      <c r="T174" s="112"/>
      <c r="U174" s="113"/>
      <c r="V174" s="113"/>
      <c r="W174" s="112"/>
      <c r="X174" s="112"/>
      <c r="Y174" s="112"/>
      <c r="Z174" s="112"/>
      <c r="AA174" s="15"/>
      <c r="AB174" s="15"/>
      <c r="AC174" s="15"/>
      <c r="AD174" s="15"/>
      <c r="AE174" s="114" t="str">
        <f>IF(NOT(ISBLANK(Audit[[#This Row],[Audit Winning Candidate]])), Audit[[#This Row],[Audit Winning Candidate]]-Audit[[#This Row],[Winning Candidate]], "")</f>
        <v/>
      </c>
      <c r="AF174" s="18" t="str">
        <f>IF(NOT(ISBLANK(Audit[[#This Row],[Audit Losing Candidate]])), Audit[[#This Row],[Audit Losing Candidate]]-Audit[[#This Row],[Losing Candidate]], "")</f>
        <v/>
      </c>
      <c r="AG174" s="18" t="str">
        <f>IF(NOT(ISBLANK(Audit[[#This Row],[Audit Candidate 3]])), Audit[[#This Row],[Audit Candidate 3]]-Audit[[#This Row],[Candidate 3]], "")</f>
        <v/>
      </c>
      <c r="AH174" s="18" t="str">
        <f>IF(NOT(ISBLANK(Audit[[#This Row],[Audit Candidate 4]])),Audit[[#This Row],[Audit Candidate 4]]-Audit[[#This Row],[Candidate 4]], "")</f>
        <v/>
      </c>
      <c r="AI174" s="18" t="str">
        <f>IF(NOT(ISBLANK(Audit[[#This Row],[Audit Candidate 5]])), Audit[[#This Row],[Audit Candidate 5]]-Audit[[#This Row],[Candidate 5]], "")</f>
        <v/>
      </c>
      <c r="AJ174" s="18" t="str">
        <f>IF(NOT(ISBLANK(Audit[[#This Row],[Audit Candidate 6]])), Audit[[#This Row],[Audit Candidate 6]]-Audit[[#This Row],[Candidate 6]], "")</f>
        <v/>
      </c>
      <c r="AK174" s="18" t="str">
        <f>IF(NOT(ISBLANK(Audit[[#This Row],[Audit Candidate 7]])), Audit[[#This Row],[Audit Candidate 7]]-Audit[[#This Row],[Candidate 7]], "")</f>
        <v/>
      </c>
      <c r="AL174" s="18" t="str">
        <f>IF(NOT(ISBLANK(Audit[[#This Row],[Audit Candidate 8]])), Audit[[#This Row],[Audit Candidate 8]]-Audit[[#This Row],[Candidate 8]], "")</f>
        <v/>
      </c>
      <c r="AM174" s="18" t="str">
        <f>IF(NOT(ISBLANK(Audit[[#This Row],[Audit Candidate 9]])), Audit[[#This Row],[Audit Candidate 9]]-Audit[[#This Row],[Candidate 9]], "")</f>
        <v/>
      </c>
      <c r="AN174" s="18" t="str">
        <f>IF(NOT(ISBLANK(Audit[[#This Row],[Audit Candidate 10]])), Audit[[#This Row],[Audit Candidate 10]]-Audit[[#This Row],[Candidate 10]], "")</f>
        <v/>
      </c>
      <c r="AO174" s="18" t="str">
        <f>IF(NOT(ISBLANK(Audit[[#This Row],[Audit Candidate 11]])), Audit[[#This Row],[Audit Candidate 11]]-Audit[[#This Row],[Candidate 11]], "")</f>
        <v/>
      </c>
      <c r="AP174" s="18" t="str">
        <f>IF(NOT(ISBLANK(Audit[[#This Row],[Audit Candidate 12]])), Audit[[#This Row],[Audit Candidate 12]]-Audit[[#This Row],[Candidate 12]], "")</f>
        <v/>
      </c>
      <c r="AQ174" s="18">
        <f>SUMIF(Audit[[#This Row],[Difference Winner]:[Difference Candidate 12]], "&gt;0")</f>
        <v>0</v>
      </c>
      <c r="AR174" s="18">
        <f>SUM(Audit[[#This Row],[Difference Winner]:[Difference Candidate 12]])</f>
        <v>0</v>
      </c>
      <c r="AS174" s="18">
        <f>IF(Audit[[#This Row],[Times p Drawn - With Replacement]]&gt;0, IF(Audit[[#This Row],[Canceled Differences]]&lt;0, Audit[[#This Row],[Max Differences]]+ABS(Audit[[#This Row],[Canceled Differences]]), Audit[[#This Row],[Max Differences]]), 0)</f>
        <v>0</v>
      </c>
      <c r="AT174" s="18">
        <f>'Sampling Data'!AB174</f>
        <v>2.5127995728240724E-4</v>
      </c>
      <c r="AU174" s="18">
        <f>IF(
      SUM(Audit[[#This Row],[Audit Losing Candidate]:[Audit Candidate 12]])
      &lt;&gt;0,
      (Audit[[#This Row],[Winning Candidate]]-Audit[[#This Row],[Losing Candidate]]-(Audit[[#This Row],[Audit Winning Candidate]]-Audit[[#This Row],[Audit Losing Candidate]]))/(Audit[[#Totals],[Winning Candidate]]-Audit[[#Totals],[Losing Candidate]]),
      0
)</f>
        <v>0</v>
      </c>
      <c r="AV1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8">
        <f>IF(Audit[[#This Row],[Max Relative Error (ep)]] = 0, 0, Audit[[#This Row],[Max Relative Error (ep)]]/Audit[[#This Row],[Error Bound (up) - Max. possible relative overstatement]])</f>
        <v>0</v>
      </c>
      <c r="BH1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4" s="18">
        <f t="shared" si="3"/>
        <v>1</v>
      </c>
      <c r="BJ174" s="18">
        <f>PRODUCT($BI$5:BI174)</f>
        <v>1</v>
      </c>
      <c r="BK174" s="20">
        <f>1 - Audit[[#This Row],[K-M P Value]]</f>
        <v>0</v>
      </c>
      <c r="BL174" s="18" t="str">
        <f>IF(Audit[[#This Row],[K-M P Value]]&gt;1-'General Info'!$B$12,"Continue", "Stop")</f>
        <v>Continue</v>
      </c>
      <c r="BM174" s="23" t="b">
        <f>IF(Audit[[#This Row],[Status - Continue or stop audit]] = "Continue", TRUE, IF(BL173 = "Continue", TRUE, FALSE))</f>
        <v>1</v>
      </c>
      <c r="BN174" s="23"/>
    </row>
    <row r="175" spans="1:66" ht="15" hidden="1" customHeight="1" x14ac:dyDescent="0.35">
      <c r="A175" s="18" t="str">
        <f>'Sampling Data'!AI175</f>
        <v/>
      </c>
      <c r="B175" s="18" t="str">
        <f>'Sampling Data'!A175</f>
        <v>2512 CIN 25-L   (AV)</v>
      </c>
      <c r="C175" s="18">
        <f>'Sampling Data'!B175</f>
        <v>1</v>
      </c>
      <c r="D175" s="18">
        <f>'Sampling Data'!C175</f>
        <v>1</v>
      </c>
      <c r="E175" s="19">
        <f>'Sampling Data'!D175</f>
        <v>0</v>
      </c>
      <c r="F175" s="19">
        <f>'Sampling Data'!E175</f>
        <v>0</v>
      </c>
      <c r="G175" s="19">
        <f>'Sampling Data'!F175</f>
        <v>0</v>
      </c>
      <c r="H175" s="19">
        <f>'Sampling Data'!G175</f>
        <v>0</v>
      </c>
      <c r="I175" s="19">
        <f>'Sampling Data'!H175</f>
        <v>0</v>
      </c>
      <c r="J175" s="19">
        <f>'Sampling Data'!I175</f>
        <v>0</v>
      </c>
      <c r="K175" s="19">
        <f>'Sampling Data'!J175</f>
        <v>0</v>
      </c>
      <c r="L175" s="19">
        <f>'Sampling Data'!K175</f>
        <v>0</v>
      </c>
      <c r="M175" s="19">
        <f>'Sampling Data'!L175</f>
        <v>0</v>
      </c>
      <c r="N175" s="19">
        <f>'Sampling Data'!M175</f>
        <v>0</v>
      </c>
      <c r="O175" s="18">
        <f>'Sampling Data'!N175</f>
        <v>0</v>
      </c>
      <c r="P175" s="18">
        <f>'Sampling Data'!O175</f>
        <v>0</v>
      </c>
      <c r="Q175" s="18">
        <f>'Sampling Data'!P175</f>
        <v>2</v>
      </c>
      <c r="R175" s="18">
        <f>'Sampling Data'!AJ175</f>
        <v>0</v>
      </c>
      <c r="S175" s="112"/>
      <c r="T175" s="112"/>
      <c r="U175" s="113"/>
      <c r="V175" s="113"/>
      <c r="W175" s="112"/>
      <c r="X175" s="112"/>
      <c r="Y175" s="112"/>
      <c r="Z175" s="112"/>
      <c r="AA175" s="15"/>
      <c r="AB175" s="15"/>
      <c r="AC175" s="15"/>
      <c r="AD175" s="15"/>
      <c r="AE175" s="114" t="str">
        <f>IF(NOT(ISBLANK(Audit[[#This Row],[Audit Winning Candidate]])), Audit[[#This Row],[Audit Winning Candidate]]-Audit[[#This Row],[Winning Candidate]], "")</f>
        <v/>
      </c>
      <c r="AF175" s="18" t="str">
        <f>IF(NOT(ISBLANK(Audit[[#This Row],[Audit Losing Candidate]])), Audit[[#This Row],[Audit Losing Candidate]]-Audit[[#This Row],[Losing Candidate]], "")</f>
        <v/>
      </c>
      <c r="AG175" s="18" t="str">
        <f>IF(NOT(ISBLANK(Audit[[#This Row],[Audit Candidate 3]])), Audit[[#This Row],[Audit Candidate 3]]-Audit[[#This Row],[Candidate 3]], "")</f>
        <v/>
      </c>
      <c r="AH175" s="18" t="str">
        <f>IF(NOT(ISBLANK(Audit[[#This Row],[Audit Candidate 4]])),Audit[[#This Row],[Audit Candidate 4]]-Audit[[#This Row],[Candidate 4]], "")</f>
        <v/>
      </c>
      <c r="AI175" s="18" t="str">
        <f>IF(NOT(ISBLANK(Audit[[#This Row],[Audit Candidate 5]])), Audit[[#This Row],[Audit Candidate 5]]-Audit[[#This Row],[Candidate 5]], "")</f>
        <v/>
      </c>
      <c r="AJ175" s="18" t="str">
        <f>IF(NOT(ISBLANK(Audit[[#This Row],[Audit Candidate 6]])), Audit[[#This Row],[Audit Candidate 6]]-Audit[[#This Row],[Candidate 6]], "")</f>
        <v/>
      </c>
      <c r="AK175" s="18" t="str">
        <f>IF(NOT(ISBLANK(Audit[[#This Row],[Audit Candidate 7]])), Audit[[#This Row],[Audit Candidate 7]]-Audit[[#This Row],[Candidate 7]], "")</f>
        <v/>
      </c>
      <c r="AL175" s="18" t="str">
        <f>IF(NOT(ISBLANK(Audit[[#This Row],[Audit Candidate 8]])), Audit[[#This Row],[Audit Candidate 8]]-Audit[[#This Row],[Candidate 8]], "")</f>
        <v/>
      </c>
      <c r="AM175" s="18" t="str">
        <f>IF(NOT(ISBLANK(Audit[[#This Row],[Audit Candidate 9]])), Audit[[#This Row],[Audit Candidate 9]]-Audit[[#This Row],[Candidate 9]], "")</f>
        <v/>
      </c>
      <c r="AN175" s="18" t="str">
        <f>IF(NOT(ISBLANK(Audit[[#This Row],[Audit Candidate 10]])), Audit[[#This Row],[Audit Candidate 10]]-Audit[[#This Row],[Candidate 10]], "")</f>
        <v/>
      </c>
      <c r="AO175" s="18" t="str">
        <f>IF(NOT(ISBLANK(Audit[[#This Row],[Audit Candidate 11]])), Audit[[#This Row],[Audit Candidate 11]]-Audit[[#This Row],[Candidate 11]], "")</f>
        <v/>
      </c>
      <c r="AP175" s="18" t="str">
        <f>IF(NOT(ISBLANK(Audit[[#This Row],[Audit Candidate 12]])), Audit[[#This Row],[Audit Candidate 12]]-Audit[[#This Row],[Candidate 12]], "")</f>
        <v/>
      </c>
      <c r="AQ175" s="18">
        <f>SUMIF(Audit[[#This Row],[Difference Winner]:[Difference Candidate 12]], "&gt;0")</f>
        <v>0</v>
      </c>
      <c r="AR175" s="18">
        <f>SUM(Audit[[#This Row],[Difference Winner]:[Difference Candidate 12]])</f>
        <v>0</v>
      </c>
      <c r="AS175" s="18">
        <f>IF(Audit[[#This Row],[Times p Drawn - With Replacement]]&gt;0, IF(Audit[[#This Row],[Canceled Differences]]&lt;0, Audit[[#This Row],[Max Differences]]+ABS(Audit[[#This Row],[Canceled Differences]]), Audit[[#This Row],[Max Differences]]), 0)</f>
        <v>0</v>
      </c>
      <c r="AT175" s="18">
        <f>'Sampling Data'!AB175</f>
        <v>6.2819989320601809E-5</v>
      </c>
      <c r="AU175" s="18">
        <f>IF(
      SUM(Audit[[#This Row],[Audit Losing Candidate]:[Audit Candidate 12]])
      &lt;&gt;0,
      (Audit[[#This Row],[Winning Candidate]]-Audit[[#This Row],[Losing Candidate]]-(Audit[[#This Row],[Audit Winning Candidate]]-Audit[[#This Row],[Audit Losing Candidate]]))/(Audit[[#Totals],[Winning Candidate]]-Audit[[#Totals],[Losing Candidate]]),
      0
)</f>
        <v>0</v>
      </c>
      <c r="AV1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8">
        <f>IF(Audit[[#This Row],[Max Relative Error (ep)]] = 0, 0, Audit[[#This Row],[Max Relative Error (ep)]]/Audit[[#This Row],[Error Bound (up) - Max. possible relative overstatement]])</f>
        <v>0</v>
      </c>
      <c r="BH1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5" s="18">
        <f t="shared" si="3"/>
        <v>1</v>
      </c>
      <c r="BJ175" s="18">
        <f>PRODUCT($BI$5:BI175)</f>
        <v>1</v>
      </c>
      <c r="BK175" s="20">
        <f>1 - Audit[[#This Row],[K-M P Value]]</f>
        <v>0</v>
      </c>
      <c r="BL175" s="18" t="str">
        <f>IF(Audit[[#This Row],[K-M P Value]]&gt;1-'General Info'!$B$12,"Continue", "Stop")</f>
        <v>Continue</v>
      </c>
      <c r="BM175" s="23" t="b">
        <f>IF(Audit[[#This Row],[Status - Continue or stop audit]] = "Continue", TRUE, IF(BL174 = "Continue", TRUE, FALSE))</f>
        <v>1</v>
      </c>
      <c r="BN175" s="23"/>
    </row>
    <row r="176" spans="1:66" ht="15" hidden="1" customHeight="1" x14ac:dyDescent="0.35">
      <c r="A176" s="18" t="str">
        <f>'Sampling Data'!AI176</f>
        <v/>
      </c>
      <c r="B176" s="18" t="str">
        <f>'Sampling Data'!A176</f>
        <v>2601 CIN 26-A   (AV)</v>
      </c>
      <c r="C176" s="18">
        <f>'Sampling Data'!B176</f>
        <v>15</v>
      </c>
      <c r="D176" s="18">
        <f>'Sampling Data'!C176</f>
        <v>0</v>
      </c>
      <c r="E176" s="19">
        <f>'Sampling Data'!D176</f>
        <v>0</v>
      </c>
      <c r="F176" s="19">
        <f>'Sampling Data'!E176</f>
        <v>0</v>
      </c>
      <c r="G176" s="19">
        <f>'Sampling Data'!F176</f>
        <v>0</v>
      </c>
      <c r="H176" s="19">
        <f>'Sampling Data'!G176</f>
        <v>0</v>
      </c>
      <c r="I176" s="19">
        <f>'Sampling Data'!H176</f>
        <v>0</v>
      </c>
      <c r="J176" s="19">
        <f>'Sampling Data'!I176</f>
        <v>0</v>
      </c>
      <c r="K176" s="19">
        <f>'Sampling Data'!J176</f>
        <v>0</v>
      </c>
      <c r="L176" s="19">
        <f>'Sampling Data'!K176</f>
        <v>0</v>
      </c>
      <c r="M176" s="19">
        <f>'Sampling Data'!L176</f>
        <v>0</v>
      </c>
      <c r="N176" s="19">
        <f>'Sampling Data'!M176</f>
        <v>0</v>
      </c>
      <c r="O176" s="18">
        <f>'Sampling Data'!N176</f>
        <v>0</v>
      </c>
      <c r="P176" s="18">
        <f>'Sampling Data'!O176</f>
        <v>0</v>
      </c>
      <c r="Q176" s="18">
        <f>'Sampling Data'!P176</f>
        <v>15</v>
      </c>
      <c r="R176" s="18">
        <f>'Sampling Data'!AJ176</f>
        <v>0</v>
      </c>
      <c r="S176" s="112"/>
      <c r="T176" s="112"/>
      <c r="U176" s="113"/>
      <c r="V176" s="113"/>
      <c r="W176" s="112"/>
      <c r="X176" s="112"/>
      <c r="Y176" s="112"/>
      <c r="Z176" s="112"/>
      <c r="AA176" s="15"/>
      <c r="AB176" s="15"/>
      <c r="AC176" s="15"/>
      <c r="AD176" s="15"/>
      <c r="AE176" s="114" t="str">
        <f>IF(NOT(ISBLANK(Audit[[#This Row],[Audit Winning Candidate]])), Audit[[#This Row],[Audit Winning Candidate]]-Audit[[#This Row],[Winning Candidate]], "")</f>
        <v/>
      </c>
      <c r="AF176" s="18" t="str">
        <f>IF(NOT(ISBLANK(Audit[[#This Row],[Audit Losing Candidate]])), Audit[[#This Row],[Audit Losing Candidate]]-Audit[[#This Row],[Losing Candidate]], "")</f>
        <v/>
      </c>
      <c r="AG176" s="18" t="str">
        <f>IF(NOT(ISBLANK(Audit[[#This Row],[Audit Candidate 3]])), Audit[[#This Row],[Audit Candidate 3]]-Audit[[#This Row],[Candidate 3]], "")</f>
        <v/>
      </c>
      <c r="AH176" s="18" t="str">
        <f>IF(NOT(ISBLANK(Audit[[#This Row],[Audit Candidate 4]])),Audit[[#This Row],[Audit Candidate 4]]-Audit[[#This Row],[Candidate 4]], "")</f>
        <v/>
      </c>
      <c r="AI176" s="18" t="str">
        <f>IF(NOT(ISBLANK(Audit[[#This Row],[Audit Candidate 5]])), Audit[[#This Row],[Audit Candidate 5]]-Audit[[#This Row],[Candidate 5]], "")</f>
        <v/>
      </c>
      <c r="AJ176" s="18" t="str">
        <f>IF(NOT(ISBLANK(Audit[[#This Row],[Audit Candidate 6]])), Audit[[#This Row],[Audit Candidate 6]]-Audit[[#This Row],[Candidate 6]], "")</f>
        <v/>
      </c>
      <c r="AK176" s="18" t="str">
        <f>IF(NOT(ISBLANK(Audit[[#This Row],[Audit Candidate 7]])), Audit[[#This Row],[Audit Candidate 7]]-Audit[[#This Row],[Candidate 7]], "")</f>
        <v/>
      </c>
      <c r="AL176" s="18" t="str">
        <f>IF(NOT(ISBLANK(Audit[[#This Row],[Audit Candidate 8]])), Audit[[#This Row],[Audit Candidate 8]]-Audit[[#This Row],[Candidate 8]], "")</f>
        <v/>
      </c>
      <c r="AM176" s="18" t="str">
        <f>IF(NOT(ISBLANK(Audit[[#This Row],[Audit Candidate 9]])), Audit[[#This Row],[Audit Candidate 9]]-Audit[[#This Row],[Candidate 9]], "")</f>
        <v/>
      </c>
      <c r="AN176" s="18" t="str">
        <f>IF(NOT(ISBLANK(Audit[[#This Row],[Audit Candidate 10]])), Audit[[#This Row],[Audit Candidate 10]]-Audit[[#This Row],[Candidate 10]], "")</f>
        <v/>
      </c>
      <c r="AO176" s="18" t="str">
        <f>IF(NOT(ISBLANK(Audit[[#This Row],[Audit Candidate 11]])), Audit[[#This Row],[Audit Candidate 11]]-Audit[[#This Row],[Candidate 11]], "")</f>
        <v/>
      </c>
      <c r="AP176" s="18" t="str">
        <f>IF(NOT(ISBLANK(Audit[[#This Row],[Audit Candidate 12]])), Audit[[#This Row],[Audit Candidate 12]]-Audit[[#This Row],[Candidate 12]], "")</f>
        <v/>
      </c>
      <c r="AQ176" s="18">
        <f>SUMIF(Audit[[#This Row],[Difference Winner]:[Difference Candidate 12]], "&gt;0")</f>
        <v>0</v>
      </c>
      <c r="AR176" s="18">
        <f>SUM(Audit[[#This Row],[Difference Winner]:[Difference Candidate 12]])</f>
        <v>0</v>
      </c>
      <c r="AS176" s="18">
        <f>IF(Audit[[#This Row],[Times p Drawn - With Replacement]]&gt;0, IF(Audit[[#This Row],[Canceled Differences]]&lt;0, Audit[[#This Row],[Max Differences]]+ABS(Audit[[#This Row],[Canceled Differences]]), Audit[[#This Row],[Max Differences]]), 0)</f>
        <v>0</v>
      </c>
      <c r="AT176" s="18">
        <f>'Sampling Data'!AB176</f>
        <v>9.4229983980902718E-4</v>
      </c>
      <c r="AU176" s="18">
        <f>IF(
      SUM(Audit[[#This Row],[Audit Losing Candidate]:[Audit Candidate 12]])
      &lt;&gt;0,
      (Audit[[#This Row],[Winning Candidate]]-Audit[[#This Row],[Losing Candidate]]-(Audit[[#This Row],[Audit Winning Candidate]]-Audit[[#This Row],[Audit Losing Candidate]]))/(Audit[[#Totals],[Winning Candidate]]-Audit[[#Totals],[Losing Candidate]]),
      0
)</f>
        <v>0</v>
      </c>
      <c r="AV1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8">
        <f>IF(Audit[[#This Row],[Max Relative Error (ep)]] = 0, 0, Audit[[#This Row],[Max Relative Error (ep)]]/Audit[[#This Row],[Error Bound (up) - Max. possible relative overstatement]])</f>
        <v>0</v>
      </c>
      <c r="BH1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6" s="18">
        <f t="shared" si="3"/>
        <v>1</v>
      </c>
      <c r="BJ176" s="18">
        <f>PRODUCT($BI$5:BI176)</f>
        <v>1</v>
      </c>
      <c r="BK176" s="20">
        <f>1 - Audit[[#This Row],[K-M P Value]]</f>
        <v>0</v>
      </c>
      <c r="BL176" s="18" t="str">
        <f>IF(Audit[[#This Row],[K-M P Value]]&gt;1-'General Info'!$B$12,"Continue", "Stop")</f>
        <v>Continue</v>
      </c>
      <c r="BM176" s="23" t="b">
        <f>IF(Audit[[#This Row],[Status - Continue or stop audit]] = "Continue", TRUE, IF(BL175 = "Continue", TRUE, FALSE))</f>
        <v>1</v>
      </c>
      <c r="BN176" s="23"/>
    </row>
    <row r="177" spans="1:66" ht="15" hidden="1" customHeight="1" x14ac:dyDescent="0.35">
      <c r="A177" s="18" t="str">
        <f>'Sampling Data'!AI177</f>
        <v/>
      </c>
      <c r="B177" s="18" t="str">
        <f>'Sampling Data'!A177</f>
        <v>2602 CIN 26-B   (AV)</v>
      </c>
      <c r="C177" s="18">
        <f>'Sampling Data'!B177</f>
        <v>3</v>
      </c>
      <c r="D177" s="18">
        <f>'Sampling Data'!C177</f>
        <v>2</v>
      </c>
      <c r="E177" s="19">
        <f>'Sampling Data'!D177</f>
        <v>0</v>
      </c>
      <c r="F177" s="19">
        <f>'Sampling Data'!E177</f>
        <v>0</v>
      </c>
      <c r="G177" s="19">
        <f>'Sampling Data'!F177</f>
        <v>0</v>
      </c>
      <c r="H177" s="19">
        <f>'Sampling Data'!G177</f>
        <v>0</v>
      </c>
      <c r="I177" s="19">
        <f>'Sampling Data'!H177</f>
        <v>0</v>
      </c>
      <c r="J177" s="19">
        <f>'Sampling Data'!I177</f>
        <v>0</v>
      </c>
      <c r="K177" s="19">
        <f>'Sampling Data'!J177</f>
        <v>0</v>
      </c>
      <c r="L177" s="19">
        <f>'Sampling Data'!K177</f>
        <v>0</v>
      </c>
      <c r="M177" s="19">
        <f>'Sampling Data'!L177</f>
        <v>0</v>
      </c>
      <c r="N177" s="19">
        <f>'Sampling Data'!M177</f>
        <v>0</v>
      </c>
      <c r="O177" s="18">
        <f>'Sampling Data'!N177</f>
        <v>0</v>
      </c>
      <c r="P177" s="18">
        <f>'Sampling Data'!O177</f>
        <v>0</v>
      </c>
      <c r="Q177" s="18">
        <f>'Sampling Data'!P177</f>
        <v>5</v>
      </c>
      <c r="R177" s="18">
        <f>'Sampling Data'!AJ177</f>
        <v>0</v>
      </c>
      <c r="S177" s="112"/>
      <c r="T177" s="112"/>
      <c r="U177" s="113"/>
      <c r="V177" s="113"/>
      <c r="W177" s="112"/>
      <c r="X177" s="112"/>
      <c r="Y177" s="112"/>
      <c r="Z177" s="112"/>
      <c r="AA177" s="15"/>
      <c r="AB177" s="15"/>
      <c r="AC177" s="15"/>
      <c r="AD177" s="15"/>
      <c r="AE177" s="114" t="str">
        <f>IF(NOT(ISBLANK(Audit[[#This Row],[Audit Winning Candidate]])), Audit[[#This Row],[Audit Winning Candidate]]-Audit[[#This Row],[Winning Candidate]], "")</f>
        <v/>
      </c>
      <c r="AF177" s="18" t="str">
        <f>IF(NOT(ISBLANK(Audit[[#This Row],[Audit Losing Candidate]])), Audit[[#This Row],[Audit Losing Candidate]]-Audit[[#This Row],[Losing Candidate]], "")</f>
        <v/>
      </c>
      <c r="AG177" s="18" t="str">
        <f>IF(NOT(ISBLANK(Audit[[#This Row],[Audit Candidate 3]])), Audit[[#This Row],[Audit Candidate 3]]-Audit[[#This Row],[Candidate 3]], "")</f>
        <v/>
      </c>
      <c r="AH177" s="18" t="str">
        <f>IF(NOT(ISBLANK(Audit[[#This Row],[Audit Candidate 4]])),Audit[[#This Row],[Audit Candidate 4]]-Audit[[#This Row],[Candidate 4]], "")</f>
        <v/>
      </c>
      <c r="AI177" s="18" t="str">
        <f>IF(NOT(ISBLANK(Audit[[#This Row],[Audit Candidate 5]])), Audit[[#This Row],[Audit Candidate 5]]-Audit[[#This Row],[Candidate 5]], "")</f>
        <v/>
      </c>
      <c r="AJ177" s="18" t="str">
        <f>IF(NOT(ISBLANK(Audit[[#This Row],[Audit Candidate 6]])), Audit[[#This Row],[Audit Candidate 6]]-Audit[[#This Row],[Candidate 6]], "")</f>
        <v/>
      </c>
      <c r="AK177" s="18" t="str">
        <f>IF(NOT(ISBLANK(Audit[[#This Row],[Audit Candidate 7]])), Audit[[#This Row],[Audit Candidate 7]]-Audit[[#This Row],[Candidate 7]], "")</f>
        <v/>
      </c>
      <c r="AL177" s="18" t="str">
        <f>IF(NOT(ISBLANK(Audit[[#This Row],[Audit Candidate 8]])), Audit[[#This Row],[Audit Candidate 8]]-Audit[[#This Row],[Candidate 8]], "")</f>
        <v/>
      </c>
      <c r="AM177" s="18" t="str">
        <f>IF(NOT(ISBLANK(Audit[[#This Row],[Audit Candidate 9]])), Audit[[#This Row],[Audit Candidate 9]]-Audit[[#This Row],[Candidate 9]], "")</f>
        <v/>
      </c>
      <c r="AN177" s="18" t="str">
        <f>IF(NOT(ISBLANK(Audit[[#This Row],[Audit Candidate 10]])), Audit[[#This Row],[Audit Candidate 10]]-Audit[[#This Row],[Candidate 10]], "")</f>
        <v/>
      </c>
      <c r="AO177" s="18" t="str">
        <f>IF(NOT(ISBLANK(Audit[[#This Row],[Audit Candidate 11]])), Audit[[#This Row],[Audit Candidate 11]]-Audit[[#This Row],[Candidate 11]], "")</f>
        <v/>
      </c>
      <c r="AP177" s="18" t="str">
        <f>IF(NOT(ISBLANK(Audit[[#This Row],[Audit Candidate 12]])), Audit[[#This Row],[Audit Candidate 12]]-Audit[[#This Row],[Candidate 12]], "")</f>
        <v/>
      </c>
      <c r="AQ177" s="18">
        <f>SUMIF(Audit[[#This Row],[Difference Winner]:[Difference Candidate 12]], "&gt;0")</f>
        <v>0</v>
      </c>
      <c r="AR177" s="18">
        <f>SUM(Audit[[#This Row],[Difference Winner]:[Difference Candidate 12]])</f>
        <v>0</v>
      </c>
      <c r="AS177" s="18">
        <f>IF(Audit[[#This Row],[Times p Drawn - With Replacement]]&gt;0, IF(Audit[[#This Row],[Canceled Differences]]&lt;0, Audit[[#This Row],[Max Differences]]+ABS(Audit[[#This Row],[Canceled Differences]]), Audit[[#This Row],[Max Differences]]), 0)</f>
        <v>0</v>
      </c>
      <c r="AT177" s="18">
        <f>'Sampling Data'!AB177</f>
        <v>1.8845996796180544E-4</v>
      </c>
      <c r="AU177" s="18">
        <f>IF(
      SUM(Audit[[#This Row],[Audit Losing Candidate]:[Audit Candidate 12]])
      &lt;&gt;0,
      (Audit[[#This Row],[Winning Candidate]]-Audit[[#This Row],[Losing Candidate]]-(Audit[[#This Row],[Audit Winning Candidate]]-Audit[[#This Row],[Audit Losing Candidate]]))/(Audit[[#Totals],[Winning Candidate]]-Audit[[#Totals],[Losing Candidate]]),
      0
)</f>
        <v>0</v>
      </c>
      <c r="AV1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8">
        <f>IF(Audit[[#This Row],[Max Relative Error (ep)]] = 0, 0, Audit[[#This Row],[Max Relative Error (ep)]]/Audit[[#This Row],[Error Bound (up) - Max. possible relative overstatement]])</f>
        <v>0</v>
      </c>
      <c r="BH1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7" s="18">
        <f t="shared" si="3"/>
        <v>1</v>
      </c>
      <c r="BJ177" s="18">
        <f>PRODUCT($BI$5:BI177)</f>
        <v>1</v>
      </c>
      <c r="BK177" s="20">
        <f>1 - Audit[[#This Row],[K-M P Value]]</f>
        <v>0</v>
      </c>
      <c r="BL177" s="18" t="str">
        <f>IF(Audit[[#This Row],[K-M P Value]]&gt;1-'General Info'!$B$12,"Continue", "Stop")</f>
        <v>Continue</v>
      </c>
      <c r="BM177" s="23" t="b">
        <f>IF(Audit[[#This Row],[Status - Continue or stop audit]] = "Continue", TRUE, IF(BL176 = "Continue", TRUE, FALSE))</f>
        <v>1</v>
      </c>
      <c r="BN177" s="23"/>
    </row>
    <row r="178" spans="1:66" ht="15" hidden="1" customHeight="1" x14ac:dyDescent="0.35">
      <c r="A178" s="18" t="str">
        <f>'Sampling Data'!AI178</f>
        <v/>
      </c>
      <c r="B178" s="18" t="str">
        <f>'Sampling Data'!A178</f>
        <v>2603 CIN 26-C   (AV)</v>
      </c>
      <c r="C178" s="18">
        <f>'Sampling Data'!B178</f>
        <v>4</v>
      </c>
      <c r="D178" s="18">
        <f>'Sampling Data'!C178</f>
        <v>0</v>
      </c>
      <c r="E178" s="19">
        <f>'Sampling Data'!D178</f>
        <v>0</v>
      </c>
      <c r="F178" s="19">
        <f>'Sampling Data'!E178</f>
        <v>0</v>
      </c>
      <c r="G178" s="19">
        <f>'Sampling Data'!F178</f>
        <v>0</v>
      </c>
      <c r="H178" s="19">
        <f>'Sampling Data'!G178</f>
        <v>0</v>
      </c>
      <c r="I178" s="19">
        <f>'Sampling Data'!H178</f>
        <v>0</v>
      </c>
      <c r="J178" s="19">
        <f>'Sampling Data'!I178</f>
        <v>0</v>
      </c>
      <c r="K178" s="19">
        <f>'Sampling Data'!J178</f>
        <v>0</v>
      </c>
      <c r="L178" s="19">
        <f>'Sampling Data'!K178</f>
        <v>0</v>
      </c>
      <c r="M178" s="19">
        <f>'Sampling Data'!L178</f>
        <v>0</v>
      </c>
      <c r="N178" s="19">
        <f>'Sampling Data'!M178</f>
        <v>0</v>
      </c>
      <c r="O178" s="18">
        <f>'Sampling Data'!N178</f>
        <v>0</v>
      </c>
      <c r="P178" s="18">
        <f>'Sampling Data'!O178</f>
        <v>0</v>
      </c>
      <c r="Q178" s="18">
        <f>'Sampling Data'!P178</f>
        <v>4</v>
      </c>
      <c r="R178" s="18">
        <f>'Sampling Data'!AJ178</f>
        <v>0</v>
      </c>
      <c r="S178" s="112"/>
      <c r="T178" s="112"/>
      <c r="U178" s="113"/>
      <c r="V178" s="113"/>
      <c r="W178" s="112"/>
      <c r="X178" s="112"/>
      <c r="Y178" s="112"/>
      <c r="Z178" s="112"/>
      <c r="AA178" s="15"/>
      <c r="AB178" s="15"/>
      <c r="AC178" s="15"/>
      <c r="AD178" s="15"/>
      <c r="AE178" s="114" t="str">
        <f>IF(NOT(ISBLANK(Audit[[#This Row],[Audit Winning Candidate]])), Audit[[#This Row],[Audit Winning Candidate]]-Audit[[#This Row],[Winning Candidate]], "")</f>
        <v/>
      </c>
      <c r="AF178" s="18" t="str">
        <f>IF(NOT(ISBLANK(Audit[[#This Row],[Audit Losing Candidate]])), Audit[[#This Row],[Audit Losing Candidate]]-Audit[[#This Row],[Losing Candidate]], "")</f>
        <v/>
      </c>
      <c r="AG178" s="18" t="str">
        <f>IF(NOT(ISBLANK(Audit[[#This Row],[Audit Candidate 3]])), Audit[[#This Row],[Audit Candidate 3]]-Audit[[#This Row],[Candidate 3]], "")</f>
        <v/>
      </c>
      <c r="AH178" s="18" t="str">
        <f>IF(NOT(ISBLANK(Audit[[#This Row],[Audit Candidate 4]])),Audit[[#This Row],[Audit Candidate 4]]-Audit[[#This Row],[Candidate 4]], "")</f>
        <v/>
      </c>
      <c r="AI178" s="18" t="str">
        <f>IF(NOT(ISBLANK(Audit[[#This Row],[Audit Candidate 5]])), Audit[[#This Row],[Audit Candidate 5]]-Audit[[#This Row],[Candidate 5]], "")</f>
        <v/>
      </c>
      <c r="AJ178" s="18" t="str">
        <f>IF(NOT(ISBLANK(Audit[[#This Row],[Audit Candidate 6]])), Audit[[#This Row],[Audit Candidate 6]]-Audit[[#This Row],[Candidate 6]], "")</f>
        <v/>
      </c>
      <c r="AK178" s="18" t="str">
        <f>IF(NOT(ISBLANK(Audit[[#This Row],[Audit Candidate 7]])), Audit[[#This Row],[Audit Candidate 7]]-Audit[[#This Row],[Candidate 7]], "")</f>
        <v/>
      </c>
      <c r="AL178" s="18" t="str">
        <f>IF(NOT(ISBLANK(Audit[[#This Row],[Audit Candidate 8]])), Audit[[#This Row],[Audit Candidate 8]]-Audit[[#This Row],[Candidate 8]], "")</f>
        <v/>
      </c>
      <c r="AM178" s="18" t="str">
        <f>IF(NOT(ISBLANK(Audit[[#This Row],[Audit Candidate 9]])), Audit[[#This Row],[Audit Candidate 9]]-Audit[[#This Row],[Candidate 9]], "")</f>
        <v/>
      </c>
      <c r="AN178" s="18" t="str">
        <f>IF(NOT(ISBLANK(Audit[[#This Row],[Audit Candidate 10]])), Audit[[#This Row],[Audit Candidate 10]]-Audit[[#This Row],[Candidate 10]], "")</f>
        <v/>
      </c>
      <c r="AO178" s="18" t="str">
        <f>IF(NOT(ISBLANK(Audit[[#This Row],[Audit Candidate 11]])), Audit[[#This Row],[Audit Candidate 11]]-Audit[[#This Row],[Candidate 11]], "")</f>
        <v/>
      </c>
      <c r="AP178" s="18" t="str">
        <f>IF(NOT(ISBLANK(Audit[[#This Row],[Audit Candidate 12]])), Audit[[#This Row],[Audit Candidate 12]]-Audit[[#This Row],[Candidate 12]], "")</f>
        <v/>
      </c>
      <c r="AQ178" s="18">
        <f>SUMIF(Audit[[#This Row],[Difference Winner]:[Difference Candidate 12]], "&gt;0")</f>
        <v>0</v>
      </c>
      <c r="AR178" s="18">
        <f>SUM(Audit[[#This Row],[Difference Winner]:[Difference Candidate 12]])</f>
        <v>0</v>
      </c>
      <c r="AS178" s="18">
        <f>IF(Audit[[#This Row],[Times p Drawn - With Replacement]]&gt;0, IF(Audit[[#This Row],[Canceled Differences]]&lt;0, Audit[[#This Row],[Max Differences]]+ABS(Audit[[#This Row],[Canceled Differences]]), Audit[[#This Row],[Max Differences]]), 0)</f>
        <v>0</v>
      </c>
      <c r="AT178" s="18">
        <f>'Sampling Data'!AB178</f>
        <v>2.5127995728240724E-4</v>
      </c>
      <c r="AU178" s="18">
        <f>IF(
      SUM(Audit[[#This Row],[Audit Losing Candidate]:[Audit Candidate 12]])
      &lt;&gt;0,
      (Audit[[#This Row],[Winning Candidate]]-Audit[[#This Row],[Losing Candidate]]-(Audit[[#This Row],[Audit Winning Candidate]]-Audit[[#This Row],[Audit Losing Candidate]]))/(Audit[[#Totals],[Winning Candidate]]-Audit[[#Totals],[Losing Candidate]]),
      0
)</f>
        <v>0</v>
      </c>
      <c r="AV1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8">
        <f>IF(Audit[[#This Row],[Max Relative Error (ep)]] = 0, 0, Audit[[#This Row],[Max Relative Error (ep)]]/Audit[[#This Row],[Error Bound (up) - Max. possible relative overstatement]])</f>
        <v>0</v>
      </c>
      <c r="BH1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8" s="18">
        <f t="shared" si="3"/>
        <v>1</v>
      </c>
      <c r="BJ178" s="18">
        <f>PRODUCT($BI$5:BI178)</f>
        <v>1</v>
      </c>
      <c r="BK178" s="20">
        <f>1 - Audit[[#This Row],[K-M P Value]]</f>
        <v>0</v>
      </c>
      <c r="BL178" s="18" t="str">
        <f>IF(Audit[[#This Row],[K-M P Value]]&gt;1-'General Info'!$B$12,"Continue", "Stop")</f>
        <v>Continue</v>
      </c>
      <c r="BM178" s="23" t="b">
        <f>IF(Audit[[#This Row],[Status - Continue or stop audit]] = "Continue", TRUE, IF(BL177 = "Continue", TRUE, FALSE))</f>
        <v>1</v>
      </c>
      <c r="BN178" s="23"/>
    </row>
    <row r="179" spans="1:66" ht="15" hidden="1" customHeight="1" x14ac:dyDescent="0.35">
      <c r="A179" s="18" t="str">
        <f>'Sampling Data'!AI179</f>
        <v/>
      </c>
      <c r="B179" s="18" t="str">
        <f>'Sampling Data'!A179</f>
        <v>2604 CIN 26-D   (AV)</v>
      </c>
      <c r="C179" s="18">
        <f>'Sampling Data'!B179</f>
        <v>4</v>
      </c>
      <c r="D179" s="18">
        <f>'Sampling Data'!C179</f>
        <v>0</v>
      </c>
      <c r="E179" s="19">
        <f>'Sampling Data'!D179</f>
        <v>0</v>
      </c>
      <c r="F179" s="19">
        <f>'Sampling Data'!E179</f>
        <v>0</v>
      </c>
      <c r="G179" s="19">
        <f>'Sampling Data'!F179</f>
        <v>0</v>
      </c>
      <c r="H179" s="19">
        <f>'Sampling Data'!G179</f>
        <v>0</v>
      </c>
      <c r="I179" s="19">
        <f>'Sampling Data'!H179</f>
        <v>0</v>
      </c>
      <c r="J179" s="19">
        <f>'Sampling Data'!I179</f>
        <v>0</v>
      </c>
      <c r="K179" s="19">
        <f>'Sampling Data'!J179</f>
        <v>0</v>
      </c>
      <c r="L179" s="19">
        <f>'Sampling Data'!K179</f>
        <v>0</v>
      </c>
      <c r="M179" s="19">
        <f>'Sampling Data'!L179</f>
        <v>0</v>
      </c>
      <c r="N179" s="19">
        <f>'Sampling Data'!M179</f>
        <v>0</v>
      </c>
      <c r="O179" s="18">
        <f>'Sampling Data'!N179</f>
        <v>0</v>
      </c>
      <c r="P179" s="18">
        <f>'Sampling Data'!O179</f>
        <v>1</v>
      </c>
      <c r="Q179" s="18">
        <f>'Sampling Data'!P179</f>
        <v>5</v>
      </c>
      <c r="R179" s="18">
        <f>'Sampling Data'!AJ179</f>
        <v>0</v>
      </c>
      <c r="S179" s="112"/>
      <c r="T179" s="112"/>
      <c r="U179" s="113"/>
      <c r="V179" s="113"/>
      <c r="W179" s="112"/>
      <c r="X179" s="112"/>
      <c r="Y179" s="112"/>
      <c r="Z179" s="112"/>
      <c r="AA179" s="15"/>
      <c r="AB179" s="15"/>
      <c r="AC179" s="15"/>
      <c r="AD179" s="15"/>
      <c r="AE179" s="114" t="str">
        <f>IF(NOT(ISBLANK(Audit[[#This Row],[Audit Winning Candidate]])), Audit[[#This Row],[Audit Winning Candidate]]-Audit[[#This Row],[Winning Candidate]], "")</f>
        <v/>
      </c>
      <c r="AF179" s="18" t="str">
        <f>IF(NOT(ISBLANK(Audit[[#This Row],[Audit Losing Candidate]])), Audit[[#This Row],[Audit Losing Candidate]]-Audit[[#This Row],[Losing Candidate]], "")</f>
        <v/>
      </c>
      <c r="AG179" s="18" t="str">
        <f>IF(NOT(ISBLANK(Audit[[#This Row],[Audit Candidate 3]])), Audit[[#This Row],[Audit Candidate 3]]-Audit[[#This Row],[Candidate 3]], "")</f>
        <v/>
      </c>
      <c r="AH179" s="18" t="str">
        <f>IF(NOT(ISBLANK(Audit[[#This Row],[Audit Candidate 4]])),Audit[[#This Row],[Audit Candidate 4]]-Audit[[#This Row],[Candidate 4]], "")</f>
        <v/>
      </c>
      <c r="AI179" s="18" t="str">
        <f>IF(NOT(ISBLANK(Audit[[#This Row],[Audit Candidate 5]])), Audit[[#This Row],[Audit Candidate 5]]-Audit[[#This Row],[Candidate 5]], "")</f>
        <v/>
      </c>
      <c r="AJ179" s="18" t="str">
        <f>IF(NOT(ISBLANK(Audit[[#This Row],[Audit Candidate 6]])), Audit[[#This Row],[Audit Candidate 6]]-Audit[[#This Row],[Candidate 6]], "")</f>
        <v/>
      </c>
      <c r="AK179" s="18" t="str">
        <f>IF(NOT(ISBLANK(Audit[[#This Row],[Audit Candidate 7]])), Audit[[#This Row],[Audit Candidate 7]]-Audit[[#This Row],[Candidate 7]], "")</f>
        <v/>
      </c>
      <c r="AL179" s="18" t="str">
        <f>IF(NOT(ISBLANK(Audit[[#This Row],[Audit Candidate 8]])), Audit[[#This Row],[Audit Candidate 8]]-Audit[[#This Row],[Candidate 8]], "")</f>
        <v/>
      </c>
      <c r="AM179" s="18" t="str">
        <f>IF(NOT(ISBLANK(Audit[[#This Row],[Audit Candidate 9]])), Audit[[#This Row],[Audit Candidate 9]]-Audit[[#This Row],[Candidate 9]], "")</f>
        <v/>
      </c>
      <c r="AN179" s="18" t="str">
        <f>IF(NOT(ISBLANK(Audit[[#This Row],[Audit Candidate 10]])), Audit[[#This Row],[Audit Candidate 10]]-Audit[[#This Row],[Candidate 10]], "")</f>
        <v/>
      </c>
      <c r="AO179" s="18" t="str">
        <f>IF(NOT(ISBLANK(Audit[[#This Row],[Audit Candidate 11]])), Audit[[#This Row],[Audit Candidate 11]]-Audit[[#This Row],[Candidate 11]], "")</f>
        <v/>
      </c>
      <c r="AP179" s="18" t="str">
        <f>IF(NOT(ISBLANK(Audit[[#This Row],[Audit Candidate 12]])), Audit[[#This Row],[Audit Candidate 12]]-Audit[[#This Row],[Candidate 12]], "")</f>
        <v/>
      </c>
      <c r="AQ179" s="18">
        <f>SUMIF(Audit[[#This Row],[Difference Winner]:[Difference Candidate 12]], "&gt;0")</f>
        <v>0</v>
      </c>
      <c r="AR179" s="18">
        <f>SUM(Audit[[#This Row],[Difference Winner]:[Difference Candidate 12]])</f>
        <v>0</v>
      </c>
      <c r="AS179" s="18">
        <f>IF(Audit[[#This Row],[Times p Drawn - With Replacement]]&gt;0, IF(Audit[[#This Row],[Canceled Differences]]&lt;0, Audit[[#This Row],[Max Differences]]+ABS(Audit[[#This Row],[Canceled Differences]]), Audit[[#This Row],[Max Differences]]), 0)</f>
        <v>0</v>
      </c>
      <c r="AT179" s="18">
        <f>'Sampling Data'!AB179</f>
        <v>2.8268995194270818E-4</v>
      </c>
      <c r="AU179" s="18">
        <f>IF(
      SUM(Audit[[#This Row],[Audit Losing Candidate]:[Audit Candidate 12]])
      &lt;&gt;0,
      (Audit[[#This Row],[Winning Candidate]]-Audit[[#This Row],[Losing Candidate]]-(Audit[[#This Row],[Audit Winning Candidate]]-Audit[[#This Row],[Audit Losing Candidate]]))/(Audit[[#Totals],[Winning Candidate]]-Audit[[#Totals],[Losing Candidate]]),
      0
)</f>
        <v>0</v>
      </c>
      <c r="AV1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8">
        <f>IF(Audit[[#This Row],[Max Relative Error (ep)]] = 0, 0, Audit[[#This Row],[Max Relative Error (ep)]]/Audit[[#This Row],[Error Bound (up) - Max. possible relative overstatement]])</f>
        <v>0</v>
      </c>
      <c r="BH1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79" s="18">
        <f t="shared" si="3"/>
        <v>1</v>
      </c>
      <c r="BJ179" s="18">
        <f>PRODUCT($BI$5:BI179)</f>
        <v>1</v>
      </c>
      <c r="BK179" s="20">
        <f>1 - Audit[[#This Row],[K-M P Value]]</f>
        <v>0</v>
      </c>
      <c r="BL179" s="18" t="str">
        <f>IF(Audit[[#This Row],[K-M P Value]]&gt;1-'General Info'!$B$12,"Continue", "Stop")</f>
        <v>Continue</v>
      </c>
      <c r="BM179" s="23" t="b">
        <f>IF(Audit[[#This Row],[Status - Continue or stop audit]] = "Continue", TRUE, IF(BL178 = "Continue", TRUE, FALSE))</f>
        <v>1</v>
      </c>
      <c r="BN179" s="23"/>
    </row>
    <row r="180" spans="1:66" ht="15" hidden="1" customHeight="1" x14ac:dyDescent="0.35">
      <c r="A180" s="18" t="str">
        <f>'Sampling Data'!AI180</f>
        <v/>
      </c>
      <c r="B180" s="18" t="str">
        <f>'Sampling Data'!A180</f>
        <v>2605 CIN 26-E   (AV)</v>
      </c>
      <c r="C180" s="18">
        <f>'Sampling Data'!B180</f>
        <v>1</v>
      </c>
      <c r="D180" s="18">
        <f>'Sampling Data'!C180</f>
        <v>0</v>
      </c>
      <c r="E180" s="19">
        <f>'Sampling Data'!D180</f>
        <v>0</v>
      </c>
      <c r="F180" s="19">
        <f>'Sampling Data'!E180</f>
        <v>0</v>
      </c>
      <c r="G180" s="19">
        <f>'Sampling Data'!F180</f>
        <v>0</v>
      </c>
      <c r="H180" s="19">
        <f>'Sampling Data'!G180</f>
        <v>0</v>
      </c>
      <c r="I180" s="19">
        <f>'Sampling Data'!H180</f>
        <v>0</v>
      </c>
      <c r="J180" s="19">
        <f>'Sampling Data'!I180</f>
        <v>0</v>
      </c>
      <c r="K180" s="19">
        <f>'Sampling Data'!J180</f>
        <v>0</v>
      </c>
      <c r="L180" s="19">
        <f>'Sampling Data'!K180</f>
        <v>0</v>
      </c>
      <c r="M180" s="19">
        <f>'Sampling Data'!L180</f>
        <v>0</v>
      </c>
      <c r="N180" s="19">
        <f>'Sampling Data'!M180</f>
        <v>0</v>
      </c>
      <c r="O180" s="18">
        <f>'Sampling Data'!N180</f>
        <v>0</v>
      </c>
      <c r="P180" s="18">
        <f>'Sampling Data'!O180</f>
        <v>1</v>
      </c>
      <c r="Q180" s="18">
        <f>'Sampling Data'!P180</f>
        <v>2</v>
      </c>
      <c r="R180" s="18">
        <f>'Sampling Data'!AJ180</f>
        <v>0</v>
      </c>
      <c r="S180" s="112"/>
      <c r="T180" s="112"/>
      <c r="U180" s="113"/>
      <c r="V180" s="113"/>
      <c r="W180" s="112"/>
      <c r="X180" s="112"/>
      <c r="Y180" s="112"/>
      <c r="Z180" s="112"/>
      <c r="AA180" s="15"/>
      <c r="AB180" s="15"/>
      <c r="AC180" s="15"/>
      <c r="AD180" s="15"/>
      <c r="AE180" s="114" t="str">
        <f>IF(NOT(ISBLANK(Audit[[#This Row],[Audit Winning Candidate]])), Audit[[#This Row],[Audit Winning Candidate]]-Audit[[#This Row],[Winning Candidate]], "")</f>
        <v/>
      </c>
      <c r="AF180" s="18" t="str">
        <f>IF(NOT(ISBLANK(Audit[[#This Row],[Audit Losing Candidate]])), Audit[[#This Row],[Audit Losing Candidate]]-Audit[[#This Row],[Losing Candidate]], "")</f>
        <v/>
      </c>
      <c r="AG180" s="18" t="str">
        <f>IF(NOT(ISBLANK(Audit[[#This Row],[Audit Candidate 3]])), Audit[[#This Row],[Audit Candidate 3]]-Audit[[#This Row],[Candidate 3]], "")</f>
        <v/>
      </c>
      <c r="AH180" s="18" t="str">
        <f>IF(NOT(ISBLANK(Audit[[#This Row],[Audit Candidate 4]])),Audit[[#This Row],[Audit Candidate 4]]-Audit[[#This Row],[Candidate 4]], "")</f>
        <v/>
      </c>
      <c r="AI180" s="18" t="str">
        <f>IF(NOT(ISBLANK(Audit[[#This Row],[Audit Candidate 5]])), Audit[[#This Row],[Audit Candidate 5]]-Audit[[#This Row],[Candidate 5]], "")</f>
        <v/>
      </c>
      <c r="AJ180" s="18" t="str">
        <f>IF(NOT(ISBLANK(Audit[[#This Row],[Audit Candidate 6]])), Audit[[#This Row],[Audit Candidate 6]]-Audit[[#This Row],[Candidate 6]], "")</f>
        <v/>
      </c>
      <c r="AK180" s="18" t="str">
        <f>IF(NOT(ISBLANK(Audit[[#This Row],[Audit Candidate 7]])), Audit[[#This Row],[Audit Candidate 7]]-Audit[[#This Row],[Candidate 7]], "")</f>
        <v/>
      </c>
      <c r="AL180" s="18" t="str">
        <f>IF(NOT(ISBLANK(Audit[[#This Row],[Audit Candidate 8]])), Audit[[#This Row],[Audit Candidate 8]]-Audit[[#This Row],[Candidate 8]], "")</f>
        <v/>
      </c>
      <c r="AM180" s="18" t="str">
        <f>IF(NOT(ISBLANK(Audit[[#This Row],[Audit Candidate 9]])), Audit[[#This Row],[Audit Candidate 9]]-Audit[[#This Row],[Candidate 9]], "")</f>
        <v/>
      </c>
      <c r="AN180" s="18" t="str">
        <f>IF(NOT(ISBLANK(Audit[[#This Row],[Audit Candidate 10]])), Audit[[#This Row],[Audit Candidate 10]]-Audit[[#This Row],[Candidate 10]], "")</f>
        <v/>
      </c>
      <c r="AO180" s="18" t="str">
        <f>IF(NOT(ISBLANK(Audit[[#This Row],[Audit Candidate 11]])), Audit[[#This Row],[Audit Candidate 11]]-Audit[[#This Row],[Candidate 11]], "")</f>
        <v/>
      </c>
      <c r="AP180" s="18" t="str">
        <f>IF(NOT(ISBLANK(Audit[[#This Row],[Audit Candidate 12]])), Audit[[#This Row],[Audit Candidate 12]]-Audit[[#This Row],[Candidate 12]], "")</f>
        <v/>
      </c>
      <c r="AQ180" s="18">
        <f>SUMIF(Audit[[#This Row],[Difference Winner]:[Difference Candidate 12]], "&gt;0")</f>
        <v>0</v>
      </c>
      <c r="AR180" s="18">
        <f>SUM(Audit[[#This Row],[Difference Winner]:[Difference Candidate 12]])</f>
        <v>0</v>
      </c>
      <c r="AS180" s="18">
        <f>IF(Audit[[#This Row],[Times p Drawn - With Replacement]]&gt;0, IF(Audit[[#This Row],[Canceled Differences]]&lt;0, Audit[[#This Row],[Max Differences]]+ABS(Audit[[#This Row],[Canceled Differences]]), Audit[[#This Row],[Max Differences]]), 0)</f>
        <v>0</v>
      </c>
      <c r="AT180" s="18">
        <f>'Sampling Data'!AB180</f>
        <v>9.4229983980902721E-5</v>
      </c>
      <c r="AU180" s="18">
        <f>IF(
      SUM(Audit[[#This Row],[Audit Losing Candidate]:[Audit Candidate 12]])
      &lt;&gt;0,
      (Audit[[#This Row],[Winning Candidate]]-Audit[[#This Row],[Losing Candidate]]-(Audit[[#This Row],[Audit Winning Candidate]]-Audit[[#This Row],[Audit Losing Candidate]]))/(Audit[[#Totals],[Winning Candidate]]-Audit[[#Totals],[Losing Candidate]]),
      0
)</f>
        <v>0</v>
      </c>
      <c r="AV1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8">
        <f>IF(Audit[[#This Row],[Max Relative Error (ep)]] = 0, 0, Audit[[#This Row],[Max Relative Error (ep)]]/Audit[[#This Row],[Error Bound (up) - Max. possible relative overstatement]])</f>
        <v>0</v>
      </c>
      <c r="BH1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0" s="18">
        <f t="shared" si="3"/>
        <v>1</v>
      </c>
      <c r="BJ180" s="18">
        <f>PRODUCT($BI$5:BI180)</f>
        <v>1</v>
      </c>
      <c r="BK180" s="20">
        <f>1 - Audit[[#This Row],[K-M P Value]]</f>
        <v>0</v>
      </c>
      <c r="BL180" s="18" t="str">
        <f>IF(Audit[[#This Row],[K-M P Value]]&gt;1-'General Info'!$B$12,"Continue", "Stop")</f>
        <v>Continue</v>
      </c>
      <c r="BM180" s="23" t="b">
        <f>IF(Audit[[#This Row],[Status - Continue or stop audit]] = "Continue", TRUE, IF(BL179 = "Continue", TRUE, FALSE))</f>
        <v>1</v>
      </c>
      <c r="BN180" s="23"/>
    </row>
    <row r="181" spans="1:66" ht="15" hidden="1" customHeight="1" x14ac:dyDescent="0.35">
      <c r="A181" s="18" t="str">
        <f>'Sampling Data'!AI181</f>
        <v/>
      </c>
      <c r="B181" s="18" t="str">
        <f>'Sampling Data'!A181</f>
        <v>2606 CIN 26-F   (AV)</v>
      </c>
      <c r="C181" s="18">
        <f>'Sampling Data'!B181</f>
        <v>3</v>
      </c>
      <c r="D181" s="18">
        <f>'Sampling Data'!C181</f>
        <v>1</v>
      </c>
      <c r="E181" s="19">
        <f>'Sampling Data'!D181</f>
        <v>0</v>
      </c>
      <c r="F181" s="19">
        <f>'Sampling Data'!E181</f>
        <v>0</v>
      </c>
      <c r="G181" s="19">
        <f>'Sampling Data'!F181</f>
        <v>0</v>
      </c>
      <c r="H181" s="19">
        <f>'Sampling Data'!G181</f>
        <v>0</v>
      </c>
      <c r="I181" s="19">
        <f>'Sampling Data'!H181</f>
        <v>0</v>
      </c>
      <c r="J181" s="19">
        <f>'Sampling Data'!I181</f>
        <v>0</v>
      </c>
      <c r="K181" s="19">
        <f>'Sampling Data'!J181</f>
        <v>0</v>
      </c>
      <c r="L181" s="19">
        <f>'Sampling Data'!K181</f>
        <v>0</v>
      </c>
      <c r="M181" s="19">
        <f>'Sampling Data'!L181</f>
        <v>0</v>
      </c>
      <c r="N181" s="19">
        <f>'Sampling Data'!M181</f>
        <v>0</v>
      </c>
      <c r="O181" s="18">
        <f>'Sampling Data'!N181</f>
        <v>0</v>
      </c>
      <c r="P181" s="18">
        <f>'Sampling Data'!O181</f>
        <v>0</v>
      </c>
      <c r="Q181" s="18">
        <f>'Sampling Data'!P181</f>
        <v>4</v>
      </c>
      <c r="R181" s="18">
        <f>'Sampling Data'!AJ181</f>
        <v>0</v>
      </c>
      <c r="S181" s="112"/>
      <c r="T181" s="112"/>
      <c r="U181" s="113"/>
      <c r="V181" s="113"/>
      <c r="W181" s="112"/>
      <c r="X181" s="112"/>
      <c r="Y181" s="112"/>
      <c r="Z181" s="112"/>
      <c r="AA181" s="15"/>
      <c r="AB181" s="15"/>
      <c r="AC181" s="15"/>
      <c r="AD181" s="15"/>
      <c r="AE181" s="114" t="str">
        <f>IF(NOT(ISBLANK(Audit[[#This Row],[Audit Winning Candidate]])), Audit[[#This Row],[Audit Winning Candidate]]-Audit[[#This Row],[Winning Candidate]], "")</f>
        <v/>
      </c>
      <c r="AF181" s="18" t="str">
        <f>IF(NOT(ISBLANK(Audit[[#This Row],[Audit Losing Candidate]])), Audit[[#This Row],[Audit Losing Candidate]]-Audit[[#This Row],[Losing Candidate]], "")</f>
        <v/>
      </c>
      <c r="AG181" s="18" t="str">
        <f>IF(NOT(ISBLANK(Audit[[#This Row],[Audit Candidate 3]])), Audit[[#This Row],[Audit Candidate 3]]-Audit[[#This Row],[Candidate 3]], "")</f>
        <v/>
      </c>
      <c r="AH181" s="18" t="str">
        <f>IF(NOT(ISBLANK(Audit[[#This Row],[Audit Candidate 4]])),Audit[[#This Row],[Audit Candidate 4]]-Audit[[#This Row],[Candidate 4]], "")</f>
        <v/>
      </c>
      <c r="AI181" s="18" t="str">
        <f>IF(NOT(ISBLANK(Audit[[#This Row],[Audit Candidate 5]])), Audit[[#This Row],[Audit Candidate 5]]-Audit[[#This Row],[Candidate 5]], "")</f>
        <v/>
      </c>
      <c r="AJ181" s="18" t="str">
        <f>IF(NOT(ISBLANK(Audit[[#This Row],[Audit Candidate 6]])), Audit[[#This Row],[Audit Candidate 6]]-Audit[[#This Row],[Candidate 6]], "")</f>
        <v/>
      </c>
      <c r="AK181" s="18" t="str">
        <f>IF(NOT(ISBLANK(Audit[[#This Row],[Audit Candidate 7]])), Audit[[#This Row],[Audit Candidate 7]]-Audit[[#This Row],[Candidate 7]], "")</f>
        <v/>
      </c>
      <c r="AL181" s="18" t="str">
        <f>IF(NOT(ISBLANK(Audit[[#This Row],[Audit Candidate 8]])), Audit[[#This Row],[Audit Candidate 8]]-Audit[[#This Row],[Candidate 8]], "")</f>
        <v/>
      </c>
      <c r="AM181" s="18" t="str">
        <f>IF(NOT(ISBLANK(Audit[[#This Row],[Audit Candidate 9]])), Audit[[#This Row],[Audit Candidate 9]]-Audit[[#This Row],[Candidate 9]], "")</f>
        <v/>
      </c>
      <c r="AN181" s="18" t="str">
        <f>IF(NOT(ISBLANK(Audit[[#This Row],[Audit Candidate 10]])), Audit[[#This Row],[Audit Candidate 10]]-Audit[[#This Row],[Candidate 10]], "")</f>
        <v/>
      </c>
      <c r="AO181" s="18" t="str">
        <f>IF(NOT(ISBLANK(Audit[[#This Row],[Audit Candidate 11]])), Audit[[#This Row],[Audit Candidate 11]]-Audit[[#This Row],[Candidate 11]], "")</f>
        <v/>
      </c>
      <c r="AP181" s="18" t="str">
        <f>IF(NOT(ISBLANK(Audit[[#This Row],[Audit Candidate 12]])), Audit[[#This Row],[Audit Candidate 12]]-Audit[[#This Row],[Candidate 12]], "")</f>
        <v/>
      </c>
      <c r="AQ181" s="18">
        <f>SUMIF(Audit[[#This Row],[Difference Winner]:[Difference Candidate 12]], "&gt;0")</f>
        <v>0</v>
      </c>
      <c r="AR181" s="18">
        <f>SUM(Audit[[#This Row],[Difference Winner]:[Difference Candidate 12]])</f>
        <v>0</v>
      </c>
      <c r="AS181" s="18">
        <f>IF(Audit[[#This Row],[Times p Drawn - With Replacement]]&gt;0, IF(Audit[[#This Row],[Canceled Differences]]&lt;0, Audit[[#This Row],[Max Differences]]+ABS(Audit[[#This Row],[Canceled Differences]]), Audit[[#This Row],[Max Differences]]), 0)</f>
        <v>0</v>
      </c>
      <c r="AT181" s="18">
        <f>'Sampling Data'!AB181</f>
        <v>1.8845996796180544E-4</v>
      </c>
      <c r="AU181" s="18">
        <f>IF(
      SUM(Audit[[#This Row],[Audit Losing Candidate]:[Audit Candidate 12]])
      &lt;&gt;0,
      (Audit[[#This Row],[Winning Candidate]]-Audit[[#This Row],[Losing Candidate]]-(Audit[[#This Row],[Audit Winning Candidate]]-Audit[[#This Row],[Audit Losing Candidate]]))/(Audit[[#Totals],[Winning Candidate]]-Audit[[#Totals],[Losing Candidate]]),
      0
)</f>
        <v>0</v>
      </c>
      <c r="AV1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8">
        <f>IF(Audit[[#This Row],[Max Relative Error (ep)]] = 0, 0, Audit[[#This Row],[Max Relative Error (ep)]]/Audit[[#This Row],[Error Bound (up) - Max. possible relative overstatement]])</f>
        <v>0</v>
      </c>
      <c r="BH1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1" s="18">
        <f t="shared" si="3"/>
        <v>1</v>
      </c>
      <c r="BJ181" s="18">
        <f>PRODUCT($BI$5:BI181)</f>
        <v>1</v>
      </c>
      <c r="BK181" s="20">
        <f>1 - Audit[[#This Row],[K-M P Value]]</f>
        <v>0</v>
      </c>
      <c r="BL181" s="18" t="str">
        <f>IF(Audit[[#This Row],[K-M P Value]]&gt;1-'General Info'!$B$12,"Continue", "Stop")</f>
        <v>Continue</v>
      </c>
      <c r="BM181" s="23" t="b">
        <f>IF(Audit[[#This Row],[Status - Continue or stop audit]] = "Continue", TRUE, IF(BL180 = "Continue", TRUE, FALSE))</f>
        <v>1</v>
      </c>
      <c r="BN181" s="23"/>
    </row>
    <row r="182" spans="1:66" ht="15" hidden="1" customHeight="1" x14ac:dyDescent="0.35">
      <c r="A182" s="18" t="str">
        <f>'Sampling Data'!AI182</f>
        <v/>
      </c>
      <c r="B182" s="18" t="str">
        <f>'Sampling Data'!A182</f>
        <v>2607 CIN 26-G   (AV)</v>
      </c>
      <c r="C182" s="18">
        <f>'Sampling Data'!B182</f>
        <v>3</v>
      </c>
      <c r="D182" s="18">
        <f>'Sampling Data'!C182</f>
        <v>1</v>
      </c>
      <c r="E182" s="19">
        <f>'Sampling Data'!D182</f>
        <v>0</v>
      </c>
      <c r="F182" s="19">
        <f>'Sampling Data'!E182</f>
        <v>0</v>
      </c>
      <c r="G182" s="19">
        <f>'Sampling Data'!F182</f>
        <v>0</v>
      </c>
      <c r="H182" s="19">
        <f>'Sampling Data'!G182</f>
        <v>0</v>
      </c>
      <c r="I182" s="19">
        <f>'Sampling Data'!H182</f>
        <v>0</v>
      </c>
      <c r="J182" s="19">
        <f>'Sampling Data'!I182</f>
        <v>0</v>
      </c>
      <c r="K182" s="19">
        <f>'Sampling Data'!J182</f>
        <v>0</v>
      </c>
      <c r="L182" s="19">
        <f>'Sampling Data'!K182</f>
        <v>0</v>
      </c>
      <c r="M182" s="19">
        <f>'Sampling Data'!L182</f>
        <v>0</v>
      </c>
      <c r="N182" s="19">
        <f>'Sampling Data'!M182</f>
        <v>0</v>
      </c>
      <c r="O182" s="18">
        <f>'Sampling Data'!N182</f>
        <v>0</v>
      </c>
      <c r="P182" s="18">
        <f>'Sampling Data'!O182</f>
        <v>0</v>
      </c>
      <c r="Q182" s="18">
        <f>'Sampling Data'!P182</f>
        <v>4</v>
      </c>
      <c r="R182" s="18">
        <f>'Sampling Data'!AJ182</f>
        <v>0</v>
      </c>
      <c r="S182" s="112"/>
      <c r="T182" s="112"/>
      <c r="U182" s="113"/>
      <c r="V182" s="113"/>
      <c r="W182" s="112"/>
      <c r="X182" s="112"/>
      <c r="Y182" s="112"/>
      <c r="Z182" s="112"/>
      <c r="AA182" s="15"/>
      <c r="AB182" s="15"/>
      <c r="AC182" s="15"/>
      <c r="AD182" s="15"/>
      <c r="AE182" s="114" t="str">
        <f>IF(NOT(ISBLANK(Audit[[#This Row],[Audit Winning Candidate]])), Audit[[#This Row],[Audit Winning Candidate]]-Audit[[#This Row],[Winning Candidate]], "")</f>
        <v/>
      </c>
      <c r="AF182" s="18" t="str">
        <f>IF(NOT(ISBLANK(Audit[[#This Row],[Audit Losing Candidate]])), Audit[[#This Row],[Audit Losing Candidate]]-Audit[[#This Row],[Losing Candidate]], "")</f>
        <v/>
      </c>
      <c r="AG182" s="18" t="str">
        <f>IF(NOT(ISBLANK(Audit[[#This Row],[Audit Candidate 3]])), Audit[[#This Row],[Audit Candidate 3]]-Audit[[#This Row],[Candidate 3]], "")</f>
        <v/>
      </c>
      <c r="AH182" s="18" t="str">
        <f>IF(NOT(ISBLANK(Audit[[#This Row],[Audit Candidate 4]])),Audit[[#This Row],[Audit Candidate 4]]-Audit[[#This Row],[Candidate 4]], "")</f>
        <v/>
      </c>
      <c r="AI182" s="18" t="str">
        <f>IF(NOT(ISBLANK(Audit[[#This Row],[Audit Candidate 5]])), Audit[[#This Row],[Audit Candidate 5]]-Audit[[#This Row],[Candidate 5]], "")</f>
        <v/>
      </c>
      <c r="AJ182" s="18" t="str">
        <f>IF(NOT(ISBLANK(Audit[[#This Row],[Audit Candidate 6]])), Audit[[#This Row],[Audit Candidate 6]]-Audit[[#This Row],[Candidate 6]], "")</f>
        <v/>
      </c>
      <c r="AK182" s="18" t="str">
        <f>IF(NOT(ISBLANK(Audit[[#This Row],[Audit Candidate 7]])), Audit[[#This Row],[Audit Candidate 7]]-Audit[[#This Row],[Candidate 7]], "")</f>
        <v/>
      </c>
      <c r="AL182" s="18" t="str">
        <f>IF(NOT(ISBLANK(Audit[[#This Row],[Audit Candidate 8]])), Audit[[#This Row],[Audit Candidate 8]]-Audit[[#This Row],[Candidate 8]], "")</f>
        <v/>
      </c>
      <c r="AM182" s="18" t="str">
        <f>IF(NOT(ISBLANK(Audit[[#This Row],[Audit Candidate 9]])), Audit[[#This Row],[Audit Candidate 9]]-Audit[[#This Row],[Candidate 9]], "")</f>
        <v/>
      </c>
      <c r="AN182" s="18" t="str">
        <f>IF(NOT(ISBLANK(Audit[[#This Row],[Audit Candidate 10]])), Audit[[#This Row],[Audit Candidate 10]]-Audit[[#This Row],[Candidate 10]], "")</f>
        <v/>
      </c>
      <c r="AO182" s="18" t="str">
        <f>IF(NOT(ISBLANK(Audit[[#This Row],[Audit Candidate 11]])), Audit[[#This Row],[Audit Candidate 11]]-Audit[[#This Row],[Candidate 11]], "")</f>
        <v/>
      </c>
      <c r="AP182" s="18" t="str">
        <f>IF(NOT(ISBLANK(Audit[[#This Row],[Audit Candidate 12]])), Audit[[#This Row],[Audit Candidate 12]]-Audit[[#This Row],[Candidate 12]], "")</f>
        <v/>
      </c>
      <c r="AQ182" s="18">
        <f>SUMIF(Audit[[#This Row],[Difference Winner]:[Difference Candidate 12]], "&gt;0")</f>
        <v>0</v>
      </c>
      <c r="AR182" s="18">
        <f>SUM(Audit[[#This Row],[Difference Winner]:[Difference Candidate 12]])</f>
        <v>0</v>
      </c>
      <c r="AS182" s="18">
        <f>IF(Audit[[#This Row],[Times p Drawn - With Replacement]]&gt;0, IF(Audit[[#This Row],[Canceled Differences]]&lt;0, Audit[[#This Row],[Max Differences]]+ABS(Audit[[#This Row],[Canceled Differences]]), Audit[[#This Row],[Max Differences]]), 0)</f>
        <v>0</v>
      </c>
      <c r="AT182" s="18">
        <f>'Sampling Data'!AB182</f>
        <v>1.8845996796180544E-4</v>
      </c>
      <c r="AU182" s="18">
        <f>IF(
      SUM(Audit[[#This Row],[Audit Losing Candidate]:[Audit Candidate 12]])
      &lt;&gt;0,
      (Audit[[#This Row],[Winning Candidate]]-Audit[[#This Row],[Losing Candidate]]-(Audit[[#This Row],[Audit Winning Candidate]]-Audit[[#This Row],[Audit Losing Candidate]]))/(Audit[[#Totals],[Winning Candidate]]-Audit[[#Totals],[Losing Candidate]]),
      0
)</f>
        <v>0</v>
      </c>
      <c r="AV1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8">
        <f>IF(Audit[[#This Row],[Max Relative Error (ep)]] = 0, 0, Audit[[#This Row],[Max Relative Error (ep)]]/Audit[[#This Row],[Error Bound (up) - Max. possible relative overstatement]])</f>
        <v>0</v>
      </c>
      <c r="BH1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2" s="18">
        <f t="shared" si="3"/>
        <v>1</v>
      </c>
      <c r="BJ182" s="18">
        <f>PRODUCT($BI$5:BI182)</f>
        <v>1</v>
      </c>
      <c r="BK182" s="20">
        <f>1 - Audit[[#This Row],[K-M P Value]]</f>
        <v>0</v>
      </c>
      <c r="BL182" s="18" t="str">
        <f>IF(Audit[[#This Row],[K-M P Value]]&gt;1-'General Info'!$B$12,"Continue", "Stop")</f>
        <v>Continue</v>
      </c>
      <c r="BM182" s="23" t="b">
        <f>IF(Audit[[#This Row],[Status - Continue or stop audit]] = "Continue", TRUE, IF(BL181 = "Continue", TRUE, FALSE))</f>
        <v>1</v>
      </c>
      <c r="BN182" s="23"/>
    </row>
    <row r="183" spans="1:66" ht="15" hidden="1" customHeight="1" x14ac:dyDescent="0.35">
      <c r="A183" s="18" t="str">
        <f>'Sampling Data'!AI183</f>
        <v/>
      </c>
      <c r="B183" s="18" t="str">
        <f>'Sampling Data'!A183</f>
        <v>2608 CIN 26-H   (AV)</v>
      </c>
      <c r="C183" s="18">
        <f>'Sampling Data'!B183</f>
        <v>0</v>
      </c>
      <c r="D183" s="18">
        <f>'Sampling Data'!C183</f>
        <v>0</v>
      </c>
      <c r="E183" s="19">
        <f>'Sampling Data'!D183</f>
        <v>0</v>
      </c>
      <c r="F183" s="19">
        <f>'Sampling Data'!E183</f>
        <v>0</v>
      </c>
      <c r="G183" s="19">
        <f>'Sampling Data'!F183</f>
        <v>0</v>
      </c>
      <c r="H183" s="19">
        <f>'Sampling Data'!G183</f>
        <v>0</v>
      </c>
      <c r="I183" s="19">
        <f>'Sampling Data'!H183</f>
        <v>0</v>
      </c>
      <c r="J183" s="19">
        <f>'Sampling Data'!I183</f>
        <v>0</v>
      </c>
      <c r="K183" s="19">
        <f>'Sampling Data'!J183</f>
        <v>0</v>
      </c>
      <c r="L183" s="19">
        <f>'Sampling Data'!K183</f>
        <v>0</v>
      </c>
      <c r="M183" s="19">
        <f>'Sampling Data'!L183</f>
        <v>0</v>
      </c>
      <c r="N183" s="19">
        <f>'Sampling Data'!M183</f>
        <v>0</v>
      </c>
      <c r="O183" s="18">
        <f>'Sampling Data'!N183</f>
        <v>0</v>
      </c>
      <c r="P183" s="18">
        <f>'Sampling Data'!O183</f>
        <v>0</v>
      </c>
      <c r="Q183" s="18">
        <f>'Sampling Data'!P183</f>
        <v>0</v>
      </c>
      <c r="R183" s="18">
        <f>'Sampling Data'!AJ183</f>
        <v>0</v>
      </c>
      <c r="S183" s="112"/>
      <c r="T183" s="112"/>
      <c r="U183" s="113"/>
      <c r="V183" s="113"/>
      <c r="W183" s="112"/>
      <c r="X183" s="112"/>
      <c r="Y183" s="112"/>
      <c r="Z183" s="112"/>
      <c r="AA183" s="15"/>
      <c r="AB183" s="15"/>
      <c r="AC183" s="15"/>
      <c r="AD183" s="15"/>
      <c r="AE183" s="114" t="str">
        <f>IF(NOT(ISBLANK(Audit[[#This Row],[Audit Winning Candidate]])), Audit[[#This Row],[Audit Winning Candidate]]-Audit[[#This Row],[Winning Candidate]], "")</f>
        <v/>
      </c>
      <c r="AF183" s="18" t="str">
        <f>IF(NOT(ISBLANK(Audit[[#This Row],[Audit Losing Candidate]])), Audit[[#This Row],[Audit Losing Candidate]]-Audit[[#This Row],[Losing Candidate]], "")</f>
        <v/>
      </c>
      <c r="AG183" s="18" t="str">
        <f>IF(NOT(ISBLANK(Audit[[#This Row],[Audit Candidate 3]])), Audit[[#This Row],[Audit Candidate 3]]-Audit[[#This Row],[Candidate 3]], "")</f>
        <v/>
      </c>
      <c r="AH183" s="18" t="str">
        <f>IF(NOT(ISBLANK(Audit[[#This Row],[Audit Candidate 4]])),Audit[[#This Row],[Audit Candidate 4]]-Audit[[#This Row],[Candidate 4]], "")</f>
        <v/>
      </c>
      <c r="AI183" s="18" t="str">
        <f>IF(NOT(ISBLANK(Audit[[#This Row],[Audit Candidate 5]])), Audit[[#This Row],[Audit Candidate 5]]-Audit[[#This Row],[Candidate 5]], "")</f>
        <v/>
      </c>
      <c r="AJ183" s="18" t="str">
        <f>IF(NOT(ISBLANK(Audit[[#This Row],[Audit Candidate 6]])), Audit[[#This Row],[Audit Candidate 6]]-Audit[[#This Row],[Candidate 6]], "")</f>
        <v/>
      </c>
      <c r="AK183" s="18" t="str">
        <f>IF(NOT(ISBLANK(Audit[[#This Row],[Audit Candidate 7]])), Audit[[#This Row],[Audit Candidate 7]]-Audit[[#This Row],[Candidate 7]], "")</f>
        <v/>
      </c>
      <c r="AL183" s="18" t="str">
        <f>IF(NOT(ISBLANK(Audit[[#This Row],[Audit Candidate 8]])), Audit[[#This Row],[Audit Candidate 8]]-Audit[[#This Row],[Candidate 8]], "")</f>
        <v/>
      </c>
      <c r="AM183" s="18" t="str">
        <f>IF(NOT(ISBLANK(Audit[[#This Row],[Audit Candidate 9]])), Audit[[#This Row],[Audit Candidate 9]]-Audit[[#This Row],[Candidate 9]], "")</f>
        <v/>
      </c>
      <c r="AN183" s="18" t="str">
        <f>IF(NOT(ISBLANK(Audit[[#This Row],[Audit Candidate 10]])), Audit[[#This Row],[Audit Candidate 10]]-Audit[[#This Row],[Candidate 10]], "")</f>
        <v/>
      </c>
      <c r="AO183" s="18" t="str">
        <f>IF(NOT(ISBLANK(Audit[[#This Row],[Audit Candidate 11]])), Audit[[#This Row],[Audit Candidate 11]]-Audit[[#This Row],[Candidate 11]], "")</f>
        <v/>
      </c>
      <c r="AP183" s="18" t="str">
        <f>IF(NOT(ISBLANK(Audit[[#This Row],[Audit Candidate 12]])), Audit[[#This Row],[Audit Candidate 12]]-Audit[[#This Row],[Candidate 12]], "")</f>
        <v/>
      </c>
      <c r="AQ183" s="18">
        <f>SUMIF(Audit[[#This Row],[Difference Winner]:[Difference Candidate 12]], "&gt;0")</f>
        <v>0</v>
      </c>
      <c r="AR183" s="18">
        <f>SUM(Audit[[#This Row],[Difference Winner]:[Difference Candidate 12]])</f>
        <v>0</v>
      </c>
      <c r="AS183" s="18">
        <f>IF(Audit[[#This Row],[Times p Drawn - With Replacement]]&gt;0, IF(Audit[[#This Row],[Canceled Differences]]&lt;0, Audit[[#This Row],[Max Differences]]+ABS(Audit[[#This Row],[Canceled Differences]]), Audit[[#This Row],[Max Differences]]), 0)</f>
        <v>0</v>
      </c>
      <c r="AT183" s="18">
        <f>'Sampling Data'!AB183</f>
        <v>0</v>
      </c>
      <c r="AU183" s="18">
        <f>IF(
      SUM(Audit[[#This Row],[Audit Losing Candidate]:[Audit Candidate 12]])
      &lt;&gt;0,
      (Audit[[#This Row],[Winning Candidate]]-Audit[[#This Row],[Losing Candidate]]-(Audit[[#This Row],[Audit Winning Candidate]]-Audit[[#This Row],[Audit Losing Candidate]]))/(Audit[[#Totals],[Winning Candidate]]-Audit[[#Totals],[Losing Candidate]]),
      0
)</f>
        <v>0</v>
      </c>
      <c r="AV1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8">
        <f>IF(Audit[[#This Row],[Max Relative Error (ep)]] = 0, 0, Audit[[#This Row],[Max Relative Error (ep)]]/Audit[[#This Row],[Error Bound (up) - Max. possible relative overstatement]])</f>
        <v>0</v>
      </c>
      <c r="BH1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3" s="18">
        <f t="shared" si="3"/>
        <v>1</v>
      </c>
      <c r="BJ183" s="18">
        <f>PRODUCT($BI$5:BI183)</f>
        <v>1</v>
      </c>
      <c r="BK183" s="20">
        <f>1 - Audit[[#This Row],[K-M P Value]]</f>
        <v>0</v>
      </c>
      <c r="BL183" s="18" t="str">
        <f>IF(Audit[[#This Row],[K-M P Value]]&gt;1-'General Info'!$B$12,"Continue", "Stop")</f>
        <v>Continue</v>
      </c>
      <c r="BM183" s="23" t="b">
        <f>IF(Audit[[#This Row],[Status - Continue or stop audit]] = "Continue", TRUE, IF(BL182 = "Continue", TRUE, FALSE))</f>
        <v>1</v>
      </c>
      <c r="BN183" s="23"/>
    </row>
    <row r="184" spans="1:66" ht="15" hidden="1" customHeight="1" x14ac:dyDescent="0.35">
      <c r="A184" s="18" t="str">
        <f>'Sampling Data'!AI184</f>
        <v/>
      </c>
      <c r="B184" s="18" t="str">
        <f>'Sampling Data'!A184</f>
        <v>2609 CIN 26-I   (AV)</v>
      </c>
      <c r="C184" s="18">
        <f>'Sampling Data'!B184</f>
        <v>5</v>
      </c>
      <c r="D184" s="18">
        <f>'Sampling Data'!C184</f>
        <v>0</v>
      </c>
      <c r="E184" s="19">
        <f>'Sampling Data'!D184</f>
        <v>0</v>
      </c>
      <c r="F184" s="19">
        <f>'Sampling Data'!E184</f>
        <v>0</v>
      </c>
      <c r="G184" s="19">
        <f>'Sampling Data'!F184</f>
        <v>0</v>
      </c>
      <c r="H184" s="19">
        <f>'Sampling Data'!G184</f>
        <v>0</v>
      </c>
      <c r="I184" s="19">
        <f>'Sampling Data'!H184</f>
        <v>0</v>
      </c>
      <c r="J184" s="19">
        <f>'Sampling Data'!I184</f>
        <v>0</v>
      </c>
      <c r="K184" s="19">
        <f>'Sampling Data'!J184</f>
        <v>0</v>
      </c>
      <c r="L184" s="19">
        <f>'Sampling Data'!K184</f>
        <v>0</v>
      </c>
      <c r="M184" s="19">
        <f>'Sampling Data'!L184</f>
        <v>0</v>
      </c>
      <c r="N184" s="19">
        <f>'Sampling Data'!M184</f>
        <v>0</v>
      </c>
      <c r="O184" s="18">
        <f>'Sampling Data'!N184</f>
        <v>0</v>
      </c>
      <c r="P184" s="18">
        <f>'Sampling Data'!O184</f>
        <v>0</v>
      </c>
      <c r="Q184" s="18">
        <f>'Sampling Data'!P184</f>
        <v>5</v>
      </c>
      <c r="R184" s="18">
        <f>'Sampling Data'!AJ184</f>
        <v>0</v>
      </c>
      <c r="S184" s="112"/>
      <c r="T184" s="112"/>
      <c r="U184" s="113"/>
      <c r="V184" s="113"/>
      <c r="W184" s="112"/>
      <c r="X184" s="112"/>
      <c r="Y184" s="112"/>
      <c r="Z184" s="112"/>
      <c r="AA184" s="15"/>
      <c r="AB184" s="15"/>
      <c r="AC184" s="15"/>
      <c r="AD184" s="15"/>
      <c r="AE184" s="114" t="str">
        <f>IF(NOT(ISBLANK(Audit[[#This Row],[Audit Winning Candidate]])), Audit[[#This Row],[Audit Winning Candidate]]-Audit[[#This Row],[Winning Candidate]], "")</f>
        <v/>
      </c>
      <c r="AF184" s="18" t="str">
        <f>IF(NOT(ISBLANK(Audit[[#This Row],[Audit Losing Candidate]])), Audit[[#This Row],[Audit Losing Candidate]]-Audit[[#This Row],[Losing Candidate]], "")</f>
        <v/>
      </c>
      <c r="AG184" s="18" t="str">
        <f>IF(NOT(ISBLANK(Audit[[#This Row],[Audit Candidate 3]])), Audit[[#This Row],[Audit Candidate 3]]-Audit[[#This Row],[Candidate 3]], "")</f>
        <v/>
      </c>
      <c r="AH184" s="18" t="str">
        <f>IF(NOT(ISBLANK(Audit[[#This Row],[Audit Candidate 4]])),Audit[[#This Row],[Audit Candidate 4]]-Audit[[#This Row],[Candidate 4]], "")</f>
        <v/>
      </c>
      <c r="AI184" s="18" t="str">
        <f>IF(NOT(ISBLANK(Audit[[#This Row],[Audit Candidate 5]])), Audit[[#This Row],[Audit Candidate 5]]-Audit[[#This Row],[Candidate 5]], "")</f>
        <v/>
      </c>
      <c r="AJ184" s="18" t="str">
        <f>IF(NOT(ISBLANK(Audit[[#This Row],[Audit Candidate 6]])), Audit[[#This Row],[Audit Candidate 6]]-Audit[[#This Row],[Candidate 6]], "")</f>
        <v/>
      </c>
      <c r="AK184" s="18" t="str">
        <f>IF(NOT(ISBLANK(Audit[[#This Row],[Audit Candidate 7]])), Audit[[#This Row],[Audit Candidate 7]]-Audit[[#This Row],[Candidate 7]], "")</f>
        <v/>
      </c>
      <c r="AL184" s="18" t="str">
        <f>IF(NOT(ISBLANK(Audit[[#This Row],[Audit Candidate 8]])), Audit[[#This Row],[Audit Candidate 8]]-Audit[[#This Row],[Candidate 8]], "")</f>
        <v/>
      </c>
      <c r="AM184" s="18" t="str">
        <f>IF(NOT(ISBLANK(Audit[[#This Row],[Audit Candidate 9]])), Audit[[#This Row],[Audit Candidate 9]]-Audit[[#This Row],[Candidate 9]], "")</f>
        <v/>
      </c>
      <c r="AN184" s="18" t="str">
        <f>IF(NOT(ISBLANK(Audit[[#This Row],[Audit Candidate 10]])), Audit[[#This Row],[Audit Candidate 10]]-Audit[[#This Row],[Candidate 10]], "")</f>
        <v/>
      </c>
      <c r="AO184" s="18" t="str">
        <f>IF(NOT(ISBLANK(Audit[[#This Row],[Audit Candidate 11]])), Audit[[#This Row],[Audit Candidate 11]]-Audit[[#This Row],[Candidate 11]], "")</f>
        <v/>
      </c>
      <c r="AP184" s="18" t="str">
        <f>IF(NOT(ISBLANK(Audit[[#This Row],[Audit Candidate 12]])), Audit[[#This Row],[Audit Candidate 12]]-Audit[[#This Row],[Candidate 12]], "")</f>
        <v/>
      </c>
      <c r="AQ184" s="18">
        <f>SUMIF(Audit[[#This Row],[Difference Winner]:[Difference Candidate 12]], "&gt;0")</f>
        <v>0</v>
      </c>
      <c r="AR184" s="18">
        <f>SUM(Audit[[#This Row],[Difference Winner]:[Difference Candidate 12]])</f>
        <v>0</v>
      </c>
      <c r="AS184" s="18">
        <f>IF(Audit[[#This Row],[Times p Drawn - With Replacement]]&gt;0, IF(Audit[[#This Row],[Canceled Differences]]&lt;0, Audit[[#This Row],[Max Differences]]+ABS(Audit[[#This Row],[Canceled Differences]]), Audit[[#This Row],[Max Differences]]), 0)</f>
        <v>0</v>
      </c>
      <c r="AT184" s="18">
        <f>'Sampling Data'!AB184</f>
        <v>3.1409994660300906E-4</v>
      </c>
      <c r="AU184" s="18">
        <f>IF(
      SUM(Audit[[#This Row],[Audit Losing Candidate]:[Audit Candidate 12]])
      &lt;&gt;0,
      (Audit[[#This Row],[Winning Candidate]]-Audit[[#This Row],[Losing Candidate]]-(Audit[[#This Row],[Audit Winning Candidate]]-Audit[[#This Row],[Audit Losing Candidate]]))/(Audit[[#Totals],[Winning Candidate]]-Audit[[#Totals],[Losing Candidate]]),
      0
)</f>
        <v>0</v>
      </c>
      <c r="AV1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8">
        <f>IF(Audit[[#This Row],[Max Relative Error (ep)]] = 0, 0, Audit[[#This Row],[Max Relative Error (ep)]]/Audit[[#This Row],[Error Bound (up) - Max. possible relative overstatement]])</f>
        <v>0</v>
      </c>
      <c r="BH1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4" s="18">
        <f t="shared" si="3"/>
        <v>1</v>
      </c>
      <c r="BJ184" s="18">
        <f>PRODUCT($BI$5:BI184)</f>
        <v>1</v>
      </c>
      <c r="BK184" s="20">
        <f>1 - Audit[[#This Row],[K-M P Value]]</f>
        <v>0</v>
      </c>
      <c r="BL184" s="18" t="str">
        <f>IF(Audit[[#This Row],[K-M P Value]]&gt;1-'General Info'!$B$12,"Continue", "Stop")</f>
        <v>Continue</v>
      </c>
      <c r="BM184" s="23" t="b">
        <f>IF(Audit[[#This Row],[Status - Continue or stop audit]] = "Continue", TRUE, IF(BL183 = "Continue", TRUE, FALSE))</f>
        <v>1</v>
      </c>
      <c r="BN184" s="23"/>
    </row>
    <row r="185" spans="1:66" ht="15" hidden="1" customHeight="1" x14ac:dyDescent="0.35">
      <c r="A185" s="18" t="str">
        <f>'Sampling Data'!AI185</f>
        <v/>
      </c>
      <c r="B185" s="18" t="str">
        <f>'Sampling Data'!A185</f>
        <v>2610 CIN 26-J   (AV)</v>
      </c>
      <c r="C185" s="18">
        <f>'Sampling Data'!B185</f>
        <v>5</v>
      </c>
      <c r="D185" s="18">
        <f>'Sampling Data'!C185</f>
        <v>0</v>
      </c>
      <c r="E185" s="19">
        <f>'Sampling Data'!D185</f>
        <v>0</v>
      </c>
      <c r="F185" s="19">
        <f>'Sampling Data'!E185</f>
        <v>0</v>
      </c>
      <c r="G185" s="19">
        <f>'Sampling Data'!F185</f>
        <v>0</v>
      </c>
      <c r="H185" s="19">
        <f>'Sampling Data'!G185</f>
        <v>0</v>
      </c>
      <c r="I185" s="19">
        <f>'Sampling Data'!H185</f>
        <v>0</v>
      </c>
      <c r="J185" s="19">
        <f>'Sampling Data'!I185</f>
        <v>0</v>
      </c>
      <c r="K185" s="19">
        <f>'Sampling Data'!J185</f>
        <v>0</v>
      </c>
      <c r="L185" s="19">
        <f>'Sampling Data'!K185</f>
        <v>0</v>
      </c>
      <c r="M185" s="19">
        <f>'Sampling Data'!L185</f>
        <v>0</v>
      </c>
      <c r="N185" s="19">
        <f>'Sampling Data'!M185</f>
        <v>0</v>
      </c>
      <c r="O185" s="18">
        <f>'Sampling Data'!N185</f>
        <v>0</v>
      </c>
      <c r="P185" s="18">
        <f>'Sampling Data'!O185</f>
        <v>0</v>
      </c>
      <c r="Q185" s="18">
        <f>'Sampling Data'!P185</f>
        <v>5</v>
      </c>
      <c r="R185" s="18">
        <f>'Sampling Data'!AJ185</f>
        <v>0</v>
      </c>
      <c r="S185" s="112"/>
      <c r="T185" s="112"/>
      <c r="U185" s="113"/>
      <c r="V185" s="113"/>
      <c r="W185" s="112"/>
      <c r="X185" s="112"/>
      <c r="Y185" s="112"/>
      <c r="Z185" s="112"/>
      <c r="AA185" s="15"/>
      <c r="AB185" s="15"/>
      <c r="AC185" s="15"/>
      <c r="AD185" s="15"/>
      <c r="AE185" s="114" t="str">
        <f>IF(NOT(ISBLANK(Audit[[#This Row],[Audit Winning Candidate]])), Audit[[#This Row],[Audit Winning Candidate]]-Audit[[#This Row],[Winning Candidate]], "")</f>
        <v/>
      </c>
      <c r="AF185" s="18" t="str">
        <f>IF(NOT(ISBLANK(Audit[[#This Row],[Audit Losing Candidate]])), Audit[[#This Row],[Audit Losing Candidate]]-Audit[[#This Row],[Losing Candidate]], "")</f>
        <v/>
      </c>
      <c r="AG185" s="18" t="str">
        <f>IF(NOT(ISBLANK(Audit[[#This Row],[Audit Candidate 3]])), Audit[[#This Row],[Audit Candidate 3]]-Audit[[#This Row],[Candidate 3]], "")</f>
        <v/>
      </c>
      <c r="AH185" s="18" t="str">
        <f>IF(NOT(ISBLANK(Audit[[#This Row],[Audit Candidate 4]])),Audit[[#This Row],[Audit Candidate 4]]-Audit[[#This Row],[Candidate 4]], "")</f>
        <v/>
      </c>
      <c r="AI185" s="18" t="str">
        <f>IF(NOT(ISBLANK(Audit[[#This Row],[Audit Candidate 5]])), Audit[[#This Row],[Audit Candidate 5]]-Audit[[#This Row],[Candidate 5]], "")</f>
        <v/>
      </c>
      <c r="AJ185" s="18" t="str">
        <f>IF(NOT(ISBLANK(Audit[[#This Row],[Audit Candidate 6]])), Audit[[#This Row],[Audit Candidate 6]]-Audit[[#This Row],[Candidate 6]], "")</f>
        <v/>
      </c>
      <c r="AK185" s="18" t="str">
        <f>IF(NOT(ISBLANK(Audit[[#This Row],[Audit Candidate 7]])), Audit[[#This Row],[Audit Candidate 7]]-Audit[[#This Row],[Candidate 7]], "")</f>
        <v/>
      </c>
      <c r="AL185" s="18" t="str">
        <f>IF(NOT(ISBLANK(Audit[[#This Row],[Audit Candidate 8]])), Audit[[#This Row],[Audit Candidate 8]]-Audit[[#This Row],[Candidate 8]], "")</f>
        <v/>
      </c>
      <c r="AM185" s="18" t="str">
        <f>IF(NOT(ISBLANK(Audit[[#This Row],[Audit Candidate 9]])), Audit[[#This Row],[Audit Candidate 9]]-Audit[[#This Row],[Candidate 9]], "")</f>
        <v/>
      </c>
      <c r="AN185" s="18" t="str">
        <f>IF(NOT(ISBLANK(Audit[[#This Row],[Audit Candidate 10]])), Audit[[#This Row],[Audit Candidate 10]]-Audit[[#This Row],[Candidate 10]], "")</f>
        <v/>
      </c>
      <c r="AO185" s="18" t="str">
        <f>IF(NOT(ISBLANK(Audit[[#This Row],[Audit Candidate 11]])), Audit[[#This Row],[Audit Candidate 11]]-Audit[[#This Row],[Candidate 11]], "")</f>
        <v/>
      </c>
      <c r="AP185" s="18" t="str">
        <f>IF(NOT(ISBLANK(Audit[[#This Row],[Audit Candidate 12]])), Audit[[#This Row],[Audit Candidate 12]]-Audit[[#This Row],[Candidate 12]], "")</f>
        <v/>
      </c>
      <c r="AQ185" s="18">
        <f>SUMIF(Audit[[#This Row],[Difference Winner]:[Difference Candidate 12]], "&gt;0")</f>
        <v>0</v>
      </c>
      <c r="AR185" s="18">
        <f>SUM(Audit[[#This Row],[Difference Winner]:[Difference Candidate 12]])</f>
        <v>0</v>
      </c>
      <c r="AS185" s="18">
        <f>IF(Audit[[#This Row],[Times p Drawn - With Replacement]]&gt;0, IF(Audit[[#This Row],[Canceled Differences]]&lt;0, Audit[[#This Row],[Max Differences]]+ABS(Audit[[#This Row],[Canceled Differences]]), Audit[[#This Row],[Max Differences]]), 0)</f>
        <v>0</v>
      </c>
      <c r="AT185" s="18">
        <f>'Sampling Data'!AB185</f>
        <v>3.1409994660300906E-4</v>
      </c>
      <c r="AU185" s="18">
        <f>IF(
      SUM(Audit[[#This Row],[Audit Losing Candidate]:[Audit Candidate 12]])
      &lt;&gt;0,
      (Audit[[#This Row],[Winning Candidate]]-Audit[[#This Row],[Losing Candidate]]-(Audit[[#This Row],[Audit Winning Candidate]]-Audit[[#This Row],[Audit Losing Candidate]]))/(Audit[[#Totals],[Winning Candidate]]-Audit[[#Totals],[Losing Candidate]]),
      0
)</f>
        <v>0</v>
      </c>
      <c r="AV1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8">
        <f>IF(Audit[[#This Row],[Max Relative Error (ep)]] = 0, 0, Audit[[#This Row],[Max Relative Error (ep)]]/Audit[[#This Row],[Error Bound (up) - Max. possible relative overstatement]])</f>
        <v>0</v>
      </c>
      <c r="BH1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5" s="18">
        <f t="shared" si="3"/>
        <v>1</v>
      </c>
      <c r="BJ185" s="18">
        <f>PRODUCT($BI$5:BI185)</f>
        <v>1</v>
      </c>
      <c r="BK185" s="20">
        <f>1 - Audit[[#This Row],[K-M P Value]]</f>
        <v>0</v>
      </c>
      <c r="BL185" s="18" t="str">
        <f>IF(Audit[[#This Row],[K-M P Value]]&gt;1-'General Info'!$B$12,"Continue", "Stop")</f>
        <v>Continue</v>
      </c>
      <c r="BM185" s="23" t="b">
        <f>IF(Audit[[#This Row],[Status - Continue or stop audit]] = "Continue", TRUE, IF(BL184 = "Continue", TRUE, FALSE))</f>
        <v>1</v>
      </c>
      <c r="BN185" s="23"/>
    </row>
    <row r="186" spans="1:66" ht="15" hidden="1" customHeight="1" x14ac:dyDescent="0.35">
      <c r="A186" s="18" t="str">
        <f>'Sampling Data'!AI186</f>
        <v/>
      </c>
      <c r="B186" s="18" t="str">
        <f>'Sampling Data'!A186</f>
        <v>2611 CIN 26-K   (AV)</v>
      </c>
      <c r="C186" s="18">
        <f>'Sampling Data'!B186</f>
        <v>6</v>
      </c>
      <c r="D186" s="18">
        <f>'Sampling Data'!C186</f>
        <v>0</v>
      </c>
      <c r="E186" s="19">
        <f>'Sampling Data'!D186</f>
        <v>0</v>
      </c>
      <c r="F186" s="19">
        <f>'Sampling Data'!E186</f>
        <v>0</v>
      </c>
      <c r="G186" s="19">
        <f>'Sampling Data'!F186</f>
        <v>0</v>
      </c>
      <c r="H186" s="19">
        <f>'Sampling Data'!G186</f>
        <v>0</v>
      </c>
      <c r="I186" s="19">
        <f>'Sampling Data'!H186</f>
        <v>0</v>
      </c>
      <c r="J186" s="19">
        <f>'Sampling Data'!I186</f>
        <v>0</v>
      </c>
      <c r="K186" s="19">
        <f>'Sampling Data'!J186</f>
        <v>0</v>
      </c>
      <c r="L186" s="19">
        <f>'Sampling Data'!K186</f>
        <v>0</v>
      </c>
      <c r="M186" s="19">
        <f>'Sampling Data'!L186</f>
        <v>0</v>
      </c>
      <c r="N186" s="19">
        <f>'Sampling Data'!M186</f>
        <v>0</v>
      </c>
      <c r="O186" s="18">
        <f>'Sampling Data'!N186</f>
        <v>0</v>
      </c>
      <c r="P186" s="18">
        <f>'Sampling Data'!O186</f>
        <v>0</v>
      </c>
      <c r="Q186" s="18">
        <f>'Sampling Data'!P186</f>
        <v>6</v>
      </c>
      <c r="R186" s="18">
        <f>'Sampling Data'!AJ186</f>
        <v>0</v>
      </c>
      <c r="S186" s="112"/>
      <c r="T186" s="112"/>
      <c r="U186" s="113"/>
      <c r="V186" s="113"/>
      <c r="W186" s="112"/>
      <c r="X186" s="112"/>
      <c r="Y186" s="112"/>
      <c r="Z186" s="112"/>
      <c r="AA186" s="15"/>
      <c r="AB186" s="15"/>
      <c r="AC186" s="15"/>
      <c r="AD186" s="15"/>
      <c r="AE186" s="114" t="str">
        <f>IF(NOT(ISBLANK(Audit[[#This Row],[Audit Winning Candidate]])), Audit[[#This Row],[Audit Winning Candidate]]-Audit[[#This Row],[Winning Candidate]], "")</f>
        <v/>
      </c>
      <c r="AF186" s="18" t="str">
        <f>IF(NOT(ISBLANK(Audit[[#This Row],[Audit Losing Candidate]])), Audit[[#This Row],[Audit Losing Candidate]]-Audit[[#This Row],[Losing Candidate]], "")</f>
        <v/>
      </c>
      <c r="AG186" s="18" t="str">
        <f>IF(NOT(ISBLANK(Audit[[#This Row],[Audit Candidate 3]])), Audit[[#This Row],[Audit Candidate 3]]-Audit[[#This Row],[Candidate 3]], "")</f>
        <v/>
      </c>
      <c r="AH186" s="18" t="str">
        <f>IF(NOT(ISBLANK(Audit[[#This Row],[Audit Candidate 4]])),Audit[[#This Row],[Audit Candidate 4]]-Audit[[#This Row],[Candidate 4]], "")</f>
        <v/>
      </c>
      <c r="AI186" s="18" t="str">
        <f>IF(NOT(ISBLANK(Audit[[#This Row],[Audit Candidate 5]])), Audit[[#This Row],[Audit Candidate 5]]-Audit[[#This Row],[Candidate 5]], "")</f>
        <v/>
      </c>
      <c r="AJ186" s="18" t="str">
        <f>IF(NOT(ISBLANK(Audit[[#This Row],[Audit Candidate 6]])), Audit[[#This Row],[Audit Candidate 6]]-Audit[[#This Row],[Candidate 6]], "")</f>
        <v/>
      </c>
      <c r="AK186" s="18" t="str">
        <f>IF(NOT(ISBLANK(Audit[[#This Row],[Audit Candidate 7]])), Audit[[#This Row],[Audit Candidate 7]]-Audit[[#This Row],[Candidate 7]], "")</f>
        <v/>
      </c>
      <c r="AL186" s="18" t="str">
        <f>IF(NOT(ISBLANK(Audit[[#This Row],[Audit Candidate 8]])), Audit[[#This Row],[Audit Candidate 8]]-Audit[[#This Row],[Candidate 8]], "")</f>
        <v/>
      </c>
      <c r="AM186" s="18" t="str">
        <f>IF(NOT(ISBLANK(Audit[[#This Row],[Audit Candidate 9]])), Audit[[#This Row],[Audit Candidate 9]]-Audit[[#This Row],[Candidate 9]], "")</f>
        <v/>
      </c>
      <c r="AN186" s="18" t="str">
        <f>IF(NOT(ISBLANK(Audit[[#This Row],[Audit Candidate 10]])), Audit[[#This Row],[Audit Candidate 10]]-Audit[[#This Row],[Candidate 10]], "")</f>
        <v/>
      </c>
      <c r="AO186" s="18" t="str">
        <f>IF(NOT(ISBLANK(Audit[[#This Row],[Audit Candidate 11]])), Audit[[#This Row],[Audit Candidate 11]]-Audit[[#This Row],[Candidate 11]], "")</f>
        <v/>
      </c>
      <c r="AP186" s="18" t="str">
        <f>IF(NOT(ISBLANK(Audit[[#This Row],[Audit Candidate 12]])), Audit[[#This Row],[Audit Candidate 12]]-Audit[[#This Row],[Candidate 12]], "")</f>
        <v/>
      </c>
      <c r="AQ186" s="18">
        <f>SUMIF(Audit[[#This Row],[Difference Winner]:[Difference Candidate 12]], "&gt;0")</f>
        <v>0</v>
      </c>
      <c r="AR186" s="18">
        <f>SUM(Audit[[#This Row],[Difference Winner]:[Difference Candidate 12]])</f>
        <v>0</v>
      </c>
      <c r="AS186" s="18">
        <f>IF(Audit[[#This Row],[Times p Drawn - With Replacement]]&gt;0, IF(Audit[[#This Row],[Canceled Differences]]&lt;0, Audit[[#This Row],[Max Differences]]+ABS(Audit[[#This Row],[Canceled Differences]]), Audit[[#This Row],[Max Differences]]), 0)</f>
        <v>0</v>
      </c>
      <c r="AT186" s="18">
        <f>'Sampling Data'!AB186</f>
        <v>3.7691993592361088E-4</v>
      </c>
      <c r="AU186" s="18">
        <f>IF(
      SUM(Audit[[#This Row],[Audit Losing Candidate]:[Audit Candidate 12]])
      &lt;&gt;0,
      (Audit[[#This Row],[Winning Candidate]]-Audit[[#This Row],[Losing Candidate]]-(Audit[[#This Row],[Audit Winning Candidate]]-Audit[[#This Row],[Audit Losing Candidate]]))/(Audit[[#Totals],[Winning Candidate]]-Audit[[#Totals],[Losing Candidate]]),
      0
)</f>
        <v>0</v>
      </c>
      <c r="AV1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8">
        <f>IF(Audit[[#This Row],[Max Relative Error (ep)]] = 0, 0, Audit[[#This Row],[Max Relative Error (ep)]]/Audit[[#This Row],[Error Bound (up) - Max. possible relative overstatement]])</f>
        <v>0</v>
      </c>
      <c r="BH1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6" s="18">
        <f t="shared" si="3"/>
        <v>1</v>
      </c>
      <c r="BJ186" s="18">
        <f>PRODUCT($BI$5:BI186)</f>
        <v>1</v>
      </c>
      <c r="BK186" s="20">
        <f>1 - Audit[[#This Row],[K-M P Value]]</f>
        <v>0</v>
      </c>
      <c r="BL186" s="18" t="str">
        <f>IF(Audit[[#This Row],[K-M P Value]]&gt;1-'General Info'!$B$12,"Continue", "Stop")</f>
        <v>Continue</v>
      </c>
      <c r="BM186" s="23" t="b">
        <f>IF(Audit[[#This Row],[Status - Continue or stop audit]] = "Continue", TRUE, IF(BL185 = "Continue", TRUE, FALSE))</f>
        <v>1</v>
      </c>
      <c r="BN186" s="23"/>
    </row>
    <row r="187" spans="1:66" ht="15" customHeight="1" x14ac:dyDescent="0.35">
      <c r="A187" s="18">
        <f>'Sampling Data'!AI187</f>
        <v>5</v>
      </c>
      <c r="B187" s="18" t="str">
        <f>'Sampling Data'!A187</f>
        <v>2612 CIN 26-L   (AV)</v>
      </c>
      <c r="C187" s="18">
        <f>'Sampling Data'!B187</f>
        <v>7</v>
      </c>
      <c r="D187" s="18">
        <f>'Sampling Data'!C187</f>
        <v>0</v>
      </c>
      <c r="E187" s="19">
        <f>'Sampling Data'!D187</f>
        <v>0</v>
      </c>
      <c r="F187" s="19">
        <f>'Sampling Data'!E187</f>
        <v>0</v>
      </c>
      <c r="G187" s="19">
        <f>'Sampling Data'!F187</f>
        <v>0</v>
      </c>
      <c r="H187" s="19">
        <f>'Sampling Data'!G187</f>
        <v>0</v>
      </c>
      <c r="I187" s="19">
        <f>'Sampling Data'!H187</f>
        <v>0</v>
      </c>
      <c r="J187" s="19">
        <f>'Sampling Data'!I187</f>
        <v>0</v>
      </c>
      <c r="K187" s="19">
        <f>'Sampling Data'!J187</f>
        <v>0</v>
      </c>
      <c r="L187" s="19">
        <f>'Sampling Data'!K187</f>
        <v>0</v>
      </c>
      <c r="M187" s="19">
        <f>'Sampling Data'!L187</f>
        <v>0</v>
      </c>
      <c r="N187" s="19">
        <f>'Sampling Data'!M187</f>
        <v>0</v>
      </c>
      <c r="O187" s="18">
        <f>'Sampling Data'!N187</f>
        <v>0</v>
      </c>
      <c r="P187" s="18">
        <f>'Sampling Data'!O187</f>
        <v>0</v>
      </c>
      <c r="Q187" s="18">
        <f>'Sampling Data'!P187</f>
        <v>7</v>
      </c>
      <c r="R187" s="18">
        <f>'Sampling Data'!AJ187</f>
        <v>1</v>
      </c>
      <c r="S187" s="112">
        <v>7</v>
      </c>
      <c r="T187" s="112">
        <v>0</v>
      </c>
      <c r="U187" s="113"/>
      <c r="V187" s="113"/>
      <c r="W187" s="112"/>
      <c r="X187" s="112"/>
      <c r="Y187" s="112"/>
      <c r="Z187" s="112"/>
      <c r="AA187" s="15"/>
      <c r="AB187" s="15"/>
      <c r="AC187" s="15"/>
      <c r="AD187" s="15"/>
      <c r="AE187" s="114">
        <f>IF(NOT(ISBLANK(Audit[[#This Row],[Audit Winning Candidate]])), Audit[[#This Row],[Audit Winning Candidate]]-Audit[[#This Row],[Winning Candidate]], "")</f>
        <v>0</v>
      </c>
      <c r="AF187" s="18">
        <f>IF(NOT(ISBLANK(Audit[[#This Row],[Audit Losing Candidate]])), Audit[[#This Row],[Audit Losing Candidate]]-Audit[[#This Row],[Losing Candidate]], "")</f>
        <v>0</v>
      </c>
      <c r="AG187" s="18" t="str">
        <f>IF(NOT(ISBLANK(Audit[[#This Row],[Audit Candidate 3]])), Audit[[#This Row],[Audit Candidate 3]]-Audit[[#This Row],[Candidate 3]], "")</f>
        <v/>
      </c>
      <c r="AH187" s="18" t="str">
        <f>IF(NOT(ISBLANK(Audit[[#This Row],[Audit Candidate 4]])),Audit[[#This Row],[Audit Candidate 4]]-Audit[[#This Row],[Candidate 4]], "")</f>
        <v/>
      </c>
      <c r="AI187" s="18" t="str">
        <f>IF(NOT(ISBLANK(Audit[[#This Row],[Audit Candidate 5]])), Audit[[#This Row],[Audit Candidate 5]]-Audit[[#This Row],[Candidate 5]], "")</f>
        <v/>
      </c>
      <c r="AJ187" s="18" t="str">
        <f>IF(NOT(ISBLANK(Audit[[#This Row],[Audit Candidate 6]])), Audit[[#This Row],[Audit Candidate 6]]-Audit[[#This Row],[Candidate 6]], "")</f>
        <v/>
      </c>
      <c r="AK187" s="18" t="str">
        <f>IF(NOT(ISBLANK(Audit[[#This Row],[Audit Candidate 7]])), Audit[[#This Row],[Audit Candidate 7]]-Audit[[#This Row],[Candidate 7]], "")</f>
        <v/>
      </c>
      <c r="AL187" s="18" t="str">
        <f>IF(NOT(ISBLANK(Audit[[#This Row],[Audit Candidate 8]])), Audit[[#This Row],[Audit Candidate 8]]-Audit[[#This Row],[Candidate 8]], "")</f>
        <v/>
      </c>
      <c r="AM187" s="18" t="str">
        <f>IF(NOT(ISBLANK(Audit[[#This Row],[Audit Candidate 9]])), Audit[[#This Row],[Audit Candidate 9]]-Audit[[#This Row],[Candidate 9]], "")</f>
        <v/>
      </c>
      <c r="AN187" s="18" t="str">
        <f>IF(NOT(ISBLANK(Audit[[#This Row],[Audit Candidate 10]])), Audit[[#This Row],[Audit Candidate 10]]-Audit[[#This Row],[Candidate 10]], "")</f>
        <v/>
      </c>
      <c r="AO187" s="18" t="str">
        <f>IF(NOT(ISBLANK(Audit[[#This Row],[Audit Candidate 11]])), Audit[[#This Row],[Audit Candidate 11]]-Audit[[#This Row],[Candidate 11]], "")</f>
        <v/>
      </c>
      <c r="AP187" s="18" t="str">
        <f>IF(NOT(ISBLANK(Audit[[#This Row],[Audit Candidate 12]])), Audit[[#This Row],[Audit Candidate 12]]-Audit[[#This Row],[Candidate 12]], "")</f>
        <v/>
      </c>
      <c r="AQ187" s="18">
        <f>SUMIF(Audit[[#This Row],[Difference Winner]:[Difference Candidate 12]], "&gt;0")</f>
        <v>0</v>
      </c>
      <c r="AR187" s="18">
        <f>SUM(Audit[[#This Row],[Difference Winner]:[Difference Candidate 12]])</f>
        <v>0</v>
      </c>
      <c r="AS187" s="18">
        <f>IF(Audit[[#This Row],[Times p Drawn - With Replacement]]&gt;0, IF(Audit[[#This Row],[Canceled Differences]]&lt;0, Audit[[#This Row],[Max Differences]]+ABS(Audit[[#This Row],[Canceled Differences]]), Audit[[#This Row],[Max Differences]]), 0)</f>
        <v>0</v>
      </c>
      <c r="AT187" s="18">
        <f>'Sampling Data'!AB187</f>
        <v>4.3973992524421271E-4</v>
      </c>
      <c r="AU187" s="18">
        <f>IF(
      SUM(Audit[[#This Row],[Audit Losing Candidate]:[Audit Candidate 12]])
      &lt;&gt;0,
      (Audit[[#This Row],[Winning Candidate]]-Audit[[#This Row],[Losing Candidate]]-(Audit[[#This Row],[Audit Winning Candidate]]-Audit[[#This Row],[Audit Losing Candidate]]))/(Audit[[#Totals],[Winning Candidate]]-Audit[[#Totals],[Losing Candidate]]),
      0
)</f>
        <v>0</v>
      </c>
      <c r="AV1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8">
        <f>IF(Audit[[#This Row],[Max Relative Error (ep)]] = 0, 0, Audit[[#This Row],[Max Relative Error (ep)]]/Audit[[#This Row],[Error Bound (up) - Max. possible relative overstatement]])</f>
        <v>0</v>
      </c>
      <c r="BH1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7" s="18">
        <f t="shared" si="3"/>
        <v>0.57146126097022543</v>
      </c>
      <c r="BJ187" s="18">
        <f>PRODUCT($BI$5:BI187)</f>
        <v>0.57146126097022543</v>
      </c>
      <c r="BK187" s="20">
        <f>1 - Audit[[#This Row],[K-M P Value]]</f>
        <v>0.42853873902977457</v>
      </c>
      <c r="BL187" s="18" t="str">
        <f>IF(Audit[[#This Row],[K-M P Value]]&gt;1-'General Info'!$B$12,"Continue", "Stop")</f>
        <v>Continue</v>
      </c>
      <c r="BM187" s="23" t="b">
        <f>IF(Audit[[#This Row],[Status - Continue or stop audit]] = "Continue", TRUE, IF(BL186 = "Continue", TRUE, FALSE))</f>
        <v>1</v>
      </c>
      <c r="BN187" s="23"/>
    </row>
    <row r="188" spans="1:66" ht="15" hidden="1" customHeight="1" x14ac:dyDescent="0.35">
      <c r="A188" s="18" t="str">
        <f>'Sampling Data'!AI188</f>
        <v/>
      </c>
      <c r="B188" s="18" t="str">
        <f>'Sampling Data'!A188</f>
        <v>2613 CIN 26-M   (AV)</v>
      </c>
      <c r="C188" s="18">
        <f>'Sampling Data'!B188</f>
        <v>6</v>
      </c>
      <c r="D188" s="18">
        <f>'Sampling Data'!C188</f>
        <v>1</v>
      </c>
      <c r="E188" s="19">
        <f>'Sampling Data'!D188</f>
        <v>0</v>
      </c>
      <c r="F188" s="19">
        <f>'Sampling Data'!E188</f>
        <v>0</v>
      </c>
      <c r="G188" s="19">
        <f>'Sampling Data'!F188</f>
        <v>0</v>
      </c>
      <c r="H188" s="19">
        <f>'Sampling Data'!G188</f>
        <v>0</v>
      </c>
      <c r="I188" s="19">
        <f>'Sampling Data'!H188</f>
        <v>0</v>
      </c>
      <c r="J188" s="19">
        <f>'Sampling Data'!I188</f>
        <v>0</v>
      </c>
      <c r="K188" s="19">
        <f>'Sampling Data'!J188</f>
        <v>0</v>
      </c>
      <c r="L188" s="19">
        <f>'Sampling Data'!K188</f>
        <v>0</v>
      </c>
      <c r="M188" s="19">
        <f>'Sampling Data'!L188</f>
        <v>0</v>
      </c>
      <c r="N188" s="19">
        <f>'Sampling Data'!M188</f>
        <v>0</v>
      </c>
      <c r="O188" s="18">
        <f>'Sampling Data'!N188</f>
        <v>0</v>
      </c>
      <c r="P188" s="18">
        <f>'Sampling Data'!O188</f>
        <v>0</v>
      </c>
      <c r="Q188" s="18">
        <f>'Sampling Data'!P188</f>
        <v>7</v>
      </c>
      <c r="R188" s="18">
        <f>'Sampling Data'!AJ188</f>
        <v>0</v>
      </c>
      <c r="S188" s="112"/>
      <c r="T188" s="112"/>
      <c r="U188" s="113"/>
      <c r="V188" s="113"/>
      <c r="W188" s="112"/>
      <c r="X188" s="112"/>
      <c r="Y188" s="112"/>
      <c r="Z188" s="112"/>
      <c r="AA188" s="15"/>
      <c r="AB188" s="15"/>
      <c r="AC188" s="15"/>
      <c r="AD188" s="15"/>
      <c r="AE188" s="114" t="str">
        <f>IF(NOT(ISBLANK(Audit[[#This Row],[Audit Winning Candidate]])), Audit[[#This Row],[Audit Winning Candidate]]-Audit[[#This Row],[Winning Candidate]], "")</f>
        <v/>
      </c>
      <c r="AF188" s="18" t="str">
        <f>IF(NOT(ISBLANK(Audit[[#This Row],[Audit Losing Candidate]])), Audit[[#This Row],[Audit Losing Candidate]]-Audit[[#This Row],[Losing Candidate]], "")</f>
        <v/>
      </c>
      <c r="AG188" s="18" t="str">
        <f>IF(NOT(ISBLANK(Audit[[#This Row],[Audit Candidate 3]])), Audit[[#This Row],[Audit Candidate 3]]-Audit[[#This Row],[Candidate 3]], "")</f>
        <v/>
      </c>
      <c r="AH188" s="18" t="str">
        <f>IF(NOT(ISBLANK(Audit[[#This Row],[Audit Candidate 4]])),Audit[[#This Row],[Audit Candidate 4]]-Audit[[#This Row],[Candidate 4]], "")</f>
        <v/>
      </c>
      <c r="AI188" s="18" t="str">
        <f>IF(NOT(ISBLANK(Audit[[#This Row],[Audit Candidate 5]])), Audit[[#This Row],[Audit Candidate 5]]-Audit[[#This Row],[Candidate 5]], "")</f>
        <v/>
      </c>
      <c r="AJ188" s="18" t="str">
        <f>IF(NOT(ISBLANK(Audit[[#This Row],[Audit Candidate 6]])), Audit[[#This Row],[Audit Candidate 6]]-Audit[[#This Row],[Candidate 6]], "")</f>
        <v/>
      </c>
      <c r="AK188" s="18" t="str">
        <f>IF(NOT(ISBLANK(Audit[[#This Row],[Audit Candidate 7]])), Audit[[#This Row],[Audit Candidate 7]]-Audit[[#This Row],[Candidate 7]], "")</f>
        <v/>
      </c>
      <c r="AL188" s="18" t="str">
        <f>IF(NOT(ISBLANK(Audit[[#This Row],[Audit Candidate 8]])), Audit[[#This Row],[Audit Candidate 8]]-Audit[[#This Row],[Candidate 8]], "")</f>
        <v/>
      </c>
      <c r="AM188" s="18" t="str">
        <f>IF(NOT(ISBLANK(Audit[[#This Row],[Audit Candidate 9]])), Audit[[#This Row],[Audit Candidate 9]]-Audit[[#This Row],[Candidate 9]], "")</f>
        <v/>
      </c>
      <c r="AN188" s="18" t="str">
        <f>IF(NOT(ISBLANK(Audit[[#This Row],[Audit Candidate 10]])), Audit[[#This Row],[Audit Candidate 10]]-Audit[[#This Row],[Candidate 10]], "")</f>
        <v/>
      </c>
      <c r="AO188" s="18" t="str">
        <f>IF(NOT(ISBLANK(Audit[[#This Row],[Audit Candidate 11]])), Audit[[#This Row],[Audit Candidate 11]]-Audit[[#This Row],[Candidate 11]], "")</f>
        <v/>
      </c>
      <c r="AP188" s="18" t="str">
        <f>IF(NOT(ISBLANK(Audit[[#This Row],[Audit Candidate 12]])), Audit[[#This Row],[Audit Candidate 12]]-Audit[[#This Row],[Candidate 12]], "")</f>
        <v/>
      </c>
      <c r="AQ188" s="18">
        <f>SUMIF(Audit[[#This Row],[Difference Winner]:[Difference Candidate 12]], "&gt;0")</f>
        <v>0</v>
      </c>
      <c r="AR188" s="18">
        <f>SUM(Audit[[#This Row],[Difference Winner]:[Difference Candidate 12]])</f>
        <v>0</v>
      </c>
      <c r="AS188" s="18">
        <f>IF(Audit[[#This Row],[Times p Drawn - With Replacement]]&gt;0, IF(Audit[[#This Row],[Canceled Differences]]&lt;0, Audit[[#This Row],[Max Differences]]+ABS(Audit[[#This Row],[Canceled Differences]]), Audit[[#This Row],[Max Differences]]), 0)</f>
        <v>0</v>
      </c>
      <c r="AT188" s="18">
        <f>'Sampling Data'!AB188</f>
        <v>3.7691993592361088E-4</v>
      </c>
      <c r="AU188" s="18">
        <f>IF(
      SUM(Audit[[#This Row],[Audit Losing Candidate]:[Audit Candidate 12]])
      &lt;&gt;0,
      (Audit[[#This Row],[Winning Candidate]]-Audit[[#This Row],[Losing Candidate]]-(Audit[[#This Row],[Audit Winning Candidate]]-Audit[[#This Row],[Audit Losing Candidate]]))/(Audit[[#Totals],[Winning Candidate]]-Audit[[#Totals],[Losing Candidate]]),
      0
)</f>
        <v>0</v>
      </c>
      <c r="AV1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8">
        <f>IF(Audit[[#This Row],[Max Relative Error (ep)]] = 0, 0, Audit[[#This Row],[Max Relative Error (ep)]]/Audit[[#This Row],[Error Bound (up) - Max. possible relative overstatement]])</f>
        <v>0</v>
      </c>
      <c r="BH1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8" s="18">
        <f t="shared" si="3"/>
        <v>1</v>
      </c>
      <c r="BJ188" s="18">
        <f>PRODUCT($BI$5:BI188)</f>
        <v>0.57146126097022543</v>
      </c>
      <c r="BK188" s="20">
        <f>1 - Audit[[#This Row],[K-M P Value]]</f>
        <v>0.42853873902977457</v>
      </c>
      <c r="BL188" s="18" t="str">
        <f>IF(Audit[[#This Row],[K-M P Value]]&gt;1-'General Info'!$B$12,"Continue", "Stop")</f>
        <v>Continue</v>
      </c>
      <c r="BM188" s="23" t="b">
        <f>IF(Audit[[#This Row],[Status - Continue or stop audit]] = "Continue", TRUE, IF(BL187 = "Continue", TRUE, FALSE))</f>
        <v>1</v>
      </c>
      <c r="BN188" s="23"/>
    </row>
    <row r="189" spans="1:66" ht="15" hidden="1" customHeight="1" x14ac:dyDescent="0.35">
      <c r="A189" s="18" t="str">
        <f>'Sampling Data'!AI189</f>
        <v/>
      </c>
      <c r="B189" s="18" t="str">
        <f>'Sampling Data'!A189</f>
        <v>2614 CIN 26-N   (AV)</v>
      </c>
      <c r="C189" s="18">
        <f>'Sampling Data'!B189</f>
        <v>3</v>
      </c>
      <c r="D189" s="18">
        <f>'Sampling Data'!C189</f>
        <v>0</v>
      </c>
      <c r="E189" s="19">
        <f>'Sampling Data'!D189</f>
        <v>0</v>
      </c>
      <c r="F189" s="19">
        <f>'Sampling Data'!E189</f>
        <v>0</v>
      </c>
      <c r="G189" s="19">
        <f>'Sampling Data'!F189</f>
        <v>0</v>
      </c>
      <c r="H189" s="19">
        <f>'Sampling Data'!G189</f>
        <v>0</v>
      </c>
      <c r="I189" s="19">
        <f>'Sampling Data'!H189</f>
        <v>0</v>
      </c>
      <c r="J189" s="19">
        <f>'Sampling Data'!I189</f>
        <v>0</v>
      </c>
      <c r="K189" s="19">
        <f>'Sampling Data'!J189</f>
        <v>0</v>
      </c>
      <c r="L189" s="19">
        <f>'Sampling Data'!K189</f>
        <v>0</v>
      </c>
      <c r="M189" s="19">
        <f>'Sampling Data'!L189</f>
        <v>0</v>
      </c>
      <c r="N189" s="19">
        <f>'Sampling Data'!M189</f>
        <v>0</v>
      </c>
      <c r="O189" s="18">
        <f>'Sampling Data'!N189</f>
        <v>0</v>
      </c>
      <c r="P189" s="18">
        <f>'Sampling Data'!O189</f>
        <v>0</v>
      </c>
      <c r="Q189" s="18">
        <f>'Sampling Data'!P189</f>
        <v>3</v>
      </c>
      <c r="R189" s="18">
        <f>'Sampling Data'!AJ189</f>
        <v>0</v>
      </c>
      <c r="S189" s="112"/>
      <c r="T189" s="112"/>
      <c r="U189" s="113"/>
      <c r="V189" s="113"/>
      <c r="W189" s="112"/>
      <c r="X189" s="112"/>
      <c r="Y189" s="112"/>
      <c r="Z189" s="112"/>
      <c r="AA189" s="15"/>
      <c r="AB189" s="15"/>
      <c r="AC189" s="15"/>
      <c r="AD189" s="15"/>
      <c r="AE189" s="114" t="str">
        <f>IF(NOT(ISBLANK(Audit[[#This Row],[Audit Winning Candidate]])), Audit[[#This Row],[Audit Winning Candidate]]-Audit[[#This Row],[Winning Candidate]], "")</f>
        <v/>
      </c>
      <c r="AF189" s="18" t="str">
        <f>IF(NOT(ISBLANK(Audit[[#This Row],[Audit Losing Candidate]])), Audit[[#This Row],[Audit Losing Candidate]]-Audit[[#This Row],[Losing Candidate]], "")</f>
        <v/>
      </c>
      <c r="AG189" s="18" t="str">
        <f>IF(NOT(ISBLANK(Audit[[#This Row],[Audit Candidate 3]])), Audit[[#This Row],[Audit Candidate 3]]-Audit[[#This Row],[Candidate 3]], "")</f>
        <v/>
      </c>
      <c r="AH189" s="18" t="str">
        <f>IF(NOT(ISBLANK(Audit[[#This Row],[Audit Candidate 4]])),Audit[[#This Row],[Audit Candidate 4]]-Audit[[#This Row],[Candidate 4]], "")</f>
        <v/>
      </c>
      <c r="AI189" s="18" t="str">
        <f>IF(NOT(ISBLANK(Audit[[#This Row],[Audit Candidate 5]])), Audit[[#This Row],[Audit Candidate 5]]-Audit[[#This Row],[Candidate 5]], "")</f>
        <v/>
      </c>
      <c r="AJ189" s="18" t="str">
        <f>IF(NOT(ISBLANK(Audit[[#This Row],[Audit Candidate 6]])), Audit[[#This Row],[Audit Candidate 6]]-Audit[[#This Row],[Candidate 6]], "")</f>
        <v/>
      </c>
      <c r="AK189" s="18" t="str">
        <f>IF(NOT(ISBLANK(Audit[[#This Row],[Audit Candidate 7]])), Audit[[#This Row],[Audit Candidate 7]]-Audit[[#This Row],[Candidate 7]], "")</f>
        <v/>
      </c>
      <c r="AL189" s="18" t="str">
        <f>IF(NOT(ISBLANK(Audit[[#This Row],[Audit Candidate 8]])), Audit[[#This Row],[Audit Candidate 8]]-Audit[[#This Row],[Candidate 8]], "")</f>
        <v/>
      </c>
      <c r="AM189" s="18" t="str">
        <f>IF(NOT(ISBLANK(Audit[[#This Row],[Audit Candidate 9]])), Audit[[#This Row],[Audit Candidate 9]]-Audit[[#This Row],[Candidate 9]], "")</f>
        <v/>
      </c>
      <c r="AN189" s="18" t="str">
        <f>IF(NOT(ISBLANK(Audit[[#This Row],[Audit Candidate 10]])), Audit[[#This Row],[Audit Candidate 10]]-Audit[[#This Row],[Candidate 10]], "")</f>
        <v/>
      </c>
      <c r="AO189" s="18" t="str">
        <f>IF(NOT(ISBLANK(Audit[[#This Row],[Audit Candidate 11]])), Audit[[#This Row],[Audit Candidate 11]]-Audit[[#This Row],[Candidate 11]], "")</f>
        <v/>
      </c>
      <c r="AP189" s="18" t="str">
        <f>IF(NOT(ISBLANK(Audit[[#This Row],[Audit Candidate 12]])), Audit[[#This Row],[Audit Candidate 12]]-Audit[[#This Row],[Candidate 12]], "")</f>
        <v/>
      </c>
      <c r="AQ189" s="18">
        <f>SUMIF(Audit[[#This Row],[Difference Winner]:[Difference Candidate 12]], "&gt;0")</f>
        <v>0</v>
      </c>
      <c r="AR189" s="18">
        <f>SUM(Audit[[#This Row],[Difference Winner]:[Difference Candidate 12]])</f>
        <v>0</v>
      </c>
      <c r="AS189" s="18">
        <f>IF(Audit[[#This Row],[Times p Drawn - With Replacement]]&gt;0, IF(Audit[[#This Row],[Canceled Differences]]&lt;0, Audit[[#This Row],[Max Differences]]+ABS(Audit[[#This Row],[Canceled Differences]]), Audit[[#This Row],[Max Differences]]), 0)</f>
        <v>0</v>
      </c>
      <c r="AT189" s="18">
        <f>'Sampling Data'!AB189</f>
        <v>1.8845996796180544E-4</v>
      </c>
      <c r="AU189" s="18">
        <f>IF(
      SUM(Audit[[#This Row],[Audit Losing Candidate]:[Audit Candidate 12]])
      &lt;&gt;0,
      (Audit[[#This Row],[Winning Candidate]]-Audit[[#This Row],[Losing Candidate]]-(Audit[[#This Row],[Audit Winning Candidate]]-Audit[[#This Row],[Audit Losing Candidate]]))/(Audit[[#Totals],[Winning Candidate]]-Audit[[#Totals],[Losing Candidate]]),
      0
)</f>
        <v>0</v>
      </c>
      <c r="AV1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8">
        <f>IF(Audit[[#This Row],[Max Relative Error (ep)]] = 0, 0, Audit[[#This Row],[Max Relative Error (ep)]]/Audit[[#This Row],[Error Bound (up) - Max. possible relative overstatement]])</f>
        <v>0</v>
      </c>
      <c r="BH1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89" s="18">
        <f t="shared" si="3"/>
        <v>1</v>
      </c>
      <c r="BJ189" s="18">
        <f>PRODUCT($BI$5:BI189)</f>
        <v>0.57146126097022543</v>
      </c>
      <c r="BK189" s="20">
        <f>1 - Audit[[#This Row],[K-M P Value]]</f>
        <v>0.42853873902977457</v>
      </c>
      <c r="BL189" s="18" t="str">
        <f>IF(Audit[[#This Row],[K-M P Value]]&gt;1-'General Info'!$B$12,"Continue", "Stop")</f>
        <v>Continue</v>
      </c>
      <c r="BM189" s="23" t="b">
        <f>IF(Audit[[#This Row],[Status - Continue or stop audit]] = "Continue", TRUE, IF(BL188 = "Continue", TRUE, FALSE))</f>
        <v>1</v>
      </c>
      <c r="BN189" s="23"/>
    </row>
    <row r="190" spans="1:66" ht="15" hidden="1" customHeight="1" x14ac:dyDescent="0.35">
      <c r="A190" s="18" t="str">
        <f>'Sampling Data'!AI190</f>
        <v/>
      </c>
      <c r="B190" s="18" t="str">
        <f>'Sampling Data'!A190</f>
        <v>2615 CIN 26-O   (AV)</v>
      </c>
      <c r="C190" s="18">
        <f>'Sampling Data'!B190</f>
        <v>8</v>
      </c>
      <c r="D190" s="18">
        <f>'Sampling Data'!C190</f>
        <v>0</v>
      </c>
      <c r="E190" s="19">
        <f>'Sampling Data'!D190</f>
        <v>0</v>
      </c>
      <c r="F190" s="19">
        <f>'Sampling Data'!E190</f>
        <v>0</v>
      </c>
      <c r="G190" s="19">
        <f>'Sampling Data'!F190</f>
        <v>0</v>
      </c>
      <c r="H190" s="19">
        <f>'Sampling Data'!G190</f>
        <v>0</v>
      </c>
      <c r="I190" s="19">
        <f>'Sampling Data'!H190</f>
        <v>0</v>
      </c>
      <c r="J190" s="19">
        <f>'Sampling Data'!I190</f>
        <v>0</v>
      </c>
      <c r="K190" s="19">
        <f>'Sampling Data'!J190</f>
        <v>0</v>
      </c>
      <c r="L190" s="19">
        <f>'Sampling Data'!K190</f>
        <v>0</v>
      </c>
      <c r="M190" s="19">
        <f>'Sampling Data'!L190</f>
        <v>0</v>
      </c>
      <c r="N190" s="19">
        <f>'Sampling Data'!M190</f>
        <v>0</v>
      </c>
      <c r="O190" s="18">
        <f>'Sampling Data'!N190</f>
        <v>0</v>
      </c>
      <c r="P190" s="18">
        <f>'Sampling Data'!O190</f>
        <v>0</v>
      </c>
      <c r="Q190" s="18">
        <f>'Sampling Data'!P190</f>
        <v>8</v>
      </c>
      <c r="R190" s="18">
        <f>'Sampling Data'!AJ190</f>
        <v>0</v>
      </c>
      <c r="S190" s="112"/>
      <c r="T190" s="112"/>
      <c r="U190" s="113"/>
      <c r="V190" s="113"/>
      <c r="W190" s="112"/>
      <c r="X190" s="112"/>
      <c r="Y190" s="112"/>
      <c r="Z190" s="112"/>
      <c r="AA190" s="15"/>
      <c r="AB190" s="15"/>
      <c r="AC190" s="15"/>
      <c r="AD190" s="15"/>
      <c r="AE190" s="114" t="str">
        <f>IF(NOT(ISBLANK(Audit[[#This Row],[Audit Winning Candidate]])), Audit[[#This Row],[Audit Winning Candidate]]-Audit[[#This Row],[Winning Candidate]], "")</f>
        <v/>
      </c>
      <c r="AF190" s="18" t="str">
        <f>IF(NOT(ISBLANK(Audit[[#This Row],[Audit Losing Candidate]])), Audit[[#This Row],[Audit Losing Candidate]]-Audit[[#This Row],[Losing Candidate]], "")</f>
        <v/>
      </c>
      <c r="AG190" s="18" t="str">
        <f>IF(NOT(ISBLANK(Audit[[#This Row],[Audit Candidate 3]])), Audit[[#This Row],[Audit Candidate 3]]-Audit[[#This Row],[Candidate 3]], "")</f>
        <v/>
      </c>
      <c r="AH190" s="18" t="str">
        <f>IF(NOT(ISBLANK(Audit[[#This Row],[Audit Candidate 4]])),Audit[[#This Row],[Audit Candidate 4]]-Audit[[#This Row],[Candidate 4]], "")</f>
        <v/>
      </c>
      <c r="AI190" s="18" t="str">
        <f>IF(NOT(ISBLANK(Audit[[#This Row],[Audit Candidate 5]])), Audit[[#This Row],[Audit Candidate 5]]-Audit[[#This Row],[Candidate 5]], "")</f>
        <v/>
      </c>
      <c r="AJ190" s="18" t="str">
        <f>IF(NOT(ISBLANK(Audit[[#This Row],[Audit Candidate 6]])), Audit[[#This Row],[Audit Candidate 6]]-Audit[[#This Row],[Candidate 6]], "")</f>
        <v/>
      </c>
      <c r="AK190" s="18" t="str">
        <f>IF(NOT(ISBLANK(Audit[[#This Row],[Audit Candidate 7]])), Audit[[#This Row],[Audit Candidate 7]]-Audit[[#This Row],[Candidate 7]], "")</f>
        <v/>
      </c>
      <c r="AL190" s="18" t="str">
        <f>IF(NOT(ISBLANK(Audit[[#This Row],[Audit Candidate 8]])), Audit[[#This Row],[Audit Candidate 8]]-Audit[[#This Row],[Candidate 8]], "")</f>
        <v/>
      </c>
      <c r="AM190" s="18" t="str">
        <f>IF(NOT(ISBLANK(Audit[[#This Row],[Audit Candidate 9]])), Audit[[#This Row],[Audit Candidate 9]]-Audit[[#This Row],[Candidate 9]], "")</f>
        <v/>
      </c>
      <c r="AN190" s="18" t="str">
        <f>IF(NOT(ISBLANK(Audit[[#This Row],[Audit Candidate 10]])), Audit[[#This Row],[Audit Candidate 10]]-Audit[[#This Row],[Candidate 10]], "")</f>
        <v/>
      </c>
      <c r="AO190" s="18" t="str">
        <f>IF(NOT(ISBLANK(Audit[[#This Row],[Audit Candidate 11]])), Audit[[#This Row],[Audit Candidate 11]]-Audit[[#This Row],[Candidate 11]], "")</f>
        <v/>
      </c>
      <c r="AP190" s="18" t="str">
        <f>IF(NOT(ISBLANK(Audit[[#This Row],[Audit Candidate 12]])), Audit[[#This Row],[Audit Candidate 12]]-Audit[[#This Row],[Candidate 12]], "")</f>
        <v/>
      </c>
      <c r="AQ190" s="18">
        <f>SUMIF(Audit[[#This Row],[Difference Winner]:[Difference Candidate 12]], "&gt;0")</f>
        <v>0</v>
      </c>
      <c r="AR190" s="18">
        <f>SUM(Audit[[#This Row],[Difference Winner]:[Difference Candidate 12]])</f>
        <v>0</v>
      </c>
      <c r="AS190" s="18">
        <f>IF(Audit[[#This Row],[Times p Drawn - With Replacement]]&gt;0, IF(Audit[[#This Row],[Canceled Differences]]&lt;0, Audit[[#This Row],[Max Differences]]+ABS(Audit[[#This Row],[Canceled Differences]]), Audit[[#This Row],[Max Differences]]), 0)</f>
        <v>0</v>
      </c>
      <c r="AT190" s="18">
        <f>'Sampling Data'!AB190</f>
        <v>5.0255991456481448E-4</v>
      </c>
      <c r="AU190" s="18">
        <f>IF(
      SUM(Audit[[#This Row],[Audit Losing Candidate]:[Audit Candidate 12]])
      &lt;&gt;0,
      (Audit[[#This Row],[Winning Candidate]]-Audit[[#This Row],[Losing Candidate]]-(Audit[[#This Row],[Audit Winning Candidate]]-Audit[[#This Row],[Audit Losing Candidate]]))/(Audit[[#Totals],[Winning Candidate]]-Audit[[#Totals],[Losing Candidate]]),
      0
)</f>
        <v>0</v>
      </c>
      <c r="AV1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8">
        <f>IF(Audit[[#This Row],[Max Relative Error (ep)]] = 0, 0, Audit[[#This Row],[Max Relative Error (ep)]]/Audit[[#This Row],[Error Bound (up) - Max. possible relative overstatement]])</f>
        <v>0</v>
      </c>
      <c r="BH1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0" s="18">
        <f t="shared" si="3"/>
        <v>1</v>
      </c>
      <c r="BJ190" s="18">
        <f>PRODUCT($BI$5:BI190)</f>
        <v>0.57146126097022543</v>
      </c>
      <c r="BK190" s="20">
        <f>1 - Audit[[#This Row],[K-M P Value]]</f>
        <v>0.42853873902977457</v>
      </c>
      <c r="BL190" s="18" t="str">
        <f>IF(Audit[[#This Row],[K-M P Value]]&gt;1-'General Info'!$B$12,"Continue", "Stop")</f>
        <v>Continue</v>
      </c>
      <c r="BM190" s="23" t="b">
        <f>IF(Audit[[#This Row],[Status - Continue or stop audit]] = "Continue", TRUE, IF(BL189 = "Continue", TRUE, FALSE))</f>
        <v>1</v>
      </c>
      <c r="BN190" s="23"/>
    </row>
    <row r="191" spans="1:66" ht="15" hidden="1" customHeight="1" x14ac:dyDescent="0.35">
      <c r="A191" s="18" t="str">
        <f>'Sampling Data'!AI191</f>
        <v/>
      </c>
      <c r="B191" s="18" t="str">
        <f>'Sampling Data'!A191</f>
        <v>2616 CIN 26-P   (AV)</v>
      </c>
      <c r="C191" s="18">
        <f>'Sampling Data'!B191</f>
        <v>12</v>
      </c>
      <c r="D191" s="18">
        <f>'Sampling Data'!C191</f>
        <v>0</v>
      </c>
      <c r="E191" s="19">
        <f>'Sampling Data'!D191</f>
        <v>0</v>
      </c>
      <c r="F191" s="19">
        <f>'Sampling Data'!E191</f>
        <v>0</v>
      </c>
      <c r="G191" s="19">
        <f>'Sampling Data'!F191</f>
        <v>0</v>
      </c>
      <c r="H191" s="19">
        <f>'Sampling Data'!G191</f>
        <v>0</v>
      </c>
      <c r="I191" s="19">
        <f>'Sampling Data'!H191</f>
        <v>0</v>
      </c>
      <c r="J191" s="19">
        <f>'Sampling Data'!I191</f>
        <v>0</v>
      </c>
      <c r="K191" s="19">
        <f>'Sampling Data'!J191</f>
        <v>0</v>
      </c>
      <c r="L191" s="19">
        <f>'Sampling Data'!K191</f>
        <v>0</v>
      </c>
      <c r="M191" s="19">
        <f>'Sampling Data'!L191</f>
        <v>0</v>
      </c>
      <c r="N191" s="19">
        <f>'Sampling Data'!M191</f>
        <v>0</v>
      </c>
      <c r="O191" s="18">
        <f>'Sampling Data'!N191</f>
        <v>0</v>
      </c>
      <c r="P191" s="18">
        <f>'Sampling Data'!O191</f>
        <v>0</v>
      </c>
      <c r="Q191" s="18">
        <f>'Sampling Data'!P191</f>
        <v>12</v>
      </c>
      <c r="R191" s="18">
        <f>'Sampling Data'!AJ191</f>
        <v>0</v>
      </c>
      <c r="S191" s="112"/>
      <c r="T191" s="112"/>
      <c r="U191" s="113"/>
      <c r="V191" s="113"/>
      <c r="W191" s="112"/>
      <c r="X191" s="112"/>
      <c r="Y191" s="112"/>
      <c r="Z191" s="112"/>
      <c r="AA191" s="15"/>
      <c r="AB191" s="15"/>
      <c r="AC191" s="15"/>
      <c r="AD191" s="15"/>
      <c r="AE191" s="114" t="str">
        <f>IF(NOT(ISBLANK(Audit[[#This Row],[Audit Winning Candidate]])), Audit[[#This Row],[Audit Winning Candidate]]-Audit[[#This Row],[Winning Candidate]], "")</f>
        <v/>
      </c>
      <c r="AF191" s="18" t="str">
        <f>IF(NOT(ISBLANK(Audit[[#This Row],[Audit Losing Candidate]])), Audit[[#This Row],[Audit Losing Candidate]]-Audit[[#This Row],[Losing Candidate]], "")</f>
        <v/>
      </c>
      <c r="AG191" s="18" t="str">
        <f>IF(NOT(ISBLANK(Audit[[#This Row],[Audit Candidate 3]])), Audit[[#This Row],[Audit Candidate 3]]-Audit[[#This Row],[Candidate 3]], "")</f>
        <v/>
      </c>
      <c r="AH191" s="18" t="str">
        <f>IF(NOT(ISBLANK(Audit[[#This Row],[Audit Candidate 4]])),Audit[[#This Row],[Audit Candidate 4]]-Audit[[#This Row],[Candidate 4]], "")</f>
        <v/>
      </c>
      <c r="AI191" s="18" t="str">
        <f>IF(NOT(ISBLANK(Audit[[#This Row],[Audit Candidate 5]])), Audit[[#This Row],[Audit Candidate 5]]-Audit[[#This Row],[Candidate 5]], "")</f>
        <v/>
      </c>
      <c r="AJ191" s="18" t="str">
        <f>IF(NOT(ISBLANK(Audit[[#This Row],[Audit Candidate 6]])), Audit[[#This Row],[Audit Candidate 6]]-Audit[[#This Row],[Candidate 6]], "")</f>
        <v/>
      </c>
      <c r="AK191" s="18" t="str">
        <f>IF(NOT(ISBLANK(Audit[[#This Row],[Audit Candidate 7]])), Audit[[#This Row],[Audit Candidate 7]]-Audit[[#This Row],[Candidate 7]], "")</f>
        <v/>
      </c>
      <c r="AL191" s="18" t="str">
        <f>IF(NOT(ISBLANK(Audit[[#This Row],[Audit Candidate 8]])), Audit[[#This Row],[Audit Candidate 8]]-Audit[[#This Row],[Candidate 8]], "")</f>
        <v/>
      </c>
      <c r="AM191" s="18" t="str">
        <f>IF(NOT(ISBLANK(Audit[[#This Row],[Audit Candidate 9]])), Audit[[#This Row],[Audit Candidate 9]]-Audit[[#This Row],[Candidate 9]], "")</f>
        <v/>
      </c>
      <c r="AN191" s="18" t="str">
        <f>IF(NOT(ISBLANK(Audit[[#This Row],[Audit Candidate 10]])), Audit[[#This Row],[Audit Candidate 10]]-Audit[[#This Row],[Candidate 10]], "")</f>
        <v/>
      </c>
      <c r="AO191" s="18" t="str">
        <f>IF(NOT(ISBLANK(Audit[[#This Row],[Audit Candidate 11]])), Audit[[#This Row],[Audit Candidate 11]]-Audit[[#This Row],[Candidate 11]], "")</f>
        <v/>
      </c>
      <c r="AP191" s="18" t="str">
        <f>IF(NOT(ISBLANK(Audit[[#This Row],[Audit Candidate 12]])), Audit[[#This Row],[Audit Candidate 12]]-Audit[[#This Row],[Candidate 12]], "")</f>
        <v/>
      </c>
      <c r="AQ191" s="18">
        <f>SUMIF(Audit[[#This Row],[Difference Winner]:[Difference Candidate 12]], "&gt;0")</f>
        <v>0</v>
      </c>
      <c r="AR191" s="18">
        <f>SUM(Audit[[#This Row],[Difference Winner]:[Difference Candidate 12]])</f>
        <v>0</v>
      </c>
      <c r="AS191" s="18">
        <f>IF(Audit[[#This Row],[Times p Drawn - With Replacement]]&gt;0, IF(Audit[[#This Row],[Canceled Differences]]&lt;0, Audit[[#This Row],[Max Differences]]+ABS(Audit[[#This Row],[Canceled Differences]]), Audit[[#This Row],[Max Differences]]), 0)</f>
        <v>0</v>
      </c>
      <c r="AT191" s="18">
        <f>'Sampling Data'!AB191</f>
        <v>7.5383987184722177E-4</v>
      </c>
      <c r="AU191" s="18">
        <f>IF(
      SUM(Audit[[#This Row],[Audit Losing Candidate]:[Audit Candidate 12]])
      &lt;&gt;0,
      (Audit[[#This Row],[Winning Candidate]]-Audit[[#This Row],[Losing Candidate]]-(Audit[[#This Row],[Audit Winning Candidate]]-Audit[[#This Row],[Audit Losing Candidate]]))/(Audit[[#Totals],[Winning Candidate]]-Audit[[#Totals],[Losing Candidate]]),
      0
)</f>
        <v>0</v>
      </c>
      <c r="AV1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8">
        <f>IF(Audit[[#This Row],[Max Relative Error (ep)]] = 0, 0, Audit[[#This Row],[Max Relative Error (ep)]]/Audit[[#This Row],[Error Bound (up) - Max. possible relative overstatement]])</f>
        <v>0</v>
      </c>
      <c r="BH1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1" s="18">
        <f t="shared" si="3"/>
        <v>1</v>
      </c>
      <c r="BJ191" s="18">
        <f>PRODUCT($BI$5:BI191)</f>
        <v>0.57146126097022543</v>
      </c>
      <c r="BK191" s="20">
        <f>1 - Audit[[#This Row],[K-M P Value]]</f>
        <v>0.42853873902977457</v>
      </c>
      <c r="BL191" s="18" t="str">
        <f>IF(Audit[[#This Row],[K-M P Value]]&gt;1-'General Info'!$B$12,"Continue", "Stop")</f>
        <v>Continue</v>
      </c>
      <c r="BM191" s="23" t="b">
        <f>IF(Audit[[#This Row],[Status - Continue or stop audit]] = "Continue", TRUE, IF(BL190 = "Continue", TRUE, FALSE))</f>
        <v>1</v>
      </c>
      <c r="BN191" s="23"/>
    </row>
    <row r="192" spans="1:66" ht="15" hidden="1" customHeight="1" x14ac:dyDescent="0.35">
      <c r="A192" s="18" t="str">
        <f>'Sampling Data'!AI192</f>
        <v/>
      </c>
      <c r="B192" s="18" t="str">
        <f>'Sampling Data'!A192</f>
        <v>2617 CIN 26-Q   (AV)</v>
      </c>
      <c r="C192" s="18">
        <f>'Sampling Data'!B192</f>
        <v>0</v>
      </c>
      <c r="D192" s="18">
        <f>'Sampling Data'!C192</f>
        <v>0</v>
      </c>
      <c r="E192" s="19">
        <f>'Sampling Data'!D192</f>
        <v>0</v>
      </c>
      <c r="F192" s="19">
        <f>'Sampling Data'!E192</f>
        <v>0</v>
      </c>
      <c r="G192" s="19">
        <f>'Sampling Data'!F192</f>
        <v>0</v>
      </c>
      <c r="H192" s="19">
        <f>'Sampling Data'!G192</f>
        <v>0</v>
      </c>
      <c r="I192" s="19">
        <f>'Sampling Data'!H192</f>
        <v>0</v>
      </c>
      <c r="J192" s="19">
        <f>'Sampling Data'!I192</f>
        <v>0</v>
      </c>
      <c r="K192" s="19">
        <f>'Sampling Data'!J192</f>
        <v>0</v>
      </c>
      <c r="L192" s="19">
        <f>'Sampling Data'!K192</f>
        <v>0</v>
      </c>
      <c r="M192" s="19">
        <f>'Sampling Data'!L192</f>
        <v>0</v>
      </c>
      <c r="N192" s="19">
        <f>'Sampling Data'!M192</f>
        <v>0</v>
      </c>
      <c r="O192" s="18">
        <f>'Sampling Data'!N192</f>
        <v>0</v>
      </c>
      <c r="P192" s="18">
        <f>'Sampling Data'!O192</f>
        <v>0</v>
      </c>
      <c r="Q192" s="18">
        <f>'Sampling Data'!P192</f>
        <v>0</v>
      </c>
      <c r="R192" s="18">
        <f>'Sampling Data'!AJ192</f>
        <v>0</v>
      </c>
      <c r="S192" s="112"/>
      <c r="T192" s="112"/>
      <c r="U192" s="113"/>
      <c r="V192" s="113"/>
      <c r="W192" s="112"/>
      <c r="X192" s="112"/>
      <c r="Y192" s="112"/>
      <c r="Z192" s="112"/>
      <c r="AA192" s="15"/>
      <c r="AB192" s="15"/>
      <c r="AC192" s="15"/>
      <c r="AD192" s="15"/>
      <c r="AE192" s="114" t="str">
        <f>IF(NOT(ISBLANK(Audit[[#This Row],[Audit Winning Candidate]])), Audit[[#This Row],[Audit Winning Candidate]]-Audit[[#This Row],[Winning Candidate]], "")</f>
        <v/>
      </c>
      <c r="AF192" s="18" t="str">
        <f>IF(NOT(ISBLANK(Audit[[#This Row],[Audit Losing Candidate]])), Audit[[#This Row],[Audit Losing Candidate]]-Audit[[#This Row],[Losing Candidate]], "")</f>
        <v/>
      </c>
      <c r="AG192" s="18" t="str">
        <f>IF(NOT(ISBLANK(Audit[[#This Row],[Audit Candidate 3]])), Audit[[#This Row],[Audit Candidate 3]]-Audit[[#This Row],[Candidate 3]], "")</f>
        <v/>
      </c>
      <c r="AH192" s="18" t="str">
        <f>IF(NOT(ISBLANK(Audit[[#This Row],[Audit Candidate 4]])),Audit[[#This Row],[Audit Candidate 4]]-Audit[[#This Row],[Candidate 4]], "")</f>
        <v/>
      </c>
      <c r="AI192" s="18" t="str">
        <f>IF(NOT(ISBLANK(Audit[[#This Row],[Audit Candidate 5]])), Audit[[#This Row],[Audit Candidate 5]]-Audit[[#This Row],[Candidate 5]], "")</f>
        <v/>
      </c>
      <c r="AJ192" s="18" t="str">
        <f>IF(NOT(ISBLANK(Audit[[#This Row],[Audit Candidate 6]])), Audit[[#This Row],[Audit Candidate 6]]-Audit[[#This Row],[Candidate 6]], "")</f>
        <v/>
      </c>
      <c r="AK192" s="18" t="str">
        <f>IF(NOT(ISBLANK(Audit[[#This Row],[Audit Candidate 7]])), Audit[[#This Row],[Audit Candidate 7]]-Audit[[#This Row],[Candidate 7]], "")</f>
        <v/>
      </c>
      <c r="AL192" s="18" t="str">
        <f>IF(NOT(ISBLANK(Audit[[#This Row],[Audit Candidate 8]])), Audit[[#This Row],[Audit Candidate 8]]-Audit[[#This Row],[Candidate 8]], "")</f>
        <v/>
      </c>
      <c r="AM192" s="18" t="str">
        <f>IF(NOT(ISBLANK(Audit[[#This Row],[Audit Candidate 9]])), Audit[[#This Row],[Audit Candidate 9]]-Audit[[#This Row],[Candidate 9]], "")</f>
        <v/>
      </c>
      <c r="AN192" s="18" t="str">
        <f>IF(NOT(ISBLANK(Audit[[#This Row],[Audit Candidate 10]])), Audit[[#This Row],[Audit Candidate 10]]-Audit[[#This Row],[Candidate 10]], "")</f>
        <v/>
      </c>
      <c r="AO192" s="18" t="str">
        <f>IF(NOT(ISBLANK(Audit[[#This Row],[Audit Candidate 11]])), Audit[[#This Row],[Audit Candidate 11]]-Audit[[#This Row],[Candidate 11]], "")</f>
        <v/>
      </c>
      <c r="AP192" s="18" t="str">
        <f>IF(NOT(ISBLANK(Audit[[#This Row],[Audit Candidate 12]])), Audit[[#This Row],[Audit Candidate 12]]-Audit[[#This Row],[Candidate 12]], "")</f>
        <v/>
      </c>
      <c r="AQ192" s="18">
        <f>SUMIF(Audit[[#This Row],[Difference Winner]:[Difference Candidate 12]], "&gt;0")</f>
        <v>0</v>
      </c>
      <c r="AR192" s="18">
        <f>SUM(Audit[[#This Row],[Difference Winner]:[Difference Candidate 12]])</f>
        <v>0</v>
      </c>
      <c r="AS192" s="18">
        <f>IF(Audit[[#This Row],[Times p Drawn - With Replacement]]&gt;0, IF(Audit[[#This Row],[Canceled Differences]]&lt;0, Audit[[#This Row],[Max Differences]]+ABS(Audit[[#This Row],[Canceled Differences]]), Audit[[#This Row],[Max Differences]]), 0)</f>
        <v>0</v>
      </c>
      <c r="AT192" s="18">
        <f>'Sampling Data'!AB192</f>
        <v>0</v>
      </c>
      <c r="AU192" s="18">
        <f>IF(
      SUM(Audit[[#This Row],[Audit Losing Candidate]:[Audit Candidate 12]])
      &lt;&gt;0,
      (Audit[[#This Row],[Winning Candidate]]-Audit[[#This Row],[Losing Candidate]]-(Audit[[#This Row],[Audit Winning Candidate]]-Audit[[#This Row],[Audit Losing Candidate]]))/(Audit[[#Totals],[Winning Candidate]]-Audit[[#Totals],[Losing Candidate]]),
      0
)</f>
        <v>0</v>
      </c>
      <c r="AV1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8">
        <f>IF(Audit[[#This Row],[Max Relative Error (ep)]] = 0, 0, Audit[[#This Row],[Max Relative Error (ep)]]/Audit[[#This Row],[Error Bound (up) - Max. possible relative overstatement]])</f>
        <v>0</v>
      </c>
      <c r="BH1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2" s="18">
        <f t="shared" si="3"/>
        <v>1</v>
      </c>
      <c r="BJ192" s="18">
        <f>PRODUCT($BI$5:BI192)</f>
        <v>0.57146126097022543</v>
      </c>
      <c r="BK192" s="20">
        <f>1 - Audit[[#This Row],[K-M P Value]]</f>
        <v>0.42853873902977457</v>
      </c>
      <c r="BL192" s="18" t="str">
        <f>IF(Audit[[#This Row],[K-M P Value]]&gt;1-'General Info'!$B$12,"Continue", "Stop")</f>
        <v>Continue</v>
      </c>
      <c r="BM192" s="23" t="b">
        <f>IF(Audit[[#This Row],[Status - Continue or stop audit]] = "Continue", TRUE, IF(BL191 = "Continue", TRUE, FALSE))</f>
        <v>1</v>
      </c>
      <c r="BN192" s="23"/>
    </row>
    <row r="193" spans="1:66" ht="15" hidden="1" customHeight="1" x14ac:dyDescent="0.35">
      <c r="A193" s="18" t="str">
        <f>'Sampling Data'!AI193</f>
        <v/>
      </c>
      <c r="B193" s="18" t="str">
        <f>'Sampling Data'!A193</f>
        <v>2618 CIN 26-R   (AV)</v>
      </c>
      <c r="C193" s="18">
        <f>'Sampling Data'!B193</f>
        <v>2</v>
      </c>
      <c r="D193" s="18">
        <f>'Sampling Data'!C193</f>
        <v>1</v>
      </c>
      <c r="E193" s="19">
        <f>'Sampling Data'!D193</f>
        <v>0</v>
      </c>
      <c r="F193" s="19">
        <f>'Sampling Data'!E193</f>
        <v>0</v>
      </c>
      <c r="G193" s="19">
        <f>'Sampling Data'!F193</f>
        <v>0</v>
      </c>
      <c r="H193" s="19">
        <f>'Sampling Data'!G193</f>
        <v>0</v>
      </c>
      <c r="I193" s="19">
        <f>'Sampling Data'!H193</f>
        <v>0</v>
      </c>
      <c r="J193" s="19">
        <f>'Sampling Data'!I193</f>
        <v>0</v>
      </c>
      <c r="K193" s="19">
        <f>'Sampling Data'!J193</f>
        <v>0</v>
      </c>
      <c r="L193" s="19">
        <f>'Sampling Data'!K193</f>
        <v>0</v>
      </c>
      <c r="M193" s="19">
        <f>'Sampling Data'!L193</f>
        <v>0</v>
      </c>
      <c r="N193" s="19">
        <f>'Sampling Data'!M193</f>
        <v>0</v>
      </c>
      <c r="O193" s="18">
        <f>'Sampling Data'!N193</f>
        <v>0</v>
      </c>
      <c r="P193" s="18">
        <f>'Sampling Data'!O193</f>
        <v>0</v>
      </c>
      <c r="Q193" s="18">
        <f>'Sampling Data'!P193</f>
        <v>3</v>
      </c>
      <c r="R193" s="18">
        <f>'Sampling Data'!AJ193</f>
        <v>0</v>
      </c>
      <c r="S193" s="112"/>
      <c r="T193" s="112"/>
      <c r="U193" s="113"/>
      <c r="V193" s="113"/>
      <c r="W193" s="112"/>
      <c r="X193" s="112"/>
      <c r="Y193" s="112"/>
      <c r="Z193" s="112"/>
      <c r="AA193" s="15"/>
      <c r="AB193" s="15"/>
      <c r="AC193" s="15"/>
      <c r="AD193" s="15"/>
      <c r="AE193" s="114" t="str">
        <f>IF(NOT(ISBLANK(Audit[[#This Row],[Audit Winning Candidate]])), Audit[[#This Row],[Audit Winning Candidate]]-Audit[[#This Row],[Winning Candidate]], "")</f>
        <v/>
      </c>
      <c r="AF193" s="18" t="str">
        <f>IF(NOT(ISBLANK(Audit[[#This Row],[Audit Losing Candidate]])), Audit[[#This Row],[Audit Losing Candidate]]-Audit[[#This Row],[Losing Candidate]], "")</f>
        <v/>
      </c>
      <c r="AG193" s="18" t="str">
        <f>IF(NOT(ISBLANK(Audit[[#This Row],[Audit Candidate 3]])), Audit[[#This Row],[Audit Candidate 3]]-Audit[[#This Row],[Candidate 3]], "")</f>
        <v/>
      </c>
      <c r="AH193" s="18" t="str">
        <f>IF(NOT(ISBLANK(Audit[[#This Row],[Audit Candidate 4]])),Audit[[#This Row],[Audit Candidate 4]]-Audit[[#This Row],[Candidate 4]], "")</f>
        <v/>
      </c>
      <c r="AI193" s="18" t="str">
        <f>IF(NOT(ISBLANK(Audit[[#This Row],[Audit Candidate 5]])), Audit[[#This Row],[Audit Candidate 5]]-Audit[[#This Row],[Candidate 5]], "")</f>
        <v/>
      </c>
      <c r="AJ193" s="18" t="str">
        <f>IF(NOT(ISBLANK(Audit[[#This Row],[Audit Candidate 6]])), Audit[[#This Row],[Audit Candidate 6]]-Audit[[#This Row],[Candidate 6]], "")</f>
        <v/>
      </c>
      <c r="AK193" s="18" t="str">
        <f>IF(NOT(ISBLANK(Audit[[#This Row],[Audit Candidate 7]])), Audit[[#This Row],[Audit Candidate 7]]-Audit[[#This Row],[Candidate 7]], "")</f>
        <v/>
      </c>
      <c r="AL193" s="18" t="str">
        <f>IF(NOT(ISBLANK(Audit[[#This Row],[Audit Candidate 8]])), Audit[[#This Row],[Audit Candidate 8]]-Audit[[#This Row],[Candidate 8]], "")</f>
        <v/>
      </c>
      <c r="AM193" s="18" t="str">
        <f>IF(NOT(ISBLANK(Audit[[#This Row],[Audit Candidate 9]])), Audit[[#This Row],[Audit Candidate 9]]-Audit[[#This Row],[Candidate 9]], "")</f>
        <v/>
      </c>
      <c r="AN193" s="18" t="str">
        <f>IF(NOT(ISBLANK(Audit[[#This Row],[Audit Candidate 10]])), Audit[[#This Row],[Audit Candidate 10]]-Audit[[#This Row],[Candidate 10]], "")</f>
        <v/>
      </c>
      <c r="AO193" s="18" t="str">
        <f>IF(NOT(ISBLANK(Audit[[#This Row],[Audit Candidate 11]])), Audit[[#This Row],[Audit Candidate 11]]-Audit[[#This Row],[Candidate 11]], "")</f>
        <v/>
      </c>
      <c r="AP193" s="18" t="str">
        <f>IF(NOT(ISBLANK(Audit[[#This Row],[Audit Candidate 12]])), Audit[[#This Row],[Audit Candidate 12]]-Audit[[#This Row],[Candidate 12]], "")</f>
        <v/>
      </c>
      <c r="AQ193" s="18">
        <f>SUMIF(Audit[[#This Row],[Difference Winner]:[Difference Candidate 12]], "&gt;0")</f>
        <v>0</v>
      </c>
      <c r="AR193" s="18">
        <f>SUM(Audit[[#This Row],[Difference Winner]:[Difference Candidate 12]])</f>
        <v>0</v>
      </c>
      <c r="AS193" s="18">
        <f>IF(Audit[[#This Row],[Times p Drawn - With Replacement]]&gt;0, IF(Audit[[#This Row],[Canceled Differences]]&lt;0, Audit[[#This Row],[Max Differences]]+ABS(Audit[[#This Row],[Canceled Differences]]), Audit[[#This Row],[Max Differences]]), 0)</f>
        <v>0</v>
      </c>
      <c r="AT193" s="18">
        <f>'Sampling Data'!AB193</f>
        <v>1.2563997864120362E-4</v>
      </c>
      <c r="AU193" s="18">
        <f>IF(
      SUM(Audit[[#This Row],[Audit Losing Candidate]:[Audit Candidate 12]])
      &lt;&gt;0,
      (Audit[[#This Row],[Winning Candidate]]-Audit[[#This Row],[Losing Candidate]]-(Audit[[#This Row],[Audit Winning Candidate]]-Audit[[#This Row],[Audit Losing Candidate]]))/(Audit[[#Totals],[Winning Candidate]]-Audit[[#Totals],[Losing Candidate]]),
      0
)</f>
        <v>0</v>
      </c>
      <c r="AV1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8">
        <f>IF(Audit[[#This Row],[Max Relative Error (ep)]] = 0, 0, Audit[[#This Row],[Max Relative Error (ep)]]/Audit[[#This Row],[Error Bound (up) - Max. possible relative overstatement]])</f>
        <v>0</v>
      </c>
      <c r="BH1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3" s="18">
        <f t="shared" si="3"/>
        <v>1</v>
      </c>
      <c r="BJ193" s="18">
        <f>PRODUCT($BI$5:BI193)</f>
        <v>0.57146126097022543</v>
      </c>
      <c r="BK193" s="20">
        <f>1 - Audit[[#This Row],[K-M P Value]]</f>
        <v>0.42853873902977457</v>
      </c>
      <c r="BL193" s="18" t="str">
        <f>IF(Audit[[#This Row],[K-M P Value]]&gt;1-'General Info'!$B$12,"Continue", "Stop")</f>
        <v>Continue</v>
      </c>
      <c r="BM193" s="23" t="b">
        <f>IF(Audit[[#This Row],[Status - Continue or stop audit]] = "Continue", TRUE, IF(BL192 = "Continue", TRUE, FALSE))</f>
        <v>1</v>
      </c>
      <c r="BN193" s="23"/>
    </row>
    <row r="194" spans="1:66" ht="15" hidden="1" customHeight="1" x14ac:dyDescent="0.35">
      <c r="A194" s="18" t="str">
        <f>'Sampling Data'!AI194</f>
        <v/>
      </c>
      <c r="B194" s="18" t="str">
        <f>'Sampling Data'!A194</f>
        <v>2619 CIN 26-S   (AV)</v>
      </c>
      <c r="C194" s="18">
        <f>'Sampling Data'!B194</f>
        <v>6</v>
      </c>
      <c r="D194" s="18">
        <f>'Sampling Data'!C194</f>
        <v>0</v>
      </c>
      <c r="E194" s="19">
        <f>'Sampling Data'!D194</f>
        <v>0</v>
      </c>
      <c r="F194" s="19">
        <f>'Sampling Data'!E194</f>
        <v>0</v>
      </c>
      <c r="G194" s="19">
        <f>'Sampling Data'!F194</f>
        <v>0</v>
      </c>
      <c r="H194" s="19">
        <f>'Sampling Data'!G194</f>
        <v>0</v>
      </c>
      <c r="I194" s="19">
        <f>'Sampling Data'!H194</f>
        <v>0</v>
      </c>
      <c r="J194" s="19">
        <f>'Sampling Data'!I194</f>
        <v>0</v>
      </c>
      <c r="K194" s="19">
        <f>'Sampling Data'!J194</f>
        <v>0</v>
      </c>
      <c r="L194" s="19">
        <f>'Sampling Data'!K194</f>
        <v>0</v>
      </c>
      <c r="M194" s="19">
        <f>'Sampling Data'!L194</f>
        <v>0</v>
      </c>
      <c r="N194" s="19">
        <f>'Sampling Data'!M194</f>
        <v>0</v>
      </c>
      <c r="O194" s="18">
        <f>'Sampling Data'!N194</f>
        <v>0</v>
      </c>
      <c r="P194" s="18">
        <f>'Sampling Data'!O194</f>
        <v>0</v>
      </c>
      <c r="Q194" s="18">
        <f>'Sampling Data'!P194</f>
        <v>6</v>
      </c>
      <c r="R194" s="18">
        <f>'Sampling Data'!AJ194</f>
        <v>0</v>
      </c>
      <c r="S194" s="112"/>
      <c r="T194" s="112"/>
      <c r="U194" s="113"/>
      <c r="V194" s="113"/>
      <c r="W194" s="112"/>
      <c r="X194" s="112"/>
      <c r="Y194" s="112"/>
      <c r="Z194" s="112"/>
      <c r="AA194" s="15"/>
      <c r="AB194" s="15"/>
      <c r="AC194" s="15"/>
      <c r="AD194" s="15"/>
      <c r="AE194" s="114" t="str">
        <f>IF(NOT(ISBLANK(Audit[[#This Row],[Audit Winning Candidate]])), Audit[[#This Row],[Audit Winning Candidate]]-Audit[[#This Row],[Winning Candidate]], "")</f>
        <v/>
      </c>
      <c r="AF194" s="18" t="str">
        <f>IF(NOT(ISBLANK(Audit[[#This Row],[Audit Losing Candidate]])), Audit[[#This Row],[Audit Losing Candidate]]-Audit[[#This Row],[Losing Candidate]], "")</f>
        <v/>
      </c>
      <c r="AG194" s="18" t="str">
        <f>IF(NOT(ISBLANK(Audit[[#This Row],[Audit Candidate 3]])), Audit[[#This Row],[Audit Candidate 3]]-Audit[[#This Row],[Candidate 3]], "")</f>
        <v/>
      </c>
      <c r="AH194" s="18" t="str">
        <f>IF(NOT(ISBLANK(Audit[[#This Row],[Audit Candidate 4]])),Audit[[#This Row],[Audit Candidate 4]]-Audit[[#This Row],[Candidate 4]], "")</f>
        <v/>
      </c>
      <c r="AI194" s="18" t="str">
        <f>IF(NOT(ISBLANK(Audit[[#This Row],[Audit Candidate 5]])), Audit[[#This Row],[Audit Candidate 5]]-Audit[[#This Row],[Candidate 5]], "")</f>
        <v/>
      </c>
      <c r="AJ194" s="18" t="str">
        <f>IF(NOT(ISBLANK(Audit[[#This Row],[Audit Candidate 6]])), Audit[[#This Row],[Audit Candidate 6]]-Audit[[#This Row],[Candidate 6]], "")</f>
        <v/>
      </c>
      <c r="AK194" s="18" t="str">
        <f>IF(NOT(ISBLANK(Audit[[#This Row],[Audit Candidate 7]])), Audit[[#This Row],[Audit Candidate 7]]-Audit[[#This Row],[Candidate 7]], "")</f>
        <v/>
      </c>
      <c r="AL194" s="18" t="str">
        <f>IF(NOT(ISBLANK(Audit[[#This Row],[Audit Candidate 8]])), Audit[[#This Row],[Audit Candidate 8]]-Audit[[#This Row],[Candidate 8]], "")</f>
        <v/>
      </c>
      <c r="AM194" s="18" t="str">
        <f>IF(NOT(ISBLANK(Audit[[#This Row],[Audit Candidate 9]])), Audit[[#This Row],[Audit Candidate 9]]-Audit[[#This Row],[Candidate 9]], "")</f>
        <v/>
      </c>
      <c r="AN194" s="18" t="str">
        <f>IF(NOT(ISBLANK(Audit[[#This Row],[Audit Candidate 10]])), Audit[[#This Row],[Audit Candidate 10]]-Audit[[#This Row],[Candidate 10]], "")</f>
        <v/>
      </c>
      <c r="AO194" s="18" t="str">
        <f>IF(NOT(ISBLANK(Audit[[#This Row],[Audit Candidate 11]])), Audit[[#This Row],[Audit Candidate 11]]-Audit[[#This Row],[Candidate 11]], "")</f>
        <v/>
      </c>
      <c r="AP194" s="18" t="str">
        <f>IF(NOT(ISBLANK(Audit[[#This Row],[Audit Candidate 12]])), Audit[[#This Row],[Audit Candidate 12]]-Audit[[#This Row],[Candidate 12]], "")</f>
        <v/>
      </c>
      <c r="AQ194" s="18">
        <f>SUMIF(Audit[[#This Row],[Difference Winner]:[Difference Candidate 12]], "&gt;0")</f>
        <v>0</v>
      </c>
      <c r="AR194" s="18">
        <f>SUM(Audit[[#This Row],[Difference Winner]:[Difference Candidate 12]])</f>
        <v>0</v>
      </c>
      <c r="AS194" s="18">
        <f>IF(Audit[[#This Row],[Times p Drawn - With Replacement]]&gt;0, IF(Audit[[#This Row],[Canceled Differences]]&lt;0, Audit[[#This Row],[Max Differences]]+ABS(Audit[[#This Row],[Canceled Differences]]), Audit[[#This Row],[Max Differences]]), 0)</f>
        <v>0</v>
      </c>
      <c r="AT194" s="18">
        <f>'Sampling Data'!AB194</f>
        <v>3.7691993592361088E-4</v>
      </c>
      <c r="AU194" s="18">
        <f>IF(
      SUM(Audit[[#This Row],[Audit Losing Candidate]:[Audit Candidate 12]])
      &lt;&gt;0,
      (Audit[[#This Row],[Winning Candidate]]-Audit[[#This Row],[Losing Candidate]]-(Audit[[#This Row],[Audit Winning Candidate]]-Audit[[#This Row],[Audit Losing Candidate]]))/(Audit[[#Totals],[Winning Candidate]]-Audit[[#Totals],[Losing Candidate]]),
      0
)</f>
        <v>0</v>
      </c>
      <c r="AV1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8">
        <f>IF(Audit[[#This Row],[Max Relative Error (ep)]] = 0, 0, Audit[[#This Row],[Max Relative Error (ep)]]/Audit[[#This Row],[Error Bound (up) - Max. possible relative overstatement]])</f>
        <v>0</v>
      </c>
      <c r="BH1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4" s="18">
        <f t="shared" si="3"/>
        <v>1</v>
      </c>
      <c r="BJ194" s="18">
        <f>PRODUCT($BI$5:BI194)</f>
        <v>0.57146126097022543</v>
      </c>
      <c r="BK194" s="20">
        <f>1 - Audit[[#This Row],[K-M P Value]]</f>
        <v>0.42853873902977457</v>
      </c>
      <c r="BL194" s="18" t="str">
        <f>IF(Audit[[#This Row],[K-M P Value]]&gt;1-'General Info'!$B$12,"Continue", "Stop")</f>
        <v>Continue</v>
      </c>
      <c r="BM194" s="23" t="b">
        <f>IF(Audit[[#This Row],[Status - Continue or stop audit]] = "Continue", TRUE, IF(BL193 = "Continue", TRUE, FALSE))</f>
        <v>1</v>
      </c>
      <c r="BN194" s="23"/>
    </row>
    <row r="195" spans="1:66" ht="15" hidden="1" customHeight="1" x14ac:dyDescent="0.35">
      <c r="A195" s="18" t="str">
        <f>'Sampling Data'!AI195</f>
        <v/>
      </c>
      <c r="B195" s="18" t="str">
        <f>'Sampling Data'!A195</f>
        <v>2811 BLUE 1-A   (AV)</v>
      </c>
      <c r="C195" s="18">
        <f>'Sampling Data'!B195</f>
        <v>5</v>
      </c>
      <c r="D195" s="18">
        <f>'Sampling Data'!C195</f>
        <v>0</v>
      </c>
      <c r="E195" s="19">
        <f>'Sampling Data'!D195</f>
        <v>0</v>
      </c>
      <c r="F195" s="19">
        <f>'Sampling Data'!E195</f>
        <v>0</v>
      </c>
      <c r="G195" s="19">
        <f>'Sampling Data'!F195</f>
        <v>0</v>
      </c>
      <c r="H195" s="19">
        <f>'Sampling Data'!G195</f>
        <v>0</v>
      </c>
      <c r="I195" s="19">
        <f>'Sampling Data'!H195</f>
        <v>0</v>
      </c>
      <c r="J195" s="19">
        <f>'Sampling Data'!I195</f>
        <v>0</v>
      </c>
      <c r="K195" s="19">
        <f>'Sampling Data'!J195</f>
        <v>0</v>
      </c>
      <c r="L195" s="19">
        <f>'Sampling Data'!K195</f>
        <v>0</v>
      </c>
      <c r="M195" s="19">
        <f>'Sampling Data'!L195</f>
        <v>0</v>
      </c>
      <c r="N195" s="19">
        <f>'Sampling Data'!M195</f>
        <v>0</v>
      </c>
      <c r="O195" s="18">
        <f>'Sampling Data'!N195</f>
        <v>0</v>
      </c>
      <c r="P195" s="18">
        <f>'Sampling Data'!O195</f>
        <v>0</v>
      </c>
      <c r="Q195" s="18">
        <f>'Sampling Data'!P195</f>
        <v>5</v>
      </c>
      <c r="R195" s="18">
        <f>'Sampling Data'!AJ195</f>
        <v>0</v>
      </c>
      <c r="S195" s="112"/>
      <c r="T195" s="112"/>
      <c r="U195" s="113"/>
      <c r="V195" s="113"/>
      <c r="W195" s="112"/>
      <c r="X195" s="112"/>
      <c r="Y195" s="112"/>
      <c r="Z195" s="112"/>
      <c r="AA195" s="15"/>
      <c r="AB195" s="15"/>
      <c r="AC195" s="15"/>
      <c r="AD195" s="15"/>
      <c r="AE195" s="114" t="str">
        <f>IF(NOT(ISBLANK(Audit[[#This Row],[Audit Winning Candidate]])), Audit[[#This Row],[Audit Winning Candidate]]-Audit[[#This Row],[Winning Candidate]], "")</f>
        <v/>
      </c>
      <c r="AF195" s="18" t="str">
        <f>IF(NOT(ISBLANK(Audit[[#This Row],[Audit Losing Candidate]])), Audit[[#This Row],[Audit Losing Candidate]]-Audit[[#This Row],[Losing Candidate]], "")</f>
        <v/>
      </c>
      <c r="AG195" s="18" t="str">
        <f>IF(NOT(ISBLANK(Audit[[#This Row],[Audit Candidate 3]])), Audit[[#This Row],[Audit Candidate 3]]-Audit[[#This Row],[Candidate 3]], "")</f>
        <v/>
      </c>
      <c r="AH195" s="18" t="str">
        <f>IF(NOT(ISBLANK(Audit[[#This Row],[Audit Candidate 4]])),Audit[[#This Row],[Audit Candidate 4]]-Audit[[#This Row],[Candidate 4]], "")</f>
        <v/>
      </c>
      <c r="AI195" s="18" t="str">
        <f>IF(NOT(ISBLANK(Audit[[#This Row],[Audit Candidate 5]])), Audit[[#This Row],[Audit Candidate 5]]-Audit[[#This Row],[Candidate 5]], "")</f>
        <v/>
      </c>
      <c r="AJ195" s="18" t="str">
        <f>IF(NOT(ISBLANK(Audit[[#This Row],[Audit Candidate 6]])), Audit[[#This Row],[Audit Candidate 6]]-Audit[[#This Row],[Candidate 6]], "")</f>
        <v/>
      </c>
      <c r="AK195" s="18" t="str">
        <f>IF(NOT(ISBLANK(Audit[[#This Row],[Audit Candidate 7]])), Audit[[#This Row],[Audit Candidate 7]]-Audit[[#This Row],[Candidate 7]], "")</f>
        <v/>
      </c>
      <c r="AL195" s="18" t="str">
        <f>IF(NOT(ISBLANK(Audit[[#This Row],[Audit Candidate 8]])), Audit[[#This Row],[Audit Candidate 8]]-Audit[[#This Row],[Candidate 8]], "")</f>
        <v/>
      </c>
      <c r="AM195" s="18" t="str">
        <f>IF(NOT(ISBLANK(Audit[[#This Row],[Audit Candidate 9]])), Audit[[#This Row],[Audit Candidate 9]]-Audit[[#This Row],[Candidate 9]], "")</f>
        <v/>
      </c>
      <c r="AN195" s="18" t="str">
        <f>IF(NOT(ISBLANK(Audit[[#This Row],[Audit Candidate 10]])), Audit[[#This Row],[Audit Candidate 10]]-Audit[[#This Row],[Candidate 10]], "")</f>
        <v/>
      </c>
      <c r="AO195" s="18" t="str">
        <f>IF(NOT(ISBLANK(Audit[[#This Row],[Audit Candidate 11]])), Audit[[#This Row],[Audit Candidate 11]]-Audit[[#This Row],[Candidate 11]], "")</f>
        <v/>
      </c>
      <c r="AP195" s="18" t="str">
        <f>IF(NOT(ISBLANK(Audit[[#This Row],[Audit Candidate 12]])), Audit[[#This Row],[Audit Candidate 12]]-Audit[[#This Row],[Candidate 12]], "")</f>
        <v/>
      </c>
      <c r="AQ195" s="18">
        <f>SUMIF(Audit[[#This Row],[Difference Winner]:[Difference Candidate 12]], "&gt;0")</f>
        <v>0</v>
      </c>
      <c r="AR195" s="18">
        <f>SUM(Audit[[#This Row],[Difference Winner]:[Difference Candidate 12]])</f>
        <v>0</v>
      </c>
      <c r="AS195" s="18">
        <f>IF(Audit[[#This Row],[Times p Drawn - With Replacement]]&gt;0, IF(Audit[[#This Row],[Canceled Differences]]&lt;0, Audit[[#This Row],[Max Differences]]+ABS(Audit[[#This Row],[Canceled Differences]]), Audit[[#This Row],[Max Differences]]), 0)</f>
        <v>0</v>
      </c>
      <c r="AT195" s="18">
        <f>'Sampling Data'!AB195</f>
        <v>3.1409994660300906E-4</v>
      </c>
      <c r="AU195" s="18">
        <f>IF(
      SUM(Audit[[#This Row],[Audit Losing Candidate]:[Audit Candidate 12]])
      &lt;&gt;0,
      (Audit[[#This Row],[Winning Candidate]]-Audit[[#This Row],[Losing Candidate]]-(Audit[[#This Row],[Audit Winning Candidate]]-Audit[[#This Row],[Audit Losing Candidate]]))/(Audit[[#Totals],[Winning Candidate]]-Audit[[#Totals],[Losing Candidate]]),
      0
)</f>
        <v>0</v>
      </c>
      <c r="AV1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8">
        <f>IF(Audit[[#This Row],[Max Relative Error (ep)]] = 0, 0, Audit[[#This Row],[Max Relative Error (ep)]]/Audit[[#This Row],[Error Bound (up) - Max. possible relative overstatement]])</f>
        <v>0</v>
      </c>
      <c r="BH1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5" s="18">
        <f t="shared" si="3"/>
        <v>1</v>
      </c>
      <c r="BJ195" s="18">
        <f>PRODUCT($BI$5:BI195)</f>
        <v>0.57146126097022543</v>
      </c>
      <c r="BK195" s="20">
        <f>1 - Audit[[#This Row],[K-M P Value]]</f>
        <v>0.42853873902977457</v>
      </c>
      <c r="BL195" s="18" t="str">
        <f>IF(Audit[[#This Row],[K-M P Value]]&gt;1-'General Info'!$B$12,"Continue", "Stop")</f>
        <v>Continue</v>
      </c>
      <c r="BM195" s="23" t="b">
        <f>IF(Audit[[#This Row],[Status - Continue or stop audit]] = "Continue", TRUE, IF(BL194 = "Continue", TRUE, FALSE))</f>
        <v>1</v>
      </c>
      <c r="BN195" s="23"/>
    </row>
    <row r="196" spans="1:66" ht="15" hidden="1" customHeight="1" x14ac:dyDescent="0.35">
      <c r="A196" s="18" t="str">
        <f>'Sampling Data'!AI196</f>
        <v/>
      </c>
      <c r="B196" s="18" t="str">
        <f>'Sampling Data'!A196</f>
        <v>2812 BLUE 1-B   (AV)</v>
      </c>
      <c r="C196" s="18">
        <f>'Sampling Data'!B196</f>
        <v>9</v>
      </c>
      <c r="D196" s="18">
        <f>'Sampling Data'!C196</f>
        <v>0</v>
      </c>
      <c r="E196" s="19">
        <f>'Sampling Data'!D196</f>
        <v>0</v>
      </c>
      <c r="F196" s="19">
        <f>'Sampling Data'!E196</f>
        <v>0</v>
      </c>
      <c r="G196" s="19">
        <f>'Sampling Data'!F196</f>
        <v>0</v>
      </c>
      <c r="H196" s="19">
        <f>'Sampling Data'!G196</f>
        <v>0</v>
      </c>
      <c r="I196" s="19">
        <f>'Sampling Data'!H196</f>
        <v>0</v>
      </c>
      <c r="J196" s="19">
        <f>'Sampling Data'!I196</f>
        <v>0</v>
      </c>
      <c r="K196" s="19">
        <f>'Sampling Data'!J196</f>
        <v>0</v>
      </c>
      <c r="L196" s="19">
        <f>'Sampling Data'!K196</f>
        <v>0</v>
      </c>
      <c r="M196" s="19">
        <f>'Sampling Data'!L196</f>
        <v>0</v>
      </c>
      <c r="N196" s="19">
        <f>'Sampling Data'!M196</f>
        <v>0</v>
      </c>
      <c r="O196" s="18">
        <f>'Sampling Data'!N196</f>
        <v>0</v>
      </c>
      <c r="P196" s="18">
        <f>'Sampling Data'!O196</f>
        <v>0</v>
      </c>
      <c r="Q196" s="18">
        <f>'Sampling Data'!P196</f>
        <v>9</v>
      </c>
      <c r="R196" s="18">
        <f>'Sampling Data'!AJ196</f>
        <v>0</v>
      </c>
      <c r="S196" s="112"/>
      <c r="T196" s="112"/>
      <c r="U196" s="113"/>
      <c r="V196" s="113"/>
      <c r="W196" s="112"/>
      <c r="X196" s="112"/>
      <c r="Y196" s="112"/>
      <c r="Z196" s="112"/>
      <c r="AA196" s="15"/>
      <c r="AB196" s="15"/>
      <c r="AC196" s="15"/>
      <c r="AD196" s="15"/>
      <c r="AE196" s="114" t="str">
        <f>IF(NOT(ISBLANK(Audit[[#This Row],[Audit Winning Candidate]])), Audit[[#This Row],[Audit Winning Candidate]]-Audit[[#This Row],[Winning Candidate]], "")</f>
        <v/>
      </c>
      <c r="AF196" s="18" t="str">
        <f>IF(NOT(ISBLANK(Audit[[#This Row],[Audit Losing Candidate]])), Audit[[#This Row],[Audit Losing Candidate]]-Audit[[#This Row],[Losing Candidate]], "")</f>
        <v/>
      </c>
      <c r="AG196" s="18" t="str">
        <f>IF(NOT(ISBLANK(Audit[[#This Row],[Audit Candidate 3]])), Audit[[#This Row],[Audit Candidate 3]]-Audit[[#This Row],[Candidate 3]], "")</f>
        <v/>
      </c>
      <c r="AH196" s="18" t="str">
        <f>IF(NOT(ISBLANK(Audit[[#This Row],[Audit Candidate 4]])),Audit[[#This Row],[Audit Candidate 4]]-Audit[[#This Row],[Candidate 4]], "")</f>
        <v/>
      </c>
      <c r="AI196" s="18" t="str">
        <f>IF(NOT(ISBLANK(Audit[[#This Row],[Audit Candidate 5]])), Audit[[#This Row],[Audit Candidate 5]]-Audit[[#This Row],[Candidate 5]], "")</f>
        <v/>
      </c>
      <c r="AJ196" s="18" t="str">
        <f>IF(NOT(ISBLANK(Audit[[#This Row],[Audit Candidate 6]])), Audit[[#This Row],[Audit Candidate 6]]-Audit[[#This Row],[Candidate 6]], "")</f>
        <v/>
      </c>
      <c r="AK196" s="18" t="str">
        <f>IF(NOT(ISBLANK(Audit[[#This Row],[Audit Candidate 7]])), Audit[[#This Row],[Audit Candidate 7]]-Audit[[#This Row],[Candidate 7]], "")</f>
        <v/>
      </c>
      <c r="AL196" s="18" t="str">
        <f>IF(NOT(ISBLANK(Audit[[#This Row],[Audit Candidate 8]])), Audit[[#This Row],[Audit Candidate 8]]-Audit[[#This Row],[Candidate 8]], "")</f>
        <v/>
      </c>
      <c r="AM196" s="18" t="str">
        <f>IF(NOT(ISBLANK(Audit[[#This Row],[Audit Candidate 9]])), Audit[[#This Row],[Audit Candidate 9]]-Audit[[#This Row],[Candidate 9]], "")</f>
        <v/>
      </c>
      <c r="AN196" s="18" t="str">
        <f>IF(NOT(ISBLANK(Audit[[#This Row],[Audit Candidate 10]])), Audit[[#This Row],[Audit Candidate 10]]-Audit[[#This Row],[Candidate 10]], "")</f>
        <v/>
      </c>
      <c r="AO196" s="18" t="str">
        <f>IF(NOT(ISBLANK(Audit[[#This Row],[Audit Candidate 11]])), Audit[[#This Row],[Audit Candidate 11]]-Audit[[#This Row],[Candidate 11]], "")</f>
        <v/>
      </c>
      <c r="AP196" s="18" t="str">
        <f>IF(NOT(ISBLANK(Audit[[#This Row],[Audit Candidate 12]])), Audit[[#This Row],[Audit Candidate 12]]-Audit[[#This Row],[Candidate 12]], "")</f>
        <v/>
      </c>
      <c r="AQ196" s="18">
        <f>SUMIF(Audit[[#This Row],[Difference Winner]:[Difference Candidate 12]], "&gt;0")</f>
        <v>0</v>
      </c>
      <c r="AR196" s="18">
        <f>SUM(Audit[[#This Row],[Difference Winner]:[Difference Candidate 12]])</f>
        <v>0</v>
      </c>
      <c r="AS196" s="18">
        <f>IF(Audit[[#This Row],[Times p Drawn - With Replacement]]&gt;0, IF(Audit[[#This Row],[Canceled Differences]]&lt;0, Audit[[#This Row],[Max Differences]]+ABS(Audit[[#This Row],[Canceled Differences]]), Audit[[#This Row],[Max Differences]]), 0)</f>
        <v>0</v>
      </c>
      <c r="AT196" s="18">
        <f>'Sampling Data'!AB196</f>
        <v>5.6537990388541635E-4</v>
      </c>
      <c r="AU196" s="18">
        <f>IF(
      SUM(Audit[[#This Row],[Audit Losing Candidate]:[Audit Candidate 12]])
      &lt;&gt;0,
      (Audit[[#This Row],[Winning Candidate]]-Audit[[#This Row],[Losing Candidate]]-(Audit[[#This Row],[Audit Winning Candidate]]-Audit[[#This Row],[Audit Losing Candidate]]))/(Audit[[#Totals],[Winning Candidate]]-Audit[[#Totals],[Losing Candidate]]),
      0
)</f>
        <v>0</v>
      </c>
      <c r="AV1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8">
        <f>IF(Audit[[#This Row],[Max Relative Error (ep)]] = 0, 0, Audit[[#This Row],[Max Relative Error (ep)]]/Audit[[#This Row],[Error Bound (up) - Max. possible relative overstatement]])</f>
        <v>0</v>
      </c>
      <c r="BH1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6" s="18">
        <f t="shared" si="3"/>
        <v>1</v>
      </c>
      <c r="BJ196" s="18">
        <f>PRODUCT($BI$5:BI196)</f>
        <v>0.57146126097022543</v>
      </c>
      <c r="BK196" s="20">
        <f>1 - Audit[[#This Row],[K-M P Value]]</f>
        <v>0.42853873902977457</v>
      </c>
      <c r="BL196" s="18" t="str">
        <f>IF(Audit[[#This Row],[K-M P Value]]&gt;1-'General Info'!$B$12,"Continue", "Stop")</f>
        <v>Continue</v>
      </c>
      <c r="BM196" s="23" t="b">
        <f>IF(Audit[[#This Row],[Status - Continue or stop audit]] = "Continue", TRUE, IF(BL195 = "Continue", TRUE, FALSE))</f>
        <v>1</v>
      </c>
      <c r="BN196" s="23"/>
    </row>
    <row r="197" spans="1:66" ht="15" hidden="1" customHeight="1" x14ac:dyDescent="0.35">
      <c r="A197" s="18" t="str">
        <f>'Sampling Data'!AI197</f>
        <v/>
      </c>
      <c r="B197" s="18" t="str">
        <f>'Sampling Data'!A197</f>
        <v>2821 BLUE 2-A   (AV)</v>
      </c>
      <c r="C197" s="18">
        <f>'Sampling Data'!B197</f>
        <v>15</v>
      </c>
      <c r="D197" s="18">
        <f>'Sampling Data'!C197</f>
        <v>0</v>
      </c>
      <c r="E197" s="19">
        <f>'Sampling Data'!D197</f>
        <v>0</v>
      </c>
      <c r="F197" s="19">
        <f>'Sampling Data'!E197</f>
        <v>0</v>
      </c>
      <c r="G197" s="19">
        <f>'Sampling Data'!F197</f>
        <v>0</v>
      </c>
      <c r="H197" s="19">
        <f>'Sampling Data'!G197</f>
        <v>0</v>
      </c>
      <c r="I197" s="19">
        <f>'Sampling Data'!H197</f>
        <v>0</v>
      </c>
      <c r="J197" s="19">
        <f>'Sampling Data'!I197</f>
        <v>0</v>
      </c>
      <c r="K197" s="19">
        <f>'Sampling Data'!J197</f>
        <v>0</v>
      </c>
      <c r="L197" s="19">
        <f>'Sampling Data'!K197</f>
        <v>0</v>
      </c>
      <c r="M197" s="19">
        <f>'Sampling Data'!L197</f>
        <v>0</v>
      </c>
      <c r="N197" s="19">
        <f>'Sampling Data'!M197</f>
        <v>0</v>
      </c>
      <c r="O197" s="18">
        <f>'Sampling Data'!N197</f>
        <v>0</v>
      </c>
      <c r="P197" s="18">
        <f>'Sampling Data'!O197</f>
        <v>0</v>
      </c>
      <c r="Q197" s="18">
        <f>'Sampling Data'!P197</f>
        <v>15</v>
      </c>
      <c r="R197" s="18">
        <f>'Sampling Data'!AJ197</f>
        <v>0</v>
      </c>
      <c r="S197" s="112"/>
      <c r="T197" s="112"/>
      <c r="U197" s="113"/>
      <c r="V197" s="113"/>
      <c r="W197" s="112"/>
      <c r="X197" s="112"/>
      <c r="Y197" s="112"/>
      <c r="Z197" s="112"/>
      <c r="AA197" s="15"/>
      <c r="AB197" s="15"/>
      <c r="AC197" s="15"/>
      <c r="AD197" s="15"/>
      <c r="AE197" s="114" t="str">
        <f>IF(NOT(ISBLANK(Audit[[#This Row],[Audit Winning Candidate]])), Audit[[#This Row],[Audit Winning Candidate]]-Audit[[#This Row],[Winning Candidate]], "")</f>
        <v/>
      </c>
      <c r="AF197" s="18" t="str">
        <f>IF(NOT(ISBLANK(Audit[[#This Row],[Audit Losing Candidate]])), Audit[[#This Row],[Audit Losing Candidate]]-Audit[[#This Row],[Losing Candidate]], "")</f>
        <v/>
      </c>
      <c r="AG197" s="18" t="str">
        <f>IF(NOT(ISBLANK(Audit[[#This Row],[Audit Candidate 3]])), Audit[[#This Row],[Audit Candidate 3]]-Audit[[#This Row],[Candidate 3]], "")</f>
        <v/>
      </c>
      <c r="AH197" s="18" t="str">
        <f>IF(NOT(ISBLANK(Audit[[#This Row],[Audit Candidate 4]])),Audit[[#This Row],[Audit Candidate 4]]-Audit[[#This Row],[Candidate 4]], "")</f>
        <v/>
      </c>
      <c r="AI197" s="18" t="str">
        <f>IF(NOT(ISBLANK(Audit[[#This Row],[Audit Candidate 5]])), Audit[[#This Row],[Audit Candidate 5]]-Audit[[#This Row],[Candidate 5]], "")</f>
        <v/>
      </c>
      <c r="AJ197" s="18" t="str">
        <f>IF(NOT(ISBLANK(Audit[[#This Row],[Audit Candidate 6]])), Audit[[#This Row],[Audit Candidate 6]]-Audit[[#This Row],[Candidate 6]], "")</f>
        <v/>
      </c>
      <c r="AK197" s="18" t="str">
        <f>IF(NOT(ISBLANK(Audit[[#This Row],[Audit Candidate 7]])), Audit[[#This Row],[Audit Candidate 7]]-Audit[[#This Row],[Candidate 7]], "")</f>
        <v/>
      </c>
      <c r="AL197" s="18" t="str">
        <f>IF(NOT(ISBLANK(Audit[[#This Row],[Audit Candidate 8]])), Audit[[#This Row],[Audit Candidate 8]]-Audit[[#This Row],[Candidate 8]], "")</f>
        <v/>
      </c>
      <c r="AM197" s="18" t="str">
        <f>IF(NOT(ISBLANK(Audit[[#This Row],[Audit Candidate 9]])), Audit[[#This Row],[Audit Candidate 9]]-Audit[[#This Row],[Candidate 9]], "")</f>
        <v/>
      </c>
      <c r="AN197" s="18" t="str">
        <f>IF(NOT(ISBLANK(Audit[[#This Row],[Audit Candidate 10]])), Audit[[#This Row],[Audit Candidate 10]]-Audit[[#This Row],[Candidate 10]], "")</f>
        <v/>
      </c>
      <c r="AO197" s="18" t="str">
        <f>IF(NOT(ISBLANK(Audit[[#This Row],[Audit Candidate 11]])), Audit[[#This Row],[Audit Candidate 11]]-Audit[[#This Row],[Candidate 11]], "")</f>
        <v/>
      </c>
      <c r="AP197" s="18" t="str">
        <f>IF(NOT(ISBLANK(Audit[[#This Row],[Audit Candidate 12]])), Audit[[#This Row],[Audit Candidate 12]]-Audit[[#This Row],[Candidate 12]], "")</f>
        <v/>
      </c>
      <c r="AQ197" s="18">
        <f>SUMIF(Audit[[#This Row],[Difference Winner]:[Difference Candidate 12]], "&gt;0")</f>
        <v>0</v>
      </c>
      <c r="AR197" s="18">
        <f>SUM(Audit[[#This Row],[Difference Winner]:[Difference Candidate 12]])</f>
        <v>0</v>
      </c>
      <c r="AS197" s="18">
        <f>IF(Audit[[#This Row],[Times p Drawn - With Replacement]]&gt;0, IF(Audit[[#This Row],[Canceled Differences]]&lt;0, Audit[[#This Row],[Max Differences]]+ABS(Audit[[#This Row],[Canceled Differences]]), Audit[[#This Row],[Max Differences]]), 0)</f>
        <v>0</v>
      </c>
      <c r="AT197" s="18">
        <f>'Sampling Data'!AB197</f>
        <v>9.4229983980902718E-4</v>
      </c>
      <c r="AU197" s="18">
        <f>IF(
      SUM(Audit[[#This Row],[Audit Losing Candidate]:[Audit Candidate 12]])
      &lt;&gt;0,
      (Audit[[#This Row],[Winning Candidate]]-Audit[[#This Row],[Losing Candidate]]-(Audit[[#This Row],[Audit Winning Candidate]]-Audit[[#This Row],[Audit Losing Candidate]]))/(Audit[[#Totals],[Winning Candidate]]-Audit[[#Totals],[Losing Candidate]]),
      0
)</f>
        <v>0</v>
      </c>
      <c r="AV1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8">
        <f>IF(Audit[[#This Row],[Max Relative Error (ep)]] = 0, 0, Audit[[#This Row],[Max Relative Error (ep)]]/Audit[[#This Row],[Error Bound (up) - Max. possible relative overstatement]])</f>
        <v>0</v>
      </c>
      <c r="BH1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7" s="18">
        <f t="shared" si="3"/>
        <v>1</v>
      </c>
      <c r="BJ197" s="18">
        <f>PRODUCT($BI$5:BI197)</f>
        <v>0.57146126097022543</v>
      </c>
      <c r="BK197" s="20">
        <f>1 - Audit[[#This Row],[K-M P Value]]</f>
        <v>0.42853873902977457</v>
      </c>
      <c r="BL197" s="18" t="str">
        <f>IF(Audit[[#This Row],[K-M P Value]]&gt;1-'General Info'!$B$12,"Continue", "Stop")</f>
        <v>Continue</v>
      </c>
      <c r="BM197" s="23" t="b">
        <f>IF(Audit[[#This Row],[Status - Continue or stop audit]] = "Continue", TRUE, IF(BL196 = "Continue", TRUE, FALSE))</f>
        <v>1</v>
      </c>
      <c r="BN197" s="23"/>
    </row>
    <row r="198" spans="1:66" ht="15" hidden="1" customHeight="1" x14ac:dyDescent="0.35">
      <c r="A198" s="18" t="str">
        <f>'Sampling Data'!AI198</f>
        <v/>
      </c>
      <c r="B198" s="18" t="str">
        <f>'Sampling Data'!A198</f>
        <v>2822 BLUE 2-B   (AV)</v>
      </c>
      <c r="C198" s="18">
        <f>'Sampling Data'!B198</f>
        <v>12</v>
      </c>
      <c r="D198" s="18">
        <f>'Sampling Data'!C198</f>
        <v>0</v>
      </c>
      <c r="E198" s="19">
        <f>'Sampling Data'!D198</f>
        <v>0</v>
      </c>
      <c r="F198" s="19">
        <f>'Sampling Data'!E198</f>
        <v>0</v>
      </c>
      <c r="G198" s="19">
        <f>'Sampling Data'!F198</f>
        <v>0</v>
      </c>
      <c r="H198" s="19">
        <f>'Sampling Data'!G198</f>
        <v>0</v>
      </c>
      <c r="I198" s="19">
        <f>'Sampling Data'!H198</f>
        <v>0</v>
      </c>
      <c r="J198" s="19">
        <f>'Sampling Data'!I198</f>
        <v>0</v>
      </c>
      <c r="K198" s="19">
        <f>'Sampling Data'!J198</f>
        <v>0</v>
      </c>
      <c r="L198" s="19">
        <f>'Sampling Data'!K198</f>
        <v>0</v>
      </c>
      <c r="M198" s="19">
        <f>'Sampling Data'!L198</f>
        <v>0</v>
      </c>
      <c r="N198" s="19">
        <f>'Sampling Data'!M198</f>
        <v>0</v>
      </c>
      <c r="O198" s="18">
        <f>'Sampling Data'!N198</f>
        <v>0</v>
      </c>
      <c r="P198" s="18">
        <f>'Sampling Data'!O198</f>
        <v>0</v>
      </c>
      <c r="Q198" s="18">
        <f>'Sampling Data'!P198</f>
        <v>12</v>
      </c>
      <c r="R198" s="18">
        <f>'Sampling Data'!AJ198</f>
        <v>0</v>
      </c>
      <c r="S198" s="112"/>
      <c r="T198" s="112"/>
      <c r="U198" s="113"/>
      <c r="V198" s="113"/>
      <c r="W198" s="112"/>
      <c r="X198" s="112"/>
      <c r="Y198" s="112"/>
      <c r="Z198" s="112"/>
      <c r="AA198" s="15"/>
      <c r="AB198" s="15"/>
      <c r="AC198" s="15"/>
      <c r="AD198" s="15"/>
      <c r="AE198" s="114" t="str">
        <f>IF(NOT(ISBLANK(Audit[[#This Row],[Audit Winning Candidate]])), Audit[[#This Row],[Audit Winning Candidate]]-Audit[[#This Row],[Winning Candidate]], "")</f>
        <v/>
      </c>
      <c r="AF198" s="18" t="str">
        <f>IF(NOT(ISBLANK(Audit[[#This Row],[Audit Losing Candidate]])), Audit[[#This Row],[Audit Losing Candidate]]-Audit[[#This Row],[Losing Candidate]], "")</f>
        <v/>
      </c>
      <c r="AG198" s="18" t="str">
        <f>IF(NOT(ISBLANK(Audit[[#This Row],[Audit Candidate 3]])), Audit[[#This Row],[Audit Candidate 3]]-Audit[[#This Row],[Candidate 3]], "")</f>
        <v/>
      </c>
      <c r="AH198" s="18" t="str">
        <f>IF(NOT(ISBLANK(Audit[[#This Row],[Audit Candidate 4]])),Audit[[#This Row],[Audit Candidate 4]]-Audit[[#This Row],[Candidate 4]], "")</f>
        <v/>
      </c>
      <c r="AI198" s="18" t="str">
        <f>IF(NOT(ISBLANK(Audit[[#This Row],[Audit Candidate 5]])), Audit[[#This Row],[Audit Candidate 5]]-Audit[[#This Row],[Candidate 5]], "")</f>
        <v/>
      </c>
      <c r="AJ198" s="18" t="str">
        <f>IF(NOT(ISBLANK(Audit[[#This Row],[Audit Candidate 6]])), Audit[[#This Row],[Audit Candidate 6]]-Audit[[#This Row],[Candidate 6]], "")</f>
        <v/>
      </c>
      <c r="AK198" s="18" t="str">
        <f>IF(NOT(ISBLANK(Audit[[#This Row],[Audit Candidate 7]])), Audit[[#This Row],[Audit Candidate 7]]-Audit[[#This Row],[Candidate 7]], "")</f>
        <v/>
      </c>
      <c r="AL198" s="18" t="str">
        <f>IF(NOT(ISBLANK(Audit[[#This Row],[Audit Candidate 8]])), Audit[[#This Row],[Audit Candidate 8]]-Audit[[#This Row],[Candidate 8]], "")</f>
        <v/>
      </c>
      <c r="AM198" s="18" t="str">
        <f>IF(NOT(ISBLANK(Audit[[#This Row],[Audit Candidate 9]])), Audit[[#This Row],[Audit Candidate 9]]-Audit[[#This Row],[Candidate 9]], "")</f>
        <v/>
      </c>
      <c r="AN198" s="18" t="str">
        <f>IF(NOT(ISBLANK(Audit[[#This Row],[Audit Candidate 10]])), Audit[[#This Row],[Audit Candidate 10]]-Audit[[#This Row],[Candidate 10]], "")</f>
        <v/>
      </c>
      <c r="AO198" s="18" t="str">
        <f>IF(NOT(ISBLANK(Audit[[#This Row],[Audit Candidate 11]])), Audit[[#This Row],[Audit Candidate 11]]-Audit[[#This Row],[Candidate 11]], "")</f>
        <v/>
      </c>
      <c r="AP198" s="18" t="str">
        <f>IF(NOT(ISBLANK(Audit[[#This Row],[Audit Candidate 12]])), Audit[[#This Row],[Audit Candidate 12]]-Audit[[#This Row],[Candidate 12]], "")</f>
        <v/>
      </c>
      <c r="AQ198" s="18">
        <f>SUMIF(Audit[[#This Row],[Difference Winner]:[Difference Candidate 12]], "&gt;0")</f>
        <v>0</v>
      </c>
      <c r="AR198" s="18">
        <f>SUM(Audit[[#This Row],[Difference Winner]:[Difference Candidate 12]])</f>
        <v>0</v>
      </c>
      <c r="AS198" s="18">
        <f>IF(Audit[[#This Row],[Times p Drawn - With Replacement]]&gt;0, IF(Audit[[#This Row],[Canceled Differences]]&lt;0, Audit[[#This Row],[Max Differences]]+ABS(Audit[[#This Row],[Canceled Differences]]), Audit[[#This Row],[Max Differences]]), 0)</f>
        <v>0</v>
      </c>
      <c r="AT198" s="18">
        <f>'Sampling Data'!AB198</f>
        <v>7.5383987184722177E-4</v>
      </c>
      <c r="AU198" s="18">
        <f>IF(
      SUM(Audit[[#This Row],[Audit Losing Candidate]:[Audit Candidate 12]])
      &lt;&gt;0,
      (Audit[[#This Row],[Winning Candidate]]-Audit[[#This Row],[Losing Candidate]]-(Audit[[#This Row],[Audit Winning Candidate]]-Audit[[#This Row],[Audit Losing Candidate]]))/(Audit[[#Totals],[Winning Candidate]]-Audit[[#Totals],[Losing Candidate]]),
      0
)</f>
        <v>0</v>
      </c>
      <c r="AV1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8">
        <f>IF(Audit[[#This Row],[Max Relative Error (ep)]] = 0, 0, Audit[[#This Row],[Max Relative Error (ep)]]/Audit[[#This Row],[Error Bound (up) - Max. possible relative overstatement]])</f>
        <v>0</v>
      </c>
      <c r="BH1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8" s="18">
        <f t="shared" si="3"/>
        <v>1</v>
      </c>
      <c r="BJ198" s="18">
        <f>PRODUCT($BI$5:BI198)</f>
        <v>0.57146126097022543</v>
      </c>
      <c r="BK198" s="20">
        <f>1 - Audit[[#This Row],[K-M P Value]]</f>
        <v>0.42853873902977457</v>
      </c>
      <c r="BL198" s="18" t="str">
        <f>IF(Audit[[#This Row],[K-M P Value]]&gt;1-'General Info'!$B$12,"Continue", "Stop")</f>
        <v>Continue</v>
      </c>
      <c r="BM198" s="23" t="b">
        <f>IF(Audit[[#This Row],[Status - Continue or stop audit]] = "Continue", TRUE, IF(BL197 = "Continue", TRUE, FALSE))</f>
        <v>1</v>
      </c>
      <c r="BN198" s="23"/>
    </row>
    <row r="199" spans="1:66" ht="15" hidden="1" customHeight="1" x14ac:dyDescent="0.35">
      <c r="A199" s="18" t="str">
        <f>'Sampling Data'!AI199</f>
        <v/>
      </c>
      <c r="B199" s="18" t="str">
        <f>'Sampling Data'!A199</f>
        <v>2823 BLUE 2-C   (AV)</v>
      </c>
      <c r="C199" s="18">
        <f>'Sampling Data'!B199</f>
        <v>6</v>
      </c>
      <c r="D199" s="18">
        <f>'Sampling Data'!C199</f>
        <v>0</v>
      </c>
      <c r="E199" s="19">
        <f>'Sampling Data'!D199</f>
        <v>0</v>
      </c>
      <c r="F199" s="19">
        <f>'Sampling Data'!E199</f>
        <v>0</v>
      </c>
      <c r="G199" s="19">
        <f>'Sampling Data'!F199</f>
        <v>0</v>
      </c>
      <c r="H199" s="19">
        <f>'Sampling Data'!G199</f>
        <v>0</v>
      </c>
      <c r="I199" s="19">
        <f>'Sampling Data'!H199</f>
        <v>0</v>
      </c>
      <c r="J199" s="19">
        <f>'Sampling Data'!I199</f>
        <v>0</v>
      </c>
      <c r="K199" s="19">
        <f>'Sampling Data'!J199</f>
        <v>0</v>
      </c>
      <c r="L199" s="19">
        <f>'Sampling Data'!K199</f>
        <v>0</v>
      </c>
      <c r="M199" s="19">
        <f>'Sampling Data'!L199</f>
        <v>0</v>
      </c>
      <c r="N199" s="19">
        <f>'Sampling Data'!M199</f>
        <v>0</v>
      </c>
      <c r="O199" s="18">
        <f>'Sampling Data'!N199</f>
        <v>0</v>
      </c>
      <c r="P199" s="18">
        <f>'Sampling Data'!O199</f>
        <v>0</v>
      </c>
      <c r="Q199" s="18">
        <f>'Sampling Data'!P199</f>
        <v>6</v>
      </c>
      <c r="R199" s="18">
        <f>'Sampling Data'!AJ199</f>
        <v>0</v>
      </c>
      <c r="S199" s="112"/>
      <c r="T199" s="112"/>
      <c r="U199" s="113"/>
      <c r="V199" s="113"/>
      <c r="W199" s="112"/>
      <c r="X199" s="112"/>
      <c r="Y199" s="112"/>
      <c r="Z199" s="112"/>
      <c r="AA199" s="15"/>
      <c r="AB199" s="15"/>
      <c r="AC199" s="15"/>
      <c r="AD199" s="15"/>
      <c r="AE199" s="114" t="str">
        <f>IF(NOT(ISBLANK(Audit[[#This Row],[Audit Winning Candidate]])), Audit[[#This Row],[Audit Winning Candidate]]-Audit[[#This Row],[Winning Candidate]], "")</f>
        <v/>
      </c>
      <c r="AF199" s="18" t="str">
        <f>IF(NOT(ISBLANK(Audit[[#This Row],[Audit Losing Candidate]])), Audit[[#This Row],[Audit Losing Candidate]]-Audit[[#This Row],[Losing Candidate]], "")</f>
        <v/>
      </c>
      <c r="AG199" s="18" t="str">
        <f>IF(NOT(ISBLANK(Audit[[#This Row],[Audit Candidate 3]])), Audit[[#This Row],[Audit Candidate 3]]-Audit[[#This Row],[Candidate 3]], "")</f>
        <v/>
      </c>
      <c r="AH199" s="18" t="str">
        <f>IF(NOT(ISBLANK(Audit[[#This Row],[Audit Candidate 4]])),Audit[[#This Row],[Audit Candidate 4]]-Audit[[#This Row],[Candidate 4]], "")</f>
        <v/>
      </c>
      <c r="AI199" s="18" t="str">
        <f>IF(NOT(ISBLANK(Audit[[#This Row],[Audit Candidate 5]])), Audit[[#This Row],[Audit Candidate 5]]-Audit[[#This Row],[Candidate 5]], "")</f>
        <v/>
      </c>
      <c r="AJ199" s="18" t="str">
        <f>IF(NOT(ISBLANK(Audit[[#This Row],[Audit Candidate 6]])), Audit[[#This Row],[Audit Candidate 6]]-Audit[[#This Row],[Candidate 6]], "")</f>
        <v/>
      </c>
      <c r="AK199" s="18" t="str">
        <f>IF(NOT(ISBLANK(Audit[[#This Row],[Audit Candidate 7]])), Audit[[#This Row],[Audit Candidate 7]]-Audit[[#This Row],[Candidate 7]], "")</f>
        <v/>
      </c>
      <c r="AL199" s="18" t="str">
        <f>IF(NOT(ISBLANK(Audit[[#This Row],[Audit Candidate 8]])), Audit[[#This Row],[Audit Candidate 8]]-Audit[[#This Row],[Candidate 8]], "")</f>
        <v/>
      </c>
      <c r="AM199" s="18" t="str">
        <f>IF(NOT(ISBLANK(Audit[[#This Row],[Audit Candidate 9]])), Audit[[#This Row],[Audit Candidate 9]]-Audit[[#This Row],[Candidate 9]], "")</f>
        <v/>
      </c>
      <c r="AN199" s="18" t="str">
        <f>IF(NOT(ISBLANK(Audit[[#This Row],[Audit Candidate 10]])), Audit[[#This Row],[Audit Candidate 10]]-Audit[[#This Row],[Candidate 10]], "")</f>
        <v/>
      </c>
      <c r="AO199" s="18" t="str">
        <f>IF(NOT(ISBLANK(Audit[[#This Row],[Audit Candidate 11]])), Audit[[#This Row],[Audit Candidate 11]]-Audit[[#This Row],[Candidate 11]], "")</f>
        <v/>
      </c>
      <c r="AP199" s="18" t="str">
        <f>IF(NOT(ISBLANK(Audit[[#This Row],[Audit Candidate 12]])), Audit[[#This Row],[Audit Candidate 12]]-Audit[[#This Row],[Candidate 12]], "")</f>
        <v/>
      </c>
      <c r="AQ199" s="18">
        <f>SUMIF(Audit[[#This Row],[Difference Winner]:[Difference Candidate 12]], "&gt;0")</f>
        <v>0</v>
      </c>
      <c r="AR199" s="18">
        <f>SUM(Audit[[#This Row],[Difference Winner]:[Difference Candidate 12]])</f>
        <v>0</v>
      </c>
      <c r="AS199" s="18">
        <f>IF(Audit[[#This Row],[Times p Drawn - With Replacement]]&gt;0, IF(Audit[[#This Row],[Canceled Differences]]&lt;0, Audit[[#This Row],[Max Differences]]+ABS(Audit[[#This Row],[Canceled Differences]]), Audit[[#This Row],[Max Differences]]), 0)</f>
        <v>0</v>
      </c>
      <c r="AT199" s="18">
        <f>'Sampling Data'!AB199</f>
        <v>3.7691993592361088E-4</v>
      </c>
      <c r="AU199" s="18">
        <f>IF(
      SUM(Audit[[#This Row],[Audit Losing Candidate]:[Audit Candidate 12]])
      &lt;&gt;0,
      (Audit[[#This Row],[Winning Candidate]]-Audit[[#This Row],[Losing Candidate]]-(Audit[[#This Row],[Audit Winning Candidate]]-Audit[[#This Row],[Audit Losing Candidate]]))/(Audit[[#Totals],[Winning Candidate]]-Audit[[#Totals],[Losing Candidate]]),
      0
)</f>
        <v>0</v>
      </c>
      <c r="AV1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8">
        <f>IF(Audit[[#This Row],[Max Relative Error (ep)]] = 0, 0, Audit[[#This Row],[Max Relative Error (ep)]]/Audit[[#This Row],[Error Bound (up) - Max. possible relative overstatement]])</f>
        <v>0</v>
      </c>
      <c r="BH1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99" s="18">
        <f t="shared" si="3"/>
        <v>1</v>
      </c>
      <c r="BJ199" s="18">
        <f>PRODUCT($BI$5:BI199)</f>
        <v>0.57146126097022543</v>
      </c>
      <c r="BK199" s="20">
        <f>1 - Audit[[#This Row],[K-M P Value]]</f>
        <v>0.42853873902977457</v>
      </c>
      <c r="BL199" s="18" t="str">
        <f>IF(Audit[[#This Row],[K-M P Value]]&gt;1-'General Info'!$B$12,"Continue", "Stop")</f>
        <v>Continue</v>
      </c>
      <c r="BM199" s="23" t="b">
        <f>IF(Audit[[#This Row],[Status - Continue or stop audit]] = "Continue", TRUE, IF(BL198 = "Continue", TRUE, FALSE))</f>
        <v>1</v>
      </c>
      <c r="BN199" s="23"/>
    </row>
    <row r="200" spans="1:66" ht="15" hidden="1" customHeight="1" x14ac:dyDescent="0.35">
      <c r="A200" s="18" t="str">
        <f>'Sampling Data'!AI200</f>
        <v/>
      </c>
      <c r="B200" s="18" t="str">
        <f>'Sampling Data'!A200</f>
        <v>2831 BLUE 3-A   (AV)</v>
      </c>
      <c r="C200" s="18">
        <f>'Sampling Data'!B200</f>
        <v>20</v>
      </c>
      <c r="D200" s="18">
        <f>'Sampling Data'!C200</f>
        <v>3</v>
      </c>
      <c r="E200" s="19">
        <f>'Sampling Data'!D200</f>
        <v>0</v>
      </c>
      <c r="F200" s="19">
        <f>'Sampling Data'!E200</f>
        <v>0</v>
      </c>
      <c r="G200" s="19">
        <f>'Sampling Data'!F200</f>
        <v>0</v>
      </c>
      <c r="H200" s="19">
        <f>'Sampling Data'!G200</f>
        <v>0</v>
      </c>
      <c r="I200" s="19">
        <f>'Sampling Data'!H200</f>
        <v>0</v>
      </c>
      <c r="J200" s="19">
        <f>'Sampling Data'!I200</f>
        <v>0</v>
      </c>
      <c r="K200" s="19">
        <f>'Sampling Data'!J200</f>
        <v>0</v>
      </c>
      <c r="L200" s="19">
        <f>'Sampling Data'!K200</f>
        <v>0</v>
      </c>
      <c r="M200" s="19">
        <f>'Sampling Data'!L200</f>
        <v>0</v>
      </c>
      <c r="N200" s="19">
        <f>'Sampling Data'!M200</f>
        <v>0</v>
      </c>
      <c r="O200" s="18">
        <f>'Sampling Data'!N200</f>
        <v>0</v>
      </c>
      <c r="P200" s="18">
        <f>'Sampling Data'!O200</f>
        <v>1</v>
      </c>
      <c r="Q200" s="18">
        <f>'Sampling Data'!P200</f>
        <v>24</v>
      </c>
      <c r="R200" s="18">
        <f>'Sampling Data'!AJ200</f>
        <v>0</v>
      </c>
      <c r="S200" s="112"/>
      <c r="T200" s="112"/>
      <c r="U200" s="113"/>
      <c r="V200" s="113"/>
      <c r="W200" s="112"/>
      <c r="X200" s="112"/>
      <c r="Y200" s="112"/>
      <c r="Z200" s="112"/>
      <c r="AA200" s="15"/>
      <c r="AB200" s="15"/>
      <c r="AC200" s="15"/>
      <c r="AD200" s="15"/>
      <c r="AE200" s="114" t="str">
        <f>IF(NOT(ISBLANK(Audit[[#This Row],[Audit Winning Candidate]])), Audit[[#This Row],[Audit Winning Candidate]]-Audit[[#This Row],[Winning Candidate]], "")</f>
        <v/>
      </c>
      <c r="AF200" s="18" t="str">
        <f>IF(NOT(ISBLANK(Audit[[#This Row],[Audit Losing Candidate]])), Audit[[#This Row],[Audit Losing Candidate]]-Audit[[#This Row],[Losing Candidate]], "")</f>
        <v/>
      </c>
      <c r="AG200" s="18" t="str">
        <f>IF(NOT(ISBLANK(Audit[[#This Row],[Audit Candidate 3]])), Audit[[#This Row],[Audit Candidate 3]]-Audit[[#This Row],[Candidate 3]], "")</f>
        <v/>
      </c>
      <c r="AH200" s="18" t="str">
        <f>IF(NOT(ISBLANK(Audit[[#This Row],[Audit Candidate 4]])),Audit[[#This Row],[Audit Candidate 4]]-Audit[[#This Row],[Candidate 4]], "")</f>
        <v/>
      </c>
      <c r="AI200" s="18" t="str">
        <f>IF(NOT(ISBLANK(Audit[[#This Row],[Audit Candidate 5]])), Audit[[#This Row],[Audit Candidate 5]]-Audit[[#This Row],[Candidate 5]], "")</f>
        <v/>
      </c>
      <c r="AJ200" s="18" t="str">
        <f>IF(NOT(ISBLANK(Audit[[#This Row],[Audit Candidate 6]])), Audit[[#This Row],[Audit Candidate 6]]-Audit[[#This Row],[Candidate 6]], "")</f>
        <v/>
      </c>
      <c r="AK200" s="18" t="str">
        <f>IF(NOT(ISBLANK(Audit[[#This Row],[Audit Candidate 7]])), Audit[[#This Row],[Audit Candidate 7]]-Audit[[#This Row],[Candidate 7]], "")</f>
        <v/>
      </c>
      <c r="AL200" s="18" t="str">
        <f>IF(NOT(ISBLANK(Audit[[#This Row],[Audit Candidate 8]])), Audit[[#This Row],[Audit Candidate 8]]-Audit[[#This Row],[Candidate 8]], "")</f>
        <v/>
      </c>
      <c r="AM200" s="18" t="str">
        <f>IF(NOT(ISBLANK(Audit[[#This Row],[Audit Candidate 9]])), Audit[[#This Row],[Audit Candidate 9]]-Audit[[#This Row],[Candidate 9]], "")</f>
        <v/>
      </c>
      <c r="AN200" s="18" t="str">
        <f>IF(NOT(ISBLANK(Audit[[#This Row],[Audit Candidate 10]])), Audit[[#This Row],[Audit Candidate 10]]-Audit[[#This Row],[Candidate 10]], "")</f>
        <v/>
      </c>
      <c r="AO200" s="18" t="str">
        <f>IF(NOT(ISBLANK(Audit[[#This Row],[Audit Candidate 11]])), Audit[[#This Row],[Audit Candidate 11]]-Audit[[#This Row],[Candidate 11]], "")</f>
        <v/>
      </c>
      <c r="AP200" s="18" t="str">
        <f>IF(NOT(ISBLANK(Audit[[#This Row],[Audit Candidate 12]])), Audit[[#This Row],[Audit Candidate 12]]-Audit[[#This Row],[Candidate 12]], "")</f>
        <v/>
      </c>
      <c r="AQ200" s="18">
        <f>SUMIF(Audit[[#This Row],[Difference Winner]:[Difference Candidate 12]], "&gt;0")</f>
        <v>0</v>
      </c>
      <c r="AR200" s="18">
        <f>SUM(Audit[[#This Row],[Difference Winner]:[Difference Candidate 12]])</f>
        <v>0</v>
      </c>
      <c r="AS200" s="18">
        <f>IF(Audit[[#This Row],[Times p Drawn - With Replacement]]&gt;0, IF(Audit[[#This Row],[Canceled Differences]]&lt;0, Audit[[#This Row],[Max Differences]]+ABS(Audit[[#This Row],[Canceled Differences]]), Audit[[#This Row],[Max Differences]]), 0)</f>
        <v>0</v>
      </c>
      <c r="AT200" s="18">
        <f>'Sampling Data'!AB200</f>
        <v>1.2878097810723372E-3</v>
      </c>
      <c r="AU200" s="18">
        <f>IF(
      SUM(Audit[[#This Row],[Audit Losing Candidate]:[Audit Candidate 12]])
      &lt;&gt;0,
      (Audit[[#This Row],[Winning Candidate]]-Audit[[#This Row],[Losing Candidate]]-(Audit[[#This Row],[Audit Winning Candidate]]-Audit[[#This Row],[Audit Losing Candidate]]))/(Audit[[#Totals],[Winning Candidate]]-Audit[[#Totals],[Losing Candidate]]),
      0
)</f>
        <v>0</v>
      </c>
      <c r="AV2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8">
        <f>IF(Audit[[#This Row],[Max Relative Error (ep)]] = 0, 0, Audit[[#This Row],[Max Relative Error (ep)]]/Audit[[#This Row],[Error Bound (up) - Max. possible relative overstatement]])</f>
        <v>0</v>
      </c>
      <c r="BH2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0" s="18">
        <f t="shared" si="3"/>
        <v>1</v>
      </c>
      <c r="BJ200" s="18">
        <f>PRODUCT($BI$5:BI200)</f>
        <v>0.57146126097022543</v>
      </c>
      <c r="BK200" s="20">
        <f>1 - Audit[[#This Row],[K-M P Value]]</f>
        <v>0.42853873902977457</v>
      </c>
      <c r="BL200" s="18" t="str">
        <f>IF(Audit[[#This Row],[K-M P Value]]&gt;1-'General Info'!$B$12,"Continue", "Stop")</f>
        <v>Continue</v>
      </c>
      <c r="BM200" s="23" t="b">
        <f>IF(Audit[[#This Row],[Status - Continue or stop audit]] = "Continue", TRUE, IF(BL199 = "Continue", TRUE, FALSE))</f>
        <v>1</v>
      </c>
      <c r="BN200" s="23"/>
    </row>
    <row r="201" spans="1:66" ht="15" hidden="1" customHeight="1" x14ac:dyDescent="0.35">
      <c r="A201" s="18" t="str">
        <f>'Sampling Data'!AI201</f>
        <v/>
      </c>
      <c r="B201" s="18" t="str">
        <f>'Sampling Data'!A201</f>
        <v>2832 BLUE 3-B   (AV)</v>
      </c>
      <c r="C201" s="18">
        <f>'Sampling Data'!B201</f>
        <v>4</v>
      </c>
      <c r="D201" s="18">
        <f>'Sampling Data'!C201</f>
        <v>0</v>
      </c>
      <c r="E201" s="19">
        <f>'Sampling Data'!D201</f>
        <v>0</v>
      </c>
      <c r="F201" s="19">
        <f>'Sampling Data'!E201</f>
        <v>0</v>
      </c>
      <c r="G201" s="19">
        <f>'Sampling Data'!F201</f>
        <v>0</v>
      </c>
      <c r="H201" s="19">
        <f>'Sampling Data'!G201</f>
        <v>0</v>
      </c>
      <c r="I201" s="19">
        <f>'Sampling Data'!H201</f>
        <v>0</v>
      </c>
      <c r="J201" s="19">
        <f>'Sampling Data'!I201</f>
        <v>0</v>
      </c>
      <c r="K201" s="19">
        <f>'Sampling Data'!J201</f>
        <v>0</v>
      </c>
      <c r="L201" s="19">
        <f>'Sampling Data'!K201</f>
        <v>0</v>
      </c>
      <c r="M201" s="19">
        <f>'Sampling Data'!L201</f>
        <v>0</v>
      </c>
      <c r="N201" s="19">
        <f>'Sampling Data'!M201</f>
        <v>0</v>
      </c>
      <c r="O201" s="18">
        <f>'Sampling Data'!N201</f>
        <v>0</v>
      </c>
      <c r="P201" s="18">
        <f>'Sampling Data'!O201</f>
        <v>0</v>
      </c>
      <c r="Q201" s="18">
        <f>'Sampling Data'!P201</f>
        <v>4</v>
      </c>
      <c r="R201" s="18">
        <f>'Sampling Data'!AJ201</f>
        <v>0</v>
      </c>
      <c r="S201" s="112"/>
      <c r="T201" s="112"/>
      <c r="U201" s="113"/>
      <c r="V201" s="113"/>
      <c r="W201" s="112"/>
      <c r="X201" s="112"/>
      <c r="Y201" s="112"/>
      <c r="Z201" s="112"/>
      <c r="AA201" s="15"/>
      <c r="AB201" s="15"/>
      <c r="AC201" s="15"/>
      <c r="AD201" s="15"/>
      <c r="AE201" s="114" t="str">
        <f>IF(NOT(ISBLANK(Audit[[#This Row],[Audit Winning Candidate]])), Audit[[#This Row],[Audit Winning Candidate]]-Audit[[#This Row],[Winning Candidate]], "")</f>
        <v/>
      </c>
      <c r="AF201" s="18" t="str">
        <f>IF(NOT(ISBLANK(Audit[[#This Row],[Audit Losing Candidate]])), Audit[[#This Row],[Audit Losing Candidate]]-Audit[[#This Row],[Losing Candidate]], "")</f>
        <v/>
      </c>
      <c r="AG201" s="18" t="str">
        <f>IF(NOT(ISBLANK(Audit[[#This Row],[Audit Candidate 3]])), Audit[[#This Row],[Audit Candidate 3]]-Audit[[#This Row],[Candidate 3]], "")</f>
        <v/>
      </c>
      <c r="AH201" s="18" t="str">
        <f>IF(NOT(ISBLANK(Audit[[#This Row],[Audit Candidate 4]])),Audit[[#This Row],[Audit Candidate 4]]-Audit[[#This Row],[Candidate 4]], "")</f>
        <v/>
      </c>
      <c r="AI201" s="18" t="str">
        <f>IF(NOT(ISBLANK(Audit[[#This Row],[Audit Candidate 5]])), Audit[[#This Row],[Audit Candidate 5]]-Audit[[#This Row],[Candidate 5]], "")</f>
        <v/>
      </c>
      <c r="AJ201" s="18" t="str">
        <f>IF(NOT(ISBLANK(Audit[[#This Row],[Audit Candidate 6]])), Audit[[#This Row],[Audit Candidate 6]]-Audit[[#This Row],[Candidate 6]], "")</f>
        <v/>
      </c>
      <c r="AK201" s="18" t="str">
        <f>IF(NOT(ISBLANK(Audit[[#This Row],[Audit Candidate 7]])), Audit[[#This Row],[Audit Candidate 7]]-Audit[[#This Row],[Candidate 7]], "")</f>
        <v/>
      </c>
      <c r="AL201" s="18" t="str">
        <f>IF(NOT(ISBLANK(Audit[[#This Row],[Audit Candidate 8]])), Audit[[#This Row],[Audit Candidate 8]]-Audit[[#This Row],[Candidate 8]], "")</f>
        <v/>
      </c>
      <c r="AM201" s="18" t="str">
        <f>IF(NOT(ISBLANK(Audit[[#This Row],[Audit Candidate 9]])), Audit[[#This Row],[Audit Candidate 9]]-Audit[[#This Row],[Candidate 9]], "")</f>
        <v/>
      </c>
      <c r="AN201" s="18" t="str">
        <f>IF(NOT(ISBLANK(Audit[[#This Row],[Audit Candidate 10]])), Audit[[#This Row],[Audit Candidate 10]]-Audit[[#This Row],[Candidate 10]], "")</f>
        <v/>
      </c>
      <c r="AO201" s="18" t="str">
        <f>IF(NOT(ISBLANK(Audit[[#This Row],[Audit Candidate 11]])), Audit[[#This Row],[Audit Candidate 11]]-Audit[[#This Row],[Candidate 11]], "")</f>
        <v/>
      </c>
      <c r="AP201" s="18" t="str">
        <f>IF(NOT(ISBLANK(Audit[[#This Row],[Audit Candidate 12]])), Audit[[#This Row],[Audit Candidate 12]]-Audit[[#This Row],[Candidate 12]], "")</f>
        <v/>
      </c>
      <c r="AQ201" s="18">
        <f>SUMIF(Audit[[#This Row],[Difference Winner]:[Difference Candidate 12]], "&gt;0")</f>
        <v>0</v>
      </c>
      <c r="AR201" s="18">
        <f>SUM(Audit[[#This Row],[Difference Winner]:[Difference Candidate 12]])</f>
        <v>0</v>
      </c>
      <c r="AS201" s="18">
        <f>IF(Audit[[#This Row],[Times p Drawn - With Replacement]]&gt;0, IF(Audit[[#This Row],[Canceled Differences]]&lt;0, Audit[[#This Row],[Max Differences]]+ABS(Audit[[#This Row],[Canceled Differences]]), Audit[[#This Row],[Max Differences]]), 0)</f>
        <v>0</v>
      </c>
      <c r="AT201" s="18">
        <f>'Sampling Data'!AB201</f>
        <v>2.5127995728240724E-4</v>
      </c>
      <c r="AU201" s="18">
        <f>IF(
      SUM(Audit[[#This Row],[Audit Losing Candidate]:[Audit Candidate 12]])
      &lt;&gt;0,
      (Audit[[#This Row],[Winning Candidate]]-Audit[[#This Row],[Losing Candidate]]-(Audit[[#This Row],[Audit Winning Candidate]]-Audit[[#This Row],[Audit Losing Candidate]]))/(Audit[[#Totals],[Winning Candidate]]-Audit[[#Totals],[Losing Candidate]]),
      0
)</f>
        <v>0</v>
      </c>
      <c r="AV2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8">
        <f>IF(Audit[[#This Row],[Max Relative Error (ep)]] = 0, 0, Audit[[#This Row],[Max Relative Error (ep)]]/Audit[[#This Row],[Error Bound (up) - Max. possible relative overstatement]])</f>
        <v>0</v>
      </c>
      <c r="BH2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1" s="18">
        <f t="shared" si="3"/>
        <v>1</v>
      </c>
      <c r="BJ201" s="18">
        <f>PRODUCT($BI$5:BI201)</f>
        <v>0.57146126097022543</v>
      </c>
      <c r="BK201" s="20">
        <f>1 - Audit[[#This Row],[K-M P Value]]</f>
        <v>0.42853873902977457</v>
      </c>
      <c r="BL201" s="18" t="str">
        <f>IF(Audit[[#This Row],[K-M P Value]]&gt;1-'General Info'!$B$12,"Continue", "Stop")</f>
        <v>Continue</v>
      </c>
      <c r="BM201" s="23" t="b">
        <f>IF(Audit[[#This Row],[Status - Continue or stop audit]] = "Continue", TRUE, IF(BL200 = "Continue", TRUE, FALSE))</f>
        <v>1</v>
      </c>
      <c r="BN201" s="23"/>
    </row>
    <row r="202" spans="1:66" ht="15" hidden="1" customHeight="1" x14ac:dyDescent="0.35">
      <c r="A202" s="18" t="str">
        <f>'Sampling Data'!AI202</f>
        <v/>
      </c>
      <c r="B202" s="18" t="str">
        <f>'Sampling Data'!A202</f>
        <v>2841 BLUE 4-A   (AV)</v>
      </c>
      <c r="C202" s="18">
        <f>'Sampling Data'!B202</f>
        <v>5</v>
      </c>
      <c r="D202" s="18">
        <f>'Sampling Data'!C202</f>
        <v>0</v>
      </c>
      <c r="E202" s="19">
        <f>'Sampling Data'!D202</f>
        <v>0</v>
      </c>
      <c r="F202" s="19">
        <f>'Sampling Data'!E202</f>
        <v>0</v>
      </c>
      <c r="G202" s="19">
        <f>'Sampling Data'!F202</f>
        <v>0</v>
      </c>
      <c r="H202" s="19">
        <f>'Sampling Data'!G202</f>
        <v>0</v>
      </c>
      <c r="I202" s="19">
        <f>'Sampling Data'!H202</f>
        <v>0</v>
      </c>
      <c r="J202" s="19">
        <f>'Sampling Data'!I202</f>
        <v>0</v>
      </c>
      <c r="K202" s="19">
        <f>'Sampling Data'!J202</f>
        <v>0</v>
      </c>
      <c r="L202" s="19">
        <f>'Sampling Data'!K202</f>
        <v>0</v>
      </c>
      <c r="M202" s="19">
        <f>'Sampling Data'!L202</f>
        <v>0</v>
      </c>
      <c r="N202" s="19">
        <f>'Sampling Data'!M202</f>
        <v>0</v>
      </c>
      <c r="O202" s="18">
        <f>'Sampling Data'!N202</f>
        <v>0</v>
      </c>
      <c r="P202" s="18">
        <f>'Sampling Data'!O202</f>
        <v>0</v>
      </c>
      <c r="Q202" s="18">
        <f>'Sampling Data'!P202</f>
        <v>5</v>
      </c>
      <c r="R202" s="18">
        <f>'Sampling Data'!AJ202</f>
        <v>0</v>
      </c>
      <c r="S202" s="112"/>
      <c r="T202" s="112"/>
      <c r="U202" s="113"/>
      <c r="V202" s="113"/>
      <c r="W202" s="112"/>
      <c r="X202" s="112"/>
      <c r="Y202" s="112"/>
      <c r="Z202" s="112"/>
      <c r="AA202" s="15"/>
      <c r="AB202" s="15"/>
      <c r="AC202" s="15"/>
      <c r="AD202" s="15"/>
      <c r="AE202" s="114" t="str">
        <f>IF(NOT(ISBLANK(Audit[[#This Row],[Audit Winning Candidate]])), Audit[[#This Row],[Audit Winning Candidate]]-Audit[[#This Row],[Winning Candidate]], "")</f>
        <v/>
      </c>
      <c r="AF202" s="18" t="str">
        <f>IF(NOT(ISBLANK(Audit[[#This Row],[Audit Losing Candidate]])), Audit[[#This Row],[Audit Losing Candidate]]-Audit[[#This Row],[Losing Candidate]], "")</f>
        <v/>
      </c>
      <c r="AG202" s="18" t="str">
        <f>IF(NOT(ISBLANK(Audit[[#This Row],[Audit Candidate 3]])), Audit[[#This Row],[Audit Candidate 3]]-Audit[[#This Row],[Candidate 3]], "")</f>
        <v/>
      </c>
      <c r="AH202" s="18" t="str">
        <f>IF(NOT(ISBLANK(Audit[[#This Row],[Audit Candidate 4]])),Audit[[#This Row],[Audit Candidate 4]]-Audit[[#This Row],[Candidate 4]], "")</f>
        <v/>
      </c>
      <c r="AI202" s="18" t="str">
        <f>IF(NOT(ISBLANK(Audit[[#This Row],[Audit Candidate 5]])), Audit[[#This Row],[Audit Candidate 5]]-Audit[[#This Row],[Candidate 5]], "")</f>
        <v/>
      </c>
      <c r="AJ202" s="18" t="str">
        <f>IF(NOT(ISBLANK(Audit[[#This Row],[Audit Candidate 6]])), Audit[[#This Row],[Audit Candidate 6]]-Audit[[#This Row],[Candidate 6]], "")</f>
        <v/>
      </c>
      <c r="AK202" s="18" t="str">
        <f>IF(NOT(ISBLANK(Audit[[#This Row],[Audit Candidate 7]])), Audit[[#This Row],[Audit Candidate 7]]-Audit[[#This Row],[Candidate 7]], "")</f>
        <v/>
      </c>
      <c r="AL202" s="18" t="str">
        <f>IF(NOT(ISBLANK(Audit[[#This Row],[Audit Candidate 8]])), Audit[[#This Row],[Audit Candidate 8]]-Audit[[#This Row],[Candidate 8]], "")</f>
        <v/>
      </c>
      <c r="AM202" s="18" t="str">
        <f>IF(NOT(ISBLANK(Audit[[#This Row],[Audit Candidate 9]])), Audit[[#This Row],[Audit Candidate 9]]-Audit[[#This Row],[Candidate 9]], "")</f>
        <v/>
      </c>
      <c r="AN202" s="18" t="str">
        <f>IF(NOT(ISBLANK(Audit[[#This Row],[Audit Candidate 10]])), Audit[[#This Row],[Audit Candidate 10]]-Audit[[#This Row],[Candidate 10]], "")</f>
        <v/>
      </c>
      <c r="AO202" s="18" t="str">
        <f>IF(NOT(ISBLANK(Audit[[#This Row],[Audit Candidate 11]])), Audit[[#This Row],[Audit Candidate 11]]-Audit[[#This Row],[Candidate 11]], "")</f>
        <v/>
      </c>
      <c r="AP202" s="18" t="str">
        <f>IF(NOT(ISBLANK(Audit[[#This Row],[Audit Candidate 12]])), Audit[[#This Row],[Audit Candidate 12]]-Audit[[#This Row],[Candidate 12]], "")</f>
        <v/>
      </c>
      <c r="AQ202" s="18">
        <f>SUMIF(Audit[[#This Row],[Difference Winner]:[Difference Candidate 12]], "&gt;0")</f>
        <v>0</v>
      </c>
      <c r="AR202" s="18">
        <f>SUM(Audit[[#This Row],[Difference Winner]:[Difference Candidate 12]])</f>
        <v>0</v>
      </c>
      <c r="AS202" s="18">
        <f>IF(Audit[[#This Row],[Times p Drawn - With Replacement]]&gt;0, IF(Audit[[#This Row],[Canceled Differences]]&lt;0, Audit[[#This Row],[Max Differences]]+ABS(Audit[[#This Row],[Canceled Differences]]), Audit[[#This Row],[Max Differences]]), 0)</f>
        <v>0</v>
      </c>
      <c r="AT202" s="18">
        <f>'Sampling Data'!AB202</f>
        <v>3.1409994660300906E-4</v>
      </c>
      <c r="AU202" s="18">
        <f>IF(
      SUM(Audit[[#This Row],[Audit Losing Candidate]:[Audit Candidate 12]])
      &lt;&gt;0,
      (Audit[[#This Row],[Winning Candidate]]-Audit[[#This Row],[Losing Candidate]]-(Audit[[#This Row],[Audit Winning Candidate]]-Audit[[#This Row],[Audit Losing Candidate]]))/(Audit[[#Totals],[Winning Candidate]]-Audit[[#Totals],[Losing Candidate]]),
      0
)</f>
        <v>0</v>
      </c>
      <c r="AV2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8">
        <f>IF(Audit[[#This Row],[Max Relative Error (ep)]] = 0, 0, Audit[[#This Row],[Max Relative Error (ep)]]/Audit[[#This Row],[Error Bound (up) - Max. possible relative overstatement]])</f>
        <v>0</v>
      </c>
      <c r="BH2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2" s="18">
        <f t="shared" si="3"/>
        <v>1</v>
      </c>
      <c r="BJ202" s="18">
        <f>PRODUCT($BI$5:BI202)</f>
        <v>0.57146126097022543</v>
      </c>
      <c r="BK202" s="20">
        <f>1 - Audit[[#This Row],[K-M P Value]]</f>
        <v>0.42853873902977457</v>
      </c>
      <c r="BL202" s="18" t="str">
        <f>IF(Audit[[#This Row],[K-M P Value]]&gt;1-'General Info'!$B$12,"Continue", "Stop")</f>
        <v>Continue</v>
      </c>
      <c r="BM202" s="23" t="b">
        <f>IF(Audit[[#This Row],[Status - Continue or stop audit]] = "Continue", TRUE, IF(BL201 = "Continue", TRUE, FALSE))</f>
        <v>1</v>
      </c>
      <c r="BN202" s="23"/>
    </row>
    <row r="203" spans="1:66" ht="15" hidden="1" customHeight="1" x14ac:dyDescent="0.35">
      <c r="A203" s="18" t="str">
        <f>'Sampling Data'!AI203</f>
        <v/>
      </c>
      <c r="B203" s="18" t="str">
        <f>'Sampling Data'!A203</f>
        <v>2842 BLUE 4-B   (AV)</v>
      </c>
      <c r="C203" s="18">
        <f>'Sampling Data'!B203</f>
        <v>4</v>
      </c>
      <c r="D203" s="18">
        <f>'Sampling Data'!C203</f>
        <v>4</v>
      </c>
      <c r="E203" s="19">
        <f>'Sampling Data'!D203</f>
        <v>0</v>
      </c>
      <c r="F203" s="19">
        <f>'Sampling Data'!E203</f>
        <v>0</v>
      </c>
      <c r="G203" s="19">
        <f>'Sampling Data'!F203</f>
        <v>0</v>
      </c>
      <c r="H203" s="19">
        <f>'Sampling Data'!G203</f>
        <v>0</v>
      </c>
      <c r="I203" s="19">
        <f>'Sampling Data'!H203</f>
        <v>0</v>
      </c>
      <c r="J203" s="19">
        <f>'Sampling Data'!I203</f>
        <v>0</v>
      </c>
      <c r="K203" s="19">
        <f>'Sampling Data'!J203</f>
        <v>0</v>
      </c>
      <c r="L203" s="19">
        <f>'Sampling Data'!K203</f>
        <v>0</v>
      </c>
      <c r="M203" s="19">
        <f>'Sampling Data'!L203</f>
        <v>0</v>
      </c>
      <c r="N203" s="19">
        <f>'Sampling Data'!M203</f>
        <v>0</v>
      </c>
      <c r="O203" s="18">
        <f>'Sampling Data'!N203</f>
        <v>0</v>
      </c>
      <c r="P203" s="18">
        <f>'Sampling Data'!O203</f>
        <v>1</v>
      </c>
      <c r="Q203" s="18">
        <f>'Sampling Data'!P203</f>
        <v>9</v>
      </c>
      <c r="R203" s="18">
        <f>'Sampling Data'!AJ203</f>
        <v>0</v>
      </c>
      <c r="S203" s="112"/>
      <c r="T203" s="112"/>
      <c r="U203" s="113"/>
      <c r="V203" s="113"/>
      <c r="W203" s="112"/>
      <c r="X203" s="112"/>
      <c r="Y203" s="112"/>
      <c r="Z203" s="112"/>
      <c r="AA203" s="15"/>
      <c r="AB203" s="15"/>
      <c r="AC203" s="15"/>
      <c r="AD203" s="15"/>
      <c r="AE203" s="114" t="str">
        <f>IF(NOT(ISBLANK(Audit[[#This Row],[Audit Winning Candidate]])), Audit[[#This Row],[Audit Winning Candidate]]-Audit[[#This Row],[Winning Candidate]], "")</f>
        <v/>
      </c>
      <c r="AF203" s="18" t="str">
        <f>IF(NOT(ISBLANK(Audit[[#This Row],[Audit Losing Candidate]])), Audit[[#This Row],[Audit Losing Candidate]]-Audit[[#This Row],[Losing Candidate]], "")</f>
        <v/>
      </c>
      <c r="AG203" s="18" t="str">
        <f>IF(NOT(ISBLANK(Audit[[#This Row],[Audit Candidate 3]])), Audit[[#This Row],[Audit Candidate 3]]-Audit[[#This Row],[Candidate 3]], "")</f>
        <v/>
      </c>
      <c r="AH203" s="18" t="str">
        <f>IF(NOT(ISBLANK(Audit[[#This Row],[Audit Candidate 4]])),Audit[[#This Row],[Audit Candidate 4]]-Audit[[#This Row],[Candidate 4]], "")</f>
        <v/>
      </c>
      <c r="AI203" s="18" t="str">
        <f>IF(NOT(ISBLANK(Audit[[#This Row],[Audit Candidate 5]])), Audit[[#This Row],[Audit Candidate 5]]-Audit[[#This Row],[Candidate 5]], "")</f>
        <v/>
      </c>
      <c r="AJ203" s="18" t="str">
        <f>IF(NOT(ISBLANK(Audit[[#This Row],[Audit Candidate 6]])), Audit[[#This Row],[Audit Candidate 6]]-Audit[[#This Row],[Candidate 6]], "")</f>
        <v/>
      </c>
      <c r="AK203" s="18" t="str">
        <f>IF(NOT(ISBLANK(Audit[[#This Row],[Audit Candidate 7]])), Audit[[#This Row],[Audit Candidate 7]]-Audit[[#This Row],[Candidate 7]], "")</f>
        <v/>
      </c>
      <c r="AL203" s="18" t="str">
        <f>IF(NOT(ISBLANK(Audit[[#This Row],[Audit Candidate 8]])), Audit[[#This Row],[Audit Candidate 8]]-Audit[[#This Row],[Candidate 8]], "")</f>
        <v/>
      </c>
      <c r="AM203" s="18" t="str">
        <f>IF(NOT(ISBLANK(Audit[[#This Row],[Audit Candidate 9]])), Audit[[#This Row],[Audit Candidate 9]]-Audit[[#This Row],[Candidate 9]], "")</f>
        <v/>
      </c>
      <c r="AN203" s="18" t="str">
        <f>IF(NOT(ISBLANK(Audit[[#This Row],[Audit Candidate 10]])), Audit[[#This Row],[Audit Candidate 10]]-Audit[[#This Row],[Candidate 10]], "")</f>
        <v/>
      </c>
      <c r="AO203" s="18" t="str">
        <f>IF(NOT(ISBLANK(Audit[[#This Row],[Audit Candidate 11]])), Audit[[#This Row],[Audit Candidate 11]]-Audit[[#This Row],[Candidate 11]], "")</f>
        <v/>
      </c>
      <c r="AP203" s="18" t="str">
        <f>IF(NOT(ISBLANK(Audit[[#This Row],[Audit Candidate 12]])), Audit[[#This Row],[Audit Candidate 12]]-Audit[[#This Row],[Candidate 12]], "")</f>
        <v/>
      </c>
      <c r="AQ203" s="18">
        <f>SUMIF(Audit[[#This Row],[Difference Winner]:[Difference Candidate 12]], "&gt;0")</f>
        <v>0</v>
      </c>
      <c r="AR203" s="18">
        <f>SUM(Audit[[#This Row],[Difference Winner]:[Difference Candidate 12]])</f>
        <v>0</v>
      </c>
      <c r="AS203" s="18">
        <f>IF(Audit[[#This Row],[Times p Drawn - With Replacement]]&gt;0, IF(Audit[[#This Row],[Canceled Differences]]&lt;0, Audit[[#This Row],[Max Differences]]+ABS(Audit[[#This Row],[Canceled Differences]]), Audit[[#This Row],[Max Differences]]), 0)</f>
        <v>0</v>
      </c>
      <c r="AT203" s="18">
        <f>'Sampling Data'!AB203</f>
        <v>2.8268995194270818E-4</v>
      </c>
      <c r="AU203" s="18">
        <f>IF(
      SUM(Audit[[#This Row],[Audit Losing Candidate]:[Audit Candidate 12]])
      &lt;&gt;0,
      (Audit[[#This Row],[Winning Candidate]]-Audit[[#This Row],[Losing Candidate]]-(Audit[[#This Row],[Audit Winning Candidate]]-Audit[[#This Row],[Audit Losing Candidate]]))/(Audit[[#Totals],[Winning Candidate]]-Audit[[#Totals],[Losing Candidate]]),
      0
)</f>
        <v>0</v>
      </c>
      <c r="AV2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8">
        <f>IF(Audit[[#This Row],[Max Relative Error (ep)]] = 0, 0, Audit[[#This Row],[Max Relative Error (ep)]]/Audit[[#This Row],[Error Bound (up) - Max. possible relative overstatement]])</f>
        <v>0</v>
      </c>
      <c r="BH2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3" s="18">
        <f t="shared" si="3"/>
        <v>1</v>
      </c>
      <c r="BJ203" s="18">
        <f>PRODUCT($BI$5:BI203)</f>
        <v>0.57146126097022543</v>
      </c>
      <c r="BK203" s="20">
        <f>1 - Audit[[#This Row],[K-M P Value]]</f>
        <v>0.42853873902977457</v>
      </c>
      <c r="BL203" s="18" t="str">
        <f>IF(Audit[[#This Row],[K-M P Value]]&gt;1-'General Info'!$B$12,"Continue", "Stop")</f>
        <v>Continue</v>
      </c>
      <c r="BM203" s="23" t="b">
        <f>IF(Audit[[#This Row],[Status - Continue or stop audit]] = "Continue", TRUE, IF(BL202 = "Continue", TRUE, FALSE))</f>
        <v>1</v>
      </c>
      <c r="BN203" s="23"/>
    </row>
    <row r="204" spans="1:66" ht="15" hidden="1" customHeight="1" x14ac:dyDescent="0.35">
      <c r="A204" s="18" t="str">
        <f>'Sampling Data'!AI204</f>
        <v/>
      </c>
      <c r="B204" s="18" t="str">
        <f>'Sampling Data'!A204</f>
        <v>2851 BLUE 5-A   (AV)</v>
      </c>
      <c r="C204" s="18">
        <f>'Sampling Data'!B204</f>
        <v>13</v>
      </c>
      <c r="D204" s="18">
        <f>'Sampling Data'!C204</f>
        <v>1</v>
      </c>
      <c r="E204" s="19">
        <f>'Sampling Data'!D204</f>
        <v>0</v>
      </c>
      <c r="F204" s="19">
        <f>'Sampling Data'!E204</f>
        <v>0</v>
      </c>
      <c r="G204" s="19">
        <f>'Sampling Data'!F204</f>
        <v>0</v>
      </c>
      <c r="H204" s="19">
        <f>'Sampling Data'!G204</f>
        <v>0</v>
      </c>
      <c r="I204" s="19">
        <f>'Sampling Data'!H204</f>
        <v>0</v>
      </c>
      <c r="J204" s="19">
        <f>'Sampling Data'!I204</f>
        <v>0</v>
      </c>
      <c r="K204" s="19">
        <f>'Sampling Data'!J204</f>
        <v>0</v>
      </c>
      <c r="L204" s="19">
        <f>'Sampling Data'!K204</f>
        <v>0</v>
      </c>
      <c r="M204" s="19">
        <f>'Sampling Data'!L204</f>
        <v>0</v>
      </c>
      <c r="N204" s="19">
        <f>'Sampling Data'!M204</f>
        <v>0</v>
      </c>
      <c r="O204" s="18">
        <f>'Sampling Data'!N204</f>
        <v>0</v>
      </c>
      <c r="P204" s="18">
        <f>'Sampling Data'!O204</f>
        <v>0</v>
      </c>
      <c r="Q204" s="18">
        <f>'Sampling Data'!P204</f>
        <v>14</v>
      </c>
      <c r="R204" s="18">
        <f>'Sampling Data'!AJ204</f>
        <v>0</v>
      </c>
      <c r="S204" s="112"/>
      <c r="T204" s="112"/>
      <c r="U204" s="113"/>
      <c r="V204" s="113"/>
      <c r="W204" s="112"/>
      <c r="X204" s="112"/>
      <c r="Y204" s="112"/>
      <c r="Z204" s="112"/>
      <c r="AA204" s="15"/>
      <c r="AB204" s="15"/>
      <c r="AC204" s="15"/>
      <c r="AD204" s="15"/>
      <c r="AE204" s="114" t="str">
        <f>IF(NOT(ISBLANK(Audit[[#This Row],[Audit Winning Candidate]])), Audit[[#This Row],[Audit Winning Candidate]]-Audit[[#This Row],[Winning Candidate]], "")</f>
        <v/>
      </c>
      <c r="AF204" s="18" t="str">
        <f>IF(NOT(ISBLANK(Audit[[#This Row],[Audit Losing Candidate]])), Audit[[#This Row],[Audit Losing Candidate]]-Audit[[#This Row],[Losing Candidate]], "")</f>
        <v/>
      </c>
      <c r="AG204" s="18" t="str">
        <f>IF(NOT(ISBLANK(Audit[[#This Row],[Audit Candidate 3]])), Audit[[#This Row],[Audit Candidate 3]]-Audit[[#This Row],[Candidate 3]], "")</f>
        <v/>
      </c>
      <c r="AH204" s="18" t="str">
        <f>IF(NOT(ISBLANK(Audit[[#This Row],[Audit Candidate 4]])),Audit[[#This Row],[Audit Candidate 4]]-Audit[[#This Row],[Candidate 4]], "")</f>
        <v/>
      </c>
      <c r="AI204" s="18" t="str">
        <f>IF(NOT(ISBLANK(Audit[[#This Row],[Audit Candidate 5]])), Audit[[#This Row],[Audit Candidate 5]]-Audit[[#This Row],[Candidate 5]], "")</f>
        <v/>
      </c>
      <c r="AJ204" s="18" t="str">
        <f>IF(NOT(ISBLANK(Audit[[#This Row],[Audit Candidate 6]])), Audit[[#This Row],[Audit Candidate 6]]-Audit[[#This Row],[Candidate 6]], "")</f>
        <v/>
      </c>
      <c r="AK204" s="18" t="str">
        <f>IF(NOT(ISBLANK(Audit[[#This Row],[Audit Candidate 7]])), Audit[[#This Row],[Audit Candidate 7]]-Audit[[#This Row],[Candidate 7]], "")</f>
        <v/>
      </c>
      <c r="AL204" s="18" t="str">
        <f>IF(NOT(ISBLANK(Audit[[#This Row],[Audit Candidate 8]])), Audit[[#This Row],[Audit Candidate 8]]-Audit[[#This Row],[Candidate 8]], "")</f>
        <v/>
      </c>
      <c r="AM204" s="18" t="str">
        <f>IF(NOT(ISBLANK(Audit[[#This Row],[Audit Candidate 9]])), Audit[[#This Row],[Audit Candidate 9]]-Audit[[#This Row],[Candidate 9]], "")</f>
        <v/>
      </c>
      <c r="AN204" s="18" t="str">
        <f>IF(NOT(ISBLANK(Audit[[#This Row],[Audit Candidate 10]])), Audit[[#This Row],[Audit Candidate 10]]-Audit[[#This Row],[Candidate 10]], "")</f>
        <v/>
      </c>
      <c r="AO204" s="18" t="str">
        <f>IF(NOT(ISBLANK(Audit[[#This Row],[Audit Candidate 11]])), Audit[[#This Row],[Audit Candidate 11]]-Audit[[#This Row],[Candidate 11]], "")</f>
        <v/>
      </c>
      <c r="AP204" s="18" t="str">
        <f>IF(NOT(ISBLANK(Audit[[#This Row],[Audit Candidate 12]])), Audit[[#This Row],[Audit Candidate 12]]-Audit[[#This Row],[Candidate 12]], "")</f>
        <v/>
      </c>
      <c r="AQ204" s="18">
        <f>SUMIF(Audit[[#This Row],[Difference Winner]:[Difference Candidate 12]], "&gt;0")</f>
        <v>0</v>
      </c>
      <c r="AR204" s="18">
        <f>SUM(Audit[[#This Row],[Difference Winner]:[Difference Candidate 12]])</f>
        <v>0</v>
      </c>
      <c r="AS204" s="18">
        <f>IF(Audit[[#This Row],[Times p Drawn - With Replacement]]&gt;0, IF(Audit[[#This Row],[Canceled Differences]]&lt;0, Audit[[#This Row],[Max Differences]]+ABS(Audit[[#This Row],[Canceled Differences]]), Audit[[#This Row],[Max Differences]]), 0)</f>
        <v>0</v>
      </c>
      <c r="AT204" s="18">
        <f>'Sampling Data'!AB204</f>
        <v>8.1665986116782364E-4</v>
      </c>
      <c r="AU204" s="18">
        <f>IF(
      SUM(Audit[[#This Row],[Audit Losing Candidate]:[Audit Candidate 12]])
      &lt;&gt;0,
      (Audit[[#This Row],[Winning Candidate]]-Audit[[#This Row],[Losing Candidate]]-(Audit[[#This Row],[Audit Winning Candidate]]-Audit[[#This Row],[Audit Losing Candidate]]))/(Audit[[#Totals],[Winning Candidate]]-Audit[[#Totals],[Losing Candidate]]),
      0
)</f>
        <v>0</v>
      </c>
      <c r="AV2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8">
        <f>IF(Audit[[#This Row],[Max Relative Error (ep)]] = 0, 0, Audit[[#This Row],[Max Relative Error (ep)]]/Audit[[#This Row],[Error Bound (up) - Max. possible relative overstatement]])</f>
        <v>0</v>
      </c>
      <c r="BH2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4" s="18">
        <f t="shared" si="3"/>
        <v>1</v>
      </c>
      <c r="BJ204" s="18">
        <f>PRODUCT($BI$5:BI204)</f>
        <v>0.57146126097022543</v>
      </c>
      <c r="BK204" s="20">
        <f>1 - Audit[[#This Row],[K-M P Value]]</f>
        <v>0.42853873902977457</v>
      </c>
      <c r="BL204" s="18" t="str">
        <f>IF(Audit[[#This Row],[K-M P Value]]&gt;1-'General Info'!$B$12,"Continue", "Stop")</f>
        <v>Continue</v>
      </c>
      <c r="BM204" s="23" t="b">
        <f>IF(Audit[[#This Row],[Status - Continue or stop audit]] = "Continue", TRUE, IF(BL203 = "Continue", TRUE, FALSE))</f>
        <v>1</v>
      </c>
      <c r="BN204" s="23"/>
    </row>
    <row r="205" spans="1:66" ht="15" hidden="1" customHeight="1" x14ac:dyDescent="0.35">
      <c r="A205" s="18" t="str">
        <f>'Sampling Data'!AI205</f>
        <v/>
      </c>
      <c r="B205" s="18" t="str">
        <f>'Sampling Data'!A205</f>
        <v>2852 BLUE 5-B   (AV)</v>
      </c>
      <c r="C205" s="18">
        <f>'Sampling Data'!B205</f>
        <v>15</v>
      </c>
      <c r="D205" s="18">
        <f>'Sampling Data'!C205</f>
        <v>0</v>
      </c>
      <c r="E205" s="19">
        <f>'Sampling Data'!D205</f>
        <v>0</v>
      </c>
      <c r="F205" s="19">
        <f>'Sampling Data'!E205</f>
        <v>0</v>
      </c>
      <c r="G205" s="19">
        <f>'Sampling Data'!F205</f>
        <v>0</v>
      </c>
      <c r="H205" s="19">
        <f>'Sampling Data'!G205</f>
        <v>0</v>
      </c>
      <c r="I205" s="19">
        <f>'Sampling Data'!H205</f>
        <v>0</v>
      </c>
      <c r="J205" s="19">
        <f>'Sampling Data'!I205</f>
        <v>0</v>
      </c>
      <c r="K205" s="19">
        <f>'Sampling Data'!J205</f>
        <v>0</v>
      </c>
      <c r="L205" s="19">
        <f>'Sampling Data'!K205</f>
        <v>0</v>
      </c>
      <c r="M205" s="19">
        <f>'Sampling Data'!L205</f>
        <v>0</v>
      </c>
      <c r="N205" s="19">
        <f>'Sampling Data'!M205</f>
        <v>0</v>
      </c>
      <c r="O205" s="18">
        <f>'Sampling Data'!N205</f>
        <v>0</v>
      </c>
      <c r="P205" s="18">
        <f>'Sampling Data'!O205</f>
        <v>0</v>
      </c>
      <c r="Q205" s="18">
        <f>'Sampling Data'!P205</f>
        <v>15</v>
      </c>
      <c r="R205" s="18">
        <f>'Sampling Data'!AJ205</f>
        <v>0</v>
      </c>
      <c r="S205" s="112"/>
      <c r="T205" s="112"/>
      <c r="U205" s="113"/>
      <c r="V205" s="113"/>
      <c r="W205" s="112"/>
      <c r="X205" s="112"/>
      <c r="Y205" s="112"/>
      <c r="Z205" s="112"/>
      <c r="AA205" s="15"/>
      <c r="AB205" s="15"/>
      <c r="AC205" s="15"/>
      <c r="AD205" s="15"/>
      <c r="AE205" s="114" t="str">
        <f>IF(NOT(ISBLANK(Audit[[#This Row],[Audit Winning Candidate]])), Audit[[#This Row],[Audit Winning Candidate]]-Audit[[#This Row],[Winning Candidate]], "")</f>
        <v/>
      </c>
      <c r="AF205" s="18" t="str">
        <f>IF(NOT(ISBLANK(Audit[[#This Row],[Audit Losing Candidate]])), Audit[[#This Row],[Audit Losing Candidate]]-Audit[[#This Row],[Losing Candidate]], "")</f>
        <v/>
      </c>
      <c r="AG205" s="18" t="str">
        <f>IF(NOT(ISBLANK(Audit[[#This Row],[Audit Candidate 3]])), Audit[[#This Row],[Audit Candidate 3]]-Audit[[#This Row],[Candidate 3]], "")</f>
        <v/>
      </c>
      <c r="AH205" s="18" t="str">
        <f>IF(NOT(ISBLANK(Audit[[#This Row],[Audit Candidate 4]])),Audit[[#This Row],[Audit Candidate 4]]-Audit[[#This Row],[Candidate 4]], "")</f>
        <v/>
      </c>
      <c r="AI205" s="18" t="str">
        <f>IF(NOT(ISBLANK(Audit[[#This Row],[Audit Candidate 5]])), Audit[[#This Row],[Audit Candidate 5]]-Audit[[#This Row],[Candidate 5]], "")</f>
        <v/>
      </c>
      <c r="AJ205" s="18" t="str">
        <f>IF(NOT(ISBLANK(Audit[[#This Row],[Audit Candidate 6]])), Audit[[#This Row],[Audit Candidate 6]]-Audit[[#This Row],[Candidate 6]], "")</f>
        <v/>
      </c>
      <c r="AK205" s="18" t="str">
        <f>IF(NOT(ISBLANK(Audit[[#This Row],[Audit Candidate 7]])), Audit[[#This Row],[Audit Candidate 7]]-Audit[[#This Row],[Candidate 7]], "")</f>
        <v/>
      </c>
      <c r="AL205" s="18" t="str">
        <f>IF(NOT(ISBLANK(Audit[[#This Row],[Audit Candidate 8]])), Audit[[#This Row],[Audit Candidate 8]]-Audit[[#This Row],[Candidate 8]], "")</f>
        <v/>
      </c>
      <c r="AM205" s="18" t="str">
        <f>IF(NOT(ISBLANK(Audit[[#This Row],[Audit Candidate 9]])), Audit[[#This Row],[Audit Candidate 9]]-Audit[[#This Row],[Candidate 9]], "")</f>
        <v/>
      </c>
      <c r="AN205" s="18" t="str">
        <f>IF(NOT(ISBLANK(Audit[[#This Row],[Audit Candidate 10]])), Audit[[#This Row],[Audit Candidate 10]]-Audit[[#This Row],[Candidate 10]], "")</f>
        <v/>
      </c>
      <c r="AO205" s="18" t="str">
        <f>IF(NOT(ISBLANK(Audit[[#This Row],[Audit Candidate 11]])), Audit[[#This Row],[Audit Candidate 11]]-Audit[[#This Row],[Candidate 11]], "")</f>
        <v/>
      </c>
      <c r="AP205" s="18" t="str">
        <f>IF(NOT(ISBLANK(Audit[[#This Row],[Audit Candidate 12]])), Audit[[#This Row],[Audit Candidate 12]]-Audit[[#This Row],[Candidate 12]], "")</f>
        <v/>
      </c>
      <c r="AQ205" s="18">
        <f>SUMIF(Audit[[#This Row],[Difference Winner]:[Difference Candidate 12]], "&gt;0")</f>
        <v>0</v>
      </c>
      <c r="AR205" s="18">
        <f>SUM(Audit[[#This Row],[Difference Winner]:[Difference Candidate 12]])</f>
        <v>0</v>
      </c>
      <c r="AS205" s="18">
        <f>IF(Audit[[#This Row],[Times p Drawn - With Replacement]]&gt;0, IF(Audit[[#This Row],[Canceled Differences]]&lt;0, Audit[[#This Row],[Max Differences]]+ABS(Audit[[#This Row],[Canceled Differences]]), Audit[[#This Row],[Max Differences]]), 0)</f>
        <v>0</v>
      </c>
      <c r="AT205" s="18">
        <f>'Sampling Data'!AB205</f>
        <v>9.4229983980902718E-4</v>
      </c>
      <c r="AU205" s="18">
        <f>IF(
      SUM(Audit[[#This Row],[Audit Losing Candidate]:[Audit Candidate 12]])
      &lt;&gt;0,
      (Audit[[#This Row],[Winning Candidate]]-Audit[[#This Row],[Losing Candidate]]-(Audit[[#This Row],[Audit Winning Candidate]]-Audit[[#This Row],[Audit Losing Candidate]]))/(Audit[[#Totals],[Winning Candidate]]-Audit[[#Totals],[Losing Candidate]]),
      0
)</f>
        <v>0</v>
      </c>
      <c r="AV2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8">
        <f>IF(Audit[[#This Row],[Max Relative Error (ep)]] = 0, 0, Audit[[#This Row],[Max Relative Error (ep)]]/Audit[[#This Row],[Error Bound (up) - Max. possible relative overstatement]])</f>
        <v>0</v>
      </c>
      <c r="BH2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5" s="18">
        <f t="shared" si="3"/>
        <v>1</v>
      </c>
      <c r="BJ205" s="18">
        <f>PRODUCT($BI$5:BI205)</f>
        <v>0.57146126097022543</v>
      </c>
      <c r="BK205" s="20">
        <f>1 - Audit[[#This Row],[K-M P Value]]</f>
        <v>0.42853873902977457</v>
      </c>
      <c r="BL205" s="18" t="str">
        <f>IF(Audit[[#This Row],[K-M P Value]]&gt;1-'General Info'!$B$12,"Continue", "Stop")</f>
        <v>Continue</v>
      </c>
      <c r="BM205" s="23" t="b">
        <f>IF(Audit[[#This Row],[Status - Continue or stop audit]] = "Continue", TRUE, IF(BL204 = "Continue", TRUE, FALSE))</f>
        <v>1</v>
      </c>
      <c r="BN205" s="23"/>
    </row>
    <row r="206" spans="1:66" ht="15" hidden="1" customHeight="1" x14ac:dyDescent="0.35">
      <c r="A206" s="18" t="str">
        <f>'Sampling Data'!AI206</f>
        <v/>
      </c>
      <c r="B206" s="18" t="str">
        <f>'Sampling Data'!A206</f>
        <v>2911 CHEV 1-A   (AV)</v>
      </c>
      <c r="C206" s="18">
        <f>'Sampling Data'!B206</f>
        <v>7</v>
      </c>
      <c r="D206" s="18">
        <f>'Sampling Data'!C206</f>
        <v>1</v>
      </c>
      <c r="E206" s="19">
        <f>'Sampling Data'!D206</f>
        <v>0</v>
      </c>
      <c r="F206" s="19">
        <f>'Sampling Data'!E206</f>
        <v>0</v>
      </c>
      <c r="G206" s="19">
        <f>'Sampling Data'!F206</f>
        <v>0</v>
      </c>
      <c r="H206" s="19">
        <f>'Sampling Data'!G206</f>
        <v>0</v>
      </c>
      <c r="I206" s="19">
        <f>'Sampling Data'!H206</f>
        <v>0</v>
      </c>
      <c r="J206" s="19">
        <f>'Sampling Data'!I206</f>
        <v>0</v>
      </c>
      <c r="K206" s="19">
        <f>'Sampling Data'!J206</f>
        <v>0</v>
      </c>
      <c r="L206" s="19">
        <f>'Sampling Data'!K206</f>
        <v>0</v>
      </c>
      <c r="M206" s="19">
        <f>'Sampling Data'!L206</f>
        <v>0</v>
      </c>
      <c r="N206" s="19">
        <f>'Sampling Data'!M206</f>
        <v>0</v>
      </c>
      <c r="O206" s="18">
        <f>'Sampling Data'!N206</f>
        <v>1</v>
      </c>
      <c r="P206" s="18">
        <f>'Sampling Data'!O206</f>
        <v>0</v>
      </c>
      <c r="Q206" s="18">
        <f>'Sampling Data'!P206</f>
        <v>9</v>
      </c>
      <c r="R206" s="18">
        <f>'Sampling Data'!AJ206</f>
        <v>0</v>
      </c>
      <c r="S206" s="112"/>
      <c r="T206" s="112"/>
      <c r="U206" s="113"/>
      <c r="V206" s="113"/>
      <c r="W206" s="112"/>
      <c r="X206" s="112"/>
      <c r="Y206" s="112"/>
      <c r="Z206" s="112"/>
      <c r="AA206" s="15"/>
      <c r="AB206" s="15"/>
      <c r="AC206" s="15"/>
      <c r="AD206" s="15"/>
      <c r="AE206" s="114" t="str">
        <f>IF(NOT(ISBLANK(Audit[[#This Row],[Audit Winning Candidate]])), Audit[[#This Row],[Audit Winning Candidate]]-Audit[[#This Row],[Winning Candidate]], "")</f>
        <v/>
      </c>
      <c r="AF206" s="18" t="str">
        <f>IF(NOT(ISBLANK(Audit[[#This Row],[Audit Losing Candidate]])), Audit[[#This Row],[Audit Losing Candidate]]-Audit[[#This Row],[Losing Candidate]], "")</f>
        <v/>
      </c>
      <c r="AG206" s="18" t="str">
        <f>IF(NOT(ISBLANK(Audit[[#This Row],[Audit Candidate 3]])), Audit[[#This Row],[Audit Candidate 3]]-Audit[[#This Row],[Candidate 3]], "")</f>
        <v/>
      </c>
      <c r="AH206" s="18" t="str">
        <f>IF(NOT(ISBLANK(Audit[[#This Row],[Audit Candidate 4]])),Audit[[#This Row],[Audit Candidate 4]]-Audit[[#This Row],[Candidate 4]], "")</f>
        <v/>
      </c>
      <c r="AI206" s="18" t="str">
        <f>IF(NOT(ISBLANK(Audit[[#This Row],[Audit Candidate 5]])), Audit[[#This Row],[Audit Candidate 5]]-Audit[[#This Row],[Candidate 5]], "")</f>
        <v/>
      </c>
      <c r="AJ206" s="18" t="str">
        <f>IF(NOT(ISBLANK(Audit[[#This Row],[Audit Candidate 6]])), Audit[[#This Row],[Audit Candidate 6]]-Audit[[#This Row],[Candidate 6]], "")</f>
        <v/>
      </c>
      <c r="AK206" s="18" t="str">
        <f>IF(NOT(ISBLANK(Audit[[#This Row],[Audit Candidate 7]])), Audit[[#This Row],[Audit Candidate 7]]-Audit[[#This Row],[Candidate 7]], "")</f>
        <v/>
      </c>
      <c r="AL206" s="18" t="str">
        <f>IF(NOT(ISBLANK(Audit[[#This Row],[Audit Candidate 8]])), Audit[[#This Row],[Audit Candidate 8]]-Audit[[#This Row],[Candidate 8]], "")</f>
        <v/>
      </c>
      <c r="AM206" s="18" t="str">
        <f>IF(NOT(ISBLANK(Audit[[#This Row],[Audit Candidate 9]])), Audit[[#This Row],[Audit Candidate 9]]-Audit[[#This Row],[Candidate 9]], "")</f>
        <v/>
      </c>
      <c r="AN206" s="18" t="str">
        <f>IF(NOT(ISBLANK(Audit[[#This Row],[Audit Candidate 10]])), Audit[[#This Row],[Audit Candidate 10]]-Audit[[#This Row],[Candidate 10]], "")</f>
        <v/>
      </c>
      <c r="AO206" s="18" t="str">
        <f>IF(NOT(ISBLANK(Audit[[#This Row],[Audit Candidate 11]])), Audit[[#This Row],[Audit Candidate 11]]-Audit[[#This Row],[Candidate 11]], "")</f>
        <v/>
      </c>
      <c r="AP206" s="18" t="str">
        <f>IF(NOT(ISBLANK(Audit[[#This Row],[Audit Candidate 12]])), Audit[[#This Row],[Audit Candidate 12]]-Audit[[#This Row],[Candidate 12]], "")</f>
        <v/>
      </c>
      <c r="AQ206" s="18">
        <f>SUMIF(Audit[[#This Row],[Difference Winner]:[Difference Candidate 12]], "&gt;0")</f>
        <v>0</v>
      </c>
      <c r="AR206" s="18">
        <f>SUM(Audit[[#This Row],[Difference Winner]:[Difference Candidate 12]])</f>
        <v>0</v>
      </c>
      <c r="AS206" s="18">
        <f>IF(Audit[[#This Row],[Times p Drawn - With Replacement]]&gt;0, IF(Audit[[#This Row],[Canceled Differences]]&lt;0, Audit[[#This Row],[Max Differences]]+ABS(Audit[[#This Row],[Canceled Differences]]), Audit[[#This Row],[Max Differences]]), 0)</f>
        <v>0</v>
      </c>
      <c r="AT206" s="18">
        <f>'Sampling Data'!AB206</f>
        <v>4.7114991990451359E-4</v>
      </c>
      <c r="AU206" s="18">
        <f>IF(
      SUM(Audit[[#This Row],[Audit Losing Candidate]:[Audit Candidate 12]])
      &lt;&gt;0,
      (Audit[[#This Row],[Winning Candidate]]-Audit[[#This Row],[Losing Candidate]]-(Audit[[#This Row],[Audit Winning Candidate]]-Audit[[#This Row],[Audit Losing Candidate]]))/(Audit[[#Totals],[Winning Candidate]]-Audit[[#Totals],[Losing Candidate]]),
      0
)</f>
        <v>0</v>
      </c>
      <c r="AV2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8">
        <f>IF(Audit[[#This Row],[Max Relative Error (ep)]] = 0, 0, Audit[[#This Row],[Max Relative Error (ep)]]/Audit[[#This Row],[Error Bound (up) - Max. possible relative overstatement]])</f>
        <v>0</v>
      </c>
      <c r="BH2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6" s="18">
        <f t="shared" si="3"/>
        <v>1</v>
      </c>
      <c r="BJ206" s="18">
        <f>PRODUCT($BI$5:BI206)</f>
        <v>0.57146126097022543</v>
      </c>
      <c r="BK206" s="20">
        <f>1 - Audit[[#This Row],[K-M P Value]]</f>
        <v>0.42853873902977457</v>
      </c>
      <c r="BL206" s="18" t="str">
        <f>IF(Audit[[#This Row],[K-M P Value]]&gt;1-'General Info'!$B$12,"Continue", "Stop")</f>
        <v>Continue</v>
      </c>
      <c r="BM206" s="23" t="b">
        <f>IF(Audit[[#This Row],[Status - Continue or stop audit]] = "Continue", TRUE, IF(BL205 = "Continue", TRUE, FALSE))</f>
        <v>1</v>
      </c>
      <c r="BN206" s="23"/>
    </row>
    <row r="207" spans="1:66" ht="15" hidden="1" customHeight="1" x14ac:dyDescent="0.35">
      <c r="A207" s="18" t="str">
        <f>'Sampling Data'!AI207</f>
        <v/>
      </c>
      <c r="B207" s="18" t="str">
        <f>'Sampling Data'!A207</f>
        <v>2921 CHEV 2-A   (AV)</v>
      </c>
      <c r="C207" s="18">
        <f>'Sampling Data'!B207</f>
        <v>6</v>
      </c>
      <c r="D207" s="18">
        <f>'Sampling Data'!C207</f>
        <v>1</v>
      </c>
      <c r="E207" s="19">
        <f>'Sampling Data'!D207</f>
        <v>0</v>
      </c>
      <c r="F207" s="19">
        <f>'Sampling Data'!E207</f>
        <v>0</v>
      </c>
      <c r="G207" s="19">
        <f>'Sampling Data'!F207</f>
        <v>0</v>
      </c>
      <c r="H207" s="19">
        <f>'Sampling Data'!G207</f>
        <v>0</v>
      </c>
      <c r="I207" s="19">
        <f>'Sampling Data'!H207</f>
        <v>0</v>
      </c>
      <c r="J207" s="19">
        <f>'Sampling Data'!I207</f>
        <v>0</v>
      </c>
      <c r="K207" s="19">
        <f>'Sampling Data'!J207</f>
        <v>0</v>
      </c>
      <c r="L207" s="19">
        <f>'Sampling Data'!K207</f>
        <v>0</v>
      </c>
      <c r="M207" s="19">
        <f>'Sampling Data'!L207</f>
        <v>0</v>
      </c>
      <c r="N207" s="19">
        <f>'Sampling Data'!M207</f>
        <v>0</v>
      </c>
      <c r="O207" s="18">
        <f>'Sampling Data'!N207</f>
        <v>0</v>
      </c>
      <c r="P207" s="18">
        <f>'Sampling Data'!O207</f>
        <v>0</v>
      </c>
      <c r="Q207" s="18">
        <f>'Sampling Data'!P207</f>
        <v>7</v>
      </c>
      <c r="R207" s="18">
        <f>'Sampling Data'!AJ207</f>
        <v>0</v>
      </c>
      <c r="S207" s="112"/>
      <c r="T207" s="112"/>
      <c r="U207" s="113"/>
      <c r="V207" s="113"/>
      <c r="W207" s="112"/>
      <c r="X207" s="112"/>
      <c r="Y207" s="112"/>
      <c r="Z207" s="112"/>
      <c r="AA207" s="15"/>
      <c r="AB207" s="15"/>
      <c r="AC207" s="15"/>
      <c r="AD207" s="15"/>
      <c r="AE207" s="114" t="str">
        <f>IF(NOT(ISBLANK(Audit[[#This Row],[Audit Winning Candidate]])), Audit[[#This Row],[Audit Winning Candidate]]-Audit[[#This Row],[Winning Candidate]], "")</f>
        <v/>
      </c>
      <c r="AF207" s="18" t="str">
        <f>IF(NOT(ISBLANK(Audit[[#This Row],[Audit Losing Candidate]])), Audit[[#This Row],[Audit Losing Candidate]]-Audit[[#This Row],[Losing Candidate]], "")</f>
        <v/>
      </c>
      <c r="AG207" s="18" t="str">
        <f>IF(NOT(ISBLANK(Audit[[#This Row],[Audit Candidate 3]])), Audit[[#This Row],[Audit Candidate 3]]-Audit[[#This Row],[Candidate 3]], "")</f>
        <v/>
      </c>
      <c r="AH207" s="18" t="str">
        <f>IF(NOT(ISBLANK(Audit[[#This Row],[Audit Candidate 4]])),Audit[[#This Row],[Audit Candidate 4]]-Audit[[#This Row],[Candidate 4]], "")</f>
        <v/>
      </c>
      <c r="AI207" s="18" t="str">
        <f>IF(NOT(ISBLANK(Audit[[#This Row],[Audit Candidate 5]])), Audit[[#This Row],[Audit Candidate 5]]-Audit[[#This Row],[Candidate 5]], "")</f>
        <v/>
      </c>
      <c r="AJ207" s="18" t="str">
        <f>IF(NOT(ISBLANK(Audit[[#This Row],[Audit Candidate 6]])), Audit[[#This Row],[Audit Candidate 6]]-Audit[[#This Row],[Candidate 6]], "")</f>
        <v/>
      </c>
      <c r="AK207" s="18" t="str">
        <f>IF(NOT(ISBLANK(Audit[[#This Row],[Audit Candidate 7]])), Audit[[#This Row],[Audit Candidate 7]]-Audit[[#This Row],[Candidate 7]], "")</f>
        <v/>
      </c>
      <c r="AL207" s="18" t="str">
        <f>IF(NOT(ISBLANK(Audit[[#This Row],[Audit Candidate 8]])), Audit[[#This Row],[Audit Candidate 8]]-Audit[[#This Row],[Candidate 8]], "")</f>
        <v/>
      </c>
      <c r="AM207" s="18" t="str">
        <f>IF(NOT(ISBLANK(Audit[[#This Row],[Audit Candidate 9]])), Audit[[#This Row],[Audit Candidate 9]]-Audit[[#This Row],[Candidate 9]], "")</f>
        <v/>
      </c>
      <c r="AN207" s="18" t="str">
        <f>IF(NOT(ISBLANK(Audit[[#This Row],[Audit Candidate 10]])), Audit[[#This Row],[Audit Candidate 10]]-Audit[[#This Row],[Candidate 10]], "")</f>
        <v/>
      </c>
      <c r="AO207" s="18" t="str">
        <f>IF(NOT(ISBLANK(Audit[[#This Row],[Audit Candidate 11]])), Audit[[#This Row],[Audit Candidate 11]]-Audit[[#This Row],[Candidate 11]], "")</f>
        <v/>
      </c>
      <c r="AP207" s="18" t="str">
        <f>IF(NOT(ISBLANK(Audit[[#This Row],[Audit Candidate 12]])), Audit[[#This Row],[Audit Candidate 12]]-Audit[[#This Row],[Candidate 12]], "")</f>
        <v/>
      </c>
      <c r="AQ207" s="18">
        <f>SUMIF(Audit[[#This Row],[Difference Winner]:[Difference Candidate 12]], "&gt;0")</f>
        <v>0</v>
      </c>
      <c r="AR207" s="18">
        <f>SUM(Audit[[#This Row],[Difference Winner]:[Difference Candidate 12]])</f>
        <v>0</v>
      </c>
      <c r="AS207" s="18">
        <f>IF(Audit[[#This Row],[Times p Drawn - With Replacement]]&gt;0, IF(Audit[[#This Row],[Canceled Differences]]&lt;0, Audit[[#This Row],[Max Differences]]+ABS(Audit[[#This Row],[Canceled Differences]]), Audit[[#This Row],[Max Differences]]), 0)</f>
        <v>0</v>
      </c>
      <c r="AT207" s="18">
        <f>'Sampling Data'!AB207</f>
        <v>3.7691993592361088E-4</v>
      </c>
      <c r="AU207" s="18">
        <f>IF(
      SUM(Audit[[#This Row],[Audit Losing Candidate]:[Audit Candidate 12]])
      &lt;&gt;0,
      (Audit[[#This Row],[Winning Candidate]]-Audit[[#This Row],[Losing Candidate]]-(Audit[[#This Row],[Audit Winning Candidate]]-Audit[[#This Row],[Audit Losing Candidate]]))/(Audit[[#Totals],[Winning Candidate]]-Audit[[#Totals],[Losing Candidate]]),
      0
)</f>
        <v>0</v>
      </c>
      <c r="AV2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8">
        <f>IF(Audit[[#This Row],[Max Relative Error (ep)]] = 0, 0, Audit[[#This Row],[Max Relative Error (ep)]]/Audit[[#This Row],[Error Bound (up) - Max. possible relative overstatement]])</f>
        <v>0</v>
      </c>
      <c r="BH2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7" s="18">
        <f t="shared" ref="BI207:BI270" si="4">IF(ISERR(POWER(BH207,R207)), 0, POWER(BH207,R207))</f>
        <v>1</v>
      </c>
      <c r="BJ207" s="18">
        <f>PRODUCT($BI$5:BI207)</f>
        <v>0.57146126097022543</v>
      </c>
      <c r="BK207" s="20">
        <f>1 - Audit[[#This Row],[K-M P Value]]</f>
        <v>0.42853873902977457</v>
      </c>
      <c r="BL207" s="18" t="str">
        <f>IF(Audit[[#This Row],[K-M P Value]]&gt;1-'General Info'!$B$12,"Continue", "Stop")</f>
        <v>Continue</v>
      </c>
      <c r="BM207" s="23" t="b">
        <f>IF(Audit[[#This Row],[Status - Continue or stop audit]] = "Continue", TRUE, IF(BL206 = "Continue", TRUE, FALSE))</f>
        <v>1</v>
      </c>
      <c r="BN207" s="23"/>
    </row>
    <row r="208" spans="1:66" ht="15" hidden="1" customHeight="1" x14ac:dyDescent="0.35">
      <c r="A208" s="18" t="str">
        <f>'Sampling Data'!AI208</f>
        <v/>
      </c>
      <c r="B208" s="18" t="str">
        <f>'Sampling Data'!A208</f>
        <v>2931 CHEV 3-A   (AV)</v>
      </c>
      <c r="C208" s="18">
        <f>'Sampling Data'!B208</f>
        <v>0</v>
      </c>
      <c r="D208" s="18">
        <f>'Sampling Data'!C208</f>
        <v>0</v>
      </c>
      <c r="E208" s="19">
        <f>'Sampling Data'!D208</f>
        <v>0</v>
      </c>
      <c r="F208" s="19">
        <f>'Sampling Data'!E208</f>
        <v>0</v>
      </c>
      <c r="G208" s="19">
        <f>'Sampling Data'!F208</f>
        <v>0</v>
      </c>
      <c r="H208" s="19">
        <f>'Sampling Data'!G208</f>
        <v>0</v>
      </c>
      <c r="I208" s="19">
        <f>'Sampling Data'!H208</f>
        <v>0</v>
      </c>
      <c r="J208" s="19">
        <f>'Sampling Data'!I208</f>
        <v>0</v>
      </c>
      <c r="K208" s="19">
        <f>'Sampling Data'!J208</f>
        <v>0</v>
      </c>
      <c r="L208" s="19">
        <f>'Sampling Data'!K208</f>
        <v>0</v>
      </c>
      <c r="M208" s="19">
        <f>'Sampling Data'!L208</f>
        <v>0</v>
      </c>
      <c r="N208" s="19">
        <f>'Sampling Data'!M208</f>
        <v>0</v>
      </c>
      <c r="O208" s="18">
        <f>'Sampling Data'!N208</f>
        <v>0</v>
      </c>
      <c r="P208" s="18">
        <f>'Sampling Data'!O208</f>
        <v>0</v>
      </c>
      <c r="Q208" s="18">
        <f>'Sampling Data'!P208</f>
        <v>0</v>
      </c>
      <c r="R208" s="18">
        <f>'Sampling Data'!AJ208</f>
        <v>0</v>
      </c>
      <c r="S208" s="112"/>
      <c r="T208" s="112"/>
      <c r="U208" s="113"/>
      <c r="V208" s="113"/>
      <c r="W208" s="112"/>
      <c r="X208" s="112"/>
      <c r="Y208" s="112"/>
      <c r="Z208" s="112"/>
      <c r="AA208" s="15"/>
      <c r="AB208" s="15"/>
      <c r="AC208" s="15"/>
      <c r="AD208" s="15"/>
      <c r="AE208" s="114" t="str">
        <f>IF(NOT(ISBLANK(Audit[[#This Row],[Audit Winning Candidate]])), Audit[[#This Row],[Audit Winning Candidate]]-Audit[[#This Row],[Winning Candidate]], "")</f>
        <v/>
      </c>
      <c r="AF208" s="18" t="str">
        <f>IF(NOT(ISBLANK(Audit[[#This Row],[Audit Losing Candidate]])), Audit[[#This Row],[Audit Losing Candidate]]-Audit[[#This Row],[Losing Candidate]], "")</f>
        <v/>
      </c>
      <c r="AG208" s="18" t="str">
        <f>IF(NOT(ISBLANK(Audit[[#This Row],[Audit Candidate 3]])), Audit[[#This Row],[Audit Candidate 3]]-Audit[[#This Row],[Candidate 3]], "")</f>
        <v/>
      </c>
      <c r="AH208" s="18" t="str">
        <f>IF(NOT(ISBLANK(Audit[[#This Row],[Audit Candidate 4]])),Audit[[#This Row],[Audit Candidate 4]]-Audit[[#This Row],[Candidate 4]], "")</f>
        <v/>
      </c>
      <c r="AI208" s="18" t="str">
        <f>IF(NOT(ISBLANK(Audit[[#This Row],[Audit Candidate 5]])), Audit[[#This Row],[Audit Candidate 5]]-Audit[[#This Row],[Candidate 5]], "")</f>
        <v/>
      </c>
      <c r="AJ208" s="18" t="str">
        <f>IF(NOT(ISBLANK(Audit[[#This Row],[Audit Candidate 6]])), Audit[[#This Row],[Audit Candidate 6]]-Audit[[#This Row],[Candidate 6]], "")</f>
        <v/>
      </c>
      <c r="AK208" s="18" t="str">
        <f>IF(NOT(ISBLANK(Audit[[#This Row],[Audit Candidate 7]])), Audit[[#This Row],[Audit Candidate 7]]-Audit[[#This Row],[Candidate 7]], "")</f>
        <v/>
      </c>
      <c r="AL208" s="18" t="str">
        <f>IF(NOT(ISBLANK(Audit[[#This Row],[Audit Candidate 8]])), Audit[[#This Row],[Audit Candidate 8]]-Audit[[#This Row],[Candidate 8]], "")</f>
        <v/>
      </c>
      <c r="AM208" s="18" t="str">
        <f>IF(NOT(ISBLANK(Audit[[#This Row],[Audit Candidate 9]])), Audit[[#This Row],[Audit Candidate 9]]-Audit[[#This Row],[Candidate 9]], "")</f>
        <v/>
      </c>
      <c r="AN208" s="18" t="str">
        <f>IF(NOT(ISBLANK(Audit[[#This Row],[Audit Candidate 10]])), Audit[[#This Row],[Audit Candidate 10]]-Audit[[#This Row],[Candidate 10]], "")</f>
        <v/>
      </c>
      <c r="AO208" s="18" t="str">
        <f>IF(NOT(ISBLANK(Audit[[#This Row],[Audit Candidate 11]])), Audit[[#This Row],[Audit Candidate 11]]-Audit[[#This Row],[Candidate 11]], "")</f>
        <v/>
      </c>
      <c r="AP208" s="18" t="str">
        <f>IF(NOT(ISBLANK(Audit[[#This Row],[Audit Candidate 12]])), Audit[[#This Row],[Audit Candidate 12]]-Audit[[#This Row],[Candidate 12]], "")</f>
        <v/>
      </c>
      <c r="AQ208" s="18">
        <f>SUMIF(Audit[[#This Row],[Difference Winner]:[Difference Candidate 12]], "&gt;0")</f>
        <v>0</v>
      </c>
      <c r="AR208" s="18">
        <f>SUM(Audit[[#This Row],[Difference Winner]:[Difference Candidate 12]])</f>
        <v>0</v>
      </c>
      <c r="AS208" s="18">
        <f>IF(Audit[[#This Row],[Times p Drawn - With Replacement]]&gt;0, IF(Audit[[#This Row],[Canceled Differences]]&lt;0, Audit[[#This Row],[Max Differences]]+ABS(Audit[[#This Row],[Canceled Differences]]), Audit[[#This Row],[Max Differences]]), 0)</f>
        <v>0</v>
      </c>
      <c r="AT208" s="18">
        <f>'Sampling Data'!AB208</f>
        <v>0</v>
      </c>
      <c r="AU208" s="18">
        <f>IF(
      SUM(Audit[[#This Row],[Audit Losing Candidate]:[Audit Candidate 12]])
      &lt;&gt;0,
      (Audit[[#This Row],[Winning Candidate]]-Audit[[#This Row],[Losing Candidate]]-(Audit[[#This Row],[Audit Winning Candidate]]-Audit[[#This Row],[Audit Losing Candidate]]))/(Audit[[#Totals],[Winning Candidate]]-Audit[[#Totals],[Losing Candidate]]),
      0
)</f>
        <v>0</v>
      </c>
      <c r="AV2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8">
        <f>IF(Audit[[#This Row],[Max Relative Error (ep)]] = 0, 0, Audit[[#This Row],[Max Relative Error (ep)]]/Audit[[#This Row],[Error Bound (up) - Max. possible relative overstatement]])</f>
        <v>0</v>
      </c>
      <c r="BH2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8" s="18">
        <f t="shared" si="4"/>
        <v>1</v>
      </c>
      <c r="BJ208" s="18">
        <f>PRODUCT($BI$5:BI208)</f>
        <v>0.57146126097022543</v>
      </c>
      <c r="BK208" s="20">
        <f>1 - Audit[[#This Row],[K-M P Value]]</f>
        <v>0.42853873902977457</v>
      </c>
      <c r="BL208" s="18" t="str">
        <f>IF(Audit[[#This Row],[K-M P Value]]&gt;1-'General Info'!$B$12,"Continue", "Stop")</f>
        <v>Continue</v>
      </c>
      <c r="BM208" s="23" t="b">
        <f>IF(Audit[[#This Row],[Status - Continue or stop audit]] = "Continue", TRUE, IF(BL207 = "Continue", TRUE, FALSE))</f>
        <v>1</v>
      </c>
      <c r="BN208" s="23"/>
    </row>
    <row r="209" spans="1:66" ht="15" hidden="1" customHeight="1" x14ac:dyDescent="0.35">
      <c r="A209" s="18" t="str">
        <f>'Sampling Data'!AI209</f>
        <v/>
      </c>
      <c r="B209" s="18" t="str">
        <f>'Sampling Data'!A209</f>
        <v>2941 CHEV 4-A   (AV)</v>
      </c>
      <c r="C209" s="18">
        <f>'Sampling Data'!B209</f>
        <v>7</v>
      </c>
      <c r="D209" s="18">
        <f>'Sampling Data'!C209</f>
        <v>1</v>
      </c>
      <c r="E209" s="19">
        <f>'Sampling Data'!D209</f>
        <v>0</v>
      </c>
      <c r="F209" s="19">
        <f>'Sampling Data'!E209</f>
        <v>0</v>
      </c>
      <c r="G209" s="19">
        <f>'Sampling Data'!F209</f>
        <v>0</v>
      </c>
      <c r="H209" s="19">
        <f>'Sampling Data'!G209</f>
        <v>0</v>
      </c>
      <c r="I209" s="19">
        <f>'Sampling Data'!H209</f>
        <v>0</v>
      </c>
      <c r="J209" s="19">
        <f>'Sampling Data'!I209</f>
        <v>0</v>
      </c>
      <c r="K209" s="19">
        <f>'Sampling Data'!J209</f>
        <v>0</v>
      </c>
      <c r="L209" s="19">
        <f>'Sampling Data'!K209</f>
        <v>0</v>
      </c>
      <c r="M209" s="19">
        <f>'Sampling Data'!L209</f>
        <v>0</v>
      </c>
      <c r="N209" s="19">
        <f>'Sampling Data'!M209</f>
        <v>0</v>
      </c>
      <c r="O209" s="18">
        <f>'Sampling Data'!N209</f>
        <v>0</v>
      </c>
      <c r="P209" s="18">
        <f>'Sampling Data'!O209</f>
        <v>4</v>
      </c>
      <c r="Q209" s="18">
        <f>'Sampling Data'!P209</f>
        <v>12</v>
      </c>
      <c r="R209" s="18">
        <f>'Sampling Data'!AJ209</f>
        <v>0</v>
      </c>
      <c r="S209" s="112"/>
      <c r="T209" s="112"/>
      <c r="U209" s="113"/>
      <c r="V209" s="113"/>
      <c r="W209" s="112"/>
      <c r="X209" s="112"/>
      <c r="Y209" s="112"/>
      <c r="Z209" s="112"/>
      <c r="AA209" s="15"/>
      <c r="AB209" s="15"/>
      <c r="AC209" s="15"/>
      <c r="AD209" s="15"/>
      <c r="AE209" s="114" t="str">
        <f>IF(NOT(ISBLANK(Audit[[#This Row],[Audit Winning Candidate]])), Audit[[#This Row],[Audit Winning Candidate]]-Audit[[#This Row],[Winning Candidate]], "")</f>
        <v/>
      </c>
      <c r="AF209" s="18" t="str">
        <f>IF(NOT(ISBLANK(Audit[[#This Row],[Audit Losing Candidate]])), Audit[[#This Row],[Audit Losing Candidate]]-Audit[[#This Row],[Losing Candidate]], "")</f>
        <v/>
      </c>
      <c r="AG209" s="18" t="str">
        <f>IF(NOT(ISBLANK(Audit[[#This Row],[Audit Candidate 3]])), Audit[[#This Row],[Audit Candidate 3]]-Audit[[#This Row],[Candidate 3]], "")</f>
        <v/>
      </c>
      <c r="AH209" s="18" t="str">
        <f>IF(NOT(ISBLANK(Audit[[#This Row],[Audit Candidate 4]])),Audit[[#This Row],[Audit Candidate 4]]-Audit[[#This Row],[Candidate 4]], "")</f>
        <v/>
      </c>
      <c r="AI209" s="18" t="str">
        <f>IF(NOT(ISBLANK(Audit[[#This Row],[Audit Candidate 5]])), Audit[[#This Row],[Audit Candidate 5]]-Audit[[#This Row],[Candidate 5]], "")</f>
        <v/>
      </c>
      <c r="AJ209" s="18" t="str">
        <f>IF(NOT(ISBLANK(Audit[[#This Row],[Audit Candidate 6]])), Audit[[#This Row],[Audit Candidate 6]]-Audit[[#This Row],[Candidate 6]], "")</f>
        <v/>
      </c>
      <c r="AK209" s="18" t="str">
        <f>IF(NOT(ISBLANK(Audit[[#This Row],[Audit Candidate 7]])), Audit[[#This Row],[Audit Candidate 7]]-Audit[[#This Row],[Candidate 7]], "")</f>
        <v/>
      </c>
      <c r="AL209" s="18" t="str">
        <f>IF(NOT(ISBLANK(Audit[[#This Row],[Audit Candidate 8]])), Audit[[#This Row],[Audit Candidate 8]]-Audit[[#This Row],[Candidate 8]], "")</f>
        <v/>
      </c>
      <c r="AM209" s="18" t="str">
        <f>IF(NOT(ISBLANK(Audit[[#This Row],[Audit Candidate 9]])), Audit[[#This Row],[Audit Candidate 9]]-Audit[[#This Row],[Candidate 9]], "")</f>
        <v/>
      </c>
      <c r="AN209" s="18" t="str">
        <f>IF(NOT(ISBLANK(Audit[[#This Row],[Audit Candidate 10]])), Audit[[#This Row],[Audit Candidate 10]]-Audit[[#This Row],[Candidate 10]], "")</f>
        <v/>
      </c>
      <c r="AO209" s="18" t="str">
        <f>IF(NOT(ISBLANK(Audit[[#This Row],[Audit Candidate 11]])), Audit[[#This Row],[Audit Candidate 11]]-Audit[[#This Row],[Candidate 11]], "")</f>
        <v/>
      </c>
      <c r="AP209" s="18" t="str">
        <f>IF(NOT(ISBLANK(Audit[[#This Row],[Audit Candidate 12]])), Audit[[#This Row],[Audit Candidate 12]]-Audit[[#This Row],[Candidate 12]], "")</f>
        <v/>
      </c>
      <c r="AQ209" s="18">
        <f>SUMIF(Audit[[#This Row],[Difference Winner]:[Difference Candidate 12]], "&gt;0")</f>
        <v>0</v>
      </c>
      <c r="AR209" s="18">
        <f>SUM(Audit[[#This Row],[Difference Winner]:[Difference Candidate 12]])</f>
        <v>0</v>
      </c>
      <c r="AS209" s="18">
        <f>IF(Audit[[#This Row],[Times p Drawn - With Replacement]]&gt;0, IF(Audit[[#This Row],[Canceled Differences]]&lt;0, Audit[[#This Row],[Max Differences]]+ABS(Audit[[#This Row],[Canceled Differences]]), Audit[[#This Row],[Max Differences]]), 0)</f>
        <v>0</v>
      </c>
      <c r="AT209" s="18">
        <f>'Sampling Data'!AB209</f>
        <v>5.6537990388541635E-4</v>
      </c>
      <c r="AU209" s="18">
        <f>IF(
      SUM(Audit[[#This Row],[Audit Losing Candidate]:[Audit Candidate 12]])
      &lt;&gt;0,
      (Audit[[#This Row],[Winning Candidate]]-Audit[[#This Row],[Losing Candidate]]-(Audit[[#This Row],[Audit Winning Candidate]]-Audit[[#This Row],[Audit Losing Candidate]]))/(Audit[[#Totals],[Winning Candidate]]-Audit[[#Totals],[Losing Candidate]]),
      0
)</f>
        <v>0</v>
      </c>
      <c r="AV2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8">
        <f>IF(Audit[[#This Row],[Max Relative Error (ep)]] = 0, 0, Audit[[#This Row],[Max Relative Error (ep)]]/Audit[[#This Row],[Error Bound (up) - Max. possible relative overstatement]])</f>
        <v>0</v>
      </c>
      <c r="BH2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09" s="18">
        <f t="shared" si="4"/>
        <v>1</v>
      </c>
      <c r="BJ209" s="18">
        <f>PRODUCT($BI$5:BI209)</f>
        <v>0.57146126097022543</v>
      </c>
      <c r="BK209" s="20">
        <f>1 - Audit[[#This Row],[K-M P Value]]</f>
        <v>0.42853873902977457</v>
      </c>
      <c r="BL209" s="18" t="str">
        <f>IF(Audit[[#This Row],[K-M P Value]]&gt;1-'General Info'!$B$12,"Continue", "Stop")</f>
        <v>Continue</v>
      </c>
      <c r="BM209" s="23" t="b">
        <f>IF(Audit[[#This Row],[Status - Continue or stop audit]] = "Continue", TRUE, IF(BL208 = "Continue", TRUE, FALSE))</f>
        <v>1</v>
      </c>
      <c r="BN209" s="23"/>
    </row>
    <row r="210" spans="1:66" ht="15" hidden="1" customHeight="1" x14ac:dyDescent="0.35">
      <c r="A210" s="18" t="str">
        <f>'Sampling Data'!AI210</f>
        <v/>
      </c>
      <c r="B210" s="18" t="str">
        <f>'Sampling Data'!A210</f>
        <v>3111 DR PK 1-A   (AV)</v>
      </c>
      <c r="C210" s="18">
        <f>'Sampling Data'!B210</f>
        <v>0</v>
      </c>
      <c r="D210" s="18">
        <f>'Sampling Data'!C210</f>
        <v>0</v>
      </c>
      <c r="E210" s="19">
        <f>'Sampling Data'!D210</f>
        <v>0</v>
      </c>
      <c r="F210" s="19">
        <f>'Sampling Data'!E210</f>
        <v>0</v>
      </c>
      <c r="G210" s="19">
        <f>'Sampling Data'!F210</f>
        <v>0</v>
      </c>
      <c r="H210" s="19">
        <f>'Sampling Data'!G210</f>
        <v>0</v>
      </c>
      <c r="I210" s="19">
        <f>'Sampling Data'!H210</f>
        <v>0</v>
      </c>
      <c r="J210" s="19">
        <f>'Sampling Data'!I210</f>
        <v>0</v>
      </c>
      <c r="K210" s="19">
        <f>'Sampling Data'!J210</f>
        <v>0</v>
      </c>
      <c r="L210" s="19">
        <f>'Sampling Data'!K210</f>
        <v>0</v>
      </c>
      <c r="M210" s="19">
        <f>'Sampling Data'!L210</f>
        <v>0</v>
      </c>
      <c r="N210" s="19">
        <f>'Sampling Data'!M210</f>
        <v>0</v>
      </c>
      <c r="O210" s="18">
        <f>'Sampling Data'!N210</f>
        <v>0</v>
      </c>
      <c r="P210" s="18">
        <f>'Sampling Data'!O210</f>
        <v>0</v>
      </c>
      <c r="Q210" s="18">
        <f>'Sampling Data'!P210</f>
        <v>0</v>
      </c>
      <c r="R210" s="18">
        <f>'Sampling Data'!AJ210</f>
        <v>0</v>
      </c>
      <c r="S210" s="112"/>
      <c r="T210" s="112"/>
      <c r="U210" s="113"/>
      <c r="V210" s="113"/>
      <c r="W210" s="112"/>
      <c r="X210" s="112"/>
      <c r="Y210" s="112"/>
      <c r="Z210" s="112"/>
      <c r="AA210" s="15"/>
      <c r="AB210" s="15"/>
      <c r="AC210" s="15"/>
      <c r="AD210" s="15"/>
      <c r="AE210" s="114" t="str">
        <f>IF(NOT(ISBLANK(Audit[[#This Row],[Audit Winning Candidate]])), Audit[[#This Row],[Audit Winning Candidate]]-Audit[[#This Row],[Winning Candidate]], "")</f>
        <v/>
      </c>
      <c r="AF210" s="18" t="str">
        <f>IF(NOT(ISBLANK(Audit[[#This Row],[Audit Losing Candidate]])), Audit[[#This Row],[Audit Losing Candidate]]-Audit[[#This Row],[Losing Candidate]], "")</f>
        <v/>
      </c>
      <c r="AG210" s="18" t="str">
        <f>IF(NOT(ISBLANK(Audit[[#This Row],[Audit Candidate 3]])), Audit[[#This Row],[Audit Candidate 3]]-Audit[[#This Row],[Candidate 3]], "")</f>
        <v/>
      </c>
      <c r="AH210" s="18" t="str">
        <f>IF(NOT(ISBLANK(Audit[[#This Row],[Audit Candidate 4]])),Audit[[#This Row],[Audit Candidate 4]]-Audit[[#This Row],[Candidate 4]], "")</f>
        <v/>
      </c>
      <c r="AI210" s="18" t="str">
        <f>IF(NOT(ISBLANK(Audit[[#This Row],[Audit Candidate 5]])), Audit[[#This Row],[Audit Candidate 5]]-Audit[[#This Row],[Candidate 5]], "")</f>
        <v/>
      </c>
      <c r="AJ210" s="18" t="str">
        <f>IF(NOT(ISBLANK(Audit[[#This Row],[Audit Candidate 6]])), Audit[[#This Row],[Audit Candidate 6]]-Audit[[#This Row],[Candidate 6]], "")</f>
        <v/>
      </c>
      <c r="AK210" s="18" t="str">
        <f>IF(NOT(ISBLANK(Audit[[#This Row],[Audit Candidate 7]])), Audit[[#This Row],[Audit Candidate 7]]-Audit[[#This Row],[Candidate 7]], "")</f>
        <v/>
      </c>
      <c r="AL210" s="18" t="str">
        <f>IF(NOT(ISBLANK(Audit[[#This Row],[Audit Candidate 8]])), Audit[[#This Row],[Audit Candidate 8]]-Audit[[#This Row],[Candidate 8]], "")</f>
        <v/>
      </c>
      <c r="AM210" s="18" t="str">
        <f>IF(NOT(ISBLANK(Audit[[#This Row],[Audit Candidate 9]])), Audit[[#This Row],[Audit Candidate 9]]-Audit[[#This Row],[Candidate 9]], "")</f>
        <v/>
      </c>
      <c r="AN210" s="18" t="str">
        <f>IF(NOT(ISBLANK(Audit[[#This Row],[Audit Candidate 10]])), Audit[[#This Row],[Audit Candidate 10]]-Audit[[#This Row],[Candidate 10]], "")</f>
        <v/>
      </c>
      <c r="AO210" s="18" t="str">
        <f>IF(NOT(ISBLANK(Audit[[#This Row],[Audit Candidate 11]])), Audit[[#This Row],[Audit Candidate 11]]-Audit[[#This Row],[Candidate 11]], "")</f>
        <v/>
      </c>
      <c r="AP210" s="18" t="str">
        <f>IF(NOT(ISBLANK(Audit[[#This Row],[Audit Candidate 12]])), Audit[[#This Row],[Audit Candidate 12]]-Audit[[#This Row],[Candidate 12]], "")</f>
        <v/>
      </c>
      <c r="AQ210" s="18">
        <f>SUMIF(Audit[[#This Row],[Difference Winner]:[Difference Candidate 12]], "&gt;0")</f>
        <v>0</v>
      </c>
      <c r="AR210" s="18">
        <f>SUM(Audit[[#This Row],[Difference Winner]:[Difference Candidate 12]])</f>
        <v>0</v>
      </c>
      <c r="AS210" s="18">
        <f>IF(Audit[[#This Row],[Times p Drawn - With Replacement]]&gt;0, IF(Audit[[#This Row],[Canceled Differences]]&lt;0, Audit[[#This Row],[Max Differences]]+ABS(Audit[[#This Row],[Canceled Differences]]), Audit[[#This Row],[Max Differences]]), 0)</f>
        <v>0</v>
      </c>
      <c r="AT210" s="18">
        <f>'Sampling Data'!AB210</f>
        <v>0</v>
      </c>
      <c r="AU210" s="18">
        <f>IF(
      SUM(Audit[[#This Row],[Audit Losing Candidate]:[Audit Candidate 12]])
      &lt;&gt;0,
      (Audit[[#This Row],[Winning Candidate]]-Audit[[#This Row],[Losing Candidate]]-(Audit[[#This Row],[Audit Winning Candidate]]-Audit[[#This Row],[Audit Losing Candidate]]))/(Audit[[#Totals],[Winning Candidate]]-Audit[[#Totals],[Losing Candidate]]),
      0
)</f>
        <v>0</v>
      </c>
      <c r="AV2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8">
        <f>IF(Audit[[#This Row],[Max Relative Error (ep)]] = 0, 0, Audit[[#This Row],[Max Relative Error (ep)]]/Audit[[#This Row],[Error Bound (up) - Max. possible relative overstatement]])</f>
        <v>0</v>
      </c>
      <c r="BH2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0" s="18">
        <f t="shared" si="4"/>
        <v>1</v>
      </c>
      <c r="BJ210" s="18">
        <f>PRODUCT($BI$5:BI210)</f>
        <v>0.57146126097022543</v>
      </c>
      <c r="BK210" s="20">
        <f>1 - Audit[[#This Row],[K-M P Value]]</f>
        <v>0.42853873902977457</v>
      </c>
      <c r="BL210" s="18" t="str">
        <f>IF(Audit[[#This Row],[K-M P Value]]&gt;1-'General Info'!$B$12,"Continue", "Stop")</f>
        <v>Continue</v>
      </c>
      <c r="BM210" s="23" t="b">
        <f>IF(Audit[[#This Row],[Status - Continue or stop audit]] = "Continue", TRUE, IF(BL209 = "Continue", TRUE, FALSE))</f>
        <v>1</v>
      </c>
      <c r="BN210" s="23"/>
    </row>
    <row r="211" spans="1:66" ht="15" hidden="1" customHeight="1" x14ac:dyDescent="0.35">
      <c r="A211" s="18" t="str">
        <f>'Sampling Data'!AI211</f>
        <v/>
      </c>
      <c r="B211" s="18" t="str">
        <f>'Sampling Data'!A211</f>
        <v>3121 DR PK 2-A   (AV)</v>
      </c>
      <c r="C211" s="18">
        <f>'Sampling Data'!B211</f>
        <v>1</v>
      </c>
      <c r="D211" s="18">
        <f>'Sampling Data'!C211</f>
        <v>0</v>
      </c>
      <c r="E211" s="19">
        <f>'Sampling Data'!D211</f>
        <v>0</v>
      </c>
      <c r="F211" s="19">
        <f>'Sampling Data'!E211</f>
        <v>0</v>
      </c>
      <c r="G211" s="19">
        <f>'Sampling Data'!F211</f>
        <v>0</v>
      </c>
      <c r="H211" s="19">
        <f>'Sampling Data'!G211</f>
        <v>0</v>
      </c>
      <c r="I211" s="19">
        <f>'Sampling Data'!H211</f>
        <v>0</v>
      </c>
      <c r="J211" s="19">
        <f>'Sampling Data'!I211</f>
        <v>0</v>
      </c>
      <c r="K211" s="19">
        <f>'Sampling Data'!J211</f>
        <v>0</v>
      </c>
      <c r="L211" s="19">
        <f>'Sampling Data'!K211</f>
        <v>0</v>
      </c>
      <c r="M211" s="19">
        <f>'Sampling Data'!L211</f>
        <v>0</v>
      </c>
      <c r="N211" s="19">
        <f>'Sampling Data'!M211</f>
        <v>0</v>
      </c>
      <c r="O211" s="18">
        <f>'Sampling Data'!N211</f>
        <v>0</v>
      </c>
      <c r="P211" s="18">
        <f>'Sampling Data'!O211</f>
        <v>0</v>
      </c>
      <c r="Q211" s="18">
        <f>'Sampling Data'!P211</f>
        <v>1</v>
      </c>
      <c r="R211" s="18">
        <f>'Sampling Data'!AJ211</f>
        <v>0</v>
      </c>
      <c r="S211" s="112"/>
      <c r="T211" s="112"/>
      <c r="U211" s="113"/>
      <c r="V211" s="113"/>
      <c r="W211" s="112"/>
      <c r="X211" s="112"/>
      <c r="Y211" s="112"/>
      <c r="Z211" s="112"/>
      <c r="AA211" s="15"/>
      <c r="AB211" s="15"/>
      <c r="AC211" s="15"/>
      <c r="AD211" s="15"/>
      <c r="AE211" s="114" t="str">
        <f>IF(NOT(ISBLANK(Audit[[#This Row],[Audit Winning Candidate]])), Audit[[#This Row],[Audit Winning Candidate]]-Audit[[#This Row],[Winning Candidate]], "")</f>
        <v/>
      </c>
      <c r="AF211" s="18" t="str">
        <f>IF(NOT(ISBLANK(Audit[[#This Row],[Audit Losing Candidate]])), Audit[[#This Row],[Audit Losing Candidate]]-Audit[[#This Row],[Losing Candidate]], "")</f>
        <v/>
      </c>
      <c r="AG211" s="18" t="str">
        <f>IF(NOT(ISBLANK(Audit[[#This Row],[Audit Candidate 3]])), Audit[[#This Row],[Audit Candidate 3]]-Audit[[#This Row],[Candidate 3]], "")</f>
        <v/>
      </c>
      <c r="AH211" s="18" t="str">
        <f>IF(NOT(ISBLANK(Audit[[#This Row],[Audit Candidate 4]])),Audit[[#This Row],[Audit Candidate 4]]-Audit[[#This Row],[Candidate 4]], "")</f>
        <v/>
      </c>
      <c r="AI211" s="18" t="str">
        <f>IF(NOT(ISBLANK(Audit[[#This Row],[Audit Candidate 5]])), Audit[[#This Row],[Audit Candidate 5]]-Audit[[#This Row],[Candidate 5]], "")</f>
        <v/>
      </c>
      <c r="AJ211" s="18" t="str">
        <f>IF(NOT(ISBLANK(Audit[[#This Row],[Audit Candidate 6]])), Audit[[#This Row],[Audit Candidate 6]]-Audit[[#This Row],[Candidate 6]], "")</f>
        <v/>
      </c>
      <c r="AK211" s="18" t="str">
        <f>IF(NOT(ISBLANK(Audit[[#This Row],[Audit Candidate 7]])), Audit[[#This Row],[Audit Candidate 7]]-Audit[[#This Row],[Candidate 7]], "")</f>
        <v/>
      </c>
      <c r="AL211" s="18" t="str">
        <f>IF(NOT(ISBLANK(Audit[[#This Row],[Audit Candidate 8]])), Audit[[#This Row],[Audit Candidate 8]]-Audit[[#This Row],[Candidate 8]], "")</f>
        <v/>
      </c>
      <c r="AM211" s="18" t="str">
        <f>IF(NOT(ISBLANK(Audit[[#This Row],[Audit Candidate 9]])), Audit[[#This Row],[Audit Candidate 9]]-Audit[[#This Row],[Candidate 9]], "")</f>
        <v/>
      </c>
      <c r="AN211" s="18" t="str">
        <f>IF(NOT(ISBLANK(Audit[[#This Row],[Audit Candidate 10]])), Audit[[#This Row],[Audit Candidate 10]]-Audit[[#This Row],[Candidate 10]], "")</f>
        <v/>
      </c>
      <c r="AO211" s="18" t="str">
        <f>IF(NOT(ISBLANK(Audit[[#This Row],[Audit Candidate 11]])), Audit[[#This Row],[Audit Candidate 11]]-Audit[[#This Row],[Candidate 11]], "")</f>
        <v/>
      </c>
      <c r="AP211" s="18" t="str">
        <f>IF(NOT(ISBLANK(Audit[[#This Row],[Audit Candidate 12]])), Audit[[#This Row],[Audit Candidate 12]]-Audit[[#This Row],[Candidate 12]], "")</f>
        <v/>
      </c>
      <c r="AQ211" s="18">
        <f>SUMIF(Audit[[#This Row],[Difference Winner]:[Difference Candidate 12]], "&gt;0")</f>
        <v>0</v>
      </c>
      <c r="AR211" s="18">
        <f>SUM(Audit[[#This Row],[Difference Winner]:[Difference Candidate 12]])</f>
        <v>0</v>
      </c>
      <c r="AS211" s="18">
        <f>IF(Audit[[#This Row],[Times p Drawn - With Replacement]]&gt;0, IF(Audit[[#This Row],[Canceled Differences]]&lt;0, Audit[[#This Row],[Max Differences]]+ABS(Audit[[#This Row],[Canceled Differences]]), Audit[[#This Row],[Max Differences]]), 0)</f>
        <v>0</v>
      </c>
      <c r="AT211" s="18">
        <f>'Sampling Data'!AB211</f>
        <v>6.2819989320601809E-5</v>
      </c>
      <c r="AU211" s="18">
        <f>IF(
      SUM(Audit[[#This Row],[Audit Losing Candidate]:[Audit Candidate 12]])
      &lt;&gt;0,
      (Audit[[#This Row],[Winning Candidate]]-Audit[[#This Row],[Losing Candidate]]-(Audit[[#This Row],[Audit Winning Candidate]]-Audit[[#This Row],[Audit Losing Candidate]]))/(Audit[[#Totals],[Winning Candidate]]-Audit[[#Totals],[Losing Candidate]]),
      0
)</f>
        <v>0</v>
      </c>
      <c r="AV2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8">
        <f>IF(Audit[[#This Row],[Max Relative Error (ep)]] = 0, 0, Audit[[#This Row],[Max Relative Error (ep)]]/Audit[[#This Row],[Error Bound (up) - Max. possible relative overstatement]])</f>
        <v>0</v>
      </c>
      <c r="BH2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1" s="18">
        <f t="shared" si="4"/>
        <v>1</v>
      </c>
      <c r="BJ211" s="18">
        <f>PRODUCT($BI$5:BI211)</f>
        <v>0.57146126097022543</v>
      </c>
      <c r="BK211" s="20">
        <f>1 - Audit[[#This Row],[K-M P Value]]</f>
        <v>0.42853873902977457</v>
      </c>
      <c r="BL211" s="18" t="str">
        <f>IF(Audit[[#This Row],[K-M P Value]]&gt;1-'General Info'!$B$12,"Continue", "Stop")</f>
        <v>Continue</v>
      </c>
      <c r="BM211" s="23" t="b">
        <f>IF(Audit[[#This Row],[Status - Continue or stop audit]] = "Continue", TRUE, IF(BL210 = "Continue", TRUE, FALSE))</f>
        <v>1</v>
      </c>
      <c r="BN211" s="23"/>
    </row>
    <row r="212" spans="1:66" ht="15" hidden="1" customHeight="1" x14ac:dyDescent="0.35">
      <c r="A212" s="18" t="str">
        <f>'Sampling Data'!AI212</f>
        <v/>
      </c>
      <c r="B212" s="18" t="str">
        <f>'Sampling Data'!A212</f>
        <v>3131 DR PK 3-A   (AV)</v>
      </c>
      <c r="C212" s="18">
        <f>'Sampling Data'!B212</f>
        <v>6</v>
      </c>
      <c r="D212" s="18">
        <f>'Sampling Data'!C212</f>
        <v>0</v>
      </c>
      <c r="E212" s="19">
        <f>'Sampling Data'!D212</f>
        <v>0</v>
      </c>
      <c r="F212" s="19">
        <f>'Sampling Data'!E212</f>
        <v>0</v>
      </c>
      <c r="G212" s="19">
        <f>'Sampling Data'!F212</f>
        <v>0</v>
      </c>
      <c r="H212" s="19">
        <f>'Sampling Data'!G212</f>
        <v>0</v>
      </c>
      <c r="I212" s="19">
        <f>'Sampling Data'!H212</f>
        <v>0</v>
      </c>
      <c r="J212" s="19">
        <f>'Sampling Data'!I212</f>
        <v>0</v>
      </c>
      <c r="K212" s="19">
        <f>'Sampling Data'!J212</f>
        <v>0</v>
      </c>
      <c r="L212" s="19">
        <f>'Sampling Data'!K212</f>
        <v>0</v>
      </c>
      <c r="M212" s="19">
        <f>'Sampling Data'!L212</f>
        <v>0</v>
      </c>
      <c r="N212" s="19">
        <f>'Sampling Data'!M212</f>
        <v>0</v>
      </c>
      <c r="O212" s="18">
        <f>'Sampling Data'!N212</f>
        <v>0</v>
      </c>
      <c r="P212" s="18">
        <f>'Sampling Data'!O212</f>
        <v>0</v>
      </c>
      <c r="Q212" s="18">
        <f>'Sampling Data'!P212</f>
        <v>6</v>
      </c>
      <c r="R212" s="18">
        <f>'Sampling Data'!AJ212</f>
        <v>0</v>
      </c>
      <c r="S212" s="112"/>
      <c r="T212" s="112"/>
      <c r="U212" s="113"/>
      <c r="V212" s="113"/>
      <c r="W212" s="112"/>
      <c r="X212" s="112"/>
      <c r="Y212" s="112"/>
      <c r="Z212" s="112"/>
      <c r="AA212" s="15"/>
      <c r="AB212" s="15"/>
      <c r="AC212" s="15"/>
      <c r="AD212" s="15"/>
      <c r="AE212" s="114" t="str">
        <f>IF(NOT(ISBLANK(Audit[[#This Row],[Audit Winning Candidate]])), Audit[[#This Row],[Audit Winning Candidate]]-Audit[[#This Row],[Winning Candidate]], "")</f>
        <v/>
      </c>
      <c r="AF212" s="18" t="str">
        <f>IF(NOT(ISBLANK(Audit[[#This Row],[Audit Losing Candidate]])), Audit[[#This Row],[Audit Losing Candidate]]-Audit[[#This Row],[Losing Candidate]], "")</f>
        <v/>
      </c>
      <c r="AG212" s="18" t="str">
        <f>IF(NOT(ISBLANK(Audit[[#This Row],[Audit Candidate 3]])), Audit[[#This Row],[Audit Candidate 3]]-Audit[[#This Row],[Candidate 3]], "")</f>
        <v/>
      </c>
      <c r="AH212" s="18" t="str">
        <f>IF(NOT(ISBLANK(Audit[[#This Row],[Audit Candidate 4]])),Audit[[#This Row],[Audit Candidate 4]]-Audit[[#This Row],[Candidate 4]], "")</f>
        <v/>
      </c>
      <c r="AI212" s="18" t="str">
        <f>IF(NOT(ISBLANK(Audit[[#This Row],[Audit Candidate 5]])), Audit[[#This Row],[Audit Candidate 5]]-Audit[[#This Row],[Candidate 5]], "")</f>
        <v/>
      </c>
      <c r="AJ212" s="18" t="str">
        <f>IF(NOT(ISBLANK(Audit[[#This Row],[Audit Candidate 6]])), Audit[[#This Row],[Audit Candidate 6]]-Audit[[#This Row],[Candidate 6]], "")</f>
        <v/>
      </c>
      <c r="AK212" s="18" t="str">
        <f>IF(NOT(ISBLANK(Audit[[#This Row],[Audit Candidate 7]])), Audit[[#This Row],[Audit Candidate 7]]-Audit[[#This Row],[Candidate 7]], "")</f>
        <v/>
      </c>
      <c r="AL212" s="18" t="str">
        <f>IF(NOT(ISBLANK(Audit[[#This Row],[Audit Candidate 8]])), Audit[[#This Row],[Audit Candidate 8]]-Audit[[#This Row],[Candidate 8]], "")</f>
        <v/>
      </c>
      <c r="AM212" s="18" t="str">
        <f>IF(NOT(ISBLANK(Audit[[#This Row],[Audit Candidate 9]])), Audit[[#This Row],[Audit Candidate 9]]-Audit[[#This Row],[Candidate 9]], "")</f>
        <v/>
      </c>
      <c r="AN212" s="18" t="str">
        <f>IF(NOT(ISBLANK(Audit[[#This Row],[Audit Candidate 10]])), Audit[[#This Row],[Audit Candidate 10]]-Audit[[#This Row],[Candidate 10]], "")</f>
        <v/>
      </c>
      <c r="AO212" s="18" t="str">
        <f>IF(NOT(ISBLANK(Audit[[#This Row],[Audit Candidate 11]])), Audit[[#This Row],[Audit Candidate 11]]-Audit[[#This Row],[Candidate 11]], "")</f>
        <v/>
      </c>
      <c r="AP212" s="18" t="str">
        <f>IF(NOT(ISBLANK(Audit[[#This Row],[Audit Candidate 12]])), Audit[[#This Row],[Audit Candidate 12]]-Audit[[#This Row],[Candidate 12]], "")</f>
        <v/>
      </c>
      <c r="AQ212" s="18">
        <f>SUMIF(Audit[[#This Row],[Difference Winner]:[Difference Candidate 12]], "&gt;0")</f>
        <v>0</v>
      </c>
      <c r="AR212" s="18">
        <f>SUM(Audit[[#This Row],[Difference Winner]:[Difference Candidate 12]])</f>
        <v>0</v>
      </c>
      <c r="AS212" s="18">
        <f>IF(Audit[[#This Row],[Times p Drawn - With Replacement]]&gt;0, IF(Audit[[#This Row],[Canceled Differences]]&lt;0, Audit[[#This Row],[Max Differences]]+ABS(Audit[[#This Row],[Canceled Differences]]), Audit[[#This Row],[Max Differences]]), 0)</f>
        <v>0</v>
      </c>
      <c r="AT212" s="18">
        <f>'Sampling Data'!AB212</f>
        <v>3.7691993592361088E-4</v>
      </c>
      <c r="AU212" s="18">
        <f>IF(
      SUM(Audit[[#This Row],[Audit Losing Candidate]:[Audit Candidate 12]])
      &lt;&gt;0,
      (Audit[[#This Row],[Winning Candidate]]-Audit[[#This Row],[Losing Candidate]]-(Audit[[#This Row],[Audit Winning Candidate]]-Audit[[#This Row],[Audit Losing Candidate]]))/(Audit[[#Totals],[Winning Candidate]]-Audit[[#Totals],[Losing Candidate]]),
      0
)</f>
        <v>0</v>
      </c>
      <c r="AV2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8">
        <f>IF(Audit[[#This Row],[Max Relative Error (ep)]] = 0, 0, Audit[[#This Row],[Max Relative Error (ep)]]/Audit[[#This Row],[Error Bound (up) - Max. possible relative overstatement]])</f>
        <v>0</v>
      </c>
      <c r="BH2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2" s="18">
        <f t="shared" si="4"/>
        <v>1</v>
      </c>
      <c r="BJ212" s="18">
        <f>PRODUCT($BI$5:BI212)</f>
        <v>0.57146126097022543</v>
      </c>
      <c r="BK212" s="20">
        <f>1 - Audit[[#This Row],[K-M P Value]]</f>
        <v>0.42853873902977457</v>
      </c>
      <c r="BL212" s="18" t="str">
        <f>IF(Audit[[#This Row],[K-M P Value]]&gt;1-'General Info'!$B$12,"Continue", "Stop")</f>
        <v>Continue</v>
      </c>
      <c r="BM212" s="23" t="b">
        <f>IF(Audit[[#This Row],[Status - Continue or stop audit]] = "Continue", TRUE, IF(BL211 = "Continue", TRUE, FALSE))</f>
        <v>1</v>
      </c>
      <c r="BN212" s="23"/>
    </row>
    <row r="213" spans="1:66" ht="15" hidden="1" customHeight="1" x14ac:dyDescent="0.35">
      <c r="A213" s="18" t="str">
        <f>'Sampling Data'!AI213</f>
        <v/>
      </c>
      <c r="B213" s="18" t="str">
        <f>'Sampling Data'!A213</f>
        <v>3141 DR PK 4-A   (AV)</v>
      </c>
      <c r="C213" s="18">
        <f>'Sampling Data'!B213</f>
        <v>8</v>
      </c>
      <c r="D213" s="18">
        <f>'Sampling Data'!C213</f>
        <v>8</v>
      </c>
      <c r="E213" s="19">
        <f>'Sampling Data'!D213</f>
        <v>0</v>
      </c>
      <c r="F213" s="19">
        <f>'Sampling Data'!E213</f>
        <v>0</v>
      </c>
      <c r="G213" s="19">
        <f>'Sampling Data'!F213</f>
        <v>0</v>
      </c>
      <c r="H213" s="19">
        <f>'Sampling Data'!G213</f>
        <v>0</v>
      </c>
      <c r="I213" s="19">
        <f>'Sampling Data'!H213</f>
        <v>0</v>
      </c>
      <c r="J213" s="19">
        <f>'Sampling Data'!I213</f>
        <v>0</v>
      </c>
      <c r="K213" s="19">
        <f>'Sampling Data'!J213</f>
        <v>0</v>
      </c>
      <c r="L213" s="19">
        <f>'Sampling Data'!K213</f>
        <v>0</v>
      </c>
      <c r="M213" s="19">
        <f>'Sampling Data'!L213</f>
        <v>0</v>
      </c>
      <c r="N213" s="19">
        <f>'Sampling Data'!M213</f>
        <v>0</v>
      </c>
      <c r="O213" s="18">
        <f>'Sampling Data'!N213</f>
        <v>0</v>
      </c>
      <c r="P213" s="18">
        <f>'Sampling Data'!O213</f>
        <v>1</v>
      </c>
      <c r="Q213" s="18">
        <f>'Sampling Data'!P213</f>
        <v>17</v>
      </c>
      <c r="R213" s="18">
        <f>'Sampling Data'!AJ213</f>
        <v>0</v>
      </c>
      <c r="S213" s="112"/>
      <c r="T213" s="112"/>
      <c r="U213" s="113"/>
      <c r="V213" s="113"/>
      <c r="W213" s="112"/>
      <c r="X213" s="112"/>
      <c r="Y213" s="112"/>
      <c r="Z213" s="112"/>
      <c r="AA213" s="15"/>
      <c r="AB213" s="15"/>
      <c r="AC213" s="15"/>
      <c r="AD213" s="15"/>
      <c r="AE213" s="114" t="str">
        <f>IF(NOT(ISBLANK(Audit[[#This Row],[Audit Winning Candidate]])), Audit[[#This Row],[Audit Winning Candidate]]-Audit[[#This Row],[Winning Candidate]], "")</f>
        <v/>
      </c>
      <c r="AF213" s="18" t="str">
        <f>IF(NOT(ISBLANK(Audit[[#This Row],[Audit Losing Candidate]])), Audit[[#This Row],[Audit Losing Candidate]]-Audit[[#This Row],[Losing Candidate]], "")</f>
        <v/>
      </c>
      <c r="AG213" s="18" t="str">
        <f>IF(NOT(ISBLANK(Audit[[#This Row],[Audit Candidate 3]])), Audit[[#This Row],[Audit Candidate 3]]-Audit[[#This Row],[Candidate 3]], "")</f>
        <v/>
      </c>
      <c r="AH213" s="18" t="str">
        <f>IF(NOT(ISBLANK(Audit[[#This Row],[Audit Candidate 4]])),Audit[[#This Row],[Audit Candidate 4]]-Audit[[#This Row],[Candidate 4]], "")</f>
        <v/>
      </c>
      <c r="AI213" s="18" t="str">
        <f>IF(NOT(ISBLANK(Audit[[#This Row],[Audit Candidate 5]])), Audit[[#This Row],[Audit Candidate 5]]-Audit[[#This Row],[Candidate 5]], "")</f>
        <v/>
      </c>
      <c r="AJ213" s="18" t="str">
        <f>IF(NOT(ISBLANK(Audit[[#This Row],[Audit Candidate 6]])), Audit[[#This Row],[Audit Candidate 6]]-Audit[[#This Row],[Candidate 6]], "")</f>
        <v/>
      </c>
      <c r="AK213" s="18" t="str">
        <f>IF(NOT(ISBLANK(Audit[[#This Row],[Audit Candidate 7]])), Audit[[#This Row],[Audit Candidate 7]]-Audit[[#This Row],[Candidate 7]], "")</f>
        <v/>
      </c>
      <c r="AL213" s="18" t="str">
        <f>IF(NOT(ISBLANK(Audit[[#This Row],[Audit Candidate 8]])), Audit[[#This Row],[Audit Candidate 8]]-Audit[[#This Row],[Candidate 8]], "")</f>
        <v/>
      </c>
      <c r="AM213" s="18" t="str">
        <f>IF(NOT(ISBLANK(Audit[[#This Row],[Audit Candidate 9]])), Audit[[#This Row],[Audit Candidate 9]]-Audit[[#This Row],[Candidate 9]], "")</f>
        <v/>
      </c>
      <c r="AN213" s="18" t="str">
        <f>IF(NOT(ISBLANK(Audit[[#This Row],[Audit Candidate 10]])), Audit[[#This Row],[Audit Candidate 10]]-Audit[[#This Row],[Candidate 10]], "")</f>
        <v/>
      </c>
      <c r="AO213" s="18" t="str">
        <f>IF(NOT(ISBLANK(Audit[[#This Row],[Audit Candidate 11]])), Audit[[#This Row],[Audit Candidate 11]]-Audit[[#This Row],[Candidate 11]], "")</f>
        <v/>
      </c>
      <c r="AP213" s="18" t="str">
        <f>IF(NOT(ISBLANK(Audit[[#This Row],[Audit Candidate 12]])), Audit[[#This Row],[Audit Candidate 12]]-Audit[[#This Row],[Candidate 12]], "")</f>
        <v/>
      </c>
      <c r="AQ213" s="18">
        <f>SUMIF(Audit[[#This Row],[Difference Winner]:[Difference Candidate 12]], "&gt;0")</f>
        <v>0</v>
      </c>
      <c r="AR213" s="18">
        <f>SUM(Audit[[#This Row],[Difference Winner]:[Difference Candidate 12]])</f>
        <v>0</v>
      </c>
      <c r="AS213" s="18">
        <f>IF(Audit[[#This Row],[Times p Drawn - With Replacement]]&gt;0, IF(Audit[[#This Row],[Canceled Differences]]&lt;0, Audit[[#This Row],[Max Differences]]+ABS(Audit[[#This Row],[Canceled Differences]]), Audit[[#This Row],[Max Differences]]), 0)</f>
        <v>0</v>
      </c>
      <c r="AT213" s="18">
        <f>'Sampling Data'!AB213</f>
        <v>5.3396990922511547E-4</v>
      </c>
      <c r="AU213" s="18">
        <f>IF(
      SUM(Audit[[#This Row],[Audit Losing Candidate]:[Audit Candidate 12]])
      &lt;&gt;0,
      (Audit[[#This Row],[Winning Candidate]]-Audit[[#This Row],[Losing Candidate]]-(Audit[[#This Row],[Audit Winning Candidate]]-Audit[[#This Row],[Audit Losing Candidate]]))/(Audit[[#Totals],[Winning Candidate]]-Audit[[#Totals],[Losing Candidate]]),
      0
)</f>
        <v>0</v>
      </c>
      <c r="AV2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8">
        <f>IF(Audit[[#This Row],[Max Relative Error (ep)]] = 0, 0, Audit[[#This Row],[Max Relative Error (ep)]]/Audit[[#This Row],[Error Bound (up) - Max. possible relative overstatement]])</f>
        <v>0</v>
      </c>
      <c r="BH2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3" s="18">
        <f t="shared" si="4"/>
        <v>1</v>
      </c>
      <c r="BJ213" s="18">
        <f>PRODUCT($BI$5:BI213)</f>
        <v>0.57146126097022543</v>
      </c>
      <c r="BK213" s="20">
        <f>1 - Audit[[#This Row],[K-M P Value]]</f>
        <v>0.42853873902977457</v>
      </c>
      <c r="BL213" s="18" t="str">
        <f>IF(Audit[[#This Row],[K-M P Value]]&gt;1-'General Info'!$B$12,"Continue", "Stop")</f>
        <v>Continue</v>
      </c>
      <c r="BM213" s="23" t="b">
        <f>IF(Audit[[#This Row],[Status - Continue or stop audit]] = "Continue", TRUE, IF(BL212 = "Continue", TRUE, FALSE))</f>
        <v>1</v>
      </c>
      <c r="BN213" s="23"/>
    </row>
    <row r="214" spans="1:66" ht="15" hidden="1" customHeight="1" x14ac:dyDescent="0.35">
      <c r="A214" s="18" t="str">
        <f>'Sampling Data'!AI214</f>
        <v/>
      </c>
      <c r="B214" s="18" t="str">
        <f>'Sampling Data'!A214</f>
        <v>3201 FR PK A   (AV)</v>
      </c>
      <c r="C214" s="18">
        <f>'Sampling Data'!B214</f>
        <v>2</v>
      </c>
      <c r="D214" s="18">
        <f>'Sampling Data'!C214</f>
        <v>0</v>
      </c>
      <c r="E214" s="19">
        <f>'Sampling Data'!D214</f>
        <v>0</v>
      </c>
      <c r="F214" s="19">
        <f>'Sampling Data'!E214</f>
        <v>0</v>
      </c>
      <c r="G214" s="19">
        <f>'Sampling Data'!F214</f>
        <v>0</v>
      </c>
      <c r="H214" s="19">
        <f>'Sampling Data'!G214</f>
        <v>0</v>
      </c>
      <c r="I214" s="19">
        <f>'Sampling Data'!H214</f>
        <v>0</v>
      </c>
      <c r="J214" s="19">
        <f>'Sampling Data'!I214</f>
        <v>0</v>
      </c>
      <c r="K214" s="19">
        <f>'Sampling Data'!J214</f>
        <v>0</v>
      </c>
      <c r="L214" s="19">
        <f>'Sampling Data'!K214</f>
        <v>0</v>
      </c>
      <c r="M214" s="19">
        <f>'Sampling Data'!L214</f>
        <v>0</v>
      </c>
      <c r="N214" s="19">
        <f>'Sampling Data'!M214</f>
        <v>0</v>
      </c>
      <c r="O214" s="18">
        <f>'Sampling Data'!N214</f>
        <v>0</v>
      </c>
      <c r="P214" s="18">
        <f>'Sampling Data'!O214</f>
        <v>0</v>
      </c>
      <c r="Q214" s="18">
        <f>'Sampling Data'!P214</f>
        <v>2</v>
      </c>
      <c r="R214" s="18">
        <f>'Sampling Data'!AJ214</f>
        <v>0</v>
      </c>
      <c r="S214" s="112"/>
      <c r="T214" s="112"/>
      <c r="U214" s="113"/>
      <c r="V214" s="113"/>
      <c r="W214" s="112"/>
      <c r="X214" s="112"/>
      <c r="Y214" s="112"/>
      <c r="Z214" s="112"/>
      <c r="AA214" s="15"/>
      <c r="AB214" s="15"/>
      <c r="AC214" s="15"/>
      <c r="AD214" s="15"/>
      <c r="AE214" s="114" t="str">
        <f>IF(NOT(ISBLANK(Audit[[#This Row],[Audit Winning Candidate]])), Audit[[#This Row],[Audit Winning Candidate]]-Audit[[#This Row],[Winning Candidate]], "")</f>
        <v/>
      </c>
      <c r="AF214" s="18" t="str">
        <f>IF(NOT(ISBLANK(Audit[[#This Row],[Audit Losing Candidate]])), Audit[[#This Row],[Audit Losing Candidate]]-Audit[[#This Row],[Losing Candidate]], "")</f>
        <v/>
      </c>
      <c r="AG214" s="18" t="str">
        <f>IF(NOT(ISBLANK(Audit[[#This Row],[Audit Candidate 3]])), Audit[[#This Row],[Audit Candidate 3]]-Audit[[#This Row],[Candidate 3]], "")</f>
        <v/>
      </c>
      <c r="AH214" s="18" t="str">
        <f>IF(NOT(ISBLANK(Audit[[#This Row],[Audit Candidate 4]])),Audit[[#This Row],[Audit Candidate 4]]-Audit[[#This Row],[Candidate 4]], "")</f>
        <v/>
      </c>
      <c r="AI214" s="18" t="str">
        <f>IF(NOT(ISBLANK(Audit[[#This Row],[Audit Candidate 5]])), Audit[[#This Row],[Audit Candidate 5]]-Audit[[#This Row],[Candidate 5]], "")</f>
        <v/>
      </c>
      <c r="AJ214" s="18" t="str">
        <f>IF(NOT(ISBLANK(Audit[[#This Row],[Audit Candidate 6]])), Audit[[#This Row],[Audit Candidate 6]]-Audit[[#This Row],[Candidate 6]], "")</f>
        <v/>
      </c>
      <c r="AK214" s="18" t="str">
        <f>IF(NOT(ISBLANK(Audit[[#This Row],[Audit Candidate 7]])), Audit[[#This Row],[Audit Candidate 7]]-Audit[[#This Row],[Candidate 7]], "")</f>
        <v/>
      </c>
      <c r="AL214" s="18" t="str">
        <f>IF(NOT(ISBLANK(Audit[[#This Row],[Audit Candidate 8]])), Audit[[#This Row],[Audit Candidate 8]]-Audit[[#This Row],[Candidate 8]], "")</f>
        <v/>
      </c>
      <c r="AM214" s="18" t="str">
        <f>IF(NOT(ISBLANK(Audit[[#This Row],[Audit Candidate 9]])), Audit[[#This Row],[Audit Candidate 9]]-Audit[[#This Row],[Candidate 9]], "")</f>
        <v/>
      </c>
      <c r="AN214" s="18" t="str">
        <f>IF(NOT(ISBLANK(Audit[[#This Row],[Audit Candidate 10]])), Audit[[#This Row],[Audit Candidate 10]]-Audit[[#This Row],[Candidate 10]], "")</f>
        <v/>
      </c>
      <c r="AO214" s="18" t="str">
        <f>IF(NOT(ISBLANK(Audit[[#This Row],[Audit Candidate 11]])), Audit[[#This Row],[Audit Candidate 11]]-Audit[[#This Row],[Candidate 11]], "")</f>
        <v/>
      </c>
      <c r="AP214" s="18" t="str">
        <f>IF(NOT(ISBLANK(Audit[[#This Row],[Audit Candidate 12]])), Audit[[#This Row],[Audit Candidate 12]]-Audit[[#This Row],[Candidate 12]], "")</f>
        <v/>
      </c>
      <c r="AQ214" s="18">
        <f>SUMIF(Audit[[#This Row],[Difference Winner]:[Difference Candidate 12]], "&gt;0")</f>
        <v>0</v>
      </c>
      <c r="AR214" s="18">
        <f>SUM(Audit[[#This Row],[Difference Winner]:[Difference Candidate 12]])</f>
        <v>0</v>
      </c>
      <c r="AS214" s="18">
        <f>IF(Audit[[#This Row],[Times p Drawn - With Replacement]]&gt;0, IF(Audit[[#This Row],[Canceled Differences]]&lt;0, Audit[[#This Row],[Max Differences]]+ABS(Audit[[#This Row],[Canceled Differences]]), Audit[[#This Row],[Max Differences]]), 0)</f>
        <v>0</v>
      </c>
      <c r="AT214" s="18">
        <f>'Sampling Data'!AB214</f>
        <v>1.2563997864120362E-4</v>
      </c>
      <c r="AU214" s="18">
        <f>IF(
      SUM(Audit[[#This Row],[Audit Losing Candidate]:[Audit Candidate 12]])
      &lt;&gt;0,
      (Audit[[#This Row],[Winning Candidate]]-Audit[[#This Row],[Losing Candidate]]-(Audit[[#This Row],[Audit Winning Candidate]]-Audit[[#This Row],[Audit Losing Candidate]]))/(Audit[[#Totals],[Winning Candidate]]-Audit[[#Totals],[Losing Candidate]]),
      0
)</f>
        <v>0</v>
      </c>
      <c r="AV2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8">
        <f>IF(Audit[[#This Row],[Max Relative Error (ep)]] = 0, 0, Audit[[#This Row],[Max Relative Error (ep)]]/Audit[[#This Row],[Error Bound (up) - Max. possible relative overstatement]])</f>
        <v>0</v>
      </c>
      <c r="BH2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4" s="18">
        <f t="shared" si="4"/>
        <v>1</v>
      </c>
      <c r="BJ214" s="18">
        <f>PRODUCT($BI$5:BI214)</f>
        <v>0.57146126097022543</v>
      </c>
      <c r="BK214" s="20">
        <f>1 - Audit[[#This Row],[K-M P Value]]</f>
        <v>0.42853873902977457</v>
      </c>
      <c r="BL214" s="18" t="str">
        <f>IF(Audit[[#This Row],[K-M P Value]]&gt;1-'General Info'!$B$12,"Continue", "Stop")</f>
        <v>Continue</v>
      </c>
      <c r="BM214" s="23" t="b">
        <f>IF(Audit[[#This Row],[Status - Continue or stop audit]] = "Continue", TRUE, IF(BL213 = "Continue", TRUE, FALSE))</f>
        <v>1</v>
      </c>
      <c r="BN214" s="23"/>
    </row>
    <row r="215" spans="1:66" ht="15" hidden="1" customHeight="1" x14ac:dyDescent="0.35">
      <c r="A215" s="18" t="str">
        <f>'Sampling Data'!AI215</f>
        <v/>
      </c>
      <c r="B215" s="18" t="str">
        <f>'Sampling Data'!A215</f>
        <v>3202 FR PK B   (AV)</v>
      </c>
      <c r="C215" s="18">
        <f>'Sampling Data'!B215</f>
        <v>3</v>
      </c>
      <c r="D215" s="18">
        <f>'Sampling Data'!C215</f>
        <v>0</v>
      </c>
      <c r="E215" s="19">
        <f>'Sampling Data'!D215</f>
        <v>0</v>
      </c>
      <c r="F215" s="19">
        <f>'Sampling Data'!E215</f>
        <v>0</v>
      </c>
      <c r="G215" s="19">
        <f>'Sampling Data'!F215</f>
        <v>0</v>
      </c>
      <c r="H215" s="19">
        <f>'Sampling Data'!G215</f>
        <v>0</v>
      </c>
      <c r="I215" s="19">
        <f>'Sampling Data'!H215</f>
        <v>0</v>
      </c>
      <c r="J215" s="19">
        <f>'Sampling Data'!I215</f>
        <v>0</v>
      </c>
      <c r="K215" s="19">
        <f>'Sampling Data'!J215</f>
        <v>0</v>
      </c>
      <c r="L215" s="19">
        <f>'Sampling Data'!K215</f>
        <v>0</v>
      </c>
      <c r="M215" s="19">
        <f>'Sampling Data'!L215</f>
        <v>0</v>
      </c>
      <c r="N215" s="19">
        <f>'Sampling Data'!M215</f>
        <v>0</v>
      </c>
      <c r="O215" s="18">
        <f>'Sampling Data'!N215</f>
        <v>0</v>
      </c>
      <c r="P215" s="18">
        <f>'Sampling Data'!O215</f>
        <v>3</v>
      </c>
      <c r="Q215" s="18">
        <f>'Sampling Data'!P215</f>
        <v>6</v>
      </c>
      <c r="R215" s="18">
        <f>'Sampling Data'!AJ215</f>
        <v>0</v>
      </c>
      <c r="S215" s="112"/>
      <c r="T215" s="112"/>
      <c r="U215" s="113"/>
      <c r="V215" s="113"/>
      <c r="W215" s="112"/>
      <c r="X215" s="112"/>
      <c r="Y215" s="112"/>
      <c r="Z215" s="112"/>
      <c r="AA215" s="15"/>
      <c r="AB215" s="15"/>
      <c r="AC215" s="15"/>
      <c r="AD215" s="15"/>
      <c r="AE215" s="114" t="str">
        <f>IF(NOT(ISBLANK(Audit[[#This Row],[Audit Winning Candidate]])), Audit[[#This Row],[Audit Winning Candidate]]-Audit[[#This Row],[Winning Candidate]], "")</f>
        <v/>
      </c>
      <c r="AF215" s="18" t="str">
        <f>IF(NOT(ISBLANK(Audit[[#This Row],[Audit Losing Candidate]])), Audit[[#This Row],[Audit Losing Candidate]]-Audit[[#This Row],[Losing Candidate]], "")</f>
        <v/>
      </c>
      <c r="AG215" s="18" t="str">
        <f>IF(NOT(ISBLANK(Audit[[#This Row],[Audit Candidate 3]])), Audit[[#This Row],[Audit Candidate 3]]-Audit[[#This Row],[Candidate 3]], "")</f>
        <v/>
      </c>
      <c r="AH215" s="18" t="str">
        <f>IF(NOT(ISBLANK(Audit[[#This Row],[Audit Candidate 4]])),Audit[[#This Row],[Audit Candidate 4]]-Audit[[#This Row],[Candidate 4]], "")</f>
        <v/>
      </c>
      <c r="AI215" s="18" t="str">
        <f>IF(NOT(ISBLANK(Audit[[#This Row],[Audit Candidate 5]])), Audit[[#This Row],[Audit Candidate 5]]-Audit[[#This Row],[Candidate 5]], "")</f>
        <v/>
      </c>
      <c r="AJ215" s="18" t="str">
        <f>IF(NOT(ISBLANK(Audit[[#This Row],[Audit Candidate 6]])), Audit[[#This Row],[Audit Candidate 6]]-Audit[[#This Row],[Candidate 6]], "")</f>
        <v/>
      </c>
      <c r="AK215" s="18" t="str">
        <f>IF(NOT(ISBLANK(Audit[[#This Row],[Audit Candidate 7]])), Audit[[#This Row],[Audit Candidate 7]]-Audit[[#This Row],[Candidate 7]], "")</f>
        <v/>
      </c>
      <c r="AL215" s="18" t="str">
        <f>IF(NOT(ISBLANK(Audit[[#This Row],[Audit Candidate 8]])), Audit[[#This Row],[Audit Candidate 8]]-Audit[[#This Row],[Candidate 8]], "")</f>
        <v/>
      </c>
      <c r="AM215" s="18" t="str">
        <f>IF(NOT(ISBLANK(Audit[[#This Row],[Audit Candidate 9]])), Audit[[#This Row],[Audit Candidate 9]]-Audit[[#This Row],[Candidate 9]], "")</f>
        <v/>
      </c>
      <c r="AN215" s="18" t="str">
        <f>IF(NOT(ISBLANK(Audit[[#This Row],[Audit Candidate 10]])), Audit[[#This Row],[Audit Candidate 10]]-Audit[[#This Row],[Candidate 10]], "")</f>
        <v/>
      </c>
      <c r="AO215" s="18" t="str">
        <f>IF(NOT(ISBLANK(Audit[[#This Row],[Audit Candidate 11]])), Audit[[#This Row],[Audit Candidate 11]]-Audit[[#This Row],[Candidate 11]], "")</f>
        <v/>
      </c>
      <c r="AP215" s="18" t="str">
        <f>IF(NOT(ISBLANK(Audit[[#This Row],[Audit Candidate 12]])), Audit[[#This Row],[Audit Candidate 12]]-Audit[[#This Row],[Candidate 12]], "")</f>
        <v/>
      </c>
      <c r="AQ215" s="18">
        <f>SUMIF(Audit[[#This Row],[Difference Winner]:[Difference Candidate 12]], "&gt;0")</f>
        <v>0</v>
      </c>
      <c r="AR215" s="18">
        <f>SUM(Audit[[#This Row],[Difference Winner]:[Difference Candidate 12]])</f>
        <v>0</v>
      </c>
      <c r="AS215" s="18">
        <f>IF(Audit[[#This Row],[Times p Drawn - With Replacement]]&gt;0, IF(Audit[[#This Row],[Canceled Differences]]&lt;0, Audit[[#This Row],[Max Differences]]+ABS(Audit[[#This Row],[Canceled Differences]]), Audit[[#This Row],[Max Differences]]), 0)</f>
        <v>0</v>
      </c>
      <c r="AT215" s="18">
        <f>'Sampling Data'!AB215</f>
        <v>2.8268995194270818E-4</v>
      </c>
      <c r="AU215" s="18">
        <f>IF(
      SUM(Audit[[#This Row],[Audit Losing Candidate]:[Audit Candidate 12]])
      &lt;&gt;0,
      (Audit[[#This Row],[Winning Candidate]]-Audit[[#This Row],[Losing Candidate]]-(Audit[[#This Row],[Audit Winning Candidate]]-Audit[[#This Row],[Audit Losing Candidate]]))/(Audit[[#Totals],[Winning Candidate]]-Audit[[#Totals],[Losing Candidate]]),
      0
)</f>
        <v>0</v>
      </c>
      <c r="AV2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8">
        <f>IF(Audit[[#This Row],[Max Relative Error (ep)]] = 0, 0, Audit[[#This Row],[Max Relative Error (ep)]]/Audit[[#This Row],[Error Bound (up) - Max. possible relative overstatement]])</f>
        <v>0</v>
      </c>
      <c r="BH2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5" s="18">
        <f t="shared" si="4"/>
        <v>1</v>
      </c>
      <c r="BJ215" s="18">
        <f>PRODUCT($BI$5:BI215)</f>
        <v>0.57146126097022543</v>
      </c>
      <c r="BK215" s="20">
        <f>1 - Audit[[#This Row],[K-M P Value]]</f>
        <v>0.42853873902977457</v>
      </c>
      <c r="BL215" s="18" t="str">
        <f>IF(Audit[[#This Row],[K-M P Value]]&gt;1-'General Info'!$B$12,"Continue", "Stop")</f>
        <v>Continue</v>
      </c>
      <c r="BM215" s="23" t="b">
        <f>IF(Audit[[#This Row],[Status - Continue or stop audit]] = "Continue", TRUE, IF(BL214 = "Continue", TRUE, FALSE))</f>
        <v>1</v>
      </c>
      <c r="BN215" s="23"/>
    </row>
    <row r="216" spans="1:66" ht="15" hidden="1" customHeight="1" x14ac:dyDescent="0.35">
      <c r="A216" s="18" t="str">
        <f>'Sampling Data'!AI216</f>
        <v/>
      </c>
      <c r="B216" s="18" t="str">
        <f>'Sampling Data'!A216</f>
        <v>3203 FR PK C   (AV)</v>
      </c>
      <c r="C216" s="18">
        <f>'Sampling Data'!B216</f>
        <v>0</v>
      </c>
      <c r="D216" s="18">
        <f>'Sampling Data'!C216</f>
        <v>0</v>
      </c>
      <c r="E216" s="19">
        <f>'Sampling Data'!D216</f>
        <v>0</v>
      </c>
      <c r="F216" s="19">
        <f>'Sampling Data'!E216</f>
        <v>0</v>
      </c>
      <c r="G216" s="19">
        <f>'Sampling Data'!F216</f>
        <v>0</v>
      </c>
      <c r="H216" s="19">
        <f>'Sampling Data'!G216</f>
        <v>0</v>
      </c>
      <c r="I216" s="19">
        <f>'Sampling Data'!H216</f>
        <v>0</v>
      </c>
      <c r="J216" s="19">
        <f>'Sampling Data'!I216</f>
        <v>0</v>
      </c>
      <c r="K216" s="19">
        <f>'Sampling Data'!J216</f>
        <v>0</v>
      </c>
      <c r="L216" s="19">
        <f>'Sampling Data'!K216</f>
        <v>0</v>
      </c>
      <c r="M216" s="19">
        <f>'Sampling Data'!L216</f>
        <v>0</v>
      </c>
      <c r="N216" s="19">
        <f>'Sampling Data'!M216</f>
        <v>0</v>
      </c>
      <c r="O216" s="18">
        <f>'Sampling Data'!N216</f>
        <v>0</v>
      </c>
      <c r="P216" s="18">
        <f>'Sampling Data'!O216</f>
        <v>0</v>
      </c>
      <c r="Q216" s="18">
        <f>'Sampling Data'!P216</f>
        <v>0</v>
      </c>
      <c r="R216" s="18">
        <f>'Sampling Data'!AJ216</f>
        <v>0</v>
      </c>
      <c r="S216" s="112"/>
      <c r="T216" s="112"/>
      <c r="U216" s="113"/>
      <c r="V216" s="113"/>
      <c r="W216" s="112"/>
      <c r="X216" s="112"/>
      <c r="Y216" s="112"/>
      <c r="Z216" s="112"/>
      <c r="AA216" s="15"/>
      <c r="AB216" s="15"/>
      <c r="AC216" s="15"/>
      <c r="AD216" s="15"/>
      <c r="AE216" s="114" t="str">
        <f>IF(NOT(ISBLANK(Audit[[#This Row],[Audit Winning Candidate]])), Audit[[#This Row],[Audit Winning Candidate]]-Audit[[#This Row],[Winning Candidate]], "")</f>
        <v/>
      </c>
      <c r="AF216" s="18" t="str">
        <f>IF(NOT(ISBLANK(Audit[[#This Row],[Audit Losing Candidate]])), Audit[[#This Row],[Audit Losing Candidate]]-Audit[[#This Row],[Losing Candidate]], "")</f>
        <v/>
      </c>
      <c r="AG216" s="18" t="str">
        <f>IF(NOT(ISBLANK(Audit[[#This Row],[Audit Candidate 3]])), Audit[[#This Row],[Audit Candidate 3]]-Audit[[#This Row],[Candidate 3]], "")</f>
        <v/>
      </c>
      <c r="AH216" s="18" t="str">
        <f>IF(NOT(ISBLANK(Audit[[#This Row],[Audit Candidate 4]])),Audit[[#This Row],[Audit Candidate 4]]-Audit[[#This Row],[Candidate 4]], "")</f>
        <v/>
      </c>
      <c r="AI216" s="18" t="str">
        <f>IF(NOT(ISBLANK(Audit[[#This Row],[Audit Candidate 5]])), Audit[[#This Row],[Audit Candidate 5]]-Audit[[#This Row],[Candidate 5]], "")</f>
        <v/>
      </c>
      <c r="AJ216" s="18" t="str">
        <f>IF(NOT(ISBLANK(Audit[[#This Row],[Audit Candidate 6]])), Audit[[#This Row],[Audit Candidate 6]]-Audit[[#This Row],[Candidate 6]], "")</f>
        <v/>
      </c>
      <c r="AK216" s="18" t="str">
        <f>IF(NOT(ISBLANK(Audit[[#This Row],[Audit Candidate 7]])), Audit[[#This Row],[Audit Candidate 7]]-Audit[[#This Row],[Candidate 7]], "")</f>
        <v/>
      </c>
      <c r="AL216" s="18" t="str">
        <f>IF(NOT(ISBLANK(Audit[[#This Row],[Audit Candidate 8]])), Audit[[#This Row],[Audit Candidate 8]]-Audit[[#This Row],[Candidate 8]], "")</f>
        <v/>
      </c>
      <c r="AM216" s="18" t="str">
        <f>IF(NOT(ISBLANK(Audit[[#This Row],[Audit Candidate 9]])), Audit[[#This Row],[Audit Candidate 9]]-Audit[[#This Row],[Candidate 9]], "")</f>
        <v/>
      </c>
      <c r="AN216" s="18" t="str">
        <f>IF(NOT(ISBLANK(Audit[[#This Row],[Audit Candidate 10]])), Audit[[#This Row],[Audit Candidate 10]]-Audit[[#This Row],[Candidate 10]], "")</f>
        <v/>
      </c>
      <c r="AO216" s="18" t="str">
        <f>IF(NOT(ISBLANK(Audit[[#This Row],[Audit Candidate 11]])), Audit[[#This Row],[Audit Candidate 11]]-Audit[[#This Row],[Candidate 11]], "")</f>
        <v/>
      </c>
      <c r="AP216" s="18" t="str">
        <f>IF(NOT(ISBLANK(Audit[[#This Row],[Audit Candidate 12]])), Audit[[#This Row],[Audit Candidate 12]]-Audit[[#This Row],[Candidate 12]], "")</f>
        <v/>
      </c>
      <c r="AQ216" s="18">
        <f>SUMIF(Audit[[#This Row],[Difference Winner]:[Difference Candidate 12]], "&gt;0")</f>
        <v>0</v>
      </c>
      <c r="AR216" s="18">
        <f>SUM(Audit[[#This Row],[Difference Winner]:[Difference Candidate 12]])</f>
        <v>0</v>
      </c>
      <c r="AS216" s="18">
        <f>IF(Audit[[#This Row],[Times p Drawn - With Replacement]]&gt;0, IF(Audit[[#This Row],[Canceled Differences]]&lt;0, Audit[[#This Row],[Max Differences]]+ABS(Audit[[#This Row],[Canceled Differences]]), Audit[[#This Row],[Max Differences]]), 0)</f>
        <v>0</v>
      </c>
      <c r="AT216" s="18">
        <f>'Sampling Data'!AB216</f>
        <v>0</v>
      </c>
      <c r="AU216" s="18">
        <f>IF(
      SUM(Audit[[#This Row],[Audit Losing Candidate]:[Audit Candidate 12]])
      &lt;&gt;0,
      (Audit[[#This Row],[Winning Candidate]]-Audit[[#This Row],[Losing Candidate]]-(Audit[[#This Row],[Audit Winning Candidate]]-Audit[[#This Row],[Audit Losing Candidate]]))/(Audit[[#Totals],[Winning Candidate]]-Audit[[#Totals],[Losing Candidate]]),
      0
)</f>
        <v>0</v>
      </c>
      <c r="AV2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8">
        <f>IF(Audit[[#This Row],[Max Relative Error (ep)]] = 0, 0, Audit[[#This Row],[Max Relative Error (ep)]]/Audit[[#This Row],[Error Bound (up) - Max. possible relative overstatement]])</f>
        <v>0</v>
      </c>
      <c r="BH2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6" s="18">
        <f t="shared" si="4"/>
        <v>1</v>
      </c>
      <c r="BJ216" s="18">
        <f>PRODUCT($BI$5:BI216)</f>
        <v>0.57146126097022543</v>
      </c>
      <c r="BK216" s="20">
        <f>1 - Audit[[#This Row],[K-M P Value]]</f>
        <v>0.42853873902977457</v>
      </c>
      <c r="BL216" s="18" t="str">
        <f>IF(Audit[[#This Row],[K-M P Value]]&gt;1-'General Info'!$B$12,"Continue", "Stop")</f>
        <v>Continue</v>
      </c>
      <c r="BM216" s="23" t="b">
        <f>IF(Audit[[#This Row],[Status - Continue or stop audit]] = "Continue", TRUE, IF(BL215 = "Continue", TRUE, FALSE))</f>
        <v>1</v>
      </c>
      <c r="BN216" s="23"/>
    </row>
    <row r="217" spans="1:66" ht="15" hidden="1" customHeight="1" x14ac:dyDescent="0.35">
      <c r="A217" s="18" t="str">
        <f>'Sampling Data'!AI217</f>
        <v/>
      </c>
      <c r="B217" s="18" t="str">
        <f>'Sampling Data'!A217</f>
        <v>3204 FR PK D   (AV)</v>
      </c>
      <c r="C217" s="18">
        <f>'Sampling Data'!B217</f>
        <v>0</v>
      </c>
      <c r="D217" s="18">
        <f>'Sampling Data'!C217</f>
        <v>0</v>
      </c>
      <c r="E217" s="19">
        <f>'Sampling Data'!D217</f>
        <v>0</v>
      </c>
      <c r="F217" s="19">
        <f>'Sampling Data'!E217</f>
        <v>0</v>
      </c>
      <c r="G217" s="19">
        <f>'Sampling Data'!F217</f>
        <v>0</v>
      </c>
      <c r="H217" s="19">
        <f>'Sampling Data'!G217</f>
        <v>0</v>
      </c>
      <c r="I217" s="19">
        <f>'Sampling Data'!H217</f>
        <v>0</v>
      </c>
      <c r="J217" s="19">
        <f>'Sampling Data'!I217</f>
        <v>0</v>
      </c>
      <c r="K217" s="19">
        <f>'Sampling Data'!J217</f>
        <v>0</v>
      </c>
      <c r="L217" s="19">
        <f>'Sampling Data'!K217</f>
        <v>0</v>
      </c>
      <c r="M217" s="19">
        <f>'Sampling Data'!L217</f>
        <v>0</v>
      </c>
      <c r="N217" s="19">
        <f>'Sampling Data'!M217</f>
        <v>0</v>
      </c>
      <c r="O217" s="18">
        <f>'Sampling Data'!N217</f>
        <v>0</v>
      </c>
      <c r="P217" s="18">
        <f>'Sampling Data'!O217</f>
        <v>0</v>
      </c>
      <c r="Q217" s="18">
        <f>'Sampling Data'!P217</f>
        <v>0</v>
      </c>
      <c r="R217" s="18">
        <f>'Sampling Data'!AJ217</f>
        <v>0</v>
      </c>
      <c r="S217" s="112"/>
      <c r="T217" s="112"/>
      <c r="U217" s="113"/>
      <c r="V217" s="113"/>
      <c r="W217" s="112"/>
      <c r="X217" s="112"/>
      <c r="Y217" s="112"/>
      <c r="Z217" s="112"/>
      <c r="AA217" s="15"/>
      <c r="AB217" s="15"/>
      <c r="AC217" s="15"/>
      <c r="AD217" s="15"/>
      <c r="AE217" s="114" t="str">
        <f>IF(NOT(ISBLANK(Audit[[#This Row],[Audit Winning Candidate]])), Audit[[#This Row],[Audit Winning Candidate]]-Audit[[#This Row],[Winning Candidate]], "")</f>
        <v/>
      </c>
      <c r="AF217" s="18" t="str">
        <f>IF(NOT(ISBLANK(Audit[[#This Row],[Audit Losing Candidate]])), Audit[[#This Row],[Audit Losing Candidate]]-Audit[[#This Row],[Losing Candidate]], "")</f>
        <v/>
      </c>
      <c r="AG217" s="18" t="str">
        <f>IF(NOT(ISBLANK(Audit[[#This Row],[Audit Candidate 3]])), Audit[[#This Row],[Audit Candidate 3]]-Audit[[#This Row],[Candidate 3]], "")</f>
        <v/>
      </c>
      <c r="AH217" s="18" t="str">
        <f>IF(NOT(ISBLANK(Audit[[#This Row],[Audit Candidate 4]])),Audit[[#This Row],[Audit Candidate 4]]-Audit[[#This Row],[Candidate 4]], "")</f>
        <v/>
      </c>
      <c r="AI217" s="18" t="str">
        <f>IF(NOT(ISBLANK(Audit[[#This Row],[Audit Candidate 5]])), Audit[[#This Row],[Audit Candidate 5]]-Audit[[#This Row],[Candidate 5]], "")</f>
        <v/>
      </c>
      <c r="AJ217" s="18" t="str">
        <f>IF(NOT(ISBLANK(Audit[[#This Row],[Audit Candidate 6]])), Audit[[#This Row],[Audit Candidate 6]]-Audit[[#This Row],[Candidate 6]], "")</f>
        <v/>
      </c>
      <c r="AK217" s="18" t="str">
        <f>IF(NOT(ISBLANK(Audit[[#This Row],[Audit Candidate 7]])), Audit[[#This Row],[Audit Candidate 7]]-Audit[[#This Row],[Candidate 7]], "")</f>
        <v/>
      </c>
      <c r="AL217" s="18" t="str">
        <f>IF(NOT(ISBLANK(Audit[[#This Row],[Audit Candidate 8]])), Audit[[#This Row],[Audit Candidate 8]]-Audit[[#This Row],[Candidate 8]], "")</f>
        <v/>
      </c>
      <c r="AM217" s="18" t="str">
        <f>IF(NOT(ISBLANK(Audit[[#This Row],[Audit Candidate 9]])), Audit[[#This Row],[Audit Candidate 9]]-Audit[[#This Row],[Candidate 9]], "")</f>
        <v/>
      </c>
      <c r="AN217" s="18" t="str">
        <f>IF(NOT(ISBLANK(Audit[[#This Row],[Audit Candidate 10]])), Audit[[#This Row],[Audit Candidate 10]]-Audit[[#This Row],[Candidate 10]], "")</f>
        <v/>
      </c>
      <c r="AO217" s="18" t="str">
        <f>IF(NOT(ISBLANK(Audit[[#This Row],[Audit Candidate 11]])), Audit[[#This Row],[Audit Candidate 11]]-Audit[[#This Row],[Candidate 11]], "")</f>
        <v/>
      </c>
      <c r="AP217" s="18" t="str">
        <f>IF(NOT(ISBLANK(Audit[[#This Row],[Audit Candidate 12]])), Audit[[#This Row],[Audit Candidate 12]]-Audit[[#This Row],[Candidate 12]], "")</f>
        <v/>
      </c>
      <c r="AQ217" s="18">
        <f>SUMIF(Audit[[#This Row],[Difference Winner]:[Difference Candidate 12]], "&gt;0")</f>
        <v>0</v>
      </c>
      <c r="AR217" s="18">
        <f>SUM(Audit[[#This Row],[Difference Winner]:[Difference Candidate 12]])</f>
        <v>0</v>
      </c>
      <c r="AS217" s="18">
        <f>IF(Audit[[#This Row],[Times p Drawn - With Replacement]]&gt;0, IF(Audit[[#This Row],[Canceled Differences]]&lt;0, Audit[[#This Row],[Max Differences]]+ABS(Audit[[#This Row],[Canceled Differences]]), Audit[[#This Row],[Max Differences]]), 0)</f>
        <v>0</v>
      </c>
      <c r="AT217" s="18">
        <f>'Sampling Data'!AB217</f>
        <v>0</v>
      </c>
      <c r="AU217" s="18">
        <f>IF(
      SUM(Audit[[#This Row],[Audit Losing Candidate]:[Audit Candidate 12]])
      &lt;&gt;0,
      (Audit[[#This Row],[Winning Candidate]]-Audit[[#This Row],[Losing Candidate]]-(Audit[[#This Row],[Audit Winning Candidate]]-Audit[[#This Row],[Audit Losing Candidate]]))/(Audit[[#Totals],[Winning Candidate]]-Audit[[#Totals],[Losing Candidate]]),
      0
)</f>
        <v>0</v>
      </c>
      <c r="AV2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8">
        <f>IF(Audit[[#This Row],[Max Relative Error (ep)]] = 0, 0, Audit[[#This Row],[Max Relative Error (ep)]]/Audit[[#This Row],[Error Bound (up) - Max. possible relative overstatement]])</f>
        <v>0</v>
      </c>
      <c r="BH2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7" s="18">
        <f t="shared" si="4"/>
        <v>1</v>
      </c>
      <c r="BJ217" s="18">
        <f>PRODUCT($BI$5:BI217)</f>
        <v>0.57146126097022543</v>
      </c>
      <c r="BK217" s="20">
        <f>1 - Audit[[#This Row],[K-M P Value]]</f>
        <v>0.42853873902977457</v>
      </c>
      <c r="BL217" s="18" t="str">
        <f>IF(Audit[[#This Row],[K-M P Value]]&gt;1-'General Info'!$B$12,"Continue", "Stop")</f>
        <v>Continue</v>
      </c>
      <c r="BM217" s="23" t="b">
        <f>IF(Audit[[#This Row],[Status - Continue or stop audit]] = "Continue", TRUE, IF(BL216 = "Continue", TRUE, FALSE))</f>
        <v>1</v>
      </c>
      <c r="BN217" s="23"/>
    </row>
    <row r="218" spans="1:66" ht="15" hidden="1" customHeight="1" x14ac:dyDescent="0.35">
      <c r="A218" s="18" t="str">
        <f>'Sampling Data'!AI218</f>
        <v/>
      </c>
      <c r="B218" s="18" t="str">
        <f>'Sampling Data'!A218</f>
        <v>3205 FR PK E   (AV)</v>
      </c>
      <c r="C218" s="18">
        <f>'Sampling Data'!B218</f>
        <v>0</v>
      </c>
      <c r="D218" s="18">
        <f>'Sampling Data'!C218</f>
        <v>0</v>
      </c>
      <c r="E218" s="19">
        <f>'Sampling Data'!D218</f>
        <v>0</v>
      </c>
      <c r="F218" s="19">
        <f>'Sampling Data'!E218</f>
        <v>0</v>
      </c>
      <c r="G218" s="19">
        <f>'Sampling Data'!F218</f>
        <v>0</v>
      </c>
      <c r="H218" s="19">
        <f>'Sampling Data'!G218</f>
        <v>0</v>
      </c>
      <c r="I218" s="19">
        <f>'Sampling Data'!H218</f>
        <v>0</v>
      </c>
      <c r="J218" s="19">
        <f>'Sampling Data'!I218</f>
        <v>0</v>
      </c>
      <c r="K218" s="19">
        <f>'Sampling Data'!J218</f>
        <v>0</v>
      </c>
      <c r="L218" s="19">
        <f>'Sampling Data'!K218</f>
        <v>0</v>
      </c>
      <c r="M218" s="19">
        <f>'Sampling Data'!L218</f>
        <v>0</v>
      </c>
      <c r="N218" s="19">
        <f>'Sampling Data'!M218</f>
        <v>0</v>
      </c>
      <c r="O218" s="18">
        <f>'Sampling Data'!N218</f>
        <v>0</v>
      </c>
      <c r="P218" s="18">
        <f>'Sampling Data'!O218</f>
        <v>0</v>
      </c>
      <c r="Q218" s="18">
        <f>'Sampling Data'!P218</f>
        <v>0</v>
      </c>
      <c r="R218" s="18">
        <f>'Sampling Data'!AJ218</f>
        <v>0</v>
      </c>
      <c r="S218" s="112"/>
      <c r="T218" s="112"/>
      <c r="U218" s="113"/>
      <c r="V218" s="113"/>
      <c r="W218" s="112"/>
      <c r="X218" s="112"/>
      <c r="Y218" s="112"/>
      <c r="Z218" s="112"/>
      <c r="AA218" s="15"/>
      <c r="AB218" s="15"/>
      <c r="AC218" s="15"/>
      <c r="AD218" s="15"/>
      <c r="AE218" s="114" t="str">
        <f>IF(NOT(ISBLANK(Audit[[#This Row],[Audit Winning Candidate]])), Audit[[#This Row],[Audit Winning Candidate]]-Audit[[#This Row],[Winning Candidate]], "")</f>
        <v/>
      </c>
      <c r="AF218" s="18" t="str">
        <f>IF(NOT(ISBLANK(Audit[[#This Row],[Audit Losing Candidate]])), Audit[[#This Row],[Audit Losing Candidate]]-Audit[[#This Row],[Losing Candidate]], "")</f>
        <v/>
      </c>
      <c r="AG218" s="18" t="str">
        <f>IF(NOT(ISBLANK(Audit[[#This Row],[Audit Candidate 3]])), Audit[[#This Row],[Audit Candidate 3]]-Audit[[#This Row],[Candidate 3]], "")</f>
        <v/>
      </c>
      <c r="AH218" s="18" t="str">
        <f>IF(NOT(ISBLANK(Audit[[#This Row],[Audit Candidate 4]])),Audit[[#This Row],[Audit Candidate 4]]-Audit[[#This Row],[Candidate 4]], "")</f>
        <v/>
      </c>
      <c r="AI218" s="18" t="str">
        <f>IF(NOT(ISBLANK(Audit[[#This Row],[Audit Candidate 5]])), Audit[[#This Row],[Audit Candidate 5]]-Audit[[#This Row],[Candidate 5]], "")</f>
        <v/>
      </c>
      <c r="AJ218" s="18" t="str">
        <f>IF(NOT(ISBLANK(Audit[[#This Row],[Audit Candidate 6]])), Audit[[#This Row],[Audit Candidate 6]]-Audit[[#This Row],[Candidate 6]], "")</f>
        <v/>
      </c>
      <c r="AK218" s="18" t="str">
        <f>IF(NOT(ISBLANK(Audit[[#This Row],[Audit Candidate 7]])), Audit[[#This Row],[Audit Candidate 7]]-Audit[[#This Row],[Candidate 7]], "")</f>
        <v/>
      </c>
      <c r="AL218" s="18" t="str">
        <f>IF(NOT(ISBLANK(Audit[[#This Row],[Audit Candidate 8]])), Audit[[#This Row],[Audit Candidate 8]]-Audit[[#This Row],[Candidate 8]], "")</f>
        <v/>
      </c>
      <c r="AM218" s="18" t="str">
        <f>IF(NOT(ISBLANK(Audit[[#This Row],[Audit Candidate 9]])), Audit[[#This Row],[Audit Candidate 9]]-Audit[[#This Row],[Candidate 9]], "")</f>
        <v/>
      </c>
      <c r="AN218" s="18" t="str">
        <f>IF(NOT(ISBLANK(Audit[[#This Row],[Audit Candidate 10]])), Audit[[#This Row],[Audit Candidate 10]]-Audit[[#This Row],[Candidate 10]], "")</f>
        <v/>
      </c>
      <c r="AO218" s="18" t="str">
        <f>IF(NOT(ISBLANK(Audit[[#This Row],[Audit Candidate 11]])), Audit[[#This Row],[Audit Candidate 11]]-Audit[[#This Row],[Candidate 11]], "")</f>
        <v/>
      </c>
      <c r="AP218" s="18" t="str">
        <f>IF(NOT(ISBLANK(Audit[[#This Row],[Audit Candidate 12]])), Audit[[#This Row],[Audit Candidate 12]]-Audit[[#This Row],[Candidate 12]], "")</f>
        <v/>
      </c>
      <c r="AQ218" s="18">
        <f>SUMIF(Audit[[#This Row],[Difference Winner]:[Difference Candidate 12]], "&gt;0")</f>
        <v>0</v>
      </c>
      <c r="AR218" s="18">
        <f>SUM(Audit[[#This Row],[Difference Winner]:[Difference Candidate 12]])</f>
        <v>0</v>
      </c>
      <c r="AS218" s="18">
        <f>IF(Audit[[#This Row],[Times p Drawn - With Replacement]]&gt;0, IF(Audit[[#This Row],[Canceled Differences]]&lt;0, Audit[[#This Row],[Max Differences]]+ABS(Audit[[#This Row],[Canceled Differences]]), Audit[[#This Row],[Max Differences]]), 0)</f>
        <v>0</v>
      </c>
      <c r="AT218" s="18">
        <f>'Sampling Data'!AB218</f>
        <v>0</v>
      </c>
      <c r="AU218" s="18">
        <f>IF(
      SUM(Audit[[#This Row],[Audit Losing Candidate]:[Audit Candidate 12]])
      &lt;&gt;0,
      (Audit[[#This Row],[Winning Candidate]]-Audit[[#This Row],[Losing Candidate]]-(Audit[[#This Row],[Audit Winning Candidate]]-Audit[[#This Row],[Audit Losing Candidate]]))/(Audit[[#Totals],[Winning Candidate]]-Audit[[#Totals],[Losing Candidate]]),
      0
)</f>
        <v>0</v>
      </c>
      <c r="AV2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8">
        <f>IF(Audit[[#This Row],[Max Relative Error (ep)]] = 0, 0, Audit[[#This Row],[Max Relative Error (ep)]]/Audit[[#This Row],[Error Bound (up) - Max. possible relative overstatement]])</f>
        <v>0</v>
      </c>
      <c r="BH2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8" s="18">
        <f t="shared" si="4"/>
        <v>1</v>
      </c>
      <c r="BJ218" s="18">
        <f>PRODUCT($BI$5:BI218)</f>
        <v>0.57146126097022543</v>
      </c>
      <c r="BK218" s="20">
        <f>1 - Audit[[#This Row],[K-M P Value]]</f>
        <v>0.42853873902977457</v>
      </c>
      <c r="BL218" s="18" t="str">
        <f>IF(Audit[[#This Row],[K-M P Value]]&gt;1-'General Info'!$B$12,"Continue", "Stop")</f>
        <v>Continue</v>
      </c>
      <c r="BM218" s="23" t="b">
        <f>IF(Audit[[#This Row],[Status - Continue or stop audit]] = "Continue", TRUE, IF(BL217 = "Continue", TRUE, FALSE))</f>
        <v>1</v>
      </c>
      <c r="BN218" s="23"/>
    </row>
    <row r="219" spans="1:66" ht="15" hidden="1" customHeight="1" x14ac:dyDescent="0.35">
      <c r="A219" s="18" t="str">
        <f>'Sampling Data'!AI219</f>
        <v/>
      </c>
      <c r="B219" s="18" t="str">
        <f>'Sampling Data'!A219</f>
        <v>3206 FR PK F   (AV)</v>
      </c>
      <c r="C219" s="18">
        <f>'Sampling Data'!B219</f>
        <v>0</v>
      </c>
      <c r="D219" s="18">
        <f>'Sampling Data'!C219</f>
        <v>0</v>
      </c>
      <c r="E219" s="19">
        <f>'Sampling Data'!D219</f>
        <v>0</v>
      </c>
      <c r="F219" s="19">
        <f>'Sampling Data'!E219</f>
        <v>0</v>
      </c>
      <c r="G219" s="19">
        <f>'Sampling Data'!F219</f>
        <v>0</v>
      </c>
      <c r="H219" s="19">
        <f>'Sampling Data'!G219</f>
        <v>0</v>
      </c>
      <c r="I219" s="19">
        <f>'Sampling Data'!H219</f>
        <v>0</v>
      </c>
      <c r="J219" s="19">
        <f>'Sampling Data'!I219</f>
        <v>0</v>
      </c>
      <c r="K219" s="19">
        <f>'Sampling Data'!J219</f>
        <v>0</v>
      </c>
      <c r="L219" s="19">
        <f>'Sampling Data'!K219</f>
        <v>0</v>
      </c>
      <c r="M219" s="19">
        <f>'Sampling Data'!L219</f>
        <v>0</v>
      </c>
      <c r="N219" s="19">
        <f>'Sampling Data'!M219</f>
        <v>0</v>
      </c>
      <c r="O219" s="18">
        <f>'Sampling Data'!N219</f>
        <v>0</v>
      </c>
      <c r="P219" s="18">
        <f>'Sampling Data'!O219</f>
        <v>0</v>
      </c>
      <c r="Q219" s="18">
        <f>'Sampling Data'!P219</f>
        <v>0</v>
      </c>
      <c r="R219" s="18">
        <f>'Sampling Data'!AJ219</f>
        <v>0</v>
      </c>
      <c r="S219" s="112"/>
      <c r="T219" s="112"/>
      <c r="U219" s="113"/>
      <c r="V219" s="113"/>
      <c r="W219" s="112"/>
      <c r="X219" s="112"/>
      <c r="Y219" s="112"/>
      <c r="Z219" s="112"/>
      <c r="AA219" s="15"/>
      <c r="AB219" s="15"/>
      <c r="AC219" s="15"/>
      <c r="AD219" s="15"/>
      <c r="AE219" s="114" t="str">
        <f>IF(NOT(ISBLANK(Audit[[#This Row],[Audit Winning Candidate]])), Audit[[#This Row],[Audit Winning Candidate]]-Audit[[#This Row],[Winning Candidate]], "")</f>
        <v/>
      </c>
      <c r="AF219" s="18" t="str">
        <f>IF(NOT(ISBLANK(Audit[[#This Row],[Audit Losing Candidate]])), Audit[[#This Row],[Audit Losing Candidate]]-Audit[[#This Row],[Losing Candidate]], "")</f>
        <v/>
      </c>
      <c r="AG219" s="18" t="str">
        <f>IF(NOT(ISBLANK(Audit[[#This Row],[Audit Candidate 3]])), Audit[[#This Row],[Audit Candidate 3]]-Audit[[#This Row],[Candidate 3]], "")</f>
        <v/>
      </c>
      <c r="AH219" s="18" t="str">
        <f>IF(NOT(ISBLANK(Audit[[#This Row],[Audit Candidate 4]])),Audit[[#This Row],[Audit Candidate 4]]-Audit[[#This Row],[Candidate 4]], "")</f>
        <v/>
      </c>
      <c r="AI219" s="18" t="str">
        <f>IF(NOT(ISBLANK(Audit[[#This Row],[Audit Candidate 5]])), Audit[[#This Row],[Audit Candidate 5]]-Audit[[#This Row],[Candidate 5]], "")</f>
        <v/>
      </c>
      <c r="AJ219" s="18" t="str">
        <f>IF(NOT(ISBLANK(Audit[[#This Row],[Audit Candidate 6]])), Audit[[#This Row],[Audit Candidate 6]]-Audit[[#This Row],[Candidate 6]], "")</f>
        <v/>
      </c>
      <c r="AK219" s="18" t="str">
        <f>IF(NOT(ISBLANK(Audit[[#This Row],[Audit Candidate 7]])), Audit[[#This Row],[Audit Candidate 7]]-Audit[[#This Row],[Candidate 7]], "")</f>
        <v/>
      </c>
      <c r="AL219" s="18" t="str">
        <f>IF(NOT(ISBLANK(Audit[[#This Row],[Audit Candidate 8]])), Audit[[#This Row],[Audit Candidate 8]]-Audit[[#This Row],[Candidate 8]], "")</f>
        <v/>
      </c>
      <c r="AM219" s="18" t="str">
        <f>IF(NOT(ISBLANK(Audit[[#This Row],[Audit Candidate 9]])), Audit[[#This Row],[Audit Candidate 9]]-Audit[[#This Row],[Candidate 9]], "")</f>
        <v/>
      </c>
      <c r="AN219" s="18" t="str">
        <f>IF(NOT(ISBLANK(Audit[[#This Row],[Audit Candidate 10]])), Audit[[#This Row],[Audit Candidate 10]]-Audit[[#This Row],[Candidate 10]], "")</f>
        <v/>
      </c>
      <c r="AO219" s="18" t="str">
        <f>IF(NOT(ISBLANK(Audit[[#This Row],[Audit Candidate 11]])), Audit[[#This Row],[Audit Candidate 11]]-Audit[[#This Row],[Candidate 11]], "")</f>
        <v/>
      </c>
      <c r="AP219" s="18" t="str">
        <f>IF(NOT(ISBLANK(Audit[[#This Row],[Audit Candidate 12]])), Audit[[#This Row],[Audit Candidate 12]]-Audit[[#This Row],[Candidate 12]], "")</f>
        <v/>
      </c>
      <c r="AQ219" s="18">
        <f>SUMIF(Audit[[#This Row],[Difference Winner]:[Difference Candidate 12]], "&gt;0")</f>
        <v>0</v>
      </c>
      <c r="AR219" s="18">
        <f>SUM(Audit[[#This Row],[Difference Winner]:[Difference Candidate 12]])</f>
        <v>0</v>
      </c>
      <c r="AS219" s="18">
        <f>IF(Audit[[#This Row],[Times p Drawn - With Replacement]]&gt;0, IF(Audit[[#This Row],[Canceled Differences]]&lt;0, Audit[[#This Row],[Max Differences]]+ABS(Audit[[#This Row],[Canceled Differences]]), Audit[[#This Row],[Max Differences]]), 0)</f>
        <v>0</v>
      </c>
      <c r="AT219" s="18">
        <f>'Sampling Data'!AB219</f>
        <v>0</v>
      </c>
      <c r="AU219" s="18">
        <f>IF(
      SUM(Audit[[#This Row],[Audit Losing Candidate]:[Audit Candidate 12]])
      &lt;&gt;0,
      (Audit[[#This Row],[Winning Candidate]]-Audit[[#This Row],[Losing Candidate]]-(Audit[[#This Row],[Audit Winning Candidate]]-Audit[[#This Row],[Audit Losing Candidate]]))/(Audit[[#Totals],[Winning Candidate]]-Audit[[#Totals],[Losing Candidate]]),
      0
)</f>
        <v>0</v>
      </c>
      <c r="AV2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8">
        <f>IF(Audit[[#This Row],[Max Relative Error (ep)]] = 0, 0, Audit[[#This Row],[Max Relative Error (ep)]]/Audit[[#This Row],[Error Bound (up) - Max. possible relative overstatement]])</f>
        <v>0</v>
      </c>
      <c r="BH2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19" s="18">
        <f t="shared" si="4"/>
        <v>1</v>
      </c>
      <c r="BJ219" s="18">
        <f>PRODUCT($BI$5:BI219)</f>
        <v>0.57146126097022543</v>
      </c>
      <c r="BK219" s="20">
        <f>1 - Audit[[#This Row],[K-M P Value]]</f>
        <v>0.42853873902977457</v>
      </c>
      <c r="BL219" s="18" t="str">
        <f>IF(Audit[[#This Row],[K-M P Value]]&gt;1-'General Info'!$B$12,"Continue", "Stop")</f>
        <v>Continue</v>
      </c>
      <c r="BM219" s="23" t="b">
        <f>IF(Audit[[#This Row],[Status - Continue or stop audit]] = "Continue", TRUE, IF(BL218 = "Continue", TRUE, FALSE))</f>
        <v>1</v>
      </c>
      <c r="BN219" s="23"/>
    </row>
    <row r="220" spans="1:66" ht="15" hidden="1" customHeight="1" x14ac:dyDescent="0.35">
      <c r="A220" s="18" t="str">
        <f>'Sampling Data'!AI220</f>
        <v/>
      </c>
      <c r="B220" s="18" t="str">
        <f>'Sampling Data'!A220</f>
        <v>3207 FR PK G   (AV)</v>
      </c>
      <c r="C220" s="18">
        <f>'Sampling Data'!B220</f>
        <v>2</v>
      </c>
      <c r="D220" s="18">
        <f>'Sampling Data'!C220</f>
        <v>1</v>
      </c>
      <c r="E220" s="19">
        <f>'Sampling Data'!D220</f>
        <v>0</v>
      </c>
      <c r="F220" s="19">
        <f>'Sampling Data'!E220</f>
        <v>0</v>
      </c>
      <c r="G220" s="19">
        <f>'Sampling Data'!F220</f>
        <v>0</v>
      </c>
      <c r="H220" s="19">
        <f>'Sampling Data'!G220</f>
        <v>0</v>
      </c>
      <c r="I220" s="19">
        <f>'Sampling Data'!H220</f>
        <v>0</v>
      </c>
      <c r="J220" s="19">
        <f>'Sampling Data'!I220</f>
        <v>0</v>
      </c>
      <c r="K220" s="19">
        <f>'Sampling Data'!J220</f>
        <v>0</v>
      </c>
      <c r="L220" s="19">
        <f>'Sampling Data'!K220</f>
        <v>0</v>
      </c>
      <c r="M220" s="19">
        <f>'Sampling Data'!L220</f>
        <v>0</v>
      </c>
      <c r="N220" s="19">
        <f>'Sampling Data'!M220</f>
        <v>0</v>
      </c>
      <c r="O220" s="18">
        <f>'Sampling Data'!N220</f>
        <v>0</v>
      </c>
      <c r="P220" s="18">
        <f>'Sampling Data'!O220</f>
        <v>0</v>
      </c>
      <c r="Q220" s="18">
        <f>'Sampling Data'!P220</f>
        <v>3</v>
      </c>
      <c r="R220" s="18">
        <f>'Sampling Data'!AJ220</f>
        <v>0</v>
      </c>
      <c r="S220" s="112"/>
      <c r="T220" s="112"/>
      <c r="U220" s="113"/>
      <c r="V220" s="113"/>
      <c r="W220" s="112"/>
      <c r="X220" s="112"/>
      <c r="Y220" s="112"/>
      <c r="Z220" s="112"/>
      <c r="AA220" s="15"/>
      <c r="AB220" s="15"/>
      <c r="AC220" s="15"/>
      <c r="AD220" s="15"/>
      <c r="AE220" s="114" t="str">
        <f>IF(NOT(ISBLANK(Audit[[#This Row],[Audit Winning Candidate]])), Audit[[#This Row],[Audit Winning Candidate]]-Audit[[#This Row],[Winning Candidate]], "")</f>
        <v/>
      </c>
      <c r="AF220" s="18" t="str">
        <f>IF(NOT(ISBLANK(Audit[[#This Row],[Audit Losing Candidate]])), Audit[[#This Row],[Audit Losing Candidate]]-Audit[[#This Row],[Losing Candidate]], "")</f>
        <v/>
      </c>
      <c r="AG220" s="18" t="str">
        <f>IF(NOT(ISBLANK(Audit[[#This Row],[Audit Candidate 3]])), Audit[[#This Row],[Audit Candidate 3]]-Audit[[#This Row],[Candidate 3]], "")</f>
        <v/>
      </c>
      <c r="AH220" s="18" t="str">
        <f>IF(NOT(ISBLANK(Audit[[#This Row],[Audit Candidate 4]])),Audit[[#This Row],[Audit Candidate 4]]-Audit[[#This Row],[Candidate 4]], "")</f>
        <v/>
      </c>
      <c r="AI220" s="18" t="str">
        <f>IF(NOT(ISBLANK(Audit[[#This Row],[Audit Candidate 5]])), Audit[[#This Row],[Audit Candidate 5]]-Audit[[#This Row],[Candidate 5]], "")</f>
        <v/>
      </c>
      <c r="AJ220" s="18" t="str">
        <f>IF(NOT(ISBLANK(Audit[[#This Row],[Audit Candidate 6]])), Audit[[#This Row],[Audit Candidate 6]]-Audit[[#This Row],[Candidate 6]], "")</f>
        <v/>
      </c>
      <c r="AK220" s="18" t="str">
        <f>IF(NOT(ISBLANK(Audit[[#This Row],[Audit Candidate 7]])), Audit[[#This Row],[Audit Candidate 7]]-Audit[[#This Row],[Candidate 7]], "")</f>
        <v/>
      </c>
      <c r="AL220" s="18" t="str">
        <f>IF(NOT(ISBLANK(Audit[[#This Row],[Audit Candidate 8]])), Audit[[#This Row],[Audit Candidate 8]]-Audit[[#This Row],[Candidate 8]], "")</f>
        <v/>
      </c>
      <c r="AM220" s="18" t="str">
        <f>IF(NOT(ISBLANK(Audit[[#This Row],[Audit Candidate 9]])), Audit[[#This Row],[Audit Candidate 9]]-Audit[[#This Row],[Candidate 9]], "")</f>
        <v/>
      </c>
      <c r="AN220" s="18" t="str">
        <f>IF(NOT(ISBLANK(Audit[[#This Row],[Audit Candidate 10]])), Audit[[#This Row],[Audit Candidate 10]]-Audit[[#This Row],[Candidate 10]], "")</f>
        <v/>
      </c>
      <c r="AO220" s="18" t="str">
        <f>IF(NOT(ISBLANK(Audit[[#This Row],[Audit Candidate 11]])), Audit[[#This Row],[Audit Candidate 11]]-Audit[[#This Row],[Candidate 11]], "")</f>
        <v/>
      </c>
      <c r="AP220" s="18" t="str">
        <f>IF(NOT(ISBLANK(Audit[[#This Row],[Audit Candidate 12]])), Audit[[#This Row],[Audit Candidate 12]]-Audit[[#This Row],[Candidate 12]], "")</f>
        <v/>
      </c>
      <c r="AQ220" s="18">
        <f>SUMIF(Audit[[#This Row],[Difference Winner]:[Difference Candidate 12]], "&gt;0")</f>
        <v>0</v>
      </c>
      <c r="AR220" s="18">
        <f>SUM(Audit[[#This Row],[Difference Winner]:[Difference Candidate 12]])</f>
        <v>0</v>
      </c>
      <c r="AS220" s="18">
        <f>IF(Audit[[#This Row],[Times p Drawn - With Replacement]]&gt;0, IF(Audit[[#This Row],[Canceled Differences]]&lt;0, Audit[[#This Row],[Max Differences]]+ABS(Audit[[#This Row],[Canceled Differences]]), Audit[[#This Row],[Max Differences]]), 0)</f>
        <v>0</v>
      </c>
      <c r="AT220" s="18">
        <f>'Sampling Data'!AB220</f>
        <v>1.2563997864120362E-4</v>
      </c>
      <c r="AU220" s="18">
        <f>IF(
      SUM(Audit[[#This Row],[Audit Losing Candidate]:[Audit Candidate 12]])
      &lt;&gt;0,
      (Audit[[#This Row],[Winning Candidate]]-Audit[[#This Row],[Losing Candidate]]-(Audit[[#This Row],[Audit Winning Candidate]]-Audit[[#This Row],[Audit Losing Candidate]]))/(Audit[[#Totals],[Winning Candidate]]-Audit[[#Totals],[Losing Candidate]]),
      0
)</f>
        <v>0</v>
      </c>
      <c r="AV2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8">
        <f>IF(Audit[[#This Row],[Max Relative Error (ep)]] = 0, 0, Audit[[#This Row],[Max Relative Error (ep)]]/Audit[[#This Row],[Error Bound (up) - Max. possible relative overstatement]])</f>
        <v>0</v>
      </c>
      <c r="BH2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0" s="18">
        <f t="shared" si="4"/>
        <v>1</v>
      </c>
      <c r="BJ220" s="18">
        <f>PRODUCT($BI$5:BI220)</f>
        <v>0.57146126097022543</v>
      </c>
      <c r="BK220" s="20">
        <f>1 - Audit[[#This Row],[K-M P Value]]</f>
        <v>0.42853873902977457</v>
      </c>
      <c r="BL220" s="18" t="str">
        <f>IF(Audit[[#This Row],[K-M P Value]]&gt;1-'General Info'!$B$12,"Continue", "Stop")</f>
        <v>Continue</v>
      </c>
      <c r="BM220" s="23" t="b">
        <f>IF(Audit[[#This Row],[Status - Continue or stop audit]] = "Continue", TRUE, IF(BL219 = "Continue", TRUE, FALSE))</f>
        <v>1</v>
      </c>
      <c r="BN220" s="23"/>
    </row>
    <row r="221" spans="1:66" ht="15" hidden="1" customHeight="1" x14ac:dyDescent="0.35">
      <c r="A221" s="18" t="str">
        <f>'Sampling Data'!AI221</f>
        <v/>
      </c>
      <c r="B221" s="18" t="str">
        <f>'Sampling Data'!A221</f>
        <v>3208 FR PK H   (AV)</v>
      </c>
      <c r="C221" s="18">
        <f>'Sampling Data'!B221</f>
        <v>0</v>
      </c>
      <c r="D221" s="18">
        <f>'Sampling Data'!C221</f>
        <v>0</v>
      </c>
      <c r="E221" s="19">
        <f>'Sampling Data'!D221</f>
        <v>0</v>
      </c>
      <c r="F221" s="19">
        <f>'Sampling Data'!E221</f>
        <v>0</v>
      </c>
      <c r="G221" s="19">
        <f>'Sampling Data'!F221</f>
        <v>0</v>
      </c>
      <c r="H221" s="19">
        <f>'Sampling Data'!G221</f>
        <v>0</v>
      </c>
      <c r="I221" s="19">
        <f>'Sampling Data'!H221</f>
        <v>0</v>
      </c>
      <c r="J221" s="19">
        <f>'Sampling Data'!I221</f>
        <v>0</v>
      </c>
      <c r="K221" s="19">
        <f>'Sampling Data'!J221</f>
        <v>0</v>
      </c>
      <c r="L221" s="19">
        <f>'Sampling Data'!K221</f>
        <v>0</v>
      </c>
      <c r="M221" s="19">
        <f>'Sampling Data'!L221</f>
        <v>0</v>
      </c>
      <c r="N221" s="19">
        <f>'Sampling Data'!M221</f>
        <v>0</v>
      </c>
      <c r="O221" s="18">
        <f>'Sampling Data'!N221</f>
        <v>0</v>
      </c>
      <c r="P221" s="18">
        <f>'Sampling Data'!O221</f>
        <v>0</v>
      </c>
      <c r="Q221" s="18">
        <f>'Sampling Data'!P221</f>
        <v>0</v>
      </c>
      <c r="R221" s="18">
        <f>'Sampling Data'!AJ221</f>
        <v>0</v>
      </c>
      <c r="S221" s="112"/>
      <c r="T221" s="112"/>
      <c r="U221" s="113"/>
      <c r="V221" s="113"/>
      <c r="W221" s="112"/>
      <c r="X221" s="112"/>
      <c r="Y221" s="112"/>
      <c r="Z221" s="112"/>
      <c r="AA221" s="15"/>
      <c r="AB221" s="15"/>
      <c r="AC221" s="15"/>
      <c r="AD221" s="15"/>
      <c r="AE221" s="114" t="str">
        <f>IF(NOT(ISBLANK(Audit[[#This Row],[Audit Winning Candidate]])), Audit[[#This Row],[Audit Winning Candidate]]-Audit[[#This Row],[Winning Candidate]], "")</f>
        <v/>
      </c>
      <c r="AF221" s="18" t="str">
        <f>IF(NOT(ISBLANK(Audit[[#This Row],[Audit Losing Candidate]])), Audit[[#This Row],[Audit Losing Candidate]]-Audit[[#This Row],[Losing Candidate]], "")</f>
        <v/>
      </c>
      <c r="AG221" s="18" t="str">
        <f>IF(NOT(ISBLANK(Audit[[#This Row],[Audit Candidate 3]])), Audit[[#This Row],[Audit Candidate 3]]-Audit[[#This Row],[Candidate 3]], "")</f>
        <v/>
      </c>
      <c r="AH221" s="18" t="str">
        <f>IF(NOT(ISBLANK(Audit[[#This Row],[Audit Candidate 4]])),Audit[[#This Row],[Audit Candidate 4]]-Audit[[#This Row],[Candidate 4]], "")</f>
        <v/>
      </c>
      <c r="AI221" s="18" t="str">
        <f>IF(NOT(ISBLANK(Audit[[#This Row],[Audit Candidate 5]])), Audit[[#This Row],[Audit Candidate 5]]-Audit[[#This Row],[Candidate 5]], "")</f>
        <v/>
      </c>
      <c r="AJ221" s="18" t="str">
        <f>IF(NOT(ISBLANK(Audit[[#This Row],[Audit Candidate 6]])), Audit[[#This Row],[Audit Candidate 6]]-Audit[[#This Row],[Candidate 6]], "")</f>
        <v/>
      </c>
      <c r="AK221" s="18" t="str">
        <f>IF(NOT(ISBLANK(Audit[[#This Row],[Audit Candidate 7]])), Audit[[#This Row],[Audit Candidate 7]]-Audit[[#This Row],[Candidate 7]], "")</f>
        <v/>
      </c>
      <c r="AL221" s="18" t="str">
        <f>IF(NOT(ISBLANK(Audit[[#This Row],[Audit Candidate 8]])), Audit[[#This Row],[Audit Candidate 8]]-Audit[[#This Row],[Candidate 8]], "")</f>
        <v/>
      </c>
      <c r="AM221" s="18" t="str">
        <f>IF(NOT(ISBLANK(Audit[[#This Row],[Audit Candidate 9]])), Audit[[#This Row],[Audit Candidate 9]]-Audit[[#This Row],[Candidate 9]], "")</f>
        <v/>
      </c>
      <c r="AN221" s="18" t="str">
        <f>IF(NOT(ISBLANK(Audit[[#This Row],[Audit Candidate 10]])), Audit[[#This Row],[Audit Candidate 10]]-Audit[[#This Row],[Candidate 10]], "")</f>
        <v/>
      </c>
      <c r="AO221" s="18" t="str">
        <f>IF(NOT(ISBLANK(Audit[[#This Row],[Audit Candidate 11]])), Audit[[#This Row],[Audit Candidate 11]]-Audit[[#This Row],[Candidate 11]], "")</f>
        <v/>
      </c>
      <c r="AP221" s="18" t="str">
        <f>IF(NOT(ISBLANK(Audit[[#This Row],[Audit Candidate 12]])), Audit[[#This Row],[Audit Candidate 12]]-Audit[[#This Row],[Candidate 12]], "")</f>
        <v/>
      </c>
      <c r="AQ221" s="18">
        <f>SUMIF(Audit[[#This Row],[Difference Winner]:[Difference Candidate 12]], "&gt;0")</f>
        <v>0</v>
      </c>
      <c r="AR221" s="18">
        <f>SUM(Audit[[#This Row],[Difference Winner]:[Difference Candidate 12]])</f>
        <v>0</v>
      </c>
      <c r="AS221" s="18">
        <f>IF(Audit[[#This Row],[Times p Drawn - With Replacement]]&gt;0, IF(Audit[[#This Row],[Canceled Differences]]&lt;0, Audit[[#This Row],[Max Differences]]+ABS(Audit[[#This Row],[Canceled Differences]]), Audit[[#This Row],[Max Differences]]), 0)</f>
        <v>0</v>
      </c>
      <c r="AT221" s="18">
        <f>'Sampling Data'!AB221</f>
        <v>0</v>
      </c>
      <c r="AU221" s="18">
        <f>IF(
      SUM(Audit[[#This Row],[Audit Losing Candidate]:[Audit Candidate 12]])
      &lt;&gt;0,
      (Audit[[#This Row],[Winning Candidate]]-Audit[[#This Row],[Losing Candidate]]-(Audit[[#This Row],[Audit Winning Candidate]]-Audit[[#This Row],[Audit Losing Candidate]]))/(Audit[[#Totals],[Winning Candidate]]-Audit[[#Totals],[Losing Candidate]]),
      0
)</f>
        <v>0</v>
      </c>
      <c r="AV2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8">
        <f>IF(Audit[[#This Row],[Max Relative Error (ep)]] = 0, 0, Audit[[#This Row],[Max Relative Error (ep)]]/Audit[[#This Row],[Error Bound (up) - Max. possible relative overstatement]])</f>
        <v>0</v>
      </c>
      <c r="BH2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1" s="18">
        <f t="shared" si="4"/>
        <v>1</v>
      </c>
      <c r="BJ221" s="18">
        <f>PRODUCT($BI$5:BI221)</f>
        <v>0.57146126097022543</v>
      </c>
      <c r="BK221" s="20">
        <f>1 - Audit[[#This Row],[K-M P Value]]</f>
        <v>0.42853873902977457</v>
      </c>
      <c r="BL221" s="18" t="str">
        <f>IF(Audit[[#This Row],[K-M P Value]]&gt;1-'General Info'!$B$12,"Continue", "Stop")</f>
        <v>Continue</v>
      </c>
      <c r="BM221" s="23" t="b">
        <f>IF(Audit[[#This Row],[Status - Continue or stop audit]] = "Continue", TRUE, IF(BL220 = "Continue", TRUE, FALSE))</f>
        <v>1</v>
      </c>
      <c r="BN221" s="23"/>
    </row>
    <row r="222" spans="1:66" ht="15" hidden="1" customHeight="1" x14ac:dyDescent="0.35">
      <c r="A222" s="18" t="str">
        <f>'Sampling Data'!AI222</f>
        <v/>
      </c>
      <c r="B222" s="18" t="str">
        <f>'Sampling Data'!A222</f>
        <v>3209 FR PK I   (AV)</v>
      </c>
      <c r="C222" s="18">
        <f>'Sampling Data'!B222</f>
        <v>6</v>
      </c>
      <c r="D222" s="18">
        <f>'Sampling Data'!C222</f>
        <v>0</v>
      </c>
      <c r="E222" s="19">
        <f>'Sampling Data'!D222</f>
        <v>0</v>
      </c>
      <c r="F222" s="19">
        <f>'Sampling Data'!E222</f>
        <v>0</v>
      </c>
      <c r="G222" s="19">
        <f>'Sampling Data'!F222</f>
        <v>0</v>
      </c>
      <c r="H222" s="19">
        <f>'Sampling Data'!G222</f>
        <v>0</v>
      </c>
      <c r="I222" s="19">
        <f>'Sampling Data'!H222</f>
        <v>0</v>
      </c>
      <c r="J222" s="19">
        <f>'Sampling Data'!I222</f>
        <v>0</v>
      </c>
      <c r="K222" s="19">
        <f>'Sampling Data'!J222</f>
        <v>0</v>
      </c>
      <c r="L222" s="19">
        <f>'Sampling Data'!K222</f>
        <v>0</v>
      </c>
      <c r="M222" s="19">
        <f>'Sampling Data'!L222</f>
        <v>0</v>
      </c>
      <c r="N222" s="19">
        <f>'Sampling Data'!M222</f>
        <v>0</v>
      </c>
      <c r="O222" s="18">
        <f>'Sampling Data'!N222</f>
        <v>0</v>
      </c>
      <c r="P222" s="18">
        <f>'Sampling Data'!O222</f>
        <v>2</v>
      </c>
      <c r="Q222" s="18">
        <f>'Sampling Data'!P222</f>
        <v>8</v>
      </c>
      <c r="R222" s="18">
        <f>'Sampling Data'!AJ222</f>
        <v>0</v>
      </c>
      <c r="S222" s="112"/>
      <c r="T222" s="112"/>
      <c r="U222" s="113"/>
      <c r="V222" s="113"/>
      <c r="W222" s="112"/>
      <c r="X222" s="112"/>
      <c r="Y222" s="112"/>
      <c r="Z222" s="112"/>
      <c r="AA222" s="15"/>
      <c r="AB222" s="15"/>
      <c r="AC222" s="15"/>
      <c r="AD222" s="15"/>
      <c r="AE222" s="114" t="str">
        <f>IF(NOT(ISBLANK(Audit[[#This Row],[Audit Winning Candidate]])), Audit[[#This Row],[Audit Winning Candidate]]-Audit[[#This Row],[Winning Candidate]], "")</f>
        <v/>
      </c>
      <c r="AF222" s="18" t="str">
        <f>IF(NOT(ISBLANK(Audit[[#This Row],[Audit Losing Candidate]])), Audit[[#This Row],[Audit Losing Candidate]]-Audit[[#This Row],[Losing Candidate]], "")</f>
        <v/>
      </c>
      <c r="AG222" s="18" t="str">
        <f>IF(NOT(ISBLANK(Audit[[#This Row],[Audit Candidate 3]])), Audit[[#This Row],[Audit Candidate 3]]-Audit[[#This Row],[Candidate 3]], "")</f>
        <v/>
      </c>
      <c r="AH222" s="18" t="str">
        <f>IF(NOT(ISBLANK(Audit[[#This Row],[Audit Candidate 4]])),Audit[[#This Row],[Audit Candidate 4]]-Audit[[#This Row],[Candidate 4]], "")</f>
        <v/>
      </c>
      <c r="AI222" s="18" t="str">
        <f>IF(NOT(ISBLANK(Audit[[#This Row],[Audit Candidate 5]])), Audit[[#This Row],[Audit Candidate 5]]-Audit[[#This Row],[Candidate 5]], "")</f>
        <v/>
      </c>
      <c r="AJ222" s="18" t="str">
        <f>IF(NOT(ISBLANK(Audit[[#This Row],[Audit Candidate 6]])), Audit[[#This Row],[Audit Candidate 6]]-Audit[[#This Row],[Candidate 6]], "")</f>
        <v/>
      </c>
      <c r="AK222" s="18" t="str">
        <f>IF(NOT(ISBLANK(Audit[[#This Row],[Audit Candidate 7]])), Audit[[#This Row],[Audit Candidate 7]]-Audit[[#This Row],[Candidate 7]], "")</f>
        <v/>
      </c>
      <c r="AL222" s="18" t="str">
        <f>IF(NOT(ISBLANK(Audit[[#This Row],[Audit Candidate 8]])), Audit[[#This Row],[Audit Candidate 8]]-Audit[[#This Row],[Candidate 8]], "")</f>
        <v/>
      </c>
      <c r="AM222" s="18" t="str">
        <f>IF(NOT(ISBLANK(Audit[[#This Row],[Audit Candidate 9]])), Audit[[#This Row],[Audit Candidate 9]]-Audit[[#This Row],[Candidate 9]], "")</f>
        <v/>
      </c>
      <c r="AN222" s="18" t="str">
        <f>IF(NOT(ISBLANK(Audit[[#This Row],[Audit Candidate 10]])), Audit[[#This Row],[Audit Candidate 10]]-Audit[[#This Row],[Candidate 10]], "")</f>
        <v/>
      </c>
      <c r="AO222" s="18" t="str">
        <f>IF(NOT(ISBLANK(Audit[[#This Row],[Audit Candidate 11]])), Audit[[#This Row],[Audit Candidate 11]]-Audit[[#This Row],[Candidate 11]], "")</f>
        <v/>
      </c>
      <c r="AP222" s="18" t="str">
        <f>IF(NOT(ISBLANK(Audit[[#This Row],[Audit Candidate 12]])), Audit[[#This Row],[Audit Candidate 12]]-Audit[[#This Row],[Candidate 12]], "")</f>
        <v/>
      </c>
      <c r="AQ222" s="18">
        <f>SUMIF(Audit[[#This Row],[Difference Winner]:[Difference Candidate 12]], "&gt;0")</f>
        <v>0</v>
      </c>
      <c r="AR222" s="18">
        <f>SUM(Audit[[#This Row],[Difference Winner]:[Difference Candidate 12]])</f>
        <v>0</v>
      </c>
      <c r="AS222" s="18">
        <f>IF(Audit[[#This Row],[Times p Drawn - With Replacement]]&gt;0, IF(Audit[[#This Row],[Canceled Differences]]&lt;0, Audit[[#This Row],[Max Differences]]+ABS(Audit[[#This Row],[Canceled Differences]]), Audit[[#This Row],[Max Differences]]), 0)</f>
        <v>0</v>
      </c>
      <c r="AT222" s="18">
        <f>'Sampling Data'!AB222</f>
        <v>4.3973992524421271E-4</v>
      </c>
      <c r="AU222" s="18">
        <f>IF(
      SUM(Audit[[#This Row],[Audit Losing Candidate]:[Audit Candidate 12]])
      &lt;&gt;0,
      (Audit[[#This Row],[Winning Candidate]]-Audit[[#This Row],[Losing Candidate]]-(Audit[[#This Row],[Audit Winning Candidate]]-Audit[[#This Row],[Audit Losing Candidate]]))/(Audit[[#Totals],[Winning Candidate]]-Audit[[#Totals],[Losing Candidate]]),
      0
)</f>
        <v>0</v>
      </c>
      <c r="AV2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8">
        <f>IF(Audit[[#This Row],[Max Relative Error (ep)]] = 0, 0, Audit[[#This Row],[Max Relative Error (ep)]]/Audit[[#This Row],[Error Bound (up) - Max. possible relative overstatement]])</f>
        <v>0</v>
      </c>
      <c r="BH2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2" s="18">
        <f t="shared" si="4"/>
        <v>1</v>
      </c>
      <c r="BJ222" s="18">
        <f>PRODUCT($BI$5:BI222)</f>
        <v>0.57146126097022543</v>
      </c>
      <c r="BK222" s="20">
        <f>1 - Audit[[#This Row],[K-M P Value]]</f>
        <v>0.42853873902977457</v>
      </c>
      <c r="BL222" s="18" t="str">
        <f>IF(Audit[[#This Row],[K-M P Value]]&gt;1-'General Info'!$B$12,"Continue", "Stop")</f>
        <v>Continue</v>
      </c>
      <c r="BM222" s="23" t="b">
        <f>IF(Audit[[#This Row],[Status - Continue or stop audit]] = "Continue", TRUE, IF(BL221 = "Continue", TRUE, FALSE))</f>
        <v>1</v>
      </c>
      <c r="BN222" s="23"/>
    </row>
    <row r="223" spans="1:66" ht="15" hidden="1" customHeight="1" x14ac:dyDescent="0.35">
      <c r="A223" s="18" t="str">
        <f>'Sampling Data'!AI223</f>
        <v/>
      </c>
      <c r="B223" s="18" t="str">
        <f>'Sampling Data'!A223</f>
        <v>3210 FR PK J   (AV)</v>
      </c>
      <c r="C223" s="18">
        <f>'Sampling Data'!B223</f>
        <v>3</v>
      </c>
      <c r="D223" s="18">
        <f>'Sampling Data'!C223</f>
        <v>0</v>
      </c>
      <c r="E223" s="19">
        <f>'Sampling Data'!D223</f>
        <v>0</v>
      </c>
      <c r="F223" s="19">
        <f>'Sampling Data'!E223</f>
        <v>0</v>
      </c>
      <c r="G223" s="19">
        <f>'Sampling Data'!F223</f>
        <v>0</v>
      </c>
      <c r="H223" s="19">
        <f>'Sampling Data'!G223</f>
        <v>0</v>
      </c>
      <c r="I223" s="19">
        <f>'Sampling Data'!H223</f>
        <v>0</v>
      </c>
      <c r="J223" s="19">
        <f>'Sampling Data'!I223</f>
        <v>0</v>
      </c>
      <c r="K223" s="19">
        <f>'Sampling Data'!J223</f>
        <v>0</v>
      </c>
      <c r="L223" s="19">
        <f>'Sampling Data'!K223</f>
        <v>0</v>
      </c>
      <c r="M223" s="19">
        <f>'Sampling Data'!L223</f>
        <v>0</v>
      </c>
      <c r="N223" s="19">
        <f>'Sampling Data'!M223</f>
        <v>0</v>
      </c>
      <c r="O223" s="18">
        <f>'Sampling Data'!N223</f>
        <v>0</v>
      </c>
      <c r="P223" s="18">
        <f>'Sampling Data'!O223</f>
        <v>0</v>
      </c>
      <c r="Q223" s="18">
        <f>'Sampling Data'!P223</f>
        <v>3</v>
      </c>
      <c r="R223" s="18">
        <f>'Sampling Data'!AJ223</f>
        <v>0</v>
      </c>
      <c r="S223" s="112"/>
      <c r="T223" s="112"/>
      <c r="U223" s="113"/>
      <c r="V223" s="113"/>
      <c r="W223" s="112"/>
      <c r="X223" s="112"/>
      <c r="Y223" s="112"/>
      <c r="Z223" s="112"/>
      <c r="AA223" s="15"/>
      <c r="AB223" s="15"/>
      <c r="AC223" s="15"/>
      <c r="AD223" s="15"/>
      <c r="AE223" s="114" t="str">
        <f>IF(NOT(ISBLANK(Audit[[#This Row],[Audit Winning Candidate]])), Audit[[#This Row],[Audit Winning Candidate]]-Audit[[#This Row],[Winning Candidate]], "")</f>
        <v/>
      </c>
      <c r="AF223" s="18" t="str">
        <f>IF(NOT(ISBLANK(Audit[[#This Row],[Audit Losing Candidate]])), Audit[[#This Row],[Audit Losing Candidate]]-Audit[[#This Row],[Losing Candidate]], "")</f>
        <v/>
      </c>
      <c r="AG223" s="18" t="str">
        <f>IF(NOT(ISBLANK(Audit[[#This Row],[Audit Candidate 3]])), Audit[[#This Row],[Audit Candidate 3]]-Audit[[#This Row],[Candidate 3]], "")</f>
        <v/>
      </c>
      <c r="AH223" s="18" t="str">
        <f>IF(NOT(ISBLANK(Audit[[#This Row],[Audit Candidate 4]])),Audit[[#This Row],[Audit Candidate 4]]-Audit[[#This Row],[Candidate 4]], "")</f>
        <v/>
      </c>
      <c r="AI223" s="18" t="str">
        <f>IF(NOT(ISBLANK(Audit[[#This Row],[Audit Candidate 5]])), Audit[[#This Row],[Audit Candidate 5]]-Audit[[#This Row],[Candidate 5]], "")</f>
        <v/>
      </c>
      <c r="AJ223" s="18" t="str">
        <f>IF(NOT(ISBLANK(Audit[[#This Row],[Audit Candidate 6]])), Audit[[#This Row],[Audit Candidate 6]]-Audit[[#This Row],[Candidate 6]], "")</f>
        <v/>
      </c>
      <c r="AK223" s="18" t="str">
        <f>IF(NOT(ISBLANK(Audit[[#This Row],[Audit Candidate 7]])), Audit[[#This Row],[Audit Candidate 7]]-Audit[[#This Row],[Candidate 7]], "")</f>
        <v/>
      </c>
      <c r="AL223" s="18" t="str">
        <f>IF(NOT(ISBLANK(Audit[[#This Row],[Audit Candidate 8]])), Audit[[#This Row],[Audit Candidate 8]]-Audit[[#This Row],[Candidate 8]], "")</f>
        <v/>
      </c>
      <c r="AM223" s="18" t="str">
        <f>IF(NOT(ISBLANK(Audit[[#This Row],[Audit Candidate 9]])), Audit[[#This Row],[Audit Candidate 9]]-Audit[[#This Row],[Candidate 9]], "")</f>
        <v/>
      </c>
      <c r="AN223" s="18" t="str">
        <f>IF(NOT(ISBLANK(Audit[[#This Row],[Audit Candidate 10]])), Audit[[#This Row],[Audit Candidate 10]]-Audit[[#This Row],[Candidate 10]], "")</f>
        <v/>
      </c>
      <c r="AO223" s="18" t="str">
        <f>IF(NOT(ISBLANK(Audit[[#This Row],[Audit Candidate 11]])), Audit[[#This Row],[Audit Candidate 11]]-Audit[[#This Row],[Candidate 11]], "")</f>
        <v/>
      </c>
      <c r="AP223" s="18" t="str">
        <f>IF(NOT(ISBLANK(Audit[[#This Row],[Audit Candidate 12]])), Audit[[#This Row],[Audit Candidate 12]]-Audit[[#This Row],[Candidate 12]], "")</f>
        <v/>
      </c>
      <c r="AQ223" s="18">
        <f>SUMIF(Audit[[#This Row],[Difference Winner]:[Difference Candidate 12]], "&gt;0")</f>
        <v>0</v>
      </c>
      <c r="AR223" s="18">
        <f>SUM(Audit[[#This Row],[Difference Winner]:[Difference Candidate 12]])</f>
        <v>0</v>
      </c>
      <c r="AS223" s="18">
        <f>IF(Audit[[#This Row],[Times p Drawn - With Replacement]]&gt;0, IF(Audit[[#This Row],[Canceled Differences]]&lt;0, Audit[[#This Row],[Max Differences]]+ABS(Audit[[#This Row],[Canceled Differences]]), Audit[[#This Row],[Max Differences]]), 0)</f>
        <v>0</v>
      </c>
      <c r="AT223" s="18">
        <f>'Sampling Data'!AB223</f>
        <v>1.8845996796180544E-4</v>
      </c>
      <c r="AU223" s="18">
        <f>IF(
      SUM(Audit[[#This Row],[Audit Losing Candidate]:[Audit Candidate 12]])
      &lt;&gt;0,
      (Audit[[#This Row],[Winning Candidate]]-Audit[[#This Row],[Losing Candidate]]-(Audit[[#This Row],[Audit Winning Candidate]]-Audit[[#This Row],[Audit Losing Candidate]]))/(Audit[[#Totals],[Winning Candidate]]-Audit[[#Totals],[Losing Candidate]]),
      0
)</f>
        <v>0</v>
      </c>
      <c r="AV2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8">
        <f>IF(Audit[[#This Row],[Max Relative Error (ep)]] = 0, 0, Audit[[#This Row],[Max Relative Error (ep)]]/Audit[[#This Row],[Error Bound (up) - Max. possible relative overstatement]])</f>
        <v>0</v>
      </c>
      <c r="BH2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3" s="18">
        <f t="shared" si="4"/>
        <v>1</v>
      </c>
      <c r="BJ223" s="18">
        <f>PRODUCT($BI$5:BI223)</f>
        <v>0.57146126097022543</v>
      </c>
      <c r="BK223" s="20">
        <f>1 - Audit[[#This Row],[K-M P Value]]</f>
        <v>0.42853873902977457</v>
      </c>
      <c r="BL223" s="18" t="str">
        <f>IF(Audit[[#This Row],[K-M P Value]]&gt;1-'General Info'!$B$12,"Continue", "Stop")</f>
        <v>Continue</v>
      </c>
      <c r="BM223" s="23" t="b">
        <f>IF(Audit[[#This Row],[Status - Continue or stop audit]] = "Continue", TRUE, IF(BL222 = "Continue", TRUE, FALSE))</f>
        <v>1</v>
      </c>
      <c r="BN223" s="23"/>
    </row>
    <row r="224" spans="1:66" ht="15" hidden="1" customHeight="1" x14ac:dyDescent="0.35">
      <c r="A224" s="18" t="str">
        <f>'Sampling Data'!AI224</f>
        <v/>
      </c>
      <c r="B224" s="18" t="str">
        <f>'Sampling Data'!A224</f>
        <v>3211 FR PK K   (AV)</v>
      </c>
      <c r="C224" s="18">
        <f>'Sampling Data'!B224</f>
        <v>1</v>
      </c>
      <c r="D224" s="18">
        <f>'Sampling Data'!C224</f>
        <v>1</v>
      </c>
      <c r="E224" s="19">
        <f>'Sampling Data'!D224</f>
        <v>0</v>
      </c>
      <c r="F224" s="19">
        <f>'Sampling Data'!E224</f>
        <v>0</v>
      </c>
      <c r="G224" s="19">
        <f>'Sampling Data'!F224</f>
        <v>0</v>
      </c>
      <c r="H224" s="19">
        <f>'Sampling Data'!G224</f>
        <v>0</v>
      </c>
      <c r="I224" s="19">
        <f>'Sampling Data'!H224</f>
        <v>0</v>
      </c>
      <c r="J224" s="19">
        <f>'Sampling Data'!I224</f>
        <v>0</v>
      </c>
      <c r="K224" s="19">
        <f>'Sampling Data'!J224</f>
        <v>0</v>
      </c>
      <c r="L224" s="19">
        <f>'Sampling Data'!K224</f>
        <v>0</v>
      </c>
      <c r="M224" s="19">
        <f>'Sampling Data'!L224</f>
        <v>0</v>
      </c>
      <c r="N224" s="19">
        <f>'Sampling Data'!M224</f>
        <v>0</v>
      </c>
      <c r="O224" s="18">
        <f>'Sampling Data'!N224</f>
        <v>0</v>
      </c>
      <c r="P224" s="18">
        <f>'Sampling Data'!O224</f>
        <v>0</v>
      </c>
      <c r="Q224" s="18">
        <f>'Sampling Data'!P224</f>
        <v>2</v>
      </c>
      <c r="R224" s="18">
        <f>'Sampling Data'!AJ224</f>
        <v>0</v>
      </c>
      <c r="S224" s="112"/>
      <c r="T224" s="112"/>
      <c r="U224" s="113"/>
      <c r="V224" s="113"/>
      <c r="W224" s="112"/>
      <c r="X224" s="112"/>
      <c r="Y224" s="112"/>
      <c r="Z224" s="112"/>
      <c r="AA224" s="15"/>
      <c r="AB224" s="15"/>
      <c r="AC224" s="15"/>
      <c r="AD224" s="15"/>
      <c r="AE224" s="114" t="str">
        <f>IF(NOT(ISBLANK(Audit[[#This Row],[Audit Winning Candidate]])), Audit[[#This Row],[Audit Winning Candidate]]-Audit[[#This Row],[Winning Candidate]], "")</f>
        <v/>
      </c>
      <c r="AF224" s="18" t="str">
        <f>IF(NOT(ISBLANK(Audit[[#This Row],[Audit Losing Candidate]])), Audit[[#This Row],[Audit Losing Candidate]]-Audit[[#This Row],[Losing Candidate]], "")</f>
        <v/>
      </c>
      <c r="AG224" s="18" t="str">
        <f>IF(NOT(ISBLANK(Audit[[#This Row],[Audit Candidate 3]])), Audit[[#This Row],[Audit Candidate 3]]-Audit[[#This Row],[Candidate 3]], "")</f>
        <v/>
      </c>
      <c r="AH224" s="18" t="str">
        <f>IF(NOT(ISBLANK(Audit[[#This Row],[Audit Candidate 4]])),Audit[[#This Row],[Audit Candidate 4]]-Audit[[#This Row],[Candidate 4]], "")</f>
        <v/>
      </c>
      <c r="AI224" s="18" t="str">
        <f>IF(NOT(ISBLANK(Audit[[#This Row],[Audit Candidate 5]])), Audit[[#This Row],[Audit Candidate 5]]-Audit[[#This Row],[Candidate 5]], "")</f>
        <v/>
      </c>
      <c r="AJ224" s="18" t="str">
        <f>IF(NOT(ISBLANK(Audit[[#This Row],[Audit Candidate 6]])), Audit[[#This Row],[Audit Candidate 6]]-Audit[[#This Row],[Candidate 6]], "")</f>
        <v/>
      </c>
      <c r="AK224" s="18" t="str">
        <f>IF(NOT(ISBLANK(Audit[[#This Row],[Audit Candidate 7]])), Audit[[#This Row],[Audit Candidate 7]]-Audit[[#This Row],[Candidate 7]], "")</f>
        <v/>
      </c>
      <c r="AL224" s="18" t="str">
        <f>IF(NOT(ISBLANK(Audit[[#This Row],[Audit Candidate 8]])), Audit[[#This Row],[Audit Candidate 8]]-Audit[[#This Row],[Candidate 8]], "")</f>
        <v/>
      </c>
      <c r="AM224" s="18" t="str">
        <f>IF(NOT(ISBLANK(Audit[[#This Row],[Audit Candidate 9]])), Audit[[#This Row],[Audit Candidate 9]]-Audit[[#This Row],[Candidate 9]], "")</f>
        <v/>
      </c>
      <c r="AN224" s="18" t="str">
        <f>IF(NOT(ISBLANK(Audit[[#This Row],[Audit Candidate 10]])), Audit[[#This Row],[Audit Candidate 10]]-Audit[[#This Row],[Candidate 10]], "")</f>
        <v/>
      </c>
      <c r="AO224" s="18" t="str">
        <f>IF(NOT(ISBLANK(Audit[[#This Row],[Audit Candidate 11]])), Audit[[#This Row],[Audit Candidate 11]]-Audit[[#This Row],[Candidate 11]], "")</f>
        <v/>
      </c>
      <c r="AP224" s="18" t="str">
        <f>IF(NOT(ISBLANK(Audit[[#This Row],[Audit Candidate 12]])), Audit[[#This Row],[Audit Candidate 12]]-Audit[[#This Row],[Candidate 12]], "")</f>
        <v/>
      </c>
      <c r="AQ224" s="18">
        <f>SUMIF(Audit[[#This Row],[Difference Winner]:[Difference Candidate 12]], "&gt;0")</f>
        <v>0</v>
      </c>
      <c r="AR224" s="18">
        <f>SUM(Audit[[#This Row],[Difference Winner]:[Difference Candidate 12]])</f>
        <v>0</v>
      </c>
      <c r="AS224" s="18">
        <f>IF(Audit[[#This Row],[Times p Drawn - With Replacement]]&gt;0, IF(Audit[[#This Row],[Canceled Differences]]&lt;0, Audit[[#This Row],[Max Differences]]+ABS(Audit[[#This Row],[Canceled Differences]]), Audit[[#This Row],[Max Differences]]), 0)</f>
        <v>0</v>
      </c>
      <c r="AT224" s="18">
        <f>'Sampling Data'!AB224</f>
        <v>6.2819989320601809E-5</v>
      </c>
      <c r="AU224" s="18">
        <f>IF(
      SUM(Audit[[#This Row],[Audit Losing Candidate]:[Audit Candidate 12]])
      &lt;&gt;0,
      (Audit[[#This Row],[Winning Candidate]]-Audit[[#This Row],[Losing Candidate]]-(Audit[[#This Row],[Audit Winning Candidate]]-Audit[[#This Row],[Audit Losing Candidate]]))/(Audit[[#Totals],[Winning Candidate]]-Audit[[#Totals],[Losing Candidate]]),
      0
)</f>
        <v>0</v>
      </c>
      <c r="AV2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8">
        <f>IF(Audit[[#This Row],[Max Relative Error (ep)]] = 0, 0, Audit[[#This Row],[Max Relative Error (ep)]]/Audit[[#This Row],[Error Bound (up) - Max. possible relative overstatement]])</f>
        <v>0</v>
      </c>
      <c r="BH2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4" s="18">
        <f t="shared" si="4"/>
        <v>1</v>
      </c>
      <c r="BJ224" s="18">
        <f>PRODUCT($BI$5:BI224)</f>
        <v>0.57146126097022543</v>
      </c>
      <c r="BK224" s="20">
        <f>1 - Audit[[#This Row],[K-M P Value]]</f>
        <v>0.42853873902977457</v>
      </c>
      <c r="BL224" s="18" t="str">
        <f>IF(Audit[[#This Row],[K-M P Value]]&gt;1-'General Info'!$B$12,"Continue", "Stop")</f>
        <v>Continue</v>
      </c>
      <c r="BM224" s="23" t="b">
        <f>IF(Audit[[#This Row],[Status - Continue or stop audit]] = "Continue", TRUE, IF(BL223 = "Continue", TRUE, FALSE))</f>
        <v>1</v>
      </c>
      <c r="BN224" s="23"/>
    </row>
    <row r="225" spans="1:66" ht="15" hidden="1" customHeight="1" x14ac:dyDescent="0.35">
      <c r="A225" s="18" t="str">
        <f>'Sampling Data'!AI225</f>
        <v/>
      </c>
      <c r="B225" s="18" t="str">
        <f>'Sampling Data'!A225</f>
        <v>3212 FR PK L   (AV)</v>
      </c>
      <c r="C225" s="18">
        <f>'Sampling Data'!B225</f>
        <v>4</v>
      </c>
      <c r="D225" s="18">
        <f>'Sampling Data'!C225</f>
        <v>1</v>
      </c>
      <c r="E225" s="19">
        <f>'Sampling Data'!D225</f>
        <v>0</v>
      </c>
      <c r="F225" s="19">
        <f>'Sampling Data'!E225</f>
        <v>0</v>
      </c>
      <c r="G225" s="19">
        <f>'Sampling Data'!F225</f>
        <v>0</v>
      </c>
      <c r="H225" s="19">
        <f>'Sampling Data'!G225</f>
        <v>0</v>
      </c>
      <c r="I225" s="19">
        <f>'Sampling Data'!H225</f>
        <v>0</v>
      </c>
      <c r="J225" s="19">
        <f>'Sampling Data'!I225</f>
        <v>0</v>
      </c>
      <c r="K225" s="19">
        <f>'Sampling Data'!J225</f>
        <v>0</v>
      </c>
      <c r="L225" s="19">
        <f>'Sampling Data'!K225</f>
        <v>0</v>
      </c>
      <c r="M225" s="19">
        <f>'Sampling Data'!L225</f>
        <v>0</v>
      </c>
      <c r="N225" s="19">
        <f>'Sampling Data'!M225</f>
        <v>0</v>
      </c>
      <c r="O225" s="18">
        <f>'Sampling Data'!N225</f>
        <v>0</v>
      </c>
      <c r="P225" s="18">
        <f>'Sampling Data'!O225</f>
        <v>0</v>
      </c>
      <c r="Q225" s="18">
        <f>'Sampling Data'!P225</f>
        <v>5</v>
      </c>
      <c r="R225" s="18">
        <f>'Sampling Data'!AJ225</f>
        <v>0</v>
      </c>
      <c r="S225" s="112"/>
      <c r="T225" s="112"/>
      <c r="U225" s="113"/>
      <c r="V225" s="113"/>
      <c r="W225" s="112"/>
      <c r="X225" s="112"/>
      <c r="Y225" s="112"/>
      <c r="Z225" s="112"/>
      <c r="AA225" s="15"/>
      <c r="AB225" s="15"/>
      <c r="AC225" s="15"/>
      <c r="AD225" s="15"/>
      <c r="AE225" s="114" t="str">
        <f>IF(NOT(ISBLANK(Audit[[#This Row],[Audit Winning Candidate]])), Audit[[#This Row],[Audit Winning Candidate]]-Audit[[#This Row],[Winning Candidate]], "")</f>
        <v/>
      </c>
      <c r="AF225" s="18" t="str">
        <f>IF(NOT(ISBLANK(Audit[[#This Row],[Audit Losing Candidate]])), Audit[[#This Row],[Audit Losing Candidate]]-Audit[[#This Row],[Losing Candidate]], "")</f>
        <v/>
      </c>
      <c r="AG225" s="18" t="str">
        <f>IF(NOT(ISBLANK(Audit[[#This Row],[Audit Candidate 3]])), Audit[[#This Row],[Audit Candidate 3]]-Audit[[#This Row],[Candidate 3]], "")</f>
        <v/>
      </c>
      <c r="AH225" s="18" t="str">
        <f>IF(NOT(ISBLANK(Audit[[#This Row],[Audit Candidate 4]])),Audit[[#This Row],[Audit Candidate 4]]-Audit[[#This Row],[Candidate 4]], "")</f>
        <v/>
      </c>
      <c r="AI225" s="18" t="str">
        <f>IF(NOT(ISBLANK(Audit[[#This Row],[Audit Candidate 5]])), Audit[[#This Row],[Audit Candidate 5]]-Audit[[#This Row],[Candidate 5]], "")</f>
        <v/>
      </c>
      <c r="AJ225" s="18" t="str">
        <f>IF(NOT(ISBLANK(Audit[[#This Row],[Audit Candidate 6]])), Audit[[#This Row],[Audit Candidate 6]]-Audit[[#This Row],[Candidate 6]], "")</f>
        <v/>
      </c>
      <c r="AK225" s="18" t="str">
        <f>IF(NOT(ISBLANK(Audit[[#This Row],[Audit Candidate 7]])), Audit[[#This Row],[Audit Candidate 7]]-Audit[[#This Row],[Candidate 7]], "")</f>
        <v/>
      </c>
      <c r="AL225" s="18" t="str">
        <f>IF(NOT(ISBLANK(Audit[[#This Row],[Audit Candidate 8]])), Audit[[#This Row],[Audit Candidate 8]]-Audit[[#This Row],[Candidate 8]], "")</f>
        <v/>
      </c>
      <c r="AM225" s="18" t="str">
        <f>IF(NOT(ISBLANK(Audit[[#This Row],[Audit Candidate 9]])), Audit[[#This Row],[Audit Candidate 9]]-Audit[[#This Row],[Candidate 9]], "")</f>
        <v/>
      </c>
      <c r="AN225" s="18" t="str">
        <f>IF(NOT(ISBLANK(Audit[[#This Row],[Audit Candidate 10]])), Audit[[#This Row],[Audit Candidate 10]]-Audit[[#This Row],[Candidate 10]], "")</f>
        <v/>
      </c>
      <c r="AO225" s="18" t="str">
        <f>IF(NOT(ISBLANK(Audit[[#This Row],[Audit Candidate 11]])), Audit[[#This Row],[Audit Candidate 11]]-Audit[[#This Row],[Candidate 11]], "")</f>
        <v/>
      </c>
      <c r="AP225" s="18" t="str">
        <f>IF(NOT(ISBLANK(Audit[[#This Row],[Audit Candidate 12]])), Audit[[#This Row],[Audit Candidate 12]]-Audit[[#This Row],[Candidate 12]], "")</f>
        <v/>
      </c>
      <c r="AQ225" s="18">
        <f>SUMIF(Audit[[#This Row],[Difference Winner]:[Difference Candidate 12]], "&gt;0")</f>
        <v>0</v>
      </c>
      <c r="AR225" s="18">
        <f>SUM(Audit[[#This Row],[Difference Winner]:[Difference Candidate 12]])</f>
        <v>0</v>
      </c>
      <c r="AS225" s="18">
        <f>IF(Audit[[#This Row],[Times p Drawn - With Replacement]]&gt;0, IF(Audit[[#This Row],[Canceled Differences]]&lt;0, Audit[[#This Row],[Max Differences]]+ABS(Audit[[#This Row],[Canceled Differences]]), Audit[[#This Row],[Max Differences]]), 0)</f>
        <v>0</v>
      </c>
      <c r="AT225" s="18">
        <f>'Sampling Data'!AB225</f>
        <v>2.5127995728240724E-4</v>
      </c>
      <c r="AU225" s="18">
        <f>IF(
      SUM(Audit[[#This Row],[Audit Losing Candidate]:[Audit Candidate 12]])
      &lt;&gt;0,
      (Audit[[#This Row],[Winning Candidate]]-Audit[[#This Row],[Losing Candidate]]-(Audit[[#This Row],[Audit Winning Candidate]]-Audit[[#This Row],[Audit Losing Candidate]]))/(Audit[[#Totals],[Winning Candidate]]-Audit[[#Totals],[Losing Candidate]]),
      0
)</f>
        <v>0</v>
      </c>
      <c r="AV2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8">
        <f>IF(Audit[[#This Row],[Max Relative Error (ep)]] = 0, 0, Audit[[#This Row],[Max Relative Error (ep)]]/Audit[[#This Row],[Error Bound (up) - Max. possible relative overstatement]])</f>
        <v>0</v>
      </c>
      <c r="BH2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5" s="18">
        <f t="shared" si="4"/>
        <v>1</v>
      </c>
      <c r="BJ225" s="18">
        <f>PRODUCT($BI$5:BI225)</f>
        <v>0.57146126097022543</v>
      </c>
      <c r="BK225" s="20">
        <f>1 - Audit[[#This Row],[K-M P Value]]</f>
        <v>0.42853873902977457</v>
      </c>
      <c r="BL225" s="18" t="str">
        <f>IF(Audit[[#This Row],[K-M P Value]]&gt;1-'General Info'!$B$12,"Continue", "Stop")</f>
        <v>Continue</v>
      </c>
      <c r="BM225" s="23" t="b">
        <f>IF(Audit[[#This Row],[Status - Continue or stop audit]] = "Continue", TRUE, IF(BL224 = "Continue", TRUE, FALSE))</f>
        <v>1</v>
      </c>
      <c r="BN225" s="23"/>
    </row>
    <row r="226" spans="1:66" ht="15" hidden="1" customHeight="1" x14ac:dyDescent="0.35">
      <c r="A226" s="18" t="str">
        <f>'Sampling Data'!AI226</f>
        <v/>
      </c>
      <c r="B226" s="18" t="str">
        <f>'Sampling Data'!A226</f>
        <v>3213 FR PK M   (AV)</v>
      </c>
      <c r="C226" s="18">
        <f>'Sampling Data'!B226</f>
        <v>5</v>
      </c>
      <c r="D226" s="18">
        <f>'Sampling Data'!C226</f>
        <v>0</v>
      </c>
      <c r="E226" s="19">
        <f>'Sampling Data'!D226</f>
        <v>0</v>
      </c>
      <c r="F226" s="19">
        <f>'Sampling Data'!E226</f>
        <v>0</v>
      </c>
      <c r="G226" s="19">
        <f>'Sampling Data'!F226</f>
        <v>0</v>
      </c>
      <c r="H226" s="19">
        <f>'Sampling Data'!G226</f>
        <v>0</v>
      </c>
      <c r="I226" s="19">
        <f>'Sampling Data'!H226</f>
        <v>0</v>
      </c>
      <c r="J226" s="19">
        <f>'Sampling Data'!I226</f>
        <v>0</v>
      </c>
      <c r="K226" s="19">
        <f>'Sampling Data'!J226</f>
        <v>0</v>
      </c>
      <c r="L226" s="19">
        <f>'Sampling Data'!K226</f>
        <v>0</v>
      </c>
      <c r="M226" s="19">
        <f>'Sampling Data'!L226</f>
        <v>0</v>
      </c>
      <c r="N226" s="19">
        <f>'Sampling Data'!M226</f>
        <v>0</v>
      </c>
      <c r="O226" s="18">
        <f>'Sampling Data'!N226</f>
        <v>0</v>
      </c>
      <c r="P226" s="18">
        <f>'Sampling Data'!O226</f>
        <v>0</v>
      </c>
      <c r="Q226" s="18">
        <f>'Sampling Data'!P226</f>
        <v>5</v>
      </c>
      <c r="R226" s="18">
        <f>'Sampling Data'!AJ226</f>
        <v>0</v>
      </c>
      <c r="S226" s="112"/>
      <c r="T226" s="112"/>
      <c r="U226" s="113"/>
      <c r="V226" s="113"/>
      <c r="W226" s="112"/>
      <c r="X226" s="112"/>
      <c r="Y226" s="112"/>
      <c r="Z226" s="112"/>
      <c r="AA226" s="15"/>
      <c r="AB226" s="15"/>
      <c r="AC226" s="15"/>
      <c r="AD226" s="15"/>
      <c r="AE226" s="114" t="str">
        <f>IF(NOT(ISBLANK(Audit[[#This Row],[Audit Winning Candidate]])), Audit[[#This Row],[Audit Winning Candidate]]-Audit[[#This Row],[Winning Candidate]], "")</f>
        <v/>
      </c>
      <c r="AF226" s="18" t="str">
        <f>IF(NOT(ISBLANK(Audit[[#This Row],[Audit Losing Candidate]])), Audit[[#This Row],[Audit Losing Candidate]]-Audit[[#This Row],[Losing Candidate]], "")</f>
        <v/>
      </c>
      <c r="AG226" s="18" t="str">
        <f>IF(NOT(ISBLANK(Audit[[#This Row],[Audit Candidate 3]])), Audit[[#This Row],[Audit Candidate 3]]-Audit[[#This Row],[Candidate 3]], "")</f>
        <v/>
      </c>
      <c r="AH226" s="18" t="str">
        <f>IF(NOT(ISBLANK(Audit[[#This Row],[Audit Candidate 4]])),Audit[[#This Row],[Audit Candidate 4]]-Audit[[#This Row],[Candidate 4]], "")</f>
        <v/>
      </c>
      <c r="AI226" s="18" t="str">
        <f>IF(NOT(ISBLANK(Audit[[#This Row],[Audit Candidate 5]])), Audit[[#This Row],[Audit Candidate 5]]-Audit[[#This Row],[Candidate 5]], "")</f>
        <v/>
      </c>
      <c r="AJ226" s="18" t="str">
        <f>IF(NOT(ISBLANK(Audit[[#This Row],[Audit Candidate 6]])), Audit[[#This Row],[Audit Candidate 6]]-Audit[[#This Row],[Candidate 6]], "")</f>
        <v/>
      </c>
      <c r="AK226" s="18" t="str">
        <f>IF(NOT(ISBLANK(Audit[[#This Row],[Audit Candidate 7]])), Audit[[#This Row],[Audit Candidate 7]]-Audit[[#This Row],[Candidate 7]], "")</f>
        <v/>
      </c>
      <c r="AL226" s="18" t="str">
        <f>IF(NOT(ISBLANK(Audit[[#This Row],[Audit Candidate 8]])), Audit[[#This Row],[Audit Candidate 8]]-Audit[[#This Row],[Candidate 8]], "")</f>
        <v/>
      </c>
      <c r="AM226" s="18" t="str">
        <f>IF(NOT(ISBLANK(Audit[[#This Row],[Audit Candidate 9]])), Audit[[#This Row],[Audit Candidate 9]]-Audit[[#This Row],[Candidate 9]], "")</f>
        <v/>
      </c>
      <c r="AN226" s="18" t="str">
        <f>IF(NOT(ISBLANK(Audit[[#This Row],[Audit Candidate 10]])), Audit[[#This Row],[Audit Candidate 10]]-Audit[[#This Row],[Candidate 10]], "")</f>
        <v/>
      </c>
      <c r="AO226" s="18" t="str">
        <f>IF(NOT(ISBLANK(Audit[[#This Row],[Audit Candidate 11]])), Audit[[#This Row],[Audit Candidate 11]]-Audit[[#This Row],[Candidate 11]], "")</f>
        <v/>
      </c>
      <c r="AP226" s="18" t="str">
        <f>IF(NOT(ISBLANK(Audit[[#This Row],[Audit Candidate 12]])), Audit[[#This Row],[Audit Candidate 12]]-Audit[[#This Row],[Candidate 12]], "")</f>
        <v/>
      </c>
      <c r="AQ226" s="18">
        <f>SUMIF(Audit[[#This Row],[Difference Winner]:[Difference Candidate 12]], "&gt;0")</f>
        <v>0</v>
      </c>
      <c r="AR226" s="18">
        <f>SUM(Audit[[#This Row],[Difference Winner]:[Difference Candidate 12]])</f>
        <v>0</v>
      </c>
      <c r="AS226" s="18">
        <f>IF(Audit[[#This Row],[Times p Drawn - With Replacement]]&gt;0, IF(Audit[[#This Row],[Canceled Differences]]&lt;0, Audit[[#This Row],[Max Differences]]+ABS(Audit[[#This Row],[Canceled Differences]]), Audit[[#This Row],[Max Differences]]), 0)</f>
        <v>0</v>
      </c>
      <c r="AT226" s="18">
        <f>'Sampling Data'!AB226</f>
        <v>3.1409994660300906E-4</v>
      </c>
      <c r="AU226" s="18">
        <f>IF(
      SUM(Audit[[#This Row],[Audit Losing Candidate]:[Audit Candidate 12]])
      &lt;&gt;0,
      (Audit[[#This Row],[Winning Candidate]]-Audit[[#This Row],[Losing Candidate]]-(Audit[[#This Row],[Audit Winning Candidate]]-Audit[[#This Row],[Audit Losing Candidate]]))/(Audit[[#Totals],[Winning Candidate]]-Audit[[#Totals],[Losing Candidate]]),
      0
)</f>
        <v>0</v>
      </c>
      <c r="AV2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8">
        <f>IF(Audit[[#This Row],[Max Relative Error (ep)]] = 0, 0, Audit[[#This Row],[Max Relative Error (ep)]]/Audit[[#This Row],[Error Bound (up) - Max. possible relative overstatement]])</f>
        <v>0</v>
      </c>
      <c r="BH2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6" s="18">
        <f t="shared" si="4"/>
        <v>1</v>
      </c>
      <c r="BJ226" s="18">
        <f>PRODUCT($BI$5:BI226)</f>
        <v>0.57146126097022543</v>
      </c>
      <c r="BK226" s="20">
        <f>1 - Audit[[#This Row],[K-M P Value]]</f>
        <v>0.42853873902977457</v>
      </c>
      <c r="BL226" s="18" t="str">
        <f>IF(Audit[[#This Row],[K-M P Value]]&gt;1-'General Info'!$B$12,"Continue", "Stop")</f>
        <v>Continue</v>
      </c>
      <c r="BM226" s="23" t="b">
        <f>IF(Audit[[#This Row],[Status - Continue or stop audit]] = "Continue", TRUE, IF(BL225 = "Continue", TRUE, FALSE))</f>
        <v>1</v>
      </c>
      <c r="BN226" s="23"/>
    </row>
    <row r="227" spans="1:66" ht="15" hidden="1" customHeight="1" x14ac:dyDescent="0.35">
      <c r="A227" s="18" t="str">
        <f>'Sampling Data'!AI227</f>
        <v/>
      </c>
      <c r="B227" s="18" t="str">
        <f>'Sampling Data'!A227</f>
        <v>3401 HARR A   (AV)</v>
      </c>
      <c r="C227" s="18">
        <f>'Sampling Data'!B227</f>
        <v>17</v>
      </c>
      <c r="D227" s="18">
        <f>'Sampling Data'!C227</f>
        <v>1</v>
      </c>
      <c r="E227" s="19">
        <f>'Sampling Data'!D227</f>
        <v>0</v>
      </c>
      <c r="F227" s="19">
        <f>'Sampling Data'!E227</f>
        <v>0</v>
      </c>
      <c r="G227" s="19">
        <f>'Sampling Data'!F227</f>
        <v>0</v>
      </c>
      <c r="H227" s="19">
        <f>'Sampling Data'!G227</f>
        <v>0</v>
      </c>
      <c r="I227" s="19">
        <f>'Sampling Data'!H227</f>
        <v>0</v>
      </c>
      <c r="J227" s="19">
        <f>'Sampling Data'!I227</f>
        <v>0</v>
      </c>
      <c r="K227" s="19">
        <f>'Sampling Data'!J227</f>
        <v>0</v>
      </c>
      <c r="L227" s="19">
        <f>'Sampling Data'!K227</f>
        <v>0</v>
      </c>
      <c r="M227" s="19">
        <f>'Sampling Data'!L227</f>
        <v>0</v>
      </c>
      <c r="N227" s="19">
        <f>'Sampling Data'!M227</f>
        <v>0</v>
      </c>
      <c r="O227" s="18">
        <f>'Sampling Data'!N227</f>
        <v>0</v>
      </c>
      <c r="P227" s="18">
        <f>'Sampling Data'!O227</f>
        <v>2</v>
      </c>
      <c r="Q227" s="18">
        <f>'Sampling Data'!P227</f>
        <v>20</v>
      </c>
      <c r="R227" s="18">
        <f>'Sampling Data'!AJ227</f>
        <v>0</v>
      </c>
      <c r="S227" s="112"/>
      <c r="T227" s="112"/>
      <c r="U227" s="113"/>
      <c r="V227" s="113"/>
      <c r="W227" s="112"/>
      <c r="X227" s="112"/>
      <c r="Y227" s="112"/>
      <c r="Z227" s="112"/>
      <c r="AA227" s="15"/>
      <c r="AB227" s="15"/>
      <c r="AC227" s="15"/>
      <c r="AD227" s="15"/>
      <c r="AE227" s="114" t="str">
        <f>IF(NOT(ISBLANK(Audit[[#This Row],[Audit Winning Candidate]])), Audit[[#This Row],[Audit Winning Candidate]]-Audit[[#This Row],[Winning Candidate]], "")</f>
        <v/>
      </c>
      <c r="AF227" s="18" t="str">
        <f>IF(NOT(ISBLANK(Audit[[#This Row],[Audit Losing Candidate]])), Audit[[#This Row],[Audit Losing Candidate]]-Audit[[#This Row],[Losing Candidate]], "")</f>
        <v/>
      </c>
      <c r="AG227" s="18" t="str">
        <f>IF(NOT(ISBLANK(Audit[[#This Row],[Audit Candidate 3]])), Audit[[#This Row],[Audit Candidate 3]]-Audit[[#This Row],[Candidate 3]], "")</f>
        <v/>
      </c>
      <c r="AH227" s="18" t="str">
        <f>IF(NOT(ISBLANK(Audit[[#This Row],[Audit Candidate 4]])),Audit[[#This Row],[Audit Candidate 4]]-Audit[[#This Row],[Candidate 4]], "")</f>
        <v/>
      </c>
      <c r="AI227" s="18" t="str">
        <f>IF(NOT(ISBLANK(Audit[[#This Row],[Audit Candidate 5]])), Audit[[#This Row],[Audit Candidate 5]]-Audit[[#This Row],[Candidate 5]], "")</f>
        <v/>
      </c>
      <c r="AJ227" s="18" t="str">
        <f>IF(NOT(ISBLANK(Audit[[#This Row],[Audit Candidate 6]])), Audit[[#This Row],[Audit Candidate 6]]-Audit[[#This Row],[Candidate 6]], "")</f>
        <v/>
      </c>
      <c r="AK227" s="18" t="str">
        <f>IF(NOT(ISBLANK(Audit[[#This Row],[Audit Candidate 7]])), Audit[[#This Row],[Audit Candidate 7]]-Audit[[#This Row],[Candidate 7]], "")</f>
        <v/>
      </c>
      <c r="AL227" s="18" t="str">
        <f>IF(NOT(ISBLANK(Audit[[#This Row],[Audit Candidate 8]])), Audit[[#This Row],[Audit Candidate 8]]-Audit[[#This Row],[Candidate 8]], "")</f>
        <v/>
      </c>
      <c r="AM227" s="18" t="str">
        <f>IF(NOT(ISBLANK(Audit[[#This Row],[Audit Candidate 9]])), Audit[[#This Row],[Audit Candidate 9]]-Audit[[#This Row],[Candidate 9]], "")</f>
        <v/>
      </c>
      <c r="AN227" s="18" t="str">
        <f>IF(NOT(ISBLANK(Audit[[#This Row],[Audit Candidate 10]])), Audit[[#This Row],[Audit Candidate 10]]-Audit[[#This Row],[Candidate 10]], "")</f>
        <v/>
      </c>
      <c r="AO227" s="18" t="str">
        <f>IF(NOT(ISBLANK(Audit[[#This Row],[Audit Candidate 11]])), Audit[[#This Row],[Audit Candidate 11]]-Audit[[#This Row],[Candidate 11]], "")</f>
        <v/>
      </c>
      <c r="AP227" s="18" t="str">
        <f>IF(NOT(ISBLANK(Audit[[#This Row],[Audit Candidate 12]])), Audit[[#This Row],[Audit Candidate 12]]-Audit[[#This Row],[Candidate 12]], "")</f>
        <v/>
      </c>
      <c r="AQ227" s="18">
        <f>SUMIF(Audit[[#This Row],[Difference Winner]:[Difference Candidate 12]], "&gt;0")</f>
        <v>0</v>
      </c>
      <c r="AR227" s="18">
        <f>SUM(Audit[[#This Row],[Difference Winner]:[Difference Candidate 12]])</f>
        <v>0</v>
      </c>
      <c r="AS227" s="18">
        <f>IF(Audit[[#This Row],[Times p Drawn - With Replacement]]&gt;0, IF(Audit[[#This Row],[Canceled Differences]]&lt;0, Audit[[#This Row],[Max Differences]]+ABS(Audit[[#This Row],[Canceled Differences]]), Audit[[#This Row],[Max Differences]]), 0)</f>
        <v>0</v>
      </c>
      <c r="AT227" s="18">
        <f>'Sampling Data'!AB227</f>
        <v>1.1307598077708327E-3</v>
      </c>
      <c r="AU227" s="18">
        <f>IF(
      SUM(Audit[[#This Row],[Audit Losing Candidate]:[Audit Candidate 12]])
      &lt;&gt;0,
      (Audit[[#This Row],[Winning Candidate]]-Audit[[#This Row],[Losing Candidate]]-(Audit[[#This Row],[Audit Winning Candidate]]-Audit[[#This Row],[Audit Losing Candidate]]))/(Audit[[#Totals],[Winning Candidate]]-Audit[[#Totals],[Losing Candidate]]),
      0
)</f>
        <v>0</v>
      </c>
      <c r="AV2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8">
        <f>IF(Audit[[#This Row],[Max Relative Error (ep)]] = 0, 0, Audit[[#This Row],[Max Relative Error (ep)]]/Audit[[#This Row],[Error Bound (up) - Max. possible relative overstatement]])</f>
        <v>0</v>
      </c>
      <c r="BH2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7" s="18">
        <f t="shared" si="4"/>
        <v>1</v>
      </c>
      <c r="BJ227" s="18">
        <f>PRODUCT($BI$5:BI227)</f>
        <v>0.57146126097022543</v>
      </c>
      <c r="BK227" s="20">
        <f>1 - Audit[[#This Row],[K-M P Value]]</f>
        <v>0.42853873902977457</v>
      </c>
      <c r="BL227" s="18" t="str">
        <f>IF(Audit[[#This Row],[K-M P Value]]&gt;1-'General Info'!$B$12,"Continue", "Stop")</f>
        <v>Continue</v>
      </c>
      <c r="BM227" s="23" t="b">
        <f>IF(Audit[[#This Row],[Status - Continue or stop audit]] = "Continue", TRUE, IF(BL226 = "Continue", TRUE, FALSE))</f>
        <v>1</v>
      </c>
      <c r="BN227" s="23"/>
    </row>
    <row r="228" spans="1:66" ht="15" hidden="1" customHeight="1" x14ac:dyDescent="0.35">
      <c r="A228" s="18" t="str">
        <f>'Sampling Data'!AI228</f>
        <v/>
      </c>
      <c r="B228" s="18" t="str">
        <f>'Sampling Data'!A228</f>
        <v>3402 HARR B   (AV)</v>
      </c>
      <c r="C228" s="18">
        <f>'Sampling Data'!B228</f>
        <v>7</v>
      </c>
      <c r="D228" s="18">
        <f>'Sampling Data'!C228</f>
        <v>2</v>
      </c>
      <c r="E228" s="19">
        <f>'Sampling Data'!D228</f>
        <v>0</v>
      </c>
      <c r="F228" s="19">
        <f>'Sampling Data'!E228</f>
        <v>0</v>
      </c>
      <c r="G228" s="19">
        <f>'Sampling Data'!F228</f>
        <v>0</v>
      </c>
      <c r="H228" s="19">
        <f>'Sampling Data'!G228</f>
        <v>0</v>
      </c>
      <c r="I228" s="19">
        <f>'Sampling Data'!H228</f>
        <v>0</v>
      </c>
      <c r="J228" s="19">
        <f>'Sampling Data'!I228</f>
        <v>0</v>
      </c>
      <c r="K228" s="19">
        <f>'Sampling Data'!J228</f>
        <v>0</v>
      </c>
      <c r="L228" s="19">
        <f>'Sampling Data'!K228</f>
        <v>0</v>
      </c>
      <c r="M228" s="19">
        <f>'Sampling Data'!L228</f>
        <v>0</v>
      </c>
      <c r="N228" s="19">
        <f>'Sampling Data'!M228</f>
        <v>0</v>
      </c>
      <c r="O228" s="18">
        <f>'Sampling Data'!N228</f>
        <v>0</v>
      </c>
      <c r="P228" s="18">
        <f>'Sampling Data'!O228</f>
        <v>0</v>
      </c>
      <c r="Q228" s="18">
        <f>'Sampling Data'!P228</f>
        <v>9</v>
      </c>
      <c r="R228" s="18">
        <f>'Sampling Data'!AJ228</f>
        <v>0</v>
      </c>
      <c r="S228" s="112"/>
      <c r="T228" s="112"/>
      <c r="U228" s="113"/>
      <c r="V228" s="113"/>
      <c r="W228" s="112"/>
      <c r="X228" s="112"/>
      <c r="Y228" s="112"/>
      <c r="Z228" s="112"/>
      <c r="AA228" s="15"/>
      <c r="AB228" s="15"/>
      <c r="AC228" s="15"/>
      <c r="AD228" s="15"/>
      <c r="AE228" s="114" t="str">
        <f>IF(NOT(ISBLANK(Audit[[#This Row],[Audit Winning Candidate]])), Audit[[#This Row],[Audit Winning Candidate]]-Audit[[#This Row],[Winning Candidate]], "")</f>
        <v/>
      </c>
      <c r="AF228" s="18" t="str">
        <f>IF(NOT(ISBLANK(Audit[[#This Row],[Audit Losing Candidate]])), Audit[[#This Row],[Audit Losing Candidate]]-Audit[[#This Row],[Losing Candidate]], "")</f>
        <v/>
      </c>
      <c r="AG228" s="18" t="str">
        <f>IF(NOT(ISBLANK(Audit[[#This Row],[Audit Candidate 3]])), Audit[[#This Row],[Audit Candidate 3]]-Audit[[#This Row],[Candidate 3]], "")</f>
        <v/>
      </c>
      <c r="AH228" s="18" t="str">
        <f>IF(NOT(ISBLANK(Audit[[#This Row],[Audit Candidate 4]])),Audit[[#This Row],[Audit Candidate 4]]-Audit[[#This Row],[Candidate 4]], "")</f>
        <v/>
      </c>
      <c r="AI228" s="18" t="str">
        <f>IF(NOT(ISBLANK(Audit[[#This Row],[Audit Candidate 5]])), Audit[[#This Row],[Audit Candidate 5]]-Audit[[#This Row],[Candidate 5]], "")</f>
        <v/>
      </c>
      <c r="AJ228" s="18" t="str">
        <f>IF(NOT(ISBLANK(Audit[[#This Row],[Audit Candidate 6]])), Audit[[#This Row],[Audit Candidate 6]]-Audit[[#This Row],[Candidate 6]], "")</f>
        <v/>
      </c>
      <c r="AK228" s="18" t="str">
        <f>IF(NOT(ISBLANK(Audit[[#This Row],[Audit Candidate 7]])), Audit[[#This Row],[Audit Candidate 7]]-Audit[[#This Row],[Candidate 7]], "")</f>
        <v/>
      </c>
      <c r="AL228" s="18" t="str">
        <f>IF(NOT(ISBLANK(Audit[[#This Row],[Audit Candidate 8]])), Audit[[#This Row],[Audit Candidate 8]]-Audit[[#This Row],[Candidate 8]], "")</f>
        <v/>
      </c>
      <c r="AM228" s="18" t="str">
        <f>IF(NOT(ISBLANK(Audit[[#This Row],[Audit Candidate 9]])), Audit[[#This Row],[Audit Candidate 9]]-Audit[[#This Row],[Candidate 9]], "")</f>
        <v/>
      </c>
      <c r="AN228" s="18" t="str">
        <f>IF(NOT(ISBLANK(Audit[[#This Row],[Audit Candidate 10]])), Audit[[#This Row],[Audit Candidate 10]]-Audit[[#This Row],[Candidate 10]], "")</f>
        <v/>
      </c>
      <c r="AO228" s="18" t="str">
        <f>IF(NOT(ISBLANK(Audit[[#This Row],[Audit Candidate 11]])), Audit[[#This Row],[Audit Candidate 11]]-Audit[[#This Row],[Candidate 11]], "")</f>
        <v/>
      </c>
      <c r="AP228" s="18" t="str">
        <f>IF(NOT(ISBLANK(Audit[[#This Row],[Audit Candidate 12]])), Audit[[#This Row],[Audit Candidate 12]]-Audit[[#This Row],[Candidate 12]], "")</f>
        <v/>
      </c>
      <c r="AQ228" s="18">
        <f>SUMIF(Audit[[#This Row],[Difference Winner]:[Difference Candidate 12]], "&gt;0")</f>
        <v>0</v>
      </c>
      <c r="AR228" s="18">
        <f>SUM(Audit[[#This Row],[Difference Winner]:[Difference Candidate 12]])</f>
        <v>0</v>
      </c>
      <c r="AS228" s="18">
        <f>IF(Audit[[#This Row],[Times p Drawn - With Replacement]]&gt;0, IF(Audit[[#This Row],[Canceled Differences]]&lt;0, Audit[[#This Row],[Max Differences]]+ABS(Audit[[#This Row],[Canceled Differences]]), Audit[[#This Row],[Max Differences]]), 0)</f>
        <v>0</v>
      </c>
      <c r="AT228" s="18">
        <f>'Sampling Data'!AB228</f>
        <v>4.3973992524421271E-4</v>
      </c>
      <c r="AU228" s="18">
        <f>IF(
      SUM(Audit[[#This Row],[Audit Losing Candidate]:[Audit Candidate 12]])
      &lt;&gt;0,
      (Audit[[#This Row],[Winning Candidate]]-Audit[[#This Row],[Losing Candidate]]-(Audit[[#This Row],[Audit Winning Candidate]]-Audit[[#This Row],[Audit Losing Candidate]]))/(Audit[[#Totals],[Winning Candidate]]-Audit[[#Totals],[Losing Candidate]]),
      0
)</f>
        <v>0</v>
      </c>
      <c r="AV2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8">
        <f>IF(Audit[[#This Row],[Max Relative Error (ep)]] = 0, 0, Audit[[#This Row],[Max Relative Error (ep)]]/Audit[[#This Row],[Error Bound (up) - Max. possible relative overstatement]])</f>
        <v>0</v>
      </c>
      <c r="BH2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8" s="18">
        <f t="shared" si="4"/>
        <v>1</v>
      </c>
      <c r="BJ228" s="18">
        <f>PRODUCT($BI$5:BI228)</f>
        <v>0.57146126097022543</v>
      </c>
      <c r="BK228" s="20">
        <f>1 - Audit[[#This Row],[K-M P Value]]</f>
        <v>0.42853873902977457</v>
      </c>
      <c r="BL228" s="18" t="str">
        <f>IF(Audit[[#This Row],[K-M P Value]]&gt;1-'General Info'!$B$12,"Continue", "Stop")</f>
        <v>Continue</v>
      </c>
      <c r="BM228" s="23" t="b">
        <f>IF(Audit[[#This Row],[Status - Continue or stop audit]] = "Continue", TRUE, IF(BL227 = "Continue", TRUE, FALSE))</f>
        <v>1</v>
      </c>
      <c r="BN228" s="23"/>
    </row>
    <row r="229" spans="1:66" ht="15" hidden="1" customHeight="1" x14ac:dyDescent="0.35">
      <c r="A229" s="18" t="str">
        <f>'Sampling Data'!AI229</f>
        <v/>
      </c>
      <c r="B229" s="18" t="str">
        <f>'Sampling Data'!A229</f>
        <v>3403 HARR C   (AV)</v>
      </c>
      <c r="C229" s="18">
        <f>'Sampling Data'!B229</f>
        <v>23</v>
      </c>
      <c r="D229" s="18">
        <f>'Sampling Data'!C229</f>
        <v>5</v>
      </c>
      <c r="E229" s="19">
        <f>'Sampling Data'!D229</f>
        <v>0</v>
      </c>
      <c r="F229" s="19">
        <f>'Sampling Data'!E229</f>
        <v>0</v>
      </c>
      <c r="G229" s="19">
        <f>'Sampling Data'!F229</f>
        <v>0</v>
      </c>
      <c r="H229" s="19">
        <f>'Sampling Data'!G229</f>
        <v>0</v>
      </c>
      <c r="I229" s="19">
        <f>'Sampling Data'!H229</f>
        <v>0</v>
      </c>
      <c r="J229" s="19">
        <f>'Sampling Data'!I229</f>
        <v>0</v>
      </c>
      <c r="K229" s="19">
        <f>'Sampling Data'!J229</f>
        <v>0</v>
      </c>
      <c r="L229" s="19">
        <f>'Sampling Data'!K229</f>
        <v>0</v>
      </c>
      <c r="M229" s="19">
        <f>'Sampling Data'!L229</f>
        <v>0</v>
      </c>
      <c r="N229" s="19">
        <f>'Sampling Data'!M229</f>
        <v>0</v>
      </c>
      <c r="O229" s="18">
        <f>'Sampling Data'!N229</f>
        <v>0</v>
      </c>
      <c r="P229" s="18">
        <f>'Sampling Data'!O229</f>
        <v>1</v>
      </c>
      <c r="Q229" s="18">
        <f>'Sampling Data'!P229</f>
        <v>29</v>
      </c>
      <c r="R229" s="18">
        <f>'Sampling Data'!AJ229</f>
        <v>0</v>
      </c>
      <c r="S229" s="112"/>
      <c r="T229" s="112"/>
      <c r="U229" s="113"/>
      <c r="V229" s="113"/>
      <c r="W229" s="112"/>
      <c r="X229" s="112"/>
      <c r="Y229" s="112"/>
      <c r="Z229" s="112"/>
      <c r="AA229" s="15"/>
      <c r="AB229" s="15"/>
      <c r="AC229" s="15"/>
      <c r="AD229" s="15"/>
      <c r="AE229" s="114" t="str">
        <f>IF(NOT(ISBLANK(Audit[[#This Row],[Audit Winning Candidate]])), Audit[[#This Row],[Audit Winning Candidate]]-Audit[[#This Row],[Winning Candidate]], "")</f>
        <v/>
      </c>
      <c r="AF229" s="18" t="str">
        <f>IF(NOT(ISBLANK(Audit[[#This Row],[Audit Losing Candidate]])), Audit[[#This Row],[Audit Losing Candidate]]-Audit[[#This Row],[Losing Candidate]], "")</f>
        <v/>
      </c>
      <c r="AG229" s="18" t="str">
        <f>IF(NOT(ISBLANK(Audit[[#This Row],[Audit Candidate 3]])), Audit[[#This Row],[Audit Candidate 3]]-Audit[[#This Row],[Candidate 3]], "")</f>
        <v/>
      </c>
      <c r="AH229" s="18" t="str">
        <f>IF(NOT(ISBLANK(Audit[[#This Row],[Audit Candidate 4]])),Audit[[#This Row],[Audit Candidate 4]]-Audit[[#This Row],[Candidate 4]], "")</f>
        <v/>
      </c>
      <c r="AI229" s="18" t="str">
        <f>IF(NOT(ISBLANK(Audit[[#This Row],[Audit Candidate 5]])), Audit[[#This Row],[Audit Candidate 5]]-Audit[[#This Row],[Candidate 5]], "")</f>
        <v/>
      </c>
      <c r="AJ229" s="18" t="str">
        <f>IF(NOT(ISBLANK(Audit[[#This Row],[Audit Candidate 6]])), Audit[[#This Row],[Audit Candidate 6]]-Audit[[#This Row],[Candidate 6]], "")</f>
        <v/>
      </c>
      <c r="AK229" s="18" t="str">
        <f>IF(NOT(ISBLANK(Audit[[#This Row],[Audit Candidate 7]])), Audit[[#This Row],[Audit Candidate 7]]-Audit[[#This Row],[Candidate 7]], "")</f>
        <v/>
      </c>
      <c r="AL229" s="18" t="str">
        <f>IF(NOT(ISBLANK(Audit[[#This Row],[Audit Candidate 8]])), Audit[[#This Row],[Audit Candidate 8]]-Audit[[#This Row],[Candidate 8]], "")</f>
        <v/>
      </c>
      <c r="AM229" s="18" t="str">
        <f>IF(NOT(ISBLANK(Audit[[#This Row],[Audit Candidate 9]])), Audit[[#This Row],[Audit Candidate 9]]-Audit[[#This Row],[Candidate 9]], "")</f>
        <v/>
      </c>
      <c r="AN229" s="18" t="str">
        <f>IF(NOT(ISBLANK(Audit[[#This Row],[Audit Candidate 10]])), Audit[[#This Row],[Audit Candidate 10]]-Audit[[#This Row],[Candidate 10]], "")</f>
        <v/>
      </c>
      <c r="AO229" s="18" t="str">
        <f>IF(NOT(ISBLANK(Audit[[#This Row],[Audit Candidate 11]])), Audit[[#This Row],[Audit Candidate 11]]-Audit[[#This Row],[Candidate 11]], "")</f>
        <v/>
      </c>
      <c r="AP229" s="18" t="str">
        <f>IF(NOT(ISBLANK(Audit[[#This Row],[Audit Candidate 12]])), Audit[[#This Row],[Audit Candidate 12]]-Audit[[#This Row],[Candidate 12]], "")</f>
        <v/>
      </c>
      <c r="AQ229" s="18">
        <f>SUMIF(Audit[[#This Row],[Difference Winner]:[Difference Candidate 12]], "&gt;0")</f>
        <v>0</v>
      </c>
      <c r="AR229" s="18">
        <f>SUM(Audit[[#This Row],[Difference Winner]:[Difference Candidate 12]])</f>
        <v>0</v>
      </c>
      <c r="AS229" s="18">
        <f>IF(Audit[[#This Row],[Times p Drawn - With Replacement]]&gt;0, IF(Audit[[#This Row],[Canceled Differences]]&lt;0, Audit[[#This Row],[Max Differences]]+ABS(Audit[[#This Row],[Canceled Differences]]), Audit[[#This Row],[Max Differences]]), 0)</f>
        <v>0</v>
      </c>
      <c r="AT229" s="18">
        <f>'Sampling Data'!AB229</f>
        <v>1.4762697490341428E-3</v>
      </c>
      <c r="AU229" s="18">
        <f>IF(
      SUM(Audit[[#This Row],[Audit Losing Candidate]:[Audit Candidate 12]])
      &lt;&gt;0,
      (Audit[[#This Row],[Winning Candidate]]-Audit[[#This Row],[Losing Candidate]]-(Audit[[#This Row],[Audit Winning Candidate]]-Audit[[#This Row],[Audit Losing Candidate]]))/(Audit[[#Totals],[Winning Candidate]]-Audit[[#Totals],[Losing Candidate]]),
      0
)</f>
        <v>0</v>
      </c>
      <c r="AV2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8">
        <f>IF(Audit[[#This Row],[Max Relative Error (ep)]] = 0, 0, Audit[[#This Row],[Max Relative Error (ep)]]/Audit[[#This Row],[Error Bound (up) - Max. possible relative overstatement]])</f>
        <v>0</v>
      </c>
      <c r="BH2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29" s="18">
        <f t="shared" si="4"/>
        <v>1</v>
      </c>
      <c r="BJ229" s="18">
        <f>PRODUCT($BI$5:BI229)</f>
        <v>0.57146126097022543</v>
      </c>
      <c r="BK229" s="20">
        <f>1 - Audit[[#This Row],[K-M P Value]]</f>
        <v>0.42853873902977457</v>
      </c>
      <c r="BL229" s="18" t="str">
        <f>IF(Audit[[#This Row],[K-M P Value]]&gt;1-'General Info'!$B$12,"Continue", "Stop")</f>
        <v>Continue</v>
      </c>
      <c r="BM229" s="23" t="b">
        <f>IF(Audit[[#This Row],[Status - Continue or stop audit]] = "Continue", TRUE, IF(BL228 = "Continue", TRUE, FALSE))</f>
        <v>1</v>
      </c>
      <c r="BN229" s="23"/>
    </row>
    <row r="230" spans="1:66" ht="15" hidden="1" customHeight="1" x14ac:dyDescent="0.35">
      <c r="A230" s="18" t="str">
        <f>'Sampling Data'!AI230</f>
        <v/>
      </c>
      <c r="B230" s="18" t="str">
        <f>'Sampling Data'!A230</f>
        <v>3404 HARR D   (AV)</v>
      </c>
      <c r="C230" s="18">
        <f>'Sampling Data'!B230</f>
        <v>19</v>
      </c>
      <c r="D230" s="18">
        <f>'Sampling Data'!C230</f>
        <v>3</v>
      </c>
      <c r="E230" s="19">
        <f>'Sampling Data'!D230</f>
        <v>0</v>
      </c>
      <c r="F230" s="19">
        <f>'Sampling Data'!E230</f>
        <v>0</v>
      </c>
      <c r="G230" s="19">
        <f>'Sampling Data'!F230</f>
        <v>0</v>
      </c>
      <c r="H230" s="19">
        <f>'Sampling Data'!G230</f>
        <v>0</v>
      </c>
      <c r="I230" s="19">
        <f>'Sampling Data'!H230</f>
        <v>0</v>
      </c>
      <c r="J230" s="19">
        <f>'Sampling Data'!I230</f>
        <v>0</v>
      </c>
      <c r="K230" s="19">
        <f>'Sampling Data'!J230</f>
        <v>0</v>
      </c>
      <c r="L230" s="19">
        <f>'Sampling Data'!K230</f>
        <v>0</v>
      </c>
      <c r="M230" s="19">
        <f>'Sampling Data'!L230</f>
        <v>0</v>
      </c>
      <c r="N230" s="19">
        <f>'Sampling Data'!M230</f>
        <v>0</v>
      </c>
      <c r="O230" s="18">
        <f>'Sampling Data'!N230</f>
        <v>0</v>
      </c>
      <c r="P230" s="18">
        <f>'Sampling Data'!O230</f>
        <v>0</v>
      </c>
      <c r="Q230" s="18">
        <f>'Sampling Data'!P230</f>
        <v>22</v>
      </c>
      <c r="R230" s="18">
        <f>'Sampling Data'!AJ230</f>
        <v>0</v>
      </c>
      <c r="S230" s="112"/>
      <c r="T230" s="112"/>
      <c r="U230" s="113"/>
      <c r="V230" s="113"/>
      <c r="W230" s="112"/>
      <c r="X230" s="112"/>
      <c r="Y230" s="112"/>
      <c r="Z230" s="112"/>
      <c r="AA230" s="15"/>
      <c r="AB230" s="15"/>
      <c r="AC230" s="15"/>
      <c r="AD230" s="15"/>
      <c r="AE230" s="114" t="str">
        <f>IF(NOT(ISBLANK(Audit[[#This Row],[Audit Winning Candidate]])), Audit[[#This Row],[Audit Winning Candidate]]-Audit[[#This Row],[Winning Candidate]], "")</f>
        <v/>
      </c>
      <c r="AF230" s="18" t="str">
        <f>IF(NOT(ISBLANK(Audit[[#This Row],[Audit Losing Candidate]])), Audit[[#This Row],[Audit Losing Candidate]]-Audit[[#This Row],[Losing Candidate]], "")</f>
        <v/>
      </c>
      <c r="AG230" s="18" t="str">
        <f>IF(NOT(ISBLANK(Audit[[#This Row],[Audit Candidate 3]])), Audit[[#This Row],[Audit Candidate 3]]-Audit[[#This Row],[Candidate 3]], "")</f>
        <v/>
      </c>
      <c r="AH230" s="18" t="str">
        <f>IF(NOT(ISBLANK(Audit[[#This Row],[Audit Candidate 4]])),Audit[[#This Row],[Audit Candidate 4]]-Audit[[#This Row],[Candidate 4]], "")</f>
        <v/>
      </c>
      <c r="AI230" s="18" t="str">
        <f>IF(NOT(ISBLANK(Audit[[#This Row],[Audit Candidate 5]])), Audit[[#This Row],[Audit Candidate 5]]-Audit[[#This Row],[Candidate 5]], "")</f>
        <v/>
      </c>
      <c r="AJ230" s="18" t="str">
        <f>IF(NOT(ISBLANK(Audit[[#This Row],[Audit Candidate 6]])), Audit[[#This Row],[Audit Candidate 6]]-Audit[[#This Row],[Candidate 6]], "")</f>
        <v/>
      </c>
      <c r="AK230" s="18" t="str">
        <f>IF(NOT(ISBLANK(Audit[[#This Row],[Audit Candidate 7]])), Audit[[#This Row],[Audit Candidate 7]]-Audit[[#This Row],[Candidate 7]], "")</f>
        <v/>
      </c>
      <c r="AL230" s="18" t="str">
        <f>IF(NOT(ISBLANK(Audit[[#This Row],[Audit Candidate 8]])), Audit[[#This Row],[Audit Candidate 8]]-Audit[[#This Row],[Candidate 8]], "")</f>
        <v/>
      </c>
      <c r="AM230" s="18" t="str">
        <f>IF(NOT(ISBLANK(Audit[[#This Row],[Audit Candidate 9]])), Audit[[#This Row],[Audit Candidate 9]]-Audit[[#This Row],[Candidate 9]], "")</f>
        <v/>
      </c>
      <c r="AN230" s="18" t="str">
        <f>IF(NOT(ISBLANK(Audit[[#This Row],[Audit Candidate 10]])), Audit[[#This Row],[Audit Candidate 10]]-Audit[[#This Row],[Candidate 10]], "")</f>
        <v/>
      </c>
      <c r="AO230" s="18" t="str">
        <f>IF(NOT(ISBLANK(Audit[[#This Row],[Audit Candidate 11]])), Audit[[#This Row],[Audit Candidate 11]]-Audit[[#This Row],[Candidate 11]], "")</f>
        <v/>
      </c>
      <c r="AP230" s="18" t="str">
        <f>IF(NOT(ISBLANK(Audit[[#This Row],[Audit Candidate 12]])), Audit[[#This Row],[Audit Candidate 12]]-Audit[[#This Row],[Candidate 12]], "")</f>
        <v/>
      </c>
      <c r="AQ230" s="18">
        <f>SUMIF(Audit[[#This Row],[Difference Winner]:[Difference Candidate 12]], "&gt;0")</f>
        <v>0</v>
      </c>
      <c r="AR230" s="18">
        <f>SUM(Audit[[#This Row],[Difference Winner]:[Difference Candidate 12]])</f>
        <v>0</v>
      </c>
      <c r="AS230" s="18">
        <f>IF(Audit[[#This Row],[Times p Drawn - With Replacement]]&gt;0, IF(Audit[[#This Row],[Canceled Differences]]&lt;0, Audit[[#This Row],[Max Differences]]+ABS(Audit[[#This Row],[Canceled Differences]]), Audit[[#This Row],[Max Differences]]), 0)</f>
        <v>0</v>
      </c>
      <c r="AT230" s="18">
        <f>'Sampling Data'!AB230</f>
        <v>1.1935797970914345E-3</v>
      </c>
      <c r="AU230" s="18">
        <f>IF(
      SUM(Audit[[#This Row],[Audit Losing Candidate]:[Audit Candidate 12]])
      &lt;&gt;0,
      (Audit[[#This Row],[Winning Candidate]]-Audit[[#This Row],[Losing Candidate]]-(Audit[[#This Row],[Audit Winning Candidate]]-Audit[[#This Row],[Audit Losing Candidate]]))/(Audit[[#Totals],[Winning Candidate]]-Audit[[#Totals],[Losing Candidate]]),
      0
)</f>
        <v>0</v>
      </c>
      <c r="AV2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8">
        <f>IF(Audit[[#This Row],[Max Relative Error (ep)]] = 0, 0, Audit[[#This Row],[Max Relative Error (ep)]]/Audit[[#This Row],[Error Bound (up) - Max. possible relative overstatement]])</f>
        <v>0</v>
      </c>
      <c r="BH2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0" s="18">
        <f t="shared" si="4"/>
        <v>1</v>
      </c>
      <c r="BJ230" s="18">
        <f>PRODUCT($BI$5:BI230)</f>
        <v>0.57146126097022543</v>
      </c>
      <c r="BK230" s="20">
        <f>1 - Audit[[#This Row],[K-M P Value]]</f>
        <v>0.42853873902977457</v>
      </c>
      <c r="BL230" s="18" t="str">
        <f>IF(Audit[[#This Row],[K-M P Value]]&gt;1-'General Info'!$B$12,"Continue", "Stop")</f>
        <v>Continue</v>
      </c>
      <c r="BM230" s="23" t="b">
        <f>IF(Audit[[#This Row],[Status - Continue or stop audit]] = "Continue", TRUE, IF(BL229 = "Continue", TRUE, FALSE))</f>
        <v>1</v>
      </c>
      <c r="BN230" s="23"/>
    </row>
    <row r="231" spans="1:66" ht="15" hidden="1" customHeight="1" x14ac:dyDescent="0.35">
      <c r="A231" s="18" t="str">
        <f>'Sampling Data'!AI231</f>
        <v/>
      </c>
      <c r="B231" s="18" t="str">
        <f>'Sampling Data'!A231</f>
        <v>3405 HARR E   (AV)</v>
      </c>
      <c r="C231" s="18">
        <f>'Sampling Data'!B231</f>
        <v>17</v>
      </c>
      <c r="D231" s="18">
        <f>'Sampling Data'!C231</f>
        <v>1</v>
      </c>
      <c r="E231" s="19">
        <f>'Sampling Data'!D231</f>
        <v>0</v>
      </c>
      <c r="F231" s="19">
        <f>'Sampling Data'!E231</f>
        <v>0</v>
      </c>
      <c r="G231" s="19">
        <f>'Sampling Data'!F231</f>
        <v>0</v>
      </c>
      <c r="H231" s="19">
        <f>'Sampling Data'!G231</f>
        <v>0</v>
      </c>
      <c r="I231" s="19">
        <f>'Sampling Data'!H231</f>
        <v>0</v>
      </c>
      <c r="J231" s="19">
        <f>'Sampling Data'!I231</f>
        <v>0</v>
      </c>
      <c r="K231" s="19">
        <f>'Sampling Data'!J231</f>
        <v>0</v>
      </c>
      <c r="L231" s="19">
        <f>'Sampling Data'!K231</f>
        <v>0</v>
      </c>
      <c r="M231" s="19">
        <f>'Sampling Data'!L231</f>
        <v>0</v>
      </c>
      <c r="N231" s="19">
        <f>'Sampling Data'!M231</f>
        <v>0</v>
      </c>
      <c r="O231" s="18">
        <f>'Sampling Data'!N231</f>
        <v>0</v>
      </c>
      <c r="P231" s="18">
        <f>'Sampling Data'!O231</f>
        <v>0</v>
      </c>
      <c r="Q231" s="18">
        <f>'Sampling Data'!P231</f>
        <v>18</v>
      </c>
      <c r="R231" s="18">
        <f>'Sampling Data'!AJ231</f>
        <v>0</v>
      </c>
      <c r="S231" s="112"/>
      <c r="T231" s="112"/>
      <c r="U231" s="113"/>
      <c r="V231" s="113"/>
      <c r="W231" s="112"/>
      <c r="X231" s="112"/>
      <c r="Y231" s="112"/>
      <c r="Z231" s="112"/>
      <c r="AA231" s="15"/>
      <c r="AB231" s="15"/>
      <c r="AC231" s="15"/>
      <c r="AD231" s="15"/>
      <c r="AE231" s="114" t="str">
        <f>IF(NOT(ISBLANK(Audit[[#This Row],[Audit Winning Candidate]])), Audit[[#This Row],[Audit Winning Candidate]]-Audit[[#This Row],[Winning Candidate]], "")</f>
        <v/>
      </c>
      <c r="AF231" s="18" t="str">
        <f>IF(NOT(ISBLANK(Audit[[#This Row],[Audit Losing Candidate]])), Audit[[#This Row],[Audit Losing Candidate]]-Audit[[#This Row],[Losing Candidate]], "")</f>
        <v/>
      </c>
      <c r="AG231" s="18" t="str">
        <f>IF(NOT(ISBLANK(Audit[[#This Row],[Audit Candidate 3]])), Audit[[#This Row],[Audit Candidate 3]]-Audit[[#This Row],[Candidate 3]], "")</f>
        <v/>
      </c>
      <c r="AH231" s="18" t="str">
        <f>IF(NOT(ISBLANK(Audit[[#This Row],[Audit Candidate 4]])),Audit[[#This Row],[Audit Candidate 4]]-Audit[[#This Row],[Candidate 4]], "")</f>
        <v/>
      </c>
      <c r="AI231" s="18" t="str">
        <f>IF(NOT(ISBLANK(Audit[[#This Row],[Audit Candidate 5]])), Audit[[#This Row],[Audit Candidate 5]]-Audit[[#This Row],[Candidate 5]], "")</f>
        <v/>
      </c>
      <c r="AJ231" s="18" t="str">
        <f>IF(NOT(ISBLANK(Audit[[#This Row],[Audit Candidate 6]])), Audit[[#This Row],[Audit Candidate 6]]-Audit[[#This Row],[Candidate 6]], "")</f>
        <v/>
      </c>
      <c r="AK231" s="18" t="str">
        <f>IF(NOT(ISBLANK(Audit[[#This Row],[Audit Candidate 7]])), Audit[[#This Row],[Audit Candidate 7]]-Audit[[#This Row],[Candidate 7]], "")</f>
        <v/>
      </c>
      <c r="AL231" s="18" t="str">
        <f>IF(NOT(ISBLANK(Audit[[#This Row],[Audit Candidate 8]])), Audit[[#This Row],[Audit Candidate 8]]-Audit[[#This Row],[Candidate 8]], "")</f>
        <v/>
      </c>
      <c r="AM231" s="18" t="str">
        <f>IF(NOT(ISBLANK(Audit[[#This Row],[Audit Candidate 9]])), Audit[[#This Row],[Audit Candidate 9]]-Audit[[#This Row],[Candidate 9]], "")</f>
        <v/>
      </c>
      <c r="AN231" s="18" t="str">
        <f>IF(NOT(ISBLANK(Audit[[#This Row],[Audit Candidate 10]])), Audit[[#This Row],[Audit Candidate 10]]-Audit[[#This Row],[Candidate 10]], "")</f>
        <v/>
      </c>
      <c r="AO231" s="18" t="str">
        <f>IF(NOT(ISBLANK(Audit[[#This Row],[Audit Candidate 11]])), Audit[[#This Row],[Audit Candidate 11]]-Audit[[#This Row],[Candidate 11]], "")</f>
        <v/>
      </c>
      <c r="AP231" s="18" t="str">
        <f>IF(NOT(ISBLANK(Audit[[#This Row],[Audit Candidate 12]])), Audit[[#This Row],[Audit Candidate 12]]-Audit[[#This Row],[Candidate 12]], "")</f>
        <v/>
      </c>
      <c r="AQ231" s="18">
        <f>SUMIF(Audit[[#This Row],[Difference Winner]:[Difference Candidate 12]], "&gt;0")</f>
        <v>0</v>
      </c>
      <c r="AR231" s="18">
        <f>SUM(Audit[[#This Row],[Difference Winner]:[Difference Candidate 12]])</f>
        <v>0</v>
      </c>
      <c r="AS231" s="18">
        <f>IF(Audit[[#This Row],[Times p Drawn - With Replacement]]&gt;0, IF(Audit[[#This Row],[Canceled Differences]]&lt;0, Audit[[#This Row],[Max Differences]]+ABS(Audit[[#This Row],[Canceled Differences]]), Audit[[#This Row],[Max Differences]]), 0)</f>
        <v>0</v>
      </c>
      <c r="AT231" s="18">
        <f>'Sampling Data'!AB231</f>
        <v>1.0679398184502309E-3</v>
      </c>
      <c r="AU231" s="18">
        <f>IF(
      SUM(Audit[[#This Row],[Audit Losing Candidate]:[Audit Candidate 12]])
      &lt;&gt;0,
      (Audit[[#This Row],[Winning Candidate]]-Audit[[#This Row],[Losing Candidate]]-(Audit[[#This Row],[Audit Winning Candidate]]-Audit[[#This Row],[Audit Losing Candidate]]))/(Audit[[#Totals],[Winning Candidate]]-Audit[[#Totals],[Losing Candidate]]),
      0
)</f>
        <v>0</v>
      </c>
      <c r="AV2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8">
        <f>IF(Audit[[#This Row],[Max Relative Error (ep)]] = 0, 0, Audit[[#This Row],[Max Relative Error (ep)]]/Audit[[#This Row],[Error Bound (up) - Max. possible relative overstatement]])</f>
        <v>0</v>
      </c>
      <c r="BH2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1" s="18">
        <f t="shared" si="4"/>
        <v>1</v>
      </c>
      <c r="BJ231" s="18">
        <f>PRODUCT($BI$5:BI231)</f>
        <v>0.57146126097022543</v>
      </c>
      <c r="BK231" s="20">
        <f>1 - Audit[[#This Row],[K-M P Value]]</f>
        <v>0.42853873902977457</v>
      </c>
      <c r="BL231" s="18" t="str">
        <f>IF(Audit[[#This Row],[K-M P Value]]&gt;1-'General Info'!$B$12,"Continue", "Stop")</f>
        <v>Continue</v>
      </c>
      <c r="BM231" s="23" t="b">
        <f>IF(Audit[[#This Row],[Status - Continue or stop audit]] = "Continue", TRUE, IF(BL230 = "Continue", TRUE, FALSE))</f>
        <v>1</v>
      </c>
      <c r="BN231" s="23"/>
    </row>
    <row r="232" spans="1:66" ht="15" hidden="1" customHeight="1" x14ac:dyDescent="0.35">
      <c r="A232" s="18" t="str">
        <f>'Sampling Data'!AI232</f>
        <v/>
      </c>
      <c r="B232" s="18" t="str">
        <f>'Sampling Data'!A232</f>
        <v>3406 HARR F   (AV)</v>
      </c>
      <c r="C232" s="18">
        <f>'Sampling Data'!B232</f>
        <v>18</v>
      </c>
      <c r="D232" s="18">
        <f>'Sampling Data'!C232</f>
        <v>0</v>
      </c>
      <c r="E232" s="19">
        <f>'Sampling Data'!D232</f>
        <v>0</v>
      </c>
      <c r="F232" s="19">
        <f>'Sampling Data'!E232</f>
        <v>0</v>
      </c>
      <c r="G232" s="19">
        <f>'Sampling Data'!F232</f>
        <v>0</v>
      </c>
      <c r="H232" s="19">
        <f>'Sampling Data'!G232</f>
        <v>0</v>
      </c>
      <c r="I232" s="19">
        <f>'Sampling Data'!H232</f>
        <v>0</v>
      </c>
      <c r="J232" s="19">
        <f>'Sampling Data'!I232</f>
        <v>0</v>
      </c>
      <c r="K232" s="19">
        <f>'Sampling Data'!J232</f>
        <v>0</v>
      </c>
      <c r="L232" s="19">
        <f>'Sampling Data'!K232</f>
        <v>0</v>
      </c>
      <c r="M232" s="19">
        <f>'Sampling Data'!L232</f>
        <v>0</v>
      </c>
      <c r="N232" s="19">
        <f>'Sampling Data'!M232</f>
        <v>0</v>
      </c>
      <c r="O232" s="18">
        <f>'Sampling Data'!N232</f>
        <v>0</v>
      </c>
      <c r="P232" s="18">
        <f>'Sampling Data'!O232</f>
        <v>1</v>
      </c>
      <c r="Q232" s="18">
        <f>'Sampling Data'!P232</f>
        <v>19</v>
      </c>
      <c r="R232" s="18">
        <f>'Sampling Data'!AJ232</f>
        <v>0</v>
      </c>
      <c r="S232" s="112"/>
      <c r="T232" s="112"/>
      <c r="U232" s="113"/>
      <c r="V232" s="113"/>
      <c r="W232" s="112"/>
      <c r="X232" s="112"/>
      <c r="Y232" s="112"/>
      <c r="Z232" s="112"/>
      <c r="AA232" s="15"/>
      <c r="AB232" s="15"/>
      <c r="AC232" s="15"/>
      <c r="AD232" s="15"/>
      <c r="AE232" s="114" t="str">
        <f>IF(NOT(ISBLANK(Audit[[#This Row],[Audit Winning Candidate]])), Audit[[#This Row],[Audit Winning Candidate]]-Audit[[#This Row],[Winning Candidate]], "")</f>
        <v/>
      </c>
      <c r="AF232" s="18" t="str">
        <f>IF(NOT(ISBLANK(Audit[[#This Row],[Audit Losing Candidate]])), Audit[[#This Row],[Audit Losing Candidate]]-Audit[[#This Row],[Losing Candidate]], "")</f>
        <v/>
      </c>
      <c r="AG232" s="18" t="str">
        <f>IF(NOT(ISBLANK(Audit[[#This Row],[Audit Candidate 3]])), Audit[[#This Row],[Audit Candidate 3]]-Audit[[#This Row],[Candidate 3]], "")</f>
        <v/>
      </c>
      <c r="AH232" s="18" t="str">
        <f>IF(NOT(ISBLANK(Audit[[#This Row],[Audit Candidate 4]])),Audit[[#This Row],[Audit Candidate 4]]-Audit[[#This Row],[Candidate 4]], "")</f>
        <v/>
      </c>
      <c r="AI232" s="18" t="str">
        <f>IF(NOT(ISBLANK(Audit[[#This Row],[Audit Candidate 5]])), Audit[[#This Row],[Audit Candidate 5]]-Audit[[#This Row],[Candidate 5]], "")</f>
        <v/>
      </c>
      <c r="AJ232" s="18" t="str">
        <f>IF(NOT(ISBLANK(Audit[[#This Row],[Audit Candidate 6]])), Audit[[#This Row],[Audit Candidate 6]]-Audit[[#This Row],[Candidate 6]], "")</f>
        <v/>
      </c>
      <c r="AK232" s="18" t="str">
        <f>IF(NOT(ISBLANK(Audit[[#This Row],[Audit Candidate 7]])), Audit[[#This Row],[Audit Candidate 7]]-Audit[[#This Row],[Candidate 7]], "")</f>
        <v/>
      </c>
      <c r="AL232" s="18" t="str">
        <f>IF(NOT(ISBLANK(Audit[[#This Row],[Audit Candidate 8]])), Audit[[#This Row],[Audit Candidate 8]]-Audit[[#This Row],[Candidate 8]], "")</f>
        <v/>
      </c>
      <c r="AM232" s="18" t="str">
        <f>IF(NOT(ISBLANK(Audit[[#This Row],[Audit Candidate 9]])), Audit[[#This Row],[Audit Candidate 9]]-Audit[[#This Row],[Candidate 9]], "")</f>
        <v/>
      </c>
      <c r="AN232" s="18" t="str">
        <f>IF(NOT(ISBLANK(Audit[[#This Row],[Audit Candidate 10]])), Audit[[#This Row],[Audit Candidate 10]]-Audit[[#This Row],[Candidate 10]], "")</f>
        <v/>
      </c>
      <c r="AO232" s="18" t="str">
        <f>IF(NOT(ISBLANK(Audit[[#This Row],[Audit Candidate 11]])), Audit[[#This Row],[Audit Candidate 11]]-Audit[[#This Row],[Candidate 11]], "")</f>
        <v/>
      </c>
      <c r="AP232" s="18" t="str">
        <f>IF(NOT(ISBLANK(Audit[[#This Row],[Audit Candidate 12]])), Audit[[#This Row],[Audit Candidate 12]]-Audit[[#This Row],[Candidate 12]], "")</f>
        <v/>
      </c>
      <c r="AQ232" s="18">
        <f>SUMIF(Audit[[#This Row],[Difference Winner]:[Difference Candidate 12]], "&gt;0")</f>
        <v>0</v>
      </c>
      <c r="AR232" s="18">
        <f>SUM(Audit[[#This Row],[Difference Winner]:[Difference Candidate 12]])</f>
        <v>0</v>
      </c>
      <c r="AS232" s="18">
        <f>IF(Audit[[#This Row],[Times p Drawn - With Replacement]]&gt;0, IF(Audit[[#This Row],[Canceled Differences]]&lt;0, Audit[[#This Row],[Max Differences]]+ABS(Audit[[#This Row],[Canceled Differences]]), Audit[[#This Row],[Max Differences]]), 0)</f>
        <v>0</v>
      </c>
      <c r="AT232" s="18">
        <f>'Sampling Data'!AB232</f>
        <v>1.1621698024311335E-3</v>
      </c>
      <c r="AU232" s="18">
        <f>IF(
      SUM(Audit[[#This Row],[Audit Losing Candidate]:[Audit Candidate 12]])
      &lt;&gt;0,
      (Audit[[#This Row],[Winning Candidate]]-Audit[[#This Row],[Losing Candidate]]-(Audit[[#This Row],[Audit Winning Candidate]]-Audit[[#This Row],[Audit Losing Candidate]]))/(Audit[[#Totals],[Winning Candidate]]-Audit[[#Totals],[Losing Candidate]]),
      0
)</f>
        <v>0</v>
      </c>
      <c r="AV2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8">
        <f>IF(Audit[[#This Row],[Max Relative Error (ep)]] = 0, 0, Audit[[#This Row],[Max Relative Error (ep)]]/Audit[[#This Row],[Error Bound (up) - Max. possible relative overstatement]])</f>
        <v>0</v>
      </c>
      <c r="BH2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2" s="18">
        <f t="shared" si="4"/>
        <v>1</v>
      </c>
      <c r="BJ232" s="18">
        <f>PRODUCT($BI$5:BI232)</f>
        <v>0.57146126097022543</v>
      </c>
      <c r="BK232" s="20">
        <f>1 - Audit[[#This Row],[K-M P Value]]</f>
        <v>0.42853873902977457</v>
      </c>
      <c r="BL232" s="18" t="str">
        <f>IF(Audit[[#This Row],[K-M P Value]]&gt;1-'General Info'!$B$12,"Continue", "Stop")</f>
        <v>Continue</v>
      </c>
      <c r="BM232" s="23" t="b">
        <f>IF(Audit[[#This Row],[Status - Continue or stop audit]] = "Continue", TRUE, IF(BL231 = "Continue", TRUE, FALSE))</f>
        <v>1</v>
      </c>
      <c r="BN232" s="23"/>
    </row>
    <row r="233" spans="1:66" ht="15" hidden="1" customHeight="1" x14ac:dyDescent="0.35">
      <c r="A233" s="18" t="str">
        <f>'Sampling Data'!AI233</f>
        <v/>
      </c>
      <c r="B233" s="18" t="str">
        <f>'Sampling Data'!A233</f>
        <v>3407 HARR G   (AV)</v>
      </c>
      <c r="C233" s="18">
        <f>'Sampling Data'!B233</f>
        <v>7</v>
      </c>
      <c r="D233" s="18">
        <f>'Sampling Data'!C233</f>
        <v>2</v>
      </c>
      <c r="E233" s="19">
        <f>'Sampling Data'!D233</f>
        <v>0</v>
      </c>
      <c r="F233" s="19">
        <f>'Sampling Data'!E233</f>
        <v>0</v>
      </c>
      <c r="G233" s="19">
        <f>'Sampling Data'!F233</f>
        <v>0</v>
      </c>
      <c r="H233" s="19">
        <f>'Sampling Data'!G233</f>
        <v>0</v>
      </c>
      <c r="I233" s="19">
        <f>'Sampling Data'!H233</f>
        <v>0</v>
      </c>
      <c r="J233" s="19">
        <f>'Sampling Data'!I233</f>
        <v>0</v>
      </c>
      <c r="K233" s="19">
        <f>'Sampling Data'!J233</f>
        <v>0</v>
      </c>
      <c r="L233" s="19">
        <f>'Sampling Data'!K233</f>
        <v>0</v>
      </c>
      <c r="M233" s="19">
        <f>'Sampling Data'!L233</f>
        <v>0</v>
      </c>
      <c r="N233" s="19">
        <f>'Sampling Data'!M233</f>
        <v>0</v>
      </c>
      <c r="O233" s="18">
        <f>'Sampling Data'!N233</f>
        <v>0</v>
      </c>
      <c r="P233" s="18">
        <f>'Sampling Data'!O233</f>
        <v>1</v>
      </c>
      <c r="Q233" s="18">
        <f>'Sampling Data'!P233</f>
        <v>10</v>
      </c>
      <c r="R233" s="18">
        <f>'Sampling Data'!AJ233</f>
        <v>0</v>
      </c>
      <c r="S233" s="112"/>
      <c r="T233" s="112"/>
      <c r="U233" s="113"/>
      <c r="V233" s="113"/>
      <c r="W233" s="112"/>
      <c r="X233" s="112"/>
      <c r="Y233" s="112"/>
      <c r="Z233" s="112"/>
      <c r="AA233" s="15"/>
      <c r="AB233" s="15"/>
      <c r="AC233" s="15"/>
      <c r="AD233" s="15"/>
      <c r="AE233" s="114" t="str">
        <f>IF(NOT(ISBLANK(Audit[[#This Row],[Audit Winning Candidate]])), Audit[[#This Row],[Audit Winning Candidate]]-Audit[[#This Row],[Winning Candidate]], "")</f>
        <v/>
      </c>
      <c r="AF233" s="18" t="str">
        <f>IF(NOT(ISBLANK(Audit[[#This Row],[Audit Losing Candidate]])), Audit[[#This Row],[Audit Losing Candidate]]-Audit[[#This Row],[Losing Candidate]], "")</f>
        <v/>
      </c>
      <c r="AG233" s="18" t="str">
        <f>IF(NOT(ISBLANK(Audit[[#This Row],[Audit Candidate 3]])), Audit[[#This Row],[Audit Candidate 3]]-Audit[[#This Row],[Candidate 3]], "")</f>
        <v/>
      </c>
      <c r="AH233" s="18" t="str">
        <f>IF(NOT(ISBLANK(Audit[[#This Row],[Audit Candidate 4]])),Audit[[#This Row],[Audit Candidate 4]]-Audit[[#This Row],[Candidate 4]], "")</f>
        <v/>
      </c>
      <c r="AI233" s="18" t="str">
        <f>IF(NOT(ISBLANK(Audit[[#This Row],[Audit Candidate 5]])), Audit[[#This Row],[Audit Candidate 5]]-Audit[[#This Row],[Candidate 5]], "")</f>
        <v/>
      </c>
      <c r="AJ233" s="18" t="str">
        <f>IF(NOT(ISBLANK(Audit[[#This Row],[Audit Candidate 6]])), Audit[[#This Row],[Audit Candidate 6]]-Audit[[#This Row],[Candidate 6]], "")</f>
        <v/>
      </c>
      <c r="AK233" s="18" t="str">
        <f>IF(NOT(ISBLANK(Audit[[#This Row],[Audit Candidate 7]])), Audit[[#This Row],[Audit Candidate 7]]-Audit[[#This Row],[Candidate 7]], "")</f>
        <v/>
      </c>
      <c r="AL233" s="18" t="str">
        <f>IF(NOT(ISBLANK(Audit[[#This Row],[Audit Candidate 8]])), Audit[[#This Row],[Audit Candidate 8]]-Audit[[#This Row],[Candidate 8]], "")</f>
        <v/>
      </c>
      <c r="AM233" s="18" t="str">
        <f>IF(NOT(ISBLANK(Audit[[#This Row],[Audit Candidate 9]])), Audit[[#This Row],[Audit Candidate 9]]-Audit[[#This Row],[Candidate 9]], "")</f>
        <v/>
      </c>
      <c r="AN233" s="18" t="str">
        <f>IF(NOT(ISBLANK(Audit[[#This Row],[Audit Candidate 10]])), Audit[[#This Row],[Audit Candidate 10]]-Audit[[#This Row],[Candidate 10]], "")</f>
        <v/>
      </c>
      <c r="AO233" s="18" t="str">
        <f>IF(NOT(ISBLANK(Audit[[#This Row],[Audit Candidate 11]])), Audit[[#This Row],[Audit Candidate 11]]-Audit[[#This Row],[Candidate 11]], "")</f>
        <v/>
      </c>
      <c r="AP233" s="18" t="str">
        <f>IF(NOT(ISBLANK(Audit[[#This Row],[Audit Candidate 12]])), Audit[[#This Row],[Audit Candidate 12]]-Audit[[#This Row],[Candidate 12]], "")</f>
        <v/>
      </c>
      <c r="AQ233" s="18">
        <f>SUMIF(Audit[[#This Row],[Difference Winner]:[Difference Candidate 12]], "&gt;0")</f>
        <v>0</v>
      </c>
      <c r="AR233" s="18">
        <f>SUM(Audit[[#This Row],[Difference Winner]:[Difference Candidate 12]])</f>
        <v>0</v>
      </c>
      <c r="AS233" s="18">
        <f>IF(Audit[[#This Row],[Times p Drawn - With Replacement]]&gt;0, IF(Audit[[#This Row],[Canceled Differences]]&lt;0, Audit[[#This Row],[Max Differences]]+ABS(Audit[[#This Row],[Canceled Differences]]), Audit[[#This Row],[Max Differences]]), 0)</f>
        <v>0</v>
      </c>
      <c r="AT233" s="18">
        <f>'Sampling Data'!AB233</f>
        <v>4.7114991990451359E-4</v>
      </c>
      <c r="AU233" s="18">
        <f>IF(
      SUM(Audit[[#This Row],[Audit Losing Candidate]:[Audit Candidate 12]])
      &lt;&gt;0,
      (Audit[[#This Row],[Winning Candidate]]-Audit[[#This Row],[Losing Candidate]]-(Audit[[#This Row],[Audit Winning Candidate]]-Audit[[#This Row],[Audit Losing Candidate]]))/(Audit[[#Totals],[Winning Candidate]]-Audit[[#Totals],[Losing Candidate]]),
      0
)</f>
        <v>0</v>
      </c>
      <c r="AV2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8">
        <f>IF(Audit[[#This Row],[Max Relative Error (ep)]] = 0, 0, Audit[[#This Row],[Max Relative Error (ep)]]/Audit[[#This Row],[Error Bound (up) - Max. possible relative overstatement]])</f>
        <v>0</v>
      </c>
      <c r="BH2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3" s="18">
        <f t="shared" si="4"/>
        <v>1</v>
      </c>
      <c r="BJ233" s="18">
        <f>PRODUCT($BI$5:BI233)</f>
        <v>0.57146126097022543</v>
      </c>
      <c r="BK233" s="20">
        <f>1 - Audit[[#This Row],[K-M P Value]]</f>
        <v>0.42853873902977457</v>
      </c>
      <c r="BL233" s="18" t="str">
        <f>IF(Audit[[#This Row],[K-M P Value]]&gt;1-'General Info'!$B$12,"Continue", "Stop")</f>
        <v>Continue</v>
      </c>
      <c r="BM233" s="23" t="b">
        <f>IF(Audit[[#This Row],[Status - Continue or stop audit]] = "Continue", TRUE, IF(BL232 = "Continue", TRUE, FALSE))</f>
        <v>1</v>
      </c>
      <c r="BN233" s="23"/>
    </row>
    <row r="234" spans="1:66" ht="15" hidden="1" customHeight="1" x14ac:dyDescent="0.35">
      <c r="A234" s="18" t="str">
        <f>'Sampling Data'!AI234</f>
        <v/>
      </c>
      <c r="B234" s="18" t="str">
        <f>'Sampling Data'!A234</f>
        <v>3501 IND HLL A   (AV)</v>
      </c>
      <c r="C234" s="18">
        <f>'Sampling Data'!B234</f>
        <v>5</v>
      </c>
      <c r="D234" s="18">
        <f>'Sampling Data'!C234</f>
        <v>0</v>
      </c>
      <c r="E234" s="19">
        <f>'Sampling Data'!D234</f>
        <v>0</v>
      </c>
      <c r="F234" s="19">
        <f>'Sampling Data'!E234</f>
        <v>0</v>
      </c>
      <c r="G234" s="19">
        <f>'Sampling Data'!F234</f>
        <v>0</v>
      </c>
      <c r="H234" s="19">
        <f>'Sampling Data'!G234</f>
        <v>0</v>
      </c>
      <c r="I234" s="19">
        <f>'Sampling Data'!H234</f>
        <v>0</v>
      </c>
      <c r="J234" s="19">
        <f>'Sampling Data'!I234</f>
        <v>0</v>
      </c>
      <c r="K234" s="19">
        <f>'Sampling Data'!J234</f>
        <v>0</v>
      </c>
      <c r="L234" s="19">
        <f>'Sampling Data'!K234</f>
        <v>0</v>
      </c>
      <c r="M234" s="19">
        <f>'Sampling Data'!L234</f>
        <v>0</v>
      </c>
      <c r="N234" s="19">
        <f>'Sampling Data'!M234</f>
        <v>0</v>
      </c>
      <c r="O234" s="18">
        <f>'Sampling Data'!N234</f>
        <v>0</v>
      </c>
      <c r="P234" s="18">
        <f>'Sampling Data'!O234</f>
        <v>1</v>
      </c>
      <c r="Q234" s="18">
        <f>'Sampling Data'!P234</f>
        <v>6</v>
      </c>
      <c r="R234" s="18">
        <f>'Sampling Data'!AJ234</f>
        <v>0</v>
      </c>
      <c r="S234" s="112"/>
      <c r="T234" s="112"/>
      <c r="U234" s="113"/>
      <c r="V234" s="113"/>
      <c r="W234" s="112"/>
      <c r="X234" s="112"/>
      <c r="Y234" s="112"/>
      <c r="Z234" s="112"/>
      <c r="AA234" s="15"/>
      <c r="AB234" s="15"/>
      <c r="AC234" s="15"/>
      <c r="AD234" s="15"/>
      <c r="AE234" s="114" t="str">
        <f>IF(NOT(ISBLANK(Audit[[#This Row],[Audit Winning Candidate]])), Audit[[#This Row],[Audit Winning Candidate]]-Audit[[#This Row],[Winning Candidate]], "")</f>
        <v/>
      </c>
      <c r="AF234" s="18" t="str">
        <f>IF(NOT(ISBLANK(Audit[[#This Row],[Audit Losing Candidate]])), Audit[[#This Row],[Audit Losing Candidate]]-Audit[[#This Row],[Losing Candidate]], "")</f>
        <v/>
      </c>
      <c r="AG234" s="18" t="str">
        <f>IF(NOT(ISBLANK(Audit[[#This Row],[Audit Candidate 3]])), Audit[[#This Row],[Audit Candidate 3]]-Audit[[#This Row],[Candidate 3]], "")</f>
        <v/>
      </c>
      <c r="AH234" s="18" t="str">
        <f>IF(NOT(ISBLANK(Audit[[#This Row],[Audit Candidate 4]])),Audit[[#This Row],[Audit Candidate 4]]-Audit[[#This Row],[Candidate 4]], "")</f>
        <v/>
      </c>
      <c r="AI234" s="18" t="str">
        <f>IF(NOT(ISBLANK(Audit[[#This Row],[Audit Candidate 5]])), Audit[[#This Row],[Audit Candidate 5]]-Audit[[#This Row],[Candidate 5]], "")</f>
        <v/>
      </c>
      <c r="AJ234" s="18" t="str">
        <f>IF(NOT(ISBLANK(Audit[[#This Row],[Audit Candidate 6]])), Audit[[#This Row],[Audit Candidate 6]]-Audit[[#This Row],[Candidate 6]], "")</f>
        <v/>
      </c>
      <c r="AK234" s="18" t="str">
        <f>IF(NOT(ISBLANK(Audit[[#This Row],[Audit Candidate 7]])), Audit[[#This Row],[Audit Candidate 7]]-Audit[[#This Row],[Candidate 7]], "")</f>
        <v/>
      </c>
      <c r="AL234" s="18" t="str">
        <f>IF(NOT(ISBLANK(Audit[[#This Row],[Audit Candidate 8]])), Audit[[#This Row],[Audit Candidate 8]]-Audit[[#This Row],[Candidate 8]], "")</f>
        <v/>
      </c>
      <c r="AM234" s="18" t="str">
        <f>IF(NOT(ISBLANK(Audit[[#This Row],[Audit Candidate 9]])), Audit[[#This Row],[Audit Candidate 9]]-Audit[[#This Row],[Candidate 9]], "")</f>
        <v/>
      </c>
      <c r="AN234" s="18" t="str">
        <f>IF(NOT(ISBLANK(Audit[[#This Row],[Audit Candidate 10]])), Audit[[#This Row],[Audit Candidate 10]]-Audit[[#This Row],[Candidate 10]], "")</f>
        <v/>
      </c>
      <c r="AO234" s="18" t="str">
        <f>IF(NOT(ISBLANK(Audit[[#This Row],[Audit Candidate 11]])), Audit[[#This Row],[Audit Candidate 11]]-Audit[[#This Row],[Candidate 11]], "")</f>
        <v/>
      </c>
      <c r="AP234" s="18" t="str">
        <f>IF(NOT(ISBLANK(Audit[[#This Row],[Audit Candidate 12]])), Audit[[#This Row],[Audit Candidate 12]]-Audit[[#This Row],[Candidate 12]], "")</f>
        <v/>
      </c>
      <c r="AQ234" s="18">
        <f>SUMIF(Audit[[#This Row],[Difference Winner]:[Difference Candidate 12]], "&gt;0")</f>
        <v>0</v>
      </c>
      <c r="AR234" s="18">
        <f>SUM(Audit[[#This Row],[Difference Winner]:[Difference Candidate 12]])</f>
        <v>0</v>
      </c>
      <c r="AS234" s="18">
        <f>IF(Audit[[#This Row],[Times p Drawn - With Replacement]]&gt;0, IF(Audit[[#This Row],[Canceled Differences]]&lt;0, Audit[[#This Row],[Max Differences]]+ABS(Audit[[#This Row],[Canceled Differences]]), Audit[[#This Row],[Max Differences]]), 0)</f>
        <v>0</v>
      </c>
      <c r="AT234" s="18">
        <f>'Sampling Data'!AB234</f>
        <v>3.4550994126331E-4</v>
      </c>
      <c r="AU234" s="18">
        <f>IF(
      SUM(Audit[[#This Row],[Audit Losing Candidate]:[Audit Candidate 12]])
      &lt;&gt;0,
      (Audit[[#This Row],[Winning Candidate]]-Audit[[#This Row],[Losing Candidate]]-(Audit[[#This Row],[Audit Winning Candidate]]-Audit[[#This Row],[Audit Losing Candidate]]))/(Audit[[#Totals],[Winning Candidate]]-Audit[[#Totals],[Losing Candidate]]),
      0
)</f>
        <v>0</v>
      </c>
      <c r="AV2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8">
        <f>IF(Audit[[#This Row],[Max Relative Error (ep)]] = 0, 0, Audit[[#This Row],[Max Relative Error (ep)]]/Audit[[#This Row],[Error Bound (up) - Max. possible relative overstatement]])</f>
        <v>0</v>
      </c>
      <c r="BH2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4" s="18">
        <f t="shared" si="4"/>
        <v>1</v>
      </c>
      <c r="BJ234" s="18">
        <f>PRODUCT($BI$5:BI234)</f>
        <v>0.57146126097022543</v>
      </c>
      <c r="BK234" s="20">
        <f>1 - Audit[[#This Row],[K-M P Value]]</f>
        <v>0.42853873902977457</v>
      </c>
      <c r="BL234" s="18" t="str">
        <f>IF(Audit[[#This Row],[K-M P Value]]&gt;1-'General Info'!$B$12,"Continue", "Stop")</f>
        <v>Continue</v>
      </c>
      <c r="BM234" s="23" t="b">
        <f>IF(Audit[[#This Row],[Status - Continue or stop audit]] = "Continue", TRUE, IF(BL233 = "Continue", TRUE, FALSE))</f>
        <v>1</v>
      </c>
      <c r="BN234" s="23"/>
    </row>
    <row r="235" spans="1:66" ht="15" hidden="1" customHeight="1" x14ac:dyDescent="0.35">
      <c r="A235" s="18" t="str">
        <f>'Sampling Data'!AI235</f>
        <v/>
      </c>
      <c r="B235" s="18" t="str">
        <f>'Sampling Data'!A235</f>
        <v>3502 IND HLL B   (AV)</v>
      </c>
      <c r="C235" s="18">
        <f>'Sampling Data'!B235</f>
        <v>11</v>
      </c>
      <c r="D235" s="18">
        <f>'Sampling Data'!C235</f>
        <v>0</v>
      </c>
      <c r="E235" s="19">
        <f>'Sampling Data'!D235</f>
        <v>0</v>
      </c>
      <c r="F235" s="19">
        <f>'Sampling Data'!E235</f>
        <v>0</v>
      </c>
      <c r="G235" s="19">
        <f>'Sampling Data'!F235</f>
        <v>0</v>
      </c>
      <c r="H235" s="19">
        <f>'Sampling Data'!G235</f>
        <v>0</v>
      </c>
      <c r="I235" s="19">
        <f>'Sampling Data'!H235</f>
        <v>0</v>
      </c>
      <c r="J235" s="19">
        <f>'Sampling Data'!I235</f>
        <v>0</v>
      </c>
      <c r="K235" s="19">
        <f>'Sampling Data'!J235</f>
        <v>0</v>
      </c>
      <c r="L235" s="19">
        <f>'Sampling Data'!K235</f>
        <v>0</v>
      </c>
      <c r="M235" s="19">
        <f>'Sampling Data'!L235</f>
        <v>0</v>
      </c>
      <c r="N235" s="19">
        <f>'Sampling Data'!M235</f>
        <v>0</v>
      </c>
      <c r="O235" s="18">
        <f>'Sampling Data'!N235</f>
        <v>0</v>
      </c>
      <c r="P235" s="18">
        <f>'Sampling Data'!O235</f>
        <v>0</v>
      </c>
      <c r="Q235" s="18">
        <f>'Sampling Data'!P235</f>
        <v>11</v>
      </c>
      <c r="R235" s="18">
        <f>'Sampling Data'!AJ235</f>
        <v>0</v>
      </c>
      <c r="S235" s="112"/>
      <c r="T235" s="112"/>
      <c r="U235" s="113"/>
      <c r="V235" s="113"/>
      <c r="W235" s="112"/>
      <c r="X235" s="112"/>
      <c r="Y235" s="112"/>
      <c r="Z235" s="112"/>
      <c r="AA235" s="15"/>
      <c r="AB235" s="15"/>
      <c r="AC235" s="15"/>
      <c r="AD235" s="15"/>
      <c r="AE235" s="114" t="str">
        <f>IF(NOT(ISBLANK(Audit[[#This Row],[Audit Winning Candidate]])), Audit[[#This Row],[Audit Winning Candidate]]-Audit[[#This Row],[Winning Candidate]], "")</f>
        <v/>
      </c>
      <c r="AF235" s="18" t="str">
        <f>IF(NOT(ISBLANK(Audit[[#This Row],[Audit Losing Candidate]])), Audit[[#This Row],[Audit Losing Candidate]]-Audit[[#This Row],[Losing Candidate]], "")</f>
        <v/>
      </c>
      <c r="AG235" s="18" t="str">
        <f>IF(NOT(ISBLANK(Audit[[#This Row],[Audit Candidate 3]])), Audit[[#This Row],[Audit Candidate 3]]-Audit[[#This Row],[Candidate 3]], "")</f>
        <v/>
      </c>
      <c r="AH235" s="18" t="str">
        <f>IF(NOT(ISBLANK(Audit[[#This Row],[Audit Candidate 4]])),Audit[[#This Row],[Audit Candidate 4]]-Audit[[#This Row],[Candidate 4]], "")</f>
        <v/>
      </c>
      <c r="AI235" s="18" t="str">
        <f>IF(NOT(ISBLANK(Audit[[#This Row],[Audit Candidate 5]])), Audit[[#This Row],[Audit Candidate 5]]-Audit[[#This Row],[Candidate 5]], "")</f>
        <v/>
      </c>
      <c r="AJ235" s="18" t="str">
        <f>IF(NOT(ISBLANK(Audit[[#This Row],[Audit Candidate 6]])), Audit[[#This Row],[Audit Candidate 6]]-Audit[[#This Row],[Candidate 6]], "")</f>
        <v/>
      </c>
      <c r="AK235" s="18" t="str">
        <f>IF(NOT(ISBLANK(Audit[[#This Row],[Audit Candidate 7]])), Audit[[#This Row],[Audit Candidate 7]]-Audit[[#This Row],[Candidate 7]], "")</f>
        <v/>
      </c>
      <c r="AL235" s="18" t="str">
        <f>IF(NOT(ISBLANK(Audit[[#This Row],[Audit Candidate 8]])), Audit[[#This Row],[Audit Candidate 8]]-Audit[[#This Row],[Candidate 8]], "")</f>
        <v/>
      </c>
      <c r="AM235" s="18" t="str">
        <f>IF(NOT(ISBLANK(Audit[[#This Row],[Audit Candidate 9]])), Audit[[#This Row],[Audit Candidate 9]]-Audit[[#This Row],[Candidate 9]], "")</f>
        <v/>
      </c>
      <c r="AN235" s="18" t="str">
        <f>IF(NOT(ISBLANK(Audit[[#This Row],[Audit Candidate 10]])), Audit[[#This Row],[Audit Candidate 10]]-Audit[[#This Row],[Candidate 10]], "")</f>
        <v/>
      </c>
      <c r="AO235" s="18" t="str">
        <f>IF(NOT(ISBLANK(Audit[[#This Row],[Audit Candidate 11]])), Audit[[#This Row],[Audit Candidate 11]]-Audit[[#This Row],[Candidate 11]], "")</f>
        <v/>
      </c>
      <c r="AP235" s="18" t="str">
        <f>IF(NOT(ISBLANK(Audit[[#This Row],[Audit Candidate 12]])), Audit[[#This Row],[Audit Candidate 12]]-Audit[[#This Row],[Candidate 12]], "")</f>
        <v/>
      </c>
      <c r="AQ235" s="18">
        <f>SUMIF(Audit[[#This Row],[Difference Winner]:[Difference Candidate 12]], "&gt;0")</f>
        <v>0</v>
      </c>
      <c r="AR235" s="18">
        <f>SUM(Audit[[#This Row],[Difference Winner]:[Difference Candidate 12]])</f>
        <v>0</v>
      </c>
      <c r="AS235" s="18">
        <f>IF(Audit[[#This Row],[Times p Drawn - With Replacement]]&gt;0, IF(Audit[[#This Row],[Canceled Differences]]&lt;0, Audit[[#This Row],[Max Differences]]+ABS(Audit[[#This Row],[Canceled Differences]]), Audit[[#This Row],[Max Differences]]), 0)</f>
        <v>0</v>
      </c>
      <c r="AT235" s="18">
        <f>'Sampling Data'!AB235</f>
        <v>6.9101988252662E-4</v>
      </c>
      <c r="AU235" s="18">
        <f>IF(
      SUM(Audit[[#This Row],[Audit Losing Candidate]:[Audit Candidate 12]])
      &lt;&gt;0,
      (Audit[[#This Row],[Winning Candidate]]-Audit[[#This Row],[Losing Candidate]]-(Audit[[#This Row],[Audit Winning Candidate]]-Audit[[#This Row],[Audit Losing Candidate]]))/(Audit[[#Totals],[Winning Candidate]]-Audit[[#Totals],[Losing Candidate]]),
      0
)</f>
        <v>0</v>
      </c>
      <c r="AV2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8">
        <f>IF(Audit[[#This Row],[Max Relative Error (ep)]] = 0, 0, Audit[[#This Row],[Max Relative Error (ep)]]/Audit[[#This Row],[Error Bound (up) - Max. possible relative overstatement]])</f>
        <v>0</v>
      </c>
      <c r="BH2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5" s="18">
        <f t="shared" si="4"/>
        <v>1</v>
      </c>
      <c r="BJ235" s="18">
        <f>PRODUCT($BI$5:BI235)</f>
        <v>0.57146126097022543</v>
      </c>
      <c r="BK235" s="20">
        <f>1 - Audit[[#This Row],[K-M P Value]]</f>
        <v>0.42853873902977457</v>
      </c>
      <c r="BL235" s="18" t="str">
        <f>IF(Audit[[#This Row],[K-M P Value]]&gt;1-'General Info'!$B$12,"Continue", "Stop")</f>
        <v>Continue</v>
      </c>
      <c r="BM235" s="23" t="b">
        <f>IF(Audit[[#This Row],[Status - Continue or stop audit]] = "Continue", TRUE, IF(BL234 = "Continue", TRUE, FALSE))</f>
        <v>1</v>
      </c>
      <c r="BN235" s="23"/>
    </row>
    <row r="236" spans="1:66" ht="15" hidden="1" customHeight="1" x14ac:dyDescent="0.35">
      <c r="A236" s="18" t="str">
        <f>'Sampling Data'!AI236</f>
        <v/>
      </c>
      <c r="B236" s="18" t="str">
        <f>'Sampling Data'!A236</f>
        <v>3503 IND HLL C   (AV)</v>
      </c>
      <c r="C236" s="18">
        <f>'Sampling Data'!B236</f>
        <v>16</v>
      </c>
      <c r="D236" s="18">
        <f>'Sampling Data'!C236</f>
        <v>0</v>
      </c>
      <c r="E236" s="19">
        <f>'Sampling Data'!D236</f>
        <v>0</v>
      </c>
      <c r="F236" s="19">
        <f>'Sampling Data'!E236</f>
        <v>0</v>
      </c>
      <c r="G236" s="19">
        <f>'Sampling Data'!F236</f>
        <v>0</v>
      </c>
      <c r="H236" s="19">
        <f>'Sampling Data'!G236</f>
        <v>0</v>
      </c>
      <c r="I236" s="19">
        <f>'Sampling Data'!H236</f>
        <v>0</v>
      </c>
      <c r="J236" s="19">
        <f>'Sampling Data'!I236</f>
        <v>0</v>
      </c>
      <c r="K236" s="19">
        <f>'Sampling Data'!J236</f>
        <v>0</v>
      </c>
      <c r="L236" s="19">
        <f>'Sampling Data'!K236</f>
        <v>0</v>
      </c>
      <c r="M236" s="19">
        <f>'Sampling Data'!L236</f>
        <v>0</v>
      </c>
      <c r="N236" s="19">
        <f>'Sampling Data'!M236</f>
        <v>0</v>
      </c>
      <c r="O236" s="18">
        <f>'Sampling Data'!N236</f>
        <v>0</v>
      </c>
      <c r="P236" s="18">
        <f>'Sampling Data'!O236</f>
        <v>2</v>
      </c>
      <c r="Q236" s="18">
        <f>'Sampling Data'!P236</f>
        <v>18</v>
      </c>
      <c r="R236" s="18">
        <f>'Sampling Data'!AJ236</f>
        <v>0</v>
      </c>
      <c r="S236" s="112"/>
      <c r="T236" s="112"/>
      <c r="U236" s="113"/>
      <c r="V236" s="113"/>
      <c r="W236" s="112"/>
      <c r="X236" s="112"/>
      <c r="Y236" s="112"/>
      <c r="Z236" s="112"/>
      <c r="AA236" s="15"/>
      <c r="AB236" s="15"/>
      <c r="AC236" s="15"/>
      <c r="AD236" s="15"/>
      <c r="AE236" s="114" t="str">
        <f>IF(NOT(ISBLANK(Audit[[#This Row],[Audit Winning Candidate]])), Audit[[#This Row],[Audit Winning Candidate]]-Audit[[#This Row],[Winning Candidate]], "")</f>
        <v/>
      </c>
      <c r="AF236" s="18" t="str">
        <f>IF(NOT(ISBLANK(Audit[[#This Row],[Audit Losing Candidate]])), Audit[[#This Row],[Audit Losing Candidate]]-Audit[[#This Row],[Losing Candidate]], "")</f>
        <v/>
      </c>
      <c r="AG236" s="18" t="str">
        <f>IF(NOT(ISBLANK(Audit[[#This Row],[Audit Candidate 3]])), Audit[[#This Row],[Audit Candidate 3]]-Audit[[#This Row],[Candidate 3]], "")</f>
        <v/>
      </c>
      <c r="AH236" s="18" t="str">
        <f>IF(NOT(ISBLANK(Audit[[#This Row],[Audit Candidate 4]])),Audit[[#This Row],[Audit Candidate 4]]-Audit[[#This Row],[Candidate 4]], "")</f>
        <v/>
      </c>
      <c r="AI236" s="18" t="str">
        <f>IF(NOT(ISBLANK(Audit[[#This Row],[Audit Candidate 5]])), Audit[[#This Row],[Audit Candidate 5]]-Audit[[#This Row],[Candidate 5]], "")</f>
        <v/>
      </c>
      <c r="AJ236" s="18" t="str">
        <f>IF(NOT(ISBLANK(Audit[[#This Row],[Audit Candidate 6]])), Audit[[#This Row],[Audit Candidate 6]]-Audit[[#This Row],[Candidate 6]], "")</f>
        <v/>
      </c>
      <c r="AK236" s="18" t="str">
        <f>IF(NOT(ISBLANK(Audit[[#This Row],[Audit Candidate 7]])), Audit[[#This Row],[Audit Candidate 7]]-Audit[[#This Row],[Candidate 7]], "")</f>
        <v/>
      </c>
      <c r="AL236" s="18" t="str">
        <f>IF(NOT(ISBLANK(Audit[[#This Row],[Audit Candidate 8]])), Audit[[#This Row],[Audit Candidate 8]]-Audit[[#This Row],[Candidate 8]], "")</f>
        <v/>
      </c>
      <c r="AM236" s="18" t="str">
        <f>IF(NOT(ISBLANK(Audit[[#This Row],[Audit Candidate 9]])), Audit[[#This Row],[Audit Candidate 9]]-Audit[[#This Row],[Candidate 9]], "")</f>
        <v/>
      </c>
      <c r="AN236" s="18" t="str">
        <f>IF(NOT(ISBLANK(Audit[[#This Row],[Audit Candidate 10]])), Audit[[#This Row],[Audit Candidate 10]]-Audit[[#This Row],[Candidate 10]], "")</f>
        <v/>
      </c>
      <c r="AO236" s="18" t="str">
        <f>IF(NOT(ISBLANK(Audit[[#This Row],[Audit Candidate 11]])), Audit[[#This Row],[Audit Candidate 11]]-Audit[[#This Row],[Candidate 11]], "")</f>
        <v/>
      </c>
      <c r="AP236" s="18" t="str">
        <f>IF(NOT(ISBLANK(Audit[[#This Row],[Audit Candidate 12]])), Audit[[#This Row],[Audit Candidate 12]]-Audit[[#This Row],[Candidate 12]], "")</f>
        <v/>
      </c>
      <c r="AQ236" s="18">
        <f>SUMIF(Audit[[#This Row],[Difference Winner]:[Difference Candidate 12]], "&gt;0")</f>
        <v>0</v>
      </c>
      <c r="AR236" s="18">
        <f>SUM(Audit[[#This Row],[Difference Winner]:[Difference Candidate 12]])</f>
        <v>0</v>
      </c>
      <c r="AS236" s="18">
        <f>IF(Audit[[#This Row],[Times p Drawn - With Replacement]]&gt;0, IF(Audit[[#This Row],[Canceled Differences]]&lt;0, Audit[[#This Row],[Max Differences]]+ABS(Audit[[#This Row],[Canceled Differences]]), Audit[[#This Row],[Max Differences]]), 0)</f>
        <v>0</v>
      </c>
      <c r="AT236" s="18">
        <f>'Sampling Data'!AB236</f>
        <v>1.0679398184502309E-3</v>
      </c>
      <c r="AU236" s="18">
        <f>IF(
      SUM(Audit[[#This Row],[Audit Losing Candidate]:[Audit Candidate 12]])
      &lt;&gt;0,
      (Audit[[#This Row],[Winning Candidate]]-Audit[[#This Row],[Losing Candidate]]-(Audit[[#This Row],[Audit Winning Candidate]]-Audit[[#This Row],[Audit Losing Candidate]]))/(Audit[[#Totals],[Winning Candidate]]-Audit[[#Totals],[Losing Candidate]]),
      0
)</f>
        <v>0</v>
      </c>
      <c r="AV2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8">
        <f>IF(Audit[[#This Row],[Max Relative Error (ep)]] = 0, 0, Audit[[#This Row],[Max Relative Error (ep)]]/Audit[[#This Row],[Error Bound (up) - Max. possible relative overstatement]])</f>
        <v>0</v>
      </c>
      <c r="BH2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6" s="18">
        <f t="shared" si="4"/>
        <v>1</v>
      </c>
      <c r="BJ236" s="18">
        <f>PRODUCT($BI$5:BI236)</f>
        <v>0.57146126097022543</v>
      </c>
      <c r="BK236" s="20">
        <f>1 - Audit[[#This Row],[K-M P Value]]</f>
        <v>0.42853873902977457</v>
      </c>
      <c r="BL236" s="18" t="str">
        <f>IF(Audit[[#This Row],[K-M P Value]]&gt;1-'General Info'!$B$12,"Continue", "Stop")</f>
        <v>Continue</v>
      </c>
      <c r="BM236" s="23" t="b">
        <f>IF(Audit[[#This Row],[Status - Continue or stop audit]] = "Continue", TRUE, IF(BL235 = "Continue", TRUE, FALSE))</f>
        <v>1</v>
      </c>
      <c r="BN236" s="23"/>
    </row>
    <row r="237" spans="1:66" ht="15" hidden="1" customHeight="1" x14ac:dyDescent="0.35">
      <c r="A237" s="18" t="str">
        <f>'Sampling Data'!AI237</f>
        <v/>
      </c>
      <c r="B237" s="18" t="str">
        <f>'Sampling Data'!A237</f>
        <v>3504 IND HLL D   (AV)</v>
      </c>
      <c r="C237" s="18">
        <f>'Sampling Data'!B237</f>
        <v>11</v>
      </c>
      <c r="D237" s="18">
        <f>'Sampling Data'!C237</f>
        <v>0</v>
      </c>
      <c r="E237" s="19">
        <f>'Sampling Data'!D237</f>
        <v>0</v>
      </c>
      <c r="F237" s="19">
        <f>'Sampling Data'!E237</f>
        <v>0</v>
      </c>
      <c r="G237" s="19">
        <f>'Sampling Data'!F237</f>
        <v>0</v>
      </c>
      <c r="H237" s="19">
        <f>'Sampling Data'!G237</f>
        <v>0</v>
      </c>
      <c r="I237" s="19">
        <f>'Sampling Data'!H237</f>
        <v>0</v>
      </c>
      <c r="J237" s="19">
        <f>'Sampling Data'!I237</f>
        <v>0</v>
      </c>
      <c r="K237" s="19">
        <f>'Sampling Data'!J237</f>
        <v>0</v>
      </c>
      <c r="L237" s="19">
        <f>'Sampling Data'!K237</f>
        <v>0</v>
      </c>
      <c r="M237" s="19">
        <f>'Sampling Data'!L237</f>
        <v>0</v>
      </c>
      <c r="N237" s="19">
        <f>'Sampling Data'!M237</f>
        <v>0</v>
      </c>
      <c r="O237" s="18">
        <f>'Sampling Data'!N237</f>
        <v>0</v>
      </c>
      <c r="P237" s="18">
        <f>'Sampling Data'!O237</f>
        <v>0</v>
      </c>
      <c r="Q237" s="18">
        <f>'Sampling Data'!P237</f>
        <v>11</v>
      </c>
      <c r="R237" s="18">
        <f>'Sampling Data'!AJ237</f>
        <v>0</v>
      </c>
      <c r="S237" s="112"/>
      <c r="T237" s="112"/>
      <c r="U237" s="113"/>
      <c r="V237" s="113"/>
      <c r="W237" s="112"/>
      <c r="X237" s="112"/>
      <c r="Y237" s="112"/>
      <c r="Z237" s="112"/>
      <c r="AA237" s="15"/>
      <c r="AB237" s="15"/>
      <c r="AC237" s="15"/>
      <c r="AD237" s="15"/>
      <c r="AE237" s="114" t="str">
        <f>IF(NOT(ISBLANK(Audit[[#This Row],[Audit Winning Candidate]])), Audit[[#This Row],[Audit Winning Candidate]]-Audit[[#This Row],[Winning Candidate]], "")</f>
        <v/>
      </c>
      <c r="AF237" s="18" t="str">
        <f>IF(NOT(ISBLANK(Audit[[#This Row],[Audit Losing Candidate]])), Audit[[#This Row],[Audit Losing Candidate]]-Audit[[#This Row],[Losing Candidate]], "")</f>
        <v/>
      </c>
      <c r="AG237" s="18" t="str">
        <f>IF(NOT(ISBLANK(Audit[[#This Row],[Audit Candidate 3]])), Audit[[#This Row],[Audit Candidate 3]]-Audit[[#This Row],[Candidate 3]], "")</f>
        <v/>
      </c>
      <c r="AH237" s="18" t="str">
        <f>IF(NOT(ISBLANK(Audit[[#This Row],[Audit Candidate 4]])),Audit[[#This Row],[Audit Candidate 4]]-Audit[[#This Row],[Candidate 4]], "")</f>
        <v/>
      </c>
      <c r="AI237" s="18" t="str">
        <f>IF(NOT(ISBLANK(Audit[[#This Row],[Audit Candidate 5]])), Audit[[#This Row],[Audit Candidate 5]]-Audit[[#This Row],[Candidate 5]], "")</f>
        <v/>
      </c>
      <c r="AJ237" s="18" t="str">
        <f>IF(NOT(ISBLANK(Audit[[#This Row],[Audit Candidate 6]])), Audit[[#This Row],[Audit Candidate 6]]-Audit[[#This Row],[Candidate 6]], "")</f>
        <v/>
      </c>
      <c r="AK237" s="18" t="str">
        <f>IF(NOT(ISBLANK(Audit[[#This Row],[Audit Candidate 7]])), Audit[[#This Row],[Audit Candidate 7]]-Audit[[#This Row],[Candidate 7]], "")</f>
        <v/>
      </c>
      <c r="AL237" s="18" t="str">
        <f>IF(NOT(ISBLANK(Audit[[#This Row],[Audit Candidate 8]])), Audit[[#This Row],[Audit Candidate 8]]-Audit[[#This Row],[Candidate 8]], "")</f>
        <v/>
      </c>
      <c r="AM237" s="18" t="str">
        <f>IF(NOT(ISBLANK(Audit[[#This Row],[Audit Candidate 9]])), Audit[[#This Row],[Audit Candidate 9]]-Audit[[#This Row],[Candidate 9]], "")</f>
        <v/>
      </c>
      <c r="AN237" s="18" t="str">
        <f>IF(NOT(ISBLANK(Audit[[#This Row],[Audit Candidate 10]])), Audit[[#This Row],[Audit Candidate 10]]-Audit[[#This Row],[Candidate 10]], "")</f>
        <v/>
      </c>
      <c r="AO237" s="18" t="str">
        <f>IF(NOT(ISBLANK(Audit[[#This Row],[Audit Candidate 11]])), Audit[[#This Row],[Audit Candidate 11]]-Audit[[#This Row],[Candidate 11]], "")</f>
        <v/>
      </c>
      <c r="AP237" s="18" t="str">
        <f>IF(NOT(ISBLANK(Audit[[#This Row],[Audit Candidate 12]])), Audit[[#This Row],[Audit Candidate 12]]-Audit[[#This Row],[Candidate 12]], "")</f>
        <v/>
      </c>
      <c r="AQ237" s="18">
        <f>SUMIF(Audit[[#This Row],[Difference Winner]:[Difference Candidate 12]], "&gt;0")</f>
        <v>0</v>
      </c>
      <c r="AR237" s="18">
        <f>SUM(Audit[[#This Row],[Difference Winner]:[Difference Candidate 12]])</f>
        <v>0</v>
      </c>
      <c r="AS237" s="18">
        <f>IF(Audit[[#This Row],[Times p Drawn - With Replacement]]&gt;0, IF(Audit[[#This Row],[Canceled Differences]]&lt;0, Audit[[#This Row],[Max Differences]]+ABS(Audit[[#This Row],[Canceled Differences]]), Audit[[#This Row],[Max Differences]]), 0)</f>
        <v>0</v>
      </c>
      <c r="AT237" s="18">
        <f>'Sampling Data'!AB237</f>
        <v>6.9101988252662E-4</v>
      </c>
      <c r="AU237" s="18">
        <f>IF(
      SUM(Audit[[#This Row],[Audit Losing Candidate]:[Audit Candidate 12]])
      &lt;&gt;0,
      (Audit[[#This Row],[Winning Candidate]]-Audit[[#This Row],[Losing Candidate]]-(Audit[[#This Row],[Audit Winning Candidate]]-Audit[[#This Row],[Audit Losing Candidate]]))/(Audit[[#Totals],[Winning Candidate]]-Audit[[#Totals],[Losing Candidate]]),
      0
)</f>
        <v>0</v>
      </c>
      <c r="AV2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8">
        <f>IF(Audit[[#This Row],[Max Relative Error (ep)]] = 0, 0, Audit[[#This Row],[Max Relative Error (ep)]]/Audit[[#This Row],[Error Bound (up) - Max. possible relative overstatement]])</f>
        <v>0</v>
      </c>
      <c r="BH2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7" s="18">
        <f t="shared" si="4"/>
        <v>1</v>
      </c>
      <c r="BJ237" s="18">
        <f>PRODUCT($BI$5:BI237)</f>
        <v>0.57146126097022543</v>
      </c>
      <c r="BK237" s="20">
        <f>1 - Audit[[#This Row],[K-M P Value]]</f>
        <v>0.42853873902977457</v>
      </c>
      <c r="BL237" s="18" t="str">
        <f>IF(Audit[[#This Row],[K-M P Value]]&gt;1-'General Info'!$B$12,"Continue", "Stop")</f>
        <v>Continue</v>
      </c>
      <c r="BM237" s="23" t="b">
        <f>IF(Audit[[#This Row],[Status - Continue or stop audit]] = "Continue", TRUE, IF(BL236 = "Continue", TRUE, FALSE))</f>
        <v>1</v>
      </c>
      <c r="BN237" s="23"/>
    </row>
    <row r="238" spans="1:66" ht="15" hidden="1" customHeight="1" x14ac:dyDescent="0.35">
      <c r="A238" s="18" t="str">
        <f>'Sampling Data'!AI238</f>
        <v/>
      </c>
      <c r="B238" s="18" t="str">
        <f>'Sampling Data'!A238</f>
        <v>3505 IND HLL E   (AV)</v>
      </c>
      <c r="C238" s="18">
        <f>'Sampling Data'!B238</f>
        <v>7</v>
      </c>
      <c r="D238" s="18">
        <f>'Sampling Data'!C238</f>
        <v>3</v>
      </c>
      <c r="E238" s="19">
        <f>'Sampling Data'!D238</f>
        <v>0</v>
      </c>
      <c r="F238" s="19">
        <f>'Sampling Data'!E238</f>
        <v>0</v>
      </c>
      <c r="G238" s="19">
        <f>'Sampling Data'!F238</f>
        <v>0</v>
      </c>
      <c r="H238" s="19">
        <f>'Sampling Data'!G238</f>
        <v>0</v>
      </c>
      <c r="I238" s="19">
        <f>'Sampling Data'!H238</f>
        <v>0</v>
      </c>
      <c r="J238" s="19">
        <f>'Sampling Data'!I238</f>
        <v>0</v>
      </c>
      <c r="K238" s="19">
        <f>'Sampling Data'!J238</f>
        <v>0</v>
      </c>
      <c r="L238" s="19">
        <f>'Sampling Data'!K238</f>
        <v>0</v>
      </c>
      <c r="M238" s="19">
        <f>'Sampling Data'!L238</f>
        <v>0</v>
      </c>
      <c r="N238" s="19">
        <f>'Sampling Data'!M238</f>
        <v>0</v>
      </c>
      <c r="O238" s="18">
        <f>'Sampling Data'!N238</f>
        <v>0</v>
      </c>
      <c r="P238" s="18">
        <f>'Sampling Data'!O238</f>
        <v>1</v>
      </c>
      <c r="Q238" s="18">
        <f>'Sampling Data'!P238</f>
        <v>11</v>
      </c>
      <c r="R238" s="18">
        <f>'Sampling Data'!AJ238</f>
        <v>0</v>
      </c>
      <c r="S238" s="112"/>
      <c r="T238" s="112"/>
      <c r="U238" s="113"/>
      <c r="V238" s="113"/>
      <c r="W238" s="112"/>
      <c r="X238" s="112"/>
      <c r="Y238" s="112"/>
      <c r="Z238" s="112"/>
      <c r="AA238" s="15"/>
      <c r="AB238" s="15"/>
      <c r="AC238" s="15"/>
      <c r="AD238" s="15"/>
      <c r="AE238" s="114" t="str">
        <f>IF(NOT(ISBLANK(Audit[[#This Row],[Audit Winning Candidate]])), Audit[[#This Row],[Audit Winning Candidate]]-Audit[[#This Row],[Winning Candidate]], "")</f>
        <v/>
      </c>
      <c r="AF238" s="18" t="str">
        <f>IF(NOT(ISBLANK(Audit[[#This Row],[Audit Losing Candidate]])), Audit[[#This Row],[Audit Losing Candidate]]-Audit[[#This Row],[Losing Candidate]], "")</f>
        <v/>
      </c>
      <c r="AG238" s="18" t="str">
        <f>IF(NOT(ISBLANK(Audit[[#This Row],[Audit Candidate 3]])), Audit[[#This Row],[Audit Candidate 3]]-Audit[[#This Row],[Candidate 3]], "")</f>
        <v/>
      </c>
      <c r="AH238" s="18" t="str">
        <f>IF(NOT(ISBLANK(Audit[[#This Row],[Audit Candidate 4]])),Audit[[#This Row],[Audit Candidate 4]]-Audit[[#This Row],[Candidate 4]], "")</f>
        <v/>
      </c>
      <c r="AI238" s="18" t="str">
        <f>IF(NOT(ISBLANK(Audit[[#This Row],[Audit Candidate 5]])), Audit[[#This Row],[Audit Candidate 5]]-Audit[[#This Row],[Candidate 5]], "")</f>
        <v/>
      </c>
      <c r="AJ238" s="18" t="str">
        <f>IF(NOT(ISBLANK(Audit[[#This Row],[Audit Candidate 6]])), Audit[[#This Row],[Audit Candidate 6]]-Audit[[#This Row],[Candidate 6]], "")</f>
        <v/>
      </c>
      <c r="AK238" s="18" t="str">
        <f>IF(NOT(ISBLANK(Audit[[#This Row],[Audit Candidate 7]])), Audit[[#This Row],[Audit Candidate 7]]-Audit[[#This Row],[Candidate 7]], "")</f>
        <v/>
      </c>
      <c r="AL238" s="18" t="str">
        <f>IF(NOT(ISBLANK(Audit[[#This Row],[Audit Candidate 8]])), Audit[[#This Row],[Audit Candidate 8]]-Audit[[#This Row],[Candidate 8]], "")</f>
        <v/>
      </c>
      <c r="AM238" s="18" t="str">
        <f>IF(NOT(ISBLANK(Audit[[#This Row],[Audit Candidate 9]])), Audit[[#This Row],[Audit Candidate 9]]-Audit[[#This Row],[Candidate 9]], "")</f>
        <v/>
      </c>
      <c r="AN238" s="18" t="str">
        <f>IF(NOT(ISBLANK(Audit[[#This Row],[Audit Candidate 10]])), Audit[[#This Row],[Audit Candidate 10]]-Audit[[#This Row],[Candidate 10]], "")</f>
        <v/>
      </c>
      <c r="AO238" s="18" t="str">
        <f>IF(NOT(ISBLANK(Audit[[#This Row],[Audit Candidate 11]])), Audit[[#This Row],[Audit Candidate 11]]-Audit[[#This Row],[Candidate 11]], "")</f>
        <v/>
      </c>
      <c r="AP238" s="18" t="str">
        <f>IF(NOT(ISBLANK(Audit[[#This Row],[Audit Candidate 12]])), Audit[[#This Row],[Audit Candidate 12]]-Audit[[#This Row],[Candidate 12]], "")</f>
        <v/>
      </c>
      <c r="AQ238" s="18">
        <f>SUMIF(Audit[[#This Row],[Difference Winner]:[Difference Candidate 12]], "&gt;0")</f>
        <v>0</v>
      </c>
      <c r="AR238" s="18">
        <f>SUM(Audit[[#This Row],[Difference Winner]:[Difference Candidate 12]])</f>
        <v>0</v>
      </c>
      <c r="AS238" s="18">
        <f>IF(Audit[[#This Row],[Times p Drawn - With Replacement]]&gt;0, IF(Audit[[#This Row],[Canceled Differences]]&lt;0, Audit[[#This Row],[Max Differences]]+ABS(Audit[[#This Row],[Canceled Differences]]), Audit[[#This Row],[Max Differences]]), 0)</f>
        <v>0</v>
      </c>
      <c r="AT238" s="18">
        <f>'Sampling Data'!AB238</f>
        <v>4.7114991990451359E-4</v>
      </c>
      <c r="AU238" s="18">
        <f>IF(
      SUM(Audit[[#This Row],[Audit Losing Candidate]:[Audit Candidate 12]])
      &lt;&gt;0,
      (Audit[[#This Row],[Winning Candidate]]-Audit[[#This Row],[Losing Candidate]]-(Audit[[#This Row],[Audit Winning Candidate]]-Audit[[#This Row],[Audit Losing Candidate]]))/(Audit[[#Totals],[Winning Candidate]]-Audit[[#Totals],[Losing Candidate]]),
      0
)</f>
        <v>0</v>
      </c>
      <c r="AV2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8">
        <f>IF(Audit[[#This Row],[Max Relative Error (ep)]] = 0, 0, Audit[[#This Row],[Max Relative Error (ep)]]/Audit[[#This Row],[Error Bound (up) - Max. possible relative overstatement]])</f>
        <v>0</v>
      </c>
      <c r="BH2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8" s="18">
        <f t="shared" si="4"/>
        <v>1</v>
      </c>
      <c r="BJ238" s="18">
        <f>PRODUCT($BI$5:BI238)</f>
        <v>0.57146126097022543</v>
      </c>
      <c r="BK238" s="20">
        <f>1 - Audit[[#This Row],[K-M P Value]]</f>
        <v>0.42853873902977457</v>
      </c>
      <c r="BL238" s="18" t="str">
        <f>IF(Audit[[#This Row],[K-M P Value]]&gt;1-'General Info'!$B$12,"Continue", "Stop")</f>
        <v>Continue</v>
      </c>
      <c r="BM238" s="23" t="b">
        <f>IF(Audit[[#This Row],[Status - Continue or stop audit]] = "Continue", TRUE, IF(BL237 = "Continue", TRUE, FALSE))</f>
        <v>1</v>
      </c>
      <c r="BN238" s="23"/>
    </row>
    <row r="239" spans="1:66" ht="15" hidden="1" customHeight="1" x14ac:dyDescent="0.35">
      <c r="A239" s="18" t="str">
        <f>'Sampling Data'!AI239</f>
        <v/>
      </c>
      <c r="B239" s="18" t="str">
        <f>'Sampling Data'!A239</f>
        <v>3506 IND HLL F   (AV)</v>
      </c>
      <c r="C239" s="18">
        <f>'Sampling Data'!B239</f>
        <v>2</v>
      </c>
      <c r="D239" s="18">
        <f>'Sampling Data'!C239</f>
        <v>1</v>
      </c>
      <c r="E239" s="19">
        <f>'Sampling Data'!D239</f>
        <v>0</v>
      </c>
      <c r="F239" s="19">
        <f>'Sampling Data'!E239</f>
        <v>0</v>
      </c>
      <c r="G239" s="19">
        <f>'Sampling Data'!F239</f>
        <v>0</v>
      </c>
      <c r="H239" s="19">
        <f>'Sampling Data'!G239</f>
        <v>0</v>
      </c>
      <c r="I239" s="19">
        <f>'Sampling Data'!H239</f>
        <v>0</v>
      </c>
      <c r="J239" s="19">
        <f>'Sampling Data'!I239</f>
        <v>0</v>
      </c>
      <c r="K239" s="19">
        <f>'Sampling Data'!J239</f>
        <v>0</v>
      </c>
      <c r="L239" s="19">
        <f>'Sampling Data'!K239</f>
        <v>0</v>
      </c>
      <c r="M239" s="19">
        <f>'Sampling Data'!L239</f>
        <v>0</v>
      </c>
      <c r="N239" s="19">
        <f>'Sampling Data'!M239</f>
        <v>0</v>
      </c>
      <c r="O239" s="18">
        <f>'Sampling Data'!N239</f>
        <v>0</v>
      </c>
      <c r="P239" s="18">
        <f>'Sampling Data'!O239</f>
        <v>0</v>
      </c>
      <c r="Q239" s="18">
        <f>'Sampling Data'!P239</f>
        <v>3</v>
      </c>
      <c r="R239" s="18">
        <f>'Sampling Data'!AJ239</f>
        <v>0</v>
      </c>
      <c r="S239" s="112"/>
      <c r="T239" s="112"/>
      <c r="U239" s="113"/>
      <c r="V239" s="113"/>
      <c r="W239" s="112"/>
      <c r="X239" s="112"/>
      <c r="Y239" s="112"/>
      <c r="Z239" s="112"/>
      <c r="AA239" s="15"/>
      <c r="AB239" s="15"/>
      <c r="AC239" s="15"/>
      <c r="AD239" s="15"/>
      <c r="AE239" s="114" t="str">
        <f>IF(NOT(ISBLANK(Audit[[#This Row],[Audit Winning Candidate]])), Audit[[#This Row],[Audit Winning Candidate]]-Audit[[#This Row],[Winning Candidate]], "")</f>
        <v/>
      </c>
      <c r="AF239" s="18" t="str">
        <f>IF(NOT(ISBLANK(Audit[[#This Row],[Audit Losing Candidate]])), Audit[[#This Row],[Audit Losing Candidate]]-Audit[[#This Row],[Losing Candidate]], "")</f>
        <v/>
      </c>
      <c r="AG239" s="18" t="str">
        <f>IF(NOT(ISBLANK(Audit[[#This Row],[Audit Candidate 3]])), Audit[[#This Row],[Audit Candidate 3]]-Audit[[#This Row],[Candidate 3]], "")</f>
        <v/>
      </c>
      <c r="AH239" s="18" t="str">
        <f>IF(NOT(ISBLANK(Audit[[#This Row],[Audit Candidate 4]])),Audit[[#This Row],[Audit Candidate 4]]-Audit[[#This Row],[Candidate 4]], "")</f>
        <v/>
      </c>
      <c r="AI239" s="18" t="str">
        <f>IF(NOT(ISBLANK(Audit[[#This Row],[Audit Candidate 5]])), Audit[[#This Row],[Audit Candidate 5]]-Audit[[#This Row],[Candidate 5]], "")</f>
        <v/>
      </c>
      <c r="AJ239" s="18" t="str">
        <f>IF(NOT(ISBLANK(Audit[[#This Row],[Audit Candidate 6]])), Audit[[#This Row],[Audit Candidate 6]]-Audit[[#This Row],[Candidate 6]], "")</f>
        <v/>
      </c>
      <c r="AK239" s="18" t="str">
        <f>IF(NOT(ISBLANK(Audit[[#This Row],[Audit Candidate 7]])), Audit[[#This Row],[Audit Candidate 7]]-Audit[[#This Row],[Candidate 7]], "")</f>
        <v/>
      </c>
      <c r="AL239" s="18" t="str">
        <f>IF(NOT(ISBLANK(Audit[[#This Row],[Audit Candidate 8]])), Audit[[#This Row],[Audit Candidate 8]]-Audit[[#This Row],[Candidate 8]], "")</f>
        <v/>
      </c>
      <c r="AM239" s="18" t="str">
        <f>IF(NOT(ISBLANK(Audit[[#This Row],[Audit Candidate 9]])), Audit[[#This Row],[Audit Candidate 9]]-Audit[[#This Row],[Candidate 9]], "")</f>
        <v/>
      </c>
      <c r="AN239" s="18" t="str">
        <f>IF(NOT(ISBLANK(Audit[[#This Row],[Audit Candidate 10]])), Audit[[#This Row],[Audit Candidate 10]]-Audit[[#This Row],[Candidate 10]], "")</f>
        <v/>
      </c>
      <c r="AO239" s="18" t="str">
        <f>IF(NOT(ISBLANK(Audit[[#This Row],[Audit Candidate 11]])), Audit[[#This Row],[Audit Candidate 11]]-Audit[[#This Row],[Candidate 11]], "")</f>
        <v/>
      </c>
      <c r="AP239" s="18" t="str">
        <f>IF(NOT(ISBLANK(Audit[[#This Row],[Audit Candidate 12]])), Audit[[#This Row],[Audit Candidate 12]]-Audit[[#This Row],[Candidate 12]], "")</f>
        <v/>
      </c>
      <c r="AQ239" s="18">
        <f>SUMIF(Audit[[#This Row],[Difference Winner]:[Difference Candidate 12]], "&gt;0")</f>
        <v>0</v>
      </c>
      <c r="AR239" s="18">
        <f>SUM(Audit[[#This Row],[Difference Winner]:[Difference Candidate 12]])</f>
        <v>0</v>
      </c>
      <c r="AS239" s="18">
        <f>IF(Audit[[#This Row],[Times p Drawn - With Replacement]]&gt;0, IF(Audit[[#This Row],[Canceled Differences]]&lt;0, Audit[[#This Row],[Max Differences]]+ABS(Audit[[#This Row],[Canceled Differences]]), Audit[[#This Row],[Max Differences]]), 0)</f>
        <v>0</v>
      </c>
      <c r="AT239" s="18">
        <f>'Sampling Data'!AB239</f>
        <v>1.2563997864120362E-4</v>
      </c>
      <c r="AU239" s="18">
        <f>IF(
      SUM(Audit[[#This Row],[Audit Losing Candidate]:[Audit Candidate 12]])
      &lt;&gt;0,
      (Audit[[#This Row],[Winning Candidate]]-Audit[[#This Row],[Losing Candidate]]-(Audit[[#This Row],[Audit Winning Candidate]]-Audit[[#This Row],[Audit Losing Candidate]]))/(Audit[[#Totals],[Winning Candidate]]-Audit[[#Totals],[Losing Candidate]]),
      0
)</f>
        <v>0</v>
      </c>
      <c r="AV2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8">
        <f>IF(Audit[[#This Row],[Max Relative Error (ep)]] = 0, 0, Audit[[#This Row],[Max Relative Error (ep)]]/Audit[[#This Row],[Error Bound (up) - Max. possible relative overstatement]])</f>
        <v>0</v>
      </c>
      <c r="BH2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39" s="18">
        <f t="shared" si="4"/>
        <v>1</v>
      </c>
      <c r="BJ239" s="18">
        <f>PRODUCT($BI$5:BI239)</f>
        <v>0.57146126097022543</v>
      </c>
      <c r="BK239" s="20">
        <f>1 - Audit[[#This Row],[K-M P Value]]</f>
        <v>0.42853873902977457</v>
      </c>
      <c r="BL239" s="18" t="str">
        <f>IF(Audit[[#This Row],[K-M P Value]]&gt;1-'General Info'!$B$12,"Continue", "Stop")</f>
        <v>Continue</v>
      </c>
      <c r="BM239" s="23" t="b">
        <f>IF(Audit[[#This Row],[Status - Continue or stop audit]] = "Continue", TRUE, IF(BL238 = "Continue", TRUE, FALSE))</f>
        <v>1</v>
      </c>
      <c r="BN239" s="23"/>
    </row>
    <row r="240" spans="1:66" ht="15" hidden="1" customHeight="1" x14ac:dyDescent="0.35">
      <c r="A240" s="18" t="str">
        <f>'Sampling Data'!AI240</f>
        <v/>
      </c>
      <c r="B240" s="18" t="str">
        <f>'Sampling Data'!A240</f>
        <v>3701 LOVE A   (AV)</v>
      </c>
      <c r="C240" s="18">
        <f>'Sampling Data'!B240</f>
        <v>7</v>
      </c>
      <c r="D240" s="18">
        <f>'Sampling Data'!C240</f>
        <v>1</v>
      </c>
      <c r="E240" s="19">
        <f>'Sampling Data'!D240</f>
        <v>0</v>
      </c>
      <c r="F240" s="19">
        <f>'Sampling Data'!E240</f>
        <v>0</v>
      </c>
      <c r="G240" s="19">
        <f>'Sampling Data'!F240</f>
        <v>0</v>
      </c>
      <c r="H240" s="19">
        <f>'Sampling Data'!G240</f>
        <v>0</v>
      </c>
      <c r="I240" s="19">
        <f>'Sampling Data'!H240</f>
        <v>0</v>
      </c>
      <c r="J240" s="19">
        <f>'Sampling Data'!I240</f>
        <v>0</v>
      </c>
      <c r="K240" s="19">
        <f>'Sampling Data'!J240</f>
        <v>0</v>
      </c>
      <c r="L240" s="19">
        <f>'Sampling Data'!K240</f>
        <v>0</v>
      </c>
      <c r="M240" s="19">
        <f>'Sampling Data'!L240</f>
        <v>0</v>
      </c>
      <c r="N240" s="19">
        <f>'Sampling Data'!M240</f>
        <v>0</v>
      </c>
      <c r="O240" s="18">
        <f>'Sampling Data'!N240</f>
        <v>0</v>
      </c>
      <c r="P240" s="18">
        <f>'Sampling Data'!O240</f>
        <v>1</v>
      </c>
      <c r="Q240" s="18">
        <f>'Sampling Data'!P240</f>
        <v>9</v>
      </c>
      <c r="R240" s="18">
        <f>'Sampling Data'!AJ240</f>
        <v>0</v>
      </c>
      <c r="S240" s="112"/>
      <c r="T240" s="112"/>
      <c r="U240" s="113"/>
      <c r="V240" s="113"/>
      <c r="W240" s="112"/>
      <c r="X240" s="112"/>
      <c r="Y240" s="112"/>
      <c r="Z240" s="112"/>
      <c r="AA240" s="15"/>
      <c r="AB240" s="15"/>
      <c r="AC240" s="15"/>
      <c r="AD240" s="15"/>
      <c r="AE240" s="114" t="str">
        <f>IF(NOT(ISBLANK(Audit[[#This Row],[Audit Winning Candidate]])), Audit[[#This Row],[Audit Winning Candidate]]-Audit[[#This Row],[Winning Candidate]], "")</f>
        <v/>
      </c>
      <c r="AF240" s="18" t="str">
        <f>IF(NOT(ISBLANK(Audit[[#This Row],[Audit Losing Candidate]])), Audit[[#This Row],[Audit Losing Candidate]]-Audit[[#This Row],[Losing Candidate]], "")</f>
        <v/>
      </c>
      <c r="AG240" s="18" t="str">
        <f>IF(NOT(ISBLANK(Audit[[#This Row],[Audit Candidate 3]])), Audit[[#This Row],[Audit Candidate 3]]-Audit[[#This Row],[Candidate 3]], "")</f>
        <v/>
      </c>
      <c r="AH240" s="18" t="str">
        <f>IF(NOT(ISBLANK(Audit[[#This Row],[Audit Candidate 4]])),Audit[[#This Row],[Audit Candidate 4]]-Audit[[#This Row],[Candidate 4]], "")</f>
        <v/>
      </c>
      <c r="AI240" s="18" t="str">
        <f>IF(NOT(ISBLANK(Audit[[#This Row],[Audit Candidate 5]])), Audit[[#This Row],[Audit Candidate 5]]-Audit[[#This Row],[Candidate 5]], "")</f>
        <v/>
      </c>
      <c r="AJ240" s="18" t="str">
        <f>IF(NOT(ISBLANK(Audit[[#This Row],[Audit Candidate 6]])), Audit[[#This Row],[Audit Candidate 6]]-Audit[[#This Row],[Candidate 6]], "")</f>
        <v/>
      </c>
      <c r="AK240" s="18" t="str">
        <f>IF(NOT(ISBLANK(Audit[[#This Row],[Audit Candidate 7]])), Audit[[#This Row],[Audit Candidate 7]]-Audit[[#This Row],[Candidate 7]], "")</f>
        <v/>
      </c>
      <c r="AL240" s="18" t="str">
        <f>IF(NOT(ISBLANK(Audit[[#This Row],[Audit Candidate 8]])), Audit[[#This Row],[Audit Candidate 8]]-Audit[[#This Row],[Candidate 8]], "")</f>
        <v/>
      </c>
      <c r="AM240" s="18" t="str">
        <f>IF(NOT(ISBLANK(Audit[[#This Row],[Audit Candidate 9]])), Audit[[#This Row],[Audit Candidate 9]]-Audit[[#This Row],[Candidate 9]], "")</f>
        <v/>
      </c>
      <c r="AN240" s="18" t="str">
        <f>IF(NOT(ISBLANK(Audit[[#This Row],[Audit Candidate 10]])), Audit[[#This Row],[Audit Candidate 10]]-Audit[[#This Row],[Candidate 10]], "")</f>
        <v/>
      </c>
      <c r="AO240" s="18" t="str">
        <f>IF(NOT(ISBLANK(Audit[[#This Row],[Audit Candidate 11]])), Audit[[#This Row],[Audit Candidate 11]]-Audit[[#This Row],[Candidate 11]], "")</f>
        <v/>
      </c>
      <c r="AP240" s="18" t="str">
        <f>IF(NOT(ISBLANK(Audit[[#This Row],[Audit Candidate 12]])), Audit[[#This Row],[Audit Candidate 12]]-Audit[[#This Row],[Candidate 12]], "")</f>
        <v/>
      </c>
      <c r="AQ240" s="18">
        <f>SUMIF(Audit[[#This Row],[Difference Winner]:[Difference Candidate 12]], "&gt;0")</f>
        <v>0</v>
      </c>
      <c r="AR240" s="18">
        <f>SUM(Audit[[#This Row],[Difference Winner]:[Difference Candidate 12]])</f>
        <v>0</v>
      </c>
      <c r="AS240" s="18">
        <f>IF(Audit[[#This Row],[Times p Drawn - With Replacement]]&gt;0, IF(Audit[[#This Row],[Canceled Differences]]&lt;0, Audit[[#This Row],[Max Differences]]+ABS(Audit[[#This Row],[Canceled Differences]]), Audit[[#This Row],[Max Differences]]), 0)</f>
        <v>0</v>
      </c>
      <c r="AT240" s="18">
        <f>'Sampling Data'!AB240</f>
        <v>4.7114991990451359E-4</v>
      </c>
      <c r="AU240" s="18">
        <f>IF(
      SUM(Audit[[#This Row],[Audit Losing Candidate]:[Audit Candidate 12]])
      &lt;&gt;0,
      (Audit[[#This Row],[Winning Candidate]]-Audit[[#This Row],[Losing Candidate]]-(Audit[[#This Row],[Audit Winning Candidate]]-Audit[[#This Row],[Audit Losing Candidate]]))/(Audit[[#Totals],[Winning Candidate]]-Audit[[#Totals],[Losing Candidate]]),
      0
)</f>
        <v>0</v>
      </c>
      <c r="AV2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8">
        <f>IF(Audit[[#This Row],[Max Relative Error (ep)]] = 0, 0, Audit[[#This Row],[Max Relative Error (ep)]]/Audit[[#This Row],[Error Bound (up) - Max. possible relative overstatement]])</f>
        <v>0</v>
      </c>
      <c r="BH2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0" s="18">
        <f t="shared" si="4"/>
        <v>1</v>
      </c>
      <c r="BJ240" s="18">
        <f>PRODUCT($BI$5:BI240)</f>
        <v>0.57146126097022543</v>
      </c>
      <c r="BK240" s="20">
        <f>1 - Audit[[#This Row],[K-M P Value]]</f>
        <v>0.42853873902977457</v>
      </c>
      <c r="BL240" s="18" t="str">
        <f>IF(Audit[[#This Row],[K-M P Value]]&gt;1-'General Info'!$B$12,"Continue", "Stop")</f>
        <v>Continue</v>
      </c>
      <c r="BM240" s="23" t="b">
        <f>IF(Audit[[#This Row],[Status - Continue or stop audit]] = "Continue", TRUE, IF(BL239 = "Continue", TRUE, FALSE))</f>
        <v>1</v>
      </c>
      <c r="BN240" s="23"/>
    </row>
    <row r="241" spans="1:66" ht="15" hidden="1" customHeight="1" x14ac:dyDescent="0.35">
      <c r="A241" s="18" t="str">
        <f>'Sampling Data'!AI241</f>
        <v/>
      </c>
      <c r="B241" s="18" t="str">
        <f>'Sampling Data'!A241</f>
        <v>3702 LOVE B   (AV)</v>
      </c>
      <c r="C241" s="18">
        <f>'Sampling Data'!B241</f>
        <v>8</v>
      </c>
      <c r="D241" s="18">
        <f>'Sampling Data'!C241</f>
        <v>1</v>
      </c>
      <c r="E241" s="19">
        <f>'Sampling Data'!D241</f>
        <v>0</v>
      </c>
      <c r="F241" s="19">
        <f>'Sampling Data'!E241</f>
        <v>0</v>
      </c>
      <c r="G241" s="19">
        <f>'Sampling Data'!F241</f>
        <v>0</v>
      </c>
      <c r="H241" s="19">
        <f>'Sampling Data'!G241</f>
        <v>0</v>
      </c>
      <c r="I241" s="19">
        <f>'Sampling Data'!H241</f>
        <v>0</v>
      </c>
      <c r="J241" s="19">
        <f>'Sampling Data'!I241</f>
        <v>0</v>
      </c>
      <c r="K241" s="19">
        <f>'Sampling Data'!J241</f>
        <v>0</v>
      </c>
      <c r="L241" s="19">
        <f>'Sampling Data'!K241</f>
        <v>0</v>
      </c>
      <c r="M241" s="19">
        <f>'Sampling Data'!L241</f>
        <v>0</v>
      </c>
      <c r="N241" s="19">
        <f>'Sampling Data'!M241</f>
        <v>0</v>
      </c>
      <c r="O241" s="18">
        <f>'Sampling Data'!N241</f>
        <v>0</v>
      </c>
      <c r="P241" s="18">
        <f>'Sampling Data'!O241</f>
        <v>0</v>
      </c>
      <c r="Q241" s="18">
        <f>'Sampling Data'!P241</f>
        <v>9</v>
      </c>
      <c r="R241" s="18">
        <f>'Sampling Data'!AJ241</f>
        <v>0</v>
      </c>
      <c r="S241" s="112"/>
      <c r="T241" s="112"/>
      <c r="U241" s="113"/>
      <c r="V241" s="113"/>
      <c r="W241" s="112"/>
      <c r="X241" s="112"/>
      <c r="Y241" s="112"/>
      <c r="Z241" s="112"/>
      <c r="AA241" s="15"/>
      <c r="AB241" s="15"/>
      <c r="AC241" s="15"/>
      <c r="AD241" s="15"/>
      <c r="AE241" s="114" t="str">
        <f>IF(NOT(ISBLANK(Audit[[#This Row],[Audit Winning Candidate]])), Audit[[#This Row],[Audit Winning Candidate]]-Audit[[#This Row],[Winning Candidate]], "")</f>
        <v/>
      </c>
      <c r="AF241" s="18" t="str">
        <f>IF(NOT(ISBLANK(Audit[[#This Row],[Audit Losing Candidate]])), Audit[[#This Row],[Audit Losing Candidate]]-Audit[[#This Row],[Losing Candidate]], "")</f>
        <v/>
      </c>
      <c r="AG241" s="18" t="str">
        <f>IF(NOT(ISBLANK(Audit[[#This Row],[Audit Candidate 3]])), Audit[[#This Row],[Audit Candidate 3]]-Audit[[#This Row],[Candidate 3]], "")</f>
        <v/>
      </c>
      <c r="AH241" s="18" t="str">
        <f>IF(NOT(ISBLANK(Audit[[#This Row],[Audit Candidate 4]])),Audit[[#This Row],[Audit Candidate 4]]-Audit[[#This Row],[Candidate 4]], "")</f>
        <v/>
      </c>
      <c r="AI241" s="18" t="str">
        <f>IF(NOT(ISBLANK(Audit[[#This Row],[Audit Candidate 5]])), Audit[[#This Row],[Audit Candidate 5]]-Audit[[#This Row],[Candidate 5]], "")</f>
        <v/>
      </c>
      <c r="AJ241" s="18" t="str">
        <f>IF(NOT(ISBLANK(Audit[[#This Row],[Audit Candidate 6]])), Audit[[#This Row],[Audit Candidate 6]]-Audit[[#This Row],[Candidate 6]], "")</f>
        <v/>
      </c>
      <c r="AK241" s="18" t="str">
        <f>IF(NOT(ISBLANK(Audit[[#This Row],[Audit Candidate 7]])), Audit[[#This Row],[Audit Candidate 7]]-Audit[[#This Row],[Candidate 7]], "")</f>
        <v/>
      </c>
      <c r="AL241" s="18" t="str">
        <f>IF(NOT(ISBLANK(Audit[[#This Row],[Audit Candidate 8]])), Audit[[#This Row],[Audit Candidate 8]]-Audit[[#This Row],[Candidate 8]], "")</f>
        <v/>
      </c>
      <c r="AM241" s="18" t="str">
        <f>IF(NOT(ISBLANK(Audit[[#This Row],[Audit Candidate 9]])), Audit[[#This Row],[Audit Candidate 9]]-Audit[[#This Row],[Candidate 9]], "")</f>
        <v/>
      </c>
      <c r="AN241" s="18" t="str">
        <f>IF(NOT(ISBLANK(Audit[[#This Row],[Audit Candidate 10]])), Audit[[#This Row],[Audit Candidate 10]]-Audit[[#This Row],[Candidate 10]], "")</f>
        <v/>
      </c>
      <c r="AO241" s="18" t="str">
        <f>IF(NOT(ISBLANK(Audit[[#This Row],[Audit Candidate 11]])), Audit[[#This Row],[Audit Candidate 11]]-Audit[[#This Row],[Candidate 11]], "")</f>
        <v/>
      </c>
      <c r="AP241" s="18" t="str">
        <f>IF(NOT(ISBLANK(Audit[[#This Row],[Audit Candidate 12]])), Audit[[#This Row],[Audit Candidate 12]]-Audit[[#This Row],[Candidate 12]], "")</f>
        <v/>
      </c>
      <c r="AQ241" s="18">
        <f>SUMIF(Audit[[#This Row],[Difference Winner]:[Difference Candidate 12]], "&gt;0")</f>
        <v>0</v>
      </c>
      <c r="AR241" s="18">
        <f>SUM(Audit[[#This Row],[Difference Winner]:[Difference Candidate 12]])</f>
        <v>0</v>
      </c>
      <c r="AS241" s="18">
        <f>IF(Audit[[#This Row],[Times p Drawn - With Replacement]]&gt;0, IF(Audit[[#This Row],[Canceled Differences]]&lt;0, Audit[[#This Row],[Max Differences]]+ABS(Audit[[#This Row],[Canceled Differences]]), Audit[[#This Row],[Max Differences]]), 0)</f>
        <v>0</v>
      </c>
      <c r="AT241" s="18">
        <f>'Sampling Data'!AB241</f>
        <v>5.0255991456481448E-4</v>
      </c>
      <c r="AU241" s="18">
        <f>IF(
      SUM(Audit[[#This Row],[Audit Losing Candidate]:[Audit Candidate 12]])
      &lt;&gt;0,
      (Audit[[#This Row],[Winning Candidate]]-Audit[[#This Row],[Losing Candidate]]-(Audit[[#This Row],[Audit Winning Candidate]]-Audit[[#This Row],[Audit Losing Candidate]]))/(Audit[[#Totals],[Winning Candidate]]-Audit[[#Totals],[Losing Candidate]]),
      0
)</f>
        <v>0</v>
      </c>
      <c r="AV2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8">
        <f>IF(Audit[[#This Row],[Max Relative Error (ep)]] = 0, 0, Audit[[#This Row],[Max Relative Error (ep)]]/Audit[[#This Row],[Error Bound (up) - Max. possible relative overstatement]])</f>
        <v>0</v>
      </c>
      <c r="BH2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1" s="18">
        <f t="shared" si="4"/>
        <v>1</v>
      </c>
      <c r="BJ241" s="18">
        <f>PRODUCT($BI$5:BI241)</f>
        <v>0.57146126097022543</v>
      </c>
      <c r="BK241" s="20">
        <f>1 - Audit[[#This Row],[K-M P Value]]</f>
        <v>0.42853873902977457</v>
      </c>
      <c r="BL241" s="18" t="str">
        <f>IF(Audit[[#This Row],[K-M P Value]]&gt;1-'General Info'!$B$12,"Continue", "Stop")</f>
        <v>Continue</v>
      </c>
      <c r="BM241" s="23" t="b">
        <f>IF(Audit[[#This Row],[Status - Continue or stop audit]] = "Continue", TRUE, IF(BL240 = "Continue", TRUE, FALSE))</f>
        <v>1</v>
      </c>
      <c r="BN241" s="23"/>
    </row>
    <row r="242" spans="1:66" ht="15" hidden="1" customHeight="1" x14ac:dyDescent="0.35">
      <c r="A242" s="18" t="str">
        <f>'Sampling Data'!AI242</f>
        <v/>
      </c>
      <c r="B242" s="18" t="str">
        <f>'Sampling Data'!A242</f>
        <v>3703 LOVE C   (AV)</v>
      </c>
      <c r="C242" s="18">
        <f>'Sampling Data'!B242</f>
        <v>17</v>
      </c>
      <c r="D242" s="18">
        <f>'Sampling Data'!C242</f>
        <v>0</v>
      </c>
      <c r="E242" s="19">
        <f>'Sampling Data'!D242</f>
        <v>0</v>
      </c>
      <c r="F242" s="19">
        <f>'Sampling Data'!E242</f>
        <v>0</v>
      </c>
      <c r="G242" s="19">
        <f>'Sampling Data'!F242</f>
        <v>0</v>
      </c>
      <c r="H242" s="19">
        <f>'Sampling Data'!G242</f>
        <v>0</v>
      </c>
      <c r="I242" s="19">
        <f>'Sampling Data'!H242</f>
        <v>0</v>
      </c>
      <c r="J242" s="19">
        <f>'Sampling Data'!I242</f>
        <v>0</v>
      </c>
      <c r="K242" s="19">
        <f>'Sampling Data'!J242</f>
        <v>0</v>
      </c>
      <c r="L242" s="19">
        <f>'Sampling Data'!K242</f>
        <v>0</v>
      </c>
      <c r="M242" s="19">
        <f>'Sampling Data'!L242</f>
        <v>0</v>
      </c>
      <c r="N242" s="19">
        <f>'Sampling Data'!M242</f>
        <v>0</v>
      </c>
      <c r="O242" s="18">
        <f>'Sampling Data'!N242</f>
        <v>0</v>
      </c>
      <c r="P242" s="18">
        <f>'Sampling Data'!O242</f>
        <v>0</v>
      </c>
      <c r="Q242" s="18">
        <f>'Sampling Data'!P242</f>
        <v>17</v>
      </c>
      <c r="R242" s="18">
        <f>'Sampling Data'!AJ242</f>
        <v>0</v>
      </c>
      <c r="S242" s="112"/>
      <c r="T242" s="112"/>
      <c r="U242" s="113"/>
      <c r="V242" s="113"/>
      <c r="W242" s="112"/>
      <c r="X242" s="112"/>
      <c r="Y242" s="112"/>
      <c r="Z242" s="112"/>
      <c r="AA242" s="15"/>
      <c r="AB242" s="15"/>
      <c r="AC242" s="15"/>
      <c r="AD242" s="15"/>
      <c r="AE242" s="114" t="str">
        <f>IF(NOT(ISBLANK(Audit[[#This Row],[Audit Winning Candidate]])), Audit[[#This Row],[Audit Winning Candidate]]-Audit[[#This Row],[Winning Candidate]], "")</f>
        <v/>
      </c>
      <c r="AF242" s="18" t="str">
        <f>IF(NOT(ISBLANK(Audit[[#This Row],[Audit Losing Candidate]])), Audit[[#This Row],[Audit Losing Candidate]]-Audit[[#This Row],[Losing Candidate]], "")</f>
        <v/>
      </c>
      <c r="AG242" s="18" t="str">
        <f>IF(NOT(ISBLANK(Audit[[#This Row],[Audit Candidate 3]])), Audit[[#This Row],[Audit Candidate 3]]-Audit[[#This Row],[Candidate 3]], "")</f>
        <v/>
      </c>
      <c r="AH242" s="18" t="str">
        <f>IF(NOT(ISBLANK(Audit[[#This Row],[Audit Candidate 4]])),Audit[[#This Row],[Audit Candidate 4]]-Audit[[#This Row],[Candidate 4]], "")</f>
        <v/>
      </c>
      <c r="AI242" s="18" t="str">
        <f>IF(NOT(ISBLANK(Audit[[#This Row],[Audit Candidate 5]])), Audit[[#This Row],[Audit Candidate 5]]-Audit[[#This Row],[Candidate 5]], "")</f>
        <v/>
      </c>
      <c r="AJ242" s="18" t="str">
        <f>IF(NOT(ISBLANK(Audit[[#This Row],[Audit Candidate 6]])), Audit[[#This Row],[Audit Candidate 6]]-Audit[[#This Row],[Candidate 6]], "")</f>
        <v/>
      </c>
      <c r="AK242" s="18" t="str">
        <f>IF(NOT(ISBLANK(Audit[[#This Row],[Audit Candidate 7]])), Audit[[#This Row],[Audit Candidate 7]]-Audit[[#This Row],[Candidate 7]], "")</f>
        <v/>
      </c>
      <c r="AL242" s="18" t="str">
        <f>IF(NOT(ISBLANK(Audit[[#This Row],[Audit Candidate 8]])), Audit[[#This Row],[Audit Candidate 8]]-Audit[[#This Row],[Candidate 8]], "")</f>
        <v/>
      </c>
      <c r="AM242" s="18" t="str">
        <f>IF(NOT(ISBLANK(Audit[[#This Row],[Audit Candidate 9]])), Audit[[#This Row],[Audit Candidate 9]]-Audit[[#This Row],[Candidate 9]], "")</f>
        <v/>
      </c>
      <c r="AN242" s="18" t="str">
        <f>IF(NOT(ISBLANK(Audit[[#This Row],[Audit Candidate 10]])), Audit[[#This Row],[Audit Candidate 10]]-Audit[[#This Row],[Candidate 10]], "")</f>
        <v/>
      </c>
      <c r="AO242" s="18" t="str">
        <f>IF(NOT(ISBLANK(Audit[[#This Row],[Audit Candidate 11]])), Audit[[#This Row],[Audit Candidate 11]]-Audit[[#This Row],[Candidate 11]], "")</f>
        <v/>
      </c>
      <c r="AP242" s="18" t="str">
        <f>IF(NOT(ISBLANK(Audit[[#This Row],[Audit Candidate 12]])), Audit[[#This Row],[Audit Candidate 12]]-Audit[[#This Row],[Candidate 12]], "")</f>
        <v/>
      </c>
      <c r="AQ242" s="18">
        <f>SUMIF(Audit[[#This Row],[Difference Winner]:[Difference Candidate 12]], "&gt;0")</f>
        <v>0</v>
      </c>
      <c r="AR242" s="18">
        <f>SUM(Audit[[#This Row],[Difference Winner]:[Difference Candidate 12]])</f>
        <v>0</v>
      </c>
      <c r="AS242" s="18">
        <f>IF(Audit[[#This Row],[Times p Drawn - With Replacement]]&gt;0, IF(Audit[[#This Row],[Canceled Differences]]&lt;0, Audit[[#This Row],[Max Differences]]+ABS(Audit[[#This Row],[Canceled Differences]]), Audit[[#This Row],[Max Differences]]), 0)</f>
        <v>0</v>
      </c>
      <c r="AT242" s="18">
        <f>'Sampling Data'!AB242</f>
        <v>1.0679398184502309E-3</v>
      </c>
      <c r="AU242" s="18">
        <f>IF(
      SUM(Audit[[#This Row],[Audit Losing Candidate]:[Audit Candidate 12]])
      &lt;&gt;0,
      (Audit[[#This Row],[Winning Candidate]]-Audit[[#This Row],[Losing Candidate]]-(Audit[[#This Row],[Audit Winning Candidate]]-Audit[[#This Row],[Audit Losing Candidate]]))/(Audit[[#Totals],[Winning Candidate]]-Audit[[#Totals],[Losing Candidate]]),
      0
)</f>
        <v>0</v>
      </c>
      <c r="AV2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8">
        <f>IF(Audit[[#This Row],[Max Relative Error (ep)]] = 0, 0, Audit[[#This Row],[Max Relative Error (ep)]]/Audit[[#This Row],[Error Bound (up) - Max. possible relative overstatement]])</f>
        <v>0</v>
      </c>
      <c r="BH2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2" s="18">
        <f t="shared" si="4"/>
        <v>1</v>
      </c>
      <c r="BJ242" s="18">
        <f>PRODUCT($BI$5:BI242)</f>
        <v>0.57146126097022543</v>
      </c>
      <c r="BK242" s="20">
        <f>1 - Audit[[#This Row],[K-M P Value]]</f>
        <v>0.42853873902977457</v>
      </c>
      <c r="BL242" s="18" t="str">
        <f>IF(Audit[[#This Row],[K-M P Value]]&gt;1-'General Info'!$B$12,"Continue", "Stop")</f>
        <v>Continue</v>
      </c>
      <c r="BM242" s="23" t="b">
        <f>IF(Audit[[#This Row],[Status - Continue or stop audit]] = "Continue", TRUE, IF(BL241 = "Continue", TRUE, FALSE))</f>
        <v>1</v>
      </c>
      <c r="BN242" s="23"/>
    </row>
    <row r="243" spans="1:66" ht="15" hidden="1" customHeight="1" x14ac:dyDescent="0.35">
      <c r="A243" s="18" t="str">
        <f>'Sampling Data'!AI243</f>
        <v/>
      </c>
      <c r="B243" s="18" t="str">
        <f>'Sampling Data'!A243</f>
        <v>3704 LOVE D   (AV)</v>
      </c>
      <c r="C243" s="18">
        <f>'Sampling Data'!B243</f>
        <v>7</v>
      </c>
      <c r="D243" s="18">
        <f>'Sampling Data'!C243</f>
        <v>0</v>
      </c>
      <c r="E243" s="19">
        <f>'Sampling Data'!D243</f>
        <v>0</v>
      </c>
      <c r="F243" s="19">
        <f>'Sampling Data'!E243</f>
        <v>0</v>
      </c>
      <c r="G243" s="19">
        <f>'Sampling Data'!F243</f>
        <v>0</v>
      </c>
      <c r="H243" s="19">
        <f>'Sampling Data'!G243</f>
        <v>0</v>
      </c>
      <c r="I243" s="19">
        <f>'Sampling Data'!H243</f>
        <v>0</v>
      </c>
      <c r="J243" s="19">
        <f>'Sampling Data'!I243</f>
        <v>0</v>
      </c>
      <c r="K243" s="19">
        <f>'Sampling Data'!J243</f>
        <v>0</v>
      </c>
      <c r="L243" s="19">
        <f>'Sampling Data'!K243</f>
        <v>0</v>
      </c>
      <c r="M243" s="19">
        <f>'Sampling Data'!L243</f>
        <v>0</v>
      </c>
      <c r="N243" s="19">
        <f>'Sampling Data'!M243</f>
        <v>0</v>
      </c>
      <c r="O243" s="18">
        <f>'Sampling Data'!N243</f>
        <v>0</v>
      </c>
      <c r="P243" s="18">
        <f>'Sampling Data'!O243</f>
        <v>0</v>
      </c>
      <c r="Q243" s="18">
        <f>'Sampling Data'!P243</f>
        <v>7</v>
      </c>
      <c r="R243" s="18">
        <f>'Sampling Data'!AJ243</f>
        <v>0</v>
      </c>
      <c r="S243" s="112"/>
      <c r="T243" s="112"/>
      <c r="U243" s="113"/>
      <c r="V243" s="113"/>
      <c r="W243" s="112"/>
      <c r="X243" s="112"/>
      <c r="Y243" s="112"/>
      <c r="Z243" s="112"/>
      <c r="AA243" s="15"/>
      <c r="AB243" s="15"/>
      <c r="AC243" s="15"/>
      <c r="AD243" s="15"/>
      <c r="AE243" s="114" t="str">
        <f>IF(NOT(ISBLANK(Audit[[#This Row],[Audit Winning Candidate]])), Audit[[#This Row],[Audit Winning Candidate]]-Audit[[#This Row],[Winning Candidate]], "")</f>
        <v/>
      </c>
      <c r="AF243" s="18" t="str">
        <f>IF(NOT(ISBLANK(Audit[[#This Row],[Audit Losing Candidate]])), Audit[[#This Row],[Audit Losing Candidate]]-Audit[[#This Row],[Losing Candidate]], "")</f>
        <v/>
      </c>
      <c r="AG243" s="18" t="str">
        <f>IF(NOT(ISBLANK(Audit[[#This Row],[Audit Candidate 3]])), Audit[[#This Row],[Audit Candidate 3]]-Audit[[#This Row],[Candidate 3]], "")</f>
        <v/>
      </c>
      <c r="AH243" s="18" t="str">
        <f>IF(NOT(ISBLANK(Audit[[#This Row],[Audit Candidate 4]])),Audit[[#This Row],[Audit Candidate 4]]-Audit[[#This Row],[Candidate 4]], "")</f>
        <v/>
      </c>
      <c r="AI243" s="18" t="str">
        <f>IF(NOT(ISBLANK(Audit[[#This Row],[Audit Candidate 5]])), Audit[[#This Row],[Audit Candidate 5]]-Audit[[#This Row],[Candidate 5]], "")</f>
        <v/>
      </c>
      <c r="AJ243" s="18" t="str">
        <f>IF(NOT(ISBLANK(Audit[[#This Row],[Audit Candidate 6]])), Audit[[#This Row],[Audit Candidate 6]]-Audit[[#This Row],[Candidate 6]], "")</f>
        <v/>
      </c>
      <c r="AK243" s="18" t="str">
        <f>IF(NOT(ISBLANK(Audit[[#This Row],[Audit Candidate 7]])), Audit[[#This Row],[Audit Candidate 7]]-Audit[[#This Row],[Candidate 7]], "")</f>
        <v/>
      </c>
      <c r="AL243" s="18" t="str">
        <f>IF(NOT(ISBLANK(Audit[[#This Row],[Audit Candidate 8]])), Audit[[#This Row],[Audit Candidate 8]]-Audit[[#This Row],[Candidate 8]], "")</f>
        <v/>
      </c>
      <c r="AM243" s="18" t="str">
        <f>IF(NOT(ISBLANK(Audit[[#This Row],[Audit Candidate 9]])), Audit[[#This Row],[Audit Candidate 9]]-Audit[[#This Row],[Candidate 9]], "")</f>
        <v/>
      </c>
      <c r="AN243" s="18" t="str">
        <f>IF(NOT(ISBLANK(Audit[[#This Row],[Audit Candidate 10]])), Audit[[#This Row],[Audit Candidate 10]]-Audit[[#This Row],[Candidate 10]], "")</f>
        <v/>
      </c>
      <c r="AO243" s="18" t="str">
        <f>IF(NOT(ISBLANK(Audit[[#This Row],[Audit Candidate 11]])), Audit[[#This Row],[Audit Candidate 11]]-Audit[[#This Row],[Candidate 11]], "")</f>
        <v/>
      </c>
      <c r="AP243" s="18" t="str">
        <f>IF(NOT(ISBLANK(Audit[[#This Row],[Audit Candidate 12]])), Audit[[#This Row],[Audit Candidate 12]]-Audit[[#This Row],[Candidate 12]], "")</f>
        <v/>
      </c>
      <c r="AQ243" s="18">
        <f>SUMIF(Audit[[#This Row],[Difference Winner]:[Difference Candidate 12]], "&gt;0")</f>
        <v>0</v>
      </c>
      <c r="AR243" s="18">
        <f>SUM(Audit[[#This Row],[Difference Winner]:[Difference Candidate 12]])</f>
        <v>0</v>
      </c>
      <c r="AS243" s="18">
        <f>IF(Audit[[#This Row],[Times p Drawn - With Replacement]]&gt;0, IF(Audit[[#This Row],[Canceled Differences]]&lt;0, Audit[[#This Row],[Max Differences]]+ABS(Audit[[#This Row],[Canceled Differences]]), Audit[[#This Row],[Max Differences]]), 0)</f>
        <v>0</v>
      </c>
      <c r="AT243" s="18">
        <f>'Sampling Data'!AB243</f>
        <v>4.3973992524421271E-4</v>
      </c>
      <c r="AU243" s="18">
        <f>IF(
      SUM(Audit[[#This Row],[Audit Losing Candidate]:[Audit Candidate 12]])
      &lt;&gt;0,
      (Audit[[#This Row],[Winning Candidate]]-Audit[[#This Row],[Losing Candidate]]-(Audit[[#This Row],[Audit Winning Candidate]]-Audit[[#This Row],[Audit Losing Candidate]]))/(Audit[[#Totals],[Winning Candidate]]-Audit[[#Totals],[Losing Candidate]]),
      0
)</f>
        <v>0</v>
      </c>
      <c r="AV2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8">
        <f>IF(Audit[[#This Row],[Max Relative Error (ep)]] = 0, 0, Audit[[#This Row],[Max Relative Error (ep)]]/Audit[[#This Row],[Error Bound (up) - Max. possible relative overstatement]])</f>
        <v>0</v>
      </c>
      <c r="BH2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3" s="18">
        <f t="shared" si="4"/>
        <v>1</v>
      </c>
      <c r="BJ243" s="18">
        <f>PRODUCT($BI$5:BI243)</f>
        <v>0.57146126097022543</v>
      </c>
      <c r="BK243" s="20">
        <f>1 - Audit[[#This Row],[K-M P Value]]</f>
        <v>0.42853873902977457</v>
      </c>
      <c r="BL243" s="18" t="str">
        <f>IF(Audit[[#This Row],[K-M P Value]]&gt;1-'General Info'!$B$12,"Continue", "Stop")</f>
        <v>Continue</v>
      </c>
      <c r="BM243" s="23" t="b">
        <f>IF(Audit[[#This Row],[Status - Continue or stop audit]] = "Continue", TRUE, IF(BL242 = "Continue", TRUE, FALSE))</f>
        <v>1</v>
      </c>
      <c r="BN243" s="23"/>
    </row>
    <row r="244" spans="1:66" ht="15" hidden="1" customHeight="1" x14ac:dyDescent="0.35">
      <c r="A244" s="18" t="str">
        <f>'Sampling Data'!AI244</f>
        <v/>
      </c>
      <c r="B244" s="18" t="str">
        <f>'Sampling Data'!A244</f>
        <v>3705 LOVE E   (AV)</v>
      </c>
      <c r="C244" s="18">
        <f>'Sampling Data'!B244</f>
        <v>10</v>
      </c>
      <c r="D244" s="18">
        <f>'Sampling Data'!C244</f>
        <v>0</v>
      </c>
      <c r="E244" s="19">
        <f>'Sampling Data'!D244</f>
        <v>0</v>
      </c>
      <c r="F244" s="19">
        <f>'Sampling Data'!E244</f>
        <v>0</v>
      </c>
      <c r="G244" s="19">
        <f>'Sampling Data'!F244</f>
        <v>0</v>
      </c>
      <c r="H244" s="19">
        <f>'Sampling Data'!G244</f>
        <v>0</v>
      </c>
      <c r="I244" s="19">
        <f>'Sampling Data'!H244</f>
        <v>0</v>
      </c>
      <c r="J244" s="19">
        <f>'Sampling Data'!I244</f>
        <v>0</v>
      </c>
      <c r="K244" s="19">
        <f>'Sampling Data'!J244</f>
        <v>0</v>
      </c>
      <c r="L244" s="19">
        <f>'Sampling Data'!K244</f>
        <v>0</v>
      </c>
      <c r="M244" s="19">
        <f>'Sampling Data'!L244</f>
        <v>0</v>
      </c>
      <c r="N244" s="19">
        <f>'Sampling Data'!M244</f>
        <v>0</v>
      </c>
      <c r="O244" s="18">
        <f>'Sampling Data'!N244</f>
        <v>0</v>
      </c>
      <c r="P244" s="18">
        <f>'Sampling Data'!O244</f>
        <v>0</v>
      </c>
      <c r="Q244" s="18">
        <f>'Sampling Data'!P244</f>
        <v>10</v>
      </c>
      <c r="R244" s="18">
        <f>'Sampling Data'!AJ244</f>
        <v>0</v>
      </c>
      <c r="S244" s="112"/>
      <c r="T244" s="112"/>
      <c r="U244" s="113"/>
      <c r="V244" s="113"/>
      <c r="W244" s="112"/>
      <c r="X244" s="112"/>
      <c r="Y244" s="112"/>
      <c r="Z244" s="112"/>
      <c r="AA244" s="15"/>
      <c r="AB244" s="15"/>
      <c r="AC244" s="15"/>
      <c r="AD244" s="15"/>
      <c r="AE244" s="114" t="str">
        <f>IF(NOT(ISBLANK(Audit[[#This Row],[Audit Winning Candidate]])), Audit[[#This Row],[Audit Winning Candidate]]-Audit[[#This Row],[Winning Candidate]], "")</f>
        <v/>
      </c>
      <c r="AF244" s="18" t="str">
        <f>IF(NOT(ISBLANK(Audit[[#This Row],[Audit Losing Candidate]])), Audit[[#This Row],[Audit Losing Candidate]]-Audit[[#This Row],[Losing Candidate]], "")</f>
        <v/>
      </c>
      <c r="AG244" s="18" t="str">
        <f>IF(NOT(ISBLANK(Audit[[#This Row],[Audit Candidate 3]])), Audit[[#This Row],[Audit Candidate 3]]-Audit[[#This Row],[Candidate 3]], "")</f>
        <v/>
      </c>
      <c r="AH244" s="18" t="str">
        <f>IF(NOT(ISBLANK(Audit[[#This Row],[Audit Candidate 4]])),Audit[[#This Row],[Audit Candidate 4]]-Audit[[#This Row],[Candidate 4]], "")</f>
        <v/>
      </c>
      <c r="AI244" s="18" t="str">
        <f>IF(NOT(ISBLANK(Audit[[#This Row],[Audit Candidate 5]])), Audit[[#This Row],[Audit Candidate 5]]-Audit[[#This Row],[Candidate 5]], "")</f>
        <v/>
      </c>
      <c r="AJ244" s="18" t="str">
        <f>IF(NOT(ISBLANK(Audit[[#This Row],[Audit Candidate 6]])), Audit[[#This Row],[Audit Candidate 6]]-Audit[[#This Row],[Candidate 6]], "")</f>
        <v/>
      </c>
      <c r="AK244" s="18" t="str">
        <f>IF(NOT(ISBLANK(Audit[[#This Row],[Audit Candidate 7]])), Audit[[#This Row],[Audit Candidate 7]]-Audit[[#This Row],[Candidate 7]], "")</f>
        <v/>
      </c>
      <c r="AL244" s="18" t="str">
        <f>IF(NOT(ISBLANK(Audit[[#This Row],[Audit Candidate 8]])), Audit[[#This Row],[Audit Candidate 8]]-Audit[[#This Row],[Candidate 8]], "")</f>
        <v/>
      </c>
      <c r="AM244" s="18" t="str">
        <f>IF(NOT(ISBLANK(Audit[[#This Row],[Audit Candidate 9]])), Audit[[#This Row],[Audit Candidate 9]]-Audit[[#This Row],[Candidate 9]], "")</f>
        <v/>
      </c>
      <c r="AN244" s="18" t="str">
        <f>IF(NOT(ISBLANK(Audit[[#This Row],[Audit Candidate 10]])), Audit[[#This Row],[Audit Candidate 10]]-Audit[[#This Row],[Candidate 10]], "")</f>
        <v/>
      </c>
      <c r="AO244" s="18" t="str">
        <f>IF(NOT(ISBLANK(Audit[[#This Row],[Audit Candidate 11]])), Audit[[#This Row],[Audit Candidate 11]]-Audit[[#This Row],[Candidate 11]], "")</f>
        <v/>
      </c>
      <c r="AP244" s="18" t="str">
        <f>IF(NOT(ISBLANK(Audit[[#This Row],[Audit Candidate 12]])), Audit[[#This Row],[Audit Candidate 12]]-Audit[[#This Row],[Candidate 12]], "")</f>
        <v/>
      </c>
      <c r="AQ244" s="18">
        <f>SUMIF(Audit[[#This Row],[Difference Winner]:[Difference Candidate 12]], "&gt;0")</f>
        <v>0</v>
      </c>
      <c r="AR244" s="18">
        <f>SUM(Audit[[#This Row],[Difference Winner]:[Difference Candidate 12]])</f>
        <v>0</v>
      </c>
      <c r="AS244" s="18">
        <f>IF(Audit[[#This Row],[Times p Drawn - With Replacement]]&gt;0, IF(Audit[[#This Row],[Canceled Differences]]&lt;0, Audit[[#This Row],[Max Differences]]+ABS(Audit[[#This Row],[Canceled Differences]]), Audit[[#This Row],[Max Differences]]), 0)</f>
        <v>0</v>
      </c>
      <c r="AT244" s="18">
        <f>'Sampling Data'!AB244</f>
        <v>6.2819989320601812E-4</v>
      </c>
      <c r="AU244" s="18">
        <f>IF(
      SUM(Audit[[#This Row],[Audit Losing Candidate]:[Audit Candidate 12]])
      &lt;&gt;0,
      (Audit[[#This Row],[Winning Candidate]]-Audit[[#This Row],[Losing Candidate]]-(Audit[[#This Row],[Audit Winning Candidate]]-Audit[[#This Row],[Audit Losing Candidate]]))/(Audit[[#Totals],[Winning Candidate]]-Audit[[#Totals],[Losing Candidate]]),
      0
)</f>
        <v>0</v>
      </c>
      <c r="AV2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8">
        <f>IF(Audit[[#This Row],[Max Relative Error (ep)]] = 0, 0, Audit[[#This Row],[Max Relative Error (ep)]]/Audit[[#This Row],[Error Bound (up) - Max. possible relative overstatement]])</f>
        <v>0</v>
      </c>
      <c r="BH2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4" s="18">
        <f t="shared" si="4"/>
        <v>1</v>
      </c>
      <c r="BJ244" s="18">
        <f>PRODUCT($BI$5:BI244)</f>
        <v>0.57146126097022543</v>
      </c>
      <c r="BK244" s="20">
        <f>1 - Audit[[#This Row],[K-M P Value]]</f>
        <v>0.42853873902977457</v>
      </c>
      <c r="BL244" s="18" t="str">
        <f>IF(Audit[[#This Row],[K-M P Value]]&gt;1-'General Info'!$B$12,"Continue", "Stop")</f>
        <v>Continue</v>
      </c>
      <c r="BM244" s="23" t="b">
        <f>IF(Audit[[#This Row],[Status - Continue or stop audit]] = "Continue", TRUE, IF(BL243 = "Continue", TRUE, FALSE))</f>
        <v>1</v>
      </c>
      <c r="BN244" s="23"/>
    </row>
    <row r="245" spans="1:66" ht="15" hidden="1" customHeight="1" x14ac:dyDescent="0.35">
      <c r="A245" s="18" t="str">
        <f>'Sampling Data'!AI245</f>
        <v/>
      </c>
      <c r="B245" s="18" t="str">
        <f>'Sampling Data'!A245</f>
        <v>3706 LOVE F   (AV)</v>
      </c>
      <c r="C245" s="18">
        <f>'Sampling Data'!B245</f>
        <v>4</v>
      </c>
      <c r="D245" s="18">
        <f>'Sampling Data'!C245</f>
        <v>0</v>
      </c>
      <c r="E245" s="19">
        <f>'Sampling Data'!D245</f>
        <v>0</v>
      </c>
      <c r="F245" s="19">
        <f>'Sampling Data'!E245</f>
        <v>0</v>
      </c>
      <c r="G245" s="19">
        <f>'Sampling Data'!F245</f>
        <v>0</v>
      </c>
      <c r="H245" s="19">
        <f>'Sampling Data'!G245</f>
        <v>0</v>
      </c>
      <c r="I245" s="19">
        <f>'Sampling Data'!H245</f>
        <v>0</v>
      </c>
      <c r="J245" s="19">
        <f>'Sampling Data'!I245</f>
        <v>0</v>
      </c>
      <c r="K245" s="19">
        <f>'Sampling Data'!J245</f>
        <v>0</v>
      </c>
      <c r="L245" s="19">
        <f>'Sampling Data'!K245</f>
        <v>0</v>
      </c>
      <c r="M245" s="19">
        <f>'Sampling Data'!L245</f>
        <v>0</v>
      </c>
      <c r="N245" s="19">
        <f>'Sampling Data'!M245</f>
        <v>0</v>
      </c>
      <c r="O245" s="18">
        <f>'Sampling Data'!N245</f>
        <v>0</v>
      </c>
      <c r="P245" s="18">
        <f>'Sampling Data'!O245</f>
        <v>3</v>
      </c>
      <c r="Q245" s="18">
        <f>'Sampling Data'!P245</f>
        <v>7</v>
      </c>
      <c r="R245" s="18">
        <f>'Sampling Data'!AJ245</f>
        <v>0</v>
      </c>
      <c r="S245" s="112"/>
      <c r="T245" s="112"/>
      <c r="U245" s="113"/>
      <c r="V245" s="113"/>
      <c r="W245" s="112"/>
      <c r="X245" s="112"/>
      <c r="Y245" s="112"/>
      <c r="Z245" s="112"/>
      <c r="AA245" s="15"/>
      <c r="AB245" s="15"/>
      <c r="AC245" s="15"/>
      <c r="AD245" s="15"/>
      <c r="AE245" s="114" t="str">
        <f>IF(NOT(ISBLANK(Audit[[#This Row],[Audit Winning Candidate]])), Audit[[#This Row],[Audit Winning Candidate]]-Audit[[#This Row],[Winning Candidate]], "")</f>
        <v/>
      </c>
      <c r="AF245" s="18" t="str">
        <f>IF(NOT(ISBLANK(Audit[[#This Row],[Audit Losing Candidate]])), Audit[[#This Row],[Audit Losing Candidate]]-Audit[[#This Row],[Losing Candidate]], "")</f>
        <v/>
      </c>
      <c r="AG245" s="18" t="str">
        <f>IF(NOT(ISBLANK(Audit[[#This Row],[Audit Candidate 3]])), Audit[[#This Row],[Audit Candidate 3]]-Audit[[#This Row],[Candidate 3]], "")</f>
        <v/>
      </c>
      <c r="AH245" s="18" t="str">
        <f>IF(NOT(ISBLANK(Audit[[#This Row],[Audit Candidate 4]])),Audit[[#This Row],[Audit Candidate 4]]-Audit[[#This Row],[Candidate 4]], "")</f>
        <v/>
      </c>
      <c r="AI245" s="18" t="str">
        <f>IF(NOT(ISBLANK(Audit[[#This Row],[Audit Candidate 5]])), Audit[[#This Row],[Audit Candidate 5]]-Audit[[#This Row],[Candidate 5]], "")</f>
        <v/>
      </c>
      <c r="AJ245" s="18" t="str">
        <f>IF(NOT(ISBLANK(Audit[[#This Row],[Audit Candidate 6]])), Audit[[#This Row],[Audit Candidate 6]]-Audit[[#This Row],[Candidate 6]], "")</f>
        <v/>
      </c>
      <c r="AK245" s="18" t="str">
        <f>IF(NOT(ISBLANK(Audit[[#This Row],[Audit Candidate 7]])), Audit[[#This Row],[Audit Candidate 7]]-Audit[[#This Row],[Candidate 7]], "")</f>
        <v/>
      </c>
      <c r="AL245" s="18" t="str">
        <f>IF(NOT(ISBLANK(Audit[[#This Row],[Audit Candidate 8]])), Audit[[#This Row],[Audit Candidate 8]]-Audit[[#This Row],[Candidate 8]], "")</f>
        <v/>
      </c>
      <c r="AM245" s="18" t="str">
        <f>IF(NOT(ISBLANK(Audit[[#This Row],[Audit Candidate 9]])), Audit[[#This Row],[Audit Candidate 9]]-Audit[[#This Row],[Candidate 9]], "")</f>
        <v/>
      </c>
      <c r="AN245" s="18" t="str">
        <f>IF(NOT(ISBLANK(Audit[[#This Row],[Audit Candidate 10]])), Audit[[#This Row],[Audit Candidate 10]]-Audit[[#This Row],[Candidate 10]], "")</f>
        <v/>
      </c>
      <c r="AO245" s="18" t="str">
        <f>IF(NOT(ISBLANK(Audit[[#This Row],[Audit Candidate 11]])), Audit[[#This Row],[Audit Candidate 11]]-Audit[[#This Row],[Candidate 11]], "")</f>
        <v/>
      </c>
      <c r="AP245" s="18" t="str">
        <f>IF(NOT(ISBLANK(Audit[[#This Row],[Audit Candidate 12]])), Audit[[#This Row],[Audit Candidate 12]]-Audit[[#This Row],[Candidate 12]], "")</f>
        <v/>
      </c>
      <c r="AQ245" s="18">
        <f>SUMIF(Audit[[#This Row],[Difference Winner]:[Difference Candidate 12]], "&gt;0")</f>
        <v>0</v>
      </c>
      <c r="AR245" s="18">
        <f>SUM(Audit[[#This Row],[Difference Winner]:[Difference Candidate 12]])</f>
        <v>0</v>
      </c>
      <c r="AS245" s="18">
        <f>IF(Audit[[#This Row],[Times p Drawn - With Replacement]]&gt;0, IF(Audit[[#This Row],[Canceled Differences]]&lt;0, Audit[[#This Row],[Max Differences]]+ABS(Audit[[#This Row],[Canceled Differences]]), Audit[[#This Row],[Max Differences]]), 0)</f>
        <v>0</v>
      </c>
      <c r="AT245" s="18">
        <f>'Sampling Data'!AB245</f>
        <v>3.4550994126331E-4</v>
      </c>
      <c r="AU245" s="18">
        <f>IF(
      SUM(Audit[[#This Row],[Audit Losing Candidate]:[Audit Candidate 12]])
      &lt;&gt;0,
      (Audit[[#This Row],[Winning Candidate]]-Audit[[#This Row],[Losing Candidate]]-(Audit[[#This Row],[Audit Winning Candidate]]-Audit[[#This Row],[Audit Losing Candidate]]))/(Audit[[#Totals],[Winning Candidate]]-Audit[[#Totals],[Losing Candidate]]),
      0
)</f>
        <v>0</v>
      </c>
      <c r="AV2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8">
        <f>IF(Audit[[#This Row],[Max Relative Error (ep)]] = 0, 0, Audit[[#This Row],[Max Relative Error (ep)]]/Audit[[#This Row],[Error Bound (up) - Max. possible relative overstatement]])</f>
        <v>0</v>
      </c>
      <c r="BH2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5" s="18">
        <f t="shared" si="4"/>
        <v>1</v>
      </c>
      <c r="BJ245" s="18">
        <f>PRODUCT($BI$5:BI245)</f>
        <v>0.57146126097022543</v>
      </c>
      <c r="BK245" s="20">
        <f>1 - Audit[[#This Row],[K-M P Value]]</f>
        <v>0.42853873902977457</v>
      </c>
      <c r="BL245" s="18" t="str">
        <f>IF(Audit[[#This Row],[K-M P Value]]&gt;1-'General Info'!$B$12,"Continue", "Stop")</f>
        <v>Continue</v>
      </c>
      <c r="BM245" s="23" t="b">
        <f>IF(Audit[[#This Row],[Status - Continue or stop audit]] = "Continue", TRUE, IF(BL244 = "Continue", TRUE, FALSE))</f>
        <v>1</v>
      </c>
      <c r="BN245" s="23"/>
    </row>
    <row r="246" spans="1:66" ht="15" hidden="1" customHeight="1" x14ac:dyDescent="0.35">
      <c r="A246" s="18" t="str">
        <f>'Sampling Data'!AI246</f>
        <v/>
      </c>
      <c r="B246" s="18" t="str">
        <f>'Sampling Data'!A246</f>
        <v>3707 LOVE G   (AV)</v>
      </c>
      <c r="C246" s="18">
        <f>'Sampling Data'!B246</f>
        <v>5</v>
      </c>
      <c r="D246" s="18">
        <f>'Sampling Data'!C246</f>
        <v>1</v>
      </c>
      <c r="E246" s="19">
        <f>'Sampling Data'!D246</f>
        <v>0</v>
      </c>
      <c r="F246" s="19">
        <f>'Sampling Data'!E246</f>
        <v>0</v>
      </c>
      <c r="G246" s="19">
        <f>'Sampling Data'!F246</f>
        <v>0</v>
      </c>
      <c r="H246" s="19">
        <f>'Sampling Data'!G246</f>
        <v>0</v>
      </c>
      <c r="I246" s="19">
        <f>'Sampling Data'!H246</f>
        <v>0</v>
      </c>
      <c r="J246" s="19">
        <f>'Sampling Data'!I246</f>
        <v>0</v>
      </c>
      <c r="K246" s="19">
        <f>'Sampling Data'!J246</f>
        <v>0</v>
      </c>
      <c r="L246" s="19">
        <f>'Sampling Data'!K246</f>
        <v>0</v>
      </c>
      <c r="M246" s="19">
        <f>'Sampling Data'!L246</f>
        <v>0</v>
      </c>
      <c r="N246" s="19">
        <f>'Sampling Data'!M246</f>
        <v>0</v>
      </c>
      <c r="O246" s="18">
        <f>'Sampling Data'!N246</f>
        <v>0</v>
      </c>
      <c r="P246" s="18">
        <f>'Sampling Data'!O246</f>
        <v>0</v>
      </c>
      <c r="Q246" s="18">
        <f>'Sampling Data'!P246</f>
        <v>6</v>
      </c>
      <c r="R246" s="18">
        <f>'Sampling Data'!AJ246</f>
        <v>0</v>
      </c>
      <c r="S246" s="112"/>
      <c r="T246" s="112"/>
      <c r="U246" s="113"/>
      <c r="V246" s="113"/>
      <c r="W246" s="112"/>
      <c r="X246" s="112"/>
      <c r="Y246" s="112"/>
      <c r="Z246" s="112"/>
      <c r="AA246" s="15"/>
      <c r="AB246" s="15"/>
      <c r="AC246" s="15"/>
      <c r="AD246" s="15"/>
      <c r="AE246" s="114" t="str">
        <f>IF(NOT(ISBLANK(Audit[[#This Row],[Audit Winning Candidate]])), Audit[[#This Row],[Audit Winning Candidate]]-Audit[[#This Row],[Winning Candidate]], "")</f>
        <v/>
      </c>
      <c r="AF246" s="18" t="str">
        <f>IF(NOT(ISBLANK(Audit[[#This Row],[Audit Losing Candidate]])), Audit[[#This Row],[Audit Losing Candidate]]-Audit[[#This Row],[Losing Candidate]], "")</f>
        <v/>
      </c>
      <c r="AG246" s="18" t="str">
        <f>IF(NOT(ISBLANK(Audit[[#This Row],[Audit Candidate 3]])), Audit[[#This Row],[Audit Candidate 3]]-Audit[[#This Row],[Candidate 3]], "")</f>
        <v/>
      </c>
      <c r="AH246" s="18" t="str">
        <f>IF(NOT(ISBLANK(Audit[[#This Row],[Audit Candidate 4]])),Audit[[#This Row],[Audit Candidate 4]]-Audit[[#This Row],[Candidate 4]], "")</f>
        <v/>
      </c>
      <c r="AI246" s="18" t="str">
        <f>IF(NOT(ISBLANK(Audit[[#This Row],[Audit Candidate 5]])), Audit[[#This Row],[Audit Candidate 5]]-Audit[[#This Row],[Candidate 5]], "")</f>
        <v/>
      </c>
      <c r="AJ246" s="18" t="str">
        <f>IF(NOT(ISBLANK(Audit[[#This Row],[Audit Candidate 6]])), Audit[[#This Row],[Audit Candidate 6]]-Audit[[#This Row],[Candidate 6]], "")</f>
        <v/>
      </c>
      <c r="AK246" s="18" t="str">
        <f>IF(NOT(ISBLANK(Audit[[#This Row],[Audit Candidate 7]])), Audit[[#This Row],[Audit Candidate 7]]-Audit[[#This Row],[Candidate 7]], "")</f>
        <v/>
      </c>
      <c r="AL246" s="18" t="str">
        <f>IF(NOT(ISBLANK(Audit[[#This Row],[Audit Candidate 8]])), Audit[[#This Row],[Audit Candidate 8]]-Audit[[#This Row],[Candidate 8]], "")</f>
        <v/>
      </c>
      <c r="AM246" s="18" t="str">
        <f>IF(NOT(ISBLANK(Audit[[#This Row],[Audit Candidate 9]])), Audit[[#This Row],[Audit Candidate 9]]-Audit[[#This Row],[Candidate 9]], "")</f>
        <v/>
      </c>
      <c r="AN246" s="18" t="str">
        <f>IF(NOT(ISBLANK(Audit[[#This Row],[Audit Candidate 10]])), Audit[[#This Row],[Audit Candidate 10]]-Audit[[#This Row],[Candidate 10]], "")</f>
        <v/>
      </c>
      <c r="AO246" s="18" t="str">
        <f>IF(NOT(ISBLANK(Audit[[#This Row],[Audit Candidate 11]])), Audit[[#This Row],[Audit Candidate 11]]-Audit[[#This Row],[Candidate 11]], "")</f>
        <v/>
      </c>
      <c r="AP246" s="18" t="str">
        <f>IF(NOT(ISBLANK(Audit[[#This Row],[Audit Candidate 12]])), Audit[[#This Row],[Audit Candidate 12]]-Audit[[#This Row],[Candidate 12]], "")</f>
        <v/>
      </c>
      <c r="AQ246" s="18">
        <f>SUMIF(Audit[[#This Row],[Difference Winner]:[Difference Candidate 12]], "&gt;0")</f>
        <v>0</v>
      </c>
      <c r="AR246" s="18">
        <f>SUM(Audit[[#This Row],[Difference Winner]:[Difference Candidate 12]])</f>
        <v>0</v>
      </c>
      <c r="AS246" s="18">
        <f>IF(Audit[[#This Row],[Times p Drawn - With Replacement]]&gt;0, IF(Audit[[#This Row],[Canceled Differences]]&lt;0, Audit[[#This Row],[Max Differences]]+ABS(Audit[[#This Row],[Canceled Differences]]), Audit[[#This Row],[Max Differences]]), 0)</f>
        <v>0</v>
      </c>
      <c r="AT246" s="18">
        <f>'Sampling Data'!AB246</f>
        <v>3.1409994660300906E-4</v>
      </c>
      <c r="AU246" s="18">
        <f>IF(
      SUM(Audit[[#This Row],[Audit Losing Candidate]:[Audit Candidate 12]])
      &lt;&gt;0,
      (Audit[[#This Row],[Winning Candidate]]-Audit[[#This Row],[Losing Candidate]]-(Audit[[#This Row],[Audit Winning Candidate]]-Audit[[#This Row],[Audit Losing Candidate]]))/(Audit[[#Totals],[Winning Candidate]]-Audit[[#Totals],[Losing Candidate]]),
      0
)</f>
        <v>0</v>
      </c>
      <c r="AV2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8">
        <f>IF(Audit[[#This Row],[Max Relative Error (ep)]] = 0, 0, Audit[[#This Row],[Max Relative Error (ep)]]/Audit[[#This Row],[Error Bound (up) - Max. possible relative overstatement]])</f>
        <v>0</v>
      </c>
      <c r="BH2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6" s="18">
        <f t="shared" si="4"/>
        <v>1</v>
      </c>
      <c r="BJ246" s="18">
        <f>PRODUCT($BI$5:BI246)</f>
        <v>0.57146126097022543</v>
      </c>
      <c r="BK246" s="20">
        <f>1 - Audit[[#This Row],[K-M P Value]]</f>
        <v>0.42853873902977457</v>
      </c>
      <c r="BL246" s="18" t="str">
        <f>IF(Audit[[#This Row],[K-M P Value]]&gt;1-'General Info'!$B$12,"Continue", "Stop")</f>
        <v>Continue</v>
      </c>
      <c r="BM246" s="23" t="b">
        <f>IF(Audit[[#This Row],[Status - Continue or stop audit]] = "Continue", TRUE, IF(BL245 = "Continue", TRUE, FALSE))</f>
        <v>1</v>
      </c>
      <c r="BN246" s="23"/>
    </row>
    <row r="247" spans="1:66" ht="15" hidden="1" customHeight="1" x14ac:dyDescent="0.35">
      <c r="A247" s="18" t="str">
        <f>'Sampling Data'!AI247</f>
        <v/>
      </c>
      <c r="B247" s="18" t="str">
        <f>'Sampling Data'!A247</f>
        <v>3801 MADRA A   (AV)</v>
      </c>
      <c r="C247" s="18">
        <f>'Sampling Data'!B247</f>
        <v>10</v>
      </c>
      <c r="D247" s="18">
        <f>'Sampling Data'!C247</f>
        <v>2</v>
      </c>
      <c r="E247" s="19">
        <f>'Sampling Data'!D247</f>
        <v>0</v>
      </c>
      <c r="F247" s="19">
        <f>'Sampling Data'!E247</f>
        <v>0</v>
      </c>
      <c r="G247" s="19">
        <f>'Sampling Data'!F247</f>
        <v>0</v>
      </c>
      <c r="H247" s="19">
        <f>'Sampling Data'!G247</f>
        <v>0</v>
      </c>
      <c r="I247" s="19">
        <f>'Sampling Data'!H247</f>
        <v>0</v>
      </c>
      <c r="J247" s="19">
        <f>'Sampling Data'!I247</f>
        <v>0</v>
      </c>
      <c r="K247" s="19">
        <f>'Sampling Data'!J247</f>
        <v>0</v>
      </c>
      <c r="L247" s="19">
        <f>'Sampling Data'!K247</f>
        <v>0</v>
      </c>
      <c r="M247" s="19">
        <f>'Sampling Data'!L247</f>
        <v>0</v>
      </c>
      <c r="N247" s="19">
        <f>'Sampling Data'!M247</f>
        <v>0</v>
      </c>
      <c r="O247" s="18">
        <f>'Sampling Data'!N247</f>
        <v>0</v>
      </c>
      <c r="P247" s="18">
        <f>'Sampling Data'!O247</f>
        <v>1</v>
      </c>
      <c r="Q247" s="18">
        <f>'Sampling Data'!P247</f>
        <v>13</v>
      </c>
      <c r="R247" s="18">
        <f>'Sampling Data'!AJ247</f>
        <v>0</v>
      </c>
      <c r="S247" s="112"/>
      <c r="T247" s="112"/>
      <c r="U247" s="113"/>
      <c r="V247" s="113"/>
      <c r="W247" s="112"/>
      <c r="X247" s="112"/>
      <c r="Y247" s="112"/>
      <c r="Z247" s="112"/>
      <c r="AA247" s="15"/>
      <c r="AB247" s="15"/>
      <c r="AC247" s="15"/>
      <c r="AD247" s="15"/>
      <c r="AE247" s="114" t="str">
        <f>IF(NOT(ISBLANK(Audit[[#This Row],[Audit Winning Candidate]])), Audit[[#This Row],[Audit Winning Candidate]]-Audit[[#This Row],[Winning Candidate]], "")</f>
        <v/>
      </c>
      <c r="AF247" s="18" t="str">
        <f>IF(NOT(ISBLANK(Audit[[#This Row],[Audit Losing Candidate]])), Audit[[#This Row],[Audit Losing Candidate]]-Audit[[#This Row],[Losing Candidate]], "")</f>
        <v/>
      </c>
      <c r="AG247" s="18" t="str">
        <f>IF(NOT(ISBLANK(Audit[[#This Row],[Audit Candidate 3]])), Audit[[#This Row],[Audit Candidate 3]]-Audit[[#This Row],[Candidate 3]], "")</f>
        <v/>
      </c>
      <c r="AH247" s="18" t="str">
        <f>IF(NOT(ISBLANK(Audit[[#This Row],[Audit Candidate 4]])),Audit[[#This Row],[Audit Candidate 4]]-Audit[[#This Row],[Candidate 4]], "")</f>
        <v/>
      </c>
      <c r="AI247" s="18" t="str">
        <f>IF(NOT(ISBLANK(Audit[[#This Row],[Audit Candidate 5]])), Audit[[#This Row],[Audit Candidate 5]]-Audit[[#This Row],[Candidate 5]], "")</f>
        <v/>
      </c>
      <c r="AJ247" s="18" t="str">
        <f>IF(NOT(ISBLANK(Audit[[#This Row],[Audit Candidate 6]])), Audit[[#This Row],[Audit Candidate 6]]-Audit[[#This Row],[Candidate 6]], "")</f>
        <v/>
      </c>
      <c r="AK247" s="18" t="str">
        <f>IF(NOT(ISBLANK(Audit[[#This Row],[Audit Candidate 7]])), Audit[[#This Row],[Audit Candidate 7]]-Audit[[#This Row],[Candidate 7]], "")</f>
        <v/>
      </c>
      <c r="AL247" s="18" t="str">
        <f>IF(NOT(ISBLANK(Audit[[#This Row],[Audit Candidate 8]])), Audit[[#This Row],[Audit Candidate 8]]-Audit[[#This Row],[Candidate 8]], "")</f>
        <v/>
      </c>
      <c r="AM247" s="18" t="str">
        <f>IF(NOT(ISBLANK(Audit[[#This Row],[Audit Candidate 9]])), Audit[[#This Row],[Audit Candidate 9]]-Audit[[#This Row],[Candidate 9]], "")</f>
        <v/>
      </c>
      <c r="AN247" s="18" t="str">
        <f>IF(NOT(ISBLANK(Audit[[#This Row],[Audit Candidate 10]])), Audit[[#This Row],[Audit Candidate 10]]-Audit[[#This Row],[Candidate 10]], "")</f>
        <v/>
      </c>
      <c r="AO247" s="18" t="str">
        <f>IF(NOT(ISBLANK(Audit[[#This Row],[Audit Candidate 11]])), Audit[[#This Row],[Audit Candidate 11]]-Audit[[#This Row],[Candidate 11]], "")</f>
        <v/>
      </c>
      <c r="AP247" s="18" t="str">
        <f>IF(NOT(ISBLANK(Audit[[#This Row],[Audit Candidate 12]])), Audit[[#This Row],[Audit Candidate 12]]-Audit[[#This Row],[Candidate 12]], "")</f>
        <v/>
      </c>
      <c r="AQ247" s="18">
        <f>SUMIF(Audit[[#This Row],[Difference Winner]:[Difference Candidate 12]], "&gt;0")</f>
        <v>0</v>
      </c>
      <c r="AR247" s="18">
        <f>SUM(Audit[[#This Row],[Difference Winner]:[Difference Candidate 12]])</f>
        <v>0</v>
      </c>
      <c r="AS247" s="18">
        <f>IF(Audit[[#This Row],[Times p Drawn - With Replacement]]&gt;0, IF(Audit[[#This Row],[Canceled Differences]]&lt;0, Audit[[#This Row],[Max Differences]]+ABS(Audit[[#This Row],[Canceled Differences]]), Audit[[#This Row],[Max Differences]]), 0)</f>
        <v>0</v>
      </c>
      <c r="AT247" s="18">
        <f>'Sampling Data'!AB247</f>
        <v>6.5960988786631911E-4</v>
      </c>
      <c r="AU247" s="18">
        <f>IF(
      SUM(Audit[[#This Row],[Audit Losing Candidate]:[Audit Candidate 12]])
      &lt;&gt;0,
      (Audit[[#This Row],[Winning Candidate]]-Audit[[#This Row],[Losing Candidate]]-(Audit[[#This Row],[Audit Winning Candidate]]-Audit[[#This Row],[Audit Losing Candidate]]))/(Audit[[#Totals],[Winning Candidate]]-Audit[[#Totals],[Losing Candidate]]),
      0
)</f>
        <v>0</v>
      </c>
      <c r="AV2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8">
        <f>IF(Audit[[#This Row],[Max Relative Error (ep)]] = 0, 0, Audit[[#This Row],[Max Relative Error (ep)]]/Audit[[#This Row],[Error Bound (up) - Max. possible relative overstatement]])</f>
        <v>0</v>
      </c>
      <c r="BH2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7" s="18">
        <f t="shared" si="4"/>
        <v>1</v>
      </c>
      <c r="BJ247" s="18">
        <f>PRODUCT($BI$5:BI247)</f>
        <v>0.57146126097022543</v>
      </c>
      <c r="BK247" s="20">
        <f>1 - Audit[[#This Row],[K-M P Value]]</f>
        <v>0.42853873902977457</v>
      </c>
      <c r="BL247" s="18" t="str">
        <f>IF(Audit[[#This Row],[K-M P Value]]&gt;1-'General Info'!$B$12,"Continue", "Stop")</f>
        <v>Continue</v>
      </c>
      <c r="BM247" s="23" t="b">
        <f>IF(Audit[[#This Row],[Status - Continue or stop audit]] = "Continue", TRUE, IF(BL246 = "Continue", TRUE, FALSE))</f>
        <v>1</v>
      </c>
      <c r="BN247" s="23"/>
    </row>
    <row r="248" spans="1:66" ht="15" hidden="1" customHeight="1" x14ac:dyDescent="0.35">
      <c r="A248" s="18" t="str">
        <f>'Sampling Data'!AI248</f>
        <v/>
      </c>
      <c r="B248" s="18" t="str">
        <f>'Sampling Data'!A248</f>
        <v>3802 MADRA B   (AV)</v>
      </c>
      <c r="C248" s="18">
        <f>'Sampling Data'!B248</f>
        <v>12</v>
      </c>
      <c r="D248" s="18">
        <f>'Sampling Data'!C248</f>
        <v>0</v>
      </c>
      <c r="E248" s="19">
        <f>'Sampling Data'!D248</f>
        <v>0</v>
      </c>
      <c r="F248" s="19">
        <f>'Sampling Data'!E248</f>
        <v>0</v>
      </c>
      <c r="G248" s="19">
        <f>'Sampling Data'!F248</f>
        <v>0</v>
      </c>
      <c r="H248" s="19">
        <f>'Sampling Data'!G248</f>
        <v>0</v>
      </c>
      <c r="I248" s="19">
        <f>'Sampling Data'!H248</f>
        <v>0</v>
      </c>
      <c r="J248" s="19">
        <f>'Sampling Data'!I248</f>
        <v>0</v>
      </c>
      <c r="K248" s="19">
        <f>'Sampling Data'!J248</f>
        <v>0</v>
      </c>
      <c r="L248" s="19">
        <f>'Sampling Data'!K248</f>
        <v>0</v>
      </c>
      <c r="M248" s="19">
        <f>'Sampling Data'!L248</f>
        <v>0</v>
      </c>
      <c r="N248" s="19">
        <f>'Sampling Data'!M248</f>
        <v>0</v>
      </c>
      <c r="O248" s="18">
        <f>'Sampling Data'!N248</f>
        <v>0</v>
      </c>
      <c r="P248" s="18">
        <f>'Sampling Data'!O248</f>
        <v>1</v>
      </c>
      <c r="Q248" s="18">
        <f>'Sampling Data'!P248</f>
        <v>13</v>
      </c>
      <c r="R248" s="18">
        <f>'Sampling Data'!AJ248</f>
        <v>0</v>
      </c>
      <c r="S248" s="112"/>
      <c r="T248" s="112"/>
      <c r="U248" s="113"/>
      <c r="V248" s="113"/>
      <c r="W248" s="112"/>
      <c r="X248" s="112"/>
      <c r="Y248" s="112"/>
      <c r="Z248" s="112"/>
      <c r="AA248" s="15"/>
      <c r="AB248" s="15"/>
      <c r="AC248" s="15"/>
      <c r="AD248" s="15"/>
      <c r="AE248" s="114" t="str">
        <f>IF(NOT(ISBLANK(Audit[[#This Row],[Audit Winning Candidate]])), Audit[[#This Row],[Audit Winning Candidate]]-Audit[[#This Row],[Winning Candidate]], "")</f>
        <v/>
      </c>
      <c r="AF248" s="18" t="str">
        <f>IF(NOT(ISBLANK(Audit[[#This Row],[Audit Losing Candidate]])), Audit[[#This Row],[Audit Losing Candidate]]-Audit[[#This Row],[Losing Candidate]], "")</f>
        <v/>
      </c>
      <c r="AG248" s="18" t="str">
        <f>IF(NOT(ISBLANK(Audit[[#This Row],[Audit Candidate 3]])), Audit[[#This Row],[Audit Candidate 3]]-Audit[[#This Row],[Candidate 3]], "")</f>
        <v/>
      </c>
      <c r="AH248" s="18" t="str">
        <f>IF(NOT(ISBLANK(Audit[[#This Row],[Audit Candidate 4]])),Audit[[#This Row],[Audit Candidate 4]]-Audit[[#This Row],[Candidate 4]], "")</f>
        <v/>
      </c>
      <c r="AI248" s="18" t="str">
        <f>IF(NOT(ISBLANK(Audit[[#This Row],[Audit Candidate 5]])), Audit[[#This Row],[Audit Candidate 5]]-Audit[[#This Row],[Candidate 5]], "")</f>
        <v/>
      </c>
      <c r="AJ248" s="18" t="str">
        <f>IF(NOT(ISBLANK(Audit[[#This Row],[Audit Candidate 6]])), Audit[[#This Row],[Audit Candidate 6]]-Audit[[#This Row],[Candidate 6]], "")</f>
        <v/>
      </c>
      <c r="AK248" s="18" t="str">
        <f>IF(NOT(ISBLANK(Audit[[#This Row],[Audit Candidate 7]])), Audit[[#This Row],[Audit Candidate 7]]-Audit[[#This Row],[Candidate 7]], "")</f>
        <v/>
      </c>
      <c r="AL248" s="18" t="str">
        <f>IF(NOT(ISBLANK(Audit[[#This Row],[Audit Candidate 8]])), Audit[[#This Row],[Audit Candidate 8]]-Audit[[#This Row],[Candidate 8]], "")</f>
        <v/>
      </c>
      <c r="AM248" s="18" t="str">
        <f>IF(NOT(ISBLANK(Audit[[#This Row],[Audit Candidate 9]])), Audit[[#This Row],[Audit Candidate 9]]-Audit[[#This Row],[Candidate 9]], "")</f>
        <v/>
      </c>
      <c r="AN248" s="18" t="str">
        <f>IF(NOT(ISBLANK(Audit[[#This Row],[Audit Candidate 10]])), Audit[[#This Row],[Audit Candidate 10]]-Audit[[#This Row],[Candidate 10]], "")</f>
        <v/>
      </c>
      <c r="AO248" s="18" t="str">
        <f>IF(NOT(ISBLANK(Audit[[#This Row],[Audit Candidate 11]])), Audit[[#This Row],[Audit Candidate 11]]-Audit[[#This Row],[Candidate 11]], "")</f>
        <v/>
      </c>
      <c r="AP248" s="18" t="str">
        <f>IF(NOT(ISBLANK(Audit[[#This Row],[Audit Candidate 12]])), Audit[[#This Row],[Audit Candidate 12]]-Audit[[#This Row],[Candidate 12]], "")</f>
        <v/>
      </c>
      <c r="AQ248" s="18">
        <f>SUMIF(Audit[[#This Row],[Difference Winner]:[Difference Candidate 12]], "&gt;0")</f>
        <v>0</v>
      </c>
      <c r="AR248" s="18">
        <f>SUM(Audit[[#This Row],[Difference Winner]:[Difference Candidate 12]])</f>
        <v>0</v>
      </c>
      <c r="AS248" s="18">
        <f>IF(Audit[[#This Row],[Times p Drawn - With Replacement]]&gt;0, IF(Audit[[#This Row],[Canceled Differences]]&lt;0, Audit[[#This Row],[Max Differences]]+ABS(Audit[[#This Row],[Canceled Differences]]), Audit[[#This Row],[Max Differences]]), 0)</f>
        <v>0</v>
      </c>
      <c r="AT248" s="18">
        <f>'Sampling Data'!AB248</f>
        <v>7.8524986650752265E-4</v>
      </c>
      <c r="AU248" s="18">
        <f>IF(
      SUM(Audit[[#This Row],[Audit Losing Candidate]:[Audit Candidate 12]])
      &lt;&gt;0,
      (Audit[[#This Row],[Winning Candidate]]-Audit[[#This Row],[Losing Candidate]]-(Audit[[#This Row],[Audit Winning Candidate]]-Audit[[#This Row],[Audit Losing Candidate]]))/(Audit[[#Totals],[Winning Candidate]]-Audit[[#Totals],[Losing Candidate]]),
      0
)</f>
        <v>0</v>
      </c>
      <c r="AV2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8">
        <f>IF(Audit[[#This Row],[Max Relative Error (ep)]] = 0, 0, Audit[[#This Row],[Max Relative Error (ep)]]/Audit[[#This Row],[Error Bound (up) - Max. possible relative overstatement]])</f>
        <v>0</v>
      </c>
      <c r="BH2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8" s="18">
        <f t="shared" si="4"/>
        <v>1</v>
      </c>
      <c r="BJ248" s="18">
        <f>PRODUCT($BI$5:BI248)</f>
        <v>0.57146126097022543</v>
      </c>
      <c r="BK248" s="20">
        <f>1 - Audit[[#This Row],[K-M P Value]]</f>
        <v>0.42853873902977457</v>
      </c>
      <c r="BL248" s="18" t="str">
        <f>IF(Audit[[#This Row],[K-M P Value]]&gt;1-'General Info'!$B$12,"Continue", "Stop")</f>
        <v>Continue</v>
      </c>
      <c r="BM248" s="23" t="b">
        <f>IF(Audit[[#This Row],[Status - Continue or stop audit]] = "Continue", TRUE, IF(BL247 = "Continue", TRUE, FALSE))</f>
        <v>1</v>
      </c>
      <c r="BN248" s="23"/>
    </row>
    <row r="249" spans="1:66" ht="15" hidden="1" customHeight="1" x14ac:dyDescent="0.35">
      <c r="A249" s="18" t="str">
        <f>'Sampling Data'!AI249</f>
        <v/>
      </c>
      <c r="B249" s="18" t="str">
        <f>'Sampling Data'!A249</f>
        <v>3803 MADRA C   (AV)</v>
      </c>
      <c r="C249" s="18">
        <f>'Sampling Data'!B249</f>
        <v>9</v>
      </c>
      <c r="D249" s="18">
        <f>'Sampling Data'!C249</f>
        <v>0</v>
      </c>
      <c r="E249" s="19">
        <f>'Sampling Data'!D249</f>
        <v>0</v>
      </c>
      <c r="F249" s="19">
        <f>'Sampling Data'!E249</f>
        <v>0</v>
      </c>
      <c r="G249" s="19">
        <f>'Sampling Data'!F249</f>
        <v>0</v>
      </c>
      <c r="H249" s="19">
        <f>'Sampling Data'!G249</f>
        <v>0</v>
      </c>
      <c r="I249" s="19">
        <f>'Sampling Data'!H249</f>
        <v>0</v>
      </c>
      <c r="J249" s="19">
        <f>'Sampling Data'!I249</f>
        <v>0</v>
      </c>
      <c r="K249" s="19">
        <f>'Sampling Data'!J249</f>
        <v>0</v>
      </c>
      <c r="L249" s="19">
        <f>'Sampling Data'!K249</f>
        <v>0</v>
      </c>
      <c r="M249" s="19">
        <f>'Sampling Data'!L249</f>
        <v>0</v>
      </c>
      <c r="N249" s="19">
        <f>'Sampling Data'!M249</f>
        <v>0</v>
      </c>
      <c r="O249" s="18">
        <f>'Sampling Data'!N249</f>
        <v>0</v>
      </c>
      <c r="P249" s="18">
        <f>'Sampling Data'!O249</f>
        <v>1</v>
      </c>
      <c r="Q249" s="18">
        <f>'Sampling Data'!P249</f>
        <v>10</v>
      </c>
      <c r="R249" s="18">
        <f>'Sampling Data'!AJ249</f>
        <v>0</v>
      </c>
      <c r="S249" s="112"/>
      <c r="T249" s="112"/>
      <c r="U249" s="113"/>
      <c r="V249" s="113"/>
      <c r="W249" s="112"/>
      <c r="X249" s="112"/>
      <c r="Y249" s="112"/>
      <c r="Z249" s="112"/>
      <c r="AA249" s="15"/>
      <c r="AB249" s="15"/>
      <c r="AC249" s="15"/>
      <c r="AD249" s="15"/>
      <c r="AE249" s="114" t="str">
        <f>IF(NOT(ISBLANK(Audit[[#This Row],[Audit Winning Candidate]])), Audit[[#This Row],[Audit Winning Candidate]]-Audit[[#This Row],[Winning Candidate]], "")</f>
        <v/>
      </c>
      <c r="AF249" s="18" t="str">
        <f>IF(NOT(ISBLANK(Audit[[#This Row],[Audit Losing Candidate]])), Audit[[#This Row],[Audit Losing Candidate]]-Audit[[#This Row],[Losing Candidate]], "")</f>
        <v/>
      </c>
      <c r="AG249" s="18" t="str">
        <f>IF(NOT(ISBLANK(Audit[[#This Row],[Audit Candidate 3]])), Audit[[#This Row],[Audit Candidate 3]]-Audit[[#This Row],[Candidate 3]], "")</f>
        <v/>
      </c>
      <c r="AH249" s="18" t="str">
        <f>IF(NOT(ISBLANK(Audit[[#This Row],[Audit Candidate 4]])),Audit[[#This Row],[Audit Candidate 4]]-Audit[[#This Row],[Candidate 4]], "")</f>
        <v/>
      </c>
      <c r="AI249" s="18" t="str">
        <f>IF(NOT(ISBLANK(Audit[[#This Row],[Audit Candidate 5]])), Audit[[#This Row],[Audit Candidate 5]]-Audit[[#This Row],[Candidate 5]], "")</f>
        <v/>
      </c>
      <c r="AJ249" s="18" t="str">
        <f>IF(NOT(ISBLANK(Audit[[#This Row],[Audit Candidate 6]])), Audit[[#This Row],[Audit Candidate 6]]-Audit[[#This Row],[Candidate 6]], "")</f>
        <v/>
      </c>
      <c r="AK249" s="18" t="str">
        <f>IF(NOT(ISBLANK(Audit[[#This Row],[Audit Candidate 7]])), Audit[[#This Row],[Audit Candidate 7]]-Audit[[#This Row],[Candidate 7]], "")</f>
        <v/>
      </c>
      <c r="AL249" s="18" t="str">
        <f>IF(NOT(ISBLANK(Audit[[#This Row],[Audit Candidate 8]])), Audit[[#This Row],[Audit Candidate 8]]-Audit[[#This Row],[Candidate 8]], "")</f>
        <v/>
      </c>
      <c r="AM249" s="18" t="str">
        <f>IF(NOT(ISBLANK(Audit[[#This Row],[Audit Candidate 9]])), Audit[[#This Row],[Audit Candidate 9]]-Audit[[#This Row],[Candidate 9]], "")</f>
        <v/>
      </c>
      <c r="AN249" s="18" t="str">
        <f>IF(NOT(ISBLANK(Audit[[#This Row],[Audit Candidate 10]])), Audit[[#This Row],[Audit Candidate 10]]-Audit[[#This Row],[Candidate 10]], "")</f>
        <v/>
      </c>
      <c r="AO249" s="18" t="str">
        <f>IF(NOT(ISBLANK(Audit[[#This Row],[Audit Candidate 11]])), Audit[[#This Row],[Audit Candidate 11]]-Audit[[#This Row],[Candidate 11]], "")</f>
        <v/>
      </c>
      <c r="AP249" s="18" t="str">
        <f>IF(NOT(ISBLANK(Audit[[#This Row],[Audit Candidate 12]])), Audit[[#This Row],[Audit Candidate 12]]-Audit[[#This Row],[Candidate 12]], "")</f>
        <v/>
      </c>
      <c r="AQ249" s="18">
        <f>SUMIF(Audit[[#This Row],[Difference Winner]:[Difference Candidate 12]], "&gt;0")</f>
        <v>0</v>
      </c>
      <c r="AR249" s="18">
        <f>SUM(Audit[[#This Row],[Difference Winner]:[Difference Candidate 12]])</f>
        <v>0</v>
      </c>
      <c r="AS249" s="18">
        <f>IF(Audit[[#This Row],[Times p Drawn - With Replacement]]&gt;0, IF(Audit[[#This Row],[Canceled Differences]]&lt;0, Audit[[#This Row],[Max Differences]]+ABS(Audit[[#This Row],[Canceled Differences]]), Audit[[#This Row],[Max Differences]]), 0)</f>
        <v>0</v>
      </c>
      <c r="AT249" s="18">
        <f>'Sampling Data'!AB249</f>
        <v>5.9678989854571724E-4</v>
      </c>
      <c r="AU249" s="18">
        <f>IF(
      SUM(Audit[[#This Row],[Audit Losing Candidate]:[Audit Candidate 12]])
      &lt;&gt;0,
      (Audit[[#This Row],[Winning Candidate]]-Audit[[#This Row],[Losing Candidate]]-(Audit[[#This Row],[Audit Winning Candidate]]-Audit[[#This Row],[Audit Losing Candidate]]))/(Audit[[#Totals],[Winning Candidate]]-Audit[[#Totals],[Losing Candidate]]),
      0
)</f>
        <v>0</v>
      </c>
      <c r="AV2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8">
        <f>IF(Audit[[#This Row],[Max Relative Error (ep)]] = 0, 0, Audit[[#This Row],[Max Relative Error (ep)]]/Audit[[#This Row],[Error Bound (up) - Max. possible relative overstatement]])</f>
        <v>0</v>
      </c>
      <c r="BH2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49" s="18">
        <f t="shared" si="4"/>
        <v>1</v>
      </c>
      <c r="BJ249" s="18">
        <f>PRODUCT($BI$5:BI249)</f>
        <v>0.57146126097022543</v>
      </c>
      <c r="BK249" s="20">
        <f>1 - Audit[[#This Row],[K-M P Value]]</f>
        <v>0.42853873902977457</v>
      </c>
      <c r="BL249" s="18" t="str">
        <f>IF(Audit[[#This Row],[K-M P Value]]&gt;1-'General Info'!$B$12,"Continue", "Stop")</f>
        <v>Continue</v>
      </c>
      <c r="BM249" s="23" t="b">
        <f>IF(Audit[[#This Row],[Status - Continue or stop audit]] = "Continue", TRUE, IF(BL248 = "Continue", TRUE, FALSE))</f>
        <v>1</v>
      </c>
      <c r="BN249" s="23"/>
    </row>
    <row r="250" spans="1:66" ht="15" hidden="1" customHeight="1" x14ac:dyDescent="0.35">
      <c r="A250" s="18" t="str">
        <f>'Sampling Data'!AI250</f>
        <v/>
      </c>
      <c r="B250" s="18" t="str">
        <f>'Sampling Data'!A250</f>
        <v>3804 MADRA D   (AV)</v>
      </c>
      <c r="C250" s="18">
        <f>'Sampling Data'!B250</f>
        <v>12</v>
      </c>
      <c r="D250" s="18">
        <f>'Sampling Data'!C250</f>
        <v>4</v>
      </c>
      <c r="E250" s="19">
        <f>'Sampling Data'!D250</f>
        <v>0</v>
      </c>
      <c r="F250" s="19">
        <f>'Sampling Data'!E250</f>
        <v>0</v>
      </c>
      <c r="G250" s="19">
        <f>'Sampling Data'!F250</f>
        <v>0</v>
      </c>
      <c r="H250" s="19">
        <f>'Sampling Data'!G250</f>
        <v>0</v>
      </c>
      <c r="I250" s="19">
        <f>'Sampling Data'!H250</f>
        <v>0</v>
      </c>
      <c r="J250" s="19">
        <f>'Sampling Data'!I250</f>
        <v>0</v>
      </c>
      <c r="K250" s="19">
        <f>'Sampling Data'!J250</f>
        <v>0</v>
      </c>
      <c r="L250" s="19">
        <f>'Sampling Data'!K250</f>
        <v>0</v>
      </c>
      <c r="M250" s="19">
        <f>'Sampling Data'!L250</f>
        <v>0</v>
      </c>
      <c r="N250" s="19">
        <f>'Sampling Data'!M250</f>
        <v>0</v>
      </c>
      <c r="O250" s="18">
        <f>'Sampling Data'!N250</f>
        <v>0</v>
      </c>
      <c r="P250" s="18">
        <f>'Sampling Data'!O250</f>
        <v>0</v>
      </c>
      <c r="Q250" s="18">
        <f>'Sampling Data'!P250</f>
        <v>16</v>
      </c>
      <c r="R250" s="18">
        <f>'Sampling Data'!AJ250</f>
        <v>0</v>
      </c>
      <c r="S250" s="112"/>
      <c r="T250" s="112"/>
      <c r="U250" s="113"/>
      <c r="V250" s="113"/>
      <c r="W250" s="112"/>
      <c r="X250" s="112"/>
      <c r="Y250" s="112"/>
      <c r="Z250" s="112"/>
      <c r="AA250" s="15"/>
      <c r="AB250" s="15"/>
      <c r="AC250" s="15"/>
      <c r="AD250" s="15"/>
      <c r="AE250" s="114" t="str">
        <f>IF(NOT(ISBLANK(Audit[[#This Row],[Audit Winning Candidate]])), Audit[[#This Row],[Audit Winning Candidate]]-Audit[[#This Row],[Winning Candidate]], "")</f>
        <v/>
      </c>
      <c r="AF250" s="18" t="str">
        <f>IF(NOT(ISBLANK(Audit[[#This Row],[Audit Losing Candidate]])), Audit[[#This Row],[Audit Losing Candidate]]-Audit[[#This Row],[Losing Candidate]], "")</f>
        <v/>
      </c>
      <c r="AG250" s="18" t="str">
        <f>IF(NOT(ISBLANK(Audit[[#This Row],[Audit Candidate 3]])), Audit[[#This Row],[Audit Candidate 3]]-Audit[[#This Row],[Candidate 3]], "")</f>
        <v/>
      </c>
      <c r="AH250" s="18" t="str">
        <f>IF(NOT(ISBLANK(Audit[[#This Row],[Audit Candidate 4]])),Audit[[#This Row],[Audit Candidate 4]]-Audit[[#This Row],[Candidate 4]], "")</f>
        <v/>
      </c>
      <c r="AI250" s="18" t="str">
        <f>IF(NOT(ISBLANK(Audit[[#This Row],[Audit Candidate 5]])), Audit[[#This Row],[Audit Candidate 5]]-Audit[[#This Row],[Candidate 5]], "")</f>
        <v/>
      </c>
      <c r="AJ250" s="18" t="str">
        <f>IF(NOT(ISBLANK(Audit[[#This Row],[Audit Candidate 6]])), Audit[[#This Row],[Audit Candidate 6]]-Audit[[#This Row],[Candidate 6]], "")</f>
        <v/>
      </c>
      <c r="AK250" s="18" t="str">
        <f>IF(NOT(ISBLANK(Audit[[#This Row],[Audit Candidate 7]])), Audit[[#This Row],[Audit Candidate 7]]-Audit[[#This Row],[Candidate 7]], "")</f>
        <v/>
      </c>
      <c r="AL250" s="18" t="str">
        <f>IF(NOT(ISBLANK(Audit[[#This Row],[Audit Candidate 8]])), Audit[[#This Row],[Audit Candidate 8]]-Audit[[#This Row],[Candidate 8]], "")</f>
        <v/>
      </c>
      <c r="AM250" s="18" t="str">
        <f>IF(NOT(ISBLANK(Audit[[#This Row],[Audit Candidate 9]])), Audit[[#This Row],[Audit Candidate 9]]-Audit[[#This Row],[Candidate 9]], "")</f>
        <v/>
      </c>
      <c r="AN250" s="18" t="str">
        <f>IF(NOT(ISBLANK(Audit[[#This Row],[Audit Candidate 10]])), Audit[[#This Row],[Audit Candidate 10]]-Audit[[#This Row],[Candidate 10]], "")</f>
        <v/>
      </c>
      <c r="AO250" s="18" t="str">
        <f>IF(NOT(ISBLANK(Audit[[#This Row],[Audit Candidate 11]])), Audit[[#This Row],[Audit Candidate 11]]-Audit[[#This Row],[Candidate 11]], "")</f>
        <v/>
      </c>
      <c r="AP250" s="18" t="str">
        <f>IF(NOT(ISBLANK(Audit[[#This Row],[Audit Candidate 12]])), Audit[[#This Row],[Audit Candidate 12]]-Audit[[#This Row],[Candidate 12]], "")</f>
        <v/>
      </c>
      <c r="AQ250" s="18">
        <f>SUMIF(Audit[[#This Row],[Difference Winner]:[Difference Candidate 12]], "&gt;0")</f>
        <v>0</v>
      </c>
      <c r="AR250" s="18">
        <f>SUM(Audit[[#This Row],[Difference Winner]:[Difference Candidate 12]])</f>
        <v>0</v>
      </c>
      <c r="AS250" s="18">
        <f>IF(Audit[[#This Row],[Times p Drawn - With Replacement]]&gt;0, IF(Audit[[#This Row],[Canceled Differences]]&lt;0, Audit[[#This Row],[Max Differences]]+ABS(Audit[[#This Row],[Canceled Differences]]), Audit[[#This Row],[Max Differences]]), 0)</f>
        <v>0</v>
      </c>
      <c r="AT250" s="18">
        <f>'Sampling Data'!AB250</f>
        <v>7.5383987184722177E-4</v>
      </c>
      <c r="AU250" s="18">
        <f>IF(
      SUM(Audit[[#This Row],[Audit Losing Candidate]:[Audit Candidate 12]])
      &lt;&gt;0,
      (Audit[[#This Row],[Winning Candidate]]-Audit[[#This Row],[Losing Candidate]]-(Audit[[#This Row],[Audit Winning Candidate]]-Audit[[#This Row],[Audit Losing Candidate]]))/(Audit[[#Totals],[Winning Candidate]]-Audit[[#Totals],[Losing Candidate]]),
      0
)</f>
        <v>0</v>
      </c>
      <c r="AV2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8">
        <f>IF(Audit[[#This Row],[Max Relative Error (ep)]] = 0, 0, Audit[[#This Row],[Max Relative Error (ep)]]/Audit[[#This Row],[Error Bound (up) - Max. possible relative overstatement]])</f>
        <v>0</v>
      </c>
      <c r="BH2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0" s="18">
        <f t="shared" si="4"/>
        <v>1</v>
      </c>
      <c r="BJ250" s="18">
        <f>PRODUCT($BI$5:BI250)</f>
        <v>0.57146126097022543</v>
      </c>
      <c r="BK250" s="20">
        <f>1 - Audit[[#This Row],[K-M P Value]]</f>
        <v>0.42853873902977457</v>
      </c>
      <c r="BL250" s="18" t="str">
        <f>IF(Audit[[#This Row],[K-M P Value]]&gt;1-'General Info'!$B$12,"Continue", "Stop")</f>
        <v>Continue</v>
      </c>
      <c r="BM250" s="23" t="b">
        <f>IF(Audit[[#This Row],[Status - Continue or stop audit]] = "Continue", TRUE, IF(BL249 = "Continue", TRUE, FALSE))</f>
        <v>1</v>
      </c>
      <c r="BN250" s="23"/>
    </row>
    <row r="251" spans="1:66" ht="15" hidden="1" customHeight="1" x14ac:dyDescent="0.35">
      <c r="A251" s="18" t="str">
        <f>'Sampling Data'!AI251</f>
        <v/>
      </c>
      <c r="B251" s="18" t="str">
        <f>'Sampling Data'!A251</f>
        <v>3805 MADRA E   (AV)</v>
      </c>
      <c r="C251" s="18">
        <f>'Sampling Data'!B251</f>
        <v>3</v>
      </c>
      <c r="D251" s="18">
        <f>'Sampling Data'!C251</f>
        <v>1</v>
      </c>
      <c r="E251" s="19">
        <f>'Sampling Data'!D251</f>
        <v>0</v>
      </c>
      <c r="F251" s="19">
        <f>'Sampling Data'!E251</f>
        <v>0</v>
      </c>
      <c r="G251" s="19">
        <f>'Sampling Data'!F251</f>
        <v>0</v>
      </c>
      <c r="H251" s="19">
        <f>'Sampling Data'!G251</f>
        <v>0</v>
      </c>
      <c r="I251" s="19">
        <f>'Sampling Data'!H251</f>
        <v>0</v>
      </c>
      <c r="J251" s="19">
        <f>'Sampling Data'!I251</f>
        <v>0</v>
      </c>
      <c r="K251" s="19">
        <f>'Sampling Data'!J251</f>
        <v>0</v>
      </c>
      <c r="L251" s="19">
        <f>'Sampling Data'!K251</f>
        <v>0</v>
      </c>
      <c r="M251" s="19">
        <f>'Sampling Data'!L251</f>
        <v>0</v>
      </c>
      <c r="N251" s="19">
        <f>'Sampling Data'!M251</f>
        <v>0</v>
      </c>
      <c r="O251" s="18">
        <f>'Sampling Data'!N251</f>
        <v>0</v>
      </c>
      <c r="P251" s="18">
        <f>'Sampling Data'!O251</f>
        <v>0</v>
      </c>
      <c r="Q251" s="18">
        <f>'Sampling Data'!P251</f>
        <v>4</v>
      </c>
      <c r="R251" s="18">
        <f>'Sampling Data'!AJ251</f>
        <v>0</v>
      </c>
      <c r="S251" s="112"/>
      <c r="T251" s="112"/>
      <c r="U251" s="113"/>
      <c r="V251" s="113"/>
      <c r="W251" s="112"/>
      <c r="X251" s="112"/>
      <c r="Y251" s="112"/>
      <c r="Z251" s="112"/>
      <c r="AA251" s="15"/>
      <c r="AB251" s="15"/>
      <c r="AC251" s="15"/>
      <c r="AD251" s="15"/>
      <c r="AE251" s="114" t="str">
        <f>IF(NOT(ISBLANK(Audit[[#This Row],[Audit Winning Candidate]])), Audit[[#This Row],[Audit Winning Candidate]]-Audit[[#This Row],[Winning Candidate]], "")</f>
        <v/>
      </c>
      <c r="AF251" s="18" t="str">
        <f>IF(NOT(ISBLANK(Audit[[#This Row],[Audit Losing Candidate]])), Audit[[#This Row],[Audit Losing Candidate]]-Audit[[#This Row],[Losing Candidate]], "")</f>
        <v/>
      </c>
      <c r="AG251" s="18" t="str">
        <f>IF(NOT(ISBLANK(Audit[[#This Row],[Audit Candidate 3]])), Audit[[#This Row],[Audit Candidate 3]]-Audit[[#This Row],[Candidate 3]], "")</f>
        <v/>
      </c>
      <c r="AH251" s="18" t="str">
        <f>IF(NOT(ISBLANK(Audit[[#This Row],[Audit Candidate 4]])),Audit[[#This Row],[Audit Candidate 4]]-Audit[[#This Row],[Candidate 4]], "")</f>
        <v/>
      </c>
      <c r="AI251" s="18" t="str">
        <f>IF(NOT(ISBLANK(Audit[[#This Row],[Audit Candidate 5]])), Audit[[#This Row],[Audit Candidate 5]]-Audit[[#This Row],[Candidate 5]], "")</f>
        <v/>
      </c>
      <c r="AJ251" s="18" t="str">
        <f>IF(NOT(ISBLANK(Audit[[#This Row],[Audit Candidate 6]])), Audit[[#This Row],[Audit Candidate 6]]-Audit[[#This Row],[Candidate 6]], "")</f>
        <v/>
      </c>
      <c r="AK251" s="18" t="str">
        <f>IF(NOT(ISBLANK(Audit[[#This Row],[Audit Candidate 7]])), Audit[[#This Row],[Audit Candidate 7]]-Audit[[#This Row],[Candidate 7]], "")</f>
        <v/>
      </c>
      <c r="AL251" s="18" t="str">
        <f>IF(NOT(ISBLANK(Audit[[#This Row],[Audit Candidate 8]])), Audit[[#This Row],[Audit Candidate 8]]-Audit[[#This Row],[Candidate 8]], "")</f>
        <v/>
      </c>
      <c r="AM251" s="18" t="str">
        <f>IF(NOT(ISBLANK(Audit[[#This Row],[Audit Candidate 9]])), Audit[[#This Row],[Audit Candidate 9]]-Audit[[#This Row],[Candidate 9]], "")</f>
        <v/>
      </c>
      <c r="AN251" s="18" t="str">
        <f>IF(NOT(ISBLANK(Audit[[#This Row],[Audit Candidate 10]])), Audit[[#This Row],[Audit Candidate 10]]-Audit[[#This Row],[Candidate 10]], "")</f>
        <v/>
      </c>
      <c r="AO251" s="18" t="str">
        <f>IF(NOT(ISBLANK(Audit[[#This Row],[Audit Candidate 11]])), Audit[[#This Row],[Audit Candidate 11]]-Audit[[#This Row],[Candidate 11]], "")</f>
        <v/>
      </c>
      <c r="AP251" s="18" t="str">
        <f>IF(NOT(ISBLANK(Audit[[#This Row],[Audit Candidate 12]])), Audit[[#This Row],[Audit Candidate 12]]-Audit[[#This Row],[Candidate 12]], "")</f>
        <v/>
      </c>
      <c r="AQ251" s="18">
        <f>SUMIF(Audit[[#This Row],[Difference Winner]:[Difference Candidate 12]], "&gt;0")</f>
        <v>0</v>
      </c>
      <c r="AR251" s="18">
        <f>SUM(Audit[[#This Row],[Difference Winner]:[Difference Candidate 12]])</f>
        <v>0</v>
      </c>
      <c r="AS251" s="18">
        <f>IF(Audit[[#This Row],[Times p Drawn - With Replacement]]&gt;0, IF(Audit[[#This Row],[Canceled Differences]]&lt;0, Audit[[#This Row],[Max Differences]]+ABS(Audit[[#This Row],[Canceled Differences]]), Audit[[#This Row],[Max Differences]]), 0)</f>
        <v>0</v>
      </c>
      <c r="AT251" s="18">
        <f>'Sampling Data'!AB251</f>
        <v>1.8845996796180544E-4</v>
      </c>
      <c r="AU251" s="18">
        <f>IF(
      SUM(Audit[[#This Row],[Audit Losing Candidate]:[Audit Candidate 12]])
      &lt;&gt;0,
      (Audit[[#This Row],[Winning Candidate]]-Audit[[#This Row],[Losing Candidate]]-(Audit[[#This Row],[Audit Winning Candidate]]-Audit[[#This Row],[Audit Losing Candidate]]))/(Audit[[#Totals],[Winning Candidate]]-Audit[[#Totals],[Losing Candidate]]),
      0
)</f>
        <v>0</v>
      </c>
      <c r="AV2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8">
        <f>IF(Audit[[#This Row],[Max Relative Error (ep)]] = 0, 0, Audit[[#This Row],[Max Relative Error (ep)]]/Audit[[#This Row],[Error Bound (up) - Max. possible relative overstatement]])</f>
        <v>0</v>
      </c>
      <c r="BH2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1" s="18">
        <f t="shared" si="4"/>
        <v>1</v>
      </c>
      <c r="BJ251" s="18">
        <f>PRODUCT($BI$5:BI251)</f>
        <v>0.57146126097022543</v>
      </c>
      <c r="BK251" s="20">
        <f>1 - Audit[[#This Row],[K-M P Value]]</f>
        <v>0.42853873902977457</v>
      </c>
      <c r="BL251" s="18" t="str">
        <f>IF(Audit[[#This Row],[K-M P Value]]&gt;1-'General Info'!$B$12,"Continue", "Stop")</f>
        <v>Continue</v>
      </c>
      <c r="BM251" s="23" t="b">
        <f>IF(Audit[[#This Row],[Status - Continue or stop audit]] = "Continue", TRUE, IF(BL250 = "Continue", TRUE, FALSE))</f>
        <v>1</v>
      </c>
      <c r="BN251" s="23"/>
    </row>
    <row r="252" spans="1:66" ht="15" hidden="1" customHeight="1" x14ac:dyDescent="0.35">
      <c r="A252" s="18" t="str">
        <f>'Sampling Data'!AI252</f>
        <v/>
      </c>
      <c r="B252" s="18" t="str">
        <f>'Sampling Data'!A252</f>
        <v>3806 MADRA F   (AV)</v>
      </c>
      <c r="C252" s="18">
        <f>'Sampling Data'!B252</f>
        <v>6</v>
      </c>
      <c r="D252" s="18">
        <f>'Sampling Data'!C252</f>
        <v>0</v>
      </c>
      <c r="E252" s="19">
        <f>'Sampling Data'!D252</f>
        <v>0</v>
      </c>
      <c r="F252" s="19">
        <f>'Sampling Data'!E252</f>
        <v>0</v>
      </c>
      <c r="G252" s="19">
        <f>'Sampling Data'!F252</f>
        <v>0</v>
      </c>
      <c r="H252" s="19">
        <f>'Sampling Data'!G252</f>
        <v>0</v>
      </c>
      <c r="I252" s="19">
        <f>'Sampling Data'!H252</f>
        <v>0</v>
      </c>
      <c r="J252" s="19">
        <f>'Sampling Data'!I252</f>
        <v>0</v>
      </c>
      <c r="K252" s="19">
        <f>'Sampling Data'!J252</f>
        <v>0</v>
      </c>
      <c r="L252" s="19">
        <f>'Sampling Data'!K252</f>
        <v>0</v>
      </c>
      <c r="M252" s="19">
        <f>'Sampling Data'!L252</f>
        <v>0</v>
      </c>
      <c r="N252" s="19">
        <f>'Sampling Data'!M252</f>
        <v>0</v>
      </c>
      <c r="O252" s="18">
        <f>'Sampling Data'!N252</f>
        <v>0</v>
      </c>
      <c r="P252" s="18">
        <f>'Sampling Data'!O252</f>
        <v>0</v>
      </c>
      <c r="Q252" s="18">
        <f>'Sampling Data'!P252</f>
        <v>6</v>
      </c>
      <c r="R252" s="18">
        <f>'Sampling Data'!AJ252</f>
        <v>0</v>
      </c>
      <c r="S252" s="112"/>
      <c r="T252" s="112"/>
      <c r="U252" s="113"/>
      <c r="V252" s="113"/>
      <c r="W252" s="112"/>
      <c r="X252" s="112"/>
      <c r="Y252" s="112"/>
      <c r="Z252" s="112"/>
      <c r="AA252" s="15"/>
      <c r="AB252" s="15"/>
      <c r="AC252" s="15"/>
      <c r="AD252" s="15"/>
      <c r="AE252" s="114" t="str">
        <f>IF(NOT(ISBLANK(Audit[[#This Row],[Audit Winning Candidate]])), Audit[[#This Row],[Audit Winning Candidate]]-Audit[[#This Row],[Winning Candidate]], "")</f>
        <v/>
      </c>
      <c r="AF252" s="18" t="str">
        <f>IF(NOT(ISBLANK(Audit[[#This Row],[Audit Losing Candidate]])), Audit[[#This Row],[Audit Losing Candidate]]-Audit[[#This Row],[Losing Candidate]], "")</f>
        <v/>
      </c>
      <c r="AG252" s="18" t="str">
        <f>IF(NOT(ISBLANK(Audit[[#This Row],[Audit Candidate 3]])), Audit[[#This Row],[Audit Candidate 3]]-Audit[[#This Row],[Candidate 3]], "")</f>
        <v/>
      </c>
      <c r="AH252" s="18" t="str">
        <f>IF(NOT(ISBLANK(Audit[[#This Row],[Audit Candidate 4]])),Audit[[#This Row],[Audit Candidate 4]]-Audit[[#This Row],[Candidate 4]], "")</f>
        <v/>
      </c>
      <c r="AI252" s="18" t="str">
        <f>IF(NOT(ISBLANK(Audit[[#This Row],[Audit Candidate 5]])), Audit[[#This Row],[Audit Candidate 5]]-Audit[[#This Row],[Candidate 5]], "")</f>
        <v/>
      </c>
      <c r="AJ252" s="18" t="str">
        <f>IF(NOT(ISBLANK(Audit[[#This Row],[Audit Candidate 6]])), Audit[[#This Row],[Audit Candidate 6]]-Audit[[#This Row],[Candidate 6]], "")</f>
        <v/>
      </c>
      <c r="AK252" s="18" t="str">
        <f>IF(NOT(ISBLANK(Audit[[#This Row],[Audit Candidate 7]])), Audit[[#This Row],[Audit Candidate 7]]-Audit[[#This Row],[Candidate 7]], "")</f>
        <v/>
      </c>
      <c r="AL252" s="18" t="str">
        <f>IF(NOT(ISBLANK(Audit[[#This Row],[Audit Candidate 8]])), Audit[[#This Row],[Audit Candidate 8]]-Audit[[#This Row],[Candidate 8]], "")</f>
        <v/>
      </c>
      <c r="AM252" s="18" t="str">
        <f>IF(NOT(ISBLANK(Audit[[#This Row],[Audit Candidate 9]])), Audit[[#This Row],[Audit Candidate 9]]-Audit[[#This Row],[Candidate 9]], "")</f>
        <v/>
      </c>
      <c r="AN252" s="18" t="str">
        <f>IF(NOT(ISBLANK(Audit[[#This Row],[Audit Candidate 10]])), Audit[[#This Row],[Audit Candidate 10]]-Audit[[#This Row],[Candidate 10]], "")</f>
        <v/>
      </c>
      <c r="AO252" s="18" t="str">
        <f>IF(NOT(ISBLANK(Audit[[#This Row],[Audit Candidate 11]])), Audit[[#This Row],[Audit Candidate 11]]-Audit[[#This Row],[Candidate 11]], "")</f>
        <v/>
      </c>
      <c r="AP252" s="18" t="str">
        <f>IF(NOT(ISBLANK(Audit[[#This Row],[Audit Candidate 12]])), Audit[[#This Row],[Audit Candidate 12]]-Audit[[#This Row],[Candidate 12]], "")</f>
        <v/>
      </c>
      <c r="AQ252" s="18">
        <f>SUMIF(Audit[[#This Row],[Difference Winner]:[Difference Candidate 12]], "&gt;0")</f>
        <v>0</v>
      </c>
      <c r="AR252" s="18">
        <f>SUM(Audit[[#This Row],[Difference Winner]:[Difference Candidate 12]])</f>
        <v>0</v>
      </c>
      <c r="AS252" s="18">
        <f>IF(Audit[[#This Row],[Times p Drawn - With Replacement]]&gt;0, IF(Audit[[#This Row],[Canceled Differences]]&lt;0, Audit[[#This Row],[Max Differences]]+ABS(Audit[[#This Row],[Canceled Differences]]), Audit[[#This Row],[Max Differences]]), 0)</f>
        <v>0</v>
      </c>
      <c r="AT252" s="18">
        <f>'Sampling Data'!AB252</f>
        <v>3.7691993592361088E-4</v>
      </c>
      <c r="AU252" s="18">
        <f>IF(
      SUM(Audit[[#This Row],[Audit Losing Candidate]:[Audit Candidate 12]])
      &lt;&gt;0,
      (Audit[[#This Row],[Winning Candidate]]-Audit[[#This Row],[Losing Candidate]]-(Audit[[#This Row],[Audit Winning Candidate]]-Audit[[#This Row],[Audit Losing Candidate]]))/(Audit[[#Totals],[Winning Candidate]]-Audit[[#Totals],[Losing Candidate]]),
      0
)</f>
        <v>0</v>
      </c>
      <c r="AV2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8">
        <f>IF(Audit[[#This Row],[Max Relative Error (ep)]] = 0, 0, Audit[[#This Row],[Max Relative Error (ep)]]/Audit[[#This Row],[Error Bound (up) - Max. possible relative overstatement]])</f>
        <v>0</v>
      </c>
      <c r="BH2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2" s="18">
        <f t="shared" si="4"/>
        <v>1</v>
      </c>
      <c r="BJ252" s="18">
        <f>PRODUCT($BI$5:BI252)</f>
        <v>0.57146126097022543</v>
      </c>
      <c r="BK252" s="20">
        <f>1 - Audit[[#This Row],[K-M P Value]]</f>
        <v>0.42853873902977457</v>
      </c>
      <c r="BL252" s="18" t="str">
        <f>IF(Audit[[#This Row],[K-M P Value]]&gt;1-'General Info'!$B$12,"Continue", "Stop")</f>
        <v>Continue</v>
      </c>
      <c r="BM252" s="23" t="b">
        <f>IF(Audit[[#This Row],[Status - Continue or stop audit]] = "Continue", TRUE, IF(BL251 = "Continue", TRUE, FALSE))</f>
        <v>1</v>
      </c>
      <c r="BN252" s="23"/>
    </row>
    <row r="253" spans="1:66" ht="15" hidden="1" customHeight="1" x14ac:dyDescent="0.35">
      <c r="A253" s="18" t="str">
        <f>'Sampling Data'!AI253</f>
        <v/>
      </c>
      <c r="B253" s="18" t="str">
        <f>'Sampling Data'!A253</f>
        <v>3807 MADRA G   (AV)</v>
      </c>
      <c r="C253" s="18">
        <f>'Sampling Data'!B253</f>
        <v>6</v>
      </c>
      <c r="D253" s="18">
        <f>'Sampling Data'!C253</f>
        <v>0</v>
      </c>
      <c r="E253" s="19">
        <f>'Sampling Data'!D253</f>
        <v>0</v>
      </c>
      <c r="F253" s="19">
        <f>'Sampling Data'!E253</f>
        <v>0</v>
      </c>
      <c r="G253" s="19">
        <f>'Sampling Data'!F253</f>
        <v>0</v>
      </c>
      <c r="H253" s="19">
        <f>'Sampling Data'!G253</f>
        <v>0</v>
      </c>
      <c r="I253" s="19">
        <f>'Sampling Data'!H253</f>
        <v>0</v>
      </c>
      <c r="J253" s="19">
        <f>'Sampling Data'!I253</f>
        <v>0</v>
      </c>
      <c r="K253" s="19">
        <f>'Sampling Data'!J253</f>
        <v>0</v>
      </c>
      <c r="L253" s="19">
        <f>'Sampling Data'!K253</f>
        <v>0</v>
      </c>
      <c r="M253" s="19">
        <f>'Sampling Data'!L253</f>
        <v>0</v>
      </c>
      <c r="N253" s="19">
        <f>'Sampling Data'!M253</f>
        <v>0</v>
      </c>
      <c r="O253" s="18">
        <f>'Sampling Data'!N253</f>
        <v>0</v>
      </c>
      <c r="P253" s="18">
        <f>'Sampling Data'!O253</f>
        <v>1</v>
      </c>
      <c r="Q253" s="18">
        <f>'Sampling Data'!P253</f>
        <v>7</v>
      </c>
      <c r="R253" s="18">
        <f>'Sampling Data'!AJ253</f>
        <v>0</v>
      </c>
      <c r="S253" s="112"/>
      <c r="T253" s="112"/>
      <c r="U253" s="113"/>
      <c r="V253" s="113"/>
      <c r="W253" s="112"/>
      <c r="X253" s="112"/>
      <c r="Y253" s="112"/>
      <c r="Z253" s="112"/>
      <c r="AA253" s="15"/>
      <c r="AB253" s="15"/>
      <c r="AC253" s="15"/>
      <c r="AD253" s="15"/>
      <c r="AE253" s="114" t="str">
        <f>IF(NOT(ISBLANK(Audit[[#This Row],[Audit Winning Candidate]])), Audit[[#This Row],[Audit Winning Candidate]]-Audit[[#This Row],[Winning Candidate]], "")</f>
        <v/>
      </c>
      <c r="AF253" s="18" t="str">
        <f>IF(NOT(ISBLANK(Audit[[#This Row],[Audit Losing Candidate]])), Audit[[#This Row],[Audit Losing Candidate]]-Audit[[#This Row],[Losing Candidate]], "")</f>
        <v/>
      </c>
      <c r="AG253" s="18" t="str">
        <f>IF(NOT(ISBLANK(Audit[[#This Row],[Audit Candidate 3]])), Audit[[#This Row],[Audit Candidate 3]]-Audit[[#This Row],[Candidate 3]], "")</f>
        <v/>
      </c>
      <c r="AH253" s="18" t="str">
        <f>IF(NOT(ISBLANK(Audit[[#This Row],[Audit Candidate 4]])),Audit[[#This Row],[Audit Candidate 4]]-Audit[[#This Row],[Candidate 4]], "")</f>
        <v/>
      </c>
      <c r="AI253" s="18" t="str">
        <f>IF(NOT(ISBLANK(Audit[[#This Row],[Audit Candidate 5]])), Audit[[#This Row],[Audit Candidate 5]]-Audit[[#This Row],[Candidate 5]], "")</f>
        <v/>
      </c>
      <c r="AJ253" s="18" t="str">
        <f>IF(NOT(ISBLANK(Audit[[#This Row],[Audit Candidate 6]])), Audit[[#This Row],[Audit Candidate 6]]-Audit[[#This Row],[Candidate 6]], "")</f>
        <v/>
      </c>
      <c r="AK253" s="18" t="str">
        <f>IF(NOT(ISBLANK(Audit[[#This Row],[Audit Candidate 7]])), Audit[[#This Row],[Audit Candidate 7]]-Audit[[#This Row],[Candidate 7]], "")</f>
        <v/>
      </c>
      <c r="AL253" s="18" t="str">
        <f>IF(NOT(ISBLANK(Audit[[#This Row],[Audit Candidate 8]])), Audit[[#This Row],[Audit Candidate 8]]-Audit[[#This Row],[Candidate 8]], "")</f>
        <v/>
      </c>
      <c r="AM253" s="18" t="str">
        <f>IF(NOT(ISBLANK(Audit[[#This Row],[Audit Candidate 9]])), Audit[[#This Row],[Audit Candidate 9]]-Audit[[#This Row],[Candidate 9]], "")</f>
        <v/>
      </c>
      <c r="AN253" s="18" t="str">
        <f>IF(NOT(ISBLANK(Audit[[#This Row],[Audit Candidate 10]])), Audit[[#This Row],[Audit Candidate 10]]-Audit[[#This Row],[Candidate 10]], "")</f>
        <v/>
      </c>
      <c r="AO253" s="18" t="str">
        <f>IF(NOT(ISBLANK(Audit[[#This Row],[Audit Candidate 11]])), Audit[[#This Row],[Audit Candidate 11]]-Audit[[#This Row],[Candidate 11]], "")</f>
        <v/>
      </c>
      <c r="AP253" s="18" t="str">
        <f>IF(NOT(ISBLANK(Audit[[#This Row],[Audit Candidate 12]])), Audit[[#This Row],[Audit Candidate 12]]-Audit[[#This Row],[Candidate 12]], "")</f>
        <v/>
      </c>
      <c r="AQ253" s="18">
        <f>SUMIF(Audit[[#This Row],[Difference Winner]:[Difference Candidate 12]], "&gt;0")</f>
        <v>0</v>
      </c>
      <c r="AR253" s="18">
        <f>SUM(Audit[[#This Row],[Difference Winner]:[Difference Candidate 12]])</f>
        <v>0</v>
      </c>
      <c r="AS253" s="18">
        <f>IF(Audit[[#This Row],[Times p Drawn - With Replacement]]&gt;0, IF(Audit[[#This Row],[Canceled Differences]]&lt;0, Audit[[#This Row],[Max Differences]]+ABS(Audit[[#This Row],[Canceled Differences]]), Audit[[#This Row],[Max Differences]]), 0)</f>
        <v>0</v>
      </c>
      <c r="AT253" s="18">
        <f>'Sampling Data'!AB253</f>
        <v>4.0832993058391182E-4</v>
      </c>
      <c r="AU253" s="18">
        <f>IF(
      SUM(Audit[[#This Row],[Audit Losing Candidate]:[Audit Candidate 12]])
      &lt;&gt;0,
      (Audit[[#This Row],[Winning Candidate]]-Audit[[#This Row],[Losing Candidate]]-(Audit[[#This Row],[Audit Winning Candidate]]-Audit[[#This Row],[Audit Losing Candidate]]))/(Audit[[#Totals],[Winning Candidate]]-Audit[[#Totals],[Losing Candidate]]),
      0
)</f>
        <v>0</v>
      </c>
      <c r="AV2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8">
        <f>IF(Audit[[#This Row],[Max Relative Error (ep)]] = 0, 0, Audit[[#This Row],[Max Relative Error (ep)]]/Audit[[#This Row],[Error Bound (up) - Max. possible relative overstatement]])</f>
        <v>0</v>
      </c>
      <c r="BH2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3" s="18">
        <f t="shared" si="4"/>
        <v>1</v>
      </c>
      <c r="BJ253" s="18">
        <f>PRODUCT($BI$5:BI253)</f>
        <v>0.57146126097022543</v>
      </c>
      <c r="BK253" s="20">
        <f>1 - Audit[[#This Row],[K-M P Value]]</f>
        <v>0.42853873902977457</v>
      </c>
      <c r="BL253" s="18" t="str">
        <f>IF(Audit[[#This Row],[K-M P Value]]&gt;1-'General Info'!$B$12,"Continue", "Stop")</f>
        <v>Continue</v>
      </c>
      <c r="BM253" s="23" t="b">
        <f>IF(Audit[[#This Row],[Status - Continue or stop audit]] = "Continue", TRUE, IF(BL252 = "Continue", TRUE, FALSE))</f>
        <v>1</v>
      </c>
      <c r="BN253" s="23"/>
    </row>
    <row r="254" spans="1:66" ht="15" hidden="1" customHeight="1" x14ac:dyDescent="0.35">
      <c r="A254" s="18" t="str">
        <f>'Sampling Data'!AI254</f>
        <v/>
      </c>
      <c r="B254" s="18" t="str">
        <f>'Sampling Data'!A254</f>
        <v>3808 MADRA H   (AV)</v>
      </c>
      <c r="C254" s="18">
        <f>'Sampling Data'!B254</f>
        <v>16</v>
      </c>
      <c r="D254" s="18">
        <f>'Sampling Data'!C254</f>
        <v>1</v>
      </c>
      <c r="E254" s="19">
        <f>'Sampling Data'!D254</f>
        <v>0</v>
      </c>
      <c r="F254" s="19">
        <f>'Sampling Data'!E254</f>
        <v>0</v>
      </c>
      <c r="G254" s="19">
        <f>'Sampling Data'!F254</f>
        <v>0</v>
      </c>
      <c r="H254" s="19">
        <f>'Sampling Data'!G254</f>
        <v>0</v>
      </c>
      <c r="I254" s="19">
        <f>'Sampling Data'!H254</f>
        <v>0</v>
      </c>
      <c r="J254" s="19">
        <f>'Sampling Data'!I254</f>
        <v>0</v>
      </c>
      <c r="K254" s="19">
        <f>'Sampling Data'!J254</f>
        <v>0</v>
      </c>
      <c r="L254" s="19">
        <f>'Sampling Data'!K254</f>
        <v>0</v>
      </c>
      <c r="M254" s="19">
        <f>'Sampling Data'!L254</f>
        <v>0</v>
      </c>
      <c r="N254" s="19">
        <f>'Sampling Data'!M254</f>
        <v>0</v>
      </c>
      <c r="O254" s="18">
        <f>'Sampling Data'!N254</f>
        <v>0</v>
      </c>
      <c r="P254" s="18">
        <f>'Sampling Data'!O254</f>
        <v>0</v>
      </c>
      <c r="Q254" s="18">
        <f>'Sampling Data'!P254</f>
        <v>17</v>
      </c>
      <c r="R254" s="18">
        <f>'Sampling Data'!AJ254</f>
        <v>0</v>
      </c>
      <c r="S254" s="112"/>
      <c r="T254" s="112"/>
      <c r="U254" s="113"/>
      <c r="V254" s="113"/>
      <c r="W254" s="112"/>
      <c r="X254" s="112"/>
      <c r="Y254" s="112"/>
      <c r="Z254" s="112"/>
      <c r="AA254" s="15"/>
      <c r="AB254" s="15"/>
      <c r="AC254" s="15"/>
      <c r="AD254" s="15"/>
      <c r="AE254" s="114" t="str">
        <f>IF(NOT(ISBLANK(Audit[[#This Row],[Audit Winning Candidate]])), Audit[[#This Row],[Audit Winning Candidate]]-Audit[[#This Row],[Winning Candidate]], "")</f>
        <v/>
      </c>
      <c r="AF254" s="18" t="str">
        <f>IF(NOT(ISBLANK(Audit[[#This Row],[Audit Losing Candidate]])), Audit[[#This Row],[Audit Losing Candidate]]-Audit[[#This Row],[Losing Candidate]], "")</f>
        <v/>
      </c>
      <c r="AG254" s="18" t="str">
        <f>IF(NOT(ISBLANK(Audit[[#This Row],[Audit Candidate 3]])), Audit[[#This Row],[Audit Candidate 3]]-Audit[[#This Row],[Candidate 3]], "")</f>
        <v/>
      </c>
      <c r="AH254" s="18" t="str">
        <f>IF(NOT(ISBLANK(Audit[[#This Row],[Audit Candidate 4]])),Audit[[#This Row],[Audit Candidate 4]]-Audit[[#This Row],[Candidate 4]], "")</f>
        <v/>
      </c>
      <c r="AI254" s="18" t="str">
        <f>IF(NOT(ISBLANK(Audit[[#This Row],[Audit Candidate 5]])), Audit[[#This Row],[Audit Candidate 5]]-Audit[[#This Row],[Candidate 5]], "")</f>
        <v/>
      </c>
      <c r="AJ254" s="18" t="str">
        <f>IF(NOT(ISBLANK(Audit[[#This Row],[Audit Candidate 6]])), Audit[[#This Row],[Audit Candidate 6]]-Audit[[#This Row],[Candidate 6]], "")</f>
        <v/>
      </c>
      <c r="AK254" s="18" t="str">
        <f>IF(NOT(ISBLANK(Audit[[#This Row],[Audit Candidate 7]])), Audit[[#This Row],[Audit Candidate 7]]-Audit[[#This Row],[Candidate 7]], "")</f>
        <v/>
      </c>
      <c r="AL254" s="18" t="str">
        <f>IF(NOT(ISBLANK(Audit[[#This Row],[Audit Candidate 8]])), Audit[[#This Row],[Audit Candidate 8]]-Audit[[#This Row],[Candidate 8]], "")</f>
        <v/>
      </c>
      <c r="AM254" s="18" t="str">
        <f>IF(NOT(ISBLANK(Audit[[#This Row],[Audit Candidate 9]])), Audit[[#This Row],[Audit Candidate 9]]-Audit[[#This Row],[Candidate 9]], "")</f>
        <v/>
      </c>
      <c r="AN254" s="18" t="str">
        <f>IF(NOT(ISBLANK(Audit[[#This Row],[Audit Candidate 10]])), Audit[[#This Row],[Audit Candidate 10]]-Audit[[#This Row],[Candidate 10]], "")</f>
        <v/>
      </c>
      <c r="AO254" s="18" t="str">
        <f>IF(NOT(ISBLANK(Audit[[#This Row],[Audit Candidate 11]])), Audit[[#This Row],[Audit Candidate 11]]-Audit[[#This Row],[Candidate 11]], "")</f>
        <v/>
      </c>
      <c r="AP254" s="18" t="str">
        <f>IF(NOT(ISBLANK(Audit[[#This Row],[Audit Candidate 12]])), Audit[[#This Row],[Audit Candidate 12]]-Audit[[#This Row],[Candidate 12]], "")</f>
        <v/>
      </c>
      <c r="AQ254" s="18">
        <f>SUMIF(Audit[[#This Row],[Difference Winner]:[Difference Candidate 12]], "&gt;0")</f>
        <v>0</v>
      </c>
      <c r="AR254" s="18">
        <f>SUM(Audit[[#This Row],[Difference Winner]:[Difference Candidate 12]])</f>
        <v>0</v>
      </c>
      <c r="AS254" s="18">
        <f>IF(Audit[[#This Row],[Times p Drawn - With Replacement]]&gt;0, IF(Audit[[#This Row],[Canceled Differences]]&lt;0, Audit[[#This Row],[Max Differences]]+ABS(Audit[[#This Row],[Canceled Differences]]), Audit[[#This Row],[Max Differences]]), 0)</f>
        <v>0</v>
      </c>
      <c r="AT254" s="18">
        <f>'Sampling Data'!AB254</f>
        <v>1.005119829129629E-3</v>
      </c>
      <c r="AU254" s="18">
        <f>IF(
      SUM(Audit[[#This Row],[Audit Losing Candidate]:[Audit Candidate 12]])
      &lt;&gt;0,
      (Audit[[#This Row],[Winning Candidate]]-Audit[[#This Row],[Losing Candidate]]-(Audit[[#This Row],[Audit Winning Candidate]]-Audit[[#This Row],[Audit Losing Candidate]]))/(Audit[[#Totals],[Winning Candidate]]-Audit[[#Totals],[Losing Candidate]]),
      0
)</f>
        <v>0</v>
      </c>
      <c r="AV2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8">
        <f>IF(Audit[[#This Row],[Max Relative Error (ep)]] = 0, 0, Audit[[#This Row],[Max Relative Error (ep)]]/Audit[[#This Row],[Error Bound (up) - Max. possible relative overstatement]])</f>
        <v>0</v>
      </c>
      <c r="BH2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4" s="18">
        <f t="shared" si="4"/>
        <v>1</v>
      </c>
      <c r="BJ254" s="18">
        <f>PRODUCT($BI$5:BI254)</f>
        <v>0.57146126097022543</v>
      </c>
      <c r="BK254" s="20">
        <f>1 - Audit[[#This Row],[K-M P Value]]</f>
        <v>0.42853873902977457</v>
      </c>
      <c r="BL254" s="18" t="str">
        <f>IF(Audit[[#This Row],[K-M P Value]]&gt;1-'General Info'!$B$12,"Continue", "Stop")</f>
        <v>Continue</v>
      </c>
      <c r="BM254" s="23" t="b">
        <f>IF(Audit[[#This Row],[Status - Continue or stop audit]] = "Continue", TRUE, IF(BL253 = "Continue", TRUE, FALSE))</f>
        <v>1</v>
      </c>
      <c r="BN254" s="23"/>
    </row>
    <row r="255" spans="1:66" ht="15" hidden="1" customHeight="1" x14ac:dyDescent="0.35">
      <c r="A255" s="18" t="str">
        <f>'Sampling Data'!AI255</f>
        <v/>
      </c>
      <c r="B255" s="18" t="str">
        <f>'Sampling Data'!A255</f>
        <v>3901 MILF A   (AV)</v>
      </c>
      <c r="C255" s="18">
        <f>'Sampling Data'!B255</f>
        <v>0</v>
      </c>
      <c r="D255" s="18">
        <f>'Sampling Data'!C255</f>
        <v>0</v>
      </c>
      <c r="E255" s="19">
        <f>'Sampling Data'!D255</f>
        <v>0</v>
      </c>
      <c r="F255" s="19">
        <f>'Sampling Data'!E255</f>
        <v>0</v>
      </c>
      <c r="G255" s="19">
        <f>'Sampling Data'!F255</f>
        <v>0</v>
      </c>
      <c r="H255" s="19">
        <f>'Sampling Data'!G255</f>
        <v>0</v>
      </c>
      <c r="I255" s="19">
        <f>'Sampling Data'!H255</f>
        <v>0</v>
      </c>
      <c r="J255" s="19">
        <f>'Sampling Data'!I255</f>
        <v>0</v>
      </c>
      <c r="K255" s="19">
        <f>'Sampling Data'!J255</f>
        <v>0</v>
      </c>
      <c r="L255" s="19">
        <f>'Sampling Data'!K255</f>
        <v>0</v>
      </c>
      <c r="M255" s="19">
        <f>'Sampling Data'!L255</f>
        <v>0</v>
      </c>
      <c r="N255" s="19">
        <f>'Sampling Data'!M255</f>
        <v>0</v>
      </c>
      <c r="O255" s="18">
        <f>'Sampling Data'!N255</f>
        <v>0</v>
      </c>
      <c r="P255" s="18">
        <f>'Sampling Data'!O255</f>
        <v>0</v>
      </c>
      <c r="Q255" s="18">
        <f>'Sampling Data'!P255</f>
        <v>0</v>
      </c>
      <c r="R255" s="18">
        <f>'Sampling Data'!AJ255</f>
        <v>0</v>
      </c>
      <c r="S255" s="112"/>
      <c r="T255" s="112"/>
      <c r="U255" s="113"/>
      <c r="V255" s="113"/>
      <c r="W255" s="112"/>
      <c r="X255" s="112"/>
      <c r="Y255" s="112"/>
      <c r="Z255" s="112"/>
      <c r="AA255" s="15"/>
      <c r="AB255" s="15"/>
      <c r="AC255" s="15"/>
      <c r="AD255" s="15"/>
      <c r="AE255" s="114" t="str">
        <f>IF(NOT(ISBLANK(Audit[[#This Row],[Audit Winning Candidate]])), Audit[[#This Row],[Audit Winning Candidate]]-Audit[[#This Row],[Winning Candidate]], "")</f>
        <v/>
      </c>
      <c r="AF255" s="18" t="str">
        <f>IF(NOT(ISBLANK(Audit[[#This Row],[Audit Losing Candidate]])), Audit[[#This Row],[Audit Losing Candidate]]-Audit[[#This Row],[Losing Candidate]], "")</f>
        <v/>
      </c>
      <c r="AG255" s="18" t="str">
        <f>IF(NOT(ISBLANK(Audit[[#This Row],[Audit Candidate 3]])), Audit[[#This Row],[Audit Candidate 3]]-Audit[[#This Row],[Candidate 3]], "")</f>
        <v/>
      </c>
      <c r="AH255" s="18" t="str">
        <f>IF(NOT(ISBLANK(Audit[[#This Row],[Audit Candidate 4]])),Audit[[#This Row],[Audit Candidate 4]]-Audit[[#This Row],[Candidate 4]], "")</f>
        <v/>
      </c>
      <c r="AI255" s="18" t="str">
        <f>IF(NOT(ISBLANK(Audit[[#This Row],[Audit Candidate 5]])), Audit[[#This Row],[Audit Candidate 5]]-Audit[[#This Row],[Candidate 5]], "")</f>
        <v/>
      </c>
      <c r="AJ255" s="18" t="str">
        <f>IF(NOT(ISBLANK(Audit[[#This Row],[Audit Candidate 6]])), Audit[[#This Row],[Audit Candidate 6]]-Audit[[#This Row],[Candidate 6]], "")</f>
        <v/>
      </c>
      <c r="AK255" s="18" t="str">
        <f>IF(NOT(ISBLANK(Audit[[#This Row],[Audit Candidate 7]])), Audit[[#This Row],[Audit Candidate 7]]-Audit[[#This Row],[Candidate 7]], "")</f>
        <v/>
      </c>
      <c r="AL255" s="18" t="str">
        <f>IF(NOT(ISBLANK(Audit[[#This Row],[Audit Candidate 8]])), Audit[[#This Row],[Audit Candidate 8]]-Audit[[#This Row],[Candidate 8]], "")</f>
        <v/>
      </c>
      <c r="AM255" s="18" t="str">
        <f>IF(NOT(ISBLANK(Audit[[#This Row],[Audit Candidate 9]])), Audit[[#This Row],[Audit Candidate 9]]-Audit[[#This Row],[Candidate 9]], "")</f>
        <v/>
      </c>
      <c r="AN255" s="18" t="str">
        <f>IF(NOT(ISBLANK(Audit[[#This Row],[Audit Candidate 10]])), Audit[[#This Row],[Audit Candidate 10]]-Audit[[#This Row],[Candidate 10]], "")</f>
        <v/>
      </c>
      <c r="AO255" s="18" t="str">
        <f>IF(NOT(ISBLANK(Audit[[#This Row],[Audit Candidate 11]])), Audit[[#This Row],[Audit Candidate 11]]-Audit[[#This Row],[Candidate 11]], "")</f>
        <v/>
      </c>
      <c r="AP255" s="18" t="str">
        <f>IF(NOT(ISBLANK(Audit[[#This Row],[Audit Candidate 12]])), Audit[[#This Row],[Audit Candidate 12]]-Audit[[#This Row],[Candidate 12]], "")</f>
        <v/>
      </c>
      <c r="AQ255" s="18">
        <f>SUMIF(Audit[[#This Row],[Difference Winner]:[Difference Candidate 12]], "&gt;0")</f>
        <v>0</v>
      </c>
      <c r="AR255" s="18">
        <f>SUM(Audit[[#This Row],[Difference Winner]:[Difference Candidate 12]])</f>
        <v>0</v>
      </c>
      <c r="AS255" s="18">
        <f>IF(Audit[[#This Row],[Times p Drawn - With Replacement]]&gt;0, IF(Audit[[#This Row],[Canceled Differences]]&lt;0, Audit[[#This Row],[Max Differences]]+ABS(Audit[[#This Row],[Canceled Differences]]), Audit[[#This Row],[Max Differences]]), 0)</f>
        <v>0</v>
      </c>
      <c r="AT255" s="18">
        <f>'Sampling Data'!AB255</f>
        <v>0</v>
      </c>
      <c r="AU255" s="18">
        <f>IF(
      SUM(Audit[[#This Row],[Audit Losing Candidate]:[Audit Candidate 12]])
      &lt;&gt;0,
      (Audit[[#This Row],[Winning Candidate]]-Audit[[#This Row],[Losing Candidate]]-(Audit[[#This Row],[Audit Winning Candidate]]-Audit[[#This Row],[Audit Losing Candidate]]))/(Audit[[#Totals],[Winning Candidate]]-Audit[[#Totals],[Losing Candidate]]),
      0
)</f>
        <v>0</v>
      </c>
      <c r="AV2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8">
        <f>IF(Audit[[#This Row],[Max Relative Error (ep)]] = 0, 0, Audit[[#This Row],[Max Relative Error (ep)]]/Audit[[#This Row],[Error Bound (up) - Max. possible relative overstatement]])</f>
        <v>0</v>
      </c>
      <c r="BH2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5" s="18">
        <f t="shared" si="4"/>
        <v>1</v>
      </c>
      <c r="BJ255" s="18">
        <f>PRODUCT($BI$5:BI255)</f>
        <v>0.57146126097022543</v>
      </c>
      <c r="BK255" s="20">
        <f>1 - Audit[[#This Row],[K-M P Value]]</f>
        <v>0.42853873902977457</v>
      </c>
      <c r="BL255" s="18" t="str">
        <f>IF(Audit[[#This Row],[K-M P Value]]&gt;1-'General Info'!$B$12,"Continue", "Stop")</f>
        <v>Continue</v>
      </c>
      <c r="BM255" s="23" t="b">
        <f>IF(Audit[[#This Row],[Status - Continue or stop audit]] = "Continue", TRUE, IF(BL254 = "Continue", TRUE, FALSE))</f>
        <v>1</v>
      </c>
      <c r="BN255" s="23"/>
    </row>
    <row r="256" spans="1:66" ht="15" hidden="1" customHeight="1" x14ac:dyDescent="0.35">
      <c r="A256" s="18" t="str">
        <f>'Sampling Data'!AI256</f>
        <v/>
      </c>
      <c r="B256" s="18" t="str">
        <f>'Sampling Data'!A256</f>
        <v>4001 MONT A   (AV)</v>
      </c>
      <c r="C256" s="18">
        <f>'Sampling Data'!B256</f>
        <v>16</v>
      </c>
      <c r="D256" s="18">
        <f>'Sampling Data'!C256</f>
        <v>3</v>
      </c>
      <c r="E256" s="19">
        <f>'Sampling Data'!D256</f>
        <v>0</v>
      </c>
      <c r="F256" s="19">
        <f>'Sampling Data'!E256</f>
        <v>0</v>
      </c>
      <c r="G256" s="19">
        <f>'Sampling Data'!F256</f>
        <v>0</v>
      </c>
      <c r="H256" s="19">
        <f>'Sampling Data'!G256</f>
        <v>0</v>
      </c>
      <c r="I256" s="19">
        <f>'Sampling Data'!H256</f>
        <v>0</v>
      </c>
      <c r="J256" s="19">
        <f>'Sampling Data'!I256</f>
        <v>0</v>
      </c>
      <c r="K256" s="19">
        <f>'Sampling Data'!J256</f>
        <v>0</v>
      </c>
      <c r="L256" s="19">
        <f>'Sampling Data'!K256</f>
        <v>0</v>
      </c>
      <c r="M256" s="19">
        <f>'Sampling Data'!L256</f>
        <v>0</v>
      </c>
      <c r="N256" s="19">
        <f>'Sampling Data'!M256</f>
        <v>0</v>
      </c>
      <c r="O256" s="18">
        <f>'Sampling Data'!N256</f>
        <v>0</v>
      </c>
      <c r="P256" s="18">
        <f>'Sampling Data'!O256</f>
        <v>1</v>
      </c>
      <c r="Q256" s="18">
        <f>'Sampling Data'!P256</f>
        <v>20</v>
      </c>
      <c r="R256" s="18">
        <f>'Sampling Data'!AJ256</f>
        <v>0</v>
      </c>
      <c r="S256" s="112"/>
      <c r="T256" s="112"/>
      <c r="U256" s="113"/>
      <c r="V256" s="113"/>
      <c r="W256" s="112"/>
      <c r="X256" s="112"/>
      <c r="Y256" s="112"/>
      <c r="Z256" s="112"/>
      <c r="AA256" s="15"/>
      <c r="AB256" s="15"/>
      <c r="AC256" s="15"/>
      <c r="AD256" s="15"/>
      <c r="AE256" s="114" t="str">
        <f>IF(NOT(ISBLANK(Audit[[#This Row],[Audit Winning Candidate]])), Audit[[#This Row],[Audit Winning Candidate]]-Audit[[#This Row],[Winning Candidate]], "")</f>
        <v/>
      </c>
      <c r="AF256" s="18" t="str">
        <f>IF(NOT(ISBLANK(Audit[[#This Row],[Audit Losing Candidate]])), Audit[[#This Row],[Audit Losing Candidate]]-Audit[[#This Row],[Losing Candidate]], "")</f>
        <v/>
      </c>
      <c r="AG256" s="18" t="str">
        <f>IF(NOT(ISBLANK(Audit[[#This Row],[Audit Candidate 3]])), Audit[[#This Row],[Audit Candidate 3]]-Audit[[#This Row],[Candidate 3]], "")</f>
        <v/>
      </c>
      <c r="AH256" s="18" t="str">
        <f>IF(NOT(ISBLANK(Audit[[#This Row],[Audit Candidate 4]])),Audit[[#This Row],[Audit Candidate 4]]-Audit[[#This Row],[Candidate 4]], "")</f>
        <v/>
      </c>
      <c r="AI256" s="18" t="str">
        <f>IF(NOT(ISBLANK(Audit[[#This Row],[Audit Candidate 5]])), Audit[[#This Row],[Audit Candidate 5]]-Audit[[#This Row],[Candidate 5]], "")</f>
        <v/>
      </c>
      <c r="AJ256" s="18" t="str">
        <f>IF(NOT(ISBLANK(Audit[[#This Row],[Audit Candidate 6]])), Audit[[#This Row],[Audit Candidate 6]]-Audit[[#This Row],[Candidate 6]], "")</f>
        <v/>
      </c>
      <c r="AK256" s="18" t="str">
        <f>IF(NOT(ISBLANK(Audit[[#This Row],[Audit Candidate 7]])), Audit[[#This Row],[Audit Candidate 7]]-Audit[[#This Row],[Candidate 7]], "")</f>
        <v/>
      </c>
      <c r="AL256" s="18" t="str">
        <f>IF(NOT(ISBLANK(Audit[[#This Row],[Audit Candidate 8]])), Audit[[#This Row],[Audit Candidate 8]]-Audit[[#This Row],[Candidate 8]], "")</f>
        <v/>
      </c>
      <c r="AM256" s="18" t="str">
        <f>IF(NOT(ISBLANK(Audit[[#This Row],[Audit Candidate 9]])), Audit[[#This Row],[Audit Candidate 9]]-Audit[[#This Row],[Candidate 9]], "")</f>
        <v/>
      </c>
      <c r="AN256" s="18" t="str">
        <f>IF(NOT(ISBLANK(Audit[[#This Row],[Audit Candidate 10]])), Audit[[#This Row],[Audit Candidate 10]]-Audit[[#This Row],[Candidate 10]], "")</f>
        <v/>
      </c>
      <c r="AO256" s="18" t="str">
        <f>IF(NOT(ISBLANK(Audit[[#This Row],[Audit Candidate 11]])), Audit[[#This Row],[Audit Candidate 11]]-Audit[[#This Row],[Candidate 11]], "")</f>
        <v/>
      </c>
      <c r="AP256" s="18" t="str">
        <f>IF(NOT(ISBLANK(Audit[[#This Row],[Audit Candidate 12]])), Audit[[#This Row],[Audit Candidate 12]]-Audit[[#This Row],[Candidate 12]], "")</f>
        <v/>
      </c>
      <c r="AQ256" s="18">
        <f>SUMIF(Audit[[#This Row],[Difference Winner]:[Difference Candidate 12]], "&gt;0")</f>
        <v>0</v>
      </c>
      <c r="AR256" s="18">
        <f>SUM(Audit[[#This Row],[Difference Winner]:[Difference Candidate 12]])</f>
        <v>0</v>
      </c>
      <c r="AS256" s="18">
        <f>IF(Audit[[#This Row],[Times p Drawn - With Replacement]]&gt;0, IF(Audit[[#This Row],[Canceled Differences]]&lt;0, Audit[[#This Row],[Max Differences]]+ABS(Audit[[#This Row],[Canceled Differences]]), Audit[[#This Row],[Max Differences]]), 0)</f>
        <v>0</v>
      </c>
      <c r="AT256" s="18">
        <f>'Sampling Data'!AB256</f>
        <v>1.0365298237899299E-3</v>
      </c>
      <c r="AU256" s="18">
        <f>IF(
      SUM(Audit[[#This Row],[Audit Losing Candidate]:[Audit Candidate 12]])
      &lt;&gt;0,
      (Audit[[#This Row],[Winning Candidate]]-Audit[[#This Row],[Losing Candidate]]-(Audit[[#This Row],[Audit Winning Candidate]]-Audit[[#This Row],[Audit Losing Candidate]]))/(Audit[[#Totals],[Winning Candidate]]-Audit[[#Totals],[Losing Candidate]]),
      0
)</f>
        <v>0</v>
      </c>
      <c r="AV2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8">
        <f>IF(Audit[[#This Row],[Max Relative Error (ep)]] = 0, 0, Audit[[#This Row],[Max Relative Error (ep)]]/Audit[[#This Row],[Error Bound (up) - Max. possible relative overstatement]])</f>
        <v>0</v>
      </c>
      <c r="BH2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6" s="18">
        <f t="shared" si="4"/>
        <v>1</v>
      </c>
      <c r="BJ256" s="18">
        <f>PRODUCT($BI$5:BI256)</f>
        <v>0.57146126097022543</v>
      </c>
      <c r="BK256" s="20">
        <f>1 - Audit[[#This Row],[K-M P Value]]</f>
        <v>0.42853873902977457</v>
      </c>
      <c r="BL256" s="18" t="str">
        <f>IF(Audit[[#This Row],[K-M P Value]]&gt;1-'General Info'!$B$12,"Continue", "Stop")</f>
        <v>Continue</v>
      </c>
      <c r="BM256" s="23" t="b">
        <f>IF(Audit[[#This Row],[Status - Continue or stop audit]] = "Continue", TRUE, IF(BL255 = "Continue", TRUE, FALSE))</f>
        <v>1</v>
      </c>
      <c r="BN256" s="23"/>
    </row>
    <row r="257" spans="1:66" ht="15" hidden="1" customHeight="1" x14ac:dyDescent="0.35">
      <c r="A257" s="18" t="str">
        <f>'Sampling Data'!AI257</f>
        <v/>
      </c>
      <c r="B257" s="18" t="str">
        <f>'Sampling Data'!A257</f>
        <v>4002 MONT B   (AV)</v>
      </c>
      <c r="C257" s="18">
        <f>'Sampling Data'!B257</f>
        <v>8</v>
      </c>
      <c r="D257" s="18">
        <f>'Sampling Data'!C257</f>
        <v>0</v>
      </c>
      <c r="E257" s="19">
        <f>'Sampling Data'!D257</f>
        <v>0</v>
      </c>
      <c r="F257" s="19">
        <f>'Sampling Data'!E257</f>
        <v>0</v>
      </c>
      <c r="G257" s="19">
        <f>'Sampling Data'!F257</f>
        <v>0</v>
      </c>
      <c r="H257" s="19">
        <f>'Sampling Data'!G257</f>
        <v>0</v>
      </c>
      <c r="I257" s="19">
        <f>'Sampling Data'!H257</f>
        <v>0</v>
      </c>
      <c r="J257" s="19">
        <f>'Sampling Data'!I257</f>
        <v>0</v>
      </c>
      <c r="K257" s="19">
        <f>'Sampling Data'!J257</f>
        <v>0</v>
      </c>
      <c r="L257" s="19">
        <f>'Sampling Data'!K257</f>
        <v>0</v>
      </c>
      <c r="M257" s="19">
        <f>'Sampling Data'!L257</f>
        <v>0</v>
      </c>
      <c r="N257" s="19">
        <f>'Sampling Data'!M257</f>
        <v>0</v>
      </c>
      <c r="O257" s="18">
        <f>'Sampling Data'!N257</f>
        <v>0</v>
      </c>
      <c r="P257" s="18">
        <f>'Sampling Data'!O257</f>
        <v>0</v>
      </c>
      <c r="Q257" s="18">
        <f>'Sampling Data'!P257</f>
        <v>8</v>
      </c>
      <c r="R257" s="18">
        <f>'Sampling Data'!AJ257</f>
        <v>0</v>
      </c>
      <c r="S257" s="112"/>
      <c r="T257" s="112"/>
      <c r="U257" s="113"/>
      <c r="V257" s="113"/>
      <c r="W257" s="112"/>
      <c r="X257" s="112"/>
      <c r="Y257" s="112"/>
      <c r="Z257" s="112"/>
      <c r="AA257" s="15"/>
      <c r="AB257" s="15"/>
      <c r="AC257" s="15"/>
      <c r="AD257" s="15"/>
      <c r="AE257" s="114" t="str">
        <f>IF(NOT(ISBLANK(Audit[[#This Row],[Audit Winning Candidate]])), Audit[[#This Row],[Audit Winning Candidate]]-Audit[[#This Row],[Winning Candidate]], "")</f>
        <v/>
      </c>
      <c r="AF257" s="18" t="str">
        <f>IF(NOT(ISBLANK(Audit[[#This Row],[Audit Losing Candidate]])), Audit[[#This Row],[Audit Losing Candidate]]-Audit[[#This Row],[Losing Candidate]], "")</f>
        <v/>
      </c>
      <c r="AG257" s="18" t="str">
        <f>IF(NOT(ISBLANK(Audit[[#This Row],[Audit Candidate 3]])), Audit[[#This Row],[Audit Candidate 3]]-Audit[[#This Row],[Candidate 3]], "")</f>
        <v/>
      </c>
      <c r="AH257" s="18" t="str">
        <f>IF(NOT(ISBLANK(Audit[[#This Row],[Audit Candidate 4]])),Audit[[#This Row],[Audit Candidate 4]]-Audit[[#This Row],[Candidate 4]], "")</f>
        <v/>
      </c>
      <c r="AI257" s="18" t="str">
        <f>IF(NOT(ISBLANK(Audit[[#This Row],[Audit Candidate 5]])), Audit[[#This Row],[Audit Candidate 5]]-Audit[[#This Row],[Candidate 5]], "")</f>
        <v/>
      </c>
      <c r="AJ257" s="18" t="str">
        <f>IF(NOT(ISBLANK(Audit[[#This Row],[Audit Candidate 6]])), Audit[[#This Row],[Audit Candidate 6]]-Audit[[#This Row],[Candidate 6]], "")</f>
        <v/>
      </c>
      <c r="AK257" s="18" t="str">
        <f>IF(NOT(ISBLANK(Audit[[#This Row],[Audit Candidate 7]])), Audit[[#This Row],[Audit Candidate 7]]-Audit[[#This Row],[Candidate 7]], "")</f>
        <v/>
      </c>
      <c r="AL257" s="18" t="str">
        <f>IF(NOT(ISBLANK(Audit[[#This Row],[Audit Candidate 8]])), Audit[[#This Row],[Audit Candidate 8]]-Audit[[#This Row],[Candidate 8]], "")</f>
        <v/>
      </c>
      <c r="AM257" s="18" t="str">
        <f>IF(NOT(ISBLANK(Audit[[#This Row],[Audit Candidate 9]])), Audit[[#This Row],[Audit Candidate 9]]-Audit[[#This Row],[Candidate 9]], "")</f>
        <v/>
      </c>
      <c r="AN257" s="18" t="str">
        <f>IF(NOT(ISBLANK(Audit[[#This Row],[Audit Candidate 10]])), Audit[[#This Row],[Audit Candidate 10]]-Audit[[#This Row],[Candidate 10]], "")</f>
        <v/>
      </c>
      <c r="AO257" s="18" t="str">
        <f>IF(NOT(ISBLANK(Audit[[#This Row],[Audit Candidate 11]])), Audit[[#This Row],[Audit Candidate 11]]-Audit[[#This Row],[Candidate 11]], "")</f>
        <v/>
      </c>
      <c r="AP257" s="18" t="str">
        <f>IF(NOT(ISBLANK(Audit[[#This Row],[Audit Candidate 12]])), Audit[[#This Row],[Audit Candidate 12]]-Audit[[#This Row],[Candidate 12]], "")</f>
        <v/>
      </c>
      <c r="AQ257" s="18">
        <f>SUMIF(Audit[[#This Row],[Difference Winner]:[Difference Candidate 12]], "&gt;0")</f>
        <v>0</v>
      </c>
      <c r="AR257" s="18">
        <f>SUM(Audit[[#This Row],[Difference Winner]:[Difference Candidate 12]])</f>
        <v>0</v>
      </c>
      <c r="AS257" s="18">
        <f>IF(Audit[[#This Row],[Times p Drawn - With Replacement]]&gt;0, IF(Audit[[#This Row],[Canceled Differences]]&lt;0, Audit[[#This Row],[Max Differences]]+ABS(Audit[[#This Row],[Canceled Differences]]), Audit[[#This Row],[Max Differences]]), 0)</f>
        <v>0</v>
      </c>
      <c r="AT257" s="18">
        <f>'Sampling Data'!AB257</f>
        <v>5.0255991456481448E-4</v>
      </c>
      <c r="AU257" s="18">
        <f>IF(
      SUM(Audit[[#This Row],[Audit Losing Candidate]:[Audit Candidate 12]])
      &lt;&gt;0,
      (Audit[[#This Row],[Winning Candidate]]-Audit[[#This Row],[Losing Candidate]]-(Audit[[#This Row],[Audit Winning Candidate]]-Audit[[#This Row],[Audit Losing Candidate]]))/(Audit[[#Totals],[Winning Candidate]]-Audit[[#Totals],[Losing Candidate]]),
      0
)</f>
        <v>0</v>
      </c>
      <c r="AV2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8">
        <f>IF(Audit[[#This Row],[Max Relative Error (ep)]] = 0, 0, Audit[[#This Row],[Max Relative Error (ep)]]/Audit[[#This Row],[Error Bound (up) - Max. possible relative overstatement]])</f>
        <v>0</v>
      </c>
      <c r="BH2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7" s="18">
        <f t="shared" si="4"/>
        <v>1</v>
      </c>
      <c r="BJ257" s="18">
        <f>PRODUCT($BI$5:BI257)</f>
        <v>0.57146126097022543</v>
      </c>
      <c r="BK257" s="20">
        <f>1 - Audit[[#This Row],[K-M P Value]]</f>
        <v>0.42853873902977457</v>
      </c>
      <c r="BL257" s="18" t="str">
        <f>IF(Audit[[#This Row],[K-M P Value]]&gt;1-'General Info'!$B$12,"Continue", "Stop")</f>
        <v>Continue</v>
      </c>
      <c r="BM257" s="23" t="b">
        <f>IF(Audit[[#This Row],[Status - Continue or stop audit]] = "Continue", TRUE, IF(BL256 = "Continue", TRUE, FALSE))</f>
        <v>1</v>
      </c>
      <c r="BN257" s="23"/>
    </row>
    <row r="258" spans="1:66" ht="15" hidden="1" customHeight="1" x14ac:dyDescent="0.35">
      <c r="A258" s="18" t="str">
        <f>'Sampling Data'!AI258</f>
        <v/>
      </c>
      <c r="B258" s="18" t="str">
        <f>'Sampling Data'!A258</f>
        <v>4003 MONT C   (AV)</v>
      </c>
      <c r="C258" s="18">
        <f>'Sampling Data'!B258</f>
        <v>17</v>
      </c>
      <c r="D258" s="18">
        <f>'Sampling Data'!C258</f>
        <v>4</v>
      </c>
      <c r="E258" s="19">
        <f>'Sampling Data'!D258</f>
        <v>0</v>
      </c>
      <c r="F258" s="19">
        <f>'Sampling Data'!E258</f>
        <v>0</v>
      </c>
      <c r="G258" s="19">
        <f>'Sampling Data'!F258</f>
        <v>0</v>
      </c>
      <c r="H258" s="19">
        <f>'Sampling Data'!G258</f>
        <v>0</v>
      </c>
      <c r="I258" s="19">
        <f>'Sampling Data'!H258</f>
        <v>0</v>
      </c>
      <c r="J258" s="19">
        <f>'Sampling Data'!I258</f>
        <v>0</v>
      </c>
      <c r="K258" s="19">
        <f>'Sampling Data'!J258</f>
        <v>0</v>
      </c>
      <c r="L258" s="19">
        <f>'Sampling Data'!K258</f>
        <v>0</v>
      </c>
      <c r="M258" s="19">
        <f>'Sampling Data'!L258</f>
        <v>0</v>
      </c>
      <c r="N258" s="19">
        <f>'Sampling Data'!M258</f>
        <v>0</v>
      </c>
      <c r="O258" s="18">
        <f>'Sampling Data'!N258</f>
        <v>0</v>
      </c>
      <c r="P258" s="18">
        <f>'Sampling Data'!O258</f>
        <v>1</v>
      </c>
      <c r="Q258" s="18">
        <f>'Sampling Data'!P258</f>
        <v>22</v>
      </c>
      <c r="R258" s="18">
        <f>'Sampling Data'!AJ258</f>
        <v>0</v>
      </c>
      <c r="S258" s="112"/>
      <c r="T258" s="112"/>
      <c r="U258" s="113"/>
      <c r="V258" s="113"/>
      <c r="W258" s="112"/>
      <c r="X258" s="112"/>
      <c r="Y258" s="112"/>
      <c r="Z258" s="112"/>
      <c r="AA258" s="15"/>
      <c r="AB258" s="15"/>
      <c r="AC258" s="15"/>
      <c r="AD258" s="15"/>
      <c r="AE258" s="114" t="str">
        <f>IF(NOT(ISBLANK(Audit[[#This Row],[Audit Winning Candidate]])), Audit[[#This Row],[Audit Winning Candidate]]-Audit[[#This Row],[Winning Candidate]], "")</f>
        <v/>
      </c>
      <c r="AF258" s="18" t="str">
        <f>IF(NOT(ISBLANK(Audit[[#This Row],[Audit Losing Candidate]])), Audit[[#This Row],[Audit Losing Candidate]]-Audit[[#This Row],[Losing Candidate]], "")</f>
        <v/>
      </c>
      <c r="AG258" s="18" t="str">
        <f>IF(NOT(ISBLANK(Audit[[#This Row],[Audit Candidate 3]])), Audit[[#This Row],[Audit Candidate 3]]-Audit[[#This Row],[Candidate 3]], "")</f>
        <v/>
      </c>
      <c r="AH258" s="18" t="str">
        <f>IF(NOT(ISBLANK(Audit[[#This Row],[Audit Candidate 4]])),Audit[[#This Row],[Audit Candidate 4]]-Audit[[#This Row],[Candidate 4]], "")</f>
        <v/>
      </c>
      <c r="AI258" s="18" t="str">
        <f>IF(NOT(ISBLANK(Audit[[#This Row],[Audit Candidate 5]])), Audit[[#This Row],[Audit Candidate 5]]-Audit[[#This Row],[Candidate 5]], "")</f>
        <v/>
      </c>
      <c r="AJ258" s="18" t="str">
        <f>IF(NOT(ISBLANK(Audit[[#This Row],[Audit Candidate 6]])), Audit[[#This Row],[Audit Candidate 6]]-Audit[[#This Row],[Candidate 6]], "")</f>
        <v/>
      </c>
      <c r="AK258" s="18" t="str">
        <f>IF(NOT(ISBLANK(Audit[[#This Row],[Audit Candidate 7]])), Audit[[#This Row],[Audit Candidate 7]]-Audit[[#This Row],[Candidate 7]], "")</f>
        <v/>
      </c>
      <c r="AL258" s="18" t="str">
        <f>IF(NOT(ISBLANK(Audit[[#This Row],[Audit Candidate 8]])), Audit[[#This Row],[Audit Candidate 8]]-Audit[[#This Row],[Candidate 8]], "")</f>
        <v/>
      </c>
      <c r="AM258" s="18" t="str">
        <f>IF(NOT(ISBLANK(Audit[[#This Row],[Audit Candidate 9]])), Audit[[#This Row],[Audit Candidate 9]]-Audit[[#This Row],[Candidate 9]], "")</f>
        <v/>
      </c>
      <c r="AN258" s="18" t="str">
        <f>IF(NOT(ISBLANK(Audit[[#This Row],[Audit Candidate 10]])), Audit[[#This Row],[Audit Candidate 10]]-Audit[[#This Row],[Candidate 10]], "")</f>
        <v/>
      </c>
      <c r="AO258" s="18" t="str">
        <f>IF(NOT(ISBLANK(Audit[[#This Row],[Audit Candidate 11]])), Audit[[#This Row],[Audit Candidate 11]]-Audit[[#This Row],[Candidate 11]], "")</f>
        <v/>
      </c>
      <c r="AP258" s="18" t="str">
        <f>IF(NOT(ISBLANK(Audit[[#This Row],[Audit Candidate 12]])), Audit[[#This Row],[Audit Candidate 12]]-Audit[[#This Row],[Candidate 12]], "")</f>
        <v/>
      </c>
      <c r="AQ258" s="18">
        <f>SUMIF(Audit[[#This Row],[Difference Winner]:[Difference Candidate 12]], "&gt;0")</f>
        <v>0</v>
      </c>
      <c r="AR258" s="18">
        <f>SUM(Audit[[#This Row],[Difference Winner]:[Difference Candidate 12]])</f>
        <v>0</v>
      </c>
      <c r="AS258" s="18">
        <f>IF(Audit[[#This Row],[Times p Drawn - With Replacement]]&gt;0, IF(Audit[[#This Row],[Canceled Differences]]&lt;0, Audit[[#This Row],[Max Differences]]+ABS(Audit[[#This Row],[Canceled Differences]]), Audit[[#This Row],[Max Differences]]), 0)</f>
        <v>0</v>
      </c>
      <c r="AT258" s="18">
        <f>'Sampling Data'!AB258</f>
        <v>1.0993498131105317E-3</v>
      </c>
      <c r="AU258" s="18">
        <f>IF(
      SUM(Audit[[#This Row],[Audit Losing Candidate]:[Audit Candidate 12]])
      &lt;&gt;0,
      (Audit[[#This Row],[Winning Candidate]]-Audit[[#This Row],[Losing Candidate]]-(Audit[[#This Row],[Audit Winning Candidate]]-Audit[[#This Row],[Audit Losing Candidate]]))/(Audit[[#Totals],[Winning Candidate]]-Audit[[#Totals],[Losing Candidate]]),
      0
)</f>
        <v>0</v>
      </c>
      <c r="AV2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8">
        <f>IF(Audit[[#This Row],[Max Relative Error (ep)]] = 0, 0, Audit[[#This Row],[Max Relative Error (ep)]]/Audit[[#This Row],[Error Bound (up) - Max. possible relative overstatement]])</f>
        <v>0</v>
      </c>
      <c r="BH2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8" s="18">
        <f t="shared" si="4"/>
        <v>1</v>
      </c>
      <c r="BJ258" s="18">
        <f>PRODUCT($BI$5:BI258)</f>
        <v>0.57146126097022543</v>
      </c>
      <c r="BK258" s="20">
        <f>1 - Audit[[#This Row],[K-M P Value]]</f>
        <v>0.42853873902977457</v>
      </c>
      <c r="BL258" s="18" t="str">
        <f>IF(Audit[[#This Row],[K-M P Value]]&gt;1-'General Info'!$B$12,"Continue", "Stop")</f>
        <v>Continue</v>
      </c>
      <c r="BM258" s="23" t="b">
        <f>IF(Audit[[#This Row],[Status - Continue or stop audit]] = "Continue", TRUE, IF(BL257 = "Continue", TRUE, FALSE))</f>
        <v>1</v>
      </c>
      <c r="BN258" s="23"/>
    </row>
    <row r="259" spans="1:66" ht="15" hidden="1" customHeight="1" x14ac:dyDescent="0.35">
      <c r="A259" s="18" t="str">
        <f>'Sampling Data'!AI259</f>
        <v/>
      </c>
      <c r="B259" s="18" t="str">
        <f>'Sampling Data'!A259</f>
        <v>4004 MONT D   (AV)</v>
      </c>
      <c r="C259" s="18">
        <f>'Sampling Data'!B259</f>
        <v>4</v>
      </c>
      <c r="D259" s="18">
        <f>'Sampling Data'!C259</f>
        <v>1</v>
      </c>
      <c r="E259" s="19">
        <f>'Sampling Data'!D259</f>
        <v>0</v>
      </c>
      <c r="F259" s="19">
        <f>'Sampling Data'!E259</f>
        <v>0</v>
      </c>
      <c r="G259" s="19">
        <f>'Sampling Data'!F259</f>
        <v>0</v>
      </c>
      <c r="H259" s="19">
        <f>'Sampling Data'!G259</f>
        <v>0</v>
      </c>
      <c r="I259" s="19">
        <f>'Sampling Data'!H259</f>
        <v>0</v>
      </c>
      <c r="J259" s="19">
        <f>'Sampling Data'!I259</f>
        <v>0</v>
      </c>
      <c r="K259" s="19">
        <f>'Sampling Data'!J259</f>
        <v>0</v>
      </c>
      <c r="L259" s="19">
        <f>'Sampling Data'!K259</f>
        <v>0</v>
      </c>
      <c r="M259" s="19">
        <f>'Sampling Data'!L259</f>
        <v>0</v>
      </c>
      <c r="N259" s="19">
        <f>'Sampling Data'!M259</f>
        <v>0</v>
      </c>
      <c r="O259" s="18">
        <f>'Sampling Data'!N259</f>
        <v>0</v>
      </c>
      <c r="P259" s="18">
        <f>'Sampling Data'!O259</f>
        <v>0</v>
      </c>
      <c r="Q259" s="18">
        <f>'Sampling Data'!P259</f>
        <v>5</v>
      </c>
      <c r="R259" s="18">
        <f>'Sampling Data'!AJ259</f>
        <v>0</v>
      </c>
      <c r="S259" s="112"/>
      <c r="T259" s="112"/>
      <c r="U259" s="113"/>
      <c r="V259" s="113"/>
      <c r="W259" s="112"/>
      <c r="X259" s="112"/>
      <c r="Y259" s="112"/>
      <c r="Z259" s="112"/>
      <c r="AA259" s="15"/>
      <c r="AB259" s="15"/>
      <c r="AC259" s="15"/>
      <c r="AD259" s="15"/>
      <c r="AE259" s="114" t="str">
        <f>IF(NOT(ISBLANK(Audit[[#This Row],[Audit Winning Candidate]])), Audit[[#This Row],[Audit Winning Candidate]]-Audit[[#This Row],[Winning Candidate]], "")</f>
        <v/>
      </c>
      <c r="AF259" s="18" t="str">
        <f>IF(NOT(ISBLANK(Audit[[#This Row],[Audit Losing Candidate]])), Audit[[#This Row],[Audit Losing Candidate]]-Audit[[#This Row],[Losing Candidate]], "")</f>
        <v/>
      </c>
      <c r="AG259" s="18" t="str">
        <f>IF(NOT(ISBLANK(Audit[[#This Row],[Audit Candidate 3]])), Audit[[#This Row],[Audit Candidate 3]]-Audit[[#This Row],[Candidate 3]], "")</f>
        <v/>
      </c>
      <c r="AH259" s="18" t="str">
        <f>IF(NOT(ISBLANK(Audit[[#This Row],[Audit Candidate 4]])),Audit[[#This Row],[Audit Candidate 4]]-Audit[[#This Row],[Candidate 4]], "")</f>
        <v/>
      </c>
      <c r="AI259" s="18" t="str">
        <f>IF(NOT(ISBLANK(Audit[[#This Row],[Audit Candidate 5]])), Audit[[#This Row],[Audit Candidate 5]]-Audit[[#This Row],[Candidate 5]], "")</f>
        <v/>
      </c>
      <c r="AJ259" s="18" t="str">
        <f>IF(NOT(ISBLANK(Audit[[#This Row],[Audit Candidate 6]])), Audit[[#This Row],[Audit Candidate 6]]-Audit[[#This Row],[Candidate 6]], "")</f>
        <v/>
      </c>
      <c r="AK259" s="18" t="str">
        <f>IF(NOT(ISBLANK(Audit[[#This Row],[Audit Candidate 7]])), Audit[[#This Row],[Audit Candidate 7]]-Audit[[#This Row],[Candidate 7]], "")</f>
        <v/>
      </c>
      <c r="AL259" s="18" t="str">
        <f>IF(NOT(ISBLANK(Audit[[#This Row],[Audit Candidate 8]])), Audit[[#This Row],[Audit Candidate 8]]-Audit[[#This Row],[Candidate 8]], "")</f>
        <v/>
      </c>
      <c r="AM259" s="18" t="str">
        <f>IF(NOT(ISBLANK(Audit[[#This Row],[Audit Candidate 9]])), Audit[[#This Row],[Audit Candidate 9]]-Audit[[#This Row],[Candidate 9]], "")</f>
        <v/>
      </c>
      <c r="AN259" s="18" t="str">
        <f>IF(NOT(ISBLANK(Audit[[#This Row],[Audit Candidate 10]])), Audit[[#This Row],[Audit Candidate 10]]-Audit[[#This Row],[Candidate 10]], "")</f>
        <v/>
      </c>
      <c r="AO259" s="18" t="str">
        <f>IF(NOT(ISBLANK(Audit[[#This Row],[Audit Candidate 11]])), Audit[[#This Row],[Audit Candidate 11]]-Audit[[#This Row],[Candidate 11]], "")</f>
        <v/>
      </c>
      <c r="AP259" s="18" t="str">
        <f>IF(NOT(ISBLANK(Audit[[#This Row],[Audit Candidate 12]])), Audit[[#This Row],[Audit Candidate 12]]-Audit[[#This Row],[Candidate 12]], "")</f>
        <v/>
      </c>
      <c r="AQ259" s="18">
        <f>SUMIF(Audit[[#This Row],[Difference Winner]:[Difference Candidate 12]], "&gt;0")</f>
        <v>0</v>
      </c>
      <c r="AR259" s="18">
        <f>SUM(Audit[[#This Row],[Difference Winner]:[Difference Candidate 12]])</f>
        <v>0</v>
      </c>
      <c r="AS259" s="18">
        <f>IF(Audit[[#This Row],[Times p Drawn - With Replacement]]&gt;0, IF(Audit[[#This Row],[Canceled Differences]]&lt;0, Audit[[#This Row],[Max Differences]]+ABS(Audit[[#This Row],[Canceled Differences]]), Audit[[#This Row],[Max Differences]]), 0)</f>
        <v>0</v>
      </c>
      <c r="AT259" s="18">
        <f>'Sampling Data'!AB259</f>
        <v>2.5127995728240724E-4</v>
      </c>
      <c r="AU259" s="18">
        <f>IF(
      SUM(Audit[[#This Row],[Audit Losing Candidate]:[Audit Candidate 12]])
      &lt;&gt;0,
      (Audit[[#This Row],[Winning Candidate]]-Audit[[#This Row],[Losing Candidate]]-(Audit[[#This Row],[Audit Winning Candidate]]-Audit[[#This Row],[Audit Losing Candidate]]))/(Audit[[#Totals],[Winning Candidate]]-Audit[[#Totals],[Losing Candidate]]),
      0
)</f>
        <v>0</v>
      </c>
      <c r="AV2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8">
        <f>IF(Audit[[#This Row],[Max Relative Error (ep)]] = 0, 0, Audit[[#This Row],[Max Relative Error (ep)]]/Audit[[#This Row],[Error Bound (up) - Max. possible relative overstatement]])</f>
        <v>0</v>
      </c>
      <c r="BH2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59" s="18">
        <f t="shared" si="4"/>
        <v>1</v>
      </c>
      <c r="BJ259" s="18">
        <f>PRODUCT($BI$5:BI259)</f>
        <v>0.57146126097022543</v>
      </c>
      <c r="BK259" s="20">
        <f>1 - Audit[[#This Row],[K-M P Value]]</f>
        <v>0.42853873902977457</v>
      </c>
      <c r="BL259" s="18" t="str">
        <f>IF(Audit[[#This Row],[K-M P Value]]&gt;1-'General Info'!$B$12,"Continue", "Stop")</f>
        <v>Continue</v>
      </c>
      <c r="BM259" s="23" t="b">
        <f>IF(Audit[[#This Row],[Status - Continue or stop audit]] = "Continue", TRUE, IF(BL258 = "Continue", TRUE, FALSE))</f>
        <v>1</v>
      </c>
      <c r="BN259" s="23"/>
    </row>
    <row r="260" spans="1:66" ht="15" hidden="1" customHeight="1" x14ac:dyDescent="0.35">
      <c r="A260" s="18" t="str">
        <f>'Sampling Data'!AI260</f>
        <v/>
      </c>
      <c r="B260" s="18" t="str">
        <f>'Sampling Data'!A260</f>
        <v>4005 MONT E   (AV)</v>
      </c>
      <c r="C260" s="18">
        <f>'Sampling Data'!B260</f>
        <v>11</v>
      </c>
      <c r="D260" s="18">
        <f>'Sampling Data'!C260</f>
        <v>1</v>
      </c>
      <c r="E260" s="19">
        <f>'Sampling Data'!D260</f>
        <v>0</v>
      </c>
      <c r="F260" s="19">
        <f>'Sampling Data'!E260</f>
        <v>0</v>
      </c>
      <c r="G260" s="19">
        <f>'Sampling Data'!F260</f>
        <v>0</v>
      </c>
      <c r="H260" s="19">
        <f>'Sampling Data'!G260</f>
        <v>0</v>
      </c>
      <c r="I260" s="19">
        <f>'Sampling Data'!H260</f>
        <v>0</v>
      </c>
      <c r="J260" s="19">
        <f>'Sampling Data'!I260</f>
        <v>0</v>
      </c>
      <c r="K260" s="19">
        <f>'Sampling Data'!J260</f>
        <v>0</v>
      </c>
      <c r="L260" s="19">
        <f>'Sampling Data'!K260</f>
        <v>0</v>
      </c>
      <c r="M260" s="19">
        <f>'Sampling Data'!L260</f>
        <v>0</v>
      </c>
      <c r="N260" s="19">
        <f>'Sampling Data'!M260</f>
        <v>0</v>
      </c>
      <c r="O260" s="18">
        <f>'Sampling Data'!N260</f>
        <v>0</v>
      </c>
      <c r="P260" s="18">
        <f>'Sampling Data'!O260</f>
        <v>0</v>
      </c>
      <c r="Q260" s="18">
        <f>'Sampling Data'!P260</f>
        <v>12</v>
      </c>
      <c r="R260" s="18">
        <f>'Sampling Data'!AJ260</f>
        <v>0</v>
      </c>
      <c r="S260" s="112"/>
      <c r="T260" s="112"/>
      <c r="U260" s="113"/>
      <c r="V260" s="113"/>
      <c r="W260" s="112"/>
      <c r="X260" s="112"/>
      <c r="Y260" s="112"/>
      <c r="Z260" s="112"/>
      <c r="AA260" s="15"/>
      <c r="AB260" s="15"/>
      <c r="AC260" s="15"/>
      <c r="AD260" s="15"/>
      <c r="AE260" s="114" t="str">
        <f>IF(NOT(ISBLANK(Audit[[#This Row],[Audit Winning Candidate]])), Audit[[#This Row],[Audit Winning Candidate]]-Audit[[#This Row],[Winning Candidate]], "")</f>
        <v/>
      </c>
      <c r="AF260" s="18" t="str">
        <f>IF(NOT(ISBLANK(Audit[[#This Row],[Audit Losing Candidate]])), Audit[[#This Row],[Audit Losing Candidate]]-Audit[[#This Row],[Losing Candidate]], "")</f>
        <v/>
      </c>
      <c r="AG260" s="18" t="str">
        <f>IF(NOT(ISBLANK(Audit[[#This Row],[Audit Candidate 3]])), Audit[[#This Row],[Audit Candidate 3]]-Audit[[#This Row],[Candidate 3]], "")</f>
        <v/>
      </c>
      <c r="AH260" s="18" t="str">
        <f>IF(NOT(ISBLANK(Audit[[#This Row],[Audit Candidate 4]])),Audit[[#This Row],[Audit Candidate 4]]-Audit[[#This Row],[Candidate 4]], "")</f>
        <v/>
      </c>
      <c r="AI260" s="18" t="str">
        <f>IF(NOT(ISBLANK(Audit[[#This Row],[Audit Candidate 5]])), Audit[[#This Row],[Audit Candidate 5]]-Audit[[#This Row],[Candidate 5]], "")</f>
        <v/>
      </c>
      <c r="AJ260" s="18" t="str">
        <f>IF(NOT(ISBLANK(Audit[[#This Row],[Audit Candidate 6]])), Audit[[#This Row],[Audit Candidate 6]]-Audit[[#This Row],[Candidate 6]], "")</f>
        <v/>
      </c>
      <c r="AK260" s="18" t="str">
        <f>IF(NOT(ISBLANK(Audit[[#This Row],[Audit Candidate 7]])), Audit[[#This Row],[Audit Candidate 7]]-Audit[[#This Row],[Candidate 7]], "")</f>
        <v/>
      </c>
      <c r="AL260" s="18" t="str">
        <f>IF(NOT(ISBLANK(Audit[[#This Row],[Audit Candidate 8]])), Audit[[#This Row],[Audit Candidate 8]]-Audit[[#This Row],[Candidate 8]], "")</f>
        <v/>
      </c>
      <c r="AM260" s="18" t="str">
        <f>IF(NOT(ISBLANK(Audit[[#This Row],[Audit Candidate 9]])), Audit[[#This Row],[Audit Candidate 9]]-Audit[[#This Row],[Candidate 9]], "")</f>
        <v/>
      </c>
      <c r="AN260" s="18" t="str">
        <f>IF(NOT(ISBLANK(Audit[[#This Row],[Audit Candidate 10]])), Audit[[#This Row],[Audit Candidate 10]]-Audit[[#This Row],[Candidate 10]], "")</f>
        <v/>
      </c>
      <c r="AO260" s="18" t="str">
        <f>IF(NOT(ISBLANK(Audit[[#This Row],[Audit Candidate 11]])), Audit[[#This Row],[Audit Candidate 11]]-Audit[[#This Row],[Candidate 11]], "")</f>
        <v/>
      </c>
      <c r="AP260" s="18" t="str">
        <f>IF(NOT(ISBLANK(Audit[[#This Row],[Audit Candidate 12]])), Audit[[#This Row],[Audit Candidate 12]]-Audit[[#This Row],[Candidate 12]], "")</f>
        <v/>
      </c>
      <c r="AQ260" s="18">
        <f>SUMIF(Audit[[#This Row],[Difference Winner]:[Difference Candidate 12]], "&gt;0")</f>
        <v>0</v>
      </c>
      <c r="AR260" s="18">
        <f>SUM(Audit[[#This Row],[Difference Winner]:[Difference Candidate 12]])</f>
        <v>0</v>
      </c>
      <c r="AS260" s="18">
        <f>IF(Audit[[#This Row],[Times p Drawn - With Replacement]]&gt;0, IF(Audit[[#This Row],[Canceled Differences]]&lt;0, Audit[[#This Row],[Max Differences]]+ABS(Audit[[#This Row],[Canceled Differences]]), Audit[[#This Row],[Max Differences]]), 0)</f>
        <v>0</v>
      </c>
      <c r="AT260" s="18">
        <f>'Sampling Data'!AB260</f>
        <v>6.9101988252662E-4</v>
      </c>
      <c r="AU260" s="18">
        <f>IF(
      SUM(Audit[[#This Row],[Audit Losing Candidate]:[Audit Candidate 12]])
      &lt;&gt;0,
      (Audit[[#This Row],[Winning Candidate]]-Audit[[#This Row],[Losing Candidate]]-(Audit[[#This Row],[Audit Winning Candidate]]-Audit[[#This Row],[Audit Losing Candidate]]))/(Audit[[#Totals],[Winning Candidate]]-Audit[[#Totals],[Losing Candidate]]),
      0
)</f>
        <v>0</v>
      </c>
      <c r="AV2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8">
        <f>IF(Audit[[#This Row],[Max Relative Error (ep)]] = 0, 0, Audit[[#This Row],[Max Relative Error (ep)]]/Audit[[#This Row],[Error Bound (up) - Max. possible relative overstatement]])</f>
        <v>0</v>
      </c>
      <c r="BH2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0" s="18">
        <f t="shared" si="4"/>
        <v>1</v>
      </c>
      <c r="BJ260" s="18">
        <f>PRODUCT($BI$5:BI260)</f>
        <v>0.57146126097022543</v>
      </c>
      <c r="BK260" s="20">
        <f>1 - Audit[[#This Row],[K-M P Value]]</f>
        <v>0.42853873902977457</v>
      </c>
      <c r="BL260" s="18" t="str">
        <f>IF(Audit[[#This Row],[K-M P Value]]&gt;1-'General Info'!$B$12,"Continue", "Stop")</f>
        <v>Continue</v>
      </c>
      <c r="BM260" s="23" t="b">
        <f>IF(Audit[[#This Row],[Status - Continue or stop audit]] = "Continue", TRUE, IF(BL259 = "Continue", TRUE, FALSE))</f>
        <v>1</v>
      </c>
      <c r="BN260" s="23"/>
    </row>
    <row r="261" spans="1:66" ht="15" hidden="1" customHeight="1" x14ac:dyDescent="0.35">
      <c r="A261" s="18" t="str">
        <f>'Sampling Data'!AI261</f>
        <v/>
      </c>
      <c r="B261" s="18" t="str">
        <f>'Sampling Data'!A261</f>
        <v>4006 MONT F   (AV)</v>
      </c>
      <c r="C261" s="18">
        <f>'Sampling Data'!B261</f>
        <v>3</v>
      </c>
      <c r="D261" s="18">
        <f>'Sampling Data'!C261</f>
        <v>0</v>
      </c>
      <c r="E261" s="19">
        <f>'Sampling Data'!D261</f>
        <v>0</v>
      </c>
      <c r="F261" s="19">
        <f>'Sampling Data'!E261</f>
        <v>0</v>
      </c>
      <c r="G261" s="19">
        <f>'Sampling Data'!F261</f>
        <v>0</v>
      </c>
      <c r="H261" s="19">
        <f>'Sampling Data'!G261</f>
        <v>0</v>
      </c>
      <c r="I261" s="19">
        <f>'Sampling Data'!H261</f>
        <v>0</v>
      </c>
      <c r="J261" s="19">
        <f>'Sampling Data'!I261</f>
        <v>0</v>
      </c>
      <c r="K261" s="19">
        <f>'Sampling Data'!J261</f>
        <v>0</v>
      </c>
      <c r="L261" s="19">
        <f>'Sampling Data'!K261</f>
        <v>0</v>
      </c>
      <c r="M261" s="19">
        <f>'Sampling Data'!L261</f>
        <v>0</v>
      </c>
      <c r="N261" s="19">
        <f>'Sampling Data'!M261</f>
        <v>0</v>
      </c>
      <c r="O261" s="18">
        <f>'Sampling Data'!N261</f>
        <v>0</v>
      </c>
      <c r="P261" s="18">
        <f>'Sampling Data'!O261</f>
        <v>0</v>
      </c>
      <c r="Q261" s="18">
        <f>'Sampling Data'!P261</f>
        <v>3</v>
      </c>
      <c r="R261" s="18">
        <f>'Sampling Data'!AJ261</f>
        <v>0</v>
      </c>
      <c r="S261" s="112"/>
      <c r="T261" s="112"/>
      <c r="U261" s="113"/>
      <c r="V261" s="113"/>
      <c r="W261" s="112"/>
      <c r="X261" s="112"/>
      <c r="Y261" s="112"/>
      <c r="Z261" s="112"/>
      <c r="AA261" s="15"/>
      <c r="AB261" s="15"/>
      <c r="AC261" s="15"/>
      <c r="AD261" s="15"/>
      <c r="AE261" s="114" t="str">
        <f>IF(NOT(ISBLANK(Audit[[#This Row],[Audit Winning Candidate]])), Audit[[#This Row],[Audit Winning Candidate]]-Audit[[#This Row],[Winning Candidate]], "")</f>
        <v/>
      </c>
      <c r="AF261" s="18" t="str">
        <f>IF(NOT(ISBLANK(Audit[[#This Row],[Audit Losing Candidate]])), Audit[[#This Row],[Audit Losing Candidate]]-Audit[[#This Row],[Losing Candidate]], "")</f>
        <v/>
      </c>
      <c r="AG261" s="18" t="str">
        <f>IF(NOT(ISBLANK(Audit[[#This Row],[Audit Candidate 3]])), Audit[[#This Row],[Audit Candidate 3]]-Audit[[#This Row],[Candidate 3]], "")</f>
        <v/>
      </c>
      <c r="AH261" s="18" t="str">
        <f>IF(NOT(ISBLANK(Audit[[#This Row],[Audit Candidate 4]])),Audit[[#This Row],[Audit Candidate 4]]-Audit[[#This Row],[Candidate 4]], "")</f>
        <v/>
      </c>
      <c r="AI261" s="18" t="str">
        <f>IF(NOT(ISBLANK(Audit[[#This Row],[Audit Candidate 5]])), Audit[[#This Row],[Audit Candidate 5]]-Audit[[#This Row],[Candidate 5]], "")</f>
        <v/>
      </c>
      <c r="AJ261" s="18" t="str">
        <f>IF(NOT(ISBLANK(Audit[[#This Row],[Audit Candidate 6]])), Audit[[#This Row],[Audit Candidate 6]]-Audit[[#This Row],[Candidate 6]], "")</f>
        <v/>
      </c>
      <c r="AK261" s="18" t="str">
        <f>IF(NOT(ISBLANK(Audit[[#This Row],[Audit Candidate 7]])), Audit[[#This Row],[Audit Candidate 7]]-Audit[[#This Row],[Candidate 7]], "")</f>
        <v/>
      </c>
      <c r="AL261" s="18" t="str">
        <f>IF(NOT(ISBLANK(Audit[[#This Row],[Audit Candidate 8]])), Audit[[#This Row],[Audit Candidate 8]]-Audit[[#This Row],[Candidate 8]], "")</f>
        <v/>
      </c>
      <c r="AM261" s="18" t="str">
        <f>IF(NOT(ISBLANK(Audit[[#This Row],[Audit Candidate 9]])), Audit[[#This Row],[Audit Candidate 9]]-Audit[[#This Row],[Candidate 9]], "")</f>
        <v/>
      </c>
      <c r="AN261" s="18" t="str">
        <f>IF(NOT(ISBLANK(Audit[[#This Row],[Audit Candidate 10]])), Audit[[#This Row],[Audit Candidate 10]]-Audit[[#This Row],[Candidate 10]], "")</f>
        <v/>
      </c>
      <c r="AO261" s="18" t="str">
        <f>IF(NOT(ISBLANK(Audit[[#This Row],[Audit Candidate 11]])), Audit[[#This Row],[Audit Candidate 11]]-Audit[[#This Row],[Candidate 11]], "")</f>
        <v/>
      </c>
      <c r="AP261" s="18" t="str">
        <f>IF(NOT(ISBLANK(Audit[[#This Row],[Audit Candidate 12]])), Audit[[#This Row],[Audit Candidate 12]]-Audit[[#This Row],[Candidate 12]], "")</f>
        <v/>
      </c>
      <c r="AQ261" s="18">
        <f>SUMIF(Audit[[#This Row],[Difference Winner]:[Difference Candidate 12]], "&gt;0")</f>
        <v>0</v>
      </c>
      <c r="AR261" s="18">
        <f>SUM(Audit[[#This Row],[Difference Winner]:[Difference Candidate 12]])</f>
        <v>0</v>
      </c>
      <c r="AS261" s="18">
        <f>IF(Audit[[#This Row],[Times p Drawn - With Replacement]]&gt;0, IF(Audit[[#This Row],[Canceled Differences]]&lt;0, Audit[[#This Row],[Max Differences]]+ABS(Audit[[#This Row],[Canceled Differences]]), Audit[[#This Row],[Max Differences]]), 0)</f>
        <v>0</v>
      </c>
      <c r="AT261" s="18">
        <f>'Sampling Data'!AB261</f>
        <v>1.8845996796180544E-4</v>
      </c>
      <c r="AU261" s="18">
        <f>IF(
      SUM(Audit[[#This Row],[Audit Losing Candidate]:[Audit Candidate 12]])
      &lt;&gt;0,
      (Audit[[#This Row],[Winning Candidate]]-Audit[[#This Row],[Losing Candidate]]-(Audit[[#This Row],[Audit Winning Candidate]]-Audit[[#This Row],[Audit Losing Candidate]]))/(Audit[[#Totals],[Winning Candidate]]-Audit[[#Totals],[Losing Candidate]]),
      0
)</f>
        <v>0</v>
      </c>
      <c r="AV2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8">
        <f>IF(Audit[[#This Row],[Max Relative Error (ep)]] = 0, 0, Audit[[#This Row],[Max Relative Error (ep)]]/Audit[[#This Row],[Error Bound (up) - Max. possible relative overstatement]])</f>
        <v>0</v>
      </c>
      <c r="BH2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1" s="18">
        <f t="shared" si="4"/>
        <v>1</v>
      </c>
      <c r="BJ261" s="18">
        <f>PRODUCT($BI$5:BI261)</f>
        <v>0.57146126097022543</v>
      </c>
      <c r="BK261" s="20">
        <f>1 - Audit[[#This Row],[K-M P Value]]</f>
        <v>0.42853873902977457</v>
      </c>
      <c r="BL261" s="18" t="str">
        <f>IF(Audit[[#This Row],[K-M P Value]]&gt;1-'General Info'!$B$12,"Continue", "Stop")</f>
        <v>Continue</v>
      </c>
      <c r="BM261" s="23" t="b">
        <f>IF(Audit[[#This Row],[Status - Continue or stop audit]] = "Continue", TRUE, IF(BL260 = "Continue", TRUE, FALSE))</f>
        <v>1</v>
      </c>
      <c r="BN261" s="23"/>
    </row>
    <row r="262" spans="1:66" ht="15" hidden="1" customHeight="1" x14ac:dyDescent="0.35">
      <c r="A262" s="18" t="str">
        <f>'Sampling Data'!AI262</f>
        <v/>
      </c>
      <c r="B262" s="18" t="str">
        <f>'Sampling Data'!A262</f>
        <v>4007 MONT G   (AV)</v>
      </c>
      <c r="C262" s="18">
        <f>'Sampling Data'!B262</f>
        <v>9</v>
      </c>
      <c r="D262" s="18">
        <f>'Sampling Data'!C262</f>
        <v>2</v>
      </c>
      <c r="E262" s="19">
        <f>'Sampling Data'!D262</f>
        <v>0</v>
      </c>
      <c r="F262" s="19">
        <f>'Sampling Data'!E262</f>
        <v>0</v>
      </c>
      <c r="G262" s="19">
        <f>'Sampling Data'!F262</f>
        <v>0</v>
      </c>
      <c r="H262" s="19">
        <f>'Sampling Data'!G262</f>
        <v>0</v>
      </c>
      <c r="I262" s="19">
        <f>'Sampling Data'!H262</f>
        <v>0</v>
      </c>
      <c r="J262" s="19">
        <f>'Sampling Data'!I262</f>
        <v>0</v>
      </c>
      <c r="K262" s="19">
        <f>'Sampling Data'!J262</f>
        <v>0</v>
      </c>
      <c r="L262" s="19">
        <f>'Sampling Data'!K262</f>
        <v>0</v>
      </c>
      <c r="M262" s="19">
        <f>'Sampling Data'!L262</f>
        <v>0</v>
      </c>
      <c r="N262" s="19">
        <f>'Sampling Data'!M262</f>
        <v>0</v>
      </c>
      <c r="O262" s="18">
        <f>'Sampling Data'!N262</f>
        <v>0</v>
      </c>
      <c r="P262" s="18">
        <f>'Sampling Data'!O262</f>
        <v>0</v>
      </c>
      <c r="Q262" s="18">
        <f>'Sampling Data'!P262</f>
        <v>11</v>
      </c>
      <c r="R262" s="18">
        <f>'Sampling Data'!AJ262</f>
        <v>0</v>
      </c>
      <c r="S262" s="112"/>
      <c r="T262" s="112"/>
      <c r="U262" s="113"/>
      <c r="V262" s="113"/>
      <c r="W262" s="112"/>
      <c r="X262" s="112"/>
      <c r="Y262" s="112"/>
      <c r="Z262" s="112"/>
      <c r="AA262" s="15"/>
      <c r="AB262" s="15"/>
      <c r="AC262" s="15"/>
      <c r="AD262" s="15"/>
      <c r="AE262" s="114" t="str">
        <f>IF(NOT(ISBLANK(Audit[[#This Row],[Audit Winning Candidate]])), Audit[[#This Row],[Audit Winning Candidate]]-Audit[[#This Row],[Winning Candidate]], "")</f>
        <v/>
      </c>
      <c r="AF262" s="18" t="str">
        <f>IF(NOT(ISBLANK(Audit[[#This Row],[Audit Losing Candidate]])), Audit[[#This Row],[Audit Losing Candidate]]-Audit[[#This Row],[Losing Candidate]], "")</f>
        <v/>
      </c>
      <c r="AG262" s="18" t="str">
        <f>IF(NOT(ISBLANK(Audit[[#This Row],[Audit Candidate 3]])), Audit[[#This Row],[Audit Candidate 3]]-Audit[[#This Row],[Candidate 3]], "")</f>
        <v/>
      </c>
      <c r="AH262" s="18" t="str">
        <f>IF(NOT(ISBLANK(Audit[[#This Row],[Audit Candidate 4]])),Audit[[#This Row],[Audit Candidate 4]]-Audit[[#This Row],[Candidate 4]], "")</f>
        <v/>
      </c>
      <c r="AI262" s="18" t="str">
        <f>IF(NOT(ISBLANK(Audit[[#This Row],[Audit Candidate 5]])), Audit[[#This Row],[Audit Candidate 5]]-Audit[[#This Row],[Candidate 5]], "")</f>
        <v/>
      </c>
      <c r="AJ262" s="18" t="str">
        <f>IF(NOT(ISBLANK(Audit[[#This Row],[Audit Candidate 6]])), Audit[[#This Row],[Audit Candidate 6]]-Audit[[#This Row],[Candidate 6]], "")</f>
        <v/>
      </c>
      <c r="AK262" s="18" t="str">
        <f>IF(NOT(ISBLANK(Audit[[#This Row],[Audit Candidate 7]])), Audit[[#This Row],[Audit Candidate 7]]-Audit[[#This Row],[Candidate 7]], "")</f>
        <v/>
      </c>
      <c r="AL262" s="18" t="str">
        <f>IF(NOT(ISBLANK(Audit[[#This Row],[Audit Candidate 8]])), Audit[[#This Row],[Audit Candidate 8]]-Audit[[#This Row],[Candidate 8]], "")</f>
        <v/>
      </c>
      <c r="AM262" s="18" t="str">
        <f>IF(NOT(ISBLANK(Audit[[#This Row],[Audit Candidate 9]])), Audit[[#This Row],[Audit Candidate 9]]-Audit[[#This Row],[Candidate 9]], "")</f>
        <v/>
      </c>
      <c r="AN262" s="18" t="str">
        <f>IF(NOT(ISBLANK(Audit[[#This Row],[Audit Candidate 10]])), Audit[[#This Row],[Audit Candidate 10]]-Audit[[#This Row],[Candidate 10]], "")</f>
        <v/>
      </c>
      <c r="AO262" s="18" t="str">
        <f>IF(NOT(ISBLANK(Audit[[#This Row],[Audit Candidate 11]])), Audit[[#This Row],[Audit Candidate 11]]-Audit[[#This Row],[Candidate 11]], "")</f>
        <v/>
      </c>
      <c r="AP262" s="18" t="str">
        <f>IF(NOT(ISBLANK(Audit[[#This Row],[Audit Candidate 12]])), Audit[[#This Row],[Audit Candidate 12]]-Audit[[#This Row],[Candidate 12]], "")</f>
        <v/>
      </c>
      <c r="AQ262" s="18">
        <f>SUMIF(Audit[[#This Row],[Difference Winner]:[Difference Candidate 12]], "&gt;0")</f>
        <v>0</v>
      </c>
      <c r="AR262" s="18">
        <f>SUM(Audit[[#This Row],[Difference Winner]:[Difference Candidate 12]])</f>
        <v>0</v>
      </c>
      <c r="AS262" s="18">
        <f>IF(Audit[[#This Row],[Times p Drawn - With Replacement]]&gt;0, IF(Audit[[#This Row],[Canceled Differences]]&lt;0, Audit[[#This Row],[Max Differences]]+ABS(Audit[[#This Row],[Canceled Differences]]), Audit[[#This Row],[Max Differences]]), 0)</f>
        <v>0</v>
      </c>
      <c r="AT262" s="18">
        <f>'Sampling Data'!AB262</f>
        <v>5.6537990388541635E-4</v>
      </c>
      <c r="AU262" s="18">
        <f>IF(
      SUM(Audit[[#This Row],[Audit Losing Candidate]:[Audit Candidate 12]])
      &lt;&gt;0,
      (Audit[[#This Row],[Winning Candidate]]-Audit[[#This Row],[Losing Candidate]]-(Audit[[#This Row],[Audit Winning Candidate]]-Audit[[#This Row],[Audit Losing Candidate]]))/(Audit[[#Totals],[Winning Candidate]]-Audit[[#Totals],[Losing Candidate]]),
      0
)</f>
        <v>0</v>
      </c>
      <c r="AV2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8">
        <f>IF(Audit[[#This Row],[Max Relative Error (ep)]] = 0, 0, Audit[[#This Row],[Max Relative Error (ep)]]/Audit[[#This Row],[Error Bound (up) - Max. possible relative overstatement]])</f>
        <v>0</v>
      </c>
      <c r="BH2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2" s="18">
        <f t="shared" si="4"/>
        <v>1</v>
      </c>
      <c r="BJ262" s="18">
        <f>PRODUCT($BI$5:BI262)</f>
        <v>0.57146126097022543</v>
      </c>
      <c r="BK262" s="20">
        <f>1 - Audit[[#This Row],[K-M P Value]]</f>
        <v>0.42853873902977457</v>
      </c>
      <c r="BL262" s="18" t="str">
        <f>IF(Audit[[#This Row],[K-M P Value]]&gt;1-'General Info'!$B$12,"Continue", "Stop")</f>
        <v>Continue</v>
      </c>
      <c r="BM262" s="23" t="b">
        <f>IF(Audit[[#This Row],[Status - Continue or stop audit]] = "Continue", TRUE, IF(BL261 = "Continue", TRUE, FALSE))</f>
        <v>1</v>
      </c>
      <c r="BN262" s="23"/>
    </row>
    <row r="263" spans="1:66" ht="15" hidden="1" customHeight="1" x14ac:dyDescent="0.35">
      <c r="A263" s="18" t="str">
        <f>'Sampling Data'!AI263</f>
        <v/>
      </c>
      <c r="B263" s="18" t="str">
        <f>'Sampling Data'!A263</f>
        <v>4008 MONT H   (AV)</v>
      </c>
      <c r="C263" s="18">
        <f>'Sampling Data'!B263</f>
        <v>17</v>
      </c>
      <c r="D263" s="18">
        <f>'Sampling Data'!C263</f>
        <v>0</v>
      </c>
      <c r="E263" s="19">
        <f>'Sampling Data'!D263</f>
        <v>0</v>
      </c>
      <c r="F263" s="19">
        <f>'Sampling Data'!E263</f>
        <v>0</v>
      </c>
      <c r="G263" s="19">
        <f>'Sampling Data'!F263</f>
        <v>0</v>
      </c>
      <c r="H263" s="19">
        <f>'Sampling Data'!G263</f>
        <v>0</v>
      </c>
      <c r="I263" s="19">
        <f>'Sampling Data'!H263</f>
        <v>0</v>
      </c>
      <c r="J263" s="19">
        <f>'Sampling Data'!I263</f>
        <v>0</v>
      </c>
      <c r="K263" s="19">
        <f>'Sampling Data'!J263</f>
        <v>0</v>
      </c>
      <c r="L263" s="19">
        <f>'Sampling Data'!K263</f>
        <v>0</v>
      </c>
      <c r="M263" s="19">
        <f>'Sampling Data'!L263</f>
        <v>0</v>
      </c>
      <c r="N263" s="19">
        <f>'Sampling Data'!M263</f>
        <v>0</v>
      </c>
      <c r="O263" s="18">
        <f>'Sampling Data'!N263</f>
        <v>0</v>
      </c>
      <c r="P263" s="18">
        <f>'Sampling Data'!O263</f>
        <v>0</v>
      </c>
      <c r="Q263" s="18">
        <f>'Sampling Data'!P263</f>
        <v>17</v>
      </c>
      <c r="R263" s="18">
        <f>'Sampling Data'!AJ263</f>
        <v>0</v>
      </c>
      <c r="S263" s="112"/>
      <c r="T263" s="112"/>
      <c r="U263" s="113"/>
      <c r="V263" s="113"/>
      <c r="W263" s="112"/>
      <c r="X263" s="112"/>
      <c r="Y263" s="112"/>
      <c r="Z263" s="112"/>
      <c r="AA263" s="15"/>
      <c r="AB263" s="15"/>
      <c r="AC263" s="15"/>
      <c r="AD263" s="15"/>
      <c r="AE263" s="114" t="str">
        <f>IF(NOT(ISBLANK(Audit[[#This Row],[Audit Winning Candidate]])), Audit[[#This Row],[Audit Winning Candidate]]-Audit[[#This Row],[Winning Candidate]], "")</f>
        <v/>
      </c>
      <c r="AF263" s="18" t="str">
        <f>IF(NOT(ISBLANK(Audit[[#This Row],[Audit Losing Candidate]])), Audit[[#This Row],[Audit Losing Candidate]]-Audit[[#This Row],[Losing Candidate]], "")</f>
        <v/>
      </c>
      <c r="AG263" s="18" t="str">
        <f>IF(NOT(ISBLANK(Audit[[#This Row],[Audit Candidate 3]])), Audit[[#This Row],[Audit Candidate 3]]-Audit[[#This Row],[Candidate 3]], "")</f>
        <v/>
      </c>
      <c r="AH263" s="18" t="str">
        <f>IF(NOT(ISBLANK(Audit[[#This Row],[Audit Candidate 4]])),Audit[[#This Row],[Audit Candidate 4]]-Audit[[#This Row],[Candidate 4]], "")</f>
        <v/>
      </c>
      <c r="AI263" s="18" t="str">
        <f>IF(NOT(ISBLANK(Audit[[#This Row],[Audit Candidate 5]])), Audit[[#This Row],[Audit Candidate 5]]-Audit[[#This Row],[Candidate 5]], "")</f>
        <v/>
      </c>
      <c r="AJ263" s="18" t="str">
        <f>IF(NOT(ISBLANK(Audit[[#This Row],[Audit Candidate 6]])), Audit[[#This Row],[Audit Candidate 6]]-Audit[[#This Row],[Candidate 6]], "")</f>
        <v/>
      </c>
      <c r="AK263" s="18" t="str">
        <f>IF(NOT(ISBLANK(Audit[[#This Row],[Audit Candidate 7]])), Audit[[#This Row],[Audit Candidate 7]]-Audit[[#This Row],[Candidate 7]], "")</f>
        <v/>
      </c>
      <c r="AL263" s="18" t="str">
        <f>IF(NOT(ISBLANK(Audit[[#This Row],[Audit Candidate 8]])), Audit[[#This Row],[Audit Candidate 8]]-Audit[[#This Row],[Candidate 8]], "")</f>
        <v/>
      </c>
      <c r="AM263" s="18" t="str">
        <f>IF(NOT(ISBLANK(Audit[[#This Row],[Audit Candidate 9]])), Audit[[#This Row],[Audit Candidate 9]]-Audit[[#This Row],[Candidate 9]], "")</f>
        <v/>
      </c>
      <c r="AN263" s="18" t="str">
        <f>IF(NOT(ISBLANK(Audit[[#This Row],[Audit Candidate 10]])), Audit[[#This Row],[Audit Candidate 10]]-Audit[[#This Row],[Candidate 10]], "")</f>
        <v/>
      </c>
      <c r="AO263" s="18" t="str">
        <f>IF(NOT(ISBLANK(Audit[[#This Row],[Audit Candidate 11]])), Audit[[#This Row],[Audit Candidate 11]]-Audit[[#This Row],[Candidate 11]], "")</f>
        <v/>
      </c>
      <c r="AP263" s="18" t="str">
        <f>IF(NOT(ISBLANK(Audit[[#This Row],[Audit Candidate 12]])), Audit[[#This Row],[Audit Candidate 12]]-Audit[[#This Row],[Candidate 12]], "")</f>
        <v/>
      </c>
      <c r="AQ263" s="18">
        <f>SUMIF(Audit[[#This Row],[Difference Winner]:[Difference Candidate 12]], "&gt;0")</f>
        <v>0</v>
      </c>
      <c r="AR263" s="18">
        <f>SUM(Audit[[#This Row],[Difference Winner]:[Difference Candidate 12]])</f>
        <v>0</v>
      </c>
      <c r="AS263" s="18">
        <f>IF(Audit[[#This Row],[Times p Drawn - With Replacement]]&gt;0, IF(Audit[[#This Row],[Canceled Differences]]&lt;0, Audit[[#This Row],[Max Differences]]+ABS(Audit[[#This Row],[Canceled Differences]]), Audit[[#This Row],[Max Differences]]), 0)</f>
        <v>0</v>
      </c>
      <c r="AT263" s="18">
        <f>'Sampling Data'!AB263</f>
        <v>1.0679398184502309E-3</v>
      </c>
      <c r="AU263" s="18">
        <f>IF(
      SUM(Audit[[#This Row],[Audit Losing Candidate]:[Audit Candidate 12]])
      &lt;&gt;0,
      (Audit[[#This Row],[Winning Candidate]]-Audit[[#This Row],[Losing Candidate]]-(Audit[[#This Row],[Audit Winning Candidate]]-Audit[[#This Row],[Audit Losing Candidate]]))/(Audit[[#Totals],[Winning Candidate]]-Audit[[#Totals],[Losing Candidate]]),
      0
)</f>
        <v>0</v>
      </c>
      <c r="AV2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8">
        <f>IF(Audit[[#This Row],[Max Relative Error (ep)]] = 0, 0, Audit[[#This Row],[Max Relative Error (ep)]]/Audit[[#This Row],[Error Bound (up) - Max. possible relative overstatement]])</f>
        <v>0</v>
      </c>
      <c r="BH2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3" s="18">
        <f t="shared" si="4"/>
        <v>1</v>
      </c>
      <c r="BJ263" s="18">
        <f>PRODUCT($BI$5:BI263)</f>
        <v>0.57146126097022543</v>
      </c>
      <c r="BK263" s="20">
        <f>1 - Audit[[#This Row],[K-M P Value]]</f>
        <v>0.42853873902977457</v>
      </c>
      <c r="BL263" s="18" t="str">
        <f>IF(Audit[[#This Row],[K-M P Value]]&gt;1-'General Info'!$B$12,"Continue", "Stop")</f>
        <v>Continue</v>
      </c>
      <c r="BM263" s="23" t="b">
        <f>IF(Audit[[#This Row],[Status - Continue or stop audit]] = "Continue", TRUE, IF(BL262 = "Continue", TRUE, FALSE))</f>
        <v>1</v>
      </c>
      <c r="BN263" s="23"/>
    </row>
    <row r="264" spans="1:66" ht="15" hidden="1" customHeight="1" x14ac:dyDescent="0.35">
      <c r="A264" s="18" t="str">
        <f>'Sampling Data'!AI264</f>
        <v/>
      </c>
      <c r="B264" s="18" t="str">
        <f>'Sampling Data'!A264</f>
        <v>4009 MONT I   (AV)</v>
      </c>
      <c r="C264" s="18">
        <f>'Sampling Data'!B264</f>
        <v>28</v>
      </c>
      <c r="D264" s="18">
        <f>'Sampling Data'!C264</f>
        <v>6</v>
      </c>
      <c r="E264" s="19">
        <f>'Sampling Data'!D264</f>
        <v>0</v>
      </c>
      <c r="F264" s="19">
        <f>'Sampling Data'!E264</f>
        <v>0</v>
      </c>
      <c r="G264" s="19">
        <f>'Sampling Data'!F264</f>
        <v>0</v>
      </c>
      <c r="H264" s="19">
        <f>'Sampling Data'!G264</f>
        <v>0</v>
      </c>
      <c r="I264" s="19">
        <f>'Sampling Data'!H264</f>
        <v>0</v>
      </c>
      <c r="J264" s="19">
        <f>'Sampling Data'!I264</f>
        <v>0</v>
      </c>
      <c r="K264" s="19">
        <f>'Sampling Data'!J264</f>
        <v>0</v>
      </c>
      <c r="L264" s="19">
        <f>'Sampling Data'!K264</f>
        <v>0</v>
      </c>
      <c r="M264" s="19">
        <f>'Sampling Data'!L264</f>
        <v>0</v>
      </c>
      <c r="N264" s="19">
        <f>'Sampling Data'!M264</f>
        <v>0</v>
      </c>
      <c r="O264" s="18">
        <f>'Sampling Data'!N264</f>
        <v>0</v>
      </c>
      <c r="P264" s="18">
        <f>'Sampling Data'!O264</f>
        <v>2</v>
      </c>
      <c r="Q264" s="18">
        <f>'Sampling Data'!P264</f>
        <v>36</v>
      </c>
      <c r="R264" s="18">
        <f>'Sampling Data'!AJ264</f>
        <v>0</v>
      </c>
      <c r="S264" s="112"/>
      <c r="T264" s="112"/>
      <c r="U264" s="113"/>
      <c r="V264" s="113"/>
      <c r="W264" s="112"/>
      <c r="X264" s="112"/>
      <c r="Y264" s="112"/>
      <c r="Z264" s="112"/>
      <c r="AA264" s="15"/>
      <c r="AB264" s="15"/>
      <c r="AC264" s="15"/>
      <c r="AD264" s="15"/>
      <c r="AE264" s="114" t="str">
        <f>IF(NOT(ISBLANK(Audit[[#This Row],[Audit Winning Candidate]])), Audit[[#This Row],[Audit Winning Candidate]]-Audit[[#This Row],[Winning Candidate]], "")</f>
        <v/>
      </c>
      <c r="AF264" s="18" t="str">
        <f>IF(NOT(ISBLANK(Audit[[#This Row],[Audit Losing Candidate]])), Audit[[#This Row],[Audit Losing Candidate]]-Audit[[#This Row],[Losing Candidate]], "")</f>
        <v/>
      </c>
      <c r="AG264" s="18" t="str">
        <f>IF(NOT(ISBLANK(Audit[[#This Row],[Audit Candidate 3]])), Audit[[#This Row],[Audit Candidate 3]]-Audit[[#This Row],[Candidate 3]], "")</f>
        <v/>
      </c>
      <c r="AH264" s="18" t="str">
        <f>IF(NOT(ISBLANK(Audit[[#This Row],[Audit Candidate 4]])),Audit[[#This Row],[Audit Candidate 4]]-Audit[[#This Row],[Candidate 4]], "")</f>
        <v/>
      </c>
      <c r="AI264" s="18" t="str">
        <f>IF(NOT(ISBLANK(Audit[[#This Row],[Audit Candidate 5]])), Audit[[#This Row],[Audit Candidate 5]]-Audit[[#This Row],[Candidate 5]], "")</f>
        <v/>
      </c>
      <c r="AJ264" s="18" t="str">
        <f>IF(NOT(ISBLANK(Audit[[#This Row],[Audit Candidate 6]])), Audit[[#This Row],[Audit Candidate 6]]-Audit[[#This Row],[Candidate 6]], "")</f>
        <v/>
      </c>
      <c r="AK264" s="18" t="str">
        <f>IF(NOT(ISBLANK(Audit[[#This Row],[Audit Candidate 7]])), Audit[[#This Row],[Audit Candidate 7]]-Audit[[#This Row],[Candidate 7]], "")</f>
        <v/>
      </c>
      <c r="AL264" s="18" t="str">
        <f>IF(NOT(ISBLANK(Audit[[#This Row],[Audit Candidate 8]])), Audit[[#This Row],[Audit Candidate 8]]-Audit[[#This Row],[Candidate 8]], "")</f>
        <v/>
      </c>
      <c r="AM264" s="18" t="str">
        <f>IF(NOT(ISBLANK(Audit[[#This Row],[Audit Candidate 9]])), Audit[[#This Row],[Audit Candidate 9]]-Audit[[#This Row],[Candidate 9]], "")</f>
        <v/>
      </c>
      <c r="AN264" s="18" t="str">
        <f>IF(NOT(ISBLANK(Audit[[#This Row],[Audit Candidate 10]])), Audit[[#This Row],[Audit Candidate 10]]-Audit[[#This Row],[Candidate 10]], "")</f>
        <v/>
      </c>
      <c r="AO264" s="18" t="str">
        <f>IF(NOT(ISBLANK(Audit[[#This Row],[Audit Candidate 11]])), Audit[[#This Row],[Audit Candidate 11]]-Audit[[#This Row],[Candidate 11]], "")</f>
        <v/>
      </c>
      <c r="AP264" s="18" t="str">
        <f>IF(NOT(ISBLANK(Audit[[#This Row],[Audit Candidate 12]])), Audit[[#This Row],[Audit Candidate 12]]-Audit[[#This Row],[Candidate 12]], "")</f>
        <v/>
      </c>
      <c r="AQ264" s="18">
        <f>SUMIF(Audit[[#This Row],[Difference Winner]:[Difference Candidate 12]], "&gt;0")</f>
        <v>0</v>
      </c>
      <c r="AR264" s="18">
        <f>SUM(Audit[[#This Row],[Difference Winner]:[Difference Candidate 12]])</f>
        <v>0</v>
      </c>
      <c r="AS264" s="18">
        <f>IF(Audit[[#This Row],[Times p Drawn - With Replacement]]&gt;0, IF(Audit[[#This Row],[Canceled Differences]]&lt;0, Audit[[#This Row],[Max Differences]]+ABS(Audit[[#This Row],[Canceled Differences]]), Audit[[#This Row],[Max Differences]]), 0)</f>
        <v>0</v>
      </c>
      <c r="AT264" s="18">
        <f>'Sampling Data'!AB264</f>
        <v>1.8217796902974526E-3</v>
      </c>
      <c r="AU264" s="18">
        <f>IF(
      SUM(Audit[[#This Row],[Audit Losing Candidate]:[Audit Candidate 12]])
      &lt;&gt;0,
      (Audit[[#This Row],[Winning Candidate]]-Audit[[#This Row],[Losing Candidate]]-(Audit[[#This Row],[Audit Winning Candidate]]-Audit[[#This Row],[Audit Losing Candidate]]))/(Audit[[#Totals],[Winning Candidate]]-Audit[[#Totals],[Losing Candidate]]),
      0
)</f>
        <v>0</v>
      </c>
      <c r="AV2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8">
        <f>IF(Audit[[#This Row],[Max Relative Error (ep)]] = 0, 0, Audit[[#This Row],[Max Relative Error (ep)]]/Audit[[#This Row],[Error Bound (up) - Max. possible relative overstatement]])</f>
        <v>0</v>
      </c>
      <c r="BH2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4" s="18">
        <f t="shared" si="4"/>
        <v>1</v>
      </c>
      <c r="BJ264" s="18">
        <f>PRODUCT($BI$5:BI264)</f>
        <v>0.57146126097022543</v>
      </c>
      <c r="BK264" s="20">
        <f>1 - Audit[[#This Row],[K-M P Value]]</f>
        <v>0.42853873902977457</v>
      </c>
      <c r="BL264" s="18" t="str">
        <f>IF(Audit[[#This Row],[K-M P Value]]&gt;1-'General Info'!$B$12,"Continue", "Stop")</f>
        <v>Continue</v>
      </c>
      <c r="BM264" s="23" t="b">
        <f>IF(Audit[[#This Row],[Status - Continue or stop audit]] = "Continue", TRUE, IF(BL263 = "Continue", TRUE, FALSE))</f>
        <v>1</v>
      </c>
      <c r="BN264" s="23"/>
    </row>
    <row r="265" spans="1:66" ht="15" hidden="1" customHeight="1" x14ac:dyDescent="0.35">
      <c r="A265" s="18" t="str">
        <f>'Sampling Data'!AI265</f>
        <v/>
      </c>
      <c r="B265" s="18" t="str">
        <f>'Sampling Data'!A265</f>
        <v>4111 MTHY 1-A   (AV)</v>
      </c>
      <c r="C265" s="18">
        <f>'Sampling Data'!B265</f>
        <v>5</v>
      </c>
      <c r="D265" s="18">
        <f>'Sampling Data'!C265</f>
        <v>1</v>
      </c>
      <c r="E265" s="19">
        <f>'Sampling Data'!D265</f>
        <v>0</v>
      </c>
      <c r="F265" s="19">
        <f>'Sampling Data'!E265</f>
        <v>0</v>
      </c>
      <c r="G265" s="19">
        <f>'Sampling Data'!F265</f>
        <v>0</v>
      </c>
      <c r="H265" s="19">
        <f>'Sampling Data'!G265</f>
        <v>0</v>
      </c>
      <c r="I265" s="19">
        <f>'Sampling Data'!H265</f>
        <v>0</v>
      </c>
      <c r="J265" s="19">
        <f>'Sampling Data'!I265</f>
        <v>0</v>
      </c>
      <c r="K265" s="19">
        <f>'Sampling Data'!J265</f>
        <v>0</v>
      </c>
      <c r="L265" s="19">
        <f>'Sampling Data'!K265</f>
        <v>0</v>
      </c>
      <c r="M265" s="19">
        <f>'Sampling Data'!L265</f>
        <v>0</v>
      </c>
      <c r="N265" s="19">
        <f>'Sampling Data'!M265</f>
        <v>0</v>
      </c>
      <c r="O265" s="18">
        <f>'Sampling Data'!N265</f>
        <v>0</v>
      </c>
      <c r="P265" s="18">
        <f>'Sampling Data'!O265</f>
        <v>0</v>
      </c>
      <c r="Q265" s="18">
        <f>'Sampling Data'!P265</f>
        <v>6</v>
      </c>
      <c r="R265" s="18">
        <f>'Sampling Data'!AJ265</f>
        <v>0</v>
      </c>
      <c r="S265" s="112"/>
      <c r="T265" s="112"/>
      <c r="U265" s="113"/>
      <c r="V265" s="113"/>
      <c r="W265" s="112"/>
      <c r="X265" s="112"/>
      <c r="Y265" s="112"/>
      <c r="Z265" s="112"/>
      <c r="AA265" s="15"/>
      <c r="AB265" s="15"/>
      <c r="AC265" s="15"/>
      <c r="AD265" s="15"/>
      <c r="AE265" s="114" t="str">
        <f>IF(NOT(ISBLANK(Audit[[#This Row],[Audit Winning Candidate]])), Audit[[#This Row],[Audit Winning Candidate]]-Audit[[#This Row],[Winning Candidate]], "")</f>
        <v/>
      </c>
      <c r="AF265" s="18" t="str">
        <f>IF(NOT(ISBLANK(Audit[[#This Row],[Audit Losing Candidate]])), Audit[[#This Row],[Audit Losing Candidate]]-Audit[[#This Row],[Losing Candidate]], "")</f>
        <v/>
      </c>
      <c r="AG265" s="18" t="str">
        <f>IF(NOT(ISBLANK(Audit[[#This Row],[Audit Candidate 3]])), Audit[[#This Row],[Audit Candidate 3]]-Audit[[#This Row],[Candidate 3]], "")</f>
        <v/>
      </c>
      <c r="AH265" s="18" t="str">
        <f>IF(NOT(ISBLANK(Audit[[#This Row],[Audit Candidate 4]])),Audit[[#This Row],[Audit Candidate 4]]-Audit[[#This Row],[Candidate 4]], "")</f>
        <v/>
      </c>
      <c r="AI265" s="18" t="str">
        <f>IF(NOT(ISBLANK(Audit[[#This Row],[Audit Candidate 5]])), Audit[[#This Row],[Audit Candidate 5]]-Audit[[#This Row],[Candidate 5]], "")</f>
        <v/>
      </c>
      <c r="AJ265" s="18" t="str">
        <f>IF(NOT(ISBLANK(Audit[[#This Row],[Audit Candidate 6]])), Audit[[#This Row],[Audit Candidate 6]]-Audit[[#This Row],[Candidate 6]], "")</f>
        <v/>
      </c>
      <c r="AK265" s="18" t="str">
        <f>IF(NOT(ISBLANK(Audit[[#This Row],[Audit Candidate 7]])), Audit[[#This Row],[Audit Candidate 7]]-Audit[[#This Row],[Candidate 7]], "")</f>
        <v/>
      </c>
      <c r="AL265" s="18" t="str">
        <f>IF(NOT(ISBLANK(Audit[[#This Row],[Audit Candidate 8]])), Audit[[#This Row],[Audit Candidate 8]]-Audit[[#This Row],[Candidate 8]], "")</f>
        <v/>
      </c>
      <c r="AM265" s="18" t="str">
        <f>IF(NOT(ISBLANK(Audit[[#This Row],[Audit Candidate 9]])), Audit[[#This Row],[Audit Candidate 9]]-Audit[[#This Row],[Candidate 9]], "")</f>
        <v/>
      </c>
      <c r="AN265" s="18" t="str">
        <f>IF(NOT(ISBLANK(Audit[[#This Row],[Audit Candidate 10]])), Audit[[#This Row],[Audit Candidate 10]]-Audit[[#This Row],[Candidate 10]], "")</f>
        <v/>
      </c>
      <c r="AO265" s="18" t="str">
        <f>IF(NOT(ISBLANK(Audit[[#This Row],[Audit Candidate 11]])), Audit[[#This Row],[Audit Candidate 11]]-Audit[[#This Row],[Candidate 11]], "")</f>
        <v/>
      </c>
      <c r="AP265" s="18" t="str">
        <f>IF(NOT(ISBLANK(Audit[[#This Row],[Audit Candidate 12]])), Audit[[#This Row],[Audit Candidate 12]]-Audit[[#This Row],[Candidate 12]], "")</f>
        <v/>
      </c>
      <c r="AQ265" s="18">
        <f>SUMIF(Audit[[#This Row],[Difference Winner]:[Difference Candidate 12]], "&gt;0")</f>
        <v>0</v>
      </c>
      <c r="AR265" s="18">
        <f>SUM(Audit[[#This Row],[Difference Winner]:[Difference Candidate 12]])</f>
        <v>0</v>
      </c>
      <c r="AS265" s="18">
        <f>IF(Audit[[#This Row],[Times p Drawn - With Replacement]]&gt;0, IF(Audit[[#This Row],[Canceled Differences]]&lt;0, Audit[[#This Row],[Max Differences]]+ABS(Audit[[#This Row],[Canceled Differences]]), Audit[[#This Row],[Max Differences]]), 0)</f>
        <v>0</v>
      </c>
      <c r="AT265" s="18">
        <f>'Sampling Data'!AB265</f>
        <v>3.1409994660300906E-4</v>
      </c>
      <c r="AU265" s="18">
        <f>IF(
      SUM(Audit[[#This Row],[Audit Losing Candidate]:[Audit Candidate 12]])
      &lt;&gt;0,
      (Audit[[#This Row],[Winning Candidate]]-Audit[[#This Row],[Losing Candidate]]-(Audit[[#This Row],[Audit Winning Candidate]]-Audit[[#This Row],[Audit Losing Candidate]]))/(Audit[[#Totals],[Winning Candidate]]-Audit[[#Totals],[Losing Candidate]]),
      0
)</f>
        <v>0</v>
      </c>
      <c r="AV2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8">
        <f>IF(Audit[[#This Row],[Max Relative Error (ep)]] = 0, 0, Audit[[#This Row],[Max Relative Error (ep)]]/Audit[[#This Row],[Error Bound (up) - Max. possible relative overstatement]])</f>
        <v>0</v>
      </c>
      <c r="BH2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5" s="18">
        <f t="shared" si="4"/>
        <v>1</v>
      </c>
      <c r="BJ265" s="18">
        <f>PRODUCT($BI$5:BI265)</f>
        <v>0.57146126097022543</v>
      </c>
      <c r="BK265" s="20">
        <f>1 - Audit[[#This Row],[K-M P Value]]</f>
        <v>0.42853873902977457</v>
      </c>
      <c r="BL265" s="18" t="str">
        <f>IF(Audit[[#This Row],[K-M P Value]]&gt;1-'General Info'!$B$12,"Continue", "Stop")</f>
        <v>Continue</v>
      </c>
      <c r="BM265" s="23" t="b">
        <f>IF(Audit[[#This Row],[Status - Continue or stop audit]] = "Continue", TRUE, IF(BL264 = "Continue", TRUE, FALSE))</f>
        <v>1</v>
      </c>
      <c r="BN265" s="23"/>
    </row>
    <row r="266" spans="1:66" ht="15" hidden="1" customHeight="1" x14ac:dyDescent="0.35">
      <c r="A266" s="18" t="str">
        <f>'Sampling Data'!AI266</f>
        <v/>
      </c>
      <c r="B266" s="18" t="str">
        <f>'Sampling Data'!A266</f>
        <v>4121 MTHY 2-A   (AV)</v>
      </c>
      <c r="C266" s="18">
        <f>'Sampling Data'!B266</f>
        <v>6</v>
      </c>
      <c r="D266" s="18">
        <f>'Sampling Data'!C266</f>
        <v>1</v>
      </c>
      <c r="E266" s="19">
        <f>'Sampling Data'!D266</f>
        <v>0</v>
      </c>
      <c r="F266" s="19">
        <f>'Sampling Data'!E266</f>
        <v>0</v>
      </c>
      <c r="G266" s="19">
        <f>'Sampling Data'!F266</f>
        <v>0</v>
      </c>
      <c r="H266" s="19">
        <f>'Sampling Data'!G266</f>
        <v>0</v>
      </c>
      <c r="I266" s="19">
        <f>'Sampling Data'!H266</f>
        <v>0</v>
      </c>
      <c r="J266" s="19">
        <f>'Sampling Data'!I266</f>
        <v>0</v>
      </c>
      <c r="K266" s="19">
        <f>'Sampling Data'!J266</f>
        <v>0</v>
      </c>
      <c r="L266" s="19">
        <f>'Sampling Data'!K266</f>
        <v>0</v>
      </c>
      <c r="M266" s="19">
        <f>'Sampling Data'!L266</f>
        <v>0</v>
      </c>
      <c r="N266" s="19">
        <f>'Sampling Data'!M266</f>
        <v>0</v>
      </c>
      <c r="O266" s="18">
        <f>'Sampling Data'!N266</f>
        <v>0</v>
      </c>
      <c r="P266" s="18">
        <f>'Sampling Data'!O266</f>
        <v>0</v>
      </c>
      <c r="Q266" s="18">
        <f>'Sampling Data'!P266</f>
        <v>7</v>
      </c>
      <c r="R266" s="18">
        <f>'Sampling Data'!AJ266</f>
        <v>0</v>
      </c>
      <c r="S266" s="112"/>
      <c r="T266" s="112"/>
      <c r="U266" s="113"/>
      <c r="V266" s="113"/>
      <c r="W266" s="112"/>
      <c r="X266" s="112"/>
      <c r="Y266" s="112"/>
      <c r="Z266" s="112"/>
      <c r="AA266" s="15"/>
      <c r="AB266" s="15"/>
      <c r="AC266" s="15"/>
      <c r="AD266" s="15"/>
      <c r="AE266" s="114" t="str">
        <f>IF(NOT(ISBLANK(Audit[[#This Row],[Audit Winning Candidate]])), Audit[[#This Row],[Audit Winning Candidate]]-Audit[[#This Row],[Winning Candidate]], "")</f>
        <v/>
      </c>
      <c r="AF266" s="18" t="str">
        <f>IF(NOT(ISBLANK(Audit[[#This Row],[Audit Losing Candidate]])), Audit[[#This Row],[Audit Losing Candidate]]-Audit[[#This Row],[Losing Candidate]], "")</f>
        <v/>
      </c>
      <c r="AG266" s="18" t="str">
        <f>IF(NOT(ISBLANK(Audit[[#This Row],[Audit Candidate 3]])), Audit[[#This Row],[Audit Candidate 3]]-Audit[[#This Row],[Candidate 3]], "")</f>
        <v/>
      </c>
      <c r="AH266" s="18" t="str">
        <f>IF(NOT(ISBLANK(Audit[[#This Row],[Audit Candidate 4]])),Audit[[#This Row],[Audit Candidate 4]]-Audit[[#This Row],[Candidate 4]], "")</f>
        <v/>
      </c>
      <c r="AI266" s="18" t="str">
        <f>IF(NOT(ISBLANK(Audit[[#This Row],[Audit Candidate 5]])), Audit[[#This Row],[Audit Candidate 5]]-Audit[[#This Row],[Candidate 5]], "")</f>
        <v/>
      </c>
      <c r="AJ266" s="18" t="str">
        <f>IF(NOT(ISBLANK(Audit[[#This Row],[Audit Candidate 6]])), Audit[[#This Row],[Audit Candidate 6]]-Audit[[#This Row],[Candidate 6]], "")</f>
        <v/>
      </c>
      <c r="AK266" s="18" t="str">
        <f>IF(NOT(ISBLANK(Audit[[#This Row],[Audit Candidate 7]])), Audit[[#This Row],[Audit Candidate 7]]-Audit[[#This Row],[Candidate 7]], "")</f>
        <v/>
      </c>
      <c r="AL266" s="18" t="str">
        <f>IF(NOT(ISBLANK(Audit[[#This Row],[Audit Candidate 8]])), Audit[[#This Row],[Audit Candidate 8]]-Audit[[#This Row],[Candidate 8]], "")</f>
        <v/>
      </c>
      <c r="AM266" s="18" t="str">
        <f>IF(NOT(ISBLANK(Audit[[#This Row],[Audit Candidate 9]])), Audit[[#This Row],[Audit Candidate 9]]-Audit[[#This Row],[Candidate 9]], "")</f>
        <v/>
      </c>
      <c r="AN266" s="18" t="str">
        <f>IF(NOT(ISBLANK(Audit[[#This Row],[Audit Candidate 10]])), Audit[[#This Row],[Audit Candidate 10]]-Audit[[#This Row],[Candidate 10]], "")</f>
        <v/>
      </c>
      <c r="AO266" s="18" t="str">
        <f>IF(NOT(ISBLANK(Audit[[#This Row],[Audit Candidate 11]])), Audit[[#This Row],[Audit Candidate 11]]-Audit[[#This Row],[Candidate 11]], "")</f>
        <v/>
      </c>
      <c r="AP266" s="18" t="str">
        <f>IF(NOT(ISBLANK(Audit[[#This Row],[Audit Candidate 12]])), Audit[[#This Row],[Audit Candidate 12]]-Audit[[#This Row],[Candidate 12]], "")</f>
        <v/>
      </c>
      <c r="AQ266" s="18">
        <f>SUMIF(Audit[[#This Row],[Difference Winner]:[Difference Candidate 12]], "&gt;0")</f>
        <v>0</v>
      </c>
      <c r="AR266" s="18">
        <f>SUM(Audit[[#This Row],[Difference Winner]:[Difference Candidate 12]])</f>
        <v>0</v>
      </c>
      <c r="AS266" s="18">
        <f>IF(Audit[[#This Row],[Times p Drawn - With Replacement]]&gt;0, IF(Audit[[#This Row],[Canceled Differences]]&lt;0, Audit[[#This Row],[Max Differences]]+ABS(Audit[[#This Row],[Canceled Differences]]), Audit[[#This Row],[Max Differences]]), 0)</f>
        <v>0</v>
      </c>
      <c r="AT266" s="18">
        <f>'Sampling Data'!AB266</f>
        <v>3.7691993592361088E-4</v>
      </c>
      <c r="AU266" s="18">
        <f>IF(
      SUM(Audit[[#This Row],[Audit Losing Candidate]:[Audit Candidate 12]])
      &lt;&gt;0,
      (Audit[[#This Row],[Winning Candidate]]-Audit[[#This Row],[Losing Candidate]]-(Audit[[#This Row],[Audit Winning Candidate]]-Audit[[#This Row],[Audit Losing Candidate]]))/(Audit[[#Totals],[Winning Candidate]]-Audit[[#Totals],[Losing Candidate]]),
      0
)</f>
        <v>0</v>
      </c>
      <c r="AV2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8">
        <f>IF(Audit[[#This Row],[Max Relative Error (ep)]] = 0, 0, Audit[[#This Row],[Max Relative Error (ep)]]/Audit[[#This Row],[Error Bound (up) - Max. possible relative overstatement]])</f>
        <v>0</v>
      </c>
      <c r="BH2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6" s="18">
        <f t="shared" si="4"/>
        <v>1</v>
      </c>
      <c r="BJ266" s="18">
        <f>PRODUCT($BI$5:BI266)</f>
        <v>0.57146126097022543</v>
      </c>
      <c r="BK266" s="20">
        <f>1 - Audit[[#This Row],[K-M P Value]]</f>
        <v>0.42853873902977457</v>
      </c>
      <c r="BL266" s="18" t="str">
        <f>IF(Audit[[#This Row],[K-M P Value]]&gt;1-'General Info'!$B$12,"Continue", "Stop")</f>
        <v>Continue</v>
      </c>
      <c r="BM266" s="23" t="b">
        <f>IF(Audit[[#This Row],[Status - Continue or stop audit]] = "Continue", TRUE, IF(BL265 = "Continue", TRUE, FALSE))</f>
        <v>1</v>
      </c>
      <c r="BN266" s="23"/>
    </row>
    <row r="267" spans="1:66" ht="15" hidden="1" customHeight="1" x14ac:dyDescent="0.35">
      <c r="A267" s="18" t="str">
        <f>'Sampling Data'!AI267</f>
        <v/>
      </c>
      <c r="B267" s="18" t="str">
        <f>'Sampling Data'!A267</f>
        <v>4131 MTHY 3-A   (AV)</v>
      </c>
      <c r="C267" s="18">
        <f>'Sampling Data'!B267</f>
        <v>5</v>
      </c>
      <c r="D267" s="18">
        <f>'Sampling Data'!C267</f>
        <v>2</v>
      </c>
      <c r="E267" s="19">
        <f>'Sampling Data'!D267</f>
        <v>0</v>
      </c>
      <c r="F267" s="19">
        <f>'Sampling Data'!E267</f>
        <v>0</v>
      </c>
      <c r="G267" s="19">
        <f>'Sampling Data'!F267</f>
        <v>0</v>
      </c>
      <c r="H267" s="19">
        <f>'Sampling Data'!G267</f>
        <v>0</v>
      </c>
      <c r="I267" s="19">
        <f>'Sampling Data'!H267</f>
        <v>0</v>
      </c>
      <c r="J267" s="19">
        <f>'Sampling Data'!I267</f>
        <v>0</v>
      </c>
      <c r="K267" s="19">
        <f>'Sampling Data'!J267</f>
        <v>0</v>
      </c>
      <c r="L267" s="19">
        <f>'Sampling Data'!K267</f>
        <v>0</v>
      </c>
      <c r="M267" s="19">
        <f>'Sampling Data'!L267</f>
        <v>0</v>
      </c>
      <c r="N267" s="19">
        <f>'Sampling Data'!M267</f>
        <v>0</v>
      </c>
      <c r="O267" s="18">
        <f>'Sampling Data'!N267</f>
        <v>0</v>
      </c>
      <c r="P267" s="18">
        <f>'Sampling Data'!O267</f>
        <v>1</v>
      </c>
      <c r="Q267" s="18">
        <f>'Sampling Data'!P267</f>
        <v>8</v>
      </c>
      <c r="R267" s="18">
        <f>'Sampling Data'!AJ267</f>
        <v>0</v>
      </c>
      <c r="S267" s="112"/>
      <c r="T267" s="112"/>
      <c r="U267" s="113"/>
      <c r="V267" s="113"/>
      <c r="W267" s="112"/>
      <c r="X267" s="112"/>
      <c r="Y267" s="112"/>
      <c r="Z267" s="112"/>
      <c r="AA267" s="15"/>
      <c r="AB267" s="15"/>
      <c r="AC267" s="15"/>
      <c r="AD267" s="15"/>
      <c r="AE267" s="114" t="str">
        <f>IF(NOT(ISBLANK(Audit[[#This Row],[Audit Winning Candidate]])), Audit[[#This Row],[Audit Winning Candidate]]-Audit[[#This Row],[Winning Candidate]], "")</f>
        <v/>
      </c>
      <c r="AF267" s="18" t="str">
        <f>IF(NOT(ISBLANK(Audit[[#This Row],[Audit Losing Candidate]])), Audit[[#This Row],[Audit Losing Candidate]]-Audit[[#This Row],[Losing Candidate]], "")</f>
        <v/>
      </c>
      <c r="AG267" s="18" t="str">
        <f>IF(NOT(ISBLANK(Audit[[#This Row],[Audit Candidate 3]])), Audit[[#This Row],[Audit Candidate 3]]-Audit[[#This Row],[Candidate 3]], "")</f>
        <v/>
      </c>
      <c r="AH267" s="18" t="str">
        <f>IF(NOT(ISBLANK(Audit[[#This Row],[Audit Candidate 4]])),Audit[[#This Row],[Audit Candidate 4]]-Audit[[#This Row],[Candidate 4]], "")</f>
        <v/>
      </c>
      <c r="AI267" s="18" t="str">
        <f>IF(NOT(ISBLANK(Audit[[#This Row],[Audit Candidate 5]])), Audit[[#This Row],[Audit Candidate 5]]-Audit[[#This Row],[Candidate 5]], "")</f>
        <v/>
      </c>
      <c r="AJ267" s="18" t="str">
        <f>IF(NOT(ISBLANK(Audit[[#This Row],[Audit Candidate 6]])), Audit[[#This Row],[Audit Candidate 6]]-Audit[[#This Row],[Candidate 6]], "")</f>
        <v/>
      </c>
      <c r="AK267" s="18" t="str">
        <f>IF(NOT(ISBLANK(Audit[[#This Row],[Audit Candidate 7]])), Audit[[#This Row],[Audit Candidate 7]]-Audit[[#This Row],[Candidate 7]], "")</f>
        <v/>
      </c>
      <c r="AL267" s="18" t="str">
        <f>IF(NOT(ISBLANK(Audit[[#This Row],[Audit Candidate 8]])), Audit[[#This Row],[Audit Candidate 8]]-Audit[[#This Row],[Candidate 8]], "")</f>
        <v/>
      </c>
      <c r="AM267" s="18" t="str">
        <f>IF(NOT(ISBLANK(Audit[[#This Row],[Audit Candidate 9]])), Audit[[#This Row],[Audit Candidate 9]]-Audit[[#This Row],[Candidate 9]], "")</f>
        <v/>
      </c>
      <c r="AN267" s="18" t="str">
        <f>IF(NOT(ISBLANK(Audit[[#This Row],[Audit Candidate 10]])), Audit[[#This Row],[Audit Candidate 10]]-Audit[[#This Row],[Candidate 10]], "")</f>
        <v/>
      </c>
      <c r="AO267" s="18" t="str">
        <f>IF(NOT(ISBLANK(Audit[[#This Row],[Audit Candidate 11]])), Audit[[#This Row],[Audit Candidate 11]]-Audit[[#This Row],[Candidate 11]], "")</f>
        <v/>
      </c>
      <c r="AP267" s="18" t="str">
        <f>IF(NOT(ISBLANK(Audit[[#This Row],[Audit Candidate 12]])), Audit[[#This Row],[Audit Candidate 12]]-Audit[[#This Row],[Candidate 12]], "")</f>
        <v/>
      </c>
      <c r="AQ267" s="18">
        <f>SUMIF(Audit[[#This Row],[Difference Winner]:[Difference Candidate 12]], "&gt;0")</f>
        <v>0</v>
      </c>
      <c r="AR267" s="18">
        <f>SUM(Audit[[#This Row],[Difference Winner]:[Difference Candidate 12]])</f>
        <v>0</v>
      </c>
      <c r="AS267" s="18">
        <f>IF(Audit[[#This Row],[Times p Drawn - With Replacement]]&gt;0, IF(Audit[[#This Row],[Canceled Differences]]&lt;0, Audit[[#This Row],[Max Differences]]+ABS(Audit[[#This Row],[Canceled Differences]]), Audit[[#This Row],[Max Differences]]), 0)</f>
        <v>0</v>
      </c>
      <c r="AT267" s="18">
        <f>'Sampling Data'!AB267</f>
        <v>3.4550994126331E-4</v>
      </c>
      <c r="AU267" s="18">
        <f>IF(
      SUM(Audit[[#This Row],[Audit Losing Candidate]:[Audit Candidate 12]])
      &lt;&gt;0,
      (Audit[[#This Row],[Winning Candidate]]-Audit[[#This Row],[Losing Candidate]]-(Audit[[#This Row],[Audit Winning Candidate]]-Audit[[#This Row],[Audit Losing Candidate]]))/(Audit[[#Totals],[Winning Candidate]]-Audit[[#Totals],[Losing Candidate]]),
      0
)</f>
        <v>0</v>
      </c>
      <c r="AV2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8">
        <f>IF(Audit[[#This Row],[Max Relative Error (ep)]] = 0, 0, Audit[[#This Row],[Max Relative Error (ep)]]/Audit[[#This Row],[Error Bound (up) - Max. possible relative overstatement]])</f>
        <v>0</v>
      </c>
      <c r="BH2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7" s="18">
        <f t="shared" si="4"/>
        <v>1</v>
      </c>
      <c r="BJ267" s="18">
        <f>PRODUCT($BI$5:BI267)</f>
        <v>0.57146126097022543</v>
      </c>
      <c r="BK267" s="20">
        <f>1 - Audit[[#This Row],[K-M P Value]]</f>
        <v>0.42853873902977457</v>
      </c>
      <c r="BL267" s="18" t="str">
        <f>IF(Audit[[#This Row],[K-M P Value]]&gt;1-'General Info'!$B$12,"Continue", "Stop")</f>
        <v>Continue</v>
      </c>
      <c r="BM267" s="23" t="b">
        <f>IF(Audit[[#This Row],[Status - Continue or stop audit]] = "Continue", TRUE, IF(BL266 = "Continue", TRUE, FALSE))</f>
        <v>1</v>
      </c>
      <c r="BN267" s="23"/>
    </row>
    <row r="268" spans="1:66" ht="15" hidden="1" customHeight="1" x14ac:dyDescent="0.35">
      <c r="A268" s="18" t="str">
        <f>'Sampling Data'!AI268</f>
        <v/>
      </c>
      <c r="B268" s="18" t="str">
        <f>'Sampling Data'!A268</f>
        <v>4141 MTHY 4-A   (AV)</v>
      </c>
      <c r="C268" s="18">
        <f>'Sampling Data'!B268</f>
        <v>2</v>
      </c>
      <c r="D268" s="18">
        <f>'Sampling Data'!C268</f>
        <v>0</v>
      </c>
      <c r="E268" s="19">
        <f>'Sampling Data'!D268</f>
        <v>0</v>
      </c>
      <c r="F268" s="19">
        <f>'Sampling Data'!E268</f>
        <v>0</v>
      </c>
      <c r="G268" s="19">
        <f>'Sampling Data'!F268</f>
        <v>0</v>
      </c>
      <c r="H268" s="19">
        <f>'Sampling Data'!G268</f>
        <v>0</v>
      </c>
      <c r="I268" s="19">
        <f>'Sampling Data'!H268</f>
        <v>0</v>
      </c>
      <c r="J268" s="19">
        <f>'Sampling Data'!I268</f>
        <v>0</v>
      </c>
      <c r="K268" s="19">
        <f>'Sampling Data'!J268</f>
        <v>0</v>
      </c>
      <c r="L268" s="19">
        <f>'Sampling Data'!K268</f>
        <v>0</v>
      </c>
      <c r="M268" s="19">
        <f>'Sampling Data'!L268</f>
        <v>0</v>
      </c>
      <c r="N268" s="19">
        <f>'Sampling Data'!M268</f>
        <v>0</v>
      </c>
      <c r="O268" s="18">
        <f>'Sampling Data'!N268</f>
        <v>0</v>
      </c>
      <c r="P268" s="18">
        <f>'Sampling Data'!O268</f>
        <v>0</v>
      </c>
      <c r="Q268" s="18">
        <f>'Sampling Data'!P268</f>
        <v>2</v>
      </c>
      <c r="R268" s="18">
        <f>'Sampling Data'!AJ268</f>
        <v>0</v>
      </c>
      <c r="S268" s="112"/>
      <c r="T268" s="112"/>
      <c r="U268" s="113"/>
      <c r="V268" s="113"/>
      <c r="W268" s="112"/>
      <c r="X268" s="112"/>
      <c r="Y268" s="112"/>
      <c r="Z268" s="112"/>
      <c r="AA268" s="15"/>
      <c r="AB268" s="15"/>
      <c r="AC268" s="15"/>
      <c r="AD268" s="15"/>
      <c r="AE268" s="114" t="str">
        <f>IF(NOT(ISBLANK(Audit[[#This Row],[Audit Winning Candidate]])), Audit[[#This Row],[Audit Winning Candidate]]-Audit[[#This Row],[Winning Candidate]], "")</f>
        <v/>
      </c>
      <c r="AF268" s="18" t="str">
        <f>IF(NOT(ISBLANK(Audit[[#This Row],[Audit Losing Candidate]])), Audit[[#This Row],[Audit Losing Candidate]]-Audit[[#This Row],[Losing Candidate]], "")</f>
        <v/>
      </c>
      <c r="AG268" s="18" t="str">
        <f>IF(NOT(ISBLANK(Audit[[#This Row],[Audit Candidate 3]])), Audit[[#This Row],[Audit Candidate 3]]-Audit[[#This Row],[Candidate 3]], "")</f>
        <v/>
      </c>
      <c r="AH268" s="18" t="str">
        <f>IF(NOT(ISBLANK(Audit[[#This Row],[Audit Candidate 4]])),Audit[[#This Row],[Audit Candidate 4]]-Audit[[#This Row],[Candidate 4]], "")</f>
        <v/>
      </c>
      <c r="AI268" s="18" t="str">
        <f>IF(NOT(ISBLANK(Audit[[#This Row],[Audit Candidate 5]])), Audit[[#This Row],[Audit Candidate 5]]-Audit[[#This Row],[Candidate 5]], "")</f>
        <v/>
      </c>
      <c r="AJ268" s="18" t="str">
        <f>IF(NOT(ISBLANK(Audit[[#This Row],[Audit Candidate 6]])), Audit[[#This Row],[Audit Candidate 6]]-Audit[[#This Row],[Candidate 6]], "")</f>
        <v/>
      </c>
      <c r="AK268" s="18" t="str">
        <f>IF(NOT(ISBLANK(Audit[[#This Row],[Audit Candidate 7]])), Audit[[#This Row],[Audit Candidate 7]]-Audit[[#This Row],[Candidate 7]], "")</f>
        <v/>
      </c>
      <c r="AL268" s="18" t="str">
        <f>IF(NOT(ISBLANK(Audit[[#This Row],[Audit Candidate 8]])), Audit[[#This Row],[Audit Candidate 8]]-Audit[[#This Row],[Candidate 8]], "")</f>
        <v/>
      </c>
      <c r="AM268" s="18" t="str">
        <f>IF(NOT(ISBLANK(Audit[[#This Row],[Audit Candidate 9]])), Audit[[#This Row],[Audit Candidate 9]]-Audit[[#This Row],[Candidate 9]], "")</f>
        <v/>
      </c>
      <c r="AN268" s="18" t="str">
        <f>IF(NOT(ISBLANK(Audit[[#This Row],[Audit Candidate 10]])), Audit[[#This Row],[Audit Candidate 10]]-Audit[[#This Row],[Candidate 10]], "")</f>
        <v/>
      </c>
      <c r="AO268" s="18" t="str">
        <f>IF(NOT(ISBLANK(Audit[[#This Row],[Audit Candidate 11]])), Audit[[#This Row],[Audit Candidate 11]]-Audit[[#This Row],[Candidate 11]], "")</f>
        <v/>
      </c>
      <c r="AP268" s="18" t="str">
        <f>IF(NOT(ISBLANK(Audit[[#This Row],[Audit Candidate 12]])), Audit[[#This Row],[Audit Candidate 12]]-Audit[[#This Row],[Candidate 12]], "")</f>
        <v/>
      </c>
      <c r="AQ268" s="18">
        <f>SUMIF(Audit[[#This Row],[Difference Winner]:[Difference Candidate 12]], "&gt;0")</f>
        <v>0</v>
      </c>
      <c r="AR268" s="18">
        <f>SUM(Audit[[#This Row],[Difference Winner]:[Difference Candidate 12]])</f>
        <v>0</v>
      </c>
      <c r="AS268" s="18">
        <f>IF(Audit[[#This Row],[Times p Drawn - With Replacement]]&gt;0, IF(Audit[[#This Row],[Canceled Differences]]&lt;0, Audit[[#This Row],[Max Differences]]+ABS(Audit[[#This Row],[Canceled Differences]]), Audit[[#This Row],[Max Differences]]), 0)</f>
        <v>0</v>
      </c>
      <c r="AT268" s="18">
        <f>'Sampling Data'!AB268</f>
        <v>1.2563997864120362E-4</v>
      </c>
      <c r="AU268" s="18">
        <f>IF(
      SUM(Audit[[#This Row],[Audit Losing Candidate]:[Audit Candidate 12]])
      &lt;&gt;0,
      (Audit[[#This Row],[Winning Candidate]]-Audit[[#This Row],[Losing Candidate]]-(Audit[[#This Row],[Audit Winning Candidate]]-Audit[[#This Row],[Audit Losing Candidate]]))/(Audit[[#Totals],[Winning Candidate]]-Audit[[#Totals],[Losing Candidate]]),
      0
)</f>
        <v>0</v>
      </c>
      <c r="AV2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8">
        <f>IF(Audit[[#This Row],[Max Relative Error (ep)]] = 0, 0, Audit[[#This Row],[Max Relative Error (ep)]]/Audit[[#This Row],[Error Bound (up) - Max. possible relative overstatement]])</f>
        <v>0</v>
      </c>
      <c r="BH2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8" s="18">
        <f t="shared" si="4"/>
        <v>1</v>
      </c>
      <c r="BJ268" s="18">
        <f>PRODUCT($BI$5:BI268)</f>
        <v>0.57146126097022543</v>
      </c>
      <c r="BK268" s="20">
        <f>1 - Audit[[#This Row],[K-M P Value]]</f>
        <v>0.42853873902977457</v>
      </c>
      <c r="BL268" s="18" t="str">
        <f>IF(Audit[[#This Row],[K-M P Value]]&gt;1-'General Info'!$B$12,"Continue", "Stop")</f>
        <v>Continue</v>
      </c>
      <c r="BM268" s="23" t="b">
        <f>IF(Audit[[#This Row],[Status - Continue or stop audit]] = "Continue", TRUE, IF(BL267 = "Continue", TRUE, FALSE))</f>
        <v>1</v>
      </c>
      <c r="BN268" s="23"/>
    </row>
    <row r="269" spans="1:66" ht="15" hidden="1" customHeight="1" x14ac:dyDescent="0.35">
      <c r="A269" s="18" t="str">
        <f>'Sampling Data'!AI269</f>
        <v/>
      </c>
      <c r="B269" s="18" t="str">
        <f>'Sampling Data'!A269</f>
        <v>4311 NCH 1-A   (AV)</v>
      </c>
      <c r="C269" s="18">
        <f>'Sampling Data'!B269</f>
        <v>0</v>
      </c>
      <c r="D269" s="18">
        <f>'Sampling Data'!C269</f>
        <v>0</v>
      </c>
      <c r="E269" s="19">
        <f>'Sampling Data'!D269</f>
        <v>0</v>
      </c>
      <c r="F269" s="19">
        <f>'Sampling Data'!E269</f>
        <v>0</v>
      </c>
      <c r="G269" s="19">
        <f>'Sampling Data'!F269</f>
        <v>0</v>
      </c>
      <c r="H269" s="19">
        <f>'Sampling Data'!G269</f>
        <v>0</v>
      </c>
      <c r="I269" s="19">
        <f>'Sampling Data'!H269</f>
        <v>0</v>
      </c>
      <c r="J269" s="19">
        <f>'Sampling Data'!I269</f>
        <v>0</v>
      </c>
      <c r="K269" s="19">
        <f>'Sampling Data'!J269</f>
        <v>0</v>
      </c>
      <c r="L269" s="19">
        <f>'Sampling Data'!K269</f>
        <v>0</v>
      </c>
      <c r="M269" s="19">
        <f>'Sampling Data'!L269</f>
        <v>0</v>
      </c>
      <c r="N269" s="19">
        <f>'Sampling Data'!M269</f>
        <v>0</v>
      </c>
      <c r="O269" s="18">
        <f>'Sampling Data'!N269</f>
        <v>0</v>
      </c>
      <c r="P269" s="18">
        <f>'Sampling Data'!O269</f>
        <v>0</v>
      </c>
      <c r="Q269" s="18">
        <f>'Sampling Data'!P269</f>
        <v>0</v>
      </c>
      <c r="R269" s="18">
        <f>'Sampling Data'!AJ269</f>
        <v>0</v>
      </c>
      <c r="S269" s="112"/>
      <c r="T269" s="112"/>
      <c r="U269" s="113"/>
      <c r="V269" s="113"/>
      <c r="W269" s="112"/>
      <c r="X269" s="112"/>
      <c r="Y269" s="112"/>
      <c r="Z269" s="112"/>
      <c r="AA269" s="15"/>
      <c r="AB269" s="15"/>
      <c r="AC269" s="15"/>
      <c r="AD269" s="15"/>
      <c r="AE269" s="114" t="str">
        <f>IF(NOT(ISBLANK(Audit[[#This Row],[Audit Winning Candidate]])), Audit[[#This Row],[Audit Winning Candidate]]-Audit[[#This Row],[Winning Candidate]], "")</f>
        <v/>
      </c>
      <c r="AF269" s="18" t="str">
        <f>IF(NOT(ISBLANK(Audit[[#This Row],[Audit Losing Candidate]])), Audit[[#This Row],[Audit Losing Candidate]]-Audit[[#This Row],[Losing Candidate]], "")</f>
        <v/>
      </c>
      <c r="AG269" s="18" t="str">
        <f>IF(NOT(ISBLANK(Audit[[#This Row],[Audit Candidate 3]])), Audit[[#This Row],[Audit Candidate 3]]-Audit[[#This Row],[Candidate 3]], "")</f>
        <v/>
      </c>
      <c r="AH269" s="18" t="str">
        <f>IF(NOT(ISBLANK(Audit[[#This Row],[Audit Candidate 4]])),Audit[[#This Row],[Audit Candidate 4]]-Audit[[#This Row],[Candidate 4]], "")</f>
        <v/>
      </c>
      <c r="AI269" s="18" t="str">
        <f>IF(NOT(ISBLANK(Audit[[#This Row],[Audit Candidate 5]])), Audit[[#This Row],[Audit Candidate 5]]-Audit[[#This Row],[Candidate 5]], "")</f>
        <v/>
      </c>
      <c r="AJ269" s="18" t="str">
        <f>IF(NOT(ISBLANK(Audit[[#This Row],[Audit Candidate 6]])), Audit[[#This Row],[Audit Candidate 6]]-Audit[[#This Row],[Candidate 6]], "")</f>
        <v/>
      </c>
      <c r="AK269" s="18" t="str">
        <f>IF(NOT(ISBLANK(Audit[[#This Row],[Audit Candidate 7]])), Audit[[#This Row],[Audit Candidate 7]]-Audit[[#This Row],[Candidate 7]], "")</f>
        <v/>
      </c>
      <c r="AL269" s="18" t="str">
        <f>IF(NOT(ISBLANK(Audit[[#This Row],[Audit Candidate 8]])), Audit[[#This Row],[Audit Candidate 8]]-Audit[[#This Row],[Candidate 8]], "")</f>
        <v/>
      </c>
      <c r="AM269" s="18" t="str">
        <f>IF(NOT(ISBLANK(Audit[[#This Row],[Audit Candidate 9]])), Audit[[#This Row],[Audit Candidate 9]]-Audit[[#This Row],[Candidate 9]], "")</f>
        <v/>
      </c>
      <c r="AN269" s="18" t="str">
        <f>IF(NOT(ISBLANK(Audit[[#This Row],[Audit Candidate 10]])), Audit[[#This Row],[Audit Candidate 10]]-Audit[[#This Row],[Candidate 10]], "")</f>
        <v/>
      </c>
      <c r="AO269" s="18" t="str">
        <f>IF(NOT(ISBLANK(Audit[[#This Row],[Audit Candidate 11]])), Audit[[#This Row],[Audit Candidate 11]]-Audit[[#This Row],[Candidate 11]], "")</f>
        <v/>
      </c>
      <c r="AP269" s="18" t="str">
        <f>IF(NOT(ISBLANK(Audit[[#This Row],[Audit Candidate 12]])), Audit[[#This Row],[Audit Candidate 12]]-Audit[[#This Row],[Candidate 12]], "")</f>
        <v/>
      </c>
      <c r="AQ269" s="18">
        <f>SUMIF(Audit[[#This Row],[Difference Winner]:[Difference Candidate 12]], "&gt;0")</f>
        <v>0</v>
      </c>
      <c r="AR269" s="18">
        <f>SUM(Audit[[#This Row],[Difference Winner]:[Difference Candidate 12]])</f>
        <v>0</v>
      </c>
      <c r="AS269" s="18">
        <f>IF(Audit[[#This Row],[Times p Drawn - With Replacement]]&gt;0, IF(Audit[[#This Row],[Canceled Differences]]&lt;0, Audit[[#This Row],[Max Differences]]+ABS(Audit[[#This Row],[Canceled Differences]]), Audit[[#This Row],[Max Differences]]), 0)</f>
        <v>0</v>
      </c>
      <c r="AT269" s="18">
        <f>'Sampling Data'!AB269</f>
        <v>0</v>
      </c>
      <c r="AU269" s="18">
        <f>IF(
      SUM(Audit[[#This Row],[Audit Losing Candidate]:[Audit Candidate 12]])
      &lt;&gt;0,
      (Audit[[#This Row],[Winning Candidate]]-Audit[[#This Row],[Losing Candidate]]-(Audit[[#This Row],[Audit Winning Candidate]]-Audit[[#This Row],[Audit Losing Candidate]]))/(Audit[[#Totals],[Winning Candidate]]-Audit[[#Totals],[Losing Candidate]]),
      0
)</f>
        <v>0</v>
      </c>
      <c r="AV2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8">
        <f>IF(Audit[[#This Row],[Max Relative Error (ep)]] = 0, 0, Audit[[#This Row],[Max Relative Error (ep)]]/Audit[[#This Row],[Error Bound (up) - Max. possible relative overstatement]])</f>
        <v>0</v>
      </c>
      <c r="BH2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69" s="18">
        <f t="shared" si="4"/>
        <v>1</v>
      </c>
      <c r="BJ269" s="18">
        <f>PRODUCT($BI$5:BI269)</f>
        <v>0.57146126097022543</v>
      </c>
      <c r="BK269" s="20">
        <f>1 - Audit[[#This Row],[K-M P Value]]</f>
        <v>0.42853873902977457</v>
      </c>
      <c r="BL269" s="18" t="str">
        <f>IF(Audit[[#This Row],[K-M P Value]]&gt;1-'General Info'!$B$12,"Continue", "Stop")</f>
        <v>Continue</v>
      </c>
      <c r="BM269" s="23" t="b">
        <f>IF(Audit[[#This Row],[Status - Continue or stop audit]] = "Continue", TRUE, IF(BL268 = "Continue", TRUE, FALSE))</f>
        <v>1</v>
      </c>
      <c r="BN269" s="23"/>
    </row>
    <row r="270" spans="1:66" ht="15" hidden="1" customHeight="1" x14ac:dyDescent="0.35">
      <c r="A270" s="18" t="str">
        <f>'Sampling Data'!AI270</f>
        <v/>
      </c>
      <c r="B270" s="18" t="str">
        <f>'Sampling Data'!A270</f>
        <v>4312 NCH 1-B   (AV)</v>
      </c>
      <c r="C270" s="18">
        <f>'Sampling Data'!B270</f>
        <v>7</v>
      </c>
      <c r="D270" s="18">
        <f>'Sampling Data'!C270</f>
        <v>0</v>
      </c>
      <c r="E270" s="19">
        <f>'Sampling Data'!D270</f>
        <v>0</v>
      </c>
      <c r="F270" s="19">
        <f>'Sampling Data'!E270</f>
        <v>0</v>
      </c>
      <c r="G270" s="19">
        <f>'Sampling Data'!F270</f>
        <v>0</v>
      </c>
      <c r="H270" s="19">
        <f>'Sampling Data'!G270</f>
        <v>0</v>
      </c>
      <c r="I270" s="19">
        <f>'Sampling Data'!H270</f>
        <v>0</v>
      </c>
      <c r="J270" s="19">
        <f>'Sampling Data'!I270</f>
        <v>0</v>
      </c>
      <c r="K270" s="19">
        <f>'Sampling Data'!J270</f>
        <v>0</v>
      </c>
      <c r="L270" s="19">
        <f>'Sampling Data'!K270</f>
        <v>0</v>
      </c>
      <c r="M270" s="19">
        <f>'Sampling Data'!L270</f>
        <v>0</v>
      </c>
      <c r="N270" s="19">
        <f>'Sampling Data'!M270</f>
        <v>0</v>
      </c>
      <c r="O270" s="18">
        <f>'Sampling Data'!N270</f>
        <v>0</v>
      </c>
      <c r="P270" s="18">
        <f>'Sampling Data'!O270</f>
        <v>0</v>
      </c>
      <c r="Q270" s="18">
        <f>'Sampling Data'!P270</f>
        <v>7</v>
      </c>
      <c r="R270" s="18">
        <f>'Sampling Data'!AJ270</f>
        <v>0</v>
      </c>
      <c r="S270" s="112"/>
      <c r="T270" s="112"/>
      <c r="U270" s="113"/>
      <c r="V270" s="113"/>
      <c r="W270" s="112"/>
      <c r="X270" s="112"/>
      <c r="Y270" s="112"/>
      <c r="Z270" s="112"/>
      <c r="AA270" s="15"/>
      <c r="AB270" s="15"/>
      <c r="AC270" s="15"/>
      <c r="AD270" s="15"/>
      <c r="AE270" s="114" t="str">
        <f>IF(NOT(ISBLANK(Audit[[#This Row],[Audit Winning Candidate]])), Audit[[#This Row],[Audit Winning Candidate]]-Audit[[#This Row],[Winning Candidate]], "")</f>
        <v/>
      </c>
      <c r="AF270" s="18" t="str">
        <f>IF(NOT(ISBLANK(Audit[[#This Row],[Audit Losing Candidate]])), Audit[[#This Row],[Audit Losing Candidate]]-Audit[[#This Row],[Losing Candidate]], "")</f>
        <v/>
      </c>
      <c r="AG270" s="18" t="str">
        <f>IF(NOT(ISBLANK(Audit[[#This Row],[Audit Candidate 3]])), Audit[[#This Row],[Audit Candidate 3]]-Audit[[#This Row],[Candidate 3]], "")</f>
        <v/>
      </c>
      <c r="AH270" s="18" t="str">
        <f>IF(NOT(ISBLANK(Audit[[#This Row],[Audit Candidate 4]])),Audit[[#This Row],[Audit Candidate 4]]-Audit[[#This Row],[Candidate 4]], "")</f>
        <v/>
      </c>
      <c r="AI270" s="18" t="str">
        <f>IF(NOT(ISBLANK(Audit[[#This Row],[Audit Candidate 5]])), Audit[[#This Row],[Audit Candidate 5]]-Audit[[#This Row],[Candidate 5]], "")</f>
        <v/>
      </c>
      <c r="AJ270" s="18" t="str">
        <f>IF(NOT(ISBLANK(Audit[[#This Row],[Audit Candidate 6]])), Audit[[#This Row],[Audit Candidate 6]]-Audit[[#This Row],[Candidate 6]], "")</f>
        <v/>
      </c>
      <c r="AK270" s="18" t="str">
        <f>IF(NOT(ISBLANK(Audit[[#This Row],[Audit Candidate 7]])), Audit[[#This Row],[Audit Candidate 7]]-Audit[[#This Row],[Candidate 7]], "")</f>
        <v/>
      </c>
      <c r="AL270" s="18" t="str">
        <f>IF(NOT(ISBLANK(Audit[[#This Row],[Audit Candidate 8]])), Audit[[#This Row],[Audit Candidate 8]]-Audit[[#This Row],[Candidate 8]], "")</f>
        <v/>
      </c>
      <c r="AM270" s="18" t="str">
        <f>IF(NOT(ISBLANK(Audit[[#This Row],[Audit Candidate 9]])), Audit[[#This Row],[Audit Candidate 9]]-Audit[[#This Row],[Candidate 9]], "")</f>
        <v/>
      </c>
      <c r="AN270" s="18" t="str">
        <f>IF(NOT(ISBLANK(Audit[[#This Row],[Audit Candidate 10]])), Audit[[#This Row],[Audit Candidate 10]]-Audit[[#This Row],[Candidate 10]], "")</f>
        <v/>
      </c>
      <c r="AO270" s="18" t="str">
        <f>IF(NOT(ISBLANK(Audit[[#This Row],[Audit Candidate 11]])), Audit[[#This Row],[Audit Candidate 11]]-Audit[[#This Row],[Candidate 11]], "")</f>
        <v/>
      </c>
      <c r="AP270" s="18" t="str">
        <f>IF(NOT(ISBLANK(Audit[[#This Row],[Audit Candidate 12]])), Audit[[#This Row],[Audit Candidate 12]]-Audit[[#This Row],[Candidate 12]], "")</f>
        <v/>
      </c>
      <c r="AQ270" s="18">
        <f>SUMIF(Audit[[#This Row],[Difference Winner]:[Difference Candidate 12]], "&gt;0")</f>
        <v>0</v>
      </c>
      <c r="AR270" s="18">
        <f>SUM(Audit[[#This Row],[Difference Winner]:[Difference Candidate 12]])</f>
        <v>0</v>
      </c>
      <c r="AS270" s="18">
        <f>IF(Audit[[#This Row],[Times p Drawn - With Replacement]]&gt;0, IF(Audit[[#This Row],[Canceled Differences]]&lt;0, Audit[[#This Row],[Max Differences]]+ABS(Audit[[#This Row],[Canceled Differences]]), Audit[[#This Row],[Max Differences]]), 0)</f>
        <v>0</v>
      </c>
      <c r="AT270" s="18">
        <f>'Sampling Data'!AB270</f>
        <v>4.3973992524421271E-4</v>
      </c>
      <c r="AU270" s="18">
        <f>IF(
      SUM(Audit[[#This Row],[Audit Losing Candidate]:[Audit Candidate 12]])
      &lt;&gt;0,
      (Audit[[#This Row],[Winning Candidate]]-Audit[[#This Row],[Losing Candidate]]-(Audit[[#This Row],[Audit Winning Candidate]]-Audit[[#This Row],[Audit Losing Candidate]]))/(Audit[[#Totals],[Winning Candidate]]-Audit[[#Totals],[Losing Candidate]]),
      0
)</f>
        <v>0</v>
      </c>
      <c r="AV2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8">
        <f>IF(Audit[[#This Row],[Max Relative Error (ep)]] = 0, 0, Audit[[#This Row],[Max Relative Error (ep)]]/Audit[[#This Row],[Error Bound (up) - Max. possible relative overstatement]])</f>
        <v>0</v>
      </c>
      <c r="BH2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0" s="18">
        <f t="shared" si="4"/>
        <v>1</v>
      </c>
      <c r="BJ270" s="18">
        <f>PRODUCT($BI$5:BI270)</f>
        <v>0.57146126097022543</v>
      </c>
      <c r="BK270" s="20">
        <f>1 - Audit[[#This Row],[K-M P Value]]</f>
        <v>0.42853873902977457</v>
      </c>
      <c r="BL270" s="18" t="str">
        <f>IF(Audit[[#This Row],[K-M P Value]]&gt;1-'General Info'!$B$12,"Continue", "Stop")</f>
        <v>Continue</v>
      </c>
      <c r="BM270" s="23" t="b">
        <f>IF(Audit[[#This Row],[Status - Continue or stop audit]] = "Continue", TRUE, IF(BL269 = "Continue", TRUE, FALSE))</f>
        <v>1</v>
      </c>
      <c r="BN270" s="23"/>
    </row>
    <row r="271" spans="1:66" ht="15" hidden="1" customHeight="1" x14ac:dyDescent="0.35">
      <c r="A271" s="18" t="str">
        <f>'Sampling Data'!AI271</f>
        <v/>
      </c>
      <c r="B271" s="18" t="str">
        <f>'Sampling Data'!A271</f>
        <v>4321 NCH 2-A   (AV)</v>
      </c>
      <c r="C271" s="18">
        <f>'Sampling Data'!B271</f>
        <v>4</v>
      </c>
      <c r="D271" s="18">
        <f>'Sampling Data'!C271</f>
        <v>0</v>
      </c>
      <c r="E271" s="19">
        <f>'Sampling Data'!D271</f>
        <v>0</v>
      </c>
      <c r="F271" s="19">
        <f>'Sampling Data'!E271</f>
        <v>0</v>
      </c>
      <c r="G271" s="19">
        <f>'Sampling Data'!F271</f>
        <v>0</v>
      </c>
      <c r="H271" s="19">
        <f>'Sampling Data'!G271</f>
        <v>0</v>
      </c>
      <c r="I271" s="19">
        <f>'Sampling Data'!H271</f>
        <v>0</v>
      </c>
      <c r="J271" s="19">
        <f>'Sampling Data'!I271</f>
        <v>0</v>
      </c>
      <c r="K271" s="19">
        <f>'Sampling Data'!J271</f>
        <v>0</v>
      </c>
      <c r="L271" s="19">
        <f>'Sampling Data'!K271</f>
        <v>0</v>
      </c>
      <c r="M271" s="19">
        <f>'Sampling Data'!L271</f>
        <v>0</v>
      </c>
      <c r="N271" s="19">
        <f>'Sampling Data'!M271</f>
        <v>0</v>
      </c>
      <c r="O271" s="18">
        <f>'Sampling Data'!N271</f>
        <v>0</v>
      </c>
      <c r="P271" s="18">
        <f>'Sampling Data'!O271</f>
        <v>0</v>
      </c>
      <c r="Q271" s="18">
        <f>'Sampling Data'!P271</f>
        <v>4</v>
      </c>
      <c r="R271" s="18">
        <f>'Sampling Data'!AJ271</f>
        <v>0</v>
      </c>
      <c r="S271" s="112"/>
      <c r="T271" s="112"/>
      <c r="U271" s="113"/>
      <c r="V271" s="113"/>
      <c r="W271" s="112"/>
      <c r="X271" s="112"/>
      <c r="Y271" s="112"/>
      <c r="Z271" s="112"/>
      <c r="AA271" s="15"/>
      <c r="AB271" s="15"/>
      <c r="AC271" s="15"/>
      <c r="AD271" s="15"/>
      <c r="AE271" s="114" t="str">
        <f>IF(NOT(ISBLANK(Audit[[#This Row],[Audit Winning Candidate]])), Audit[[#This Row],[Audit Winning Candidate]]-Audit[[#This Row],[Winning Candidate]], "")</f>
        <v/>
      </c>
      <c r="AF271" s="18" t="str">
        <f>IF(NOT(ISBLANK(Audit[[#This Row],[Audit Losing Candidate]])), Audit[[#This Row],[Audit Losing Candidate]]-Audit[[#This Row],[Losing Candidate]], "")</f>
        <v/>
      </c>
      <c r="AG271" s="18" t="str">
        <f>IF(NOT(ISBLANK(Audit[[#This Row],[Audit Candidate 3]])), Audit[[#This Row],[Audit Candidate 3]]-Audit[[#This Row],[Candidate 3]], "")</f>
        <v/>
      </c>
      <c r="AH271" s="18" t="str">
        <f>IF(NOT(ISBLANK(Audit[[#This Row],[Audit Candidate 4]])),Audit[[#This Row],[Audit Candidate 4]]-Audit[[#This Row],[Candidate 4]], "")</f>
        <v/>
      </c>
      <c r="AI271" s="18" t="str">
        <f>IF(NOT(ISBLANK(Audit[[#This Row],[Audit Candidate 5]])), Audit[[#This Row],[Audit Candidate 5]]-Audit[[#This Row],[Candidate 5]], "")</f>
        <v/>
      </c>
      <c r="AJ271" s="18" t="str">
        <f>IF(NOT(ISBLANK(Audit[[#This Row],[Audit Candidate 6]])), Audit[[#This Row],[Audit Candidate 6]]-Audit[[#This Row],[Candidate 6]], "")</f>
        <v/>
      </c>
      <c r="AK271" s="18" t="str">
        <f>IF(NOT(ISBLANK(Audit[[#This Row],[Audit Candidate 7]])), Audit[[#This Row],[Audit Candidate 7]]-Audit[[#This Row],[Candidate 7]], "")</f>
        <v/>
      </c>
      <c r="AL271" s="18" t="str">
        <f>IF(NOT(ISBLANK(Audit[[#This Row],[Audit Candidate 8]])), Audit[[#This Row],[Audit Candidate 8]]-Audit[[#This Row],[Candidate 8]], "")</f>
        <v/>
      </c>
      <c r="AM271" s="18" t="str">
        <f>IF(NOT(ISBLANK(Audit[[#This Row],[Audit Candidate 9]])), Audit[[#This Row],[Audit Candidate 9]]-Audit[[#This Row],[Candidate 9]], "")</f>
        <v/>
      </c>
      <c r="AN271" s="18" t="str">
        <f>IF(NOT(ISBLANK(Audit[[#This Row],[Audit Candidate 10]])), Audit[[#This Row],[Audit Candidate 10]]-Audit[[#This Row],[Candidate 10]], "")</f>
        <v/>
      </c>
      <c r="AO271" s="18" t="str">
        <f>IF(NOT(ISBLANK(Audit[[#This Row],[Audit Candidate 11]])), Audit[[#This Row],[Audit Candidate 11]]-Audit[[#This Row],[Candidate 11]], "")</f>
        <v/>
      </c>
      <c r="AP271" s="18" t="str">
        <f>IF(NOT(ISBLANK(Audit[[#This Row],[Audit Candidate 12]])), Audit[[#This Row],[Audit Candidate 12]]-Audit[[#This Row],[Candidate 12]], "")</f>
        <v/>
      </c>
      <c r="AQ271" s="18">
        <f>SUMIF(Audit[[#This Row],[Difference Winner]:[Difference Candidate 12]], "&gt;0")</f>
        <v>0</v>
      </c>
      <c r="AR271" s="18">
        <f>SUM(Audit[[#This Row],[Difference Winner]:[Difference Candidate 12]])</f>
        <v>0</v>
      </c>
      <c r="AS271" s="18">
        <f>IF(Audit[[#This Row],[Times p Drawn - With Replacement]]&gt;0, IF(Audit[[#This Row],[Canceled Differences]]&lt;0, Audit[[#This Row],[Max Differences]]+ABS(Audit[[#This Row],[Canceled Differences]]), Audit[[#This Row],[Max Differences]]), 0)</f>
        <v>0</v>
      </c>
      <c r="AT271" s="18">
        <f>'Sampling Data'!AB271</f>
        <v>2.5127995728240724E-4</v>
      </c>
      <c r="AU271" s="18">
        <f>IF(
      SUM(Audit[[#This Row],[Audit Losing Candidate]:[Audit Candidate 12]])
      &lt;&gt;0,
      (Audit[[#This Row],[Winning Candidate]]-Audit[[#This Row],[Losing Candidate]]-(Audit[[#This Row],[Audit Winning Candidate]]-Audit[[#This Row],[Audit Losing Candidate]]))/(Audit[[#Totals],[Winning Candidate]]-Audit[[#Totals],[Losing Candidate]]),
      0
)</f>
        <v>0</v>
      </c>
      <c r="AV2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8">
        <f>IF(Audit[[#This Row],[Max Relative Error (ep)]] = 0, 0, Audit[[#This Row],[Max Relative Error (ep)]]/Audit[[#This Row],[Error Bound (up) - Max. possible relative overstatement]])</f>
        <v>0</v>
      </c>
      <c r="BH2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1" s="18">
        <f t="shared" ref="BI271:BI334" si="5">IF(ISERR(POWER(BH271,R271)), 0, POWER(BH271,R271))</f>
        <v>1</v>
      </c>
      <c r="BJ271" s="18">
        <f>PRODUCT($BI$5:BI271)</f>
        <v>0.57146126097022543</v>
      </c>
      <c r="BK271" s="20">
        <f>1 - Audit[[#This Row],[K-M P Value]]</f>
        <v>0.42853873902977457</v>
      </c>
      <c r="BL271" s="18" t="str">
        <f>IF(Audit[[#This Row],[K-M P Value]]&gt;1-'General Info'!$B$12,"Continue", "Stop")</f>
        <v>Continue</v>
      </c>
      <c r="BM271" s="23" t="b">
        <f>IF(Audit[[#This Row],[Status - Continue or stop audit]] = "Continue", TRUE, IF(BL270 = "Continue", TRUE, FALSE))</f>
        <v>1</v>
      </c>
      <c r="BN271" s="23"/>
    </row>
    <row r="272" spans="1:66" ht="15" hidden="1" customHeight="1" x14ac:dyDescent="0.35">
      <c r="A272" s="18" t="str">
        <f>'Sampling Data'!AI272</f>
        <v/>
      </c>
      <c r="B272" s="18" t="str">
        <f>'Sampling Data'!A272</f>
        <v>4331 NCH 3-A   (AV)</v>
      </c>
      <c r="C272" s="18">
        <f>'Sampling Data'!B272</f>
        <v>6</v>
      </c>
      <c r="D272" s="18">
        <f>'Sampling Data'!C272</f>
        <v>0</v>
      </c>
      <c r="E272" s="19">
        <f>'Sampling Data'!D272</f>
        <v>0</v>
      </c>
      <c r="F272" s="19">
        <f>'Sampling Data'!E272</f>
        <v>0</v>
      </c>
      <c r="G272" s="19">
        <f>'Sampling Data'!F272</f>
        <v>0</v>
      </c>
      <c r="H272" s="19">
        <f>'Sampling Data'!G272</f>
        <v>0</v>
      </c>
      <c r="I272" s="19">
        <f>'Sampling Data'!H272</f>
        <v>0</v>
      </c>
      <c r="J272" s="19">
        <f>'Sampling Data'!I272</f>
        <v>0</v>
      </c>
      <c r="K272" s="19">
        <f>'Sampling Data'!J272</f>
        <v>0</v>
      </c>
      <c r="L272" s="19">
        <f>'Sampling Data'!K272</f>
        <v>0</v>
      </c>
      <c r="M272" s="19">
        <f>'Sampling Data'!L272</f>
        <v>0</v>
      </c>
      <c r="N272" s="19">
        <f>'Sampling Data'!M272</f>
        <v>0</v>
      </c>
      <c r="O272" s="18">
        <f>'Sampling Data'!N272</f>
        <v>0</v>
      </c>
      <c r="P272" s="18">
        <f>'Sampling Data'!O272</f>
        <v>0</v>
      </c>
      <c r="Q272" s="18">
        <f>'Sampling Data'!P272</f>
        <v>6</v>
      </c>
      <c r="R272" s="18">
        <f>'Sampling Data'!AJ272</f>
        <v>0</v>
      </c>
      <c r="S272" s="112"/>
      <c r="T272" s="112"/>
      <c r="U272" s="113"/>
      <c r="V272" s="113"/>
      <c r="W272" s="112"/>
      <c r="X272" s="112"/>
      <c r="Y272" s="112"/>
      <c r="Z272" s="112"/>
      <c r="AA272" s="15"/>
      <c r="AB272" s="15"/>
      <c r="AC272" s="15"/>
      <c r="AD272" s="15"/>
      <c r="AE272" s="114" t="str">
        <f>IF(NOT(ISBLANK(Audit[[#This Row],[Audit Winning Candidate]])), Audit[[#This Row],[Audit Winning Candidate]]-Audit[[#This Row],[Winning Candidate]], "")</f>
        <v/>
      </c>
      <c r="AF272" s="18" t="str">
        <f>IF(NOT(ISBLANK(Audit[[#This Row],[Audit Losing Candidate]])), Audit[[#This Row],[Audit Losing Candidate]]-Audit[[#This Row],[Losing Candidate]], "")</f>
        <v/>
      </c>
      <c r="AG272" s="18" t="str">
        <f>IF(NOT(ISBLANK(Audit[[#This Row],[Audit Candidate 3]])), Audit[[#This Row],[Audit Candidate 3]]-Audit[[#This Row],[Candidate 3]], "")</f>
        <v/>
      </c>
      <c r="AH272" s="18" t="str">
        <f>IF(NOT(ISBLANK(Audit[[#This Row],[Audit Candidate 4]])),Audit[[#This Row],[Audit Candidate 4]]-Audit[[#This Row],[Candidate 4]], "")</f>
        <v/>
      </c>
      <c r="AI272" s="18" t="str">
        <f>IF(NOT(ISBLANK(Audit[[#This Row],[Audit Candidate 5]])), Audit[[#This Row],[Audit Candidate 5]]-Audit[[#This Row],[Candidate 5]], "")</f>
        <v/>
      </c>
      <c r="AJ272" s="18" t="str">
        <f>IF(NOT(ISBLANK(Audit[[#This Row],[Audit Candidate 6]])), Audit[[#This Row],[Audit Candidate 6]]-Audit[[#This Row],[Candidate 6]], "")</f>
        <v/>
      </c>
      <c r="AK272" s="18" t="str">
        <f>IF(NOT(ISBLANK(Audit[[#This Row],[Audit Candidate 7]])), Audit[[#This Row],[Audit Candidate 7]]-Audit[[#This Row],[Candidate 7]], "")</f>
        <v/>
      </c>
      <c r="AL272" s="18" t="str">
        <f>IF(NOT(ISBLANK(Audit[[#This Row],[Audit Candidate 8]])), Audit[[#This Row],[Audit Candidate 8]]-Audit[[#This Row],[Candidate 8]], "")</f>
        <v/>
      </c>
      <c r="AM272" s="18" t="str">
        <f>IF(NOT(ISBLANK(Audit[[#This Row],[Audit Candidate 9]])), Audit[[#This Row],[Audit Candidate 9]]-Audit[[#This Row],[Candidate 9]], "")</f>
        <v/>
      </c>
      <c r="AN272" s="18" t="str">
        <f>IF(NOT(ISBLANK(Audit[[#This Row],[Audit Candidate 10]])), Audit[[#This Row],[Audit Candidate 10]]-Audit[[#This Row],[Candidate 10]], "")</f>
        <v/>
      </c>
      <c r="AO272" s="18" t="str">
        <f>IF(NOT(ISBLANK(Audit[[#This Row],[Audit Candidate 11]])), Audit[[#This Row],[Audit Candidate 11]]-Audit[[#This Row],[Candidate 11]], "")</f>
        <v/>
      </c>
      <c r="AP272" s="18" t="str">
        <f>IF(NOT(ISBLANK(Audit[[#This Row],[Audit Candidate 12]])), Audit[[#This Row],[Audit Candidate 12]]-Audit[[#This Row],[Candidate 12]], "")</f>
        <v/>
      </c>
      <c r="AQ272" s="18">
        <f>SUMIF(Audit[[#This Row],[Difference Winner]:[Difference Candidate 12]], "&gt;0")</f>
        <v>0</v>
      </c>
      <c r="AR272" s="18">
        <f>SUM(Audit[[#This Row],[Difference Winner]:[Difference Candidate 12]])</f>
        <v>0</v>
      </c>
      <c r="AS272" s="18">
        <f>IF(Audit[[#This Row],[Times p Drawn - With Replacement]]&gt;0, IF(Audit[[#This Row],[Canceled Differences]]&lt;0, Audit[[#This Row],[Max Differences]]+ABS(Audit[[#This Row],[Canceled Differences]]), Audit[[#This Row],[Max Differences]]), 0)</f>
        <v>0</v>
      </c>
      <c r="AT272" s="18">
        <f>'Sampling Data'!AB272</f>
        <v>3.7691993592361088E-4</v>
      </c>
      <c r="AU272" s="18">
        <f>IF(
      SUM(Audit[[#This Row],[Audit Losing Candidate]:[Audit Candidate 12]])
      &lt;&gt;0,
      (Audit[[#This Row],[Winning Candidate]]-Audit[[#This Row],[Losing Candidate]]-(Audit[[#This Row],[Audit Winning Candidate]]-Audit[[#This Row],[Audit Losing Candidate]]))/(Audit[[#Totals],[Winning Candidate]]-Audit[[#Totals],[Losing Candidate]]),
      0
)</f>
        <v>0</v>
      </c>
      <c r="AV2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8">
        <f>IF(Audit[[#This Row],[Max Relative Error (ep)]] = 0, 0, Audit[[#This Row],[Max Relative Error (ep)]]/Audit[[#This Row],[Error Bound (up) - Max. possible relative overstatement]])</f>
        <v>0</v>
      </c>
      <c r="BH2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2" s="18">
        <f t="shared" si="5"/>
        <v>1</v>
      </c>
      <c r="BJ272" s="18">
        <f>PRODUCT($BI$5:BI272)</f>
        <v>0.57146126097022543</v>
      </c>
      <c r="BK272" s="20">
        <f>1 - Audit[[#This Row],[K-M P Value]]</f>
        <v>0.42853873902977457</v>
      </c>
      <c r="BL272" s="18" t="str">
        <f>IF(Audit[[#This Row],[K-M P Value]]&gt;1-'General Info'!$B$12,"Continue", "Stop")</f>
        <v>Continue</v>
      </c>
      <c r="BM272" s="23" t="b">
        <f>IF(Audit[[#This Row],[Status - Continue or stop audit]] = "Continue", TRUE, IF(BL271 = "Continue", TRUE, FALSE))</f>
        <v>1</v>
      </c>
      <c r="BN272" s="23"/>
    </row>
    <row r="273" spans="1:66" ht="15" hidden="1" customHeight="1" x14ac:dyDescent="0.35">
      <c r="A273" s="18" t="str">
        <f>'Sampling Data'!AI273</f>
        <v/>
      </c>
      <c r="B273" s="18" t="str">
        <f>'Sampling Data'!A273</f>
        <v>4341 NCH 4-A   (AV)</v>
      </c>
      <c r="C273" s="18">
        <f>'Sampling Data'!B273</f>
        <v>9</v>
      </c>
      <c r="D273" s="18">
        <f>'Sampling Data'!C273</f>
        <v>1</v>
      </c>
      <c r="E273" s="19">
        <f>'Sampling Data'!D273</f>
        <v>0</v>
      </c>
      <c r="F273" s="19">
        <f>'Sampling Data'!E273</f>
        <v>0</v>
      </c>
      <c r="G273" s="19">
        <f>'Sampling Data'!F273</f>
        <v>0</v>
      </c>
      <c r="H273" s="19">
        <f>'Sampling Data'!G273</f>
        <v>0</v>
      </c>
      <c r="I273" s="19">
        <f>'Sampling Data'!H273</f>
        <v>0</v>
      </c>
      <c r="J273" s="19">
        <f>'Sampling Data'!I273</f>
        <v>0</v>
      </c>
      <c r="K273" s="19">
        <f>'Sampling Data'!J273</f>
        <v>0</v>
      </c>
      <c r="L273" s="19">
        <f>'Sampling Data'!K273</f>
        <v>0</v>
      </c>
      <c r="M273" s="19">
        <f>'Sampling Data'!L273</f>
        <v>0</v>
      </c>
      <c r="N273" s="19">
        <f>'Sampling Data'!M273</f>
        <v>0</v>
      </c>
      <c r="O273" s="18">
        <f>'Sampling Data'!N273</f>
        <v>0</v>
      </c>
      <c r="P273" s="18">
        <f>'Sampling Data'!O273</f>
        <v>0</v>
      </c>
      <c r="Q273" s="18">
        <f>'Sampling Data'!P273</f>
        <v>10</v>
      </c>
      <c r="R273" s="18">
        <f>'Sampling Data'!AJ273</f>
        <v>0</v>
      </c>
      <c r="S273" s="112"/>
      <c r="T273" s="112"/>
      <c r="U273" s="113"/>
      <c r="V273" s="113"/>
      <c r="W273" s="112"/>
      <c r="X273" s="112"/>
      <c r="Y273" s="112"/>
      <c r="Z273" s="112"/>
      <c r="AA273" s="15"/>
      <c r="AB273" s="15"/>
      <c r="AC273" s="15"/>
      <c r="AD273" s="15"/>
      <c r="AE273" s="114" t="str">
        <f>IF(NOT(ISBLANK(Audit[[#This Row],[Audit Winning Candidate]])), Audit[[#This Row],[Audit Winning Candidate]]-Audit[[#This Row],[Winning Candidate]], "")</f>
        <v/>
      </c>
      <c r="AF273" s="18" t="str">
        <f>IF(NOT(ISBLANK(Audit[[#This Row],[Audit Losing Candidate]])), Audit[[#This Row],[Audit Losing Candidate]]-Audit[[#This Row],[Losing Candidate]], "")</f>
        <v/>
      </c>
      <c r="AG273" s="18" t="str">
        <f>IF(NOT(ISBLANK(Audit[[#This Row],[Audit Candidate 3]])), Audit[[#This Row],[Audit Candidate 3]]-Audit[[#This Row],[Candidate 3]], "")</f>
        <v/>
      </c>
      <c r="AH273" s="18" t="str">
        <f>IF(NOT(ISBLANK(Audit[[#This Row],[Audit Candidate 4]])),Audit[[#This Row],[Audit Candidate 4]]-Audit[[#This Row],[Candidate 4]], "")</f>
        <v/>
      </c>
      <c r="AI273" s="18" t="str">
        <f>IF(NOT(ISBLANK(Audit[[#This Row],[Audit Candidate 5]])), Audit[[#This Row],[Audit Candidate 5]]-Audit[[#This Row],[Candidate 5]], "")</f>
        <v/>
      </c>
      <c r="AJ273" s="18" t="str">
        <f>IF(NOT(ISBLANK(Audit[[#This Row],[Audit Candidate 6]])), Audit[[#This Row],[Audit Candidate 6]]-Audit[[#This Row],[Candidate 6]], "")</f>
        <v/>
      </c>
      <c r="AK273" s="18" t="str">
        <f>IF(NOT(ISBLANK(Audit[[#This Row],[Audit Candidate 7]])), Audit[[#This Row],[Audit Candidate 7]]-Audit[[#This Row],[Candidate 7]], "")</f>
        <v/>
      </c>
      <c r="AL273" s="18" t="str">
        <f>IF(NOT(ISBLANK(Audit[[#This Row],[Audit Candidate 8]])), Audit[[#This Row],[Audit Candidate 8]]-Audit[[#This Row],[Candidate 8]], "")</f>
        <v/>
      </c>
      <c r="AM273" s="18" t="str">
        <f>IF(NOT(ISBLANK(Audit[[#This Row],[Audit Candidate 9]])), Audit[[#This Row],[Audit Candidate 9]]-Audit[[#This Row],[Candidate 9]], "")</f>
        <v/>
      </c>
      <c r="AN273" s="18" t="str">
        <f>IF(NOT(ISBLANK(Audit[[#This Row],[Audit Candidate 10]])), Audit[[#This Row],[Audit Candidate 10]]-Audit[[#This Row],[Candidate 10]], "")</f>
        <v/>
      </c>
      <c r="AO273" s="18" t="str">
        <f>IF(NOT(ISBLANK(Audit[[#This Row],[Audit Candidate 11]])), Audit[[#This Row],[Audit Candidate 11]]-Audit[[#This Row],[Candidate 11]], "")</f>
        <v/>
      </c>
      <c r="AP273" s="18" t="str">
        <f>IF(NOT(ISBLANK(Audit[[#This Row],[Audit Candidate 12]])), Audit[[#This Row],[Audit Candidate 12]]-Audit[[#This Row],[Candidate 12]], "")</f>
        <v/>
      </c>
      <c r="AQ273" s="18">
        <f>SUMIF(Audit[[#This Row],[Difference Winner]:[Difference Candidate 12]], "&gt;0")</f>
        <v>0</v>
      </c>
      <c r="AR273" s="18">
        <f>SUM(Audit[[#This Row],[Difference Winner]:[Difference Candidate 12]])</f>
        <v>0</v>
      </c>
      <c r="AS273" s="18">
        <f>IF(Audit[[#This Row],[Times p Drawn - With Replacement]]&gt;0, IF(Audit[[#This Row],[Canceled Differences]]&lt;0, Audit[[#This Row],[Max Differences]]+ABS(Audit[[#This Row],[Canceled Differences]]), Audit[[#This Row],[Max Differences]]), 0)</f>
        <v>0</v>
      </c>
      <c r="AT273" s="18">
        <f>'Sampling Data'!AB273</f>
        <v>5.6537990388541635E-4</v>
      </c>
      <c r="AU273" s="18">
        <f>IF(
      SUM(Audit[[#This Row],[Audit Losing Candidate]:[Audit Candidate 12]])
      &lt;&gt;0,
      (Audit[[#This Row],[Winning Candidate]]-Audit[[#This Row],[Losing Candidate]]-(Audit[[#This Row],[Audit Winning Candidate]]-Audit[[#This Row],[Audit Losing Candidate]]))/(Audit[[#Totals],[Winning Candidate]]-Audit[[#Totals],[Losing Candidate]]),
      0
)</f>
        <v>0</v>
      </c>
      <c r="AV2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8">
        <f>IF(Audit[[#This Row],[Max Relative Error (ep)]] = 0, 0, Audit[[#This Row],[Max Relative Error (ep)]]/Audit[[#This Row],[Error Bound (up) - Max. possible relative overstatement]])</f>
        <v>0</v>
      </c>
      <c r="BH2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3" s="18">
        <f t="shared" si="5"/>
        <v>1</v>
      </c>
      <c r="BJ273" s="18">
        <f>PRODUCT($BI$5:BI273)</f>
        <v>0.57146126097022543</v>
      </c>
      <c r="BK273" s="20">
        <f>1 - Audit[[#This Row],[K-M P Value]]</f>
        <v>0.42853873902977457</v>
      </c>
      <c r="BL273" s="18" t="str">
        <f>IF(Audit[[#This Row],[K-M P Value]]&gt;1-'General Info'!$B$12,"Continue", "Stop")</f>
        <v>Continue</v>
      </c>
      <c r="BM273" s="23" t="b">
        <f>IF(Audit[[#This Row],[Status - Continue or stop audit]] = "Continue", TRUE, IF(BL272 = "Continue", TRUE, FALSE))</f>
        <v>1</v>
      </c>
      <c r="BN273" s="23"/>
    </row>
    <row r="274" spans="1:66" ht="15" hidden="1" customHeight="1" x14ac:dyDescent="0.35">
      <c r="A274" s="18" t="str">
        <f>'Sampling Data'!AI274</f>
        <v/>
      </c>
      <c r="B274" s="18" t="str">
        <f>'Sampling Data'!A274</f>
        <v>4342 NCH 4-B   (AV)</v>
      </c>
      <c r="C274" s="18">
        <f>'Sampling Data'!B274</f>
        <v>4</v>
      </c>
      <c r="D274" s="18">
        <f>'Sampling Data'!C274</f>
        <v>0</v>
      </c>
      <c r="E274" s="19">
        <f>'Sampling Data'!D274</f>
        <v>0</v>
      </c>
      <c r="F274" s="19">
        <f>'Sampling Data'!E274</f>
        <v>0</v>
      </c>
      <c r="G274" s="19">
        <f>'Sampling Data'!F274</f>
        <v>0</v>
      </c>
      <c r="H274" s="19">
        <f>'Sampling Data'!G274</f>
        <v>0</v>
      </c>
      <c r="I274" s="19">
        <f>'Sampling Data'!H274</f>
        <v>0</v>
      </c>
      <c r="J274" s="19">
        <f>'Sampling Data'!I274</f>
        <v>0</v>
      </c>
      <c r="K274" s="19">
        <f>'Sampling Data'!J274</f>
        <v>0</v>
      </c>
      <c r="L274" s="19">
        <f>'Sampling Data'!K274</f>
        <v>0</v>
      </c>
      <c r="M274" s="19">
        <f>'Sampling Data'!L274</f>
        <v>0</v>
      </c>
      <c r="N274" s="19">
        <f>'Sampling Data'!M274</f>
        <v>0</v>
      </c>
      <c r="O274" s="18">
        <f>'Sampling Data'!N274</f>
        <v>0</v>
      </c>
      <c r="P274" s="18">
        <f>'Sampling Data'!O274</f>
        <v>0</v>
      </c>
      <c r="Q274" s="18">
        <f>'Sampling Data'!P274</f>
        <v>4</v>
      </c>
      <c r="R274" s="18">
        <f>'Sampling Data'!AJ274</f>
        <v>0</v>
      </c>
      <c r="S274" s="112"/>
      <c r="T274" s="112"/>
      <c r="U274" s="113"/>
      <c r="V274" s="113"/>
      <c r="W274" s="112"/>
      <c r="X274" s="112"/>
      <c r="Y274" s="112"/>
      <c r="Z274" s="112"/>
      <c r="AA274" s="15"/>
      <c r="AB274" s="15"/>
      <c r="AC274" s="15"/>
      <c r="AD274" s="15"/>
      <c r="AE274" s="114" t="str">
        <f>IF(NOT(ISBLANK(Audit[[#This Row],[Audit Winning Candidate]])), Audit[[#This Row],[Audit Winning Candidate]]-Audit[[#This Row],[Winning Candidate]], "")</f>
        <v/>
      </c>
      <c r="AF274" s="18" t="str">
        <f>IF(NOT(ISBLANK(Audit[[#This Row],[Audit Losing Candidate]])), Audit[[#This Row],[Audit Losing Candidate]]-Audit[[#This Row],[Losing Candidate]], "")</f>
        <v/>
      </c>
      <c r="AG274" s="18" t="str">
        <f>IF(NOT(ISBLANK(Audit[[#This Row],[Audit Candidate 3]])), Audit[[#This Row],[Audit Candidate 3]]-Audit[[#This Row],[Candidate 3]], "")</f>
        <v/>
      </c>
      <c r="AH274" s="18" t="str">
        <f>IF(NOT(ISBLANK(Audit[[#This Row],[Audit Candidate 4]])),Audit[[#This Row],[Audit Candidate 4]]-Audit[[#This Row],[Candidate 4]], "")</f>
        <v/>
      </c>
      <c r="AI274" s="18" t="str">
        <f>IF(NOT(ISBLANK(Audit[[#This Row],[Audit Candidate 5]])), Audit[[#This Row],[Audit Candidate 5]]-Audit[[#This Row],[Candidate 5]], "")</f>
        <v/>
      </c>
      <c r="AJ274" s="18" t="str">
        <f>IF(NOT(ISBLANK(Audit[[#This Row],[Audit Candidate 6]])), Audit[[#This Row],[Audit Candidate 6]]-Audit[[#This Row],[Candidate 6]], "")</f>
        <v/>
      </c>
      <c r="AK274" s="18" t="str">
        <f>IF(NOT(ISBLANK(Audit[[#This Row],[Audit Candidate 7]])), Audit[[#This Row],[Audit Candidate 7]]-Audit[[#This Row],[Candidate 7]], "")</f>
        <v/>
      </c>
      <c r="AL274" s="18" t="str">
        <f>IF(NOT(ISBLANK(Audit[[#This Row],[Audit Candidate 8]])), Audit[[#This Row],[Audit Candidate 8]]-Audit[[#This Row],[Candidate 8]], "")</f>
        <v/>
      </c>
      <c r="AM274" s="18" t="str">
        <f>IF(NOT(ISBLANK(Audit[[#This Row],[Audit Candidate 9]])), Audit[[#This Row],[Audit Candidate 9]]-Audit[[#This Row],[Candidate 9]], "")</f>
        <v/>
      </c>
      <c r="AN274" s="18" t="str">
        <f>IF(NOT(ISBLANK(Audit[[#This Row],[Audit Candidate 10]])), Audit[[#This Row],[Audit Candidate 10]]-Audit[[#This Row],[Candidate 10]], "")</f>
        <v/>
      </c>
      <c r="AO274" s="18" t="str">
        <f>IF(NOT(ISBLANK(Audit[[#This Row],[Audit Candidate 11]])), Audit[[#This Row],[Audit Candidate 11]]-Audit[[#This Row],[Candidate 11]], "")</f>
        <v/>
      </c>
      <c r="AP274" s="18" t="str">
        <f>IF(NOT(ISBLANK(Audit[[#This Row],[Audit Candidate 12]])), Audit[[#This Row],[Audit Candidate 12]]-Audit[[#This Row],[Candidate 12]], "")</f>
        <v/>
      </c>
      <c r="AQ274" s="18">
        <f>SUMIF(Audit[[#This Row],[Difference Winner]:[Difference Candidate 12]], "&gt;0")</f>
        <v>0</v>
      </c>
      <c r="AR274" s="18">
        <f>SUM(Audit[[#This Row],[Difference Winner]:[Difference Candidate 12]])</f>
        <v>0</v>
      </c>
      <c r="AS274" s="18">
        <f>IF(Audit[[#This Row],[Times p Drawn - With Replacement]]&gt;0, IF(Audit[[#This Row],[Canceled Differences]]&lt;0, Audit[[#This Row],[Max Differences]]+ABS(Audit[[#This Row],[Canceled Differences]]), Audit[[#This Row],[Max Differences]]), 0)</f>
        <v>0</v>
      </c>
      <c r="AT274" s="18">
        <f>'Sampling Data'!AB274</f>
        <v>2.5127995728240724E-4</v>
      </c>
      <c r="AU274" s="18">
        <f>IF(
      SUM(Audit[[#This Row],[Audit Losing Candidate]:[Audit Candidate 12]])
      &lt;&gt;0,
      (Audit[[#This Row],[Winning Candidate]]-Audit[[#This Row],[Losing Candidate]]-(Audit[[#This Row],[Audit Winning Candidate]]-Audit[[#This Row],[Audit Losing Candidate]]))/(Audit[[#Totals],[Winning Candidate]]-Audit[[#Totals],[Losing Candidate]]),
      0
)</f>
        <v>0</v>
      </c>
      <c r="AV2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8">
        <f>IF(Audit[[#This Row],[Max Relative Error (ep)]] = 0, 0, Audit[[#This Row],[Max Relative Error (ep)]]/Audit[[#This Row],[Error Bound (up) - Max. possible relative overstatement]])</f>
        <v>0</v>
      </c>
      <c r="BH2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4" s="18">
        <f t="shared" si="5"/>
        <v>1</v>
      </c>
      <c r="BJ274" s="18">
        <f>PRODUCT($BI$5:BI274)</f>
        <v>0.57146126097022543</v>
      </c>
      <c r="BK274" s="20">
        <f>1 - Audit[[#This Row],[K-M P Value]]</f>
        <v>0.42853873902977457</v>
      </c>
      <c r="BL274" s="18" t="str">
        <f>IF(Audit[[#This Row],[K-M P Value]]&gt;1-'General Info'!$B$12,"Continue", "Stop")</f>
        <v>Continue</v>
      </c>
      <c r="BM274" s="23" t="b">
        <f>IF(Audit[[#This Row],[Status - Continue or stop audit]] = "Continue", TRUE, IF(BL273 = "Continue", TRUE, FALSE))</f>
        <v>1</v>
      </c>
      <c r="BN274" s="23"/>
    </row>
    <row r="275" spans="1:66" ht="15" hidden="1" customHeight="1" x14ac:dyDescent="0.35">
      <c r="A275" s="18" t="str">
        <f>'Sampling Data'!AI275</f>
        <v/>
      </c>
      <c r="B275" s="18" t="str">
        <f>'Sampling Data'!A275</f>
        <v>4343 NCH 4-C   (AV)</v>
      </c>
      <c r="C275" s="18">
        <f>'Sampling Data'!B275</f>
        <v>0</v>
      </c>
      <c r="D275" s="18">
        <f>'Sampling Data'!C275</f>
        <v>0</v>
      </c>
      <c r="E275" s="19">
        <f>'Sampling Data'!D275</f>
        <v>0</v>
      </c>
      <c r="F275" s="19">
        <f>'Sampling Data'!E275</f>
        <v>0</v>
      </c>
      <c r="G275" s="19">
        <f>'Sampling Data'!F275</f>
        <v>0</v>
      </c>
      <c r="H275" s="19">
        <f>'Sampling Data'!G275</f>
        <v>0</v>
      </c>
      <c r="I275" s="19">
        <f>'Sampling Data'!H275</f>
        <v>0</v>
      </c>
      <c r="J275" s="19">
        <f>'Sampling Data'!I275</f>
        <v>0</v>
      </c>
      <c r="K275" s="19">
        <f>'Sampling Data'!J275</f>
        <v>0</v>
      </c>
      <c r="L275" s="19">
        <f>'Sampling Data'!K275</f>
        <v>0</v>
      </c>
      <c r="M275" s="19">
        <f>'Sampling Data'!L275</f>
        <v>0</v>
      </c>
      <c r="N275" s="19">
        <f>'Sampling Data'!M275</f>
        <v>0</v>
      </c>
      <c r="O275" s="18">
        <f>'Sampling Data'!N275</f>
        <v>0</v>
      </c>
      <c r="P275" s="18">
        <f>'Sampling Data'!O275</f>
        <v>0</v>
      </c>
      <c r="Q275" s="18">
        <f>'Sampling Data'!P275</f>
        <v>0</v>
      </c>
      <c r="R275" s="18">
        <f>'Sampling Data'!AJ275</f>
        <v>0</v>
      </c>
      <c r="S275" s="112"/>
      <c r="T275" s="112"/>
      <c r="U275" s="113"/>
      <c r="V275" s="113"/>
      <c r="W275" s="112"/>
      <c r="X275" s="112"/>
      <c r="Y275" s="112"/>
      <c r="Z275" s="112"/>
      <c r="AA275" s="15"/>
      <c r="AB275" s="15"/>
      <c r="AC275" s="15"/>
      <c r="AD275" s="15"/>
      <c r="AE275" s="114" t="str">
        <f>IF(NOT(ISBLANK(Audit[[#This Row],[Audit Winning Candidate]])), Audit[[#This Row],[Audit Winning Candidate]]-Audit[[#This Row],[Winning Candidate]], "")</f>
        <v/>
      </c>
      <c r="AF275" s="18" t="str">
        <f>IF(NOT(ISBLANK(Audit[[#This Row],[Audit Losing Candidate]])), Audit[[#This Row],[Audit Losing Candidate]]-Audit[[#This Row],[Losing Candidate]], "")</f>
        <v/>
      </c>
      <c r="AG275" s="18" t="str">
        <f>IF(NOT(ISBLANK(Audit[[#This Row],[Audit Candidate 3]])), Audit[[#This Row],[Audit Candidate 3]]-Audit[[#This Row],[Candidate 3]], "")</f>
        <v/>
      </c>
      <c r="AH275" s="18" t="str">
        <f>IF(NOT(ISBLANK(Audit[[#This Row],[Audit Candidate 4]])),Audit[[#This Row],[Audit Candidate 4]]-Audit[[#This Row],[Candidate 4]], "")</f>
        <v/>
      </c>
      <c r="AI275" s="18" t="str">
        <f>IF(NOT(ISBLANK(Audit[[#This Row],[Audit Candidate 5]])), Audit[[#This Row],[Audit Candidate 5]]-Audit[[#This Row],[Candidate 5]], "")</f>
        <v/>
      </c>
      <c r="AJ275" s="18" t="str">
        <f>IF(NOT(ISBLANK(Audit[[#This Row],[Audit Candidate 6]])), Audit[[#This Row],[Audit Candidate 6]]-Audit[[#This Row],[Candidate 6]], "")</f>
        <v/>
      </c>
      <c r="AK275" s="18" t="str">
        <f>IF(NOT(ISBLANK(Audit[[#This Row],[Audit Candidate 7]])), Audit[[#This Row],[Audit Candidate 7]]-Audit[[#This Row],[Candidate 7]], "")</f>
        <v/>
      </c>
      <c r="AL275" s="18" t="str">
        <f>IF(NOT(ISBLANK(Audit[[#This Row],[Audit Candidate 8]])), Audit[[#This Row],[Audit Candidate 8]]-Audit[[#This Row],[Candidate 8]], "")</f>
        <v/>
      </c>
      <c r="AM275" s="18" t="str">
        <f>IF(NOT(ISBLANK(Audit[[#This Row],[Audit Candidate 9]])), Audit[[#This Row],[Audit Candidate 9]]-Audit[[#This Row],[Candidate 9]], "")</f>
        <v/>
      </c>
      <c r="AN275" s="18" t="str">
        <f>IF(NOT(ISBLANK(Audit[[#This Row],[Audit Candidate 10]])), Audit[[#This Row],[Audit Candidate 10]]-Audit[[#This Row],[Candidate 10]], "")</f>
        <v/>
      </c>
      <c r="AO275" s="18" t="str">
        <f>IF(NOT(ISBLANK(Audit[[#This Row],[Audit Candidate 11]])), Audit[[#This Row],[Audit Candidate 11]]-Audit[[#This Row],[Candidate 11]], "")</f>
        <v/>
      </c>
      <c r="AP275" s="18" t="str">
        <f>IF(NOT(ISBLANK(Audit[[#This Row],[Audit Candidate 12]])), Audit[[#This Row],[Audit Candidate 12]]-Audit[[#This Row],[Candidate 12]], "")</f>
        <v/>
      </c>
      <c r="AQ275" s="18">
        <f>SUMIF(Audit[[#This Row],[Difference Winner]:[Difference Candidate 12]], "&gt;0")</f>
        <v>0</v>
      </c>
      <c r="AR275" s="18">
        <f>SUM(Audit[[#This Row],[Difference Winner]:[Difference Candidate 12]])</f>
        <v>0</v>
      </c>
      <c r="AS275" s="18">
        <f>IF(Audit[[#This Row],[Times p Drawn - With Replacement]]&gt;0, IF(Audit[[#This Row],[Canceled Differences]]&lt;0, Audit[[#This Row],[Max Differences]]+ABS(Audit[[#This Row],[Canceled Differences]]), Audit[[#This Row],[Max Differences]]), 0)</f>
        <v>0</v>
      </c>
      <c r="AT275" s="18">
        <f>'Sampling Data'!AB275</f>
        <v>0</v>
      </c>
      <c r="AU275" s="18">
        <f>IF(
      SUM(Audit[[#This Row],[Audit Losing Candidate]:[Audit Candidate 12]])
      &lt;&gt;0,
      (Audit[[#This Row],[Winning Candidate]]-Audit[[#This Row],[Losing Candidate]]-(Audit[[#This Row],[Audit Winning Candidate]]-Audit[[#This Row],[Audit Losing Candidate]]))/(Audit[[#Totals],[Winning Candidate]]-Audit[[#Totals],[Losing Candidate]]),
      0
)</f>
        <v>0</v>
      </c>
      <c r="AV2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8">
        <f>IF(Audit[[#This Row],[Max Relative Error (ep)]] = 0, 0, Audit[[#This Row],[Max Relative Error (ep)]]/Audit[[#This Row],[Error Bound (up) - Max. possible relative overstatement]])</f>
        <v>0</v>
      </c>
      <c r="BH2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5" s="18">
        <f t="shared" si="5"/>
        <v>1</v>
      </c>
      <c r="BJ275" s="18">
        <f>PRODUCT($BI$5:BI275)</f>
        <v>0.57146126097022543</v>
      </c>
      <c r="BK275" s="20">
        <f>1 - Audit[[#This Row],[K-M P Value]]</f>
        <v>0.42853873902977457</v>
      </c>
      <c r="BL275" s="18" t="str">
        <f>IF(Audit[[#This Row],[K-M P Value]]&gt;1-'General Info'!$B$12,"Continue", "Stop")</f>
        <v>Continue</v>
      </c>
      <c r="BM275" s="23" t="b">
        <f>IF(Audit[[#This Row],[Status - Continue or stop audit]] = "Continue", TRUE, IF(BL274 = "Continue", TRUE, FALSE))</f>
        <v>1</v>
      </c>
      <c r="BN275" s="23"/>
    </row>
    <row r="276" spans="1:66" ht="15" hidden="1" customHeight="1" x14ac:dyDescent="0.35">
      <c r="A276" s="18" t="str">
        <f>'Sampling Data'!AI276</f>
        <v/>
      </c>
      <c r="B276" s="18" t="str">
        <f>'Sampling Data'!A276</f>
        <v>4411 NORW 1-A   (AV)</v>
      </c>
      <c r="C276" s="18">
        <f>'Sampling Data'!B276</f>
        <v>4</v>
      </c>
      <c r="D276" s="18">
        <f>'Sampling Data'!C276</f>
        <v>3</v>
      </c>
      <c r="E276" s="19">
        <f>'Sampling Data'!D276</f>
        <v>0</v>
      </c>
      <c r="F276" s="19">
        <f>'Sampling Data'!E276</f>
        <v>0</v>
      </c>
      <c r="G276" s="19">
        <f>'Sampling Data'!F276</f>
        <v>0</v>
      </c>
      <c r="H276" s="19">
        <f>'Sampling Data'!G276</f>
        <v>0</v>
      </c>
      <c r="I276" s="19">
        <f>'Sampling Data'!H276</f>
        <v>0</v>
      </c>
      <c r="J276" s="19">
        <f>'Sampling Data'!I276</f>
        <v>0</v>
      </c>
      <c r="K276" s="19">
        <f>'Sampling Data'!J276</f>
        <v>0</v>
      </c>
      <c r="L276" s="19">
        <f>'Sampling Data'!K276</f>
        <v>0</v>
      </c>
      <c r="M276" s="19">
        <f>'Sampling Data'!L276</f>
        <v>0</v>
      </c>
      <c r="N276" s="19">
        <f>'Sampling Data'!M276</f>
        <v>0</v>
      </c>
      <c r="O276" s="18">
        <f>'Sampling Data'!N276</f>
        <v>0</v>
      </c>
      <c r="P276" s="18">
        <f>'Sampling Data'!O276</f>
        <v>1</v>
      </c>
      <c r="Q276" s="18">
        <f>'Sampling Data'!P276</f>
        <v>8</v>
      </c>
      <c r="R276" s="18">
        <f>'Sampling Data'!AJ276</f>
        <v>0</v>
      </c>
      <c r="S276" s="112"/>
      <c r="T276" s="112"/>
      <c r="U276" s="113"/>
      <c r="V276" s="113"/>
      <c r="W276" s="112"/>
      <c r="X276" s="112"/>
      <c r="Y276" s="112"/>
      <c r="Z276" s="112"/>
      <c r="AA276" s="15"/>
      <c r="AB276" s="15"/>
      <c r="AC276" s="15"/>
      <c r="AD276" s="15"/>
      <c r="AE276" s="114" t="str">
        <f>IF(NOT(ISBLANK(Audit[[#This Row],[Audit Winning Candidate]])), Audit[[#This Row],[Audit Winning Candidate]]-Audit[[#This Row],[Winning Candidate]], "")</f>
        <v/>
      </c>
      <c r="AF276" s="18" t="str">
        <f>IF(NOT(ISBLANK(Audit[[#This Row],[Audit Losing Candidate]])), Audit[[#This Row],[Audit Losing Candidate]]-Audit[[#This Row],[Losing Candidate]], "")</f>
        <v/>
      </c>
      <c r="AG276" s="18" t="str">
        <f>IF(NOT(ISBLANK(Audit[[#This Row],[Audit Candidate 3]])), Audit[[#This Row],[Audit Candidate 3]]-Audit[[#This Row],[Candidate 3]], "")</f>
        <v/>
      </c>
      <c r="AH276" s="18" t="str">
        <f>IF(NOT(ISBLANK(Audit[[#This Row],[Audit Candidate 4]])),Audit[[#This Row],[Audit Candidate 4]]-Audit[[#This Row],[Candidate 4]], "")</f>
        <v/>
      </c>
      <c r="AI276" s="18" t="str">
        <f>IF(NOT(ISBLANK(Audit[[#This Row],[Audit Candidate 5]])), Audit[[#This Row],[Audit Candidate 5]]-Audit[[#This Row],[Candidate 5]], "")</f>
        <v/>
      </c>
      <c r="AJ276" s="18" t="str">
        <f>IF(NOT(ISBLANK(Audit[[#This Row],[Audit Candidate 6]])), Audit[[#This Row],[Audit Candidate 6]]-Audit[[#This Row],[Candidate 6]], "")</f>
        <v/>
      </c>
      <c r="AK276" s="18" t="str">
        <f>IF(NOT(ISBLANK(Audit[[#This Row],[Audit Candidate 7]])), Audit[[#This Row],[Audit Candidate 7]]-Audit[[#This Row],[Candidate 7]], "")</f>
        <v/>
      </c>
      <c r="AL276" s="18" t="str">
        <f>IF(NOT(ISBLANK(Audit[[#This Row],[Audit Candidate 8]])), Audit[[#This Row],[Audit Candidate 8]]-Audit[[#This Row],[Candidate 8]], "")</f>
        <v/>
      </c>
      <c r="AM276" s="18" t="str">
        <f>IF(NOT(ISBLANK(Audit[[#This Row],[Audit Candidate 9]])), Audit[[#This Row],[Audit Candidate 9]]-Audit[[#This Row],[Candidate 9]], "")</f>
        <v/>
      </c>
      <c r="AN276" s="18" t="str">
        <f>IF(NOT(ISBLANK(Audit[[#This Row],[Audit Candidate 10]])), Audit[[#This Row],[Audit Candidate 10]]-Audit[[#This Row],[Candidate 10]], "")</f>
        <v/>
      </c>
      <c r="AO276" s="18" t="str">
        <f>IF(NOT(ISBLANK(Audit[[#This Row],[Audit Candidate 11]])), Audit[[#This Row],[Audit Candidate 11]]-Audit[[#This Row],[Candidate 11]], "")</f>
        <v/>
      </c>
      <c r="AP276" s="18" t="str">
        <f>IF(NOT(ISBLANK(Audit[[#This Row],[Audit Candidate 12]])), Audit[[#This Row],[Audit Candidate 12]]-Audit[[#This Row],[Candidate 12]], "")</f>
        <v/>
      </c>
      <c r="AQ276" s="18">
        <f>SUMIF(Audit[[#This Row],[Difference Winner]:[Difference Candidate 12]], "&gt;0")</f>
        <v>0</v>
      </c>
      <c r="AR276" s="18">
        <f>SUM(Audit[[#This Row],[Difference Winner]:[Difference Candidate 12]])</f>
        <v>0</v>
      </c>
      <c r="AS276" s="18">
        <f>IF(Audit[[#This Row],[Times p Drawn - With Replacement]]&gt;0, IF(Audit[[#This Row],[Canceled Differences]]&lt;0, Audit[[#This Row],[Max Differences]]+ABS(Audit[[#This Row],[Canceled Differences]]), Audit[[#This Row],[Max Differences]]), 0)</f>
        <v>0</v>
      </c>
      <c r="AT276" s="18">
        <f>'Sampling Data'!AB276</f>
        <v>2.8268995194270818E-4</v>
      </c>
      <c r="AU276" s="18">
        <f>IF(
      SUM(Audit[[#This Row],[Audit Losing Candidate]:[Audit Candidate 12]])
      &lt;&gt;0,
      (Audit[[#This Row],[Winning Candidate]]-Audit[[#This Row],[Losing Candidate]]-(Audit[[#This Row],[Audit Winning Candidate]]-Audit[[#This Row],[Audit Losing Candidate]]))/(Audit[[#Totals],[Winning Candidate]]-Audit[[#Totals],[Losing Candidate]]),
      0
)</f>
        <v>0</v>
      </c>
      <c r="AV2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8">
        <f>IF(Audit[[#This Row],[Max Relative Error (ep)]] = 0, 0, Audit[[#This Row],[Max Relative Error (ep)]]/Audit[[#This Row],[Error Bound (up) - Max. possible relative overstatement]])</f>
        <v>0</v>
      </c>
      <c r="BH2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6" s="18">
        <f t="shared" si="5"/>
        <v>1</v>
      </c>
      <c r="BJ276" s="18">
        <f>PRODUCT($BI$5:BI276)</f>
        <v>0.57146126097022543</v>
      </c>
      <c r="BK276" s="20">
        <f>1 - Audit[[#This Row],[K-M P Value]]</f>
        <v>0.42853873902977457</v>
      </c>
      <c r="BL276" s="18" t="str">
        <f>IF(Audit[[#This Row],[K-M P Value]]&gt;1-'General Info'!$B$12,"Continue", "Stop")</f>
        <v>Continue</v>
      </c>
      <c r="BM276" s="23" t="b">
        <f>IF(Audit[[#This Row],[Status - Continue or stop audit]] = "Continue", TRUE, IF(BL275 = "Continue", TRUE, FALSE))</f>
        <v>1</v>
      </c>
      <c r="BN276" s="23"/>
    </row>
    <row r="277" spans="1:66" ht="15" hidden="1" customHeight="1" x14ac:dyDescent="0.35">
      <c r="A277" s="18" t="str">
        <f>'Sampling Data'!AI277</f>
        <v/>
      </c>
      <c r="B277" s="18" t="str">
        <f>'Sampling Data'!A277</f>
        <v>4412 NORW 1-B   (AV)</v>
      </c>
      <c r="C277" s="18">
        <f>'Sampling Data'!B277</f>
        <v>9</v>
      </c>
      <c r="D277" s="18">
        <f>'Sampling Data'!C277</f>
        <v>1</v>
      </c>
      <c r="E277" s="19">
        <f>'Sampling Data'!D277</f>
        <v>0</v>
      </c>
      <c r="F277" s="19">
        <f>'Sampling Data'!E277</f>
        <v>0</v>
      </c>
      <c r="G277" s="19">
        <f>'Sampling Data'!F277</f>
        <v>0</v>
      </c>
      <c r="H277" s="19">
        <f>'Sampling Data'!G277</f>
        <v>0</v>
      </c>
      <c r="I277" s="19">
        <f>'Sampling Data'!H277</f>
        <v>0</v>
      </c>
      <c r="J277" s="19">
        <f>'Sampling Data'!I277</f>
        <v>0</v>
      </c>
      <c r="K277" s="19">
        <f>'Sampling Data'!J277</f>
        <v>0</v>
      </c>
      <c r="L277" s="19">
        <f>'Sampling Data'!K277</f>
        <v>0</v>
      </c>
      <c r="M277" s="19">
        <f>'Sampling Data'!L277</f>
        <v>0</v>
      </c>
      <c r="N277" s="19">
        <f>'Sampling Data'!M277</f>
        <v>0</v>
      </c>
      <c r="O277" s="18">
        <f>'Sampling Data'!N277</f>
        <v>0</v>
      </c>
      <c r="P277" s="18">
        <f>'Sampling Data'!O277</f>
        <v>0</v>
      </c>
      <c r="Q277" s="18">
        <f>'Sampling Data'!P277</f>
        <v>10</v>
      </c>
      <c r="R277" s="18">
        <f>'Sampling Data'!AJ277</f>
        <v>0</v>
      </c>
      <c r="S277" s="112"/>
      <c r="T277" s="112"/>
      <c r="U277" s="113"/>
      <c r="V277" s="113"/>
      <c r="W277" s="112"/>
      <c r="X277" s="112"/>
      <c r="Y277" s="112"/>
      <c r="Z277" s="112"/>
      <c r="AA277" s="15"/>
      <c r="AB277" s="15"/>
      <c r="AC277" s="15"/>
      <c r="AD277" s="15"/>
      <c r="AE277" s="114" t="str">
        <f>IF(NOT(ISBLANK(Audit[[#This Row],[Audit Winning Candidate]])), Audit[[#This Row],[Audit Winning Candidate]]-Audit[[#This Row],[Winning Candidate]], "")</f>
        <v/>
      </c>
      <c r="AF277" s="18" t="str">
        <f>IF(NOT(ISBLANK(Audit[[#This Row],[Audit Losing Candidate]])), Audit[[#This Row],[Audit Losing Candidate]]-Audit[[#This Row],[Losing Candidate]], "")</f>
        <v/>
      </c>
      <c r="AG277" s="18" t="str">
        <f>IF(NOT(ISBLANK(Audit[[#This Row],[Audit Candidate 3]])), Audit[[#This Row],[Audit Candidate 3]]-Audit[[#This Row],[Candidate 3]], "")</f>
        <v/>
      </c>
      <c r="AH277" s="18" t="str">
        <f>IF(NOT(ISBLANK(Audit[[#This Row],[Audit Candidate 4]])),Audit[[#This Row],[Audit Candidate 4]]-Audit[[#This Row],[Candidate 4]], "")</f>
        <v/>
      </c>
      <c r="AI277" s="18" t="str">
        <f>IF(NOT(ISBLANK(Audit[[#This Row],[Audit Candidate 5]])), Audit[[#This Row],[Audit Candidate 5]]-Audit[[#This Row],[Candidate 5]], "")</f>
        <v/>
      </c>
      <c r="AJ277" s="18" t="str">
        <f>IF(NOT(ISBLANK(Audit[[#This Row],[Audit Candidate 6]])), Audit[[#This Row],[Audit Candidate 6]]-Audit[[#This Row],[Candidate 6]], "")</f>
        <v/>
      </c>
      <c r="AK277" s="18" t="str">
        <f>IF(NOT(ISBLANK(Audit[[#This Row],[Audit Candidate 7]])), Audit[[#This Row],[Audit Candidate 7]]-Audit[[#This Row],[Candidate 7]], "")</f>
        <v/>
      </c>
      <c r="AL277" s="18" t="str">
        <f>IF(NOT(ISBLANK(Audit[[#This Row],[Audit Candidate 8]])), Audit[[#This Row],[Audit Candidate 8]]-Audit[[#This Row],[Candidate 8]], "")</f>
        <v/>
      </c>
      <c r="AM277" s="18" t="str">
        <f>IF(NOT(ISBLANK(Audit[[#This Row],[Audit Candidate 9]])), Audit[[#This Row],[Audit Candidate 9]]-Audit[[#This Row],[Candidate 9]], "")</f>
        <v/>
      </c>
      <c r="AN277" s="18" t="str">
        <f>IF(NOT(ISBLANK(Audit[[#This Row],[Audit Candidate 10]])), Audit[[#This Row],[Audit Candidate 10]]-Audit[[#This Row],[Candidate 10]], "")</f>
        <v/>
      </c>
      <c r="AO277" s="18" t="str">
        <f>IF(NOT(ISBLANK(Audit[[#This Row],[Audit Candidate 11]])), Audit[[#This Row],[Audit Candidate 11]]-Audit[[#This Row],[Candidate 11]], "")</f>
        <v/>
      </c>
      <c r="AP277" s="18" t="str">
        <f>IF(NOT(ISBLANK(Audit[[#This Row],[Audit Candidate 12]])), Audit[[#This Row],[Audit Candidate 12]]-Audit[[#This Row],[Candidate 12]], "")</f>
        <v/>
      </c>
      <c r="AQ277" s="18">
        <f>SUMIF(Audit[[#This Row],[Difference Winner]:[Difference Candidate 12]], "&gt;0")</f>
        <v>0</v>
      </c>
      <c r="AR277" s="18">
        <f>SUM(Audit[[#This Row],[Difference Winner]:[Difference Candidate 12]])</f>
        <v>0</v>
      </c>
      <c r="AS277" s="18">
        <f>IF(Audit[[#This Row],[Times p Drawn - With Replacement]]&gt;0, IF(Audit[[#This Row],[Canceled Differences]]&lt;0, Audit[[#This Row],[Max Differences]]+ABS(Audit[[#This Row],[Canceled Differences]]), Audit[[#This Row],[Max Differences]]), 0)</f>
        <v>0</v>
      </c>
      <c r="AT277" s="18">
        <f>'Sampling Data'!AB277</f>
        <v>5.6537990388541635E-4</v>
      </c>
      <c r="AU277" s="18">
        <f>IF(
      SUM(Audit[[#This Row],[Audit Losing Candidate]:[Audit Candidate 12]])
      &lt;&gt;0,
      (Audit[[#This Row],[Winning Candidate]]-Audit[[#This Row],[Losing Candidate]]-(Audit[[#This Row],[Audit Winning Candidate]]-Audit[[#This Row],[Audit Losing Candidate]]))/(Audit[[#Totals],[Winning Candidate]]-Audit[[#Totals],[Losing Candidate]]),
      0
)</f>
        <v>0</v>
      </c>
      <c r="AV2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8">
        <f>IF(Audit[[#This Row],[Max Relative Error (ep)]] = 0, 0, Audit[[#This Row],[Max Relative Error (ep)]]/Audit[[#This Row],[Error Bound (up) - Max. possible relative overstatement]])</f>
        <v>0</v>
      </c>
      <c r="BH2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7" s="18">
        <f t="shared" si="5"/>
        <v>1</v>
      </c>
      <c r="BJ277" s="18">
        <f>PRODUCT($BI$5:BI277)</f>
        <v>0.57146126097022543</v>
      </c>
      <c r="BK277" s="20">
        <f>1 - Audit[[#This Row],[K-M P Value]]</f>
        <v>0.42853873902977457</v>
      </c>
      <c r="BL277" s="18" t="str">
        <f>IF(Audit[[#This Row],[K-M P Value]]&gt;1-'General Info'!$B$12,"Continue", "Stop")</f>
        <v>Continue</v>
      </c>
      <c r="BM277" s="23" t="b">
        <f>IF(Audit[[#This Row],[Status - Continue or stop audit]] = "Continue", TRUE, IF(BL276 = "Continue", TRUE, FALSE))</f>
        <v>1</v>
      </c>
      <c r="BN277" s="23"/>
    </row>
    <row r="278" spans="1:66" ht="15" hidden="1" customHeight="1" x14ac:dyDescent="0.35">
      <c r="A278" s="18" t="str">
        <f>'Sampling Data'!AI278</f>
        <v/>
      </c>
      <c r="B278" s="18" t="str">
        <f>'Sampling Data'!A278</f>
        <v>4413 NORW 1-C   (AV)</v>
      </c>
      <c r="C278" s="18">
        <f>'Sampling Data'!B278</f>
        <v>6</v>
      </c>
      <c r="D278" s="18">
        <f>'Sampling Data'!C278</f>
        <v>3</v>
      </c>
      <c r="E278" s="19">
        <f>'Sampling Data'!D278</f>
        <v>0</v>
      </c>
      <c r="F278" s="19">
        <f>'Sampling Data'!E278</f>
        <v>0</v>
      </c>
      <c r="G278" s="19">
        <f>'Sampling Data'!F278</f>
        <v>0</v>
      </c>
      <c r="H278" s="19">
        <f>'Sampling Data'!G278</f>
        <v>0</v>
      </c>
      <c r="I278" s="19">
        <f>'Sampling Data'!H278</f>
        <v>0</v>
      </c>
      <c r="J278" s="19">
        <f>'Sampling Data'!I278</f>
        <v>0</v>
      </c>
      <c r="K278" s="19">
        <f>'Sampling Data'!J278</f>
        <v>0</v>
      </c>
      <c r="L278" s="19">
        <f>'Sampling Data'!K278</f>
        <v>0</v>
      </c>
      <c r="M278" s="19">
        <f>'Sampling Data'!L278</f>
        <v>0</v>
      </c>
      <c r="N278" s="19">
        <f>'Sampling Data'!M278</f>
        <v>0</v>
      </c>
      <c r="O278" s="18">
        <f>'Sampling Data'!N278</f>
        <v>0</v>
      </c>
      <c r="P278" s="18">
        <f>'Sampling Data'!O278</f>
        <v>0</v>
      </c>
      <c r="Q278" s="18">
        <f>'Sampling Data'!P278</f>
        <v>9</v>
      </c>
      <c r="R278" s="18">
        <f>'Sampling Data'!AJ278</f>
        <v>0</v>
      </c>
      <c r="S278" s="112"/>
      <c r="T278" s="112"/>
      <c r="U278" s="113"/>
      <c r="V278" s="113"/>
      <c r="W278" s="112"/>
      <c r="X278" s="112"/>
      <c r="Y278" s="112"/>
      <c r="Z278" s="112"/>
      <c r="AA278" s="15"/>
      <c r="AB278" s="15"/>
      <c r="AC278" s="15"/>
      <c r="AD278" s="15"/>
      <c r="AE278" s="114" t="str">
        <f>IF(NOT(ISBLANK(Audit[[#This Row],[Audit Winning Candidate]])), Audit[[#This Row],[Audit Winning Candidate]]-Audit[[#This Row],[Winning Candidate]], "")</f>
        <v/>
      </c>
      <c r="AF278" s="18" t="str">
        <f>IF(NOT(ISBLANK(Audit[[#This Row],[Audit Losing Candidate]])), Audit[[#This Row],[Audit Losing Candidate]]-Audit[[#This Row],[Losing Candidate]], "")</f>
        <v/>
      </c>
      <c r="AG278" s="18" t="str">
        <f>IF(NOT(ISBLANK(Audit[[#This Row],[Audit Candidate 3]])), Audit[[#This Row],[Audit Candidate 3]]-Audit[[#This Row],[Candidate 3]], "")</f>
        <v/>
      </c>
      <c r="AH278" s="18" t="str">
        <f>IF(NOT(ISBLANK(Audit[[#This Row],[Audit Candidate 4]])),Audit[[#This Row],[Audit Candidate 4]]-Audit[[#This Row],[Candidate 4]], "")</f>
        <v/>
      </c>
      <c r="AI278" s="18" t="str">
        <f>IF(NOT(ISBLANK(Audit[[#This Row],[Audit Candidate 5]])), Audit[[#This Row],[Audit Candidate 5]]-Audit[[#This Row],[Candidate 5]], "")</f>
        <v/>
      </c>
      <c r="AJ278" s="18" t="str">
        <f>IF(NOT(ISBLANK(Audit[[#This Row],[Audit Candidate 6]])), Audit[[#This Row],[Audit Candidate 6]]-Audit[[#This Row],[Candidate 6]], "")</f>
        <v/>
      </c>
      <c r="AK278" s="18" t="str">
        <f>IF(NOT(ISBLANK(Audit[[#This Row],[Audit Candidate 7]])), Audit[[#This Row],[Audit Candidate 7]]-Audit[[#This Row],[Candidate 7]], "")</f>
        <v/>
      </c>
      <c r="AL278" s="18" t="str">
        <f>IF(NOT(ISBLANK(Audit[[#This Row],[Audit Candidate 8]])), Audit[[#This Row],[Audit Candidate 8]]-Audit[[#This Row],[Candidate 8]], "")</f>
        <v/>
      </c>
      <c r="AM278" s="18" t="str">
        <f>IF(NOT(ISBLANK(Audit[[#This Row],[Audit Candidate 9]])), Audit[[#This Row],[Audit Candidate 9]]-Audit[[#This Row],[Candidate 9]], "")</f>
        <v/>
      </c>
      <c r="AN278" s="18" t="str">
        <f>IF(NOT(ISBLANK(Audit[[#This Row],[Audit Candidate 10]])), Audit[[#This Row],[Audit Candidate 10]]-Audit[[#This Row],[Candidate 10]], "")</f>
        <v/>
      </c>
      <c r="AO278" s="18" t="str">
        <f>IF(NOT(ISBLANK(Audit[[#This Row],[Audit Candidate 11]])), Audit[[#This Row],[Audit Candidate 11]]-Audit[[#This Row],[Candidate 11]], "")</f>
        <v/>
      </c>
      <c r="AP278" s="18" t="str">
        <f>IF(NOT(ISBLANK(Audit[[#This Row],[Audit Candidate 12]])), Audit[[#This Row],[Audit Candidate 12]]-Audit[[#This Row],[Candidate 12]], "")</f>
        <v/>
      </c>
      <c r="AQ278" s="18">
        <f>SUMIF(Audit[[#This Row],[Difference Winner]:[Difference Candidate 12]], "&gt;0")</f>
        <v>0</v>
      </c>
      <c r="AR278" s="18">
        <f>SUM(Audit[[#This Row],[Difference Winner]:[Difference Candidate 12]])</f>
        <v>0</v>
      </c>
      <c r="AS278" s="18">
        <f>IF(Audit[[#This Row],[Times p Drawn - With Replacement]]&gt;0, IF(Audit[[#This Row],[Canceled Differences]]&lt;0, Audit[[#This Row],[Max Differences]]+ABS(Audit[[#This Row],[Canceled Differences]]), Audit[[#This Row],[Max Differences]]), 0)</f>
        <v>0</v>
      </c>
      <c r="AT278" s="18">
        <f>'Sampling Data'!AB278</f>
        <v>3.7691993592361088E-4</v>
      </c>
      <c r="AU278" s="18">
        <f>IF(
      SUM(Audit[[#This Row],[Audit Losing Candidate]:[Audit Candidate 12]])
      &lt;&gt;0,
      (Audit[[#This Row],[Winning Candidate]]-Audit[[#This Row],[Losing Candidate]]-(Audit[[#This Row],[Audit Winning Candidate]]-Audit[[#This Row],[Audit Losing Candidate]]))/(Audit[[#Totals],[Winning Candidate]]-Audit[[#Totals],[Losing Candidate]]),
      0
)</f>
        <v>0</v>
      </c>
      <c r="AV2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8">
        <f>IF(Audit[[#This Row],[Max Relative Error (ep)]] = 0, 0, Audit[[#This Row],[Max Relative Error (ep)]]/Audit[[#This Row],[Error Bound (up) - Max. possible relative overstatement]])</f>
        <v>0</v>
      </c>
      <c r="BH2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8" s="18">
        <f t="shared" si="5"/>
        <v>1</v>
      </c>
      <c r="BJ278" s="18">
        <f>PRODUCT($BI$5:BI278)</f>
        <v>0.57146126097022543</v>
      </c>
      <c r="BK278" s="20">
        <f>1 - Audit[[#This Row],[K-M P Value]]</f>
        <v>0.42853873902977457</v>
      </c>
      <c r="BL278" s="18" t="str">
        <f>IF(Audit[[#This Row],[K-M P Value]]&gt;1-'General Info'!$B$12,"Continue", "Stop")</f>
        <v>Continue</v>
      </c>
      <c r="BM278" s="23" t="b">
        <f>IF(Audit[[#This Row],[Status - Continue or stop audit]] = "Continue", TRUE, IF(BL277 = "Continue", TRUE, FALSE))</f>
        <v>1</v>
      </c>
      <c r="BN278" s="23"/>
    </row>
    <row r="279" spans="1:66" ht="15" hidden="1" customHeight="1" x14ac:dyDescent="0.35">
      <c r="A279" s="18" t="str">
        <f>'Sampling Data'!AI279</f>
        <v/>
      </c>
      <c r="B279" s="18" t="str">
        <f>'Sampling Data'!A279</f>
        <v>4421 NORW 2-A   (AV)</v>
      </c>
      <c r="C279" s="18">
        <f>'Sampling Data'!B279</f>
        <v>7</v>
      </c>
      <c r="D279" s="18">
        <f>'Sampling Data'!C279</f>
        <v>2</v>
      </c>
      <c r="E279" s="19">
        <f>'Sampling Data'!D279</f>
        <v>0</v>
      </c>
      <c r="F279" s="19">
        <f>'Sampling Data'!E279</f>
        <v>0</v>
      </c>
      <c r="G279" s="19">
        <f>'Sampling Data'!F279</f>
        <v>0</v>
      </c>
      <c r="H279" s="19">
        <f>'Sampling Data'!G279</f>
        <v>0</v>
      </c>
      <c r="I279" s="19">
        <f>'Sampling Data'!H279</f>
        <v>0</v>
      </c>
      <c r="J279" s="19">
        <f>'Sampling Data'!I279</f>
        <v>0</v>
      </c>
      <c r="K279" s="19">
        <f>'Sampling Data'!J279</f>
        <v>0</v>
      </c>
      <c r="L279" s="19">
        <f>'Sampling Data'!K279</f>
        <v>0</v>
      </c>
      <c r="M279" s="19">
        <f>'Sampling Data'!L279</f>
        <v>0</v>
      </c>
      <c r="N279" s="19">
        <f>'Sampling Data'!M279</f>
        <v>0</v>
      </c>
      <c r="O279" s="18">
        <f>'Sampling Data'!N279</f>
        <v>0</v>
      </c>
      <c r="P279" s="18">
        <f>'Sampling Data'!O279</f>
        <v>0</v>
      </c>
      <c r="Q279" s="18">
        <f>'Sampling Data'!P279</f>
        <v>9</v>
      </c>
      <c r="R279" s="18">
        <f>'Sampling Data'!AJ279</f>
        <v>0</v>
      </c>
      <c r="S279" s="112"/>
      <c r="T279" s="112"/>
      <c r="U279" s="113"/>
      <c r="V279" s="113"/>
      <c r="W279" s="112"/>
      <c r="X279" s="112"/>
      <c r="Y279" s="112"/>
      <c r="Z279" s="112"/>
      <c r="AA279" s="15"/>
      <c r="AB279" s="15"/>
      <c r="AC279" s="15"/>
      <c r="AD279" s="15"/>
      <c r="AE279" s="114" t="str">
        <f>IF(NOT(ISBLANK(Audit[[#This Row],[Audit Winning Candidate]])), Audit[[#This Row],[Audit Winning Candidate]]-Audit[[#This Row],[Winning Candidate]], "")</f>
        <v/>
      </c>
      <c r="AF279" s="18" t="str">
        <f>IF(NOT(ISBLANK(Audit[[#This Row],[Audit Losing Candidate]])), Audit[[#This Row],[Audit Losing Candidate]]-Audit[[#This Row],[Losing Candidate]], "")</f>
        <v/>
      </c>
      <c r="AG279" s="18" t="str">
        <f>IF(NOT(ISBLANK(Audit[[#This Row],[Audit Candidate 3]])), Audit[[#This Row],[Audit Candidate 3]]-Audit[[#This Row],[Candidate 3]], "")</f>
        <v/>
      </c>
      <c r="AH279" s="18" t="str">
        <f>IF(NOT(ISBLANK(Audit[[#This Row],[Audit Candidate 4]])),Audit[[#This Row],[Audit Candidate 4]]-Audit[[#This Row],[Candidate 4]], "")</f>
        <v/>
      </c>
      <c r="AI279" s="18" t="str">
        <f>IF(NOT(ISBLANK(Audit[[#This Row],[Audit Candidate 5]])), Audit[[#This Row],[Audit Candidate 5]]-Audit[[#This Row],[Candidate 5]], "")</f>
        <v/>
      </c>
      <c r="AJ279" s="18" t="str">
        <f>IF(NOT(ISBLANK(Audit[[#This Row],[Audit Candidate 6]])), Audit[[#This Row],[Audit Candidate 6]]-Audit[[#This Row],[Candidate 6]], "")</f>
        <v/>
      </c>
      <c r="AK279" s="18" t="str">
        <f>IF(NOT(ISBLANK(Audit[[#This Row],[Audit Candidate 7]])), Audit[[#This Row],[Audit Candidate 7]]-Audit[[#This Row],[Candidate 7]], "")</f>
        <v/>
      </c>
      <c r="AL279" s="18" t="str">
        <f>IF(NOT(ISBLANK(Audit[[#This Row],[Audit Candidate 8]])), Audit[[#This Row],[Audit Candidate 8]]-Audit[[#This Row],[Candidate 8]], "")</f>
        <v/>
      </c>
      <c r="AM279" s="18" t="str">
        <f>IF(NOT(ISBLANK(Audit[[#This Row],[Audit Candidate 9]])), Audit[[#This Row],[Audit Candidate 9]]-Audit[[#This Row],[Candidate 9]], "")</f>
        <v/>
      </c>
      <c r="AN279" s="18" t="str">
        <f>IF(NOT(ISBLANK(Audit[[#This Row],[Audit Candidate 10]])), Audit[[#This Row],[Audit Candidate 10]]-Audit[[#This Row],[Candidate 10]], "")</f>
        <v/>
      </c>
      <c r="AO279" s="18" t="str">
        <f>IF(NOT(ISBLANK(Audit[[#This Row],[Audit Candidate 11]])), Audit[[#This Row],[Audit Candidate 11]]-Audit[[#This Row],[Candidate 11]], "")</f>
        <v/>
      </c>
      <c r="AP279" s="18" t="str">
        <f>IF(NOT(ISBLANK(Audit[[#This Row],[Audit Candidate 12]])), Audit[[#This Row],[Audit Candidate 12]]-Audit[[#This Row],[Candidate 12]], "")</f>
        <v/>
      </c>
      <c r="AQ279" s="18">
        <f>SUMIF(Audit[[#This Row],[Difference Winner]:[Difference Candidate 12]], "&gt;0")</f>
        <v>0</v>
      </c>
      <c r="AR279" s="18">
        <f>SUM(Audit[[#This Row],[Difference Winner]:[Difference Candidate 12]])</f>
        <v>0</v>
      </c>
      <c r="AS279" s="18">
        <f>IF(Audit[[#This Row],[Times p Drawn - With Replacement]]&gt;0, IF(Audit[[#This Row],[Canceled Differences]]&lt;0, Audit[[#This Row],[Max Differences]]+ABS(Audit[[#This Row],[Canceled Differences]]), Audit[[#This Row],[Max Differences]]), 0)</f>
        <v>0</v>
      </c>
      <c r="AT279" s="18">
        <f>'Sampling Data'!AB279</f>
        <v>4.3973992524421271E-4</v>
      </c>
      <c r="AU279" s="18">
        <f>IF(
      SUM(Audit[[#This Row],[Audit Losing Candidate]:[Audit Candidate 12]])
      &lt;&gt;0,
      (Audit[[#This Row],[Winning Candidate]]-Audit[[#This Row],[Losing Candidate]]-(Audit[[#This Row],[Audit Winning Candidate]]-Audit[[#This Row],[Audit Losing Candidate]]))/(Audit[[#Totals],[Winning Candidate]]-Audit[[#Totals],[Losing Candidate]]),
      0
)</f>
        <v>0</v>
      </c>
      <c r="AV2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8">
        <f>IF(Audit[[#This Row],[Max Relative Error (ep)]] = 0, 0, Audit[[#This Row],[Max Relative Error (ep)]]/Audit[[#This Row],[Error Bound (up) - Max. possible relative overstatement]])</f>
        <v>0</v>
      </c>
      <c r="BH2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79" s="18">
        <f t="shared" si="5"/>
        <v>1</v>
      </c>
      <c r="BJ279" s="18">
        <f>PRODUCT($BI$5:BI279)</f>
        <v>0.57146126097022543</v>
      </c>
      <c r="BK279" s="20">
        <f>1 - Audit[[#This Row],[K-M P Value]]</f>
        <v>0.42853873902977457</v>
      </c>
      <c r="BL279" s="18" t="str">
        <f>IF(Audit[[#This Row],[K-M P Value]]&gt;1-'General Info'!$B$12,"Continue", "Stop")</f>
        <v>Continue</v>
      </c>
      <c r="BM279" s="23" t="b">
        <f>IF(Audit[[#This Row],[Status - Continue or stop audit]] = "Continue", TRUE, IF(BL278 = "Continue", TRUE, FALSE))</f>
        <v>1</v>
      </c>
      <c r="BN279" s="23"/>
    </row>
    <row r="280" spans="1:66" ht="15" hidden="1" customHeight="1" x14ac:dyDescent="0.35">
      <c r="A280" s="18" t="str">
        <f>'Sampling Data'!AI280</f>
        <v/>
      </c>
      <c r="B280" s="18" t="str">
        <f>'Sampling Data'!A280</f>
        <v>4422 NORW 2-B   (AV)</v>
      </c>
      <c r="C280" s="18">
        <f>'Sampling Data'!B280</f>
        <v>12</v>
      </c>
      <c r="D280" s="18">
        <f>'Sampling Data'!C280</f>
        <v>0</v>
      </c>
      <c r="E280" s="19">
        <f>'Sampling Data'!D280</f>
        <v>0</v>
      </c>
      <c r="F280" s="19">
        <f>'Sampling Data'!E280</f>
        <v>0</v>
      </c>
      <c r="G280" s="19">
        <f>'Sampling Data'!F280</f>
        <v>0</v>
      </c>
      <c r="H280" s="19">
        <f>'Sampling Data'!G280</f>
        <v>0</v>
      </c>
      <c r="I280" s="19">
        <f>'Sampling Data'!H280</f>
        <v>0</v>
      </c>
      <c r="J280" s="19">
        <f>'Sampling Data'!I280</f>
        <v>0</v>
      </c>
      <c r="K280" s="19">
        <f>'Sampling Data'!J280</f>
        <v>0</v>
      </c>
      <c r="L280" s="19">
        <f>'Sampling Data'!K280</f>
        <v>0</v>
      </c>
      <c r="M280" s="19">
        <f>'Sampling Data'!L280</f>
        <v>0</v>
      </c>
      <c r="N280" s="19">
        <f>'Sampling Data'!M280</f>
        <v>0</v>
      </c>
      <c r="O280" s="18">
        <f>'Sampling Data'!N280</f>
        <v>0</v>
      </c>
      <c r="P280" s="18">
        <f>'Sampling Data'!O280</f>
        <v>0</v>
      </c>
      <c r="Q280" s="18">
        <f>'Sampling Data'!P280</f>
        <v>12</v>
      </c>
      <c r="R280" s="18">
        <f>'Sampling Data'!AJ280</f>
        <v>0</v>
      </c>
      <c r="S280" s="112"/>
      <c r="T280" s="112"/>
      <c r="U280" s="113"/>
      <c r="V280" s="113"/>
      <c r="W280" s="112"/>
      <c r="X280" s="112"/>
      <c r="Y280" s="112"/>
      <c r="Z280" s="112"/>
      <c r="AA280" s="15"/>
      <c r="AB280" s="15"/>
      <c r="AC280" s="15"/>
      <c r="AD280" s="15"/>
      <c r="AE280" s="114" t="str">
        <f>IF(NOT(ISBLANK(Audit[[#This Row],[Audit Winning Candidate]])), Audit[[#This Row],[Audit Winning Candidate]]-Audit[[#This Row],[Winning Candidate]], "")</f>
        <v/>
      </c>
      <c r="AF280" s="18" t="str">
        <f>IF(NOT(ISBLANK(Audit[[#This Row],[Audit Losing Candidate]])), Audit[[#This Row],[Audit Losing Candidate]]-Audit[[#This Row],[Losing Candidate]], "")</f>
        <v/>
      </c>
      <c r="AG280" s="18" t="str">
        <f>IF(NOT(ISBLANK(Audit[[#This Row],[Audit Candidate 3]])), Audit[[#This Row],[Audit Candidate 3]]-Audit[[#This Row],[Candidate 3]], "")</f>
        <v/>
      </c>
      <c r="AH280" s="18" t="str">
        <f>IF(NOT(ISBLANK(Audit[[#This Row],[Audit Candidate 4]])),Audit[[#This Row],[Audit Candidate 4]]-Audit[[#This Row],[Candidate 4]], "")</f>
        <v/>
      </c>
      <c r="AI280" s="18" t="str">
        <f>IF(NOT(ISBLANK(Audit[[#This Row],[Audit Candidate 5]])), Audit[[#This Row],[Audit Candidate 5]]-Audit[[#This Row],[Candidate 5]], "")</f>
        <v/>
      </c>
      <c r="AJ280" s="18" t="str">
        <f>IF(NOT(ISBLANK(Audit[[#This Row],[Audit Candidate 6]])), Audit[[#This Row],[Audit Candidate 6]]-Audit[[#This Row],[Candidate 6]], "")</f>
        <v/>
      </c>
      <c r="AK280" s="18" t="str">
        <f>IF(NOT(ISBLANK(Audit[[#This Row],[Audit Candidate 7]])), Audit[[#This Row],[Audit Candidate 7]]-Audit[[#This Row],[Candidate 7]], "")</f>
        <v/>
      </c>
      <c r="AL280" s="18" t="str">
        <f>IF(NOT(ISBLANK(Audit[[#This Row],[Audit Candidate 8]])), Audit[[#This Row],[Audit Candidate 8]]-Audit[[#This Row],[Candidate 8]], "")</f>
        <v/>
      </c>
      <c r="AM280" s="18" t="str">
        <f>IF(NOT(ISBLANK(Audit[[#This Row],[Audit Candidate 9]])), Audit[[#This Row],[Audit Candidate 9]]-Audit[[#This Row],[Candidate 9]], "")</f>
        <v/>
      </c>
      <c r="AN280" s="18" t="str">
        <f>IF(NOT(ISBLANK(Audit[[#This Row],[Audit Candidate 10]])), Audit[[#This Row],[Audit Candidate 10]]-Audit[[#This Row],[Candidate 10]], "")</f>
        <v/>
      </c>
      <c r="AO280" s="18" t="str">
        <f>IF(NOT(ISBLANK(Audit[[#This Row],[Audit Candidate 11]])), Audit[[#This Row],[Audit Candidate 11]]-Audit[[#This Row],[Candidate 11]], "")</f>
        <v/>
      </c>
      <c r="AP280" s="18" t="str">
        <f>IF(NOT(ISBLANK(Audit[[#This Row],[Audit Candidate 12]])), Audit[[#This Row],[Audit Candidate 12]]-Audit[[#This Row],[Candidate 12]], "")</f>
        <v/>
      </c>
      <c r="AQ280" s="18">
        <f>SUMIF(Audit[[#This Row],[Difference Winner]:[Difference Candidate 12]], "&gt;0")</f>
        <v>0</v>
      </c>
      <c r="AR280" s="18">
        <f>SUM(Audit[[#This Row],[Difference Winner]:[Difference Candidate 12]])</f>
        <v>0</v>
      </c>
      <c r="AS280" s="18">
        <f>IF(Audit[[#This Row],[Times p Drawn - With Replacement]]&gt;0, IF(Audit[[#This Row],[Canceled Differences]]&lt;0, Audit[[#This Row],[Max Differences]]+ABS(Audit[[#This Row],[Canceled Differences]]), Audit[[#This Row],[Max Differences]]), 0)</f>
        <v>0</v>
      </c>
      <c r="AT280" s="18">
        <f>'Sampling Data'!AB280</f>
        <v>7.5383987184722177E-4</v>
      </c>
      <c r="AU280" s="18">
        <f>IF(
      SUM(Audit[[#This Row],[Audit Losing Candidate]:[Audit Candidate 12]])
      &lt;&gt;0,
      (Audit[[#This Row],[Winning Candidate]]-Audit[[#This Row],[Losing Candidate]]-(Audit[[#This Row],[Audit Winning Candidate]]-Audit[[#This Row],[Audit Losing Candidate]]))/(Audit[[#Totals],[Winning Candidate]]-Audit[[#Totals],[Losing Candidate]]),
      0
)</f>
        <v>0</v>
      </c>
      <c r="AV2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8">
        <f>IF(Audit[[#This Row],[Max Relative Error (ep)]] = 0, 0, Audit[[#This Row],[Max Relative Error (ep)]]/Audit[[#This Row],[Error Bound (up) - Max. possible relative overstatement]])</f>
        <v>0</v>
      </c>
      <c r="BH2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0" s="18">
        <f t="shared" si="5"/>
        <v>1</v>
      </c>
      <c r="BJ280" s="18">
        <f>PRODUCT($BI$5:BI280)</f>
        <v>0.57146126097022543</v>
      </c>
      <c r="BK280" s="20">
        <f>1 - Audit[[#This Row],[K-M P Value]]</f>
        <v>0.42853873902977457</v>
      </c>
      <c r="BL280" s="18" t="str">
        <f>IF(Audit[[#This Row],[K-M P Value]]&gt;1-'General Info'!$B$12,"Continue", "Stop")</f>
        <v>Continue</v>
      </c>
      <c r="BM280" s="23" t="b">
        <f>IF(Audit[[#This Row],[Status - Continue or stop audit]] = "Continue", TRUE, IF(BL279 = "Continue", TRUE, FALSE))</f>
        <v>1</v>
      </c>
      <c r="BN280" s="23"/>
    </row>
    <row r="281" spans="1:66" ht="15" hidden="1" customHeight="1" x14ac:dyDescent="0.35">
      <c r="A281" s="18" t="str">
        <f>'Sampling Data'!AI281</f>
        <v/>
      </c>
      <c r="B281" s="18" t="str">
        <f>'Sampling Data'!A281</f>
        <v>4423 NORW 2-C   (AV)</v>
      </c>
      <c r="C281" s="18">
        <f>'Sampling Data'!B281</f>
        <v>10</v>
      </c>
      <c r="D281" s="18">
        <f>'Sampling Data'!C281</f>
        <v>3</v>
      </c>
      <c r="E281" s="19">
        <f>'Sampling Data'!D281</f>
        <v>0</v>
      </c>
      <c r="F281" s="19">
        <f>'Sampling Data'!E281</f>
        <v>0</v>
      </c>
      <c r="G281" s="19">
        <f>'Sampling Data'!F281</f>
        <v>0</v>
      </c>
      <c r="H281" s="19">
        <f>'Sampling Data'!G281</f>
        <v>0</v>
      </c>
      <c r="I281" s="19">
        <f>'Sampling Data'!H281</f>
        <v>0</v>
      </c>
      <c r="J281" s="19">
        <f>'Sampling Data'!I281</f>
        <v>0</v>
      </c>
      <c r="K281" s="19">
        <f>'Sampling Data'!J281</f>
        <v>0</v>
      </c>
      <c r="L281" s="19">
        <f>'Sampling Data'!K281</f>
        <v>0</v>
      </c>
      <c r="M281" s="19">
        <f>'Sampling Data'!L281</f>
        <v>0</v>
      </c>
      <c r="N281" s="19">
        <f>'Sampling Data'!M281</f>
        <v>0</v>
      </c>
      <c r="O281" s="18">
        <f>'Sampling Data'!N281</f>
        <v>0</v>
      </c>
      <c r="P281" s="18">
        <f>'Sampling Data'!O281</f>
        <v>0</v>
      </c>
      <c r="Q281" s="18">
        <f>'Sampling Data'!P281</f>
        <v>13</v>
      </c>
      <c r="R281" s="18">
        <f>'Sampling Data'!AJ281</f>
        <v>0</v>
      </c>
      <c r="S281" s="112"/>
      <c r="T281" s="112"/>
      <c r="U281" s="113"/>
      <c r="V281" s="113"/>
      <c r="W281" s="112"/>
      <c r="X281" s="112"/>
      <c r="Y281" s="112"/>
      <c r="Z281" s="112"/>
      <c r="AA281" s="15"/>
      <c r="AB281" s="15"/>
      <c r="AC281" s="15"/>
      <c r="AD281" s="15"/>
      <c r="AE281" s="114" t="str">
        <f>IF(NOT(ISBLANK(Audit[[#This Row],[Audit Winning Candidate]])), Audit[[#This Row],[Audit Winning Candidate]]-Audit[[#This Row],[Winning Candidate]], "")</f>
        <v/>
      </c>
      <c r="AF281" s="18" t="str">
        <f>IF(NOT(ISBLANK(Audit[[#This Row],[Audit Losing Candidate]])), Audit[[#This Row],[Audit Losing Candidate]]-Audit[[#This Row],[Losing Candidate]], "")</f>
        <v/>
      </c>
      <c r="AG281" s="18" t="str">
        <f>IF(NOT(ISBLANK(Audit[[#This Row],[Audit Candidate 3]])), Audit[[#This Row],[Audit Candidate 3]]-Audit[[#This Row],[Candidate 3]], "")</f>
        <v/>
      </c>
      <c r="AH281" s="18" t="str">
        <f>IF(NOT(ISBLANK(Audit[[#This Row],[Audit Candidate 4]])),Audit[[#This Row],[Audit Candidate 4]]-Audit[[#This Row],[Candidate 4]], "")</f>
        <v/>
      </c>
      <c r="AI281" s="18" t="str">
        <f>IF(NOT(ISBLANK(Audit[[#This Row],[Audit Candidate 5]])), Audit[[#This Row],[Audit Candidate 5]]-Audit[[#This Row],[Candidate 5]], "")</f>
        <v/>
      </c>
      <c r="AJ281" s="18" t="str">
        <f>IF(NOT(ISBLANK(Audit[[#This Row],[Audit Candidate 6]])), Audit[[#This Row],[Audit Candidate 6]]-Audit[[#This Row],[Candidate 6]], "")</f>
        <v/>
      </c>
      <c r="AK281" s="18" t="str">
        <f>IF(NOT(ISBLANK(Audit[[#This Row],[Audit Candidate 7]])), Audit[[#This Row],[Audit Candidate 7]]-Audit[[#This Row],[Candidate 7]], "")</f>
        <v/>
      </c>
      <c r="AL281" s="18" t="str">
        <f>IF(NOT(ISBLANK(Audit[[#This Row],[Audit Candidate 8]])), Audit[[#This Row],[Audit Candidate 8]]-Audit[[#This Row],[Candidate 8]], "")</f>
        <v/>
      </c>
      <c r="AM281" s="18" t="str">
        <f>IF(NOT(ISBLANK(Audit[[#This Row],[Audit Candidate 9]])), Audit[[#This Row],[Audit Candidate 9]]-Audit[[#This Row],[Candidate 9]], "")</f>
        <v/>
      </c>
      <c r="AN281" s="18" t="str">
        <f>IF(NOT(ISBLANK(Audit[[#This Row],[Audit Candidate 10]])), Audit[[#This Row],[Audit Candidate 10]]-Audit[[#This Row],[Candidate 10]], "")</f>
        <v/>
      </c>
      <c r="AO281" s="18" t="str">
        <f>IF(NOT(ISBLANK(Audit[[#This Row],[Audit Candidate 11]])), Audit[[#This Row],[Audit Candidate 11]]-Audit[[#This Row],[Candidate 11]], "")</f>
        <v/>
      </c>
      <c r="AP281" s="18" t="str">
        <f>IF(NOT(ISBLANK(Audit[[#This Row],[Audit Candidate 12]])), Audit[[#This Row],[Audit Candidate 12]]-Audit[[#This Row],[Candidate 12]], "")</f>
        <v/>
      </c>
      <c r="AQ281" s="18">
        <f>SUMIF(Audit[[#This Row],[Difference Winner]:[Difference Candidate 12]], "&gt;0")</f>
        <v>0</v>
      </c>
      <c r="AR281" s="18">
        <f>SUM(Audit[[#This Row],[Difference Winner]:[Difference Candidate 12]])</f>
        <v>0</v>
      </c>
      <c r="AS281" s="18">
        <f>IF(Audit[[#This Row],[Times p Drawn - With Replacement]]&gt;0, IF(Audit[[#This Row],[Canceled Differences]]&lt;0, Audit[[#This Row],[Max Differences]]+ABS(Audit[[#This Row],[Canceled Differences]]), Audit[[#This Row],[Max Differences]]), 0)</f>
        <v>0</v>
      </c>
      <c r="AT281" s="18">
        <f>'Sampling Data'!AB281</f>
        <v>6.2819989320601812E-4</v>
      </c>
      <c r="AU281" s="18">
        <f>IF(
      SUM(Audit[[#This Row],[Audit Losing Candidate]:[Audit Candidate 12]])
      &lt;&gt;0,
      (Audit[[#This Row],[Winning Candidate]]-Audit[[#This Row],[Losing Candidate]]-(Audit[[#This Row],[Audit Winning Candidate]]-Audit[[#This Row],[Audit Losing Candidate]]))/(Audit[[#Totals],[Winning Candidate]]-Audit[[#Totals],[Losing Candidate]]),
      0
)</f>
        <v>0</v>
      </c>
      <c r="AV2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8">
        <f>IF(Audit[[#This Row],[Max Relative Error (ep)]] = 0, 0, Audit[[#This Row],[Max Relative Error (ep)]]/Audit[[#This Row],[Error Bound (up) - Max. possible relative overstatement]])</f>
        <v>0</v>
      </c>
      <c r="BH2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1" s="18">
        <f t="shared" si="5"/>
        <v>1</v>
      </c>
      <c r="BJ281" s="18">
        <f>PRODUCT($BI$5:BI281)</f>
        <v>0.57146126097022543</v>
      </c>
      <c r="BK281" s="20">
        <f>1 - Audit[[#This Row],[K-M P Value]]</f>
        <v>0.42853873902977457</v>
      </c>
      <c r="BL281" s="18" t="str">
        <f>IF(Audit[[#This Row],[K-M P Value]]&gt;1-'General Info'!$B$12,"Continue", "Stop")</f>
        <v>Continue</v>
      </c>
      <c r="BM281" s="23" t="b">
        <f>IF(Audit[[#This Row],[Status - Continue or stop audit]] = "Continue", TRUE, IF(BL280 = "Continue", TRUE, FALSE))</f>
        <v>1</v>
      </c>
      <c r="BN281" s="23"/>
    </row>
    <row r="282" spans="1:66" ht="15" hidden="1" customHeight="1" x14ac:dyDescent="0.35">
      <c r="A282" s="18" t="str">
        <f>'Sampling Data'!AI282</f>
        <v/>
      </c>
      <c r="B282" s="18" t="str">
        <f>'Sampling Data'!A282</f>
        <v>4431 NORW 3-A   (AV)</v>
      </c>
      <c r="C282" s="18">
        <f>'Sampling Data'!B282</f>
        <v>3</v>
      </c>
      <c r="D282" s="18">
        <f>'Sampling Data'!C282</f>
        <v>3</v>
      </c>
      <c r="E282" s="19">
        <f>'Sampling Data'!D282</f>
        <v>0</v>
      </c>
      <c r="F282" s="19">
        <f>'Sampling Data'!E282</f>
        <v>0</v>
      </c>
      <c r="G282" s="19">
        <f>'Sampling Data'!F282</f>
        <v>0</v>
      </c>
      <c r="H282" s="19">
        <f>'Sampling Data'!G282</f>
        <v>0</v>
      </c>
      <c r="I282" s="19">
        <f>'Sampling Data'!H282</f>
        <v>0</v>
      </c>
      <c r="J282" s="19">
        <f>'Sampling Data'!I282</f>
        <v>0</v>
      </c>
      <c r="K282" s="19">
        <f>'Sampling Data'!J282</f>
        <v>0</v>
      </c>
      <c r="L282" s="19">
        <f>'Sampling Data'!K282</f>
        <v>0</v>
      </c>
      <c r="M282" s="19">
        <f>'Sampling Data'!L282</f>
        <v>0</v>
      </c>
      <c r="N282" s="19">
        <f>'Sampling Data'!M282</f>
        <v>0</v>
      </c>
      <c r="O282" s="18">
        <f>'Sampling Data'!N282</f>
        <v>0</v>
      </c>
      <c r="P282" s="18">
        <f>'Sampling Data'!O282</f>
        <v>0</v>
      </c>
      <c r="Q282" s="18">
        <f>'Sampling Data'!P282</f>
        <v>6</v>
      </c>
      <c r="R282" s="18">
        <f>'Sampling Data'!AJ282</f>
        <v>0</v>
      </c>
      <c r="S282" s="112"/>
      <c r="T282" s="112"/>
      <c r="U282" s="113"/>
      <c r="V282" s="113"/>
      <c r="W282" s="112"/>
      <c r="X282" s="112"/>
      <c r="Y282" s="112"/>
      <c r="Z282" s="112"/>
      <c r="AA282" s="15"/>
      <c r="AB282" s="15"/>
      <c r="AC282" s="15"/>
      <c r="AD282" s="15"/>
      <c r="AE282" s="114" t="str">
        <f>IF(NOT(ISBLANK(Audit[[#This Row],[Audit Winning Candidate]])), Audit[[#This Row],[Audit Winning Candidate]]-Audit[[#This Row],[Winning Candidate]], "")</f>
        <v/>
      </c>
      <c r="AF282" s="18" t="str">
        <f>IF(NOT(ISBLANK(Audit[[#This Row],[Audit Losing Candidate]])), Audit[[#This Row],[Audit Losing Candidate]]-Audit[[#This Row],[Losing Candidate]], "")</f>
        <v/>
      </c>
      <c r="AG282" s="18" t="str">
        <f>IF(NOT(ISBLANK(Audit[[#This Row],[Audit Candidate 3]])), Audit[[#This Row],[Audit Candidate 3]]-Audit[[#This Row],[Candidate 3]], "")</f>
        <v/>
      </c>
      <c r="AH282" s="18" t="str">
        <f>IF(NOT(ISBLANK(Audit[[#This Row],[Audit Candidate 4]])),Audit[[#This Row],[Audit Candidate 4]]-Audit[[#This Row],[Candidate 4]], "")</f>
        <v/>
      </c>
      <c r="AI282" s="18" t="str">
        <f>IF(NOT(ISBLANK(Audit[[#This Row],[Audit Candidate 5]])), Audit[[#This Row],[Audit Candidate 5]]-Audit[[#This Row],[Candidate 5]], "")</f>
        <v/>
      </c>
      <c r="AJ282" s="18" t="str">
        <f>IF(NOT(ISBLANK(Audit[[#This Row],[Audit Candidate 6]])), Audit[[#This Row],[Audit Candidate 6]]-Audit[[#This Row],[Candidate 6]], "")</f>
        <v/>
      </c>
      <c r="AK282" s="18" t="str">
        <f>IF(NOT(ISBLANK(Audit[[#This Row],[Audit Candidate 7]])), Audit[[#This Row],[Audit Candidate 7]]-Audit[[#This Row],[Candidate 7]], "")</f>
        <v/>
      </c>
      <c r="AL282" s="18" t="str">
        <f>IF(NOT(ISBLANK(Audit[[#This Row],[Audit Candidate 8]])), Audit[[#This Row],[Audit Candidate 8]]-Audit[[#This Row],[Candidate 8]], "")</f>
        <v/>
      </c>
      <c r="AM282" s="18" t="str">
        <f>IF(NOT(ISBLANK(Audit[[#This Row],[Audit Candidate 9]])), Audit[[#This Row],[Audit Candidate 9]]-Audit[[#This Row],[Candidate 9]], "")</f>
        <v/>
      </c>
      <c r="AN282" s="18" t="str">
        <f>IF(NOT(ISBLANK(Audit[[#This Row],[Audit Candidate 10]])), Audit[[#This Row],[Audit Candidate 10]]-Audit[[#This Row],[Candidate 10]], "")</f>
        <v/>
      </c>
      <c r="AO282" s="18" t="str">
        <f>IF(NOT(ISBLANK(Audit[[#This Row],[Audit Candidate 11]])), Audit[[#This Row],[Audit Candidate 11]]-Audit[[#This Row],[Candidate 11]], "")</f>
        <v/>
      </c>
      <c r="AP282" s="18" t="str">
        <f>IF(NOT(ISBLANK(Audit[[#This Row],[Audit Candidate 12]])), Audit[[#This Row],[Audit Candidate 12]]-Audit[[#This Row],[Candidate 12]], "")</f>
        <v/>
      </c>
      <c r="AQ282" s="18">
        <f>SUMIF(Audit[[#This Row],[Difference Winner]:[Difference Candidate 12]], "&gt;0")</f>
        <v>0</v>
      </c>
      <c r="AR282" s="18">
        <f>SUM(Audit[[#This Row],[Difference Winner]:[Difference Candidate 12]])</f>
        <v>0</v>
      </c>
      <c r="AS282" s="18">
        <f>IF(Audit[[#This Row],[Times p Drawn - With Replacement]]&gt;0, IF(Audit[[#This Row],[Canceled Differences]]&lt;0, Audit[[#This Row],[Max Differences]]+ABS(Audit[[#This Row],[Canceled Differences]]), Audit[[#This Row],[Max Differences]]), 0)</f>
        <v>0</v>
      </c>
      <c r="AT282" s="18">
        <f>'Sampling Data'!AB282</f>
        <v>1.8845996796180544E-4</v>
      </c>
      <c r="AU282" s="18">
        <f>IF(
      SUM(Audit[[#This Row],[Audit Losing Candidate]:[Audit Candidate 12]])
      &lt;&gt;0,
      (Audit[[#This Row],[Winning Candidate]]-Audit[[#This Row],[Losing Candidate]]-(Audit[[#This Row],[Audit Winning Candidate]]-Audit[[#This Row],[Audit Losing Candidate]]))/(Audit[[#Totals],[Winning Candidate]]-Audit[[#Totals],[Losing Candidate]]),
      0
)</f>
        <v>0</v>
      </c>
      <c r="AV2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8">
        <f>IF(Audit[[#This Row],[Max Relative Error (ep)]] = 0, 0, Audit[[#This Row],[Max Relative Error (ep)]]/Audit[[#This Row],[Error Bound (up) - Max. possible relative overstatement]])</f>
        <v>0</v>
      </c>
      <c r="BH2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2" s="18">
        <f t="shared" si="5"/>
        <v>1</v>
      </c>
      <c r="BJ282" s="18">
        <f>PRODUCT($BI$5:BI282)</f>
        <v>0.57146126097022543</v>
      </c>
      <c r="BK282" s="20">
        <f>1 - Audit[[#This Row],[K-M P Value]]</f>
        <v>0.42853873902977457</v>
      </c>
      <c r="BL282" s="18" t="str">
        <f>IF(Audit[[#This Row],[K-M P Value]]&gt;1-'General Info'!$B$12,"Continue", "Stop")</f>
        <v>Continue</v>
      </c>
      <c r="BM282" s="23" t="b">
        <f>IF(Audit[[#This Row],[Status - Continue or stop audit]] = "Continue", TRUE, IF(BL281 = "Continue", TRUE, FALSE))</f>
        <v>1</v>
      </c>
      <c r="BN282" s="23"/>
    </row>
    <row r="283" spans="1:66" ht="15" hidden="1" customHeight="1" x14ac:dyDescent="0.35">
      <c r="A283" s="18" t="str">
        <f>'Sampling Data'!AI283</f>
        <v/>
      </c>
      <c r="B283" s="18" t="str">
        <f>'Sampling Data'!A283</f>
        <v>4432 NORW 3-B   (AV)</v>
      </c>
      <c r="C283" s="18">
        <f>'Sampling Data'!B283</f>
        <v>8</v>
      </c>
      <c r="D283" s="18">
        <f>'Sampling Data'!C283</f>
        <v>1</v>
      </c>
      <c r="E283" s="19">
        <f>'Sampling Data'!D283</f>
        <v>0</v>
      </c>
      <c r="F283" s="19">
        <f>'Sampling Data'!E283</f>
        <v>0</v>
      </c>
      <c r="G283" s="19">
        <f>'Sampling Data'!F283</f>
        <v>0</v>
      </c>
      <c r="H283" s="19">
        <f>'Sampling Data'!G283</f>
        <v>0</v>
      </c>
      <c r="I283" s="19">
        <f>'Sampling Data'!H283</f>
        <v>0</v>
      </c>
      <c r="J283" s="19">
        <f>'Sampling Data'!I283</f>
        <v>0</v>
      </c>
      <c r="K283" s="19">
        <f>'Sampling Data'!J283</f>
        <v>0</v>
      </c>
      <c r="L283" s="19">
        <f>'Sampling Data'!K283</f>
        <v>0</v>
      </c>
      <c r="M283" s="19">
        <f>'Sampling Data'!L283</f>
        <v>0</v>
      </c>
      <c r="N283" s="19">
        <f>'Sampling Data'!M283</f>
        <v>0</v>
      </c>
      <c r="O283" s="18">
        <f>'Sampling Data'!N283</f>
        <v>0</v>
      </c>
      <c r="P283" s="18">
        <f>'Sampling Data'!O283</f>
        <v>0</v>
      </c>
      <c r="Q283" s="18">
        <f>'Sampling Data'!P283</f>
        <v>9</v>
      </c>
      <c r="R283" s="18">
        <f>'Sampling Data'!AJ283</f>
        <v>0</v>
      </c>
      <c r="S283" s="112"/>
      <c r="T283" s="112"/>
      <c r="U283" s="113"/>
      <c r="V283" s="113"/>
      <c r="W283" s="112"/>
      <c r="X283" s="112"/>
      <c r="Y283" s="112"/>
      <c r="Z283" s="112"/>
      <c r="AA283" s="15"/>
      <c r="AB283" s="15"/>
      <c r="AC283" s="15"/>
      <c r="AD283" s="15"/>
      <c r="AE283" s="114" t="str">
        <f>IF(NOT(ISBLANK(Audit[[#This Row],[Audit Winning Candidate]])), Audit[[#This Row],[Audit Winning Candidate]]-Audit[[#This Row],[Winning Candidate]], "")</f>
        <v/>
      </c>
      <c r="AF283" s="18" t="str">
        <f>IF(NOT(ISBLANK(Audit[[#This Row],[Audit Losing Candidate]])), Audit[[#This Row],[Audit Losing Candidate]]-Audit[[#This Row],[Losing Candidate]], "")</f>
        <v/>
      </c>
      <c r="AG283" s="18" t="str">
        <f>IF(NOT(ISBLANK(Audit[[#This Row],[Audit Candidate 3]])), Audit[[#This Row],[Audit Candidate 3]]-Audit[[#This Row],[Candidate 3]], "")</f>
        <v/>
      </c>
      <c r="AH283" s="18" t="str">
        <f>IF(NOT(ISBLANK(Audit[[#This Row],[Audit Candidate 4]])),Audit[[#This Row],[Audit Candidate 4]]-Audit[[#This Row],[Candidate 4]], "")</f>
        <v/>
      </c>
      <c r="AI283" s="18" t="str">
        <f>IF(NOT(ISBLANK(Audit[[#This Row],[Audit Candidate 5]])), Audit[[#This Row],[Audit Candidate 5]]-Audit[[#This Row],[Candidate 5]], "")</f>
        <v/>
      </c>
      <c r="AJ283" s="18" t="str">
        <f>IF(NOT(ISBLANK(Audit[[#This Row],[Audit Candidate 6]])), Audit[[#This Row],[Audit Candidate 6]]-Audit[[#This Row],[Candidate 6]], "")</f>
        <v/>
      </c>
      <c r="AK283" s="18" t="str">
        <f>IF(NOT(ISBLANK(Audit[[#This Row],[Audit Candidate 7]])), Audit[[#This Row],[Audit Candidate 7]]-Audit[[#This Row],[Candidate 7]], "")</f>
        <v/>
      </c>
      <c r="AL283" s="18" t="str">
        <f>IF(NOT(ISBLANK(Audit[[#This Row],[Audit Candidate 8]])), Audit[[#This Row],[Audit Candidate 8]]-Audit[[#This Row],[Candidate 8]], "")</f>
        <v/>
      </c>
      <c r="AM283" s="18" t="str">
        <f>IF(NOT(ISBLANK(Audit[[#This Row],[Audit Candidate 9]])), Audit[[#This Row],[Audit Candidate 9]]-Audit[[#This Row],[Candidate 9]], "")</f>
        <v/>
      </c>
      <c r="AN283" s="18" t="str">
        <f>IF(NOT(ISBLANK(Audit[[#This Row],[Audit Candidate 10]])), Audit[[#This Row],[Audit Candidate 10]]-Audit[[#This Row],[Candidate 10]], "")</f>
        <v/>
      </c>
      <c r="AO283" s="18" t="str">
        <f>IF(NOT(ISBLANK(Audit[[#This Row],[Audit Candidate 11]])), Audit[[#This Row],[Audit Candidate 11]]-Audit[[#This Row],[Candidate 11]], "")</f>
        <v/>
      </c>
      <c r="AP283" s="18" t="str">
        <f>IF(NOT(ISBLANK(Audit[[#This Row],[Audit Candidate 12]])), Audit[[#This Row],[Audit Candidate 12]]-Audit[[#This Row],[Candidate 12]], "")</f>
        <v/>
      </c>
      <c r="AQ283" s="18">
        <f>SUMIF(Audit[[#This Row],[Difference Winner]:[Difference Candidate 12]], "&gt;0")</f>
        <v>0</v>
      </c>
      <c r="AR283" s="18">
        <f>SUM(Audit[[#This Row],[Difference Winner]:[Difference Candidate 12]])</f>
        <v>0</v>
      </c>
      <c r="AS283" s="18">
        <f>IF(Audit[[#This Row],[Times p Drawn - With Replacement]]&gt;0, IF(Audit[[#This Row],[Canceled Differences]]&lt;0, Audit[[#This Row],[Max Differences]]+ABS(Audit[[#This Row],[Canceled Differences]]), Audit[[#This Row],[Max Differences]]), 0)</f>
        <v>0</v>
      </c>
      <c r="AT283" s="18">
        <f>'Sampling Data'!AB283</f>
        <v>5.0255991456481448E-4</v>
      </c>
      <c r="AU283" s="18">
        <f>IF(
      SUM(Audit[[#This Row],[Audit Losing Candidate]:[Audit Candidate 12]])
      &lt;&gt;0,
      (Audit[[#This Row],[Winning Candidate]]-Audit[[#This Row],[Losing Candidate]]-(Audit[[#This Row],[Audit Winning Candidate]]-Audit[[#This Row],[Audit Losing Candidate]]))/(Audit[[#Totals],[Winning Candidate]]-Audit[[#Totals],[Losing Candidate]]),
      0
)</f>
        <v>0</v>
      </c>
      <c r="AV2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8">
        <f>IF(Audit[[#This Row],[Max Relative Error (ep)]] = 0, 0, Audit[[#This Row],[Max Relative Error (ep)]]/Audit[[#This Row],[Error Bound (up) - Max. possible relative overstatement]])</f>
        <v>0</v>
      </c>
      <c r="BH2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3" s="18">
        <f t="shared" si="5"/>
        <v>1</v>
      </c>
      <c r="BJ283" s="18">
        <f>PRODUCT($BI$5:BI283)</f>
        <v>0.57146126097022543</v>
      </c>
      <c r="BK283" s="20">
        <f>1 - Audit[[#This Row],[K-M P Value]]</f>
        <v>0.42853873902977457</v>
      </c>
      <c r="BL283" s="18" t="str">
        <f>IF(Audit[[#This Row],[K-M P Value]]&gt;1-'General Info'!$B$12,"Continue", "Stop")</f>
        <v>Continue</v>
      </c>
      <c r="BM283" s="23" t="b">
        <f>IF(Audit[[#This Row],[Status - Continue or stop audit]] = "Continue", TRUE, IF(BL282 = "Continue", TRUE, FALSE))</f>
        <v>1</v>
      </c>
      <c r="BN283" s="23"/>
    </row>
    <row r="284" spans="1:66" ht="15" hidden="1" customHeight="1" x14ac:dyDescent="0.35">
      <c r="A284" s="18" t="str">
        <f>'Sampling Data'!AI284</f>
        <v/>
      </c>
      <c r="B284" s="18" t="str">
        <f>'Sampling Data'!A284</f>
        <v>4433 NORW 3-C   (AV)</v>
      </c>
      <c r="C284" s="18">
        <f>'Sampling Data'!B284</f>
        <v>18</v>
      </c>
      <c r="D284" s="18">
        <f>'Sampling Data'!C284</f>
        <v>0</v>
      </c>
      <c r="E284" s="19">
        <f>'Sampling Data'!D284</f>
        <v>0</v>
      </c>
      <c r="F284" s="19">
        <f>'Sampling Data'!E284</f>
        <v>0</v>
      </c>
      <c r="G284" s="19">
        <f>'Sampling Data'!F284</f>
        <v>0</v>
      </c>
      <c r="H284" s="19">
        <f>'Sampling Data'!G284</f>
        <v>0</v>
      </c>
      <c r="I284" s="19">
        <f>'Sampling Data'!H284</f>
        <v>0</v>
      </c>
      <c r="J284" s="19">
        <f>'Sampling Data'!I284</f>
        <v>0</v>
      </c>
      <c r="K284" s="19">
        <f>'Sampling Data'!J284</f>
        <v>0</v>
      </c>
      <c r="L284" s="19">
        <f>'Sampling Data'!K284</f>
        <v>0</v>
      </c>
      <c r="M284" s="19">
        <f>'Sampling Data'!L284</f>
        <v>0</v>
      </c>
      <c r="N284" s="19">
        <f>'Sampling Data'!M284</f>
        <v>0</v>
      </c>
      <c r="O284" s="18">
        <f>'Sampling Data'!N284</f>
        <v>0</v>
      </c>
      <c r="P284" s="18">
        <f>'Sampling Data'!O284</f>
        <v>0</v>
      </c>
      <c r="Q284" s="18">
        <f>'Sampling Data'!P284</f>
        <v>18</v>
      </c>
      <c r="R284" s="18">
        <f>'Sampling Data'!AJ284</f>
        <v>0</v>
      </c>
      <c r="S284" s="112"/>
      <c r="T284" s="112"/>
      <c r="U284" s="113"/>
      <c r="V284" s="113"/>
      <c r="W284" s="112"/>
      <c r="X284" s="112"/>
      <c r="Y284" s="112"/>
      <c r="Z284" s="112"/>
      <c r="AA284" s="15"/>
      <c r="AB284" s="15"/>
      <c r="AC284" s="15"/>
      <c r="AD284" s="15"/>
      <c r="AE284" s="114" t="str">
        <f>IF(NOT(ISBLANK(Audit[[#This Row],[Audit Winning Candidate]])), Audit[[#This Row],[Audit Winning Candidate]]-Audit[[#This Row],[Winning Candidate]], "")</f>
        <v/>
      </c>
      <c r="AF284" s="18" t="str">
        <f>IF(NOT(ISBLANK(Audit[[#This Row],[Audit Losing Candidate]])), Audit[[#This Row],[Audit Losing Candidate]]-Audit[[#This Row],[Losing Candidate]], "")</f>
        <v/>
      </c>
      <c r="AG284" s="18" t="str">
        <f>IF(NOT(ISBLANK(Audit[[#This Row],[Audit Candidate 3]])), Audit[[#This Row],[Audit Candidate 3]]-Audit[[#This Row],[Candidate 3]], "")</f>
        <v/>
      </c>
      <c r="AH284" s="18" t="str">
        <f>IF(NOT(ISBLANK(Audit[[#This Row],[Audit Candidate 4]])),Audit[[#This Row],[Audit Candidate 4]]-Audit[[#This Row],[Candidate 4]], "")</f>
        <v/>
      </c>
      <c r="AI284" s="18" t="str">
        <f>IF(NOT(ISBLANK(Audit[[#This Row],[Audit Candidate 5]])), Audit[[#This Row],[Audit Candidate 5]]-Audit[[#This Row],[Candidate 5]], "")</f>
        <v/>
      </c>
      <c r="AJ284" s="18" t="str">
        <f>IF(NOT(ISBLANK(Audit[[#This Row],[Audit Candidate 6]])), Audit[[#This Row],[Audit Candidate 6]]-Audit[[#This Row],[Candidate 6]], "")</f>
        <v/>
      </c>
      <c r="AK284" s="18" t="str">
        <f>IF(NOT(ISBLANK(Audit[[#This Row],[Audit Candidate 7]])), Audit[[#This Row],[Audit Candidate 7]]-Audit[[#This Row],[Candidate 7]], "")</f>
        <v/>
      </c>
      <c r="AL284" s="18" t="str">
        <f>IF(NOT(ISBLANK(Audit[[#This Row],[Audit Candidate 8]])), Audit[[#This Row],[Audit Candidate 8]]-Audit[[#This Row],[Candidate 8]], "")</f>
        <v/>
      </c>
      <c r="AM284" s="18" t="str">
        <f>IF(NOT(ISBLANK(Audit[[#This Row],[Audit Candidate 9]])), Audit[[#This Row],[Audit Candidate 9]]-Audit[[#This Row],[Candidate 9]], "")</f>
        <v/>
      </c>
      <c r="AN284" s="18" t="str">
        <f>IF(NOT(ISBLANK(Audit[[#This Row],[Audit Candidate 10]])), Audit[[#This Row],[Audit Candidate 10]]-Audit[[#This Row],[Candidate 10]], "")</f>
        <v/>
      </c>
      <c r="AO284" s="18" t="str">
        <f>IF(NOT(ISBLANK(Audit[[#This Row],[Audit Candidate 11]])), Audit[[#This Row],[Audit Candidate 11]]-Audit[[#This Row],[Candidate 11]], "")</f>
        <v/>
      </c>
      <c r="AP284" s="18" t="str">
        <f>IF(NOT(ISBLANK(Audit[[#This Row],[Audit Candidate 12]])), Audit[[#This Row],[Audit Candidate 12]]-Audit[[#This Row],[Candidate 12]], "")</f>
        <v/>
      </c>
      <c r="AQ284" s="18">
        <f>SUMIF(Audit[[#This Row],[Difference Winner]:[Difference Candidate 12]], "&gt;0")</f>
        <v>0</v>
      </c>
      <c r="AR284" s="18">
        <f>SUM(Audit[[#This Row],[Difference Winner]:[Difference Candidate 12]])</f>
        <v>0</v>
      </c>
      <c r="AS284" s="18">
        <f>IF(Audit[[#This Row],[Times p Drawn - With Replacement]]&gt;0, IF(Audit[[#This Row],[Canceled Differences]]&lt;0, Audit[[#This Row],[Max Differences]]+ABS(Audit[[#This Row],[Canceled Differences]]), Audit[[#This Row],[Max Differences]]), 0)</f>
        <v>0</v>
      </c>
      <c r="AT284" s="18">
        <f>'Sampling Data'!AB284</f>
        <v>1.1307598077708327E-3</v>
      </c>
      <c r="AU284" s="18">
        <f>IF(
      SUM(Audit[[#This Row],[Audit Losing Candidate]:[Audit Candidate 12]])
      &lt;&gt;0,
      (Audit[[#This Row],[Winning Candidate]]-Audit[[#This Row],[Losing Candidate]]-(Audit[[#This Row],[Audit Winning Candidate]]-Audit[[#This Row],[Audit Losing Candidate]]))/(Audit[[#Totals],[Winning Candidate]]-Audit[[#Totals],[Losing Candidate]]),
      0
)</f>
        <v>0</v>
      </c>
      <c r="AV2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8">
        <f>IF(Audit[[#This Row],[Max Relative Error (ep)]] = 0, 0, Audit[[#This Row],[Max Relative Error (ep)]]/Audit[[#This Row],[Error Bound (up) - Max. possible relative overstatement]])</f>
        <v>0</v>
      </c>
      <c r="BH2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4" s="18">
        <f t="shared" si="5"/>
        <v>1</v>
      </c>
      <c r="BJ284" s="18">
        <f>PRODUCT($BI$5:BI284)</f>
        <v>0.57146126097022543</v>
      </c>
      <c r="BK284" s="20">
        <f>1 - Audit[[#This Row],[K-M P Value]]</f>
        <v>0.42853873902977457</v>
      </c>
      <c r="BL284" s="18" t="str">
        <f>IF(Audit[[#This Row],[K-M P Value]]&gt;1-'General Info'!$B$12,"Continue", "Stop")</f>
        <v>Continue</v>
      </c>
      <c r="BM284" s="23" t="b">
        <f>IF(Audit[[#This Row],[Status - Continue or stop audit]] = "Continue", TRUE, IF(BL283 = "Continue", TRUE, FALSE))</f>
        <v>1</v>
      </c>
      <c r="BN284" s="23"/>
    </row>
    <row r="285" spans="1:66" ht="15" hidden="1" customHeight="1" x14ac:dyDescent="0.35">
      <c r="A285" s="18" t="str">
        <f>'Sampling Data'!AI285</f>
        <v/>
      </c>
      <c r="B285" s="18" t="str">
        <f>'Sampling Data'!A285</f>
        <v>4441 NORW 4-A   (AV)</v>
      </c>
      <c r="C285" s="18">
        <f>'Sampling Data'!B285</f>
        <v>7</v>
      </c>
      <c r="D285" s="18">
        <f>'Sampling Data'!C285</f>
        <v>1</v>
      </c>
      <c r="E285" s="19">
        <f>'Sampling Data'!D285</f>
        <v>0</v>
      </c>
      <c r="F285" s="19">
        <f>'Sampling Data'!E285</f>
        <v>0</v>
      </c>
      <c r="G285" s="19">
        <f>'Sampling Data'!F285</f>
        <v>0</v>
      </c>
      <c r="H285" s="19">
        <f>'Sampling Data'!G285</f>
        <v>0</v>
      </c>
      <c r="I285" s="19">
        <f>'Sampling Data'!H285</f>
        <v>0</v>
      </c>
      <c r="J285" s="19">
        <f>'Sampling Data'!I285</f>
        <v>0</v>
      </c>
      <c r="K285" s="19">
        <f>'Sampling Data'!J285</f>
        <v>0</v>
      </c>
      <c r="L285" s="19">
        <f>'Sampling Data'!K285</f>
        <v>0</v>
      </c>
      <c r="M285" s="19">
        <f>'Sampling Data'!L285</f>
        <v>0</v>
      </c>
      <c r="N285" s="19">
        <f>'Sampling Data'!M285</f>
        <v>0</v>
      </c>
      <c r="O285" s="18">
        <f>'Sampling Data'!N285</f>
        <v>0</v>
      </c>
      <c r="P285" s="18">
        <f>'Sampling Data'!O285</f>
        <v>0</v>
      </c>
      <c r="Q285" s="18">
        <f>'Sampling Data'!P285</f>
        <v>8</v>
      </c>
      <c r="R285" s="18">
        <f>'Sampling Data'!AJ285</f>
        <v>0</v>
      </c>
      <c r="S285" s="112"/>
      <c r="T285" s="112"/>
      <c r="U285" s="113"/>
      <c r="V285" s="113"/>
      <c r="W285" s="112"/>
      <c r="X285" s="112"/>
      <c r="Y285" s="112"/>
      <c r="Z285" s="112"/>
      <c r="AA285" s="15"/>
      <c r="AB285" s="15"/>
      <c r="AC285" s="15"/>
      <c r="AD285" s="15"/>
      <c r="AE285" s="114" t="str">
        <f>IF(NOT(ISBLANK(Audit[[#This Row],[Audit Winning Candidate]])), Audit[[#This Row],[Audit Winning Candidate]]-Audit[[#This Row],[Winning Candidate]], "")</f>
        <v/>
      </c>
      <c r="AF285" s="18" t="str">
        <f>IF(NOT(ISBLANK(Audit[[#This Row],[Audit Losing Candidate]])), Audit[[#This Row],[Audit Losing Candidate]]-Audit[[#This Row],[Losing Candidate]], "")</f>
        <v/>
      </c>
      <c r="AG285" s="18" t="str">
        <f>IF(NOT(ISBLANK(Audit[[#This Row],[Audit Candidate 3]])), Audit[[#This Row],[Audit Candidate 3]]-Audit[[#This Row],[Candidate 3]], "")</f>
        <v/>
      </c>
      <c r="AH285" s="18" t="str">
        <f>IF(NOT(ISBLANK(Audit[[#This Row],[Audit Candidate 4]])),Audit[[#This Row],[Audit Candidate 4]]-Audit[[#This Row],[Candidate 4]], "")</f>
        <v/>
      </c>
      <c r="AI285" s="18" t="str">
        <f>IF(NOT(ISBLANK(Audit[[#This Row],[Audit Candidate 5]])), Audit[[#This Row],[Audit Candidate 5]]-Audit[[#This Row],[Candidate 5]], "")</f>
        <v/>
      </c>
      <c r="AJ285" s="18" t="str">
        <f>IF(NOT(ISBLANK(Audit[[#This Row],[Audit Candidate 6]])), Audit[[#This Row],[Audit Candidate 6]]-Audit[[#This Row],[Candidate 6]], "")</f>
        <v/>
      </c>
      <c r="AK285" s="18" t="str">
        <f>IF(NOT(ISBLANK(Audit[[#This Row],[Audit Candidate 7]])), Audit[[#This Row],[Audit Candidate 7]]-Audit[[#This Row],[Candidate 7]], "")</f>
        <v/>
      </c>
      <c r="AL285" s="18" t="str">
        <f>IF(NOT(ISBLANK(Audit[[#This Row],[Audit Candidate 8]])), Audit[[#This Row],[Audit Candidate 8]]-Audit[[#This Row],[Candidate 8]], "")</f>
        <v/>
      </c>
      <c r="AM285" s="18" t="str">
        <f>IF(NOT(ISBLANK(Audit[[#This Row],[Audit Candidate 9]])), Audit[[#This Row],[Audit Candidate 9]]-Audit[[#This Row],[Candidate 9]], "")</f>
        <v/>
      </c>
      <c r="AN285" s="18" t="str">
        <f>IF(NOT(ISBLANK(Audit[[#This Row],[Audit Candidate 10]])), Audit[[#This Row],[Audit Candidate 10]]-Audit[[#This Row],[Candidate 10]], "")</f>
        <v/>
      </c>
      <c r="AO285" s="18" t="str">
        <f>IF(NOT(ISBLANK(Audit[[#This Row],[Audit Candidate 11]])), Audit[[#This Row],[Audit Candidate 11]]-Audit[[#This Row],[Candidate 11]], "")</f>
        <v/>
      </c>
      <c r="AP285" s="18" t="str">
        <f>IF(NOT(ISBLANK(Audit[[#This Row],[Audit Candidate 12]])), Audit[[#This Row],[Audit Candidate 12]]-Audit[[#This Row],[Candidate 12]], "")</f>
        <v/>
      </c>
      <c r="AQ285" s="18">
        <f>SUMIF(Audit[[#This Row],[Difference Winner]:[Difference Candidate 12]], "&gt;0")</f>
        <v>0</v>
      </c>
      <c r="AR285" s="18">
        <f>SUM(Audit[[#This Row],[Difference Winner]:[Difference Candidate 12]])</f>
        <v>0</v>
      </c>
      <c r="AS285" s="18">
        <f>IF(Audit[[#This Row],[Times p Drawn - With Replacement]]&gt;0, IF(Audit[[#This Row],[Canceled Differences]]&lt;0, Audit[[#This Row],[Max Differences]]+ABS(Audit[[#This Row],[Canceled Differences]]), Audit[[#This Row],[Max Differences]]), 0)</f>
        <v>0</v>
      </c>
      <c r="AT285" s="18">
        <f>'Sampling Data'!AB285</f>
        <v>4.3973992524421271E-4</v>
      </c>
      <c r="AU285" s="18">
        <f>IF(
      SUM(Audit[[#This Row],[Audit Losing Candidate]:[Audit Candidate 12]])
      &lt;&gt;0,
      (Audit[[#This Row],[Winning Candidate]]-Audit[[#This Row],[Losing Candidate]]-(Audit[[#This Row],[Audit Winning Candidate]]-Audit[[#This Row],[Audit Losing Candidate]]))/(Audit[[#Totals],[Winning Candidate]]-Audit[[#Totals],[Losing Candidate]]),
      0
)</f>
        <v>0</v>
      </c>
      <c r="AV2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8">
        <f>IF(Audit[[#This Row],[Max Relative Error (ep)]] = 0, 0, Audit[[#This Row],[Max Relative Error (ep)]]/Audit[[#This Row],[Error Bound (up) - Max. possible relative overstatement]])</f>
        <v>0</v>
      </c>
      <c r="BH2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5" s="18">
        <f t="shared" si="5"/>
        <v>1</v>
      </c>
      <c r="BJ285" s="18">
        <f>PRODUCT($BI$5:BI285)</f>
        <v>0.57146126097022543</v>
      </c>
      <c r="BK285" s="20">
        <f>1 - Audit[[#This Row],[K-M P Value]]</f>
        <v>0.42853873902977457</v>
      </c>
      <c r="BL285" s="18" t="str">
        <f>IF(Audit[[#This Row],[K-M P Value]]&gt;1-'General Info'!$B$12,"Continue", "Stop")</f>
        <v>Continue</v>
      </c>
      <c r="BM285" s="23" t="b">
        <f>IF(Audit[[#This Row],[Status - Continue or stop audit]] = "Continue", TRUE, IF(BL284 = "Continue", TRUE, FALSE))</f>
        <v>1</v>
      </c>
      <c r="BN285" s="23"/>
    </row>
    <row r="286" spans="1:66" ht="15" hidden="1" customHeight="1" x14ac:dyDescent="0.35">
      <c r="A286" s="18" t="str">
        <f>'Sampling Data'!AI286</f>
        <v/>
      </c>
      <c r="B286" s="18" t="str">
        <f>'Sampling Data'!A286</f>
        <v>4442 NORW 4-B   (AV)</v>
      </c>
      <c r="C286" s="18">
        <f>'Sampling Data'!B286</f>
        <v>12</v>
      </c>
      <c r="D286" s="18">
        <f>'Sampling Data'!C286</f>
        <v>1</v>
      </c>
      <c r="E286" s="19">
        <f>'Sampling Data'!D286</f>
        <v>0</v>
      </c>
      <c r="F286" s="19">
        <f>'Sampling Data'!E286</f>
        <v>0</v>
      </c>
      <c r="G286" s="19">
        <f>'Sampling Data'!F286</f>
        <v>0</v>
      </c>
      <c r="H286" s="19">
        <f>'Sampling Data'!G286</f>
        <v>0</v>
      </c>
      <c r="I286" s="19">
        <f>'Sampling Data'!H286</f>
        <v>0</v>
      </c>
      <c r="J286" s="19">
        <f>'Sampling Data'!I286</f>
        <v>0</v>
      </c>
      <c r="K286" s="19">
        <f>'Sampling Data'!J286</f>
        <v>0</v>
      </c>
      <c r="L286" s="19">
        <f>'Sampling Data'!K286</f>
        <v>0</v>
      </c>
      <c r="M286" s="19">
        <f>'Sampling Data'!L286</f>
        <v>0</v>
      </c>
      <c r="N286" s="19">
        <f>'Sampling Data'!M286</f>
        <v>0</v>
      </c>
      <c r="O286" s="18">
        <f>'Sampling Data'!N286</f>
        <v>0</v>
      </c>
      <c r="P286" s="18">
        <f>'Sampling Data'!O286</f>
        <v>0</v>
      </c>
      <c r="Q286" s="18">
        <f>'Sampling Data'!P286</f>
        <v>13</v>
      </c>
      <c r="R286" s="18">
        <f>'Sampling Data'!AJ286</f>
        <v>0</v>
      </c>
      <c r="S286" s="112"/>
      <c r="T286" s="112"/>
      <c r="U286" s="113"/>
      <c r="V286" s="113"/>
      <c r="W286" s="112"/>
      <c r="X286" s="112"/>
      <c r="Y286" s="112"/>
      <c r="Z286" s="112"/>
      <c r="AA286" s="15"/>
      <c r="AB286" s="15"/>
      <c r="AC286" s="15"/>
      <c r="AD286" s="15"/>
      <c r="AE286" s="114" t="str">
        <f>IF(NOT(ISBLANK(Audit[[#This Row],[Audit Winning Candidate]])), Audit[[#This Row],[Audit Winning Candidate]]-Audit[[#This Row],[Winning Candidate]], "")</f>
        <v/>
      </c>
      <c r="AF286" s="18" t="str">
        <f>IF(NOT(ISBLANK(Audit[[#This Row],[Audit Losing Candidate]])), Audit[[#This Row],[Audit Losing Candidate]]-Audit[[#This Row],[Losing Candidate]], "")</f>
        <v/>
      </c>
      <c r="AG286" s="18" t="str">
        <f>IF(NOT(ISBLANK(Audit[[#This Row],[Audit Candidate 3]])), Audit[[#This Row],[Audit Candidate 3]]-Audit[[#This Row],[Candidate 3]], "")</f>
        <v/>
      </c>
      <c r="AH286" s="18" t="str">
        <f>IF(NOT(ISBLANK(Audit[[#This Row],[Audit Candidate 4]])),Audit[[#This Row],[Audit Candidate 4]]-Audit[[#This Row],[Candidate 4]], "")</f>
        <v/>
      </c>
      <c r="AI286" s="18" t="str">
        <f>IF(NOT(ISBLANK(Audit[[#This Row],[Audit Candidate 5]])), Audit[[#This Row],[Audit Candidate 5]]-Audit[[#This Row],[Candidate 5]], "")</f>
        <v/>
      </c>
      <c r="AJ286" s="18" t="str">
        <f>IF(NOT(ISBLANK(Audit[[#This Row],[Audit Candidate 6]])), Audit[[#This Row],[Audit Candidate 6]]-Audit[[#This Row],[Candidate 6]], "")</f>
        <v/>
      </c>
      <c r="AK286" s="18" t="str">
        <f>IF(NOT(ISBLANK(Audit[[#This Row],[Audit Candidate 7]])), Audit[[#This Row],[Audit Candidate 7]]-Audit[[#This Row],[Candidate 7]], "")</f>
        <v/>
      </c>
      <c r="AL286" s="18" t="str">
        <f>IF(NOT(ISBLANK(Audit[[#This Row],[Audit Candidate 8]])), Audit[[#This Row],[Audit Candidate 8]]-Audit[[#This Row],[Candidate 8]], "")</f>
        <v/>
      </c>
      <c r="AM286" s="18" t="str">
        <f>IF(NOT(ISBLANK(Audit[[#This Row],[Audit Candidate 9]])), Audit[[#This Row],[Audit Candidate 9]]-Audit[[#This Row],[Candidate 9]], "")</f>
        <v/>
      </c>
      <c r="AN286" s="18" t="str">
        <f>IF(NOT(ISBLANK(Audit[[#This Row],[Audit Candidate 10]])), Audit[[#This Row],[Audit Candidate 10]]-Audit[[#This Row],[Candidate 10]], "")</f>
        <v/>
      </c>
      <c r="AO286" s="18" t="str">
        <f>IF(NOT(ISBLANK(Audit[[#This Row],[Audit Candidate 11]])), Audit[[#This Row],[Audit Candidate 11]]-Audit[[#This Row],[Candidate 11]], "")</f>
        <v/>
      </c>
      <c r="AP286" s="18" t="str">
        <f>IF(NOT(ISBLANK(Audit[[#This Row],[Audit Candidate 12]])), Audit[[#This Row],[Audit Candidate 12]]-Audit[[#This Row],[Candidate 12]], "")</f>
        <v/>
      </c>
      <c r="AQ286" s="18">
        <f>SUMIF(Audit[[#This Row],[Difference Winner]:[Difference Candidate 12]], "&gt;0")</f>
        <v>0</v>
      </c>
      <c r="AR286" s="18">
        <f>SUM(Audit[[#This Row],[Difference Winner]:[Difference Candidate 12]])</f>
        <v>0</v>
      </c>
      <c r="AS286" s="18">
        <f>IF(Audit[[#This Row],[Times p Drawn - With Replacement]]&gt;0, IF(Audit[[#This Row],[Canceled Differences]]&lt;0, Audit[[#This Row],[Max Differences]]+ABS(Audit[[#This Row],[Canceled Differences]]), Audit[[#This Row],[Max Differences]]), 0)</f>
        <v>0</v>
      </c>
      <c r="AT286" s="18">
        <f>'Sampling Data'!AB286</f>
        <v>7.5383987184722177E-4</v>
      </c>
      <c r="AU286" s="18">
        <f>IF(
      SUM(Audit[[#This Row],[Audit Losing Candidate]:[Audit Candidate 12]])
      &lt;&gt;0,
      (Audit[[#This Row],[Winning Candidate]]-Audit[[#This Row],[Losing Candidate]]-(Audit[[#This Row],[Audit Winning Candidate]]-Audit[[#This Row],[Audit Losing Candidate]]))/(Audit[[#Totals],[Winning Candidate]]-Audit[[#Totals],[Losing Candidate]]),
      0
)</f>
        <v>0</v>
      </c>
      <c r="AV2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8">
        <f>IF(Audit[[#This Row],[Max Relative Error (ep)]] = 0, 0, Audit[[#This Row],[Max Relative Error (ep)]]/Audit[[#This Row],[Error Bound (up) - Max. possible relative overstatement]])</f>
        <v>0</v>
      </c>
      <c r="BH2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6" s="18">
        <f t="shared" si="5"/>
        <v>1</v>
      </c>
      <c r="BJ286" s="18">
        <f>PRODUCT($BI$5:BI286)</f>
        <v>0.57146126097022543</v>
      </c>
      <c r="BK286" s="20">
        <f>1 - Audit[[#This Row],[K-M P Value]]</f>
        <v>0.42853873902977457</v>
      </c>
      <c r="BL286" s="18" t="str">
        <f>IF(Audit[[#This Row],[K-M P Value]]&gt;1-'General Info'!$B$12,"Continue", "Stop")</f>
        <v>Continue</v>
      </c>
      <c r="BM286" s="23" t="b">
        <f>IF(Audit[[#This Row],[Status - Continue or stop audit]] = "Continue", TRUE, IF(BL285 = "Continue", TRUE, FALSE))</f>
        <v>1</v>
      </c>
      <c r="BN286" s="23"/>
    </row>
    <row r="287" spans="1:66" ht="15" hidden="1" customHeight="1" x14ac:dyDescent="0.35">
      <c r="A287" s="18" t="str">
        <f>'Sampling Data'!AI287</f>
        <v/>
      </c>
      <c r="B287" s="18" t="str">
        <f>'Sampling Data'!A287</f>
        <v>4443 NORW 4-C   (AV)</v>
      </c>
      <c r="C287" s="18">
        <f>'Sampling Data'!B287</f>
        <v>14</v>
      </c>
      <c r="D287" s="18">
        <f>'Sampling Data'!C287</f>
        <v>3</v>
      </c>
      <c r="E287" s="19">
        <f>'Sampling Data'!D287</f>
        <v>0</v>
      </c>
      <c r="F287" s="19">
        <f>'Sampling Data'!E287</f>
        <v>0</v>
      </c>
      <c r="G287" s="19">
        <f>'Sampling Data'!F287</f>
        <v>0</v>
      </c>
      <c r="H287" s="19">
        <f>'Sampling Data'!G287</f>
        <v>0</v>
      </c>
      <c r="I287" s="19">
        <f>'Sampling Data'!H287</f>
        <v>0</v>
      </c>
      <c r="J287" s="19">
        <f>'Sampling Data'!I287</f>
        <v>0</v>
      </c>
      <c r="K287" s="19">
        <f>'Sampling Data'!J287</f>
        <v>0</v>
      </c>
      <c r="L287" s="19">
        <f>'Sampling Data'!K287</f>
        <v>0</v>
      </c>
      <c r="M287" s="19">
        <f>'Sampling Data'!L287</f>
        <v>0</v>
      </c>
      <c r="N287" s="19">
        <f>'Sampling Data'!M287</f>
        <v>0</v>
      </c>
      <c r="O287" s="18">
        <f>'Sampling Data'!N287</f>
        <v>0</v>
      </c>
      <c r="P287" s="18">
        <f>'Sampling Data'!O287</f>
        <v>1</v>
      </c>
      <c r="Q287" s="18">
        <f>'Sampling Data'!P287</f>
        <v>18</v>
      </c>
      <c r="R287" s="18">
        <f>'Sampling Data'!AJ287</f>
        <v>0</v>
      </c>
      <c r="S287" s="112"/>
      <c r="T287" s="112"/>
      <c r="U287" s="113"/>
      <c r="V287" s="113"/>
      <c r="W287" s="112"/>
      <c r="X287" s="112"/>
      <c r="Y287" s="112"/>
      <c r="Z287" s="112"/>
      <c r="AA287" s="15"/>
      <c r="AB287" s="15"/>
      <c r="AC287" s="15"/>
      <c r="AD287" s="15"/>
      <c r="AE287" s="114" t="str">
        <f>IF(NOT(ISBLANK(Audit[[#This Row],[Audit Winning Candidate]])), Audit[[#This Row],[Audit Winning Candidate]]-Audit[[#This Row],[Winning Candidate]], "")</f>
        <v/>
      </c>
      <c r="AF287" s="18" t="str">
        <f>IF(NOT(ISBLANK(Audit[[#This Row],[Audit Losing Candidate]])), Audit[[#This Row],[Audit Losing Candidate]]-Audit[[#This Row],[Losing Candidate]], "")</f>
        <v/>
      </c>
      <c r="AG287" s="18" t="str">
        <f>IF(NOT(ISBLANK(Audit[[#This Row],[Audit Candidate 3]])), Audit[[#This Row],[Audit Candidate 3]]-Audit[[#This Row],[Candidate 3]], "")</f>
        <v/>
      </c>
      <c r="AH287" s="18" t="str">
        <f>IF(NOT(ISBLANK(Audit[[#This Row],[Audit Candidate 4]])),Audit[[#This Row],[Audit Candidate 4]]-Audit[[#This Row],[Candidate 4]], "")</f>
        <v/>
      </c>
      <c r="AI287" s="18" t="str">
        <f>IF(NOT(ISBLANK(Audit[[#This Row],[Audit Candidate 5]])), Audit[[#This Row],[Audit Candidate 5]]-Audit[[#This Row],[Candidate 5]], "")</f>
        <v/>
      </c>
      <c r="AJ287" s="18" t="str">
        <f>IF(NOT(ISBLANK(Audit[[#This Row],[Audit Candidate 6]])), Audit[[#This Row],[Audit Candidate 6]]-Audit[[#This Row],[Candidate 6]], "")</f>
        <v/>
      </c>
      <c r="AK287" s="18" t="str">
        <f>IF(NOT(ISBLANK(Audit[[#This Row],[Audit Candidate 7]])), Audit[[#This Row],[Audit Candidate 7]]-Audit[[#This Row],[Candidate 7]], "")</f>
        <v/>
      </c>
      <c r="AL287" s="18" t="str">
        <f>IF(NOT(ISBLANK(Audit[[#This Row],[Audit Candidate 8]])), Audit[[#This Row],[Audit Candidate 8]]-Audit[[#This Row],[Candidate 8]], "")</f>
        <v/>
      </c>
      <c r="AM287" s="18" t="str">
        <f>IF(NOT(ISBLANK(Audit[[#This Row],[Audit Candidate 9]])), Audit[[#This Row],[Audit Candidate 9]]-Audit[[#This Row],[Candidate 9]], "")</f>
        <v/>
      </c>
      <c r="AN287" s="18" t="str">
        <f>IF(NOT(ISBLANK(Audit[[#This Row],[Audit Candidate 10]])), Audit[[#This Row],[Audit Candidate 10]]-Audit[[#This Row],[Candidate 10]], "")</f>
        <v/>
      </c>
      <c r="AO287" s="18" t="str">
        <f>IF(NOT(ISBLANK(Audit[[#This Row],[Audit Candidate 11]])), Audit[[#This Row],[Audit Candidate 11]]-Audit[[#This Row],[Candidate 11]], "")</f>
        <v/>
      </c>
      <c r="AP287" s="18" t="str">
        <f>IF(NOT(ISBLANK(Audit[[#This Row],[Audit Candidate 12]])), Audit[[#This Row],[Audit Candidate 12]]-Audit[[#This Row],[Candidate 12]], "")</f>
        <v/>
      </c>
      <c r="AQ287" s="18">
        <f>SUMIF(Audit[[#This Row],[Difference Winner]:[Difference Candidate 12]], "&gt;0")</f>
        <v>0</v>
      </c>
      <c r="AR287" s="18">
        <f>SUM(Audit[[#This Row],[Difference Winner]:[Difference Candidate 12]])</f>
        <v>0</v>
      </c>
      <c r="AS287" s="18">
        <f>IF(Audit[[#This Row],[Times p Drawn - With Replacement]]&gt;0, IF(Audit[[#This Row],[Canceled Differences]]&lt;0, Audit[[#This Row],[Max Differences]]+ABS(Audit[[#This Row],[Canceled Differences]]), Audit[[#This Row],[Max Differences]]), 0)</f>
        <v>0</v>
      </c>
      <c r="AT287" s="18">
        <f>'Sampling Data'!AB287</f>
        <v>9.108898451487263E-4</v>
      </c>
      <c r="AU287" s="18">
        <f>IF(
      SUM(Audit[[#This Row],[Audit Losing Candidate]:[Audit Candidate 12]])
      &lt;&gt;0,
      (Audit[[#This Row],[Winning Candidate]]-Audit[[#This Row],[Losing Candidate]]-(Audit[[#This Row],[Audit Winning Candidate]]-Audit[[#This Row],[Audit Losing Candidate]]))/(Audit[[#Totals],[Winning Candidate]]-Audit[[#Totals],[Losing Candidate]]),
      0
)</f>
        <v>0</v>
      </c>
      <c r="AV2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8">
        <f>IF(Audit[[#This Row],[Max Relative Error (ep)]] = 0, 0, Audit[[#This Row],[Max Relative Error (ep)]]/Audit[[#This Row],[Error Bound (up) - Max. possible relative overstatement]])</f>
        <v>0</v>
      </c>
      <c r="BH2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7" s="18">
        <f t="shared" si="5"/>
        <v>1</v>
      </c>
      <c r="BJ287" s="18">
        <f>PRODUCT($BI$5:BI287)</f>
        <v>0.57146126097022543</v>
      </c>
      <c r="BK287" s="20">
        <f>1 - Audit[[#This Row],[K-M P Value]]</f>
        <v>0.42853873902977457</v>
      </c>
      <c r="BL287" s="18" t="str">
        <f>IF(Audit[[#This Row],[K-M P Value]]&gt;1-'General Info'!$B$12,"Continue", "Stop")</f>
        <v>Continue</v>
      </c>
      <c r="BM287" s="23" t="b">
        <f>IF(Audit[[#This Row],[Status - Continue or stop audit]] = "Continue", TRUE, IF(BL286 = "Continue", TRUE, FALSE))</f>
        <v>1</v>
      </c>
      <c r="BN287" s="23"/>
    </row>
    <row r="288" spans="1:66" ht="15" hidden="1" customHeight="1" x14ac:dyDescent="0.35">
      <c r="A288" s="18" t="str">
        <f>'Sampling Data'!AI288</f>
        <v/>
      </c>
      <c r="B288" s="18" t="str">
        <f>'Sampling Data'!A288</f>
        <v>4611 READ 1-A   (AV)</v>
      </c>
      <c r="C288" s="18">
        <f>'Sampling Data'!B288</f>
        <v>14</v>
      </c>
      <c r="D288" s="18">
        <f>'Sampling Data'!C288</f>
        <v>4</v>
      </c>
      <c r="E288" s="19">
        <f>'Sampling Data'!D288</f>
        <v>0</v>
      </c>
      <c r="F288" s="19">
        <f>'Sampling Data'!E288</f>
        <v>0</v>
      </c>
      <c r="G288" s="19">
        <f>'Sampling Data'!F288</f>
        <v>0</v>
      </c>
      <c r="H288" s="19">
        <f>'Sampling Data'!G288</f>
        <v>0</v>
      </c>
      <c r="I288" s="19">
        <f>'Sampling Data'!H288</f>
        <v>0</v>
      </c>
      <c r="J288" s="19">
        <f>'Sampling Data'!I288</f>
        <v>0</v>
      </c>
      <c r="K288" s="19">
        <f>'Sampling Data'!J288</f>
        <v>0</v>
      </c>
      <c r="L288" s="19">
        <f>'Sampling Data'!K288</f>
        <v>0</v>
      </c>
      <c r="M288" s="19">
        <f>'Sampling Data'!L288</f>
        <v>0</v>
      </c>
      <c r="N288" s="19">
        <f>'Sampling Data'!M288</f>
        <v>0</v>
      </c>
      <c r="O288" s="18">
        <f>'Sampling Data'!N288</f>
        <v>0</v>
      </c>
      <c r="P288" s="18">
        <f>'Sampling Data'!O288</f>
        <v>0</v>
      </c>
      <c r="Q288" s="18">
        <f>'Sampling Data'!P288</f>
        <v>18</v>
      </c>
      <c r="R288" s="18">
        <f>'Sampling Data'!AJ288</f>
        <v>0</v>
      </c>
      <c r="S288" s="112"/>
      <c r="T288" s="112"/>
      <c r="U288" s="113"/>
      <c r="V288" s="113"/>
      <c r="W288" s="112"/>
      <c r="X288" s="112"/>
      <c r="Y288" s="112"/>
      <c r="Z288" s="112"/>
      <c r="AA288" s="15"/>
      <c r="AB288" s="15"/>
      <c r="AC288" s="15"/>
      <c r="AD288" s="15"/>
      <c r="AE288" s="114" t="str">
        <f>IF(NOT(ISBLANK(Audit[[#This Row],[Audit Winning Candidate]])), Audit[[#This Row],[Audit Winning Candidate]]-Audit[[#This Row],[Winning Candidate]], "")</f>
        <v/>
      </c>
      <c r="AF288" s="18" t="str">
        <f>IF(NOT(ISBLANK(Audit[[#This Row],[Audit Losing Candidate]])), Audit[[#This Row],[Audit Losing Candidate]]-Audit[[#This Row],[Losing Candidate]], "")</f>
        <v/>
      </c>
      <c r="AG288" s="18" t="str">
        <f>IF(NOT(ISBLANK(Audit[[#This Row],[Audit Candidate 3]])), Audit[[#This Row],[Audit Candidate 3]]-Audit[[#This Row],[Candidate 3]], "")</f>
        <v/>
      </c>
      <c r="AH288" s="18" t="str">
        <f>IF(NOT(ISBLANK(Audit[[#This Row],[Audit Candidate 4]])),Audit[[#This Row],[Audit Candidate 4]]-Audit[[#This Row],[Candidate 4]], "")</f>
        <v/>
      </c>
      <c r="AI288" s="18" t="str">
        <f>IF(NOT(ISBLANK(Audit[[#This Row],[Audit Candidate 5]])), Audit[[#This Row],[Audit Candidate 5]]-Audit[[#This Row],[Candidate 5]], "")</f>
        <v/>
      </c>
      <c r="AJ288" s="18" t="str">
        <f>IF(NOT(ISBLANK(Audit[[#This Row],[Audit Candidate 6]])), Audit[[#This Row],[Audit Candidate 6]]-Audit[[#This Row],[Candidate 6]], "")</f>
        <v/>
      </c>
      <c r="AK288" s="18" t="str">
        <f>IF(NOT(ISBLANK(Audit[[#This Row],[Audit Candidate 7]])), Audit[[#This Row],[Audit Candidate 7]]-Audit[[#This Row],[Candidate 7]], "")</f>
        <v/>
      </c>
      <c r="AL288" s="18" t="str">
        <f>IF(NOT(ISBLANK(Audit[[#This Row],[Audit Candidate 8]])), Audit[[#This Row],[Audit Candidate 8]]-Audit[[#This Row],[Candidate 8]], "")</f>
        <v/>
      </c>
      <c r="AM288" s="18" t="str">
        <f>IF(NOT(ISBLANK(Audit[[#This Row],[Audit Candidate 9]])), Audit[[#This Row],[Audit Candidate 9]]-Audit[[#This Row],[Candidate 9]], "")</f>
        <v/>
      </c>
      <c r="AN288" s="18" t="str">
        <f>IF(NOT(ISBLANK(Audit[[#This Row],[Audit Candidate 10]])), Audit[[#This Row],[Audit Candidate 10]]-Audit[[#This Row],[Candidate 10]], "")</f>
        <v/>
      </c>
      <c r="AO288" s="18" t="str">
        <f>IF(NOT(ISBLANK(Audit[[#This Row],[Audit Candidate 11]])), Audit[[#This Row],[Audit Candidate 11]]-Audit[[#This Row],[Candidate 11]], "")</f>
        <v/>
      </c>
      <c r="AP288" s="18" t="str">
        <f>IF(NOT(ISBLANK(Audit[[#This Row],[Audit Candidate 12]])), Audit[[#This Row],[Audit Candidate 12]]-Audit[[#This Row],[Candidate 12]], "")</f>
        <v/>
      </c>
      <c r="AQ288" s="18">
        <f>SUMIF(Audit[[#This Row],[Difference Winner]:[Difference Candidate 12]], "&gt;0")</f>
        <v>0</v>
      </c>
      <c r="AR288" s="18">
        <f>SUM(Audit[[#This Row],[Difference Winner]:[Difference Candidate 12]])</f>
        <v>0</v>
      </c>
      <c r="AS288" s="18">
        <f>IF(Audit[[#This Row],[Times p Drawn - With Replacement]]&gt;0, IF(Audit[[#This Row],[Canceled Differences]]&lt;0, Audit[[#This Row],[Max Differences]]+ABS(Audit[[#This Row],[Canceled Differences]]), Audit[[#This Row],[Max Differences]]), 0)</f>
        <v>0</v>
      </c>
      <c r="AT288" s="18">
        <f>'Sampling Data'!AB288</f>
        <v>8.7947985048842541E-4</v>
      </c>
      <c r="AU288" s="18">
        <f>IF(
      SUM(Audit[[#This Row],[Audit Losing Candidate]:[Audit Candidate 12]])
      &lt;&gt;0,
      (Audit[[#This Row],[Winning Candidate]]-Audit[[#This Row],[Losing Candidate]]-(Audit[[#This Row],[Audit Winning Candidate]]-Audit[[#This Row],[Audit Losing Candidate]]))/(Audit[[#Totals],[Winning Candidate]]-Audit[[#Totals],[Losing Candidate]]),
      0
)</f>
        <v>0</v>
      </c>
      <c r="AV2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8">
        <f>IF(Audit[[#This Row],[Max Relative Error (ep)]] = 0, 0, Audit[[#This Row],[Max Relative Error (ep)]]/Audit[[#This Row],[Error Bound (up) - Max. possible relative overstatement]])</f>
        <v>0</v>
      </c>
      <c r="BH2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8" s="18">
        <f t="shared" si="5"/>
        <v>1</v>
      </c>
      <c r="BJ288" s="18">
        <f>PRODUCT($BI$5:BI288)</f>
        <v>0.57146126097022543</v>
      </c>
      <c r="BK288" s="20">
        <f>1 - Audit[[#This Row],[K-M P Value]]</f>
        <v>0.42853873902977457</v>
      </c>
      <c r="BL288" s="18" t="str">
        <f>IF(Audit[[#This Row],[K-M P Value]]&gt;1-'General Info'!$B$12,"Continue", "Stop")</f>
        <v>Continue</v>
      </c>
      <c r="BM288" s="23" t="b">
        <f>IF(Audit[[#This Row],[Status - Continue or stop audit]] = "Continue", TRUE, IF(BL287 = "Continue", TRUE, FALSE))</f>
        <v>1</v>
      </c>
      <c r="BN288" s="23"/>
    </row>
    <row r="289" spans="1:66" ht="15" hidden="1" customHeight="1" x14ac:dyDescent="0.35">
      <c r="A289" s="18" t="str">
        <f>'Sampling Data'!AI289</f>
        <v/>
      </c>
      <c r="B289" s="18" t="str">
        <f>'Sampling Data'!A289</f>
        <v>4612 READ 1-B   (AV)</v>
      </c>
      <c r="C289" s="18">
        <f>'Sampling Data'!B289</f>
        <v>1</v>
      </c>
      <c r="D289" s="18">
        <f>'Sampling Data'!C289</f>
        <v>0</v>
      </c>
      <c r="E289" s="19">
        <f>'Sampling Data'!D289</f>
        <v>0</v>
      </c>
      <c r="F289" s="19">
        <f>'Sampling Data'!E289</f>
        <v>0</v>
      </c>
      <c r="G289" s="19">
        <f>'Sampling Data'!F289</f>
        <v>0</v>
      </c>
      <c r="H289" s="19">
        <f>'Sampling Data'!G289</f>
        <v>0</v>
      </c>
      <c r="I289" s="19">
        <f>'Sampling Data'!H289</f>
        <v>0</v>
      </c>
      <c r="J289" s="19">
        <f>'Sampling Data'!I289</f>
        <v>0</v>
      </c>
      <c r="K289" s="19">
        <f>'Sampling Data'!J289</f>
        <v>0</v>
      </c>
      <c r="L289" s="19">
        <f>'Sampling Data'!K289</f>
        <v>0</v>
      </c>
      <c r="M289" s="19">
        <f>'Sampling Data'!L289</f>
        <v>0</v>
      </c>
      <c r="N289" s="19">
        <f>'Sampling Data'!M289</f>
        <v>0</v>
      </c>
      <c r="O289" s="18">
        <f>'Sampling Data'!N289</f>
        <v>0</v>
      </c>
      <c r="P289" s="18">
        <f>'Sampling Data'!O289</f>
        <v>0</v>
      </c>
      <c r="Q289" s="18">
        <f>'Sampling Data'!P289</f>
        <v>1</v>
      </c>
      <c r="R289" s="18">
        <f>'Sampling Data'!AJ289</f>
        <v>0</v>
      </c>
      <c r="S289" s="112"/>
      <c r="T289" s="112"/>
      <c r="U289" s="113"/>
      <c r="V289" s="113"/>
      <c r="W289" s="112"/>
      <c r="X289" s="112"/>
      <c r="Y289" s="112"/>
      <c r="Z289" s="112"/>
      <c r="AA289" s="15"/>
      <c r="AB289" s="15"/>
      <c r="AC289" s="15"/>
      <c r="AD289" s="15"/>
      <c r="AE289" s="114" t="str">
        <f>IF(NOT(ISBLANK(Audit[[#This Row],[Audit Winning Candidate]])), Audit[[#This Row],[Audit Winning Candidate]]-Audit[[#This Row],[Winning Candidate]], "")</f>
        <v/>
      </c>
      <c r="AF289" s="18" t="str">
        <f>IF(NOT(ISBLANK(Audit[[#This Row],[Audit Losing Candidate]])), Audit[[#This Row],[Audit Losing Candidate]]-Audit[[#This Row],[Losing Candidate]], "")</f>
        <v/>
      </c>
      <c r="AG289" s="18" t="str">
        <f>IF(NOT(ISBLANK(Audit[[#This Row],[Audit Candidate 3]])), Audit[[#This Row],[Audit Candidate 3]]-Audit[[#This Row],[Candidate 3]], "")</f>
        <v/>
      </c>
      <c r="AH289" s="18" t="str">
        <f>IF(NOT(ISBLANK(Audit[[#This Row],[Audit Candidate 4]])),Audit[[#This Row],[Audit Candidate 4]]-Audit[[#This Row],[Candidate 4]], "")</f>
        <v/>
      </c>
      <c r="AI289" s="18" t="str">
        <f>IF(NOT(ISBLANK(Audit[[#This Row],[Audit Candidate 5]])), Audit[[#This Row],[Audit Candidate 5]]-Audit[[#This Row],[Candidate 5]], "")</f>
        <v/>
      </c>
      <c r="AJ289" s="18" t="str">
        <f>IF(NOT(ISBLANK(Audit[[#This Row],[Audit Candidate 6]])), Audit[[#This Row],[Audit Candidate 6]]-Audit[[#This Row],[Candidate 6]], "")</f>
        <v/>
      </c>
      <c r="AK289" s="18" t="str">
        <f>IF(NOT(ISBLANK(Audit[[#This Row],[Audit Candidate 7]])), Audit[[#This Row],[Audit Candidate 7]]-Audit[[#This Row],[Candidate 7]], "")</f>
        <v/>
      </c>
      <c r="AL289" s="18" t="str">
        <f>IF(NOT(ISBLANK(Audit[[#This Row],[Audit Candidate 8]])), Audit[[#This Row],[Audit Candidate 8]]-Audit[[#This Row],[Candidate 8]], "")</f>
        <v/>
      </c>
      <c r="AM289" s="18" t="str">
        <f>IF(NOT(ISBLANK(Audit[[#This Row],[Audit Candidate 9]])), Audit[[#This Row],[Audit Candidate 9]]-Audit[[#This Row],[Candidate 9]], "")</f>
        <v/>
      </c>
      <c r="AN289" s="18" t="str">
        <f>IF(NOT(ISBLANK(Audit[[#This Row],[Audit Candidate 10]])), Audit[[#This Row],[Audit Candidate 10]]-Audit[[#This Row],[Candidate 10]], "")</f>
        <v/>
      </c>
      <c r="AO289" s="18" t="str">
        <f>IF(NOT(ISBLANK(Audit[[#This Row],[Audit Candidate 11]])), Audit[[#This Row],[Audit Candidate 11]]-Audit[[#This Row],[Candidate 11]], "")</f>
        <v/>
      </c>
      <c r="AP289" s="18" t="str">
        <f>IF(NOT(ISBLANK(Audit[[#This Row],[Audit Candidate 12]])), Audit[[#This Row],[Audit Candidate 12]]-Audit[[#This Row],[Candidate 12]], "")</f>
        <v/>
      </c>
      <c r="AQ289" s="18">
        <f>SUMIF(Audit[[#This Row],[Difference Winner]:[Difference Candidate 12]], "&gt;0")</f>
        <v>0</v>
      </c>
      <c r="AR289" s="18">
        <f>SUM(Audit[[#This Row],[Difference Winner]:[Difference Candidate 12]])</f>
        <v>0</v>
      </c>
      <c r="AS289" s="18">
        <f>IF(Audit[[#This Row],[Times p Drawn - With Replacement]]&gt;0, IF(Audit[[#This Row],[Canceled Differences]]&lt;0, Audit[[#This Row],[Max Differences]]+ABS(Audit[[#This Row],[Canceled Differences]]), Audit[[#This Row],[Max Differences]]), 0)</f>
        <v>0</v>
      </c>
      <c r="AT289" s="18">
        <f>'Sampling Data'!AB289</f>
        <v>6.2819989320601809E-5</v>
      </c>
      <c r="AU289" s="18">
        <f>IF(
      SUM(Audit[[#This Row],[Audit Losing Candidate]:[Audit Candidate 12]])
      &lt;&gt;0,
      (Audit[[#This Row],[Winning Candidate]]-Audit[[#This Row],[Losing Candidate]]-(Audit[[#This Row],[Audit Winning Candidate]]-Audit[[#This Row],[Audit Losing Candidate]]))/(Audit[[#Totals],[Winning Candidate]]-Audit[[#Totals],[Losing Candidate]]),
      0
)</f>
        <v>0</v>
      </c>
      <c r="AV2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8">
        <f>IF(Audit[[#This Row],[Max Relative Error (ep)]] = 0, 0, Audit[[#This Row],[Max Relative Error (ep)]]/Audit[[#This Row],[Error Bound (up) - Max. possible relative overstatement]])</f>
        <v>0</v>
      </c>
      <c r="BH2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89" s="18">
        <f t="shared" si="5"/>
        <v>1</v>
      </c>
      <c r="BJ289" s="18">
        <f>PRODUCT($BI$5:BI289)</f>
        <v>0.57146126097022543</v>
      </c>
      <c r="BK289" s="20">
        <f>1 - Audit[[#This Row],[K-M P Value]]</f>
        <v>0.42853873902977457</v>
      </c>
      <c r="BL289" s="18" t="str">
        <f>IF(Audit[[#This Row],[K-M P Value]]&gt;1-'General Info'!$B$12,"Continue", "Stop")</f>
        <v>Continue</v>
      </c>
      <c r="BM289" s="23" t="b">
        <f>IF(Audit[[#This Row],[Status - Continue or stop audit]] = "Continue", TRUE, IF(BL288 = "Continue", TRUE, FALSE))</f>
        <v>1</v>
      </c>
      <c r="BN289" s="23"/>
    </row>
    <row r="290" spans="1:66" ht="15" hidden="1" customHeight="1" x14ac:dyDescent="0.35">
      <c r="A290" s="18" t="str">
        <f>'Sampling Data'!AI290</f>
        <v/>
      </c>
      <c r="B290" s="18" t="str">
        <f>'Sampling Data'!A290</f>
        <v>4621 READ 2-A   (AV)</v>
      </c>
      <c r="C290" s="18">
        <f>'Sampling Data'!B290</f>
        <v>14</v>
      </c>
      <c r="D290" s="18">
        <f>'Sampling Data'!C290</f>
        <v>1</v>
      </c>
      <c r="E290" s="19">
        <f>'Sampling Data'!D290</f>
        <v>0</v>
      </c>
      <c r="F290" s="19">
        <f>'Sampling Data'!E290</f>
        <v>0</v>
      </c>
      <c r="G290" s="19">
        <f>'Sampling Data'!F290</f>
        <v>0</v>
      </c>
      <c r="H290" s="19">
        <f>'Sampling Data'!G290</f>
        <v>0</v>
      </c>
      <c r="I290" s="19">
        <f>'Sampling Data'!H290</f>
        <v>0</v>
      </c>
      <c r="J290" s="19">
        <f>'Sampling Data'!I290</f>
        <v>0</v>
      </c>
      <c r="K290" s="19">
        <f>'Sampling Data'!J290</f>
        <v>0</v>
      </c>
      <c r="L290" s="19">
        <f>'Sampling Data'!K290</f>
        <v>0</v>
      </c>
      <c r="M290" s="19">
        <f>'Sampling Data'!L290</f>
        <v>0</v>
      </c>
      <c r="N290" s="19">
        <f>'Sampling Data'!M290</f>
        <v>0</v>
      </c>
      <c r="O290" s="18">
        <f>'Sampling Data'!N290</f>
        <v>0</v>
      </c>
      <c r="P290" s="18">
        <f>'Sampling Data'!O290</f>
        <v>2</v>
      </c>
      <c r="Q290" s="18">
        <f>'Sampling Data'!P290</f>
        <v>17</v>
      </c>
      <c r="R290" s="18">
        <f>'Sampling Data'!AJ290</f>
        <v>0</v>
      </c>
      <c r="S290" s="112"/>
      <c r="T290" s="112"/>
      <c r="U290" s="113"/>
      <c r="V290" s="113"/>
      <c r="W290" s="112"/>
      <c r="X290" s="112"/>
      <c r="Y290" s="112"/>
      <c r="Z290" s="112"/>
      <c r="AA290" s="15"/>
      <c r="AB290" s="15"/>
      <c r="AC290" s="15"/>
      <c r="AD290" s="15"/>
      <c r="AE290" s="114" t="str">
        <f>IF(NOT(ISBLANK(Audit[[#This Row],[Audit Winning Candidate]])), Audit[[#This Row],[Audit Winning Candidate]]-Audit[[#This Row],[Winning Candidate]], "")</f>
        <v/>
      </c>
      <c r="AF290" s="18" t="str">
        <f>IF(NOT(ISBLANK(Audit[[#This Row],[Audit Losing Candidate]])), Audit[[#This Row],[Audit Losing Candidate]]-Audit[[#This Row],[Losing Candidate]], "")</f>
        <v/>
      </c>
      <c r="AG290" s="18" t="str">
        <f>IF(NOT(ISBLANK(Audit[[#This Row],[Audit Candidate 3]])), Audit[[#This Row],[Audit Candidate 3]]-Audit[[#This Row],[Candidate 3]], "")</f>
        <v/>
      </c>
      <c r="AH290" s="18" t="str">
        <f>IF(NOT(ISBLANK(Audit[[#This Row],[Audit Candidate 4]])),Audit[[#This Row],[Audit Candidate 4]]-Audit[[#This Row],[Candidate 4]], "")</f>
        <v/>
      </c>
      <c r="AI290" s="18" t="str">
        <f>IF(NOT(ISBLANK(Audit[[#This Row],[Audit Candidate 5]])), Audit[[#This Row],[Audit Candidate 5]]-Audit[[#This Row],[Candidate 5]], "")</f>
        <v/>
      </c>
      <c r="AJ290" s="18" t="str">
        <f>IF(NOT(ISBLANK(Audit[[#This Row],[Audit Candidate 6]])), Audit[[#This Row],[Audit Candidate 6]]-Audit[[#This Row],[Candidate 6]], "")</f>
        <v/>
      </c>
      <c r="AK290" s="18" t="str">
        <f>IF(NOT(ISBLANK(Audit[[#This Row],[Audit Candidate 7]])), Audit[[#This Row],[Audit Candidate 7]]-Audit[[#This Row],[Candidate 7]], "")</f>
        <v/>
      </c>
      <c r="AL290" s="18" t="str">
        <f>IF(NOT(ISBLANK(Audit[[#This Row],[Audit Candidate 8]])), Audit[[#This Row],[Audit Candidate 8]]-Audit[[#This Row],[Candidate 8]], "")</f>
        <v/>
      </c>
      <c r="AM290" s="18" t="str">
        <f>IF(NOT(ISBLANK(Audit[[#This Row],[Audit Candidate 9]])), Audit[[#This Row],[Audit Candidate 9]]-Audit[[#This Row],[Candidate 9]], "")</f>
        <v/>
      </c>
      <c r="AN290" s="18" t="str">
        <f>IF(NOT(ISBLANK(Audit[[#This Row],[Audit Candidate 10]])), Audit[[#This Row],[Audit Candidate 10]]-Audit[[#This Row],[Candidate 10]], "")</f>
        <v/>
      </c>
      <c r="AO290" s="18" t="str">
        <f>IF(NOT(ISBLANK(Audit[[#This Row],[Audit Candidate 11]])), Audit[[#This Row],[Audit Candidate 11]]-Audit[[#This Row],[Candidate 11]], "")</f>
        <v/>
      </c>
      <c r="AP290" s="18" t="str">
        <f>IF(NOT(ISBLANK(Audit[[#This Row],[Audit Candidate 12]])), Audit[[#This Row],[Audit Candidate 12]]-Audit[[#This Row],[Candidate 12]], "")</f>
        <v/>
      </c>
      <c r="AQ290" s="18">
        <f>SUMIF(Audit[[#This Row],[Difference Winner]:[Difference Candidate 12]], "&gt;0")</f>
        <v>0</v>
      </c>
      <c r="AR290" s="18">
        <f>SUM(Audit[[#This Row],[Difference Winner]:[Difference Candidate 12]])</f>
        <v>0</v>
      </c>
      <c r="AS290" s="18">
        <f>IF(Audit[[#This Row],[Times p Drawn - With Replacement]]&gt;0, IF(Audit[[#This Row],[Canceled Differences]]&lt;0, Audit[[#This Row],[Max Differences]]+ABS(Audit[[#This Row],[Canceled Differences]]), Audit[[#This Row],[Max Differences]]), 0)</f>
        <v>0</v>
      </c>
      <c r="AT290" s="18">
        <f>'Sampling Data'!AB290</f>
        <v>9.4229983980902718E-4</v>
      </c>
      <c r="AU290" s="18">
        <f>IF(
      SUM(Audit[[#This Row],[Audit Losing Candidate]:[Audit Candidate 12]])
      &lt;&gt;0,
      (Audit[[#This Row],[Winning Candidate]]-Audit[[#This Row],[Losing Candidate]]-(Audit[[#This Row],[Audit Winning Candidate]]-Audit[[#This Row],[Audit Losing Candidate]]))/(Audit[[#Totals],[Winning Candidate]]-Audit[[#Totals],[Losing Candidate]]),
      0
)</f>
        <v>0</v>
      </c>
      <c r="AV2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8">
        <f>IF(Audit[[#This Row],[Max Relative Error (ep)]] = 0, 0, Audit[[#This Row],[Max Relative Error (ep)]]/Audit[[#This Row],[Error Bound (up) - Max. possible relative overstatement]])</f>
        <v>0</v>
      </c>
      <c r="BH2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0" s="18">
        <f t="shared" si="5"/>
        <v>1</v>
      </c>
      <c r="BJ290" s="18">
        <f>PRODUCT($BI$5:BI290)</f>
        <v>0.57146126097022543</v>
      </c>
      <c r="BK290" s="20">
        <f>1 - Audit[[#This Row],[K-M P Value]]</f>
        <v>0.42853873902977457</v>
      </c>
      <c r="BL290" s="18" t="str">
        <f>IF(Audit[[#This Row],[K-M P Value]]&gt;1-'General Info'!$B$12,"Continue", "Stop")</f>
        <v>Continue</v>
      </c>
      <c r="BM290" s="23" t="b">
        <f>IF(Audit[[#This Row],[Status - Continue or stop audit]] = "Continue", TRUE, IF(BL289 = "Continue", TRUE, FALSE))</f>
        <v>1</v>
      </c>
      <c r="BN290" s="23"/>
    </row>
    <row r="291" spans="1:66" ht="15" hidden="1" customHeight="1" x14ac:dyDescent="0.35">
      <c r="A291" s="18" t="str">
        <f>'Sampling Data'!AI291</f>
        <v/>
      </c>
      <c r="B291" s="18" t="str">
        <f>'Sampling Data'!A291</f>
        <v>4622 READ 2-B   (AV)</v>
      </c>
      <c r="C291" s="18">
        <f>'Sampling Data'!B291</f>
        <v>3</v>
      </c>
      <c r="D291" s="18">
        <f>'Sampling Data'!C291</f>
        <v>3</v>
      </c>
      <c r="E291" s="19">
        <f>'Sampling Data'!D291</f>
        <v>0</v>
      </c>
      <c r="F291" s="19">
        <f>'Sampling Data'!E291</f>
        <v>0</v>
      </c>
      <c r="G291" s="19">
        <f>'Sampling Data'!F291</f>
        <v>0</v>
      </c>
      <c r="H291" s="19">
        <f>'Sampling Data'!G291</f>
        <v>0</v>
      </c>
      <c r="I291" s="19">
        <f>'Sampling Data'!H291</f>
        <v>0</v>
      </c>
      <c r="J291" s="19">
        <f>'Sampling Data'!I291</f>
        <v>0</v>
      </c>
      <c r="K291" s="19">
        <f>'Sampling Data'!J291</f>
        <v>0</v>
      </c>
      <c r="L291" s="19">
        <f>'Sampling Data'!K291</f>
        <v>0</v>
      </c>
      <c r="M291" s="19">
        <f>'Sampling Data'!L291</f>
        <v>0</v>
      </c>
      <c r="N291" s="19">
        <f>'Sampling Data'!M291</f>
        <v>0</v>
      </c>
      <c r="O291" s="18">
        <f>'Sampling Data'!N291</f>
        <v>0</v>
      </c>
      <c r="P291" s="18">
        <f>'Sampling Data'!O291</f>
        <v>0</v>
      </c>
      <c r="Q291" s="18">
        <f>'Sampling Data'!P291</f>
        <v>6</v>
      </c>
      <c r="R291" s="18">
        <f>'Sampling Data'!AJ291</f>
        <v>0</v>
      </c>
      <c r="S291" s="112"/>
      <c r="T291" s="112"/>
      <c r="U291" s="113"/>
      <c r="V291" s="113"/>
      <c r="W291" s="112"/>
      <c r="X291" s="112"/>
      <c r="Y291" s="112"/>
      <c r="Z291" s="112"/>
      <c r="AA291" s="15"/>
      <c r="AB291" s="15"/>
      <c r="AC291" s="15"/>
      <c r="AD291" s="15"/>
      <c r="AE291" s="114" t="str">
        <f>IF(NOT(ISBLANK(Audit[[#This Row],[Audit Winning Candidate]])), Audit[[#This Row],[Audit Winning Candidate]]-Audit[[#This Row],[Winning Candidate]], "")</f>
        <v/>
      </c>
      <c r="AF291" s="18" t="str">
        <f>IF(NOT(ISBLANK(Audit[[#This Row],[Audit Losing Candidate]])), Audit[[#This Row],[Audit Losing Candidate]]-Audit[[#This Row],[Losing Candidate]], "")</f>
        <v/>
      </c>
      <c r="AG291" s="18" t="str">
        <f>IF(NOT(ISBLANK(Audit[[#This Row],[Audit Candidate 3]])), Audit[[#This Row],[Audit Candidate 3]]-Audit[[#This Row],[Candidate 3]], "")</f>
        <v/>
      </c>
      <c r="AH291" s="18" t="str">
        <f>IF(NOT(ISBLANK(Audit[[#This Row],[Audit Candidate 4]])),Audit[[#This Row],[Audit Candidate 4]]-Audit[[#This Row],[Candidate 4]], "")</f>
        <v/>
      </c>
      <c r="AI291" s="18" t="str">
        <f>IF(NOT(ISBLANK(Audit[[#This Row],[Audit Candidate 5]])), Audit[[#This Row],[Audit Candidate 5]]-Audit[[#This Row],[Candidate 5]], "")</f>
        <v/>
      </c>
      <c r="AJ291" s="18" t="str">
        <f>IF(NOT(ISBLANK(Audit[[#This Row],[Audit Candidate 6]])), Audit[[#This Row],[Audit Candidate 6]]-Audit[[#This Row],[Candidate 6]], "")</f>
        <v/>
      </c>
      <c r="AK291" s="18" t="str">
        <f>IF(NOT(ISBLANK(Audit[[#This Row],[Audit Candidate 7]])), Audit[[#This Row],[Audit Candidate 7]]-Audit[[#This Row],[Candidate 7]], "")</f>
        <v/>
      </c>
      <c r="AL291" s="18" t="str">
        <f>IF(NOT(ISBLANK(Audit[[#This Row],[Audit Candidate 8]])), Audit[[#This Row],[Audit Candidate 8]]-Audit[[#This Row],[Candidate 8]], "")</f>
        <v/>
      </c>
      <c r="AM291" s="18" t="str">
        <f>IF(NOT(ISBLANK(Audit[[#This Row],[Audit Candidate 9]])), Audit[[#This Row],[Audit Candidate 9]]-Audit[[#This Row],[Candidate 9]], "")</f>
        <v/>
      </c>
      <c r="AN291" s="18" t="str">
        <f>IF(NOT(ISBLANK(Audit[[#This Row],[Audit Candidate 10]])), Audit[[#This Row],[Audit Candidate 10]]-Audit[[#This Row],[Candidate 10]], "")</f>
        <v/>
      </c>
      <c r="AO291" s="18" t="str">
        <f>IF(NOT(ISBLANK(Audit[[#This Row],[Audit Candidate 11]])), Audit[[#This Row],[Audit Candidate 11]]-Audit[[#This Row],[Candidate 11]], "")</f>
        <v/>
      </c>
      <c r="AP291" s="18" t="str">
        <f>IF(NOT(ISBLANK(Audit[[#This Row],[Audit Candidate 12]])), Audit[[#This Row],[Audit Candidate 12]]-Audit[[#This Row],[Candidate 12]], "")</f>
        <v/>
      </c>
      <c r="AQ291" s="18">
        <f>SUMIF(Audit[[#This Row],[Difference Winner]:[Difference Candidate 12]], "&gt;0")</f>
        <v>0</v>
      </c>
      <c r="AR291" s="18">
        <f>SUM(Audit[[#This Row],[Difference Winner]:[Difference Candidate 12]])</f>
        <v>0</v>
      </c>
      <c r="AS291" s="18">
        <f>IF(Audit[[#This Row],[Times p Drawn - With Replacement]]&gt;0, IF(Audit[[#This Row],[Canceled Differences]]&lt;0, Audit[[#This Row],[Max Differences]]+ABS(Audit[[#This Row],[Canceled Differences]]), Audit[[#This Row],[Max Differences]]), 0)</f>
        <v>0</v>
      </c>
      <c r="AT291" s="18">
        <f>'Sampling Data'!AB291</f>
        <v>1.8845996796180544E-4</v>
      </c>
      <c r="AU291" s="18">
        <f>IF(
      SUM(Audit[[#This Row],[Audit Losing Candidate]:[Audit Candidate 12]])
      &lt;&gt;0,
      (Audit[[#This Row],[Winning Candidate]]-Audit[[#This Row],[Losing Candidate]]-(Audit[[#This Row],[Audit Winning Candidate]]-Audit[[#This Row],[Audit Losing Candidate]]))/(Audit[[#Totals],[Winning Candidate]]-Audit[[#Totals],[Losing Candidate]]),
      0
)</f>
        <v>0</v>
      </c>
      <c r="AV2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8">
        <f>IF(Audit[[#This Row],[Max Relative Error (ep)]] = 0, 0, Audit[[#This Row],[Max Relative Error (ep)]]/Audit[[#This Row],[Error Bound (up) - Max. possible relative overstatement]])</f>
        <v>0</v>
      </c>
      <c r="BH2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1" s="18">
        <f t="shared" si="5"/>
        <v>1</v>
      </c>
      <c r="BJ291" s="18">
        <f>PRODUCT($BI$5:BI291)</f>
        <v>0.57146126097022543</v>
      </c>
      <c r="BK291" s="20">
        <f>1 - Audit[[#This Row],[K-M P Value]]</f>
        <v>0.42853873902977457</v>
      </c>
      <c r="BL291" s="18" t="str">
        <f>IF(Audit[[#This Row],[K-M P Value]]&gt;1-'General Info'!$B$12,"Continue", "Stop")</f>
        <v>Continue</v>
      </c>
      <c r="BM291" s="23" t="b">
        <f>IF(Audit[[#This Row],[Status - Continue or stop audit]] = "Continue", TRUE, IF(BL290 = "Continue", TRUE, FALSE))</f>
        <v>1</v>
      </c>
      <c r="BN291" s="23"/>
    </row>
    <row r="292" spans="1:66" ht="15" hidden="1" customHeight="1" x14ac:dyDescent="0.35">
      <c r="A292" s="18" t="str">
        <f>'Sampling Data'!AI292</f>
        <v/>
      </c>
      <c r="B292" s="18" t="str">
        <f>'Sampling Data'!A292</f>
        <v>4631 READ 3-A   (AV)</v>
      </c>
      <c r="C292" s="18">
        <f>'Sampling Data'!B292</f>
        <v>16</v>
      </c>
      <c r="D292" s="18">
        <f>'Sampling Data'!C292</f>
        <v>5</v>
      </c>
      <c r="E292" s="19">
        <f>'Sampling Data'!D292</f>
        <v>0</v>
      </c>
      <c r="F292" s="19">
        <f>'Sampling Data'!E292</f>
        <v>0</v>
      </c>
      <c r="G292" s="19">
        <f>'Sampling Data'!F292</f>
        <v>0</v>
      </c>
      <c r="H292" s="19">
        <f>'Sampling Data'!G292</f>
        <v>0</v>
      </c>
      <c r="I292" s="19">
        <f>'Sampling Data'!H292</f>
        <v>0</v>
      </c>
      <c r="J292" s="19">
        <f>'Sampling Data'!I292</f>
        <v>0</v>
      </c>
      <c r="K292" s="19">
        <f>'Sampling Data'!J292</f>
        <v>0</v>
      </c>
      <c r="L292" s="19">
        <f>'Sampling Data'!K292</f>
        <v>0</v>
      </c>
      <c r="M292" s="19">
        <f>'Sampling Data'!L292</f>
        <v>0</v>
      </c>
      <c r="N292" s="19">
        <f>'Sampling Data'!M292</f>
        <v>0</v>
      </c>
      <c r="O292" s="18">
        <f>'Sampling Data'!N292</f>
        <v>0</v>
      </c>
      <c r="P292" s="18">
        <f>'Sampling Data'!O292</f>
        <v>0</v>
      </c>
      <c r="Q292" s="18">
        <f>'Sampling Data'!P292</f>
        <v>21</v>
      </c>
      <c r="R292" s="18">
        <f>'Sampling Data'!AJ292</f>
        <v>0</v>
      </c>
      <c r="S292" s="112"/>
      <c r="T292" s="112"/>
      <c r="U292" s="113"/>
      <c r="V292" s="113"/>
      <c r="W292" s="112"/>
      <c r="X292" s="112"/>
      <c r="Y292" s="112"/>
      <c r="Z292" s="112"/>
      <c r="AA292" s="15"/>
      <c r="AB292" s="15"/>
      <c r="AC292" s="15"/>
      <c r="AD292" s="15"/>
      <c r="AE292" s="114" t="str">
        <f>IF(NOT(ISBLANK(Audit[[#This Row],[Audit Winning Candidate]])), Audit[[#This Row],[Audit Winning Candidate]]-Audit[[#This Row],[Winning Candidate]], "")</f>
        <v/>
      </c>
      <c r="AF292" s="18" t="str">
        <f>IF(NOT(ISBLANK(Audit[[#This Row],[Audit Losing Candidate]])), Audit[[#This Row],[Audit Losing Candidate]]-Audit[[#This Row],[Losing Candidate]], "")</f>
        <v/>
      </c>
      <c r="AG292" s="18" t="str">
        <f>IF(NOT(ISBLANK(Audit[[#This Row],[Audit Candidate 3]])), Audit[[#This Row],[Audit Candidate 3]]-Audit[[#This Row],[Candidate 3]], "")</f>
        <v/>
      </c>
      <c r="AH292" s="18" t="str">
        <f>IF(NOT(ISBLANK(Audit[[#This Row],[Audit Candidate 4]])),Audit[[#This Row],[Audit Candidate 4]]-Audit[[#This Row],[Candidate 4]], "")</f>
        <v/>
      </c>
      <c r="AI292" s="18" t="str">
        <f>IF(NOT(ISBLANK(Audit[[#This Row],[Audit Candidate 5]])), Audit[[#This Row],[Audit Candidate 5]]-Audit[[#This Row],[Candidate 5]], "")</f>
        <v/>
      </c>
      <c r="AJ292" s="18" t="str">
        <f>IF(NOT(ISBLANK(Audit[[#This Row],[Audit Candidate 6]])), Audit[[#This Row],[Audit Candidate 6]]-Audit[[#This Row],[Candidate 6]], "")</f>
        <v/>
      </c>
      <c r="AK292" s="18" t="str">
        <f>IF(NOT(ISBLANK(Audit[[#This Row],[Audit Candidate 7]])), Audit[[#This Row],[Audit Candidate 7]]-Audit[[#This Row],[Candidate 7]], "")</f>
        <v/>
      </c>
      <c r="AL292" s="18" t="str">
        <f>IF(NOT(ISBLANK(Audit[[#This Row],[Audit Candidate 8]])), Audit[[#This Row],[Audit Candidate 8]]-Audit[[#This Row],[Candidate 8]], "")</f>
        <v/>
      </c>
      <c r="AM292" s="18" t="str">
        <f>IF(NOT(ISBLANK(Audit[[#This Row],[Audit Candidate 9]])), Audit[[#This Row],[Audit Candidate 9]]-Audit[[#This Row],[Candidate 9]], "")</f>
        <v/>
      </c>
      <c r="AN292" s="18" t="str">
        <f>IF(NOT(ISBLANK(Audit[[#This Row],[Audit Candidate 10]])), Audit[[#This Row],[Audit Candidate 10]]-Audit[[#This Row],[Candidate 10]], "")</f>
        <v/>
      </c>
      <c r="AO292" s="18" t="str">
        <f>IF(NOT(ISBLANK(Audit[[#This Row],[Audit Candidate 11]])), Audit[[#This Row],[Audit Candidate 11]]-Audit[[#This Row],[Candidate 11]], "")</f>
        <v/>
      </c>
      <c r="AP292" s="18" t="str">
        <f>IF(NOT(ISBLANK(Audit[[#This Row],[Audit Candidate 12]])), Audit[[#This Row],[Audit Candidate 12]]-Audit[[#This Row],[Candidate 12]], "")</f>
        <v/>
      </c>
      <c r="AQ292" s="18">
        <f>SUMIF(Audit[[#This Row],[Difference Winner]:[Difference Candidate 12]], "&gt;0")</f>
        <v>0</v>
      </c>
      <c r="AR292" s="18">
        <f>SUM(Audit[[#This Row],[Difference Winner]:[Difference Candidate 12]])</f>
        <v>0</v>
      </c>
      <c r="AS292" s="18">
        <f>IF(Audit[[#This Row],[Times p Drawn - With Replacement]]&gt;0, IF(Audit[[#This Row],[Canceled Differences]]&lt;0, Audit[[#This Row],[Max Differences]]+ABS(Audit[[#This Row],[Canceled Differences]]), Audit[[#This Row],[Max Differences]]), 0)</f>
        <v>0</v>
      </c>
      <c r="AT292" s="18">
        <f>'Sampling Data'!AB292</f>
        <v>1.005119829129629E-3</v>
      </c>
      <c r="AU292" s="18">
        <f>IF(
      SUM(Audit[[#This Row],[Audit Losing Candidate]:[Audit Candidate 12]])
      &lt;&gt;0,
      (Audit[[#This Row],[Winning Candidate]]-Audit[[#This Row],[Losing Candidate]]-(Audit[[#This Row],[Audit Winning Candidate]]-Audit[[#This Row],[Audit Losing Candidate]]))/(Audit[[#Totals],[Winning Candidate]]-Audit[[#Totals],[Losing Candidate]]),
      0
)</f>
        <v>0</v>
      </c>
      <c r="AV2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8">
        <f>IF(Audit[[#This Row],[Max Relative Error (ep)]] = 0, 0, Audit[[#This Row],[Max Relative Error (ep)]]/Audit[[#This Row],[Error Bound (up) - Max. possible relative overstatement]])</f>
        <v>0</v>
      </c>
      <c r="BH2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2" s="18">
        <f t="shared" si="5"/>
        <v>1</v>
      </c>
      <c r="BJ292" s="18">
        <f>PRODUCT($BI$5:BI292)</f>
        <v>0.57146126097022543</v>
      </c>
      <c r="BK292" s="20">
        <f>1 - Audit[[#This Row],[K-M P Value]]</f>
        <v>0.42853873902977457</v>
      </c>
      <c r="BL292" s="18" t="str">
        <f>IF(Audit[[#This Row],[K-M P Value]]&gt;1-'General Info'!$B$12,"Continue", "Stop")</f>
        <v>Continue</v>
      </c>
      <c r="BM292" s="23" t="b">
        <f>IF(Audit[[#This Row],[Status - Continue or stop audit]] = "Continue", TRUE, IF(BL291 = "Continue", TRUE, FALSE))</f>
        <v>1</v>
      </c>
      <c r="BN292" s="23"/>
    </row>
    <row r="293" spans="1:66" ht="15" hidden="1" customHeight="1" x14ac:dyDescent="0.35">
      <c r="A293" s="18" t="str">
        <f>'Sampling Data'!AI293</f>
        <v/>
      </c>
      <c r="B293" s="18" t="str">
        <f>'Sampling Data'!A293</f>
        <v>4632 READ 3-B   (AV)</v>
      </c>
      <c r="C293" s="18">
        <f>'Sampling Data'!B293</f>
        <v>20</v>
      </c>
      <c r="D293" s="18">
        <f>'Sampling Data'!C293</f>
        <v>1</v>
      </c>
      <c r="E293" s="19">
        <f>'Sampling Data'!D293</f>
        <v>0</v>
      </c>
      <c r="F293" s="19">
        <f>'Sampling Data'!E293</f>
        <v>0</v>
      </c>
      <c r="G293" s="19">
        <f>'Sampling Data'!F293</f>
        <v>0</v>
      </c>
      <c r="H293" s="19">
        <f>'Sampling Data'!G293</f>
        <v>0</v>
      </c>
      <c r="I293" s="19">
        <f>'Sampling Data'!H293</f>
        <v>0</v>
      </c>
      <c r="J293" s="19">
        <f>'Sampling Data'!I293</f>
        <v>0</v>
      </c>
      <c r="K293" s="19">
        <f>'Sampling Data'!J293</f>
        <v>0</v>
      </c>
      <c r="L293" s="19">
        <f>'Sampling Data'!K293</f>
        <v>0</v>
      </c>
      <c r="M293" s="19">
        <f>'Sampling Data'!L293</f>
        <v>0</v>
      </c>
      <c r="N293" s="19">
        <f>'Sampling Data'!M293</f>
        <v>0</v>
      </c>
      <c r="O293" s="18">
        <f>'Sampling Data'!N293</f>
        <v>0</v>
      </c>
      <c r="P293" s="18">
        <f>'Sampling Data'!O293</f>
        <v>0</v>
      </c>
      <c r="Q293" s="18">
        <f>'Sampling Data'!P293</f>
        <v>21</v>
      </c>
      <c r="R293" s="18">
        <f>'Sampling Data'!AJ293</f>
        <v>0</v>
      </c>
      <c r="S293" s="112"/>
      <c r="T293" s="112"/>
      <c r="U293" s="113"/>
      <c r="V293" s="113"/>
      <c r="W293" s="112"/>
      <c r="X293" s="112"/>
      <c r="Y293" s="112"/>
      <c r="Z293" s="112"/>
      <c r="AA293" s="15"/>
      <c r="AB293" s="15"/>
      <c r="AC293" s="15"/>
      <c r="AD293" s="15"/>
      <c r="AE293" s="114" t="str">
        <f>IF(NOT(ISBLANK(Audit[[#This Row],[Audit Winning Candidate]])), Audit[[#This Row],[Audit Winning Candidate]]-Audit[[#This Row],[Winning Candidate]], "")</f>
        <v/>
      </c>
      <c r="AF293" s="18" t="str">
        <f>IF(NOT(ISBLANK(Audit[[#This Row],[Audit Losing Candidate]])), Audit[[#This Row],[Audit Losing Candidate]]-Audit[[#This Row],[Losing Candidate]], "")</f>
        <v/>
      </c>
      <c r="AG293" s="18" t="str">
        <f>IF(NOT(ISBLANK(Audit[[#This Row],[Audit Candidate 3]])), Audit[[#This Row],[Audit Candidate 3]]-Audit[[#This Row],[Candidate 3]], "")</f>
        <v/>
      </c>
      <c r="AH293" s="18" t="str">
        <f>IF(NOT(ISBLANK(Audit[[#This Row],[Audit Candidate 4]])),Audit[[#This Row],[Audit Candidate 4]]-Audit[[#This Row],[Candidate 4]], "")</f>
        <v/>
      </c>
      <c r="AI293" s="18" t="str">
        <f>IF(NOT(ISBLANK(Audit[[#This Row],[Audit Candidate 5]])), Audit[[#This Row],[Audit Candidate 5]]-Audit[[#This Row],[Candidate 5]], "")</f>
        <v/>
      </c>
      <c r="AJ293" s="18" t="str">
        <f>IF(NOT(ISBLANK(Audit[[#This Row],[Audit Candidate 6]])), Audit[[#This Row],[Audit Candidate 6]]-Audit[[#This Row],[Candidate 6]], "")</f>
        <v/>
      </c>
      <c r="AK293" s="18" t="str">
        <f>IF(NOT(ISBLANK(Audit[[#This Row],[Audit Candidate 7]])), Audit[[#This Row],[Audit Candidate 7]]-Audit[[#This Row],[Candidate 7]], "")</f>
        <v/>
      </c>
      <c r="AL293" s="18" t="str">
        <f>IF(NOT(ISBLANK(Audit[[#This Row],[Audit Candidate 8]])), Audit[[#This Row],[Audit Candidate 8]]-Audit[[#This Row],[Candidate 8]], "")</f>
        <v/>
      </c>
      <c r="AM293" s="18" t="str">
        <f>IF(NOT(ISBLANK(Audit[[#This Row],[Audit Candidate 9]])), Audit[[#This Row],[Audit Candidate 9]]-Audit[[#This Row],[Candidate 9]], "")</f>
        <v/>
      </c>
      <c r="AN293" s="18" t="str">
        <f>IF(NOT(ISBLANK(Audit[[#This Row],[Audit Candidate 10]])), Audit[[#This Row],[Audit Candidate 10]]-Audit[[#This Row],[Candidate 10]], "")</f>
        <v/>
      </c>
      <c r="AO293" s="18" t="str">
        <f>IF(NOT(ISBLANK(Audit[[#This Row],[Audit Candidate 11]])), Audit[[#This Row],[Audit Candidate 11]]-Audit[[#This Row],[Candidate 11]], "")</f>
        <v/>
      </c>
      <c r="AP293" s="18" t="str">
        <f>IF(NOT(ISBLANK(Audit[[#This Row],[Audit Candidate 12]])), Audit[[#This Row],[Audit Candidate 12]]-Audit[[#This Row],[Candidate 12]], "")</f>
        <v/>
      </c>
      <c r="AQ293" s="18">
        <f>SUMIF(Audit[[#This Row],[Difference Winner]:[Difference Candidate 12]], "&gt;0")</f>
        <v>0</v>
      </c>
      <c r="AR293" s="18">
        <f>SUM(Audit[[#This Row],[Difference Winner]:[Difference Candidate 12]])</f>
        <v>0</v>
      </c>
      <c r="AS293" s="18">
        <f>IF(Audit[[#This Row],[Times p Drawn - With Replacement]]&gt;0, IF(Audit[[#This Row],[Canceled Differences]]&lt;0, Audit[[#This Row],[Max Differences]]+ABS(Audit[[#This Row],[Canceled Differences]]), Audit[[#This Row],[Max Differences]]), 0)</f>
        <v>0</v>
      </c>
      <c r="AT293" s="18">
        <f>'Sampling Data'!AB293</f>
        <v>1.2563997864120362E-3</v>
      </c>
      <c r="AU293" s="18">
        <f>IF(
      SUM(Audit[[#This Row],[Audit Losing Candidate]:[Audit Candidate 12]])
      &lt;&gt;0,
      (Audit[[#This Row],[Winning Candidate]]-Audit[[#This Row],[Losing Candidate]]-(Audit[[#This Row],[Audit Winning Candidate]]-Audit[[#This Row],[Audit Losing Candidate]]))/(Audit[[#Totals],[Winning Candidate]]-Audit[[#Totals],[Losing Candidate]]),
      0
)</f>
        <v>0</v>
      </c>
      <c r="AV2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8">
        <f>IF(Audit[[#This Row],[Max Relative Error (ep)]] = 0, 0, Audit[[#This Row],[Max Relative Error (ep)]]/Audit[[#This Row],[Error Bound (up) - Max. possible relative overstatement]])</f>
        <v>0</v>
      </c>
      <c r="BH2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3" s="18">
        <f t="shared" si="5"/>
        <v>1</v>
      </c>
      <c r="BJ293" s="18">
        <f>PRODUCT($BI$5:BI293)</f>
        <v>0.57146126097022543</v>
      </c>
      <c r="BK293" s="20">
        <f>1 - Audit[[#This Row],[K-M P Value]]</f>
        <v>0.42853873902977457</v>
      </c>
      <c r="BL293" s="18" t="str">
        <f>IF(Audit[[#This Row],[K-M P Value]]&gt;1-'General Info'!$B$12,"Continue", "Stop")</f>
        <v>Continue</v>
      </c>
      <c r="BM293" s="23" t="b">
        <f>IF(Audit[[#This Row],[Status - Continue or stop audit]] = "Continue", TRUE, IF(BL292 = "Continue", TRUE, FALSE))</f>
        <v>1</v>
      </c>
      <c r="BN293" s="23"/>
    </row>
    <row r="294" spans="1:66" ht="15" hidden="1" customHeight="1" x14ac:dyDescent="0.35">
      <c r="A294" s="18" t="str">
        <f>'Sampling Data'!AI294</f>
        <v/>
      </c>
      <c r="B294" s="18" t="str">
        <f>'Sampling Data'!A294</f>
        <v>4641 READ 4-A   (AV)</v>
      </c>
      <c r="C294" s="18">
        <f>'Sampling Data'!B294</f>
        <v>14</v>
      </c>
      <c r="D294" s="18">
        <f>'Sampling Data'!C294</f>
        <v>1</v>
      </c>
      <c r="E294" s="19">
        <f>'Sampling Data'!D294</f>
        <v>0</v>
      </c>
      <c r="F294" s="19">
        <f>'Sampling Data'!E294</f>
        <v>0</v>
      </c>
      <c r="G294" s="19">
        <f>'Sampling Data'!F294</f>
        <v>0</v>
      </c>
      <c r="H294" s="19">
        <f>'Sampling Data'!G294</f>
        <v>0</v>
      </c>
      <c r="I294" s="19">
        <f>'Sampling Data'!H294</f>
        <v>0</v>
      </c>
      <c r="J294" s="19">
        <f>'Sampling Data'!I294</f>
        <v>0</v>
      </c>
      <c r="K294" s="19">
        <f>'Sampling Data'!J294</f>
        <v>0</v>
      </c>
      <c r="L294" s="19">
        <f>'Sampling Data'!K294</f>
        <v>0</v>
      </c>
      <c r="M294" s="19">
        <f>'Sampling Data'!L294</f>
        <v>0</v>
      </c>
      <c r="N294" s="19">
        <f>'Sampling Data'!M294</f>
        <v>0</v>
      </c>
      <c r="O294" s="18">
        <f>'Sampling Data'!N294</f>
        <v>0</v>
      </c>
      <c r="P294" s="18">
        <f>'Sampling Data'!O294</f>
        <v>1</v>
      </c>
      <c r="Q294" s="18">
        <f>'Sampling Data'!P294</f>
        <v>16</v>
      </c>
      <c r="R294" s="18">
        <f>'Sampling Data'!AJ294</f>
        <v>0</v>
      </c>
      <c r="S294" s="112"/>
      <c r="T294" s="112"/>
      <c r="U294" s="113"/>
      <c r="V294" s="113"/>
      <c r="W294" s="112"/>
      <c r="X294" s="112"/>
      <c r="Y294" s="112"/>
      <c r="Z294" s="112"/>
      <c r="AA294" s="15"/>
      <c r="AB294" s="15"/>
      <c r="AC294" s="15"/>
      <c r="AD294" s="15"/>
      <c r="AE294" s="114" t="str">
        <f>IF(NOT(ISBLANK(Audit[[#This Row],[Audit Winning Candidate]])), Audit[[#This Row],[Audit Winning Candidate]]-Audit[[#This Row],[Winning Candidate]], "")</f>
        <v/>
      </c>
      <c r="AF294" s="18" t="str">
        <f>IF(NOT(ISBLANK(Audit[[#This Row],[Audit Losing Candidate]])), Audit[[#This Row],[Audit Losing Candidate]]-Audit[[#This Row],[Losing Candidate]], "")</f>
        <v/>
      </c>
      <c r="AG294" s="18" t="str">
        <f>IF(NOT(ISBLANK(Audit[[#This Row],[Audit Candidate 3]])), Audit[[#This Row],[Audit Candidate 3]]-Audit[[#This Row],[Candidate 3]], "")</f>
        <v/>
      </c>
      <c r="AH294" s="18" t="str">
        <f>IF(NOT(ISBLANK(Audit[[#This Row],[Audit Candidate 4]])),Audit[[#This Row],[Audit Candidate 4]]-Audit[[#This Row],[Candidate 4]], "")</f>
        <v/>
      </c>
      <c r="AI294" s="18" t="str">
        <f>IF(NOT(ISBLANK(Audit[[#This Row],[Audit Candidate 5]])), Audit[[#This Row],[Audit Candidate 5]]-Audit[[#This Row],[Candidate 5]], "")</f>
        <v/>
      </c>
      <c r="AJ294" s="18" t="str">
        <f>IF(NOT(ISBLANK(Audit[[#This Row],[Audit Candidate 6]])), Audit[[#This Row],[Audit Candidate 6]]-Audit[[#This Row],[Candidate 6]], "")</f>
        <v/>
      </c>
      <c r="AK294" s="18" t="str">
        <f>IF(NOT(ISBLANK(Audit[[#This Row],[Audit Candidate 7]])), Audit[[#This Row],[Audit Candidate 7]]-Audit[[#This Row],[Candidate 7]], "")</f>
        <v/>
      </c>
      <c r="AL294" s="18" t="str">
        <f>IF(NOT(ISBLANK(Audit[[#This Row],[Audit Candidate 8]])), Audit[[#This Row],[Audit Candidate 8]]-Audit[[#This Row],[Candidate 8]], "")</f>
        <v/>
      </c>
      <c r="AM294" s="18" t="str">
        <f>IF(NOT(ISBLANK(Audit[[#This Row],[Audit Candidate 9]])), Audit[[#This Row],[Audit Candidate 9]]-Audit[[#This Row],[Candidate 9]], "")</f>
        <v/>
      </c>
      <c r="AN294" s="18" t="str">
        <f>IF(NOT(ISBLANK(Audit[[#This Row],[Audit Candidate 10]])), Audit[[#This Row],[Audit Candidate 10]]-Audit[[#This Row],[Candidate 10]], "")</f>
        <v/>
      </c>
      <c r="AO294" s="18" t="str">
        <f>IF(NOT(ISBLANK(Audit[[#This Row],[Audit Candidate 11]])), Audit[[#This Row],[Audit Candidate 11]]-Audit[[#This Row],[Candidate 11]], "")</f>
        <v/>
      </c>
      <c r="AP294" s="18" t="str">
        <f>IF(NOT(ISBLANK(Audit[[#This Row],[Audit Candidate 12]])), Audit[[#This Row],[Audit Candidate 12]]-Audit[[#This Row],[Candidate 12]], "")</f>
        <v/>
      </c>
      <c r="AQ294" s="18">
        <f>SUMIF(Audit[[#This Row],[Difference Winner]:[Difference Candidate 12]], "&gt;0")</f>
        <v>0</v>
      </c>
      <c r="AR294" s="18">
        <f>SUM(Audit[[#This Row],[Difference Winner]:[Difference Candidate 12]])</f>
        <v>0</v>
      </c>
      <c r="AS294" s="18">
        <f>IF(Audit[[#This Row],[Times p Drawn - With Replacement]]&gt;0, IF(Audit[[#This Row],[Canceled Differences]]&lt;0, Audit[[#This Row],[Max Differences]]+ABS(Audit[[#This Row],[Canceled Differences]]), Audit[[#This Row],[Max Differences]]), 0)</f>
        <v>0</v>
      </c>
      <c r="AT294" s="18">
        <f>'Sampling Data'!AB294</f>
        <v>9.108898451487263E-4</v>
      </c>
      <c r="AU294" s="18">
        <f>IF(
      SUM(Audit[[#This Row],[Audit Losing Candidate]:[Audit Candidate 12]])
      &lt;&gt;0,
      (Audit[[#This Row],[Winning Candidate]]-Audit[[#This Row],[Losing Candidate]]-(Audit[[#This Row],[Audit Winning Candidate]]-Audit[[#This Row],[Audit Losing Candidate]]))/(Audit[[#Totals],[Winning Candidate]]-Audit[[#Totals],[Losing Candidate]]),
      0
)</f>
        <v>0</v>
      </c>
      <c r="AV2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8">
        <f>IF(Audit[[#This Row],[Max Relative Error (ep)]] = 0, 0, Audit[[#This Row],[Max Relative Error (ep)]]/Audit[[#This Row],[Error Bound (up) - Max. possible relative overstatement]])</f>
        <v>0</v>
      </c>
      <c r="BH2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4" s="18">
        <f t="shared" si="5"/>
        <v>1</v>
      </c>
      <c r="BJ294" s="18">
        <f>PRODUCT($BI$5:BI294)</f>
        <v>0.57146126097022543</v>
      </c>
      <c r="BK294" s="20">
        <f>1 - Audit[[#This Row],[K-M P Value]]</f>
        <v>0.42853873902977457</v>
      </c>
      <c r="BL294" s="18" t="str">
        <f>IF(Audit[[#This Row],[K-M P Value]]&gt;1-'General Info'!$B$12,"Continue", "Stop")</f>
        <v>Continue</v>
      </c>
      <c r="BM294" s="23" t="b">
        <f>IF(Audit[[#This Row],[Status - Continue or stop audit]] = "Continue", TRUE, IF(BL293 = "Continue", TRUE, FALSE))</f>
        <v>1</v>
      </c>
      <c r="BN294" s="23"/>
    </row>
    <row r="295" spans="1:66" ht="15" hidden="1" customHeight="1" x14ac:dyDescent="0.35">
      <c r="A295" s="18" t="str">
        <f>'Sampling Data'!AI295</f>
        <v/>
      </c>
      <c r="B295" s="18" t="str">
        <f>'Sampling Data'!A295</f>
        <v>4642 READ 4-B   (AV)</v>
      </c>
      <c r="C295" s="18">
        <f>'Sampling Data'!B295</f>
        <v>27</v>
      </c>
      <c r="D295" s="18">
        <f>'Sampling Data'!C295</f>
        <v>0</v>
      </c>
      <c r="E295" s="19">
        <f>'Sampling Data'!D295</f>
        <v>0</v>
      </c>
      <c r="F295" s="19">
        <f>'Sampling Data'!E295</f>
        <v>0</v>
      </c>
      <c r="G295" s="19">
        <f>'Sampling Data'!F295</f>
        <v>0</v>
      </c>
      <c r="H295" s="19">
        <f>'Sampling Data'!G295</f>
        <v>0</v>
      </c>
      <c r="I295" s="19">
        <f>'Sampling Data'!H295</f>
        <v>0</v>
      </c>
      <c r="J295" s="19">
        <f>'Sampling Data'!I295</f>
        <v>0</v>
      </c>
      <c r="K295" s="19">
        <f>'Sampling Data'!J295</f>
        <v>0</v>
      </c>
      <c r="L295" s="19">
        <f>'Sampling Data'!K295</f>
        <v>0</v>
      </c>
      <c r="M295" s="19">
        <f>'Sampling Data'!L295</f>
        <v>0</v>
      </c>
      <c r="N295" s="19">
        <f>'Sampling Data'!M295</f>
        <v>0</v>
      </c>
      <c r="O295" s="18">
        <f>'Sampling Data'!N295</f>
        <v>0</v>
      </c>
      <c r="P295" s="18">
        <f>'Sampling Data'!O295</f>
        <v>0</v>
      </c>
      <c r="Q295" s="18">
        <f>'Sampling Data'!P295</f>
        <v>27</v>
      </c>
      <c r="R295" s="18">
        <f>'Sampling Data'!AJ295</f>
        <v>0</v>
      </c>
      <c r="S295" s="112"/>
      <c r="T295" s="112"/>
      <c r="U295" s="113"/>
      <c r="V295" s="113"/>
      <c r="W295" s="112"/>
      <c r="X295" s="112"/>
      <c r="Y295" s="112"/>
      <c r="Z295" s="112"/>
      <c r="AA295" s="15"/>
      <c r="AB295" s="15"/>
      <c r="AC295" s="15"/>
      <c r="AD295" s="15"/>
      <c r="AE295" s="114" t="str">
        <f>IF(NOT(ISBLANK(Audit[[#This Row],[Audit Winning Candidate]])), Audit[[#This Row],[Audit Winning Candidate]]-Audit[[#This Row],[Winning Candidate]], "")</f>
        <v/>
      </c>
      <c r="AF295" s="18" t="str">
        <f>IF(NOT(ISBLANK(Audit[[#This Row],[Audit Losing Candidate]])), Audit[[#This Row],[Audit Losing Candidate]]-Audit[[#This Row],[Losing Candidate]], "")</f>
        <v/>
      </c>
      <c r="AG295" s="18" t="str">
        <f>IF(NOT(ISBLANK(Audit[[#This Row],[Audit Candidate 3]])), Audit[[#This Row],[Audit Candidate 3]]-Audit[[#This Row],[Candidate 3]], "")</f>
        <v/>
      </c>
      <c r="AH295" s="18" t="str">
        <f>IF(NOT(ISBLANK(Audit[[#This Row],[Audit Candidate 4]])),Audit[[#This Row],[Audit Candidate 4]]-Audit[[#This Row],[Candidate 4]], "")</f>
        <v/>
      </c>
      <c r="AI295" s="18" t="str">
        <f>IF(NOT(ISBLANK(Audit[[#This Row],[Audit Candidate 5]])), Audit[[#This Row],[Audit Candidate 5]]-Audit[[#This Row],[Candidate 5]], "")</f>
        <v/>
      </c>
      <c r="AJ295" s="18" t="str">
        <f>IF(NOT(ISBLANK(Audit[[#This Row],[Audit Candidate 6]])), Audit[[#This Row],[Audit Candidate 6]]-Audit[[#This Row],[Candidate 6]], "")</f>
        <v/>
      </c>
      <c r="AK295" s="18" t="str">
        <f>IF(NOT(ISBLANK(Audit[[#This Row],[Audit Candidate 7]])), Audit[[#This Row],[Audit Candidate 7]]-Audit[[#This Row],[Candidate 7]], "")</f>
        <v/>
      </c>
      <c r="AL295" s="18" t="str">
        <f>IF(NOT(ISBLANK(Audit[[#This Row],[Audit Candidate 8]])), Audit[[#This Row],[Audit Candidate 8]]-Audit[[#This Row],[Candidate 8]], "")</f>
        <v/>
      </c>
      <c r="AM295" s="18" t="str">
        <f>IF(NOT(ISBLANK(Audit[[#This Row],[Audit Candidate 9]])), Audit[[#This Row],[Audit Candidate 9]]-Audit[[#This Row],[Candidate 9]], "")</f>
        <v/>
      </c>
      <c r="AN295" s="18" t="str">
        <f>IF(NOT(ISBLANK(Audit[[#This Row],[Audit Candidate 10]])), Audit[[#This Row],[Audit Candidate 10]]-Audit[[#This Row],[Candidate 10]], "")</f>
        <v/>
      </c>
      <c r="AO295" s="18" t="str">
        <f>IF(NOT(ISBLANK(Audit[[#This Row],[Audit Candidate 11]])), Audit[[#This Row],[Audit Candidate 11]]-Audit[[#This Row],[Candidate 11]], "")</f>
        <v/>
      </c>
      <c r="AP295" s="18" t="str">
        <f>IF(NOT(ISBLANK(Audit[[#This Row],[Audit Candidate 12]])), Audit[[#This Row],[Audit Candidate 12]]-Audit[[#This Row],[Candidate 12]], "")</f>
        <v/>
      </c>
      <c r="AQ295" s="18">
        <f>SUMIF(Audit[[#This Row],[Difference Winner]:[Difference Candidate 12]], "&gt;0")</f>
        <v>0</v>
      </c>
      <c r="AR295" s="18">
        <f>SUM(Audit[[#This Row],[Difference Winner]:[Difference Candidate 12]])</f>
        <v>0</v>
      </c>
      <c r="AS295" s="18">
        <f>IF(Audit[[#This Row],[Times p Drawn - With Replacement]]&gt;0, IF(Audit[[#This Row],[Canceled Differences]]&lt;0, Audit[[#This Row],[Max Differences]]+ABS(Audit[[#This Row],[Canceled Differences]]), Audit[[#This Row],[Max Differences]]), 0)</f>
        <v>0</v>
      </c>
      <c r="AT295" s="18">
        <f>'Sampling Data'!AB295</f>
        <v>1.6961397116562491E-3</v>
      </c>
      <c r="AU295" s="18">
        <f>IF(
      SUM(Audit[[#This Row],[Audit Losing Candidate]:[Audit Candidate 12]])
      &lt;&gt;0,
      (Audit[[#This Row],[Winning Candidate]]-Audit[[#This Row],[Losing Candidate]]-(Audit[[#This Row],[Audit Winning Candidate]]-Audit[[#This Row],[Audit Losing Candidate]]))/(Audit[[#Totals],[Winning Candidate]]-Audit[[#Totals],[Losing Candidate]]),
      0
)</f>
        <v>0</v>
      </c>
      <c r="AV2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8">
        <f>IF(Audit[[#This Row],[Max Relative Error (ep)]] = 0, 0, Audit[[#This Row],[Max Relative Error (ep)]]/Audit[[#This Row],[Error Bound (up) - Max. possible relative overstatement]])</f>
        <v>0</v>
      </c>
      <c r="BH2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5" s="18">
        <f t="shared" si="5"/>
        <v>1</v>
      </c>
      <c r="BJ295" s="18">
        <f>PRODUCT($BI$5:BI295)</f>
        <v>0.57146126097022543</v>
      </c>
      <c r="BK295" s="20">
        <f>1 - Audit[[#This Row],[K-M P Value]]</f>
        <v>0.42853873902977457</v>
      </c>
      <c r="BL295" s="18" t="str">
        <f>IF(Audit[[#This Row],[K-M P Value]]&gt;1-'General Info'!$B$12,"Continue", "Stop")</f>
        <v>Continue</v>
      </c>
      <c r="BM295" s="23" t="b">
        <f>IF(Audit[[#This Row],[Status - Continue or stop audit]] = "Continue", TRUE, IF(BL294 = "Continue", TRUE, FALSE))</f>
        <v>1</v>
      </c>
      <c r="BN295" s="23"/>
    </row>
    <row r="296" spans="1:66" ht="15" hidden="1" customHeight="1" x14ac:dyDescent="0.35">
      <c r="A296" s="18" t="str">
        <f>'Sampling Data'!AI296</f>
        <v/>
      </c>
      <c r="B296" s="18" t="str">
        <f>'Sampling Data'!A296</f>
        <v>4911 SHAR 1-A   (AV)</v>
      </c>
      <c r="C296" s="18">
        <f>'Sampling Data'!B296</f>
        <v>6</v>
      </c>
      <c r="D296" s="18">
        <f>'Sampling Data'!C296</f>
        <v>2</v>
      </c>
      <c r="E296" s="19">
        <f>'Sampling Data'!D296</f>
        <v>0</v>
      </c>
      <c r="F296" s="19">
        <f>'Sampling Data'!E296</f>
        <v>0</v>
      </c>
      <c r="G296" s="19">
        <f>'Sampling Data'!F296</f>
        <v>0</v>
      </c>
      <c r="H296" s="19">
        <f>'Sampling Data'!G296</f>
        <v>0</v>
      </c>
      <c r="I296" s="19">
        <f>'Sampling Data'!H296</f>
        <v>0</v>
      </c>
      <c r="J296" s="19">
        <f>'Sampling Data'!I296</f>
        <v>0</v>
      </c>
      <c r="K296" s="19">
        <f>'Sampling Data'!J296</f>
        <v>0</v>
      </c>
      <c r="L296" s="19">
        <f>'Sampling Data'!K296</f>
        <v>0</v>
      </c>
      <c r="M296" s="19">
        <f>'Sampling Data'!L296</f>
        <v>0</v>
      </c>
      <c r="N296" s="19">
        <f>'Sampling Data'!M296</f>
        <v>0</v>
      </c>
      <c r="O296" s="18">
        <f>'Sampling Data'!N296</f>
        <v>0</v>
      </c>
      <c r="P296" s="18">
        <f>'Sampling Data'!O296</f>
        <v>0</v>
      </c>
      <c r="Q296" s="18">
        <f>'Sampling Data'!P296</f>
        <v>8</v>
      </c>
      <c r="R296" s="18">
        <f>'Sampling Data'!AJ296</f>
        <v>0</v>
      </c>
      <c r="S296" s="112"/>
      <c r="T296" s="112"/>
      <c r="U296" s="113"/>
      <c r="V296" s="113"/>
      <c r="W296" s="112"/>
      <c r="X296" s="112"/>
      <c r="Y296" s="112"/>
      <c r="Z296" s="112"/>
      <c r="AA296" s="15"/>
      <c r="AB296" s="15"/>
      <c r="AC296" s="15"/>
      <c r="AD296" s="15"/>
      <c r="AE296" s="114" t="str">
        <f>IF(NOT(ISBLANK(Audit[[#This Row],[Audit Winning Candidate]])), Audit[[#This Row],[Audit Winning Candidate]]-Audit[[#This Row],[Winning Candidate]], "")</f>
        <v/>
      </c>
      <c r="AF296" s="18" t="str">
        <f>IF(NOT(ISBLANK(Audit[[#This Row],[Audit Losing Candidate]])), Audit[[#This Row],[Audit Losing Candidate]]-Audit[[#This Row],[Losing Candidate]], "")</f>
        <v/>
      </c>
      <c r="AG296" s="18" t="str">
        <f>IF(NOT(ISBLANK(Audit[[#This Row],[Audit Candidate 3]])), Audit[[#This Row],[Audit Candidate 3]]-Audit[[#This Row],[Candidate 3]], "")</f>
        <v/>
      </c>
      <c r="AH296" s="18" t="str">
        <f>IF(NOT(ISBLANK(Audit[[#This Row],[Audit Candidate 4]])),Audit[[#This Row],[Audit Candidate 4]]-Audit[[#This Row],[Candidate 4]], "")</f>
        <v/>
      </c>
      <c r="AI296" s="18" t="str">
        <f>IF(NOT(ISBLANK(Audit[[#This Row],[Audit Candidate 5]])), Audit[[#This Row],[Audit Candidate 5]]-Audit[[#This Row],[Candidate 5]], "")</f>
        <v/>
      </c>
      <c r="AJ296" s="18" t="str">
        <f>IF(NOT(ISBLANK(Audit[[#This Row],[Audit Candidate 6]])), Audit[[#This Row],[Audit Candidate 6]]-Audit[[#This Row],[Candidate 6]], "")</f>
        <v/>
      </c>
      <c r="AK296" s="18" t="str">
        <f>IF(NOT(ISBLANK(Audit[[#This Row],[Audit Candidate 7]])), Audit[[#This Row],[Audit Candidate 7]]-Audit[[#This Row],[Candidate 7]], "")</f>
        <v/>
      </c>
      <c r="AL296" s="18" t="str">
        <f>IF(NOT(ISBLANK(Audit[[#This Row],[Audit Candidate 8]])), Audit[[#This Row],[Audit Candidate 8]]-Audit[[#This Row],[Candidate 8]], "")</f>
        <v/>
      </c>
      <c r="AM296" s="18" t="str">
        <f>IF(NOT(ISBLANK(Audit[[#This Row],[Audit Candidate 9]])), Audit[[#This Row],[Audit Candidate 9]]-Audit[[#This Row],[Candidate 9]], "")</f>
        <v/>
      </c>
      <c r="AN296" s="18" t="str">
        <f>IF(NOT(ISBLANK(Audit[[#This Row],[Audit Candidate 10]])), Audit[[#This Row],[Audit Candidate 10]]-Audit[[#This Row],[Candidate 10]], "")</f>
        <v/>
      </c>
      <c r="AO296" s="18" t="str">
        <f>IF(NOT(ISBLANK(Audit[[#This Row],[Audit Candidate 11]])), Audit[[#This Row],[Audit Candidate 11]]-Audit[[#This Row],[Candidate 11]], "")</f>
        <v/>
      </c>
      <c r="AP296" s="18" t="str">
        <f>IF(NOT(ISBLANK(Audit[[#This Row],[Audit Candidate 12]])), Audit[[#This Row],[Audit Candidate 12]]-Audit[[#This Row],[Candidate 12]], "")</f>
        <v/>
      </c>
      <c r="AQ296" s="18">
        <f>SUMIF(Audit[[#This Row],[Difference Winner]:[Difference Candidate 12]], "&gt;0")</f>
        <v>0</v>
      </c>
      <c r="AR296" s="18">
        <f>SUM(Audit[[#This Row],[Difference Winner]:[Difference Candidate 12]])</f>
        <v>0</v>
      </c>
      <c r="AS296" s="18">
        <f>IF(Audit[[#This Row],[Times p Drawn - With Replacement]]&gt;0, IF(Audit[[#This Row],[Canceled Differences]]&lt;0, Audit[[#This Row],[Max Differences]]+ABS(Audit[[#This Row],[Canceled Differences]]), Audit[[#This Row],[Max Differences]]), 0)</f>
        <v>0</v>
      </c>
      <c r="AT296" s="18">
        <f>'Sampling Data'!AB296</f>
        <v>3.7691993592361088E-4</v>
      </c>
      <c r="AU296" s="18">
        <f>IF(
      SUM(Audit[[#This Row],[Audit Losing Candidate]:[Audit Candidate 12]])
      &lt;&gt;0,
      (Audit[[#This Row],[Winning Candidate]]-Audit[[#This Row],[Losing Candidate]]-(Audit[[#This Row],[Audit Winning Candidate]]-Audit[[#This Row],[Audit Losing Candidate]]))/(Audit[[#Totals],[Winning Candidate]]-Audit[[#Totals],[Losing Candidate]]),
      0
)</f>
        <v>0</v>
      </c>
      <c r="AV2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8">
        <f>IF(Audit[[#This Row],[Max Relative Error (ep)]] = 0, 0, Audit[[#This Row],[Max Relative Error (ep)]]/Audit[[#This Row],[Error Bound (up) - Max. possible relative overstatement]])</f>
        <v>0</v>
      </c>
      <c r="BH2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6" s="18">
        <f t="shared" si="5"/>
        <v>1</v>
      </c>
      <c r="BJ296" s="18">
        <f>PRODUCT($BI$5:BI296)</f>
        <v>0.57146126097022543</v>
      </c>
      <c r="BK296" s="20">
        <f>1 - Audit[[#This Row],[K-M P Value]]</f>
        <v>0.42853873902977457</v>
      </c>
      <c r="BL296" s="18" t="str">
        <f>IF(Audit[[#This Row],[K-M P Value]]&gt;1-'General Info'!$B$12,"Continue", "Stop")</f>
        <v>Continue</v>
      </c>
      <c r="BM296" s="23" t="b">
        <f>IF(Audit[[#This Row],[Status - Continue or stop audit]] = "Continue", TRUE, IF(BL295 = "Continue", TRUE, FALSE))</f>
        <v>1</v>
      </c>
      <c r="BN296" s="23"/>
    </row>
    <row r="297" spans="1:66" ht="15" hidden="1" customHeight="1" x14ac:dyDescent="0.35">
      <c r="A297" s="18" t="str">
        <f>'Sampling Data'!AI297</f>
        <v/>
      </c>
      <c r="B297" s="18" t="str">
        <f>'Sampling Data'!A297</f>
        <v>4912 SHAR 1-B   (AV)</v>
      </c>
      <c r="C297" s="18">
        <f>'Sampling Data'!B297</f>
        <v>3</v>
      </c>
      <c r="D297" s="18">
        <f>'Sampling Data'!C297</f>
        <v>0</v>
      </c>
      <c r="E297" s="19">
        <f>'Sampling Data'!D297</f>
        <v>0</v>
      </c>
      <c r="F297" s="19">
        <f>'Sampling Data'!E297</f>
        <v>0</v>
      </c>
      <c r="G297" s="19">
        <f>'Sampling Data'!F297</f>
        <v>0</v>
      </c>
      <c r="H297" s="19">
        <f>'Sampling Data'!G297</f>
        <v>0</v>
      </c>
      <c r="I297" s="19">
        <f>'Sampling Data'!H297</f>
        <v>0</v>
      </c>
      <c r="J297" s="19">
        <f>'Sampling Data'!I297</f>
        <v>0</v>
      </c>
      <c r="K297" s="19">
        <f>'Sampling Data'!J297</f>
        <v>0</v>
      </c>
      <c r="L297" s="19">
        <f>'Sampling Data'!K297</f>
        <v>0</v>
      </c>
      <c r="M297" s="19">
        <f>'Sampling Data'!L297</f>
        <v>0</v>
      </c>
      <c r="N297" s="19">
        <f>'Sampling Data'!M297</f>
        <v>0</v>
      </c>
      <c r="O297" s="18">
        <f>'Sampling Data'!N297</f>
        <v>0</v>
      </c>
      <c r="P297" s="18">
        <f>'Sampling Data'!O297</f>
        <v>0</v>
      </c>
      <c r="Q297" s="18">
        <f>'Sampling Data'!P297</f>
        <v>3</v>
      </c>
      <c r="R297" s="18">
        <f>'Sampling Data'!AJ297</f>
        <v>0</v>
      </c>
      <c r="S297" s="112"/>
      <c r="T297" s="112"/>
      <c r="U297" s="113"/>
      <c r="V297" s="113"/>
      <c r="W297" s="112"/>
      <c r="X297" s="112"/>
      <c r="Y297" s="112"/>
      <c r="Z297" s="112"/>
      <c r="AA297" s="15"/>
      <c r="AB297" s="15"/>
      <c r="AC297" s="15"/>
      <c r="AD297" s="15"/>
      <c r="AE297" s="114" t="str">
        <f>IF(NOT(ISBLANK(Audit[[#This Row],[Audit Winning Candidate]])), Audit[[#This Row],[Audit Winning Candidate]]-Audit[[#This Row],[Winning Candidate]], "")</f>
        <v/>
      </c>
      <c r="AF297" s="18" t="str">
        <f>IF(NOT(ISBLANK(Audit[[#This Row],[Audit Losing Candidate]])), Audit[[#This Row],[Audit Losing Candidate]]-Audit[[#This Row],[Losing Candidate]], "")</f>
        <v/>
      </c>
      <c r="AG297" s="18" t="str">
        <f>IF(NOT(ISBLANK(Audit[[#This Row],[Audit Candidate 3]])), Audit[[#This Row],[Audit Candidate 3]]-Audit[[#This Row],[Candidate 3]], "")</f>
        <v/>
      </c>
      <c r="AH297" s="18" t="str">
        <f>IF(NOT(ISBLANK(Audit[[#This Row],[Audit Candidate 4]])),Audit[[#This Row],[Audit Candidate 4]]-Audit[[#This Row],[Candidate 4]], "")</f>
        <v/>
      </c>
      <c r="AI297" s="18" t="str">
        <f>IF(NOT(ISBLANK(Audit[[#This Row],[Audit Candidate 5]])), Audit[[#This Row],[Audit Candidate 5]]-Audit[[#This Row],[Candidate 5]], "")</f>
        <v/>
      </c>
      <c r="AJ297" s="18" t="str">
        <f>IF(NOT(ISBLANK(Audit[[#This Row],[Audit Candidate 6]])), Audit[[#This Row],[Audit Candidate 6]]-Audit[[#This Row],[Candidate 6]], "")</f>
        <v/>
      </c>
      <c r="AK297" s="18" t="str">
        <f>IF(NOT(ISBLANK(Audit[[#This Row],[Audit Candidate 7]])), Audit[[#This Row],[Audit Candidate 7]]-Audit[[#This Row],[Candidate 7]], "")</f>
        <v/>
      </c>
      <c r="AL297" s="18" t="str">
        <f>IF(NOT(ISBLANK(Audit[[#This Row],[Audit Candidate 8]])), Audit[[#This Row],[Audit Candidate 8]]-Audit[[#This Row],[Candidate 8]], "")</f>
        <v/>
      </c>
      <c r="AM297" s="18" t="str">
        <f>IF(NOT(ISBLANK(Audit[[#This Row],[Audit Candidate 9]])), Audit[[#This Row],[Audit Candidate 9]]-Audit[[#This Row],[Candidate 9]], "")</f>
        <v/>
      </c>
      <c r="AN297" s="18" t="str">
        <f>IF(NOT(ISBLANK(Audit[[#This Row],[Audit Candidate 10]])), Audit[[#This Row],[Audit Candidate 10]]-Audit[[#This Row],[Candidate 10]], "")</f>
        <v/>
      </c>
      <c r="AO297" s="18" t="str">
        <f>IF(NOT(ISBLANK(Audit[[#This Row],[Audit Candidate 11]])), Audit[[#This Row],[Audit Candidate 11]]-Audit[[#This Row],[Candidate 11]], "")</f>
        <v/>
      </c>
      <c r="AP297" s="18" t="str">
        <f>IF(NOT(ISBLANK(Audit[[#This Row],[Audit Candidate 12]])), Audit[[#This Row],[Audit Candidate 12]]-Audit[[#This Row],[Candidate 12]], "")</f>
        <v/>
      </c>
      <c r="AQ297" s="18">
        <f>SUMIF(Audit[[#This Row],[Difference Winner]:[Difference Candidate 12]], "&gt;0")</f>
        <v>0</v>
      </c>
      <c r="AR297" s="18">
        <f>SUM(Audit[[#This Row],[Difference Winner]:[Difference Candidate 12]])</f>
        <v>0</v>
      </c>
      <c r="AS297" s="18">
        <f>IF(Audit[[#This Row],[Times p Drawn - With Replacement]]&gt;0, IF(Audit[[#This Row],[Canceled Differences]]&lt;0, Audit[[#This Row],[Max Differences]]+ABS(Audit[[#This Row],[Canceled Differences]]), Audit[[#This Row],[Max Differences]]), 0)</f>
        <v>0</v>
      </c>
      <c r="AT297" s="18">
        <f>'Sampling Data'!AB297</f>
        <v>1.8845996796180544E-4</v>
      </c>
      <c r="AU297" s="18">
        <f>IF(
      SUM(Audit[[#This Row],[Audit Losing Candidate]:[Audit Candidate 12]])
      &lt;&gt;0,
      (Audit[[#This Row],[Winning Candidate]]-Audit[[#This Row],[Losing Candidate]]-(Audit[[#This Row],[Audit Winning Candidate]]-Audit[[#This Row],[Audit Losing Candidate]]))/(Audit[[#Totals],[Winning Candidate]]-Audit[[#Totals],[Losing Candidate]]),
      0
)</f>
        <v>0</v>
      </c>
      <c r="AV2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8">
        <f>IF(Audit[[#This Row],[Max Relative Error (ep)]] = 0, 0, Audit[[#This Row],[Max Relative Error (ep)]]/Audit[[#This Row],[Error Bound (up) - Max. possible relative overstatement]])</f>
        <v>0</v>
      </c>
      <c r="BH2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7" s="18">
        <f t="shared" si="5"/>
        <v>1</v>
      </c>
      <c r="BJ297" s="18">
        <f>PRODUCT($BI$5:BI297)</f>
        <v>0.57146126097022543</v>
      </c>
      <c r="BK297" s="20">
        <f>1 - Audit[[#This Row],[K-M P Value]]</f>
        <v>0.42853873902977457</v>
      </c>
      <c r="BL297" s="18" t="str">
        <f>IF(Audit[[#This Row],[K-M P Value]]&gt;1-'General Info'!$B$12,"Continue", "Stop")</f>
        <v>Continue</v>
      </c>
      <c r="BM297" s="23" t="b">
        <f>IF(Audit[[#This Row],[Status - Continue or stop audit]] = "Continue", TRUE, IF(BL296 = "Continue", TRUE, FALSE))</f>
        <v>1</v>
      </c>
      <c r="BN297" s="23"/>
    </row>
    <row r="298" spans="1:66" ht="15" hidden="1" customHeight="1" x14ac:dyDescent="0.35">
      <c r="A298" s="18" t="str">
        <f>'Sampling Data'!AI298</f>
        <v/>
      </c>
      <c r="B298" s="18" t="str">
        <f>'Sampling Data'!A298</f>
        <v>4921 SHAR 2-A   (AV)</v>
      </c>
      <c r="C298" s="18">
        <f>'Sampling Data'!B298</f>
        <v>9</v>
      </c>
      <c r="D298" s="18">
        <f>'Sampling Data'!C298</f>
        <v>1</v>
      </c>
      <c r="E298" s="19">
        <f>'Sampling Data'!D298</f>
        <v>0</v>
      </c>
      <c r="F298" s="19">
        <f>'Sampling Data'!E298</f>
        <v>0</v>
      </c>
      <c r="G298" s="19">
        <f>'Sampling Data'!F298</f>
        <v>0</v>
      </c>
      <c r="H298" s="19">
        <f>'Sampling Data'!G298</f>
        <v>0</v>
      </c>
      <c r="I298" s="19">
        <f>'Sampling Data'!H298</f>
        <v>0</v>
      </c>
      <c r="J298" s="19">
        <f>'Sampling Data'!I298</f>
        <v>0</v>
      </c>
      <c r="K298" s="19">
        <f>'Sampling Data'!J298</f>
        <v>0</v>
      </c>
      <c r="L298" s="19">
        <f>'Sampling Data'!K298</f>
        <v>0</v>
      </c>
      <c r="M298" s="19">
        <f>'Sampling Data'!L298</f>
        <v>0</v>
      </c>
      <c r="N298" s="19">
        <f>'Sampling Data'!M298</f>
        <v>0</v>
      </c>
      <c r="O298" s="18">
        <f>'Sampling Data'!N298</f>
        <v>0</v>
      </c>
      <c r="P298" s="18">
        <f>'Sampling Data'!O298</f>
        <v>0</v>
      </c>
      <c r="Q298" s="18">
        <f>'Sampling Data'!P298</f>
        <v>10</v>
      </c>
      <c r="R298" s="18">
        <f>'Sampling Data'!AJ298</f>
        <v>0</v>
      </c>
      <c r="S298" s="112"/>
      <c r="T298" s="112"/>
      <c r="U298" s="113"/>
      <c r="V298" s="113"/>
      <c r="W298" s="112"/>
      <c r="X298" s="112"/>
      <c r="Y298" s="112"/>
      <c r="Z298" s="112"/>
      <c r="AA298" s="15"/>
      <c r="AB298" s="15"/>
      <c r="AC298" s="15"/>
      <c r="AD298" s="15"/>
      <c r="AE298" s="114" t="str">
        <f>IF(NOT(ISBLANK(Audit[[#This Row],[Audit Winning Candidate]])), Audit[[#This Row],[Audit Winning Candidate]]-Audit[[#This Row],[Winning Candidate]], "")</f>
        <v/>
      </c>
      <c r="AF298" s="18" t="str">
        <f>IF(NOT(ISBLANK(Audit[[#This Row],[Audit Losing Candidate]])), Audit[[#This Row],[Audit Losing Candidate]]-Audit[[#This Row],[Losing Candidate]], "")</f>
        <v/>
      </c>
      <c r="AG298" s="18" t="str">
        <f>IF(NOT(ISBLANK(Audit[[#This Row],[Audit Candidate 3]])), Audit[[#This Row],[Audit Candidate 3]]-Audit[[#This Row],[Candidate 3]], "")</f>
        <v/>
      </c>
      <c r="AH298" s="18" t="str">
        <f>IF(NOT(ISBLANK(Audit[[#This Row],[Audit Candidate 4]])),Audit[[#This Row],[Audit Candidate 4]]-Audit[[#This Row],[Candidate 4]], "")</f>
        <v/>
      </c>
      <c r="AI298" s="18" t="str">
        <f>IF(NOT(ISBLANK(Audit[[#This Row],[Audit Candidate 5]])), Audit[[#This Row],[Audit Candidate 5]]-Audit[[#This Row],[Candidate 5]], "")</f>
        <v/>
      </c>
      <c r="AJ298" s="18" t="str">
        <f>IF(NOT(ISBLANK(Audit[[#This Row],[Audit Candidate 6]])), Audit[[#This Row],[Audit Candidate 6]]-Audit[[#This Row],[Candidate 6]], "")</f>
        <v/>
      </c>
      <c r="AK298" s="18" t="str">
        <f>IF(NOT(ISBLANK(Audit[[#This Row],[Audit Candidate 7]])), Audit[[#This Row],[Audit Candidate 7]]-Audit[[#This Row],[Candidate 7]], "")</f>
        <v/>
      </c>
      <c r="AL298" s="18" t="str">
        <f>IF(NOT(ISBLANK(Audit[[#This Row],[Audit Candidate 8]])), Audit[[#This Row],[Audit Candidate 8]]-Audit[[#This Row],[Candidate 8]], "")</f>
        <v/>
      </c>
      <c r="AM298" s="18" t="str">
        <f>IF(NOT(ISBLANK(Audit[[#This Row],[Audit Candidate 9]])), Audit[[#This Row],[Audit Candidate 9]]-Audit[[#This Row],[Candidate 9]], "")</f>
        <v/>
      </c>
      <c r="AN298" s="18" t="str">
        <f>IF(NOT(ISBLANK(Audit[[#This Row],[Audit Candidate 10]])), Audit[[#This Row],[Audit Candidate 10]]-Audit[[#This Row],[Candidate 10]], "")</f>
        <v/>
      </c>
      <c r="AO298" s="18" t="str">
        <f>IF(NOT(ISBLANK(Audit[[#This Row],[Audit Candidate 11]])), Audit[[#This Row],[Audit Candidate 11]]-Audit[[#This Row],[Candidate 11]], "")</f>
        <v/>
      </c>
      <c r="AP298" s="18" t="str">
        <f>IF(NOT(ISBLANK(Audit[[#This Row],[Audit Candidate 12]])), Audit[[#This Row],[Audit Candidate 12]]-Audit[[#This Row],[Candidate 12]], "")</f>
        <v/>
      </c>
      <c r="AQ298" s="18">
        <f>SUMIF(Audit[[#This Row],[Difference Winner]:[Difference Candidate 12]], "&gt;0")</f>
        <v>0</v>
      </c>
      <c r="AR298" s="18">
        <f>SUM(Audit[[#This Row],[Difference Winner]:[Difference Candidate 12]])</f>
        <v>0</v>
      </c>
      <c r="AS298" s="18">
        <f>IF(Audit[[#This Row],[Times p Drawn - With Replacement]]&gt;0, IF(Audit[[#This Row],[Canceled Differences]]&lt;0, Audit[[#This Row],[Max Differences]]+ABS(Audit[[#This Row],[Canceled Differences]]), Audit[[#This Row],[Max Differences]]), 0)</f>
        <v>0</v>
      </c>
      <c r="AT298" s="18">
        <f>'Sampling Data'!AB298</f>
        <v>5.6537990388541635E-4</v>
      </c>
      <c r="AU298" s="18">
        <f>IF(
      SUM(Audit[[#This Row],[Audit Losing Candidate]:[Audit Candidate 12]])
      &lt;&gt;0,
      (Audit[[#This Row],[Winning Candidate]]-Audit[[#This Row],[Losing Candidate]]-(Audit[[#This Row],[Audit Winning Candidate]]-Audit[[#This Row],[Audit Losing Candidate]]))/(Audit[[#Totals],[Winning Candidate]]-Audit[[#Totals],[Losing Candidate]]),
      0
)</f>
        <v>0</v>
      </c>
      <c r="AV2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8">
        <f>IF(Audit[[#This Row],[Max Relative Error (ep)]] = 0, 0, Audit[[#This Row],[Max Relative Error (ep)]]/Audit[[#This Row],[Error Bound (up) - Max. possible relative overstatement]])</f>
        <v>0</v>
      </c>
      <c r="BH2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8" s="18">
        <f t="shared" si="5"/>
        <v>1</v>
      </c>
      <c r="BJ298" s="18">
        <f>PRODUCT($BI$5:BI298)</f>
        <v>0.57146126097022543</v>
      </c>
      <c r="BK298" s="20">
        <f>1 - Audit[[#This Row],[K-M P Value]]</f>
        <v>0.42853873902977457</v>
      </c>
      <c r="BL298" s="18" t="str">
        <f>IF(Audit[[#This Row],[K-M P Value]]&gt;1-'General Info'!$B$12,"Continue", "Stop")</f>
        <v>Continue</v>
      </c>
      <c r="BM298" s="23" t="b">
        <f>IF(Audit[[#This Row],[Status - Continue or stop audit]] = "Continue", TRUE, IF(BL297 = "Continue", TRUE, FALSE))</f>
        <v>1</v>
      </c>
      <c r="BN298" s="23"/>
    </row>
    <row r="299" spans="1:66" ht="15" hidden="1" customHeight="1" x14ac:dyDescent="0.35">
      <c r="A299" s="18" t="str">
        <f>'Sampling Data'!AI299</f>
        <v/>
      </c>
      <c r="B299" s="18" t="str">
        <f>'Sampling Data'!A299</f>
        <v>4931 SHAR 3-A   (AV)</v>
      </c>
      <c r="C299" s="18">
        <f>'Sampling Data'!B299</f>
        <v>10</v>
      </c>
      <c r="D299" s="18">
        <f>'Sampling Data'!C299</f>
        <v>4</v>
      </c>
      <c r="E299" s="19">
        <f>'Sampling Data'!D299</f>
        <v>0</v>
      </c>
      <c r="F299" s="19">
        <f>'Sampling Data'!E299</f>
        <v>0</v>
      </c>
      <c r="G299" s="19">
        <f>'Sampling Data'!F299</f>
        <v>0</v>
      </c>
      <c r="H299" s="19">
        <f>'Sampling Data'!G299</f>
        <v>0</v>
      </c>
      <c r="I299" s="19">
        <f>'Sampling Data'!H299</f>
        <v>0</v>
      </c>
      <c r="J299" s="19">
        <f>'Sampling Data'!I299</f>
        <v>0</v>
      </c>
      <c r="K299" s="19">
        <f>'Sampling Data'!J299</f>
        <v>0</v>
      </c>
      <c r="L299" s="19">
        <f>'Sampling Data'!K299</f>
        <v>0</v>
      </c>
      <c r="M299" s="19">
        <f>'Sampling Data'!L299</f>
        <v>0</v>
      </c>
      <c r="N299" s="19">
        <f>'Sampling Data'!M299</f>
        <v>0</v>
      </c>
      <c r="O299" s="18">
        <f>'Sampling Data'!N299</f>
        <v>0</v>
      </c>
      <c r="P299" s="18">
        <f>'Sampling Data'!O299</f>
        <v>0</v>
      </c>
      <c r="Q299" s="18">
        <f>'Sampling Data'!P299</f>
        <v>14</v>
      </c>
      <c r="R299" s="18">
        <f>'Sampling Data'!AJ299</f>
        <v>0</v>
      </c>
      <c r="S299" s="112"/>
      <c r="T299" s="112"/>
      <c r="U299" s="113"/>
      <c r="V299" s="113"/>
      <c r="W299" s="112"/>
      <c r="X299" s="112"/>
      <c r="Y299" s="112"/>
      <c r="Z299" s="112"/>
      <c r="AA299" s="15"/>
      <c r="AB299" s="15"/>
      <c r="AC299" s="15"/>
      <c r="AD299" s="15"/>
      <c r="AE299" s="114" t="str">
        <f>IF(NOT(ISBLANK(Audit[[#This Row],[Audit Winning Candidate]])), Audit[[#This Row],[Audit Winning Candidate]]-Audit[[#This Row],[Winning Candidate]], "")</f>
        <v/>
      </c>
      <c r="AF299" s="18" t="str">
        <f>IF(NOT(ISBLANK(Audit[[#This Row],[Audit Losing Candidate]])), Audit[[#This Row],[Audit Losing Candidate]]-Audit[[#This Row],[Losing Candidate]], "")</f>
        <v/>
      </c>
      <c r="AG299" s="18" t="str">
        <f>IF(NOT(ISBLANK(Audit[[#This Row],[Audit Candidate 3]])), Audit[[#This Row],[Audit Candidate 3]]-Audit[[#This Row],[Candidate 3]], "")</f>
        <v/>
      </c>
      <c r="AH299" s="18" t="str">
        <f>IF(NOT(ISBLANK(Audit[[#This Row],[Audit Candidate 4]])),Audit[[#This Row],[Audit Candidate 4]]-Audit[[#This Row],[Candidate 4]], "")</f>
        <v/>
      </c>
      <c r="AI299" s="18" t="str">
        <f>IF(NOT(ISBLANK(Audit[[#This Row],[Audit Candidate 5]])), Audit[[#This Row],[Audit Candidate 5]]-Audit[[#This Row],[Candidate 5]], "")</f>
        <v/>
      </c>
      <c r="AJ299" s="18" t="str">
        <f>IF(NOT(ISBLANK(Audit[[#This Row],[Audit Candidate 6]])), Audit[[#This Row],[Audit Candidate 6]]-Audit[[#This Row],[Candidate 6]], "")</f>
        <v/>
      </c>
      <c r="AK299" s="18" t="str">
        <f>IF(NOT(ISBLANK(Audit[[#This Row],[Audit Candidate 7]])), Audit[[#This Row],[Audit Candidate 7]]-Audit[[#This Row],[Candidate 7]], "")</f>
        <v/>
      </c>
      <c r="AL299" s="18" t="str">
        <f>IF(NOT(ISBLANK(Audit[[#This Row],[Audit Candidate 8]])), Audit[[#This Row],[Audit Candidate 8]]-Audit[[#This Row],[Candidate 8]], "")</f>
        <v/>
      </c>
      <c r="AM299" s="18" t="str">
        <f>IF(NOT(ISBLANK(Audit[[#This Row],[Audit Candidate 9]])), Audit[[#This Row],[Audit Candidate 9]]-Audit[[#This Row],[Candidate 9]], "")</f>
        <v/>
      </c>
      <c r="AN299" s="18" t="str">
        <f>IF(NOT(ISBLANK(Audit[[#This Row],[Audit Candidate 10]])), Audit[[#This Row],[Audit Candidate 10]]-Audit[[#This Row],[Candidate 10]], "")</f>
        <v/>
      </c>
      <c r="AO299" s="18" t="str">
        <f>IF(NOT(ISBLANK(Audit[[#This Row],[Audit Candidate 11]])), Audit[[#This Row],[Audit Candidate 11]]-Audit[[#This Row],[Candidate 11]], "")</f>
        <v/>
      </c>
      <c r="AP299" s="18" t="str">
        <f>IF(NOT(ISBLANK(Audit[[#This Row],[Audit Candidate 12]])), Audit[[#This Row],[Audit Candidate 12]]-Audit[[#This Row],[Candidate 12]], "")</f>
        <v/>
      </c>
      <c r="AQ299" s="18">
        <f>SUMIF(Audit[[#This Row],[Difference Winner]:[Difference Candidate 12]], "&gt;0")</f>
        <v>0</v>
      </c>
      <c r="AR299" s="18">
        <f>SUM(Audit[[#This Row],[Difference Winner]:[Difference Candidate 12]])</f>
        <v>0</v>
      </c>
      <c r="AS299" s="18">
        <f>IF(Audit[[#This Row],[Times p Drawn - With Replacement]]&gt;0, IF(Audit[[#This Row],[Canceled Differences]]&lt;0, Audit[[#This Row],[Max Differences]]+ABS(Audit[[#This Row],[Canceled Differences]]), Audit[[#This Row],[Max Differences]]), 0)</f>
        <v>0</v>
      </c>
      <c r="AT299" s="18">
        <f>'Sampling Data'!AB299</f>
        <v>6.2819989320601812E-4</v>
      </c>
      <c r="AU299" s="18">
        <f>IF(
      SUM(Audit[[#This Row],[Audit Losing Candidate]:[Audit Candidate 12]])
      &lt;&gt;0,
      (Audit[[#This Row],[Winning Candidate]]-Audit[[#This Row],[Losing Candidate]]-(Audit[[#This Row],[Audit Winning Candidate]]-Audit[[#This Row],[Audit Losing Candidate]]))/(Audit[[#Totals],[Winning Candidate]]-Audit[[#Totals],[Losing Candidate]]),
      0
)</f>
        <v>0</v>
      </c>
      <c r="AV2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8">
        <f>IF(Audit[[#This Row],[Max Relative Error (ep)]] = 0, 0, Audit[[#This Row],[Max Relative Error (ep)]]/Audit[[#This Row],[Error Bound (up) - Max. possible relative overstatement]])</f>
        <v>0</v>
      </c>
      <c r="BH2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299" s="18">
        <f t="shared" si="5"/>
        <v>1</v>
      </c>
      <c r="BJ299" s="18">
        <f>PRODUCT($BI$5:BI299)</f>
        <v>0.57146126097022543</v>
      </c>
      <c r="BK299" s="20">
        <f>1 - Audit[[#This Row],[K-M P Value]]</f>
        <v>0.42853873902977457</v>
      </c>
      <c r="BL299" s="18" t="str">
        <f>IF(Audit[[#This Row],[K-M P Value]]&gt;1-'General Info'!$B$12,"Continue", "Stop")</f>
        <v>Continue</v>
      </c>
      <c r="BM299" s="23" t="b">
        <f>IF(Audit[[#This Row],[Status - Continue or stop audit]] = "Continue", TRUE, IF(BL298 = "Continue", TRUE, FALSE))</f>
        <v>1</v>
      </c>
      <c r="BN299" s="23"/>
    </row>
    <row r="300" spans="1:66" ht="15" hidden="1" customHeight="1" x14ac:dyDescent="0.35">
      <c r="A300" s="18" t="str">
        <f>'Sampling Data'!AI300</f>
        <v/>
      </c>
      <c r="B300" s="18" t="str">
        <f>'Sampling Data'!A300</f>
        <v>4932 SHAR 3-B   (AV)</v>
      </c>
      <c r="C300" s="18">
        <f>'Sampling Data'!B300</f>
        <v>14</v>
      </c>
      <c r="D300" s="18">
        <f>'Sampling Data'!C300</f>
        <v>0</v>
      </c>
      <c r="E300" s="19">
        <f>'Sampling Data'!D300</f>
        <v>0</v>
      </c>
      <c r="F300" s="19">
        <f>'Sampling Data'!E300</f>
        <v>0</v>
      </c>
      <c r="G300" s="19">
        <f>'Sampling Data'!F300</f>
        <v>0</v>
      </c>
      <c r="H300" s="19">
        <f>'Sampling Data'!G300</f>
        <v>0</v>
      </c>
      <c r="I300" s="19">
        <f>'Sampling Data'!H300</f>
        <v>0</v>
      </c>
      <c r="J300" s="19">
        <f>'Sampling Data'!I300</f>
        <v>0</v>
      </c>
      <c r="K300" s="19">
        <f>'Sampling Data'!J300</f>
        <v>0</v>
      </c>
      <c r="L300" s="19">
        <f>'Sampling Data'!K300</f>
        <v>0</v>
      </c>
      <c r="M300" s="19">
        <f>'Sampling Data'!L300</f>
        <v>0</v>
      </c>
      <c r="N300" s="19">
        <f>'Sampling Data'!M300</f>
        <v>0</v>
      </c>
      <c r="O300" s="18">
        <f>'Sampling Data'!N300</f>
        <v>0</v>
      </c>
      <c r="P300" s="18">
        <f>'Sampling Data'!O300</f>
        <v>0</v>
      </c>
      <c r="Q300" s="18">
        <f>'Sampling Data'!P300</f>
        <v>14</v>
      </c>
      <c r="R300" s="18">
        <f>'Sampling Data'!AJ300</f>
        <v>0</v>
      </c>
      <c r="S300" s="112"/>
      <c r="T300" s="112"/>
      <c r="U300" s="113"/>
      <c r="V300" s="113"/>
      <c r="W300" s="112"/>
      <c r="X300" s="112"/>
      <c r="Y300" s="112"/>
      <c r="Z300" s="112"/>
      <c r="AA300" s="15"/>
      <c r="AB300" s="15"/>
      <c r="AC300" s="15"/>
      <c r="AD300" s="15"/>
      <c r="AE300" s="114" t="str">
        <f>IF(NOT(ISBLANK(Audit[[#This Row],[Audit Winning Candidate]])), Audit[[#This Row],[Audit Winning Candidate]]-Audit[[#This Row],[Winning Candidate]], "")</f>
        <v/>
      </c>
      <c r="AF300" s="18" t="str">
        <f>IF(NOT(ISBLANK(Audit[[#This Row],[Audit Losing Candidate]])), Audit[[#This Row],[Audit Losing Candidate]]-Audit[[#This Row],[Losing Candidate]], "")</f>
        <v/>
      </c>
      <c r="AG300" s="18" t="str">
        <f>IF(NOT(ISBLANK(Audit[[#This Row],[Audit Candidate 3]])), Audit[[#This Row],[Audit Candidate 3]]-Audit[[#This Row],[Candidate 3]], "")</f>
        <v/>
      </c>
      <c r="AH300" s="18" t="str">
        <f>IF(NOT(ISBLANK(Audit[[#This Row],[Audit Candidate 4]])),Audit[[#This Row],[Audit Candidate 4]]-Audit[[#This Row],[Candidate 4]], "")</f>
        <v/>
      </c>
      <c r="AI300" s="18" t="str">
        <f>IF(NOT(ISBLANK(Audit[[#This Row],[Audit Candidate 5]])), Audit[[#This Row],[Audit Candidate 5]]-Audit[[#This Row],[Candidate 5]], "")</f>
        <v/>
      </c>
      <c r="AJ300" s="18" t="str">
        <f>IF(NOT(ISBLANK(Audit[[#This Row],[Audit Candidate 6]])), Audit[[#This Row],[Audit Candidate 6]]-Audit[[#This Row],[Candidate 6]], "")</f>
        <v/>
      </c>
      <c r="AK300" s="18" t="str">
        <f>IF(NOT(ISBLANK(Audit[[#This Row],[Audit Candidate 7]])), Audit[[#This Row],[Audit Candidate 7]]-Audit[[#This Row],[Candidate 7]], "")</f>
        <v/>
      </c>
      <c r="AL300" s="18" t="str">
        <f>IF(NOT(ISBLANK(Audit[[#This Row],[Audit Candidate 8]])), Audit[[#This Row],[Audit Candidate 8]]-Audit[[#This Row],[Candidate 8]], "")</f>
        <v/>
      </c>
      <c r="AM300" s="18" t="str">
        <f>IF(NOT(ISBLANK(Audit[[#This Row],[Audit Candidate 9]])), Audit[[#This Row],[Audit Candidate 9]]-Audit[[#This Row],[Candidate 9]], "")</f>
        <v/>
      </c>
      <c r="AN300" s="18" t="str">
        <f>IF(NOT(ISBLANK(Audit[[#This Row],[Audit Candidate 10]])), Audit[[#This Row],[Audit Candidate 10]]-Audit[[#This Row],[Candidate 10]], "")</f>
        <v/>
      </c>
      <c r="AO300" s="18" t="str">
        <f>IF(NOT(ISBLANK(Audit[[#This Row],[Audit Candidate 11]])), Audit[[#This Row],[Audit Candidate 11]]-Audit[[#This Row],[Candidate 11]], "")</f>
        <v/>
      </c>
      <c r="AP300" s="18" t="str">
        <f>IF(NOT(ISBLANK(Audit[[#This Row],[Audit Candidate 12]])), Audit[[#This Row],[Audit Candidate 12]]-Audit[[#This Row],[Candidate 12]], "")</f>
        <v/>
      </c>
      <c r="AQ300" s="18">
        <f>SUMIF(Audit[[#This Row],[Difference Winner]:[Difference Candidate 12]], "&gt;0")</f>
        <v>0</v>
      </c>
      <c r="AR300" s="18">
        <f>SUM(Audit[[#This Row],[Difference Winner]:[Difference Candidate 12]])</f>
        <v>0</v>
      </c>
      <c r="AS300" s="18">
        <f>IF(Audit[[#This Row],[Times p Drawn - With Replacement]]&gt;0, IF(Audit[[#This Row],[Canceled Differences]]&lt;0, Audit[[#This Row],[Max Differences]]+ABS(Audit[[#This Row],[Canceled Differences]]), Audit[[#This Row],[Max Differences]]), 0)</f>
        <v>0</v>
      </c>
      <c r="AT300" s="18">
        <f>'Sampling Data'!AB300</f>
        <v>8.7947985048842541E-4</v>
      </c>
      <c r="AU300" s="18">
        <f>IF(
      SUM(Audit[[#This Row],[Audit Losing Candidate]:[Audit Candidate 12]])
      &lt;&gt;0,
      (Audit[[#This Row],[Winning Candidate]]-Audit[[#This Row],[Losing Candidate]]-(Audit[[#This Row],[Audit Winning Candidate]]-Audit[[#This Row],[Audit Losing Candidate]]))/(Audit[[#Totals],[Winning Candidate]]-Audit[[#Totals],[Losing Candidate]]),
      0
)</f>
        <v>0</v>
      </c>
      <c r="AV3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8">
        <f>IF(Audit[[#This Row],[Max Relative Error (ep)]] = 0, 0, Audit[[#This Row],[Max Relative Error (ep)]]/Audit[[#This Row],[Error Bound (up) - Max. possible relative overstatement]])</f>
        <v>0</v>
      </c>
      <c r="BH3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0" s="18">
        <f t="shared" si="5"/>
        <v>1</v>
      </c>
      <c r="BJ300" s="18">
        <f>PRODUCT($BI$5:BI300)</f>
        <v>0.57146126097022543</v>
      </c>
      <c r="BK300" s="20">
        <f>1 - Audit[[#This Row],[K-M P Value]]</f>
        <v>0.42853873902977457</v>
      </c>
      <c r="BL300" s="18" t="str">
        <f>IF(Audit[[#This Row],[K-M P Value]]&gt;1-'General Info'!$B$12,"Continue", "Stop")</f>
        <v>Continue</v>
      </c>
      <c r="BM300" s="23" t="b">
        <f>IF(Audit[[#This Row],[Status - Continue or stop audit]] = "Continue", TRUE, IF(BL299 = "Continue", TRUE, FALSE))</f>
        <v>1</v>
      </c>
      <c r="BN300" s="23"/>
    </row>
    <row r="301" spans="1:66" ht="15" hidden="1" customHeight="1" x14ac:dyDescent="0.35">
      <c r="A301" s="18" t="str">
        <f>'Sampling Data'!AI301</f>
        <v/>
      </c>
      <c r="B301" s="18" t="str">
        <f>'Sampling Data'!A301</f>
        <v>4941 SHAR 4-A   (AV)</v>
      </c>
      <c r="C301" s="18">
        <f>'Sampling Data'!B301</f>
        <v>11</v>
      </c>
      <c r="D301" s="18">
        <f>'Sampling Data'!C301</f>
        <v>0</v>
      </c>
      <c r="E301" s="19">
        <f>'Sampling Data'!D301</f>
        <v>0</v>
      </c>
      <c r="F301" s="19">
        <f>'Sampling Data'!E301</f>
        <v>0</v>
      </c>
      <c r="G301" s="19">
        <f>'Sampling Data'!F301</f>
        <v>0</v>
      </c>
      <c r="H301" s="19">
        <f>'Sampling Data'!G301</f>
        <v>0</v>
      </c>
      <c r="I301" s="19">
        <f>'Sampling Data'!H301</f>
        <v>0</v>
      </c>
      <c r="J301" s="19">
        <f>'Sampling Data'!I301</f>
        <v>0</v>
      </c>
      <c r="K301" s="19">
        <f>'Sampling Data'!J301</f>
        <v>0</v>
      </c>
      <c r="L301" s="19">
        <f>'Sampling Data'!K301</f>
        <v>0</v>
      </c>
      <c r="M301" s="19">
        <f>'Sampling Data'!L301</f>
        <v>0</v>
      </c>
      <c r="N301" s="19">
        <f>'Sampling Data'!M301</f>
        <v>0</v>
      </c>
      <c r="O301" s="18">
        <f>'Sampling Data'!N301</f>
        <v>0</v>
      </c>
      <c r="P301" s="18">
        <f>'Sampling Data'!O301</f>
        <v>0</v>
      </c>
      <c r="Q301" s="18">
        <f>'Sampling Data'!P301</f>
        <v>11</v>
      </c>
      <c r="R301" s="18">
        <f>'Sampling Data'!AJ301</f>
        <v>0</v>
      </c>
      <c r="S301" s="112"/>
      <c r="T301" s="112"/>
      <c r="U301" s="113"/>
      <c r="V301" s="113"/>
      <c r="W301" s="112"/>
      <c r="X301" s="112"/>
      <c r="Y301" s="112"/>
      <c r="Z301" s="112"/>
      <c r="AA301" s="15"/>
      <c r="AB301" s="15"/>
      <c r="AC301" s="15"/>
      <c r="AD301" s="15"/>
      <c r="AE301" s="114" t="str">
        <f>IF(NOT(ISBLANK(Audit[[#This Row],[Audit Winning Candidate]])), Audit[[#This Row],[Audit Winning Candidate]]-Audit[[#This Row],[Winning Candidate]], "")</f>
        <v/>
      </c>
      <c r="AF301" s="18" t="str">
        <f>IF(NOT(ISBLANK(Audit[[#This Row],[Audit Losing Candidate]])), Audit[[#This Row],[Audit Losing Candidate]]-Audit[[#This Row],[Losing Candidate]], "")</f>
        <v/>
      </c>
      <c r="AG301" s="18" t="str">
        <f>IF(NOT(ISBLANK(Audit[[#This Row],[Audit Candidate 3]])), Audit[[#This Row],[Audit Candidate 3]]-Audit[[#This Row],[Candidate 3]], "")</f>
        <v/>
      </c>
      <c r="AH301" s="18" t="str">
        <f>IF(NOT(ISBLANK(Audit[[#This Row],[Audit Candidate 4]])),Audit[[#This Row],[Audit Candidate 4]]-Audit[[#This Row],[Candidate 4]], "")</f>
        <v/>
      </c>
      <c r="AI301" s="18" t="str">
        <f>IF(NOT(ISBLANK(Audit[[#This Row],[Audit Candidate 5]])), Audit[[#This Row],[Audit Candidate 5]]-Audit[[#This Row],[Candidate 5]], "")</f>
        <v/>
      </c>
      <c r="AJ301" s="18" t="str">
        <f>IF(NOT(ISBLANK(Audit[[#This Row],[Audit Candidate 6]])), Audit[[#This Row],[Audit Candidate 6]]-Audit[[#This Row],[Candidate 6]], "")</f>
        <v/>
      </c>
      <c r="AK301" s="18" t="str">
        <f>IF(NOT(ISBLANK(Audit[[#This Row],[Audit Candidate 7]])), Audit[[#This Row],[Audit Candidate 7]]-Audit[[#This Row],[Candidate 7]], "")</f>
        <v/>
      </c>
      <c r="AL301" s="18" t="str">
        <f>IF(NOT(ISBLANK(Audit[[#This Row],[Audit Candidate 8]])), Audit[[#This Row],[Audit Candidate 8]]-Audit[[#This Row],[Candidate 8]], "")</f>
        <v/>
      </c>
      <c r="AM301" s="18" t="str">
        <f>IF(NOT(ISBLANK(Audit[[#This Row],[Audit Candidate 9]])), Audit[[#This Row],[Audit Candidate 9]]-Audit[[#This Row],[Candidate 9]], "")</f>
        <v/>
      </c>
      <c r="AN301" s="18" t="str">
        <f>IF(NOT(ISBLANK(Audit[[#This Row],[Audit Candidate 10]])), Audit[[#This Row],[Audit Candidate 10]]-Audit[[#This Row],[Candidate 10]], "")</f>
        <v/>
      </c>
      <c r="AO301" s="18" t="str">
        <f>IF(NOT(ISBLANK(Audit[[#This Row],[Audit Candidate 11]])), Audit[[#This Row],[Audit Candidate 11]]-Audit[[#This Row],[Candidate 11]], "")</f>
        <v/>
      </c>
      <c r="AP301" s="18" t="str">
        <f>IF(NOT(ISBLANK(Audit[[#This Row],[Audit Candidate 12]])), Audit[[#This Row],[Audit Candidate 12]]-Audit[[#This Row],[Candidate 12]], "")</f>
        <v/>
      </c>
      <c r="AQ301" s="18">
        <f>SUMIF(Audit[[#This Row],[Difference Winner]:[Difference Candidate 12]], "&gt;0")</f>
        <v>0</v>
      </c>
      <c r="AR301" s="18">
        <f>SUM(Audit[[#This Row],[Difference Winner]:[Difference Candidate 12]])</f>
        <v>0</v>
      </c>
      <c r="AS301" s="18">
        <f>IF(Audit[[#This Row],[Times p Drawn - With Replacement]]&gt;0, IF(Audit[[#This Row],[Canceled Differences]]&lt;0, Audit[[#This Row],[Max Differences]]+ABS(Audit[[#This Row],[Canceled Differences]]), Audit[[#This Row],[Max Differences]]), 0)</f>
        <v>0</v>
      </c>
      <c r="AT301" s="18">
        <f>'Sampling Data'!AB301</f>
        <v>6.9101988252662E-4</v>
      </c>
      <c r="AU301" s="18">
        <f>IF(
      SUM(Audit[[#This Row],[Audit Losing Candidate]:[Audit Candidate 12]])
      &lt;&gt;0,
      (Audit[[#This Row],[Winning Candidate]]-Audit[[#This Row],[Losing Candidate]]-(Audit[[#This Row],[Audit Winning Candidate]]-Audit[[#This Row],[Audit Losing Candidate]]))/(Audit[[#Totals],[Winning Candidate]]-Audit[[#Totals],[Losing Candidate]]),
      0
)</f>
        <v>0</v>
      </c>
      <c r="AV3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8">
        <f>IF(Audit[[#This Row],[Max Relative Error (ep)]] = 0, 0, Audit[[#This Row],[Max Relative Error (ep)]]/Audit[[#This Row],[Error Bound (up) - Max. possible relative overstatement]])</f>
        <v>0</v>
      </c>
      <c r="BH3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1" s="18">
        <f t="shared" si="5"/>
        <v>1</v>
      </c>
      <c r="BJ301" s="18">
        <f>PRODUCT($BI$5:BI301)</f>
        <v>0.57146126097022543</v>
      </c>
      <c r="BK301" s="20">
        <f>1 - Audit[[#This Row],[K-M P Value]]</f>
        <v>0.42853873902977457</v>
      </c>
      <c r="BL301" s="18" t="str">
        <f>IF(Audit[[#This Row],[K-M P Value]]&gt;1-'General Info'!$B$12,"Continue", "Stop")</f>
        <v>Continue</v>
      </c>
      <c r="BM301" s="23" t="b">
        <f>IF(Audit[[#This Row],[Status - Continue or stop audit]] = "Continue", TRUE, IF(BL300 = "Continue", TRUE, FALSE))</f>
        <v>1</v>
      </c>
      <c r="BN301" s="23"/>
    </row>
    <row r="302" spans="1:66" ht="15" hidden="1" customHeight="1" x14ac:dyDescent="0.35">
      <c r="A302" s="18" t="str">
        <f>'Sampling Data'!AI302</f>
        <v/>
      </c>
      <c r="B302" s="18" t="str">
        <f>'Sampling Data'!A302</f>
        <v>4942 SHAR 4-B   (AV)</v>
      </c>
      <c r="C302" s="18">
        <f>'Sampling Data'!B302</f>
        <v>13</v>
      </c>
      <c r="D302" s="18">
        <f>'Sampling Data'!C302</f>
        <v>0</v>
      </c>
      <c r="E302" s="19">
        <f>'Sampling Data'!D302</f>
        <v>0</v>
      </c>
      <c r="F302" s="19">
        <f>'Sampling Data'!E302</f>
        <v>0</v>
      </c>
      <c r="G302" s="19">
        <f>'Sampling Data'!F302</f>
        <v>0</v>
      </c>
      <c r="H302" s="19">
        <f>'Sampling Data'!G302</f>
        <v>0</v>
      </c>
      <c r="I302" s="19">
        <f>'Sampling Data'!H302</f>
        <v>0</v>
      </c>
      <c r="J302" s="19">
        <f>'Sampling Data'!I302</f>
        <v>0</v>
      </c>
      <c r="K302" s="19">
        <f>'Sampling Data'!J302</f>
        <v>0</v>
      </c>
      <c r="L302" s="19">
        <f>'Sampling Data'!K302</f>
        <v>0</v>
      </c>
      <c r="M302" s="19">
        <f>'Sampling Data'!L302</f>
        <v>0</v>
      </c>
      <c r="N302" s="19">
        <f>'Sampling Data'!M302</f>
        <v>0</v>
      </c>
      <c r="O302" s="18">
        <f>'Sampling Data'!N302</f>
        <v>0</v>
      </c>
      <c r="P302" s="18">
        <f>'Sampling Data'!O302</f>
        <v>0</v>
      </c>
      <c r="Q302" s="18">
        <f>'Sampling Data'!P302</f>
        <v>13</v>
      </c>
      <c r="R302" s="18">
        <f>'Sampling Data'!AJ302</f>
        <v>0</v>
      </c>
      <c r="S302" s="112"/>
      <c r="T302" s="112"/>
      <c r="U302" s="113"/>
      <c r="V302" s="113"/>
      <c r="W302" s="112"/>
      <c r="X302" s="112"/>
      <c r="Y302" s="112"/>
      <c r="Z302" s="112"/>
      <c r="AA302" s="15"/>
      <c r="AB302" s="15"/>
      <c r="AC302" s="15"/>
      <c r="AD302" s="15"/>
      <c r="AE302" s="114" t="str">
        <f>IF(NOT(ISBLANK(Audit[[#This Row],[Audit Winning Candidate]])), Audit[[#This Row],[Audit Winning Candidate]]-Audit[[#This Row],[Winning Candidate]], "")</f>
        <v/>
      </c>
      <c r="AF302" s="18" t="str">
        <f>IF(NOT(ISBLANK(Audit[[#This Row],[Audit Losing Candidate]])), Audit[[#This Row],[Audit Losing Candidate]]-Audit[[#This Row],[Losing Candidate]], "")</f>
        <v/>
      </c>
      <c r="AG302" s="18" t="str">
        <f>IF(NOT(ISBLANK(Audit[[#This Row],[Audit Candidate 3]])), Audit[[#This Row],[Audit Candidate 3]]-Audit[[#This Row],[Candidate 3]], "")</f>
        <v/>
      </c>
      <c r="AH302" s="18" t="str">
        <f>IF(NOT(ISBLANK(Audit[[#This Row],[Audit Candidate 4]])),Audit[[#This Row],[Audit Candidate 4]]-Audit[[#This Row],[Candidate 4]], "")</f>
        <v/>
      </c>
      <c r="AI302" s="18" t="str">
        <f>IF(NOT(ISBLANK(Audit[[#This Row],[Audit Candidate 5]])), Audit[[#This Row],[Audit Candidate 5]]-Audit[[#This Row],[Candidate 5]], "")</f>
        <v/>
      </c>
      <c r="AJ302" s="18" t="str">
        <f>IF(NOT(ISBLANK(Audit[[#This Row],[Audit Candidate 6]])), Audit[[#This Row],[Audit Candidate 6]]-Audit[[#This Row],[Candidate 6]], "")</f>
        <v/>
      </c>
      <c r="AK302" s="18" t="str">
        <f>IF(NOT(ISBLANK(Audit[[#This Row],[Audit Candidate 7]])), Audit[[#This Row],[Audit Candidate 7]]-Audit[[#This Row],[Candidate 7]], "")</f>
        <v/>
      </c>
      <c r="AL302" s="18" t="str">
        <f>IF(NOT(ISBLANK(Audit[[#This Row],[Audit Candidate 8]])), Audit[[#This Row],[Audit Candidate 8]]-Audit[[#This Row],[Candidate 8]], "")</f>
        <v/>
      </c>
      <c r="AM302" s="18" t="str">
        <f>IF(NOT(ISBLANK(Audit[[#This Row],[Audit Candidate 9]])), Audit[[#This Row],[Audit Candidate 9]]-Audit[[#This Row],[Candidate 9]], "")</f>
        <v/>
      </c>
      <c r="AN302" s="18" t="str">
        <f>IF(NOT(ISBLANK(Audit[[#This Row],[Audit Candidate 10]])), Audit[[#This Row],[Audit Candidate 10]]-Audit[[#This Row],[Candidate 10]], "")</f>
        <v/>
      </c>
      <c r="AO302" s="18" t="str">
        <f>IF(NOT(ISBLANK(Audit[[#This Row],[Audit Candidate 11]])), Audit[[#This Row],[Audit Candidate 11]]-Audit[[#This Row],[Candidate 11]], "")</f>
        <v/>
      </c>
      <c r="AP302" s="18" t="str">
        <f>IF(NOT(ISBLANK(Audit[[#This Row],[Audit Candidate 12]])), Audit[[#This Row],[Audit Candidate 12]]-Audit[[#This Row],[Candidate 12]], "")</f>
        <v/>
      </c>
      <c r="AQ302" s="18">
        <f>SUMIF(Audit[[#This Row],[Difference Winner]:[Difference Candidate 12]], "&gt;0")</f>
        <v>0</v>
      </c>
      <c r="AR302" s="18">
        <f>SUM(Audit[[#This Row],[Difference Winner]:[Difference Candidate 12]])</f>
        <v>0</v>
      </c>
      <c r="AS302" s="18">
        <f>IF(Audit[[#This Row],[Times p Drawn - With Replacement]]&gt;0, IF(Audit[[#This Row],[Canceled Differences]]&lt;0, Audit[[#This Row],[Max Differences]]+ABS(Audit[[#This Row],[Canceled Differences]]), Audit[[#This Row],[Max Differences]]), 0)</f>
        <v>0</v>
      </c>
      <c r="AT302" s="18">
        <f>'Sampling Data'!AB302</f>
        <v>8.1665986116782364E-4</v>
      </c>
      <c r="AU302" s="18">
        <f>IF(
      SUM(Audit[[#This Row],[Audit Losing Candidate]:[Audit Candidate 12]])
      &lt;&gt;0,
      (Audit[[#This Row],[Winning Candidate]]-Audit[[#This Row],[Losing Candidate]]-(Audit[[#This Row],[Audit Winning Candidate]]-Audit[[#This Row],[Audit Losing Candidate]]))/(Audit[[#Totals],[Winning Candidate]]-Audit[[#Totals],[Losing Candidate]]),
      0
)</f>
        <v>0</v>
      </c>
      <c r="AV3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8">
        <f>IF(Audit[[#This Row],[Max Relative Error (ep)]] = 0, 0, Audit[[#This Row],[Max Relative Error (ep)]]/Audit[[#This Row],[Error Bound (up) - Max. possible relative overstatement]])</f>
        <v>0</v>
      </c>
      <c r="BH3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2" s="18">
        <f t="shared" si="5"/>
        <v>1</v>
      </c>
      <c r="BJ302" s="18">
        <f>PRODUCT($BI$5:BI302)</f>
        <v>0.57146126097022543</v>
      </c>
      <c r="BK302" s="20">
        <f>1 - Audit[[#This Row],[K-M P Value]]</f>
        <v>0.42853873902977457</v>
      </c>
      <c r="BL302" s="18" t="str">
        <f>IF(Audit[[#This Row],[K-M P Value]]&gt;1-'General Info'!$B$12,"Continue", "Stop")</f>
        <v>Continue</v>
      </c>
      <c r="BM302" s="23" t="b">
        <f>IF(Audit[[#This Row],[Status - Continue or stop audit]] = "Continue", TRUE, IF(BL301 = "Continue", TRUE, FALSE))</f>
        <v>1</v>
      </c>
      <c r="BN302" s="23"/>
    </row>
    <row r="303" spans="1:66" ht="15" hidden="1" customHeight="1" x14ac:dyDescent="0.35">
      <c r="A303" s="18" t="str">
        <f>'Sampling Data'!AI303</f>
        <v/>
      </c>
      <c r="B303" s="18" t="str">
        <f>'Sampling Data'!A303</f>
        <v>5201 SPDALE A   (AV)</v>
      </c>
      <c r="C303" s="18">
        <f>'Sampling Data'!B303</f>
        <v>2</v>
      </c>
      <c r="D303" s="18">
        <f>'Sampling Data'!C303</f>
        <v>0</v>
      </c>
      <c r="E303" s="19">
        <f>'Sampling Data'!D303</f>
        <v>0</v>
      </c>
      <c r="F303" s="19">
        <f>'Sampling Data'!E303</f>
        <v>0</v>
      </c>
      <c r="G303" s="19">
        <f>'Sampling Data'!F303</f>
        <v>0</v>
      </c>
      <c r="H303" s="19">
        <f>'Sampling Data'!G303</f>
        <v>0</v>
      </c>
      <c r="I303" s="19">
        <f>'Sampling Data'!H303</f>
        <v>0</v>
      </c>
      <c r="J303" s="19">
        <f>'Sampling Data'!I303</f>
        <v>0</v>
      </c>
      <c r="K303" s="19">
        <f>'Sampling Data'!J303</f>
        <v>0</v>
      </c>
      <c r="L303" s="19">
        <f>'Sampling Data'!K303</f>
        <v>0</v>
      </c>
      <c r="M303" s="19">
        <f>'Sampling Data'!L303</f>
        <v>0</v>
      </c>
      <c r="N303" s="19">
        <f>'Sampling Data'!M303</f>
        <v>0</v>
      </c>
      <c r="O303" s="18">
        <f>'Sampling Data'!N303</f>
        <v>0</v>
      </c>
      <c r="P303" s="18">
        <f>'Sampling Data'!O303</f>
        <v>0</v>
      </c>
      <c r="Q303" s="18">
        <f>'Sampling Data'!P303</f>
        <v>2</v>
      </c>
      <c r="R303" s="18">
        <f>'Sampling Data'!AJ303</f>
        <v>0</v>
      </c>
      <c r="S303" s="112"/>
      <c r="T303" s="112"/>
      <c r="U303" s="113"/>
      <c r="V303" s="113"/>
      <c r="W303" s="112"/>
      <c r="X303" s="112"/>
      <c r="Y303" s="112"/>
      <c r="Z303" s="112"/>
      <c r="AA303" s="15"/>
      <c r="AB303" s="15"/>
      <c r="AC303" s="15"/>
      <c r="AD303" s="15"/>
      <c r="AE303" s="114" t="str">
        <f>IF(NOT(ISBLANK(Audit[[#This Row],[Audit Winning Candidate]])), Audit[[#This Row],[Audit Winning Candidate]]-Audit[[#This Row],[Winning Candidate]], "")</f>
        <v/>
      </c>
      <c r="AF303" s="18" t="str">
        <f>IF(NOT(ISBLANK(Audit[[#This Row],[Audit Losing Candidate]])), Audit[[#This Row],[Audit Losing Candidate]]-Audit[[#This Row],[Losing Candidate]], "")</f>
        <v/>
      </c>
      <c r="AG303" s="18" t="str">
        <f>IF(NOT(ISBLANK(Audit[[#This Row],[Audit Candidate 3]])), Audit[[#This Row],[Audit Candidate 3]]-Audit[[#This Row],[Candidate 3]], "")</f>
        <v/>
      </c>
      <c r="AH303" s="18" t="str">
        <f>IF(NOT(ISBLANK(Audit[[#This Row],[Audit Candidate 4]])),Audit[[#This Row],[Audit Candidate 4]]-Audit[[#This Row],[Candidate 4]], "")</f>
        <v/>
      </c>
      <c r="AI303" s="18" t="str">
        <f>IF(NOT(ISBLANK(Audit[[#This Row],[Audit Candidate 5]])), Audit[[#This Row],[Audit Candidate 5]]-Audit[[#This Row],[Candidate 5]], "")</f>
        <v/>
      </c>
      <c r="AJ303" s="18" t="str">
        <f>IF(NOT(ISBLANK(Audit[[#This Row],[Audit Candidate 6]])), Audit[[#This Row],[Audit Candidate 6]]-Audit[[#This Row],[Candidate 6]], "")</f>
        <v/>
      </c>
      <c r="AK303" s="18" t="str">
        <f>IF(NOT(ISBLANK(Audit[[#This Row],[Audit Candidate 7]])), Audit[[#This Row],[Audit Candidate 7]]-Audit[[#This Row],[Candidate 7]], "")</f>
        <v/>
      </c>
      <c r="AL303" s="18" t="str">
        <f>IF(NOT(ISBLANK(Audit[[#This Row],[Audit Candidate 8]])), Audit[[#This Row],[Audit Candidate 8]]-Audit[[#This Row],[Candidate 8]], "")</f>
        <v/>
      </c>
      <c r="AM303" s="18" t="str">
        <f>IF(NOT(ISBLANK(Audit[[#This Row],[Audit Candidate 9]])), Audit[[#This Row],[Audit Candidate 9]]-Audit[[#This Row],[Candidate 9]], "")</f>
        <v/>
      </c>
      <c r="AN303" s="18" t="str">
        <f>IF(NOT(ISBLANK(Audit[[#This Row],[Audit Candidate 10]])), Audit[[#This Row],[Audit Candidate 10]]-Audit[[#This Row],[Candidate 10]], "")</f>
        <v/>
      </c>
      <c r="AO303" s="18" t="str">
        <f>IF(NOT(ISBLANK(Audit[[#This Row],[Audit Candidate 11]])), Audit[[#This Row],[Audit Candidate 11]]-Audit[[#This Row],[Candidate 11]], "")</f>
        <v/>
      </c>
      <c r="AP303" s="18" t="str">
        <f>IF(NOT(ISBLANK(Audit[[#This Row],[Audit Candidate 12]])), Audit[[#This Row],[Audit Candidate 12]]-Audit[[#This Row],[Candidate 12]], "")</f>
        <v/>
      </c>
      <c r="AQ303" s="18">
        <f>SUMIF(Audit[[#This Row],[Difference Winner]:[Difference Candidate 12]], "&gt;0")</f>
        <v>0</v>
      </c>
      <c r="AR303" s="18">
        <f>SUM(Audit[[#This Row],[Difference Winner]:[Difference Candidate 12]])</f>
        <v>0</v>
      </c>
      <c r="AS303" s="18">
        <f>IF(Audit[[#This Row],[Times p Drawn - With Replacement]]&gt;0, IF(Audit[[#This Row],[Canceled Differences]]&lt;0, Audit[[#This Row],[Max Differences]]+ABS(Audit[[#This Row],[Canceled Differences]]), Audit[[#This Row],[Max Differences]]), 0)</f>
        <v>0</v>
      </c>
      <c r="AT303" s="18">
        <f>'Sampling Data'!AB303</f>
        <v>1.2563997864120362E-4</v>
      </c>
      <c r="AU303" s="18">
        <f>IF(
      SUM(Audit[[#This Row],[Audit Losing Candidate]:[Audit Candidate 12]])
      &lt;&gt;0,
      (Audit[[#This Row],[Winning Candidate]]-Audit[[#This Row],[Losing Candidate]]-(Audit[[#This Row],[Audit Winning Candidate]]-Audit[[#This Row],[Audit Losing Candidate]]))/(Audit[[#Totals],[Winning Candidate]]-Audit[[#Totals],[Losing Candidate]]),
      0
)</f>
        <v>0</v>
      </c>
      <c r="AV3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8">
        <f>IF(Audit[[#This Row],[Max Relative Error (ep)]] = 0, 0, Audit[[#This Row],[Max Relative Error (ep)]]/Audit[[#This Row],[Error Bound (up) - Max. possible relative overstatement]])</f>
        <v>0</v>
      </c>
      <c r="BH3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3" s="18">
        <f t="shared" si="5"/>
        <v>1</v>
      </c>
      <c r="BJ303" s="18">
        <f>PRODUCT($BI$5:BI303)</f>
        <v>0.57146126097022543</v>
      </c>
      <c r="BK303" s="20">
        <f>1 - Audit[[#This Row],[K-M P Value]]</f>
        <v>0.42853873902977457</v>
      </c>
      <c r="BL303" s="18" t="str">
        <f>IF(Audit[[#This Row],[K-M P Value]]&gt;1-'General Info'!$B$12,"Continue", "Stop")</f>
        <v>Continue</v>
      </c>
      <c r="BM303" s="23" t="b">
        <f>IF(Audit[[#This Row],[Status - Continue or stop audit]] = "Continue", TRUE, IF(BL302 = "Continue", TRUE, FALSE))</f>
        <v>1</v>
      </c>
      <c r="BN303" s="23"/>
    </row>
    <row r="304" spans="1:66" ht="15" hidden="1" customHeight="1" x14ac:dyDescent="0.35">
      <c r="A304" s="18" t="str">
        <f>'Sampling Data'!AI304</f>
        <v/>
      </c>
      <c r="B304" s="18" t="str">
        <f>'Sampling Data'!A304</f>
        <v>5202 SPDALE B   (AV)</v>
      </c>
      <c r="C304" s="18">
        <f>'Sampling Data'!B304</f>
        <v>12</v>
      </c>
      <c r="D304" s="18">
        <f>'Sampling Data'!C304</f>
        <v>2</v>
      </c>
      <c r="E304" s="19">
        <f>'Sampling Data'!D304</f>
        <v>0</v>
      </c>
      <c r="F304" s="19">
        <f>'Sampling Data'!E304</f>
        <v>0</v>
      </c>
      <c r="G304" s="19">
        <f>'Sampling Data'!F304</f>
        <v>0</v>
      </c>
      <c r="H304" s="19">
        <f>'Sampling Data'!G304</f>
        <v>0</v>
      </c>
      <c r="I304" s="19">
        <f>'Sampling Data'!H304</f>
        <v>0</v>
      </c>
      <c r="J304" s="19">
        <f>'Sampling Data'!I304</f>
        <v>0</v>
      </c>
      <c r="K304" s="19">
        <f>'Sampling Data'!J304</f>
        <v>0</v>
      </c>
      <c r="L304" s="19">
        <f>'Sampling Data'!K304</f>
        <v>0</v>
      </c>
      <c r="M304" s="19">
        <f>'Sampling Data'!L304</f>
        <v>0</v>
      </c>
      <c r="N304" s="19">
        <f>'Sampling Data'!M304</f>
        <v>0</v>
      </c>
      <c r="O304" s="18">
        <f>'Sampling Data'!N304</f>
        <v>0</v>
      </c>
      <c r="P304" s="18">
        <f>'Sampling Data'!O304</f>
        <v>0</v>
      </c>
      <c r="Q304" s="18">
        <f>'Sampling Data'!P304</f>
        <v>14</v>
      </c>
      <c r="R304" s="18">
        <f>'Sampling Data'!AJ304</f>
        <v>0</v>
      </c>
      <c r="S304" s="112"/>
      <c r="T304" s="112"/>
      <c r="U304" s="113"/>
      <c r="V304" s="113"/>
      <c r="W304" s="112"/>
      <c r="X304" s="112"/>
      <c r="Y304" s="112"/>
      <c r="Z304" s="112"/>
      <c r="AA304" s="15"/>
      <c r="AB304" s="15"/>
      <c r="AC304" s="15"/>
      <c r="AD304" s="15"/>
      <c r="AE304" s="114" t="str">
        <f>IF(NOT(ISBLANK(Audit[[#This Row],[Audit Winning Candidate]])), Audit[[#This Row],[Audit Winning Candidate]]-Audit[[#This Row],[Winning Candidate]], "")</f>
        <v/>
      </c>
      <c r="AF304" s="18" t="str">
        <f>IF(NOT(ISBLANK(Audit[[#This Row],[Audit Losing Candidate]])), Audit[[#This Row],[Audit Losing Candidate]]-Audit[[#This Row],[Losing Candidate]], "")</f>
        <v/>
      </c>
      <c r="AG304" s="18" t="str">
        <f>IF(NOT(ISBLANK(Audit[[#This Row],[Audit Candidate 3]])), Audit[[#This Row],[Audit Candidate 3]]-Audit[[#This Row],[Candidate 3]], "")</f>
        <v/>
      </c>
      <c r="AH304" s="18" t="str">
        <f>IF(NOT(ISBLANK(Audit[[#This Row],[Audit Candidate 4]])),Audit[[#This Row],[Audit Candidate 4]]-Audit[[#This Row],[Candidate 4]], "")</f>
        <v/>
      </c>
      <c r="AI304" s="18" t="str">
        <f>IF(NOT(ISBLANK(Audit[[#This Row],[Audit Candidate 5]])), Audit[[#This Row],[Audit Candidate 5]]-Audit[[#This Row],[Candidate 5]], "")</f>
        <v/>
      </c>
      <c r="AJ304" s="18" t="str">
        <f>IF(NOT(ISBLANK(Audit[[#This Row],[Audit Candidate 6]])), Audit[[#This Row],[Audit Candidate 6]]-Audit[[#This Row],[Candidate 6]], "")</f>
        <v/>
      </c>
      <c r="AK304" s="18" t="str">
        <f>IF(NOT(ISBLANK(Audit[[#This Row],[Audit Candidate 7]])), Audit[[#This Row],[Audit Candidate 7]]-Audit[[#This Row],[Candidate 7]], "")</f>
        <v/>
      </c>
      <c r="AL304" s="18" t="str">
        <f>IF(NOT(ISBLANK(Audit[[#This Row],[Audit Candidate 8]])), Audit[[#This Row],[Audit Candidate 8]]-Audit[[#This Row],[Candidate 8]], "")</f>
        <v/>
      </c>
      <c r="AM304" s="18" t="str">
        <f>IF(NOT(ISBLANK(Audit[[#This Row],[Audit Candidate 9]])), Audit[[#This Row],[Audit Candidate 9]]-Audit[[#This Row],[Candidate 9]], "")</f>
        <v/>
      </c>
      <c r="AN304" s="18" t="str">
        <f>IF(NOT(ISBLANK(Audit[[#This Row],[Audit Candidate 10]])), Audit[[#This Row],[Audit Candidate 10]]-Audit[[#This Row],[Candidate 10]], "")</f>
        <v/>
      </c>
      <c r="AO304" s="18" t="str">
        <f>IF(NOT(ISBLANK(Audit[[#This Row],[Audit Candidate 11]])), Audit[[#This Row],[Audit Candidate 11]]-Audit[[#This Row],[Candidate 11]], "")</f>
        <v/>
      </c>
      <c r="AP304" s="18" t="str">
        <f>IF(NOT(ISBLANK(Audit[[#This Row],[Audit Candidate 12]])), Audit[[#This Row],[Audit Candidate 12]]-Audit[[#This Row],[Candidate 12]], "")</f>
        <v/>
      </c>
      <c r="AQ304" s="18">
        <f>SUMIF(Audit[[#This Row],[Difference Winner]:[Difference Candidate 12]], "&gt;0")</f>
        <v>0</v>
      </c>
      <c r="AR304" s="18">
        <f>SUM(Audit[[#This Row],[Difference Winner]:[Difference Candidate 12]])</f>
        <v>0</v>
      </c>
      <c r="AS304" s="18">
        <f>IF(Audit[[#This Row],[Times p Drawn - With Replacement]]&gt;0, IF(Audit[[#This Row],[Canceled Differences]]&lt;0, Audit[[#This Row],[Max Differences]]+ABS(Audit[[#This Row],[Canceled Differences]]), Audit[[#This Row],[Max Differences]]), 0)</f>
        <v>0</v>
      </c>
      <c r="AT304" s="18">
        <f>'Sampling Data'!AB304</f>
        <v>7.5383987184722177E-4</v>
      </c>
      <c r="AU304" s="18">
        <f>IF(
      SUM(Audit[[#This Row],[Audit Losing Candidate]:[Audit Candidate 12]])
      &lt;&gt;0,
      (Audit[[#This Row],[Winning Candidate]]-Audit[[#This Row],[Losing Candidate]]-(Audit[[#This Row],[Audit Winning Candidate]]-Audit[[#This Row],[Audit Losing Candidate]]))/(Audit[[#Totals],[Winning Candidate]]-Audit[[#Totals],[Losing Candidate]]),
      0
)</f>
        <v>0</v>
      </c>
      <c r="AV3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8">
        <f>IF(Audit[[#This Row],[Max Relative Error (ep)]] = 0, 0, Audit[[#This Row],[Max Relative Error (ep)]]/Audit[[#This Row],[Error Bound (up) - Max. possible relative overstatement]])</f>
        <v>0</v>
      </c>
      <c r="BH3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4" s="18">
        <f t="shared" si="5"/>
        <v>1</v>
      </c>
      <c r="BJ304" s="18">
        <f>PRODUCT($BI$5:BI304)</f>
        <v>0.57146126097022543</v>
      </c>
      <c r="BK304" s="20">
        <f>1 - Audit[[#This Row],[K-M P Value]]</f>
        <v>0.42853873902977457</v>
      </c>
      <c r="BL304" s="18" t="str">
        <f>IF(Audit[[#This Row],[K-M P Value]]&gt;1-'General Info'!$B$12,"Continue", "Stop")</f>
        <v>Continue</v>
      </c>
      <c r="BM304" s="23" t="b">
        <f>IF(Audit[[#This Row],[Status - Continue or stop audit]] = "Continue", TRUE, IF(BL303 = "Continue", TRUE, FALSE))</f>
        <v>1</v>
      </c>
      <c r="BN304" s="23"/>
    </row>
    <row r="305" spans="1:66" ht="15" hidden="1" customHeight="1" x14ac:dyDescent="0.35">
      <c r="A305" s="18" t="str">
        <f>'Sampling Data'!AI305</f>
        <v/>
      </c>
      <c r="B305" s="18" t="str">
        <f>'Sampling Data'!A305</f>
        <v>5203 SPDALE C   (AV)</v>
      </c>
      <c r="C305" s="18">
        <f>'Sampling Data'!B305</f>
        <v>21</v>
      </c>
      <c r="D305" s="18">
        <f>'Sampling Data'!C305</f>
        <v>1</v>
      </c>
      <c r="E305" s="19">
        <f>'Sampling Data'!D305</f>
        <v>0</v>
      </c>
      <c r="F305" s="19">
        <f>'Sampling Data'!E305</f>
        <v>0</v>
      </c>
      <c r="G305" s="19">
        <f>'Sampling Data'!F305</f>
        <v>0</v>
      </c>
      <c r="H305" s="19">
        <f>'Sampling Data'!G305</f>
        <v>0</v>
      </c>
      <c r="I305" s="19">
        <f>'Sampling Data'!H305</f>
        <v>0</v>
      </c>
      <c r="J305" s="19">
        <f>'Sampling Data'!I305</f>
        <v>0</v>
      </c>
      <c r="K305" s="19">
        <f>'Sampling Data'!J305</f>
        <v>0</v>
      </c>
      <c r="L305" s="19">
        <f>'Sampling Data'!K305</f>
        <v>0</v>
      </c>
      <c r="M305" s="19">
        <f>'Sampling Data'!L305</f>
        <v>0</v>
      </c>
      <c r="N305" s="19">
        <f>'Sampling Data'!M305</f>
        <v>0</v>
      </c>
      <c r="O305" s="18">
        <f>'Sampling Data'!N305</f>
        <v>1</v>
      </c>
      <c r="P305" s="18">
        <f>'Sampling Data'!O305</f>
        <v>0</v>
      </c>
      <c r="Q305" s="18">
        <f>'Sampling Data'!P305</f>
        <v>23</v>
      </c>
      <c r="R305" s="18">
        <f>'Sampling Data'!AJ305</f>
        <v>0</v>
      </c>
      <c r="S305" s="112"/>
      <c r="T305" s="112"/>
      <c r="U305" s="113"/>
      <c r="V305" s="113"/>
      <c r="W305" s="112"/>
      <c r="X305" s="112"/>
      <c r="Y305" s="112"/>
      <c r="Z305" s="112"/>
      <c r="AA305" s="15"/>
      <c r="AB305" s="15"/>
      <c r="AC305" s="15"/>
      <c r="AD305" s="15"/>
      <c r="AE305" s="114" t="str">
        <f>IF(NOT(ISBLANK(Audit[[#This Row],[Audit Winning Candidate]])), Audit[[#This Row],[Audit Winning Candidate]]-Audit[[#This Row],[Winning Candidate]], "")</f>
        <v/>
      </c>
      <c r="AF305" s="18" t="str">
        <f>IF(NOT(ISBLANK(Audit[[#This Row],[Audit Losing Candidate]])), Audit[[#This Row],[Audit Losing Candidate]]-Audit[[#This Row],[Losing Candidate]], "")</f>
        <v/>
      </c>
      <c r="AG305" s="18" t="str">
        <f>IF(NOT(ISBLANK(Audit[[#This Row],[Audit Candidate 3]])), Audit[[#This Row],[Audit Candidate 3]]-Audit[[#This Row],[Candidate 3]], "")</f>
        <v/>
      </c>
      <c r="AH305" s="18" t="str">
        <f>IF(NOT(ISBLANK(Audit[[#This Row],[Audit Candidate 4]])),Audit[[#This Row],[Audit Candidate 4]]-Audit[[#This Row],[Candidate 4]], "")</f>
        <v/>
      </c>
      <c r="AI305" s="18" t="str">
        <f>IF(NOT(ISBLANK(Audit[[#This Row],[Audit Candidate 5]])), Audit[[#This Row],[Audit Candidate 5]]-Audit[[#This Row],[Candidate 5]], "")</f>
        <v/>
      </c>
      <c r="AJ305" s="18" t="str">
        <f>IF(NOT(ISBLANK(Audit[[#This Row],[Audit Candidate 6]])), Audit[[#This Row],[Audit Candidate 6]]-Audit[[#This Row],[Candidate 6]], "")</f>
        <v/>
      </c>
      <c r="AK305" s="18" t="str">
        <f>IF(NOT(ISBLANK(Audit[[#This Row],[Audit Candidate 7]])), Audit[[#This Row],[Audit Candidate 7]]-Audit[[#This Row],[Candidate 7]], "")</f>
        <v/>
      </c>
      <c r="AL305" s="18" t="str">
        <f>IF(NOT(ISBLANK(Audit[[#This Row],[Audit Candidate 8]])), Audit[[#This Row],[Audit Candidate 8]]-Audit[[#This Row],[Candidate 8]], "")</f>
        <v/>
      </c>
      <c r="AM305" s="18" t="str">
        <f>IF(NOT(ISBLANK(Audit[[#This Row],[Audit Candidate 9]])), Audit[[#This Row],[Audit Candidate 9]]-Audit[[#This Row],[Candidate 9]], "")</f>
        <v/>
      </c>
      <c r="AN305" s="18" t="str">
        <f>IF(NOT(ISBLANK(Audit[[#This Row],[Audit Candidate 10]])), Audit[[#This Row],[Audit Candidate 10]]-Audit[[#This Row],[Candidate 10]], "")</f>
        <v/>
      </c>
      <c r="AO305" s="18" t="str">
        <f>IF(NOT(ISBLANK(Audit[[#This Row],[Audit Candidate 11]])), Audit[[#This Row],[Audit Candidate 11]]-Audit[[#This Row],[Candidate 11]], "")</f>
        <v/>
      </c>
      <c r="AP305" s="18" t="str">
        <f>IF(NOT(ISBLANK(Audit[[#This Row],[Audit Candidate 12]])), Audit[[#This Row],[Audit Candidate 12]]-Audit[[#This Row],[Candidate 12]], "")</f>
        <v/>
      </c>
      <c r="AQ305" s="18">
        <f>SUMIF(Audit[[#This Row],[Difference Winner]:[Difference Candidate 12]], "&gt;0")</f>
        <v>0</v>
      </c>
      <c r="AR305" s="18">
        <f>SUM(Audit[[#This Row],[Difference Winner]:[Difference Candidate 12]])</f>
        <v>0</v>
      </c>
      <c r="AS305" s="18">
        <f>IF(Audit[[#This Row],[Times p Drawn - With Replacement]]&gt;0, IF(Audit[[#This Row],[Canceled Differences]]&lt;0, Audit[[#This Row],[Max Differences]]+ABS(Audit[[#This Row],[Canceled Differences]]), Audit[[#This Row],[Max Differences]]), 0)</f>
        <v>0</v>
      </c>
      <c r="AT305" s="18">
        <f>'Sampling Data'!AB305</f>
        <v>1.350629770392939E-3</v>
      </c>
      <c r="AU305" s="18">
        <f>IF(
      SUM(Audit[[#This Row],[Audit Losing Candidate]:[Audit Candidate 12]])
      &lt;&gt;0,
      (Audit[[#This Row],[Winning Candidate]]-Audit[[#This Row],[Losing Candidate]]-(Audit[[#This Row],[Audit Winning Candidate]]-Audit[[#This Row],[Audit Losing Candidate]]))/(Audit[[#Totals],[Winning Candidate]]-Audit[[#Totals],[Losing Candidate]]),
      0
)</f>
        <v>0</v>
      </c>
      <c r="AV3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8">
        <f>IF(Audit[[#This Row],[Max Relative Error (ep)]] = 0, 0, Audit[[#This Row],[Max Relative Error (ep)]]/Audit[[#This Row],[Error Bound (up) - Max. possible relative overstatement]])</f>
        <v>0</v>
      </c>
      <c r="BH3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5" s="18">
        <f t="shared" si="5"/>
        <v>1</v>
      </c>
      <c r="BJ305" s="18">
        <f>PRODUCT($BI$5:BI305)</f>
        <v>0.57146126097022543</v>
      </c>
      <c r="BK305" s="20">
        <f>1 - Audit[[#This Row],[K-M P Value]]</f>
        <v>0.42853873902977457</v>
      </c>
      <c r="BL305" s="18" t="str">
        <f>IF(Audit[[#This Row],[K-M P Value]]&gt;1-'General Info'!$B$12,"Continue", "Stop")</f>
        <v>Continue</v>
      </c>
      <c r="BM305" s="23" t="b">
        <f>IF(Audit[[#This Row],[Status - Continue or stop audit]] = "Continue", TRUE, IF(BL304 = "Continue", TRUE, FALSE))</f>
        <v>1</v>
      </c>
      <c r="BN305" s="23"/>
    </row>
    <row r="306" spans="1:66" ht="15" hidden="1" customHeight="1" x14ac:dyDescent="0.35">
      <c r="A306" s="18" t="str">
        <f>'Sampling Data'!AI306</f>
        <v/>
      </c>
      <c r="B306" s="18" t="str">
        <f>'Sampling Data'!A306</f>
        <v>5204 SPDALE D   (AV)</v>
      </c>
      <c r="C306" s="18">
        <f>'Sampling Data'!B306</f>
        <v>4</v>
      </c>
      <c r="D306" s="18">
        <f>'Sampling Data'!C306</f>
        <v>1</v>
      </c>
      <c r="E306" s="19">
        <f>'Sampling Data'!D306</f>
        <v>0</v>
      </c>
      <c r="F306" s="19">
        <f>'Sampling Data'!E306</f>
        <v>0</v>
      </c>
      <c r="G306" s="19">
        <f>'Sampling Data'!F306</f>
        <v>0</v>
      </c>
      <c r="H306" s="19">
        <f>'Sampling Data'!G306</f>
        <v>0</v>
      </c>
      <c r="I306" s="19">
        <f>'Sampling Data'!H306</f>
        <v>0</v>
      </c>
      <c r="J306" s="19">
        <f>'Sampling Data'!I306</f>
        <v>0</v>
      </c>
      <c r="K306" s="19">
        <f>'Sampling Data'!J306</f>
        <v>0</v>
      </c>
      <c r="L306" s="19">
        <f>'Sampling Data'!K306</f>
        <v>0</v>
      </c>
      <c r="M306" s="19">
        <f>'Sampling Data'!L306</f>
        <v>0</v>
      </c>
      <c r="N306" s="19">
        <f>'Sampling Data'!M306</f>
        <v>0</v>
      </c>
      <c r="O306" s="18">
        <f>'Sampling Data'!N306</f>
        <v>0</v>
      </c>
      <c r="P306" s="18">
        <f>'Sampling Data'!O306</f>
        <v>1</v>
      </c>
      <c r="Q306" s="18">
        <f>'Sampling Data'!P306</f>
        <v>6</v>
      </c>
      <c r="R306" s="18">
        <f>'Sampling Data'!AJ306</f>
        <v>0</v>
      </c>
      <c r="S306" s="112"/>
      <c r="T306" s="112"/>
      <c r="U306" s="113"/>
      <c r="V306" s="113"/>
      <c r="W306" s="112"/>
      <c r="X306" s="112"/>
      <c r="Y306" s="112"/>
      <c r="Z306" s="112"/>
      <c r="AA306" s="15"/>
      <c r="AB306" s="15"/>
      <c r="AC306" s="15"/>
      <c r="AD306" s="15"/>
      <c r="AE306" s="114" t="str">
        <f>IF(NOT(ISBLANK(Audit[[#This Row],[Audit Winning Candidate]])), Audit[[#This Row],[Audit Winning Candidate]]-Audit[[#This Row],[Winning Candidate]], "")</f>
        <v/>
      </c>
      <c r="AF306" s="18" t="str">
        <f>IF(NOT(ISBLANK(Audit[[#This Row],[Audit Losing Candidate]])), Audit[[#This Row],[Audit Losing Candidate]]-Audit[[#This Row],[Losing Candidate]], "")</f>
        <v/>
      </c>
      <c r="AG306" s="18" t="str">
        <f>IF(NOT(ISBLANK(Audit[[#This Row],[Audit Candidate 3]])), Audit[[#This Row],[Audit Candidate 3]]-Audit[[#This Row],[Candidate 3]], "")</f>
        <v/>
      </c>
      <c r="AH306" s="18" t="str">
        <f>IF(NOT(ISBLANK(Audit[[#This Row],[Audit Candidate 4]])),Audit[[#This Row],[Audit Candidate 4]]-Audit[[#This Row],[Candidate 4]], "")</f>
        <v/>
      </c>
      <c r="AI306" s="18" t="str">
        <f>IF(NOT(ISBLANK(Audit[[#This Row],[Audit Candidate 5]])), Audit[[#This Row],[Audit Candidate 5]]-Audit[[#This Row],[Candidate 5]], "")</f>
        <v/>
      </c>
      <c r="AJ306" s="18" t="str">
        <f>IF(NOT(ISBLANK(Audit[[#This Row],[Audit Candidate 6]])), Audit[[#This Row],[Audit Candidate 6]]-Audit[[#This Row],[Candidate 6]], "")</f>
        <v/>
      </c>
      <c r="AK306" s="18" t="str">
        <f>IF(NOT(ISBLANK(Audit[[#This Row],[Audit Candidate 7]])), Audit[[#This Row],[Audit Candidate 7]]-Audit[[#This Row],[Candidate 7]], "")</f>
        <v/>
      </c>
      <c r="AL306" s="18" t="str">
        <f>IF(NOT(ISBLANK(Audit[[#This Row],[Audit Candidate 8]])), Audit[[#This Row],[Audit Candidate 8]]-Audit[[#This Row],[Candidate 8]], "")</f>
        <v/>
      </c>
      <c r="AM306" s="18" t="str">
        <f>IF(NOT(ISBLANK(Audit[[#This Row],[Audit Candidate 9]])), Audit[[#This Row],[Audit Candidate 9]]-Audit[[#This Row],[Candidate 9]], "")</f>
        <v/>
      </c>
      <c r="AN306" s="18" t="str">
        <f>IF(NOT(ISBLANK(Audit[[#This Row],[Audit Candidate 10]])), Audit[[#This Row],[Audit Candidate 10]]-Audit[[#This Row],[Candidate 10]], "")</f>
        <v/>
      </c>
      <c r="AO306" s="18" t="str">
        <f>IF(NOT(ISBLANK(Audit[[#This Row],[Audit Candidate 11]])), Audit[[#This Row],[Audit Candidate 11]]-Audit[[#This Row],[Candidate 11]], "")</f>
        <v/>
      </c>
      <c r="AP306" s="18" t="str">
        <f>IF(NOT(ISBLANK(Audit[[#This Row],[Audit Candidate 12]])), Audit[[#This Row],[Audit Candidate 12]]-Audit[[#This Row],[Candidate 12]], "")</f>
        <v/>
      </c>
      <c r="AQ306" s="18">
        <f>SUMIF(Audit[[#This Row],[Difference Winner]:[Difference Candidate 12]], "&gt;0")</f>
        <v>0</v>
      </c>
      <c r="AR306" s="18">
        <f>SUM(Audit[[#This Row],[Difference Winner]:[Difference Candidate 12]])</f>
        <v>0</v>
      </c>
      <c r="AS306" s="18">
        <f>IF(Audit[[#This Row],[Times p Drawn - With Replacement]]&gt;0, IF(Audit[[#This Row],[Canceled Differences]]&lt;0, Audit[[#This Row],[Max Differences]]+ABS(Audit[[#This Row],[Canceled Differences]]), Audit[[#This Row],[Max Differences]]), 0)</f>
        <v>0</v>
      </c>
      <c r="AT306" s="18">
        <f>'Sampling Data'!AB306</f>
        <v>2.8268995194270818E-4</v>
      </c>
      <c r="AU306" s="18">
        <f>IF(
      SUM(Audit[[#This Row],[Audit Losing Candidate]:[Audit Candidate 12]])
      &lt;&gt;0,
      (Audit[[#This Row],[Winning Candidate]]-Audit[[#This Row],[Losing Candidate]]-(Audit[[#This Row],[Audit Winning Candidate]]-Audit[[#This Row],[Audit Losing Candidate]]))/(Audit[[#Totals],[Winning Candidate]]-Audit[[#Totals],[Losing Candidate]]),
      0
)</f>
        <v>0</v>
      </c>
      <c r="AV3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8">
        <f>IF(Audit[[#This Row],[Max Relative Error (ep)]] = 0, 0, Audit[[#This Row],[Max Relative Error (ep)]]/Audit[[#This Row],[Error Bound (up) - Max. possible relative overstatement]])</f>
        <v>0</v>
      </c>
      <c r="BH3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6" s="18">
        <f t="shared" si="5"/>
        <v>1</v>
      </c>
      <c r="BJ306" s="18">
        <f>PRODUCT($BI$5:BI306)</f>
        <v>0.57146126097022543</v>
      </c>
      <c r="BK306" s="20">
        <f>1 - Audit[[#This Row],[K-M P Value]]</f>
        <v>0.42853873902977457</v>
      </c>
      <c r="BL306" s="18" t="str">
        <f>IF(Audit[[#This Row],[K-M P Value]]&gt;1-'General Info'!$B$12,"Continue", "Stop")</f>
        <v>Continue</v>
      </c>
      <c r="BM306" s="23" t="b">
        <f>IF(Audit[[#This Row],[Status - Continue or stop audit]] = "Continue", TRUE, IF(BL305 = "Continue", TRUE, FALSE))</f>
        <v>1</v>
      </c>
      <c r="BN306" s="23"/>
    </row>
    <row r="307" spans="1:66" ht="15" hidden="1" customHeight="1" x14ac:dyDescent="0.35">
      <c r="A307" s="18" t="str">
        <f>'Sampling Data'!AI307</f>
        <v/>
      </c>
      <c r="B307" s="18" t="str">
        <f>'Sampling Data'!A307</f>
        <v>5205 SPDALE E   (AV)</v>
      </c>
      <c r="C307" s="18">
        <f>'Sampling Data'!B307</f>
        <v>4</v>
      </c>
      <c r="D307" s="18">
        <f>'Sampling Data'!C307</f>
        <v>0</v>
      </c>
      <c r="E307" s="19">
        <f>'Sampling Data'!D307</f>
        <v>0</v>
      </c>
      <c r="F307" s="19">
        <f>'Sampling Data'!E307</f>
        <v>0</v>
      </c>
      <c r="G307" s="19">
        <f>'Sampling Data'!F307</f>
        <v>0</v>
      </c>
      <c r="H307" s="19">
        <f>'Sampling Data'!G307</f>
        <v>0</v>
      </c>
      <c r="I307" s="19">
        <f>'Sampling Data'!H307</f>
        <v>0</v>
      </c>
      <c r="J307" s="19">
        <f>'Sampling Data'!I307</f>
        <v>0</v>
      </c>
      <c r="K307" s="19">
        <f>'Sampling Data'!J307</f>
        <v>0</v>
      </c>
      <c r="L307" s="19">
        <f>'Sampling Data'!K307</f>
        <v>0</v>
      </c>
      <c r="M307" s="19">
        <f>'Sampling Data'!L307</f>
        <v>0</v>
      </c>
      <c r="N307" s="19">
        <f>'Sampling Data'!M307</f>
        <v>0</v>
      </c>
      <c r="O307" s="18">
        <f>'Sampling Data'!N307</f>
        <v>0</v>
      </c>
      <c r="P307" s="18">
        <f>'Sampling Data'!O307</f>
        <v>0</v>
      </c>
      <c r="Q307" s="18">
        <f>'Sampling Data'!P307</f>
        <v>4</v>
      </c>
      <c r="R307" s="18">
        <f>'Sampling Data'!AJ307</f>
        <v>0</v>
      </c>
      <c r="S307" s="112"/>
      <c r="T307" s="112"/>
      <c r="U307" s="113"/>
      <c r="V307" s="113"/>
      <c r="W307" s="112"/>
      <c r="X307" s="112"/>
      <c r="Y307" s="112"/>
      <c r="Z307" s="112"/>
      <c r="AA307" s="15"/>
      <c r="AB307" s="15"/>
      <c r="AC307" s="15"/>
      <c r="AD307" s="15"/>
      <c r="AE307" s="114" t="str">
        <f>IF(NOT(ISBLANK(Audit[[#This Row],[Audit Winning Candidate]])), Audit[[#This Row],[Audit Winning Candidate]]-Audit[[#This Row],[Winning Candidate]], "")</f>
        <v/>
      </c>
      <c r="AF307" s="18" t="str">
        <f>IF(NOT(ISBLANK(Audit[[#This Row],[Audit Losing Candidate]])), Audit[[#This Row],[Audit Losing Candidate]]-Audit[[#This Row],[Losing Candidate]], "")</f>
        <v/>
      </c>
      <c r="AG307" s="18" t="str">
        <f>IF(NOT(ISBLANK(Audit[[#This Row],[Audit Candidate 3]])), Audit[[#This Row],[Audit Candidate 3]]-Audit[[#This Row],[Candidate 3]], "")</f>
        <v/>
      </c>
      <c r="AH307" s="18" t="str">
        <f>IF(NOT(ISBLANK(Audit[[#This Row],[Audit Candidate 4]])),Audit[[#This Row],[Audit Candidate 4]]-Audit[[#This Row],[Candidate 4]], "")</f>
        <v/>
      </c>
      <c r="AI307" s="18" t="str">
        <f>IF(NOT(ISBLANK(Audit[[#This Row],[Audit Candidate 5]])), Audit[[#This Row],[Audit Candidate 5]]-Audit[[#This Row],[Candidate 5]], "")</f>
        <v/>
      </c>
      <c r="AJ307" s="18" t="str">
        <f>IF(NOT(ISBLANK(Audit[[#This Row],[Audit Candidate 6]])), Audit[[#This Row],[Audit Candidate 6]]-Audit[[#This Row],[Candidate 6]], "")</f>
        <v/>
      </c>
      <c r="AK307" s="18" t="str">
        <f>IF(NOT(ISBLANK(Audit[[#This Row],[Audit Candidate 7]])), Audit[[#This Row],[Audit Candidate 7]]-Audit[[#This Row],[Candidate 7]], "")</f>
        <v/>
      </c>
      <c r="AL307" s="18" t="str">
        <f>IF(NOT(ISBLANK(Audit[[#This Row],[Audit Candidate 8]])), Audit[[#This Row],[Audit Candidate 8]]-Audit[[#This Row],[Candidate 8]], "")</f>
        <v/>
      </c>
      <c r="AM307" s="18" t="str">
        <f>IF(NOT(ISBLANK(Audit[[#This Row],[Audit Candidate 9]])), Audit[[#This Row],[Audit Candidate 9]]-Audit[[#This Row],[Candidate 9]], "")</f>
        <v/>
      </c>
      <c r="AN307" s="18" t="str">
        <f>IF(NOT(ISBLANK(Audit[[#This Row],[Audit Candidate 10]])), Audit[[#This Row],[Audit Candidate 10]]-Audit[[#This Row],[Candidate 10]], "")</f>
        <v/>
      </c>
      <c r="AO307" s="18" t="str">
        <f>IF(NOT(ISBLANK(Audit[[#This Row],[Audit Candidate 11]])), Audit[[#This Row],[Audit Candidate 11]]-Audit[[#This Row],[Candidate 11]], "")</f>
        <v/>
      </c>
      <c r="AP307" s="18" t="str">
        <f>IF(NOT(ISBLANK(Audit[[#This Row],[Audit Candidate 12]])), Audit[[#This Row],[Audit Candidate 12]]-Audit[[#This Row],[Candidate 12]], "")</f>
        <v/>
      </c>
      <c r="AQ307" s="18">
        <f>SUMIF(Audit[[#This Row],[Difference Winner]:[Difference Candidate 12]], "&gt;0")</f>
        <v>0</v>
      </c>
      <c r="AR307" s="18">
        <f>SUM(Audit[[#This Row],[Difference Winner]:[Difference Candidate 12]])</f>
        <v>0</v>
      </c>
      <c r="AS307" s="18">
        <f>IF(Audit[[#This Row],[Times p Drawn - With Replacement]]&gt;0, IF(Audit[[#This Row],[Canceled Differences]]&lt;0, Audit[[#This Row],[Max Differences]]+ABS(Audit[[#This Row],[Canceled Differences]]), Audit[[#This Row],[Max Differences]]), 0)</f>
        <v>0</v>
      </c>
      <c r="AT307" s="18">
        <f>'Sampling Data'!AB307</f>
        <v>2.5127995728240724E-4</v>
      </c>
      <c r="AU307" s="18">
        <f>IF(
      SUM(Audit[[#This Row],[Audit Losing Candidate]:[Audit Candidate 12]])
      &lt;&gt;0,
      (Audit[[#This Row],[Winning Candidate]]-Audit[[#This Row],[Losing Candidate]]-(Audit[[#This Row],[Audit Winning Candidate]]-Audit[[#This Row],[Audit Losing Candidate]]))/(Audit[[#Totals],[Winning Candidate]]-Audit[[#Totals],[Losing Candidate]]),
      0
)</f>
        <v>0</v>
      </c>
      <c r="AV3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8">
        <f>IF(Audit[[#This Row],[Max Relative Error (ep)]] = 0, 0, Audit[[#This Row],[Max Relative Error (ep)]]/Audit[[#This Row],[Error Bound (up) - Max. possible relative overstatement]])</f>
        <v>0</v>
      </c>
      <c r="BH3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7" s="18">
        <f t="shared" si="5"/>
        <v>1</v>
      </c>
      <c r="BJ307" s="18">
        <f>PRODUCT($BI$5:BI307)</f>
        <v>0.57146126097022543</v>
      </c>
      <c r="BK307" s="20">
        <f>1 - Audit[[#This Row],[K-M P Value]]</f>
        <v>0.42853873902977457</v>
      </c>
      <c r="BL307" s="18" t="str">
        <f>IF(Audit[[#This Row],[K-M P Value]]&gt;1-'General Info'!$B$12,"Continue", "Stop")</f>
        <v>Continue</v>
      </c>
      <c r="BM307" s="23" t="b">
        <f>IF(Audit[[#This Row],[Status - Continue or stop audit]] = "Continue", TRUE, IF(BL306 = "Continue", TRUE, FALSE))</f>
        <v>1</v>
      </c>
      <c r="BN307" s="23"/>
    </row>
    <row r="308" spans="1:66" ht="15" hidden="1" customHeight="1" x14ac:dyDescent="0.35">
      <c r="A308" s="18" t="str">
        <f>'Sampling Data'!AI308</f>
        <v/>
      </c>
      <c r="B308" s="18" t="str">
        <f>'Sampling Data'!A308</f>
        <v>5206 SPDALE F   (AV)</v>
      </c>
      <c r="C308" s="18">
        <f>'Sampling Data'!B308</f>
        <v>11</v>
      </c>
      <c r="D308" s="18">
        <f>'Sampling Data'!C308</f>
        <v>0</v>
      </c>
      <c r="E308" s="19">
        <f>'Sampling Data'!D308</f>
        <v>0</v>
      </c>
      <c r="F308" s="19">
        <f>'Sampling Data'!E308</f>
        <v>0</v>
      </c>
      <c r="G308" s="19">
        <f>'Sampling Data'!F308</f>
        <v>0</v>
      </c>
      <c r="H308" s="19">
        <f>'Sampling Data'!G308</f>
        <v>0</v>
      </c>
      <c r="I308" s="19">
        <f>'Sampling Data'!H308</f>
        <v>0</v>
      </c>
      <c r="J308" s="19">
        <f>'Sampling Data'!I308</f>
        <v>0</v>
      </c>
      <c r="K308" s="19">
        <f>'Sampling Data'!J308</f>
        <v>0</v>
      </c>
      <c r="L308" s="19">
        <f>'Sampling Data'!K308</f>
        <v>0</v>
      </c>
      <c r="M308" s="19">
        <f>'Sampling Data'!L308</f>
        <v>0</v>
      </c>
      <c r="N308" s="19">
        <f>'Sampling Data'!M308</f>
        <v>0</v>
      </c>
      <c r="O308" s="18">
        <f>'Sampling Data'!N308</f>
        <v>0</v>
      </c>
      <c r="P308" s="18">
        <f>'Sampling Data'!O308</f>
        <v>0</v>
      </c>
      <c r="Q308" s="18">
        <f>'Sampling Data'!P308</f>
        <v>11</v>
      </c>
      <c r="R308" s="18">
        <f>'Sampling Data'!AJ308</f>
        <v>0</v>
      </c>
      <c r="S308" s="112"/>
      <c r="T308" s="112"/>
      <c r="U308" s="113"/>
      <c r="V308" s="113"/>
      <c r="W308" s="112"/>
      <c r="X308" s="112"/>
      <c r="Y308" s="112"/>
      <c r="Z308" s="112"/>
      <c r="AA308" s="15"/>
      <c r="AB308" s="15"/>
      <c r="AC308" s="15"/>
      <c r="AD308" s="15"/>
      <c r="AE308" s="114" t="str">
        <f>IF(NOT(ISBLANK(Audit[[#This Row],[Audit Winning Candidate]])), Audit[[#This Row],[Audit Winning Candidate]]-Audit[[#This Row],[Winning Candidate]], "")</f>
        <v/>
      </c>
      <c r="AF308" s="18" t="str">
        <f>IF(NOT(ISBLANK(Audit[[#This Row],[Audit Losing Candidate]])), Audit[[#This Row],[Audit Losing Candidate]]-Audit[[#This Row],[Losing Candidate]], "")</f>
        <v/>
      </c>
      <c r="AG308" s="18" t="str">
        <f>IF(NOT(ISBLANK(Audit[[#This Row],[Audit Candidate 3]])), Audit[[#This Row],[Audit Candidate 3]]-Audit[[#This Row],[Candidate 3]], "")</f>
        <v/>
      </c>
      <c r="AH308" s="18" t="str">
        <f>IF(NOT(ISBLANK(Audit[[#This Row],[Audit Candidate 4]])),Audit[[#This Row],[Audit Candidate 4]]-Audit[[#This Row],[Candidate 4]], "")</f>
        <v/>
      </c>
      <c r="AI308" s="18" t="str">
        <f>IF(NOT(ISBLANK(Audit[[#This Row],[Audit Candidate 5]])), Audit[[#This Row],[Audit Candidate 5]]-Audit[[#This Row],[Candidate 5]], "")</f>
        <v/>
      </c>
      <c r="AJ308" s="18" t="str">
        <f>IF(NOT(ISBLANK(Audit[[#This Row],[Audit Candidate 6]])), Audit[[#This Row],[Audit Candidate 6]]-Audit[[#This Row],[Candidate 6]], "")</f>
        <v/>
      </c>
      <c r="AK308" s="18" t="str">
        <f>IF(NOT(ISBLANK(Audit[[#This Row],[Audit Candidate 7]])), Audit[[#This Row],[Audit Candidate 7]]-Audit[[#This Row],[Candidate 7]], "")</f>
        <v/>
      </c>
      <c r="AL308" s="18" t="str">
        <f>IF(NOT(ISBLANK(Audit[[#This Row],[Audit Candidate 8]])), Audit[[#This Row],[Audit Candidate 8]]-Audit[[#This Row],[Candidate 8]], "")</f>
        <v/>
      </c>
      <c r="AM308" s="18" t="str">
        <f>IF(NOT(ISBLANK(Audit[[#This Row],[Audit Candidate 9]])), Audit[[#This Row],[Audit Candidate 9]]-Audit[[#This Row],[Candidate 9]], "")</f>
        <v/>
      </c>
      <c r="AN308" s="18" t="str">
        <f>IF(NOT(ISBLANK(Audit[[#This Row],[Audit Candidate 10]])), Audit[[#This Row],[Audit Candidate 10]]-Audit[[#This Row],[Candidate 10]], "")</f>
        <v/>
      </c>
      <c r="AO308" s="18" t="str">
        <f>IF(NOT(ISBLANK(Audit[[#This Row],[Audit Candidate 11]])), Audit[[#This Row],[Audit Candidate 11]]-Audit[[#This Row],[Candidate 11]], "")</f>
        <v/>
      </c>
      <c r="AP308" s="18" t="str">
        <f>IF(NOT(ISBLANK(Audit[[#This Row],[Audit Candidate 12]])), Audit[[#This Row],[Audit Candidate 12]]-Audit[[#This Row],[Candidate 12]], "")</f>
        <v/>
      </c>
      <c r="AQ308" s="18">
        <f>SUMIF(Audit[[#This Row],[Difference Winner]:[Difference Candidate 12]], "&gt;0")</f>
        <v>0</v>
      </c>
      <c r="AR308" s="18">
        <f>SUM(Audit[[#This Row],[Difference Winner]:[Difference Candidate 12]])</f>
        <v>0</v>
      </c>
      <c r="AS308" s="18">
        <f>IF(Audit[[#This Row],[Times p Drawn - With Replacement]]&gt;0, IF(Audit[[#This Row],[Canceled Differences]]&lt;0, Audit[[#This Row],[Max Differences]]+ABS(Audit[[#This Row],[Canceled Differences]]), Audit[[#This Row],[Max Differences]]), 0)</f>
        <v>0</v>
      </c>
      <c r="AT308" s="18">
        <f>'Sampling Data'!AB308</f>
        <v>6.9101988252662E-4</v>
      </c>
      <c r="AU308" s="18">
        <f>IF(
      SUM(Audit[[#This Row],[Audit Losing Candidate]:[Audit Candidate 12]])
      &lt;&gt;0,
      (Audit[[#This Row],[Winning Candidate]]-Audit[[#This Row],[Losing Candidate]]-(Audit[[#This Row],[Audit Winning Candidate]]-Audit[[#This Row],[Audit Losing Candidate]]))/(Audit[[#Totals],[Winning Candidate]]-Audit[[#Totals],[Losing Candidate]]),
      0
)</f>
        <v>0</v>
      </c>
      <c r="AV3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8">
        <f>IF(Audit[[#This Row],[Max Relative Error (ep)]] = 0, 0, Audit[[#This Row],[Max Relative Error (ep)]]/Audit[[#This Row],[Error Bound (up) - Max. possible relative overstatement]])</f>
        <v>0</v>
      </c>
      <c r="BH3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8" s="18">
        <f t="shared" si="5"/>
        <v>1</v>
      </c>
      <c r="BJ308" s="18">
        <f>PRODUCT($BI$5:BI308)</f>
        <v>0.57146126097022543</v>
      </c>
      <c r="BK308" s="20">
        <f>1 - Audit[[#This Row],[K-M P Value]]</f>
        <v>0.42853873902977457</v>
      </c>
      <c r="BL308" s="18" t="str">
        <f>IF(Audit[[#This Row],[K-M P Value]]&gt;1-'General Info'!$B$12,"Continue", "Stop")</f>
        <v>Continue</v>
      </c>
      <c r="BM308" s="23" t="b">
        <f>IF(Audit[[#This Row],[Status - Continue or stop audit]] = "Continue", TRUE, IF(BL307 = "Continue", TRUE, FALSE))</f>
        <v>1</v>
      </c>
      <c r="BN308" s="23"/>
    </row>
    <row r="309" spans="1:66" ht="15" hidden="1" customHeight="1" x14ac:dyDescent="0.35">
      <c r="A309" s="18" t="str">
        <f>'Sampling Data'!AI309</f>
        <v/>
      </c>
      <c r="B309" s="18" t="str">
        <f>'Sampling Data'!A309</f>
        <v>5207 SPDALE G   (AV)</v>
      </c>
      <c r="C309" s="18">
        <f>'Sampling Data'!B309</f>
        <v>5</v>
      </c>
      <c r="D309" s="18">
        <f>'Sampling Data'!C309</f>
        <v>0</v>
      </c>
      <c r="E309" s="19">
        <f>'Sampling Data'!D309</f>
        <v>0</v>
      </c>
      <c r="F309" s="19">
        <f>'Sampling Data'!E309</f>
        <v>0</v>
      </c>
      <c r="G309" s="19">
        <f>'Sampling Data'!F309</f>
        <v>0</v>
      </c>
      <c r="H309" s="19">
        <f>'Sampling Data'!G309</f>
        <v>0</v>
      </c>
      <c r="I309" s="19">
        <f>'Sampling Data'!H309</f>
        <v>0</v>
      </c>
      <c r="J309" s="19">
        <f>'Sampling Data'!I309</f>
        <v>0</v>
      </c>
      <c r="K309" s="19">
        <f>'Sampling Data'!J309</f>
        <v>0</v>
      </c>
      <c r="L309" s="19">
        <f>'Sampling Data'!K309</f>
        <v>0</v>
      </c>
      <c r="M309" s="19">
        <f>'Sampling Data'!L309</f>
        <v>0</v>
      </c>
      <c r="N309" s="19">
        <f>'Sampling Data'!M309</f>
        <v>0</v>
      </c>
      <c r="O309" s="18">
        <f>'Sampling Data'!N309</f>
        <v>0</v>
      </c>
      <c r="P309" s="18">
        <f>'Sampling Data'!O309</f>
        <v>0</v>
      </c>
      <c r="Q309" s="18">
        <f>'Sampling Data'!P309</f>
        <v>5</v>
      </c>
      <c r="R309" s="18">
        <f>'Sampling Data'!AJ309</f>
        <v>0</v>
      </c>
      <c r="S309" s="112"/>
      <c r="T309" s="112"/>
      <c r="U309" s="113"/>
      <c r="V309" s="113"/>
      <c r="W309" s="112"/>
      <c r="X309" s="112"/>
      <c r="Y309" s="112"/>
      <c r="Z309" s="112"/>
      <c r="AA309" s="15"/>
      <c r="AB309" s="15"/>
      <c r="AC309" s="15"/>
      <c r="AD309" s="15"/>
      <c r="AE309" s="114" t="str">
        <f>IF(NOT(ISBLANK(Audit[[#This Row],[Audit Winning Candidate]])), Audit[[#This Row],[Audit Winning Candidate]]-Audit[[#This Row],[Winning Candidate]], "")</f>
        <v/>
      </c>
      <c r="AF309" s="18" t="str">
        <f>IF(NOT(ISBLANK(Audit[[#This Row],[Audit Losing Candidate]])), Audit[[#This Row],[Audit Losing Candidate]]-Audit[[#This Row],[Losing Candidate]], "")</f>
        <v/>
      </c>
      <c r="AG309" s="18" t="str">
        <f>IF(NOT(ISBLANK(Audit[[#This Row],[Audit Candidate 3]])), Audit[[#This Row],[Audit Candidate 3]]-Audit[[#This Row],[Candidate 3]], "")</f>
        <v/>
      </c>
      <c r="AH309" s="18" t="str">
        <f>IF(NOT(ISBLANK(Audit[[#This Row],[Audit Candidate 4]])),Audit[[#This Row],[Audit Candidate 4]]-Audit[[#This Row],[Candidate 4]], "")</f>
        <v/>
      </c>
      <c r="AI309" s="18" t="str">
        <f>IF(NOT(ISBLANK(Audit[[#This Row],[Audit Candidate 5]])), Audit[[#This Row],[Audit Candidate 5]]-Audit[[#This Row],[Candidate 5]], "")</f>
        <v/>
      </c>
      <c r="AJ309" s="18" t="str">
        <f>IF(NOT(ISBLANK(Audit[[#This Row],[Audit Candidate 6]])), Audit[[#This Row],[Audit Candidate 6]]-Audit[[#This Row],[Candidate 6]], "")</f>
        <v/>
      </c>
      <c r="AK309" s="18" t="str">
        <f>IF(NOT(ISBLANK(Audit[[#This Row],[Audit Candidate 7]])), Audit[[#This Row],[Audit Candidate 7]]-Audit[[#This Row],[Candidate 7]], "")</f>
        <v/>
      </c>
      <c r="AL309" s="18" t="str">
        <f>IF(NOT(ISBLANK(Audit[[#This Row],[Audit Candidate 8]])), Audit[[#This Row],[Audit Candidate 8]]-Audit[[#This Row],[Candidate 8]], "")</f>
        <v/>
      </c>
      <c r="AM309" s="18" t="str">
        <f>IF(NOT(ISBLANK(Audit[[#This Row],[Audit Candidate 9]])), Audit[[#This Row],[Audit Candidate 9]]-Audit[[#This Row],[Candidate 9]], "")</f>
        <v/>
      </c>
      <c r="AN309" s="18" t="str">
        <f>IF(NOT(ISBLANK(Audit[[#This Row],[Audit Candidate 10]])), Audit[[#This Row],[Audit Candidate 10]]-Audit[[#This Row],[Candidate 10]], "")</f>
        <v/>
      </c>
      <c r="AO309" s="18" t="str">
        <f>IF(NOT(ISBLANK(Audit[[#This Row],[Audit Candidate 11]])), Audit[[#This Row],[Audit Candidate 11]]-Audit[[#This Row],[Candidate 11]], "")</f>
        <v/>
      </c>
      <c r="AP309" s="18" t="str">
        <f>IF(NOT(ISBLANK(Audit[[#This Row],[Audit Candidate 12]])), Audit[[#This Row],[Audit Candidate 12]]-Audit[[#This Row],[Candidate 12]], "")</f>
        <v/>
      </c>
      <c r="AQ309" s="18">
        <f>SUMIF(Audit[[#This Row],[Difference Winner]:[Difference Candidate 12]], "&gt;0")</f>
        <v>0</v>
      </c>
      <c r="AR309" s="18">
        <f>SUM(Audit[[#This Row],[Difference Winner]:[Difference Candidate 12]])</f>
        <v>0</v>
      </c>
      <c r="AS309" s="18">
        <f>IF(Audit[[#This Row],[Times p Drawn - With Replacement]]&gt;0, IF(Audit[[#This Row],[Canceled Differences]]&lt;0, Audit[[#This Row],[Max Differences]]+ABS(Audit[[#This Row],[Canceled Differences]]), Audit[[#This Row],[Max Differences]]), 0)</f>
        <v>0</v>
      </c>
      <c r="AT309" s="18">
        <f>'Sampling Data'!AB309</f>
        <v>3.1409994660300906E-4</v>
      </c>
      <c r="AU309" s="18">
        <f>IF(
      SUM(Audit[[#This Row],[Audit Losing Candidate]:[Audit Candidate 12]])
      &lt;&gt;0,
      (Audit[[#This Row],[Winning Candidate]]-Audit[[#This Row],[Losing Candidate]]-(Audit[[#This Row],[Audit Winning Candidate]]-Audit[[#This Row],[Audit Losing Candidate]]))/(Audit[[#Totals],[Winning Candidate]]-Audit[[#Totals],[Losing Candidate]]),
      0
)</f>
        <v>0</v>
      </c>
      <c r="AV3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8">
        <f>IF(Audit[[#This Row],[Max Relative Error (ep)]] = 0, 0, Audit[[#This Row],[Max Relative Error (ep)]]/Audit[[#This Row],[Error Bound (up) - Max. possible relative overstatement]])</f>
        <v>0</v>
      </c>
      <c r="BH3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09" s="18">
        <f t="shared" si="5"/>
        <v>1</v>
      </c>
      <c r="BJ309" s="18">
        <f>PRODUCT($BI$5:BI309)</f>
        <v>0.57146126097022543</v>
      </c>
      <c r="BK309" s="20">
        <f>1 - Audit[[#This Row],[K-M P Value]]</f>
        <v>0.42853873902977457</v>
      </c>
      <c r="BL309" s="18" t="str">
        <f>IF(Audit[[#This Row],[K-M P Value]]&gt;1-'General Info'!$B$12,"Continue", "Stop")</f>
        <v>Continue</v>
      </c>
      <c r="BM309" s="23" t="b">
        <f>IF(Audit[[#This Row],[Status - Continue or stop audit]] = "Continue", TRUE, IF(BL308 = "Continue", TRUE, FALSE))</f>
        <v>1</v>
      </c>
      <c r="BN309" s="23"/>
    </row>
    <row r="310" spans="1:66" ht="15" hidden="1" customHeight="1" x14ac:dyDescent="0.35">
      <c r="A310" s="18" t="str">
        <f>'Sampling Data'!AI310</f>
        <v/>
      </c>
      <c r="B310" s="18" t="str">
        <f>'Sampling Data'!A310</f>
        <v>5208 SPDALE H   (AV)</v>
      </c>
      <c r="C310" s="18">
        <f>'Sampling Data'!B310</f>
        <v>0</v>
      </c>
      <c r="D310" s="18">
        <f>'Sampling Data'!C310</f>
        <v>0</v>
      </c>
      <c r="E310" s="19">
        <f>'Sampling Data'!D310</f>
        <v>0</v>
      </c>
      <c r="F310" s="19">
        <f>'Sampling Data'!E310</f>
        <v>0</v>
      </c>
      <c r="G310" s="19">
        <f>'Sampling Data'!F310</f>
        <v>0</v>
      </c>
      <c r="H310" s="19">
        <f>'Sampling Data'!G310</f>
        <v>0</v>
      </c>
      <c r="I310" s="19">
        <f>'Sampling Data'!H310</f>
        <v>0</v>
      </c>
      <c r="J310" s="19">
        <f>'Sampling Data'!I310</f>
        <v>0</v>
      </c>
      <c r="K310" s="19">
        <f>'Sampling Data'!J310</f>
        <v>0</v>
      </c>
      <c r="L310" s="19">
        <f>'Sampling Data'!K310</f>
        <v>0</v>
      </c>
      <c r="M310" s="19">
        <f>'Sampling Data'!L310</f>
        <v>0</v>
      </c>
      <c r="N310" s="19">
        <f>'Sampling Data'!M310</f>
        <v>0</v>
      </c>
      <c r="O310" s="18">
        <f>'Sampling Data'!N310</f>
        <v>0</v>
      </c>
      <c r="P310" s="18">
        <f>'Sampling Data'!O310</f>
        <v>0</v>
      </c>
      <c r="Q310" s="18">
        <f>'Sampling Data'!P310</f>
        <v>0</v>
      </c>
      <c r="R310" s="18">
        <f>'Sampling Data'!AJ310</f>
        <v>0</v>
      </c>
      <c r="S310" s="112"/>
      <c r="T310" s="112"/>
      <c r="U310" s="113"/>
      <c r="V310" s="113"/>
      <c r="W310" s="112"/>
      <c r="X310" s="112"/>
      <c r="Y310" s="112"/>
      <c r="Z310" s="112"/>
      <c r="AA310" s="15"/>
      <c r="AB310" s="15"/>
      <c r="AC310" s="15"/>
      <c r="AD310" s="15"/>
      <c r="AE310" s="114" t="str">
        <f>IF(NOT(ISBLANK(Audit[[#This Row],[Audit Winning Candidate]])), Audit[[#This Row],[Audit Winning Candidate]]-Audit[[#This Row],[Winning Candidate]], "")</f>
        <v/>
      </c>
      <c r="AF310" s="18" t="str">
        <f>IF(NOT(ISBLANK(Audit[[#This Row],[Audit Losing Candidate]])), Audit[[#This Row],[Audit Losing Candidate]]-Audit[[#This Row],[Losing Candidate]], "")</f>
        <v/>
      </c>
      <c r="AG310" s="18" t="str">
        <f>IF(NOT(ISBLANK(Audit[[#This Row],[Audit Candidate 3]])), Audit[[#This Row],[Audit Candidate 3]]-Audit[[#This Row],[Candidate 3]], "")</f>
        <v/>
      </c>
      <c r="AH310" s="18" t="str">
        <f>IF(NOT(ISBLANK(Audit[[#This Row],[Audit Candidate 4]])),Audit[[#This Row],[Audit Candidate 4]]-Audit[[#This Row],[Candidate 4]], "")</f>
        <v/>
      </c>
      <c r="AI310" s="18" t="str">
        <f>IF(NOT(ISBLANK(Audit[[#This Row],[Audit Candidate 5]])), Audit[[#This Row],[Audit Candidate 5]]-Audit[[#This Row],[Candidate 5]], "")</f>
        <v/>
      </c>
      <c r="AJ310" s="18" t="str">
        <f>IF(NOT(ISBLANK(Audit[[#This Row],[Audit Candidate 6]])), Audit[[#This Row],[Audit Candidate 6]]-Audit[[#This Row],[Candidate 6]], "")</f>
        <v/>
      </c>
      <c r="AK310" s="18" t="str">
        <f>IF(NOT(ISBLANK(Audit[[#This Row],[Audit Candidate 7]])), Audit[[#This Row],[Audit Candidate 7]]-Audit[[#This Row],[Candidate 7]], "")</f>
        <v/>
      </c>
      <c r="AL310" s="18" t="str">
        <f>IF(NOT(ISBLANK(Audit[[#This Row],[Audit Candidate 8]])), Audit[[#This Row],[Audit Candidate 8]]-Audit[[#This Row],[Candidate 8]], "")</f>
        <v/>
      </c>
      <c r="AM310" s="18" t="str">
        <f>IF(NOT(ISBLANK(Audit[[#This Row],[Audit Candidate 9]])), Audit[[#This Row],[Audit Candidate 9]]-Audit[[#This Row],[Candidate 9]], "")</f>
        <v/>
      </c>
      <c r="AN310" s="18" t="str">
        <f>IF(NOT(ISBLANK(Audit[[#This Row],[Audit Candidate 10]])), Audit[[#This Row],[Audit Candidate 10]]-Audit[[#This Row],[Candidate 10]], "")</f>
        <v/>
      </c>
      <c r="AO310" s="18" t="str">
        <f>IF(NOT(ISBLANK(Audit[[#This Row],[Audit Candidate 11]])), Audit[[#This Row],[Audit Candidate 11]]-Audit[[#This Row],[Candidate 11]], "")</f>
        <v/>
      </c>
      <c r="AP310" s="18" t="str">
        <f>IF(NOT(ISBLANK(Audit[[#This Row],[Audit Candidate 12]])), Audit[[#This Row],[Audit Candidate 12]]-Audit[[#This Row],[Candidate 12]], "")</f>
        <v/>
      </c>
      <c r="AQ310" s="18">
        <f>SUMIF(Audit[[#This Row],[Difference Winner]:[Difference Candidate 12]], "&gt;0")</f>
        <v>0</v>
      </c>
      <c r="AR310" s="18">
        <f>SUM(Audit[[#This Row],[Difference Winner]:[Difference Candidate 12]])</f>
        <v>0</v>
      </c>
      <c r="AS310" s="18">
        <f>IF(Audit[[#This Row],[Times p Drawn - With Replacement]]&gt;0, IF(Audit[[#This Row],[Canceled Differences]]&lt;0, Audit[[#This Row],[Max Differences]]+ABS(Audit[[#This Row],[Canceled Differences]]), Audit[[#This Row],[Max Differences]]), 0)</f>
        <v>0</v>
      </c>
      <c r="AT310" s="18">
        <f>'Sampling Data'!AB310</f>
        <v>0</v>
      </c>
      <c r="AU310" s="18">
        <f>IF(
      SUM(Audit[[#This Row],[Audit Losing Candidate]:[Audit Candidate 12]])
      &lt;&gt;0,
      (Audit[[#This Row],[Winning Candidate]]-Audit[[#This Row],[Losing Candidate]]-(Audit[[#This Row],[Audit Winning Candidate]]-Audit[[#This Row],[Audit Losing Candidate]]))/(Audit[[#Totals],[Winning Candidate]]-Audit[[#Totals],[Losing Candidate]]),
      0
)</f>
        <v>0</v>
      </c>
      <c r="AV3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8">
        <f>IF(Audit[[#This Row],[Max Relative Error (ep)]] = 0, 0, Audit[[#This Row],[Max Relative Error (ep)]]/Audit[[#This Row],[Error Bound (up) - Max. possible relative overstatement]])</f>
        <v>0</v>
      </c>
      <c r="BH3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0" s="18">
        <f t="shared" si="5"/>
        <v>1</v>
      </c>
      <c r="BJ310" s="18">
        <f>PRODUCT($BI$5:BI310)</f>
        <v>0.57146126097022543</v>
      </c>
      <c r="BK310" s="20">
        <f>1 - Audit[[#This Row],[K-M P Value]]</f>
        <v>0.42853873902977457</v>
      </c>
      <c r="BL310" s="18" t="str">
        <f>IF(Audit[[#This Row],[K-M P Value]]&gt;1-'General Info'!$B$12,"Continue", "Stop")</f>
        <v>Continue</v>
      </c>
      <c r="BM310" s="23" t="b">
        <f>IF(Audit[[#This Row],[Status - Continue or stop audit]] = "Continue", TRUE, IF(BL309 = "Continue", TRUE, FALSE))</f>
        <v>1</v>
      </c>
      <c r="BN310" s="23"/>
    </row>
    <row r="311" spans="1:66" ht="15" hidden="1" customHeight="1" x14ac:dyDescent="0.35">
      <c r="A311" s="18" t="str">
        <f>'Sampling Data'!AI311</f>
        <v/>
      </c>
      <c r="B311" s="18" t="str">
        <f>'Sampling Data'!A311</f>
        <v>5301 WYOM A   (AV)</v>
      </c>
      <c r="C311" s="18">
        <f>'Sampling Data'!B311</f>
        <v>11</v>
      </c>
      <c r="D311" s="18">
        <f>'Sampling Data'!C311</f>
        <v>2</v>
      </c>
      <c r="E311" s="19">
        <f>'Sampling Data'!D311</f>
        <v>0</v>
      </c>
      <c r="F311" s="19">
        <f>'Sampling Data'!E311</f>
        <v>0</v>
      </c>
      <c r="G311" s="19">
        <f>'Sampling Data'!F311</f>
        <v>0</v>
      </c>
      <c r="H311" s="19">
        <f>'Sampling Data'!G311</f>
        <v>0</v>
      </c>
      <c r="I311" s="19">
        <f>'Sampling Data'!H311</f>
        <v>0</v>
      </c>
      <c r="J311" s="19">
        <f>'Sampling Data'!I311</f>
        <v>0</v>
      </c>
      <c r="K311" s="19">
        <f>'Sampling Data'!J311</f>
        <v>0</v>
      </c>
      <c r="L311" s="19">
        <f>'Sampling Data'!K311</f>
        <v>0</v>
      </c>
      <c r="M311" s="19">
        <f>'Sampling Data'!L311</f>
        <v>0</v>
      </c>
      <c r="N311" s="19">
        <f>'Sampling Data'!M311</f>
        <v>0</v>
      </c>
      <c r="O311" s="18">
        <f>'Sampling Data'!N311</f>
        <v>0</v>
      </c>
      <c r="P311" s="18">
        <f>'Sampling Data'!O311</f>
        <v>0</v>
      </c>
      <c r="Q311" s="18">
        <f>'Sampling Data'!P311</f>
        <v>13</v>
      </c>
      <c r="R311" s="18">
        <f>'Sampling Data'!AJ311</f>
        <v>0</v>
      </c>
      <c r="S311" s="112"/>
      <c r="T311" s="112"/>
      <c r="U311" s="113"/>
      <c r="V311" s="113"/>
      <c r="W311" s="112"/>
      <c r="X311" s="112"/>
      <c r="Y311" s="112"/>
      <c r="Z311" s="112"/>
      <c r="AA311" s="15"/>
      <c r="AB311" s="15"/>
      <c r="AC311" s="15"/>
      <c r="AD311" s="15"/>
      <c r="AE311" s="114" t="str">
        <f>IF(NOT(ISBLANK(Audit[[#This Row],[Audit Winning Candidate]])), Audit[[#This Row],[Audit Winning Candidate]]-Audit[[#This Row],[Winning Candidate]], "")</f>
        <v/>
      </c>
      <c r="AF311" s="18" t="str">
        <f>IF(NOT(ISBLANK(Audit[[#This Row],[Audit Losing Candidate]])), Audit[[#This Row],[Audit Losing Candidate]]-Audit[[#This Row],[Losing Candidate]], "")</f>
        <v/>
      </c>
      <c r="AG311" s="18" t="str">
        <f>IF(NOT(ISBLANK(Audit[[#This Row],[Audit Candidate 3]])), Audit[[#This Row],[Audit Candidate 3]]-Audit[[#This Row],[Candidate 3]], "")</f>
        <v/>
      </c>
      <c r="AH311" s="18" t="str">
        <f>IF(NOT(ISBLANK(Audit[[#This Row],[Audit Candidate 4]])),Audit[[#This Row],[Audit Candidate 4]]-Audit[[#This Row],[Candidate 4]], "")</f>
        <v/>
      </c>
      <c r="AI311" s="18" t="str">
        <f>IF(NOT(ISBLANK(Audit[[#This Row],[Audit Candidate 5]])), Audit[[#This Row],[Audit Candidate 5]]-Audit[[#This Row],[Candidate 5]], "")</f>
        <v/>
      </c>
      <c r="AJ311" s="18" t="str">
        <f>IF(NOT(ISBLANK(Audit[[#This Row],[Audit Candidate 6]])), Audit[[#This Row],[Audit Candidate 6]]-Audit[[#This Row],[Candidate 6]], "")</f>
        <v/>
      </c>
      <c r="AK311" s="18" t="str">
        <f>IF(NOT(ISBLANK(Audit[[#This Row],[Audit Candidate 7]])), Audit[[#This Row],[Audit Candidate 7]]-Audit[[#This Row],[Candidate 7]], "")</f>
        <v/>
      </c>
      <c r="AL311" s="18" t="str">
        <f>IF(NOT(ISBLANK(Audit[[#This Row],[Audit Candidate 8]])), Audit[[#This Row],[Audit Candidate 8]]-Audit[[#This Row],[Candidate 8]], "")</f>
        <v/>
      </c>
      <c r="AM311" s="18" t="str">
        <f>IF(NOT(ISBLANK(Audit[[#This Row],[Audit Candidate 9]])), Audit[[#This Row],[Audit Candidate 9]]-Audit[[#This Row],[Candidate 9]], "")</f>
        <v/>
      </c>
      <c r="AN311" s="18" t="str">
        <f>IF(NOT(ISBLANK(Audit[[#This Row],[Audit Candidate 10]])), Audit[[#This Row],[Audit Candidate 10]]-Audit[[#This Row],[Candidate 10]], "")</f>
        <v/>
      </c>
      <c r="AO311" s="18" t="str">
        <f>IF(NOT(ISBLANK(Audit[[#This Row],[Audit Candidate 11]])), Audit[[#This Row],[Audit Candidate 11]]-Audit[[#This Row],[Candidate 11]], "")</f>
        <v/>
      </c>
      <c r="AP311" s="18" t="str">
        <f>IF(NOT(ISBLANK(Audit[[#This Row],[Audit Candidate 12]])), Audit[[#This Row],[Audit Candidate 12]]-Audit[[#This Row],[Candidate 12]], "")</f>
        <v/>
      </c>
      <c r="AQ311" s="18">
        <f>SUMIF(Audit[[#This Row],[Difference Winner]:[Difference Candidate 12]], "&gt;0")</f>
        <v>0</v>
      </c>
      <c r="AR311" s="18">
        <f>SUM(Audit[[#This Row],[Difference Winner]:[Difference Candidate 12]])</f>
        <v>0</v>
      </c>
      <c r="AS311" s="18">
        <f>IF(Audit[[#This Row],[Times p Drawn - With Replacement]]&gt;0, IF(Audit[[#This Row],[Canceled Differences]]&lt;0, Audit[[#This Row],[Max Differences]]+ABS(Audit[[#This Row],[Canceled Differences]]), Audit[[#This Row],[Max Differences]]), 0)</f>
        <v>0</v>
      </c>
      <c r="AT311" s="18">
        <f>'Sampling Data'!AB311</f>
        <v>6.9101988252662E-4</v>
      </c>
      <c r="AU311" s="18">
        <f>IF(
      SUM(Audit[[#This Row],[Audit Losing Candidate]:[Audit Candidate 12]])
      &lt;&gt;0,
      (Audit[[#This Row],[Winning Candidate]]-Audit[[#This Row],[Losing Candidate]]-(Audit[[#This Row],[Audit Winning Candidate]]-Audit[[#This Row],[Audit Losing Candidate]]))/(Audit[[#Totals],[Winning Candidate]]-Audit[[#Totals],[Losing Candidate]]),
      0
)</f>
        <v>0</v>
      </c>
      <c r="AV3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8">
        <f>IF(Audit[[#This Row],[Max Relative Error (ep)]] = 0, 0, Audit[[#This Row],[Max Relative Error (ep)]]/Audit[[#This Row],[Error Bound (up) - Max. possible relative overstatement]])</f>
        <v>0</v>
      </c>
      <c r="BH3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1" s="18">
        <f t="shared" si="5"/>
        <v>1</v>
      </c>
      <c r="BJ311" s="18">
        <f>PRODUCT($BI$5:BI311)</f>
        <v>0.57146126097022543</v>
      </c>
      <c r="BK311" s="20">
        <f>1 - Audit[[#This Row],[K-M P Value]]</f>
        <v>0.42853873902977457</v>
      </c>
      <c r="BL311" s="18" t="str">
        <f>IF(Audit[[#This Row],[K-M P Value]]&gt;1-'General Info'!$B$12,"Continue", "Stop")</f>
        <v>Continue</v>
      </c>
      <c r="BM311" s="23" t="b">
        <f>IF(Audit[[#This Row],[Status - Continue or stop audit]] = "Continue", TRUE, IF(BL310 = "Continue", TRUE, FALSE))</f>
        <v>1</v>
      </c>
      <c r="BN311" s="23"/>
    </row>
    <row r="312" spans="1:66" ht="15" hidden="1" customHeight="1" x14ac:dyDescent="0.35">
      <c r="A312" s="18" t="str">
        <f>'Sampling Data'!AI312</f>
        <v/>
      </c>
      <c r="B312" s="18" t="str">
        <f>'Sampling Data'!A312</f>
        <v>5302 WYOM B   (AV)</v>
      </c>
      <c r="C312" s="18">
        <f>'Sampling Data'!B312</f>
        <v>9</v>
      </c>
      <c r="D312" s="18">
        <f>'Sampling Data'!C312</f>
        <v>1</v>
      </c>
      <c r="E312" s="19">
        <f>'Sampling Data'!D312</f>
        <v>0</v>
      </c>
      <c r="F312" s="19">
        <f>'Sampling Data'!E312</f>
        <v>0</v>
      </c>
      <c r="G312" s="19">
        <f>'Sampling Data'!F312</f>
        <v>0</v>
      </c>
      <c r="H312" s="19">
        <f>'Sampling Data'!G312</f>
        <v>0</v>
      </c>
      <c r="I312" s="19">
        <f>'Sampling Data'!H312</f>
        <v>0</v>
      </c>
      <c r="J312" s="19">
        <f>'Sampling Data'!I312</f>
        <v>0</v>
      </c>
      <c r="K312" s="19">
        <f>'Sampling Data'!J312</f>
        <v>0</v>
      </c>
      <c r="L312" s="19">
        <f>'Sampling Data'!K312</f>
        <v>0</v>
      </c>
      <c r="M312" s="19">
        <f>'Sampling Data'!L312</f>
        <v>0</v>
      </c>
      <c r="N312" s="19">
        <f>'Sampling Data'!M312</f>
        <v>0</v>
      </c>
      <c r="O312" s="18">
        <f>'Sampling Data'!N312</f>
        <v>0</v>
      </c>
      <c r="P312" s="18">
        <f>'Sampling Data'!O312</f>
        <v>0</v>
      </c>
      <c r="Q312" s="18">
        <f>'Sampling Data'!P312</f>
        <v>10</v>
      </c>
      <c r="R312" s="18">
        <f>'Sampling Data'!AJ312</f>
        <v>0</v>
      </c>
      <c r="S312" s="112"/>
      <c r="T312" s="112"/>
      <c r="U312" s="113"/>
      <c r="V312" s="113"/>
      <c r="W312" s="112"/>
      <c r="X312" s="112"/>
      <c r="Y312" s="112"/>
      <c r="Z312" s="112"/>
      <c r="AA312" s="15"/>
      <c r="AB312" s="15"/>
      <c r="AC312" s="15"/>
      <c r="AD312" s="15"/>
      <c r="AE312" s="114" t="str">
        <f>IF(NOT(ISBLANK(Audit[[#This Row],[Audit Winning Candidate]])), Audit[[#This Row],[Audit Winning Candidate]]-Audit[[#This Row],[Winning Candidate]], "")</f>
        <v/>
      </c>
      <c r="AF312" s="18" t="str">
        <f>IF(NOT(ISBLANK(Audit[[#This Row],[Audit Losing Candidate]])), Audit[[#This Row],[Audit Losing Candidate]]-Audit[[#This Row],[Losing Candidate]], "")</f>
        <v/>
      </c>
      <c r="AG312" s="18" t="str">
        <f>IF(NOT(ISBLANK(Audit[[#This Row],[Audit Candidate 3]])), Audit[[#This Row],[Audit Candidate 3]]-Audit[[#This Row],[Candidate 3]], "")</f>
        <v/>
      </c>
      <c r="AH312" s="18" t="str">
        <f>IF(NOT(ISBLANK(Audit[[#This Row],[Audit Candidate 4]])),Audit[[#This Row],[Audit Candidate 4]]-Audit[[#This Row],[Candidate 4]], "")</f>
        <v/>
      </c>
      <c r="AI312" s="18" t="str">
        <f>IF(NOT(ISBLANK(Audit[[#This Row],[Audit Candidate 5]])), Audit[[#This Row],[Audit Candidate 5]]-Audit[[#This Row],[Candidate 5]], "")</f>
        <v/>
      </c>
      <c r="AJ312" s="18" t="str">
        <f>IF(NOT(ISBLANK(Audit[[#This Row],[Audit Candidate 6]])), Audit[[#This Row],[Audit Candidate 6]]-Audit[[#This Row],[Candidate 6]], "")</f>
        <v/>
      </c>
      <c r="AK312" s="18" t="str">
        <f>IF(NOT(ISBLANK(Audit[[#This Row],[Audit Candidate 7]])), Audit[[#This Row],[Audit Candidate 7]]-Audit[[#This Row],[Candidate 7]], "")</f>
        <v/>
      </c>
      <c r="AL312" s="18" t="str">
        <f>IF(NOT(ISBLANK(Audit[[#This Row],[Audit Candidate 8]])), Audit[[#This Row],[Audit Candidate 8]]-Audit[[#This Row],[Candidate 8]], "")</f>
        <v/>
      </c>
      <c r="AM312" s="18" t="str">
        <f>IF(NOT(ISBLANK(Audit[[#This Row],[Audit Candidate 9]])), Audit[[#This Row],[Audit Candidate 9]]-Audit[[#This Row],[Candidate 9]], "")</f>
        <v/>
      </c>
      <c r="AN312" s="18" t="str">
        <f>IF(NOT(ISBLANK(Audit[[#This Row],[Audit Candidate 10]])), Audit[[#This Row],[Audit Candidate 10]]-Audit[[#This Row],[Candidate 10]], "")</f>
        <v/>
      </c>
      <c r="AO312" s="18" t="str">
        <f>IF(NOT(ISBLANK(Audit[[#This Row],[Audit Candidate 11]])), Audit[[#This Row],[Audit Candidate 11]]-Audit[[#This Row],[Candidate 11]], "")</f>
        <v/>
      </c>
      <c r="AP312" s="18" t="str">
        <f>IF(NOT(ISBLANK(Audit[[#This Row],[Audit Candidate 12]])), Audit[[#This Row],[Audit Candidate 12]]-Audit[[#This Row],[Candidate 12]], "")</f>
        <v/>
      </c>
      <c r="AQ312" s="18">
        <f>SUMIF(Audit[[#This Row],[Difference Winner]:[Difference Candidate 12]], "&gt;0")</f>
        <v>0</v>
      </c>
      <c r="AR312" s="18">
        <f>SUM(Audit[[#This Row],[Difference Winner]:[Difference Candidate 12]])</f>
        <v>0</v>
      </c>
      <c r="AS312" s="18">
        <f>IF(Audit[[#This Row],[Times p Drawn - With Replacement]]&gt;0, IF(Audit[[#This Row],[Canceled Differences]]&lt;0, Audit[[#This Row],[Max Differences]]+ABS(Audit[[#This Row],[Canceled Differences]]), Audit[[#This Row],[Max Differences]]), 0)</f>
        <v>0</v>
      </c>
      <c r="AT312" s="18">
        <f>'Sampling Data'!AB312</f>
        <v>5.6537990388541635E-4</v>
      </c>
      <c r="AU312" s="18">
        <f>IF(
      SUM(Audit[[#This Row],[Audit Losing Candidate]:[Audit Candidate 12]])
      &lt;&gt;0,
      (Audit[[#This Row],[Winning Candidate]]-Audit[[#This Row],[Losing Candidate]]-(Audit[[#This Row],[Audit Winning Candidate]]-Audit[[#This Row],[Audit Losing Candidate]]))/(Audit[[#Totals],[Winning Candidate]]-Audit[[#Totals],[Losing Candidate]]),
      0
)</f>
        <v>0</v>
      </c>
      <c r="AV3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8">
        <f>IF(Audit[[#This Row],[Max Relative Error (ep)]] = 0, 0, Audit[[#This Row],[Max Relative Error (ep)]]/Audit[[#This Row],[Error Bound (up) - Max. possible relative overstatement]])</f>
        <v>0</v>
      </c>
      <c r="BH3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2" s="18">
        <f t="shared" si="5"/>
        <v>1</v>
      </c>
      <c r="BJ312" s="18">
        <f>PRODUCT($BI$5:BI312)</f>
        <v>0.57146126097022543</v>
      </c>
      <c r="BK312" s="20">
        <f>1 - Audit[[#This Row],[K-M P Value]]</f>
        <v>0.42853873902977457</v>
      </c>
      <c r="BL312" s="18" t="str">
        <f>IF(Audit[[#This Row],[K-M P Value]]&gt;1-'General Info'!$B$12,"Continue", "Stop")</f>
        <v>Continue</v>
      </c>
      <c r="BM312" s="23" t="b">
        <f>IF(Audit[[#This Row],[Status - Continue or stop audit]] = "Continue", TRUE, IF(BL311 = "Continue", TRUE, FALSE))</f>
        <v>1</v>
      </c>
      <c r="BN312" s="23"/>
    </row>
    <row r="313" spans="1:66" ht="15" hidden="1" customHeight="1" x14ac:dyDescent="0.35">
      <c r="A313" s="18" t="str">
        <f>'Sampling Data'!AI313</f>
        <v/>
      </c>
      <c r="B313" s="18" t="str">
        <f>'Sampling Data'!A313</f>
        <v>5303 WYOM C   (AV)</v>
      </c>
      <c r="C313" s="18">
        <f>'Sampling Data'!B313</f>
        <v>12</v>
      </c>
      <c r="D313" s="18">
        <f>'Sampling Data'!C313</f>
        <v>1</v>
      </c>
      <c r="E313" s="19">
        <f>'Sampling Data'!D313</f>
        <v>0</v>
      </c>
      <c r="F313" s="19">
        <f>'Sampling Data'!E313</f>
        <v>0</v>
      </c>
      <c r="G313" s="19">
        <f>'Sampling Data'!F313</f>
        <v>0</v>
      </c>
      <c r="H313" s="19">
        <f>'Sampling Data'!G313</f>
        <v>0</v>
      </c>
      <c r="I313" s="19">
        <f>'Sampling Data'!H313</f>
        <v>0</v>
      </c>
      <c r="J313" s="19">
        <f>'Sampling Data'!I313</f>
        <v>0</v>
      </c>
      <c r="K313" s="19">
        <f>'Sampling Data'!J313</f>
        <v>0</v>
      </c>
      <c r="L313" s="19">
        <f>'Sampling Data'!K313</f>
        <v>0</v>
      </c>
      <c r="M313" s="19">
        <f>'Sampling Data'!L313</f>
        <v>0</v>
      </c>
      <c r="N313" s="19">
        <f>'Sampling Data'!M313</f>
        <v>0</v>
      </c>
      <c r="O313" s="18">
        <f>'Sampling Data'!N313</f>
        <v>0</v>
      </c>
      <c r="P313" s="18">
        <f>'Sampling Data'!O313</f>
        <v>0</v>
      </c>
      <c r="Q313" s="18">
        <f>'Sampling Data'!P313</f>
        <v>13</v>
      </c>
      <c r="R313" s="18">
        <f>'Sampling Data'!AJ313</f>
        <v>0</v>
      </c>
      <c r="S313" s="112"/>
      <c r="T313" s="112"/>
      <c r="U313" s="113"/>
      <c r="V313" s="113"/>
      <c r="W313" s="112"/>
      <c r="X313" s="112"/>
      <c r="Y313" s="112"/>
      <c r="Z313" s="112"/>
      <c r="AA313" s="15"/>
      <c r="AB313" s="15"/>
      <c r="AC313" s="15"/>
      <c r="AD313" s="15"/>
      <c r="AE313" s="114" t="str">
        <f>IF(NOT(ISBLANK(Audit[[#This Row],[Audit Winning Candidate]])), Audit[[#This Row],[Audit Winning Candidate]]-Audit[[#This Row],[Winning Candidate]], "")</f>
        <v/>
      </c>
      <c r="AF313" s="18" t="str">
        <f>IF(NOT(ISBLANK(Audit[[#This Row],[Audit Losing Candidate]])), Audit[[#This Row],[Audit Losing Candidate]]-Audit[[#This Row],[Losing Candidate]], "")</f>
        <v/>
      </c>
      <c r="AG313" s="18" t="str">
        <f>IF(NOT(ISBLANK(Audit[[#This Row],[Audit Candidate 3]])), Audit[[#This Row],[Audit Candidate 3]]-Audit[[#This Row],[Candidate 3]], "")</f>
        <v/>
      </c>
      <c r="AH313" s="18" t="str">
        <f>IF(NOT(ISBLANK(Audit[[#This Row],[Audit Candidate 4]])),Audit[[#This Row],[Audit Candidate 4]]-Audit[[#This Row],[Candidate 4]], "")</f>
        <v/>
      </c>
      <c r="AI313" s="18" t="str">
        <f>IF(NOT(ISBLANK(Audit[[#This Row],[Audit Candidate 5]])), Audit[[#This Row],[Audit Candidate 5]]-Audit[[#This Row],[Candidate 5]], "")</f>
        <v/>
      </c>
      <c r="AJ313" s="18" t="str">
        <f>IF(NOT(ISBLANK(Audit[[#This Row],[Audit Candidate 6]])), Audit[[#This Row],[Audit Candidate 6]]-Audit[[#This Row],[Candidate 6]], "")</f>
        <v/>
      </c>
      <c r="AK313" s="18" t="str">
        <f>IF(NOT(ISBLANK(Audit[[#This Row],[Audit Candidate 7]])), Audit[[#This Row],[Audit Candidate 7]]-Audit[[#This Row],[Candidate 7]], "")</f>
        <v/>
      </c>
      <c r="AL313" s="18" t="str">
        <f>IF(NOT(ISBLANK(Audit[[#This Row],[Audit Candidate 8]])), Audit[[#This Row],[Audit Candidate 8]]-Audit[[#This Row],[Candidate 8]], "")</f>
        <v/>
      </c>
      <c r="AM313" s="18" t="str">
        <f>IF(NOT(ISBLANK(Audit[[#This Row],[Audit Candidate 9]])), Audit[[#This Row],[Audit Candidate 9]]-Audit[[#This Row],[Candidate 9]], "")</f>
        <v/>
      </c>
      <c r="AN313" s="18" t="str">
        <f>IF(NOT(ISBLANK(Audit[[#This Row],[Audit Candidate 10]])), Audit[[#This Row],[Audit Candidate 10]]-Audit[[#This Row],[Candidate 10]], "")</f>
        <v/>
      </c>
      <c r="AO313" s="18" t="str">
        <f>IF(NOT(ISBLANK(Audit[[#This Row],[Audit Candidate 11]])), Audit[[#This Row],[Audit Candidate 11]]-Audit[[#This Row],[Candidate 11]], "")</f>
        <v/>
      </c>
      <c r="AP313" s="18" t="str">
        <f>IF(NOT(ISBLANK(Audit[[#This Row],[Audit Candidate 12]])), Audit[[#This Row],[Audit Candidate 12]]-Audit[[#This Row],[Candidate 12]], "")</f>
        <v/>
      </c>
      <c r="AQ313" s="18">
        <f>SUMIF(Audit[[#This Row],[Difference Winner]:[Difference Candidate 12]], "&gt;0")</f>
        <v>0</v>
      </c>
      <c r="AR313" s="18">
        <f>SUM(Audit[[#This Row],[Difference Winner]:[Difference Candidate 12]])</f>
        <v>0</v>
      </c>
      <c r="AS313" s="18">
        <f>IF(Audit[[#This Row],[Times p Drawn - With Replacement]]&gt;0, IF(Audit[[#This Row],[Canceled Differences]]&lt;0, Audit[[#This Row],[Max Differences]]+ABS(Audit[[#This Row],[Canceled Differences]]), Audit[[#This Row],[Max Differences]]), 0)</f>
        <v>0</v>
      </c>
      <c r="AT313" s="18">
        <f>'Sampling Data'!AB313</f>
        <v>7.5383987184722177E-4</v>
      </c>
      <c r="AU313" s="18">
        <f>IF(
      SUM(Audit[[#This Row],[Audit Losing Candidate]:[Audit Candidate 12]])
      &lt;&gt;0,
      (Audit[[#This Row],[Winning Candidate]]-Audit[[#This Row],[Losing Candidate]]-(Audit[[#This Row],[Audit Winning Candidate]]-Audit[[#This Row],[Audit Losing Candidate]]))/(Audit[[#Totals],[Winning Candidate]]-Audit[[#Totals],[Losing Candidate]]),
      0
)</f>
        <v>0</v>
      </c>
      <c r="AV3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8">
        <f>IF(Audit[[#This Row],[Max Relative Error (ep)]] = 0, 0, Audit[[#This Row],[Max Relative Error (ep)]]/Audit[[#This Row],[Error Bound (up) - Max. possible relative overstatement]])</f>
        <v>0</v>
      </c>
      <c r="BH3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3" s="18">
        <f t="shared" si="5"/>
        <v>1</v>
      </c>
      <c r="BJ313" s="18">
        <f>PRODUCT($BI$5:BI313)</f>
        <v>0.57146126097022543</v>
      </c>
      <c r="BK313" s="20">
        <f>1 - Audit[[#This Row],[K-M P Value]]</f>
        <v>0.42853873902977457</v>
      </c>
      <c r="BL313" s="18" t="str">
        <f>IF(Audit[[#This Row],[K-M P Value]]&gt;1-'General Info'!$B$12,"Continue", "Stop")</f>
        <v>Continue</v>
      </c>
      <c r="BM313" s="23" t="b">
        <f>IF(Audit[[#This Row],[Status - Continue or stop audit]] = "Continue", TRUE, IF(BL312 = "Continue", TRUE, FALSE))</f>
        <v>1</v>
      </c>
      <c r="BN313" s="23"/>
    </row>
    <row r="314" spans="1:66" ht="15" hidden="1" customHeight="1" x14ac:dyDescent="0.35">
      <c r="A314" s="18" t="str">
        <f>'Sampling Data'!AI314</f>
        <v/>
      </c>
      <c r="B314" s="18" t="str">
        <f>'Sampling Data'!A314</f>
        <v>5304 WYOM D   (AV)</v>
      </c>
      <c r="C314" s="18">
        <f>'Sampling Data'!B314</f>
        <v>3</v>
      </c>
      <c r="D314" s="18">
        <f>'Sampling Data'!C314</f>
        <v>3</v>
      </c>
      <c r="E314" s="19">
        <f>'Sampling Data'!D314</f>
        <v>0</v>
      </c>
      <c r="F314" s="19">
        <f>'Sampling Data'!E314</f>
        <v>0</v>
      </c>
      <c r="G314" s="19">
        <f>'Sampling Data'!F314</f>
        <v>0</v>
      </c>
      <c r="H314" s="19">
        <f>'Sampling Data'!G314</f>
        <v>0</v>
      </c>
      <c r="I314" s="19">
        <f>'Sampling Data'!H314</f>
        <v>0</v>
      </c>
      <c r="J314" s="19">
        <f>'Sampling Data'!I314</f>
        <v>0</v>
      </c>
      <c r="K314" s="19">
        <f>'Sampling Data'!J314</f>
        <v>0</v>
      </c>
      <c r="L314" s="19">
        <f>'Sampling Data'!K314</f>
        <v>0</v>
      </c>
      <c r="M314" s="19">
        <f>'Sampling Data'!L314</f>
        <v>0</v>
      </c>
      <c r="N314" s="19">
        <f>'Sampling Data'!M314</f>
        <v>0</v>
      </c>
      <c r="O314" s="18">
        <f>'Sampling Data'!N314</f>
        <v>0</v>
      </c>
      <c r="P314" s="18">
        <f>'Sampling Data'!O314</f>
        <v>0</v>
      </c>
      <c r="Q314" s="18">
        <f>'Sampling Data'!P314</f>
        <v>6</v>
      </c>
      <c r="R314" s="18">
        <f>'Sampling Data'!AJ314</f>
        <v>0</v>
      </c>
      <c r="S314" s="112"/>
      <c r="T314" s="112"/>
      <c r="U314" s="113"/>
      <c r="V314" s="113"/>
      <c r="W314" s="112"/>
      <c r="X314" s="112"/>
      <c r="Y314" s="112"/>
      <c r="Z314" s="112"/>
      <c r="AA314" s="15"/>
      <c r="AB314" s="15"/>
      <c r="AC314" s="15"/>
      <c r="AD314" s="15"/>
      <c r="AE314" s="114" t="str">
        <f>IF(NOT(ISBLANK(Audit[[#This Row],[Audit Winning Candidate]])), Audit[[#This Row],[Audit Winning Candidate]]-Audit[[#This Row],[Winning Candidate]], "")</f>
        <v/>
      </c>
      <c r="AF314" s="18" t="str">
        <f>IF(NOT(ISBLANK(Audit[[#This Row],[Audit Losing Candidate]])), Audit[[#This Row],[Audit Losing Candidate]]-Audit[[#This Row],[Losing Candidate]], "")</f>
        <v/>
      </c>
      <c r="AG314" s="18" t="str">
        <f>IF(NOT(ISBLANK(Audit[[#This Row],[Audit Candidate 3]])), Audit[[#This Row],[Audit Candidate 3]]-Audit[[#This Row],[Candidate 3]], "")</f>
        <v/>
      </c>
      <c r="AH314" s="18" t="str">
        <f>IF(NOT(ISBLANK(Audit[[#This Row],[Audit Candidate 4]])),Audit[[#This Row],[Audit Candidate 4]]-Audit[[#This Row],[Candidate 4]], "")</f>
        <v/>
      </c>
      <c r="AI314" s="18" t="str">
        <f>IF(NOT(ISBLANK(Audit[[#This Row],[Audit Candidate 5]])), Audit[[#This Row],[Audit Candidate 5]]-Audit[[#This Row],[Candidate 5]], "")</f>
        <v/>
      </c>
      <c r="AJ314" s="18" t="str">
        <f>IF(NOT(ISBLANK(Audit[[#This Row],[Audit Candidate 6]])), Audit[[#This Row],[Audit Candidate 6]]-Audit[[#This Row],[Candidate 6]], "")</f>
        <v/>
      </c>
      <c r="AK314" s="18" t="str">
        <f>IF(NOT(ISBLANK(Audit[[#This Row],[Audit Candidate 7]])), Audit[[#This Row],[Audit Candidate 7]]-Audit[[#This Row],[Candidate 7]], "")</f>
        <v/>
      </c>
      <c r="AL314" s="18" t="str">
        <f>IF(NOT(ISBLANK(Audit[[#This Row],[Audit Candidate 8]])), Audit[[#This Row],[Audit Candidate 8]]-Audit[[#This Row],[Candidate 8]], "")</f>
        <v/>
      </c>
      <c r="AM314" s="18" t="str">
        <f>IF(NOT(ISBLANK(Audit[[#This Row],[Audit Candidate 9]])), Audit[[#This Row],[Audit Candidate 9]]-Audit[[#This Row],[Candidate 9]], "")</f>
        <v/>
      </c>
      <c r="AN314" s="18" t="str">
        <f>IF(NOT(ISBLANK(Audit[[#This Row],[Audit Candidate 10]])), Audit[[#This Row],[Audit Candidate 10]]-Audit[[#This Row],[Candidate 10]], "")</f>
        <v/>
      </c>
      <c r="AO314" s="18" t="str">
        <f>IF(NOT(ISBLANK(Audit[[#This Row],[Audit Candidate 11]])), Audit[[#This Row],[Audit Candidate 11]]-Audit[[#This Row],[Candidate 11]], "")</f>
        <v/>
      </c>
      <c r="AP314" s="18" t="str">
        <f>IF(NOT(ISBLANK(Audit[[#This Row],[Audit Candidate 12]])), Audit[[#This Row],[Audit Candidate 12]]-Audit[[#This Row],[Candidate 12]], "")</f>
        <v/>
      </c>
      <c r="AQ314" s="18">
        <f>SUMIF(Audit[[#This Row],[Difference Winner]:[Difference Candidate 12]], "&gt;0")</f>
        <v>0</v>
      </c>
      <c r="AR314" s="18">
        <f>SUM(Audit[[#This Row],[Difference Winner]:[Difference Candidate 12]])</f>
        <v>0</v>
      </c>
      <c r="AS314" s="18">
        <f>IF(Audit[[#This Row],[Times p Drawn - With Replacement]]&gt;0, IF(Audit[[#This Row],[Canceled Differences]]&lt;0, Audit[[#This Row],[Max Differences]]+ABS(Audit[[#This Row],[Canceled Differences]]), Audit[[#This Row],[Max Differences]]), 0)</f>
        <v>0</v>
      </c>
      <c r="AT314" s="18">
        <f>'Sampling Data'!AB314</f>
        <v>1.8845996796180544E-4</v>
      </c>
      <c r="AU314" s="18">
        <f>IF(
      SUM(Audit[[#This Row],[Audit Losing Candidate]:[Audit Candidate 12]])
      &lt;&gt;0,
      (Audit[[#This Row],[Winning Candidate]]-Audit[[#This Row],[Losing Candidate]]-(Audit[[#This Row],[Audit Winning Candidate]]-Audit[[#This Row],[Audit Losing Candidate]]))/(Audit[[#Totals],[Winning Candidate]]-Audit[[#Totals],[Losing Candidate]]),
      0
)</f>
        <v>0</v>
      </c>
      <c r="AV3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8">
        <f>IF(Audit[[#This Row],[Max Relative Error (ep)]] = 0, 0, Audit[[#This Row],[Max Relative Error (ep)]]/Audit[[#This Row],[Error Bound (up) - Max. possible relative overstatement]])</f>
        <v>0</v>
      </c>
      <c r="BH3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4" s="18">
        <f t="shared" si="5"/>
        <v>1</v>
      </c>
      <c r="BJ314" s="18">
        <f>PRODUCT($BI$5:BI314)</f>
        <v>0.57146126097022543</v>
      </c>
      <c r="BK314" s="20">
        <f>1 - Audit[[#This Row],[K-M P Value]]</f>
        <v>0.42853873902977457</v>
      </c>
      <c r="BL314" s="18" t="str">
        <f>IF(Audit[[#This Row],[K-M P Value]]&gt;1-'General Info'!$B$12,"Continue", "Stop")</f>
        <v>Continue</v>
      </c>
      <c r="BM314" s="23" t="b">
        <f>IF(Audit[[#This Row],[Status - Continue or stop audit]] = "Continue", TRUE, IF(BL313 = "Continue", TRUE, FALSE))</f>
        <v>1</v>
      </c>
      <c r="BN314" s="23"/>
    </row>
    <row r="315" spans="1:66" ht="15" hidden="1" customHeight="1" x14ac:dyDescent="0.35">
      <c r="A315" s="18" t="str">
        <f>'Sampling Data'!AI315</f>
        <v/>
      </c>
      <c r="B315" s="18" t="str">
        <f>'Sampling Data'!A315</f>
        <v>5305 WYOM E   (AV)</v>
      </c>
      <c r="C315" s="18">
        <f>'Sampling Data'!B315</f>
        <v>9</v>
      </c>
      <c r="D315" s="18">
        <f>'Sampling Data'!C315</f>
        <v>1</v>
      </c>
      <c r="E315" s="19">
        <f>'Sampling Data'!D315</f>
        <v>0</v>
      </c>
      <c r="F315" s="19">
        <f>'Sampling Data'!E315</f>
        <v>0</v>
      </c>
      <c r="G315" s="19">
        <f>'Sampling Data'!F315</f>
        <v>0</v>
      </c>
      <c r="H315" s="19">
        <f>'Sampling Data'!G315</f>
        <v>0</v>
      </c>
      <c r="I315" s="19">
        <f>'Sampling Data'!H315</f>
        <v>0</v>
      </c>
      <c r="J315" s="19">
        <f>'Sampling Data'!I315</f>
        <v>0</v>
      </c>
      <c r="K315" s="19">
        <f>'Sampling Data'!J315</f>
        <v>0</v>
      </c>
      <c r="L315" s="19">
        <f>'Sampling Data'!K315</f>
        <v>0</v>
      </c>
      <c r="M315" s="19">
        <f>'Sampling Data'!L315</f>
        <v>0</v>
      </c>
      <c r="N315" s="19">
        <f>'Sampling Data'!M315</f>
        <v>0</v>
      </c>
      <c r="O315" s="18">
        <f>'Sampling Data'!N315</f>
        <v>0</v>
      </c>
      <c r="P315" s="18">
        <f>'Sampling Data'!O315</f>
        <v>0</v>
      </c>
      <c r="Q315" s="18">
        <f>'Sampling Data'!P315</f>
        <v>10</v>
      </c>
      <c r="R315" s="18">
        <f>'Sampling Data'!AJ315</f>
        <v>0</v>
      </c>
      <c r="S315" s="112"/>
      <c r="T315" s="112"/>
      <c r="U315" s="113"/>
      <c r="V315" s="113"/>
      <c r="W315" s="112"/>
      <c r="X315" s="112"/>
      <c r="Y315" s="112"/>
      <c r="Z315" s="112"/>
      <c r="AA315" s="15"/>
      <c r="AB315" s="15"/>
      <c r="AC315" s="15"/>
      <c r="AD315" s="15"/>
      <c r="AE315" s="114" t="str">
        <f>IF(NOT(ISBLANK(Audit[[#This Row],[Audit Winning Candidate]])), Audit[[#This Row],[Audit Winning Candidate]]-Audit[[#This Row],[Winning Candidate]], "")</f>
        <v/>
      </c>
      <c r="AF315" s="18" t="str">
        <f>IF(NOT(ISBLANK(Audit[[#This Row],[Audit Losing Candidate]])), Audit[[#This Row],[Audit Losing Candidate]]-Audit[[#This Row],[Losing Candidate]], "")</f>
        <v/>
      </c>
      <c r="AG315" s="18" t="str">
        <f>IF(NOT(ISBLANK(Audit[[#This Row],[Audit Candidate 3]])), Audit[[#This Row],[Audit Candidate 3]]-Audit[[#This Row],[Candidate 3]], "")</f>
        <v/>
      </c>
      <c r="AH315" s="18" t="str">
        <f>IF(NOT(ISBLANK(Audit[[#This Row],[Audit Candidate 4]])),Audit[[#This Row],[Audit Candidate 4]]-Audit[[#This Row],[Candidate 4]], "")</f>
        <v/>
      </c>
      <c r="AI315" s="18" t="str">
        <f>IF(NOT(ISBLANK(Audit[[#This Row],[Audit Candidate 5]])), Audit[[#This Row],[Audit Candidate 5]]-Audit[[#This Row],[Candidate 5]], "")</f>
        <v/>
      </c>
      <c r="AJ315" s="18" t="str">
        <f>IF(NOT(ISBLANK(Audit[[#This Row],[Audit Candidate 6]])), Audit[[#This Row],[Audit Candidate 6]]-Audit[[#This Row],[Candidate 6]], "")</f>
        <v/>
      </c>
      <c r="AK315" s="18" t="str">
        <f>IF(NOT(ISBLANK(Audit[[#This Row],[Audit Candidate 7]])), Audit[[#This Row],[Audit Candidate 7]]-Audit[[#This Row],[Candidate 7]], "")</f>
        <v/>
      </c>
      <c r="AL315" s="18" t="str">
        <f>IF(NOT(ISBLANK(Audit[[#This Row],[Audit Candidate 8]])), Audit[[#This Row],[Audit Candidate 8]]-Audit[[#This Row],[Candidate 8]], "")</f>
        <v/>
      </c>
      <c r="AM315" s="18" t="str">
        <f>IF(NOT(ISBLANK(Audit[[#This Row],[Audit Candidate 9]])), Audit[[#This Row],[Audit Candidate 9]]-Audit[[#This Row],[Candidate 9]], "")</f>
        <v/>
      </c>
      <c r="AN315" s="18" t="str">
        <f>IF(NOT(ISBLANK(Audit[[#This Row],[Audit Candidate 10]])), Audit[[#This Row],[Audit Candidate 10]]-Audit[[#This Row],[Candidate 10]], "")</f>
        <v/>
      </c>
      <c r="AO315" s="18" t="str">
        <f>IF(NOT(ISBLANK(Audit[[#This Row],[Audit Candidate 11]])), Audit[[#This Row],[Audit Candidate 11]]-Audit[[#This Row],[Candidate 11]], "")</f>
        <v/>
      </c>
      <c r="AP315" s="18" t="str">
        <f>IF(NOT(ISBLANK(Audit[[#This Row],[Audit Candidate 12]])), Audit[[#This Row],[Audit Candidate 12]]-Audit[[#This Row],[Candidate 12]], "")</f>
        <v/>
      </c>
      <c r="AQ315" s="18">
        <f>SUMIF(Audit[[#This Row],[Difference Winner]:[Difference Candidate 12]], "&gt;0")</f>
        <v>0</v>
      </c>
      <c r="AR315" s="18">
        <f>SUM(Audit[[#This Row],[Difference Winner]:[Difference Candidate 12]])</f>
        <v>0</v>
      </c>
      <c r="AS315" s="18">
        <f>IF(Audit[[#This Row],[Times p Drawn - With Replacement]]&gt;0, IF(Audit[[#This Row],[Canceled Differences]]&lt;0, Audit[[#This Row],[Max Differences]]+ABS(Audit[[#This Row],[Canceled Differences]]), Audit[[#This Row],[Max Differences]]), 0)</f>
        <v>0</v>
      </c>
      <c r="AT315" s="18">
        <f>'Sampling Data'!AB315</f>
        <v>5.6537990388541635E-4</v>
      </c>
      <c r="AU315" s="18">
        <f>IF(
      SUM(Audit[[#This Row],[Audit Losing Candidate]:[Audit Candidate 12]])
      &lt;&gt;0,
      (Audit[[#This Row],[Winning Candidate]]-Audit[[#This Row],[Losing Candidate]]-(Audit[[#This Row],[Audit Winning Candidate]]-Audit[[#This Row],[Audit Losing Candidate]]))/(Audit[[#Totals],[Winning Candidate]]-Audit[[#Totals],[Losing Candidate]]),
      0
)</f>
        <v>0</v>
      </c>
      <c r="AV3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8">
        <f>IF(Audit[[#This Row],[Max Relative Error (ep)]] = 0, 0, Audit[[#This Row],[Max Relative Error (ep)]]/Audit[[#This Row],[Error Bound (up) - Max. possible relative overstatement]])</f>
        <v>0</v>
      </c>
      <c r="BH3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5" s="18">
        <f t="shared" si="5"/>
        <v>1</v>
      </c>
      <c r="BJ315" s="18">
        <f>PRODUCT($BI$5:BI315)</f>
        <v>0.57146126097022543</v>
      </c>
      <c r="BK315" s="20">
        <f>1 - Audit[[#This Row],[K-M P Value]]</f>
        <v>0.42853873902977457</v>
      </c>
      <c r="BL315" s="18" t="str">
        <f>IF(Audit[[#This Row],[K-M P Value]]&gt;1-'General Info'!$B$12,"Continue", "Stop")</f>
        <v>Continue</v>
      </c>
      <c r="BM315" s="23" t="b">
        <f>IF(Audit[[#This Row],[Status - Continue or stop audit]] = "Continue", TRUE, IF(BL314 = "Continue", TRUE, FALSE))</f>
        <v>1</v>
      </c>
      <c r="BN315" s="23"/>
    </row>
    <row r="316" spans="1:66" ht="15" hidden="1" customHeight="1" x14ac:dyDescent="0.35">
      <c r="A316" s="18" t="str">
        <f>'Sampling Data'!AI316</f>
        <v/>
      </c>
      <c r="B316" s="18" t="str">
        <f>'Sampling Data'!A316</f>
        <v>5501 AMBER A   (AV)</v>
      </c>
      <c r="C316" s="18">
        <f>'Sampling Data'!B316</f>
        <v>10</v>
      </c>
      <c r="D316" s="18">
        <f>'Sampling Data'!C316</f>
        <v>2</v>
      </c>
      <c r="E316" s="19">
        <f>'Sampling Data'!D316</f>
        <v>0</v>
      </c>
      <c r="F316" s="19">
        <f>'Sampling Data'!E316</f>
        <v>0</v>
      </c>
      <c r="G316" s="19">
        <f>'Sampling Data'!F316</f>
        <v>0</v>
      </c>
      <c r="H316" s="19">
        <f>'Sampling Data'!G316</f>
        <v>0</v>
      </c>
      <c r="I316" s="19">
        <f>'Sampling Data'!H316</f>
        <v>0</v>
      </c>
      <c r="J316" s="19">
        <f>'Sampling Data'!I316</f>
        <v>0</v>
      </c>
      <c r="K316" s="19">
        <f>'Sampling Data'!J316</f>
        <v>0</v>
      </c>
      <c r="L316" s="19">
        <f>'Sampling Data'!K316</f>
        <v>0</v>
      </c>
      <c r="M316" s="19">
        <f>'Sampling Data'!L316</f>
        <v>0</v>
      </c>
      <c r="N316" s="19">
        <f>'Sampling Data'!M316</f>
        <v>0</v>
      </c>
      <c r="O316" s="18">
        <f>'Sampling Data'!N316</f>
        <v>0</v>
      </c>
      <c r="P316" s="18">
        <f>'Sampling Data'!O316</f>
        <v>0</v>
      </c>
      <c r="Q316" s="18">
        <f>'Sampling Data'!P316</f>
        <v>12</v>
      </c>
      <c r="R316" s="18">
        <f>'Sampling Data'!AJ316</f>
        <v>0</v>
      </c>
      <c r="S316" s="112"/>
      <c r="T316" s="112"/>
      <c r="U316" s="113"/>
      <c r="V316" s="113"/>
      <c r="W316" s="112"/>
      <c r="X316" s="112"/>
      <c r="Y316" s="112"/>
      <c r="Z316" s="112"/>
      <c r="AA316" s="15"/>
      <c r="AB316" s="15"/>
      <c r="AC316" s="15"/>
      <c r="AD316" s="15"/>
      <c r="AE316" s="114" t="str">
        <f>IF(NOT(ISBLANK(Audit[[#This Row],[Audit Winning Candidate]])), Audit[[#This Row],[Audit Winning Candidate]]-Audit[[#This Row],[Winning Candidate]], "")</f>
        <v/>
      </c>
      <c r="AF316" s="18" t="str">
        <f>IF(NOT(ISBLANK(Audit[[#This Row],[Audit Losing Candidate]])), Audit[[#This Row],[Audit Losing Candidate]]-Audit[[#This Row],[Losing Candidate]], "")</f>
        <v/>
      </c>
      <c r="AG316" s="18" t="str">
        <f>IF(NOT(ISBLANK(Audit[[#This Row],[Audit Candidate 3]])), Audit[[#This Row],[Audit Candidate 3]]-Audit[[#This Row],[Candidate 3]], "")</f>
        <v/>
      </c>
      <c r="AH316" s="18" t="str">
        <f>IF(NOT(ISBLANK(Audit[[#This Row],[Audit Candidate 4]])),Audit[[#This Row],[Audit Candidate 4]]-Audit[[#This Row],[Candidate 4]], "")</f>
        <v/>
      </c>
      <c r="AI316" s="18" t="str">
        <f>IF(NOT(ISBLANK(Audit[[#This Row],[Audit Candidate 5]])), Audit[[#This Row],[Audit Candidate 5]]-Audit[[#This Row],[Candidate 5]], "")</f>
        <v/>
      </c>
      <c r="AJ316" s="18" t="str">
        <f>IF(NOT(ISBLANK(Audit[[#This Row],[Audit Candidate 6]])), Audit[[#This Row],[Audit Candidate 6]]-Audit[[#This Row],[Candidate 6]], "")</f>
        <v/>
      </c>
      <c r="AK316" s="18" t="str">
        <f>IF(NOT(ISBLANK(Audit[[#This Row],[Audit Candidate 7]])), Audit[[#This Row],[Audit Candidate 7]]-Audit[[#This Row],[Candidate 7]], "")</f>
        <v/>
      </c>
      <c r="AL316" s="18" t="str">
        <f>IF(NOT(ISBLANK(Audit[[#This Row],[Audit Candidate 8]])), Audit[[#This Row],[Audit Candidate 8]]-Audit[[#This Row],[Candidate 8]], "")</f>
        <v/>
      </c>
      <c r="AM316" s="18" t="str">
        <f>IF(NOT(ISBLANK(Audit[[#This Row],[Audit Candidate 9]])), Audit[[#This Row],[Audit Candidate 9]]-Audit[[#This Row],[Candidate 9]], "")</f>
        <v/>
      </c>
      <c r="AN316" s="18" t="str">
        <f>IF(NOT(ISBLANK(Audit[[#This Row],[Audit Candidate 10]])), Audit[[#This Row],[Audit Candidate 10]]-Audit[[#This Row],[Candidate 10]], "")</f>
        <v/>
      </c>
      <c r="AO316" s="18" t="str">
        <f>IF(NOT(ISBLANK(Audit[[#This Row],[Audit Candidate 11]])), Audit[[#This Row],[Audit Candidate 11]]-Audit[[#This Row],[Candidate 11]], "")</f>
        <v/>
      </c>
      <c r="AP316" s="18" t="str">
        <f>IF(NOT(ISBLANK(Audit[[#This Row],[Audit Candidate 12]])), Audit[[#This Row],[Audit Candidate 12]]-Audit[[#This Row],[Candidate 12]], "")</f>
        <v/>
      </c>
      <c r="AQ316" s="18">
        <f>SUMIF(Audit[[#This Row],[Difference Winner]:[Difference Candidate 12]], "&gt;0")</f>
        <v>0</v>
      </c>
      <c r="AR316" s="18">
        <f>SUM(Audit[[#This Row],[Difference Winner]:[Difference Candidate 12]])</f>
        <v>0</v>
      </c>
      <c r="AS316" s="18">
        <f>IF(Audit[[#This Row],[Times p Drawn - With Replacement]]&gt;0, IF(Audit[[#This Row],[Canceled Differences]]&lt;0, Audit[[#This Row],[Max Differences]]+ABS(Audit[[#This Row],[Canceled Differences]]), Audit[[#This Row],[Max Differences]]), 0)</f>
        <v>0</v>
      </c>
      <c r="AT316" s="18">
        <f>'Sampling Data'!AB316</f>
        <v>6.2819989320601812E-4</v>
      </c>
      <c r="AU316" s="18">
        <f>IF(
      SUM(Audit[[#This Row],[Audit Losing Candidate]:[Audit Candidate 12]])
      &lt;&gt;0,
      (Audit[[#This Row],[Winning Candidate]]-Audit[[#This Row],[Losing Candidate]]-(Audit[[#This Row],[Audit Winning Candidate]]-Audit[[#This Row],[Audit Losing Candidate]]))/(Audit[[#Totals],[Winning Candidate]]-Audit[[#Totals],[Losing Candidate]]),
      0
)</f>
        <v>0</v>
      </c>
      <c r="AV3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8">
        <f>IF(Audit[[#This Row],[Max Relative Error (ep)]] = 0, 0, Audit[[#This Row],[Max Relative Error (ep)]]/Audit[[#This Row],[Error Bound (up) - Max. possible relative overstatement]])</f>
        <v>0</v>
      </c>
      <c r="BH3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6" s="18">
        <f t="shared" si="5"/>
        <v>1</v>
      </c>
      <c r="BJ316" s="18">
        <f>PRODUCT($BI$5:BI316)</f>
        <v>0.57146126097022543</v>
      </c>
      <c r="BK316" s="20">
        <f>1 - Audit[[#This Row],[K-M P Value]]</f>
        <v>0.42853873902977457</v>
      </c>
      <c r="BL316" s="18" t="str">
        <f>IF(Audit[[#This Row],[K-M P Value]]&gt;1-'General Info'!$B$12,"Continue", "Stop")</f>
        <v>Continue</v>
      </c>
      <c r="BM316" s="23" t="b">
        <f>IF(Audit[[#This Row],[Status - Continue or stop audit]] = "Continue", TRUE, IF(BL315 = "Continue", TRUE, FALSE))</f>
        <v>1</v>
      </c>
      <c r="BN316" s="23"/>
    </row>
    <row r="317" spans="1:66" ht="15" hidden="1" customHeight="1" x14ac:dyDescent="0.35">
      <c r="A317" s="18" t="str">
        <f>'Sampling Data'!AI317</f>
        <v/>
      </c>
      <c r="B317" s="18" t="str">
        <f>'Sampling Data'!A317</f>
        <v>5502 AMBER B   (AV)</v>
      </c>
      <c r="C317" s="18">
        <f>'Sampling Data'!B317</f>
        <v>3</v>
      </c>
      <c r="D317" s="18">
        <f>'Sampling Data'!C317</f>
        <v>1</v>
      </c>
      <c r="E317" s="19">
        <f>'Sampling Data'!D317</f>
        <v>0</v>
      </c>
      <c r="F317" s="19">
        <f>'Sampling Data'!E317</f>
        <v>0</v>
      </c>
      <c r="G317" s="19">
        <f>'Sampling Data'!F317</f>
        <v>0</v>
      </c>
      <c r="H317" s="19">
        <f>'Sampling Data'!G317</f>
        <v>0</v>
      </c>
      <c r="I317" s="19">
        <f>'Sampling Data'!H317</f>
        <v>0</v>
      </c>
      <c r="J317" s="19">
        <f>'Sampling Data'!I317</f>
        <v>0</v>
      </c>
      <c r="K317" s="19">
        <f>'Sampling Data'!J317</f>
        <v>0</v>
      </c>
      <c r="L317" s="19">
        <f>'Sampling Data'!K317</f>
        <v>0</v>
      </c>
      <c r="M317" s="19">
        <f>'Sampling Data'!L317</f>
        <v>0</v>
      </c>
      <c r="N317" s="19">
        <f>'Sampling Data'!M317</f>
        <v>0</v>
      </c>
      <c r="O317" s="18">
        <f>'Sampling Data'!N317</f>
        <v>0</v>
      </c>
      <c r="P317" s="18">
        <f>'Sampling Data'!O317</f>
        <v>0</v>
      </c>
      <c r="Q317" s="18">
        <f>'Sampling Data'!P317</f>
        <v>4</v>
      </c>
      <c r="R317" s="18">
        <f>'Sampling Data'!AJ317</f>
        <v>0</v>
      </c>
      <c r="S317" s="112"/>
      <c r="T317" s="112"/>
      <c r="U317" s="113"/>
      <c r="V317" s="113"/>
      <c r="W317" s="112"/>
      <c r="X317" s="112"/>
      <c r="Y317" s="112"/>
      <c r="Z317" s="112"/>
      <c r="AA317" s="15"/>
      <c r="AB317" s="15"/>
      <c r="AC317" s="15"/>
      <c r="AD317" s="15"/>
      <c r="AE317" s="114" t="str">
        <f>IF(NOT(ISBLANK(Audit[[#This Row],[Audit Winning Candidate]])), Audit[[#This Row],[Audit Winning Candidate]]-Audit[[#This Row],[Winning Candidate]], "")</f>
        <v/>
      </c>
      <c r="AF317" s="18" t="str">
        <f>IF(NOT(ISBLANK(Audit[[#This Row],[Audit Losing Candidate]])), Audit[[#This Row],[Audit Losing Candidate]]-Audit[[#This Row],[Losing Candidate]], "")</f>
        <v/>
      </c>
      <c r="AG317" s="18" t="str">
        <f>IF(NOT(ISBLANK(Audit[[#This Row],[Audit Candidate 3]])), Audit[[#This Row],[Audit Candidate 3]]-Audit[[#This Row],[Candidate 3]], "")</f>
        <v/>
      </c>
      <c r="AH317" s="18" t="str">
        <f>IF(NOT(ISBLANK(Audit[[#This Row],[Audit Candidate 4]])),Audit[[#This Row],[Audit Candidate 4]]-Audit[[#This Row],[Candidate 4]], "")</f>
        <v/>
      </c>
      <c r="AI317" s="18" t="str">
        <f>IF(NOT(ISBLANK(Audit[[#This Row],[Audit Candidate 5]])), Audit[[#This Row],[Audit Candidate 5]]-Audit[[#This Row],[Candidate 5]], "")</f>
        <v/>
      </c>
      <c r="AJ317" s="18" t="str">
        <f>IF(NOT(ISBLANK(Audit[[#This Row],[Audit Candidate 6]])), Audit[[#This Row],[Audit Candidate 6]]-Audit[[#This Row],[Candidate 6]], "")</f>
        <v/>
      </c>
      <c r="AK317" s="18" t="str">
        <f>IF(NOT(ISBLANK(Audit[[#This Row],[Audit Candidate 7]])), Audit[[#This Row],[Audit Candidate 7]]-Audit[[#This Row],[Candidate 7]], "")</f>
        <v/>
      </c>
      <c r="AL317" s="18" t="str">
        <f>IF(NOT(ISBLANK(Audit[[#This Row],[Audit Candidate 8]])), Audit[[#This Row],[Audit Candidate 8]]-Audit[[#This Row],[Candidate 8]], "")</f>
        <v/>
      </c>
      <c r="AM317" s="18" t="str">
        <f>IF(NOT(ISBLANK(Audit[[#This Row],[Audit Candidate 9]])), Audit[[#This Row],[Audit Candidate 9]]-Audit[[#This Row],[Candidate 9]], "")</f>
        <v/>
      </c>
      <c r="AN317" s="18" t="str">
        <f>IF(NOT(ISBLANK(Audit[[#This Row],[Audit Candidate 10]])), Audit[[#This Row],[Audit Candidate 10]]-Audit[[#This Row],[Candidate 10]], "")</f>
        <v/>
      </c>
      <c r="AO317" s="18" t="str">
        <f>IF(NOT(ISBLANK(Audit[[#This Row],[Audit Candidate 11]])), Audit[[#This Row],[Audit Candidate 11]]-Audit[[#This Row],[Candidate 11]], "")</f>
        <v/>
      </c>
      <c r="AP317" s="18" t="str">
        <f>IF(NOT(ISBLANK(Audit[[#This Row],[Audit Candidate 12]])), Audit[[#This Row],[Audit Candidate 12]]-Audit[[#This Row],[Candidate 12]], "")</f>
        <v/>
      </c>
      <c r="AQ317" s="18">
        <f>SUMIF(Audit[[#This Row],[Difference Winner]:[Difference Candidate 12]], "&gt;0")</f>
        <v>0</v>
      </c>
      <c r="AR317" s="18">
        <f>SUM(Audit[[#This Row],[Difference Winner]:[Difference Candidate 12]])</f>
        <v>0</v>
      </c>
      <c r="AS317" s="18">
        <f>IF(Audit[[#This Row],[Times p Drawn - With Replacement]]&gt;0, IF(Audit[[#This Row],[Canceled Differences]]&lt;0, Audit[[#This Row],[Max Differences]]+ABS(Audit[[#This Row],[Canceled Differences]]), Audit[[#This Row],[Max Differences]]), 0)</f>
        <v>0</v>
      </c>
      <c r="AT317" s="18">
        <f>'Sampling Data'!AB317</f>
        <v>1.8845996796180544E-4</v>
      </c>
      <c r="AU317" s="18">
        <f>IF(
      SUM(Audit[[#This Row],[Audit Losing Candidate]:[Audit Candidate 12]])
      &lt;&gt;0,
      (Audit[[#This Row],[Winning Candidate]]-Audit[[#This Row],[Losing Candidate]]-(Audit[[#This Row],[Audit Winning Candidate]]-Audit[[#This Row],[Audit Losing Candidate]]))/(Audit[[#Totals],[Winning Candidate]]-Audit[[#Totals],[Losing Candidate]]),
      0
)</f>
        <v>0</v>
      </c>
      <c r="AV3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8">
        <f>IF(Audit[[#This Row],[Max Relative Error (ep)]] = 0, 0, Audit[[#This Row],[Max Relative Error (ep)]]/Audit[[#This Row],[Error Bound (up) - Max. possible relative overstatement]])</f>
        <v>0</v>
      </c>
      <c r="BH3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7" s="18">
        <f t="shared" si="5"/>
        <v>1</v>
      </c>
      <c r="BJ317" s="18">
        <f>PRODUCT($BI$5:BI317)</f>
        <v>0.57146126097022543</v>
      </c>
      <c r="BK317" s="20">
        <f>1 - Audit[[#This Row],[K-M P Value]]</f>
        <v>0.42853873902977457</v>
      </c>
      <c r="BL317" s="18" t="str">
        <f>IF(Audit[[#This Row],[K-M P Value]]&gt;1-'General Info'!$B$12,"Continue", "Stop")</f>
        <v>Continue</v>
      </c>
      <c r="BM317" s="23" t="b">
        <f>IF(Audit[[#This Row],[Status - Continue or stop audit]] = "Continue", TRUE, IF(BL316 = "Continue", TRUE, FALSE))</f>
        <v>1</v>
      </c>
      <c r="BN317" s="23"/>
    </row>
    <row r="318" spans="1:66" ht="15" hidden="1" customHeight="1" x14ac:dyDescent="0.35">
      <c r="A318" s="18" t="str">
        <f>'Sampling Data'!AI318</f>
        <v/>
      </c>
      <c r="B318" s="18" t="str">
        <f>'Sampling Data'!A318</f>
        <v>5503 AMBER C   (AV)</v>
      </c>
      <c r="C318" s="18">
        <f>'Sampling Data'!B318</f>
        <v>8</v>
      </c>
      <c r="D318" s="18">
        <f>'Sampling Data'!C318</f>
        <v>0</v>
      </c>
      <c r="E318" s="19">
        <f>'Sampling Data'!D318</f>
        <v>0</v>
      </c>
      <c r="F318" s="19">
        <f>'Sampling Data'!E318</f>
        <v>0</v>
      </c>
      <c r="G318" s="19">
        <f>'Sampling Data'!F318</f>
        <v>0</v>
      </c>
      <c r="H318" s="19">
        <f>'Sampling Data'!G318</f>
        <v>0</v>
      </c>
      <c r="I318" s="19">
        <f>'Sampling Data'!H318</f>
        <v>0</v>
      </c>
      <c r="J318" s="19">
        <f>'Sampling Data'!I318</f>
        <v>0</v>
      </c>
      <c r="K318" s="19">
        <f>'Sampling Data'!J318</f>
        <v>0</v>
      </c>
      <c r="L318" s="19">
        <f>'Sampling Data'!K318</f>
        <v>0</v>
      </c>
      <c r="M318" s="19">
        <f>'Sampling Data'!L318</f>
        <v>0</v>
      </c>
      <c r="N318" s="19">
        <f>'Sampling Data'!M318</f>
        <v>0</v>
      </c>
      <c r="O318" s="18">
        <f>'Sampling Data'!N318</f>
        <v>0</v>
      </c>
      <c r="P318" s="18">
        <f>'Sampling Data'!O318</f>
        <v>0</v>
      </c>
      <c r="Q318" s="18">
        <f>'Sampling Data'!P318</f>
        <v>8</v>
      </c>
      <c r="R318" s="18">
        <f>'Sampling Data'!AJ318</f>
        <v>0</v>
      </c>
      <c r="S318" s="112"/>
      <c r="T318" s="112"/>
      <c r="U318" s="113"/>
      <c r="V318" s="113"/>
      <c r="W318" s="112"/>
      <c r="X318" s="112"/>
      <c r="Y318" s="112"/>
      <c r="Z318" s="112"/>
      <c r="AA318" s="15"/>
      <c r="AB318" s="15"/>
      <c r="AC318" s="15"/>
      <c r="AD318" s="15"/>
      <c r="AE318" s="114" t="str">
        <f>IF(NOT(ISBLANK(Audit[[#This Row],[Audit Winning Candidate]])), Audit[[#This Row],[Audit Winning Candidate]]-Audit[[#This Row],[Winning Candidate]], "")</f>
        <v/>
      </c>
      <c r="AF318" s="18" t="str">
        <f>IF(NOT(ISBLANK(Audit[[#This Row],[Audit Losing Candidate]])), Audit[[#This Row],[Audit Losing Candidate]]-Audit[[#This Row],[Losing Candidate]], "")</f>
        <v/>
      </c>
      <c r="AG318" s="18" t="str">
        <f>IF(NOT(ISBLANK(Audit[[#This Row],[Audit Candidate 3]])), Audit[[#This Row],[Audit Candidate 3]]-Audit[[#This Row],[Candidate 3]], "")</f>
        <v/>
      </c>
      <c r="AH318" s="18" t="str">
        <f>IF(NOT(ISBLANK(Audit[[#This Row],[Audit Candidate 4]])),Audit[[#This Row],[Audit Candidate 4]]-Audit[[#This Row],[Candidate 4]], "")</f>
        <v/>
      </c>
      <c r="AI318" s="18" t="str">
        <f>IF(NOT(ISBLANK(Audit[[#This Row],[Audit Candidate 5]])), Audit[[#This Row],[Audit Candidate 5]]-Audit[[#This Row],[Candidate 5]], "")</f>
        <v/>
      </c>
      <c r="AJ318" s="18" t="str">
        <f>IF(NOT(ISBLANK(Audit[[#This Row],[Audit Candidate 6]])), Audit[[#This Row],[Audit Candidate 6]]-Audit[[#This Row],[Candidate 6]], "")</f>
        <v/>
      </c>
      <c r="AK318" s="18" t="str">
        <f>IF(NOT(ISBLANK(Audit[[#This Row],[Audit Candidate 7]])), Audit[[#This Row],[Audit Candidate 7]]-Audit[[#This Row],[Candidate 7]], "")</f>
        <v/>
      </c>
      <c r="AL318" s="18" t="str">
        <f>IF(NOT(ISBLANK(Audit[[#This Row],[Audit Candidate 8]])), Audit[[#This Row],[Audit Candidate 8]]-Audit[[#This Row],[Candidate 8]], "")</f>
        <v/>
      </c>
      <c r="AM318" s="18" t="str">
        <f>IF(NOT(ISBLANK(Audit[[#This Row],[Audit Candidate 9]])), Audit[[#This Row],[Audit Candidate 9]]-Audit[[#This Row],[Candidate 9]], "")</f>
        <v/>
      </c>
      <c r="AN318" s="18" t="str">
        <f>IF(NOT(ISBLANK(Audit[[#This Row],[Audit Candidate 10]])), Audit[[#This Row],[Audit Candidate 10]]-Audit[[#This Row],[Candidate 10]], "")</f>
        <v/>
      </c>
      <c r="AO318" s="18" t="str">
        <f>IF(NOT(ISBLANK(Audit[[#This Row],[Audit Candidate 11]])), Audit[[#This Row],[Audit Candidate 11]]-Audit[[#This Row],[Candidate 11]], "")</f>
        <v/>
      </c>
      <c r="AP318" s="18" t="str">
        <f>IF(NOT(ISBLANK(Audit[[#This Row],[Audit Candidate 12]])), Audit[[#This Row],[Audit Candidate 12]]-Audit[[#This Row],[Candidate 12]], "")</f>
        <v/>
      </c>
      <c r="AQ318" s="18">
        <f>SUMIF(Audit[[#This Row],[Difference Winner]:[Difference Candidate 12]], "&gt;0")</f>
        <v>0</v>
      </c>
      <c r="AR318" s="18">
        <f>SUM(Audit[[#This Row],[Difference Winner]:[Difference Candidate 12]])</f>
        <v>0</v>
      </c>
      <c r="AS318" s="18">
        <f>IF(Audit[[#This Row],[Times p Drawn - With Replacement]]&gt;0, IF(Audit[[#This Row],[Canceled Differences]]&lt;0, Audit[[#This Row],[Max Differences]]+ABS(Audit[[#This Row],[Canceled Differences]]), Audit[[#This Row],[Max Differences]]), 0)</f>
        <v>0</v>
      </c>
      <c r="AT318" s="18">
        <f>'Sampling Data'!AB318</f>
        <v>5.0255991456481448E-4</v>
      </c>
      <c r="AU318" s="18">
        <f>IF(
      SUM(Audit[[#This Row],[Audit Losing Candidate]:[Audit Candidate 12]])
      &lt;&gt;0,
      (Audit[[#This Row],[Winning Candidate]]-Audit[[#This Row],[Losing Candidate]]-(Audit[[#This Row],[Audit Winning Candidate]]-Audit[[#This Row],[Audit Losing Candidate]]))/(Audit[[#Totals],[Winning Candidate]]-Audit[[#Totals],[Losing Candidate]]),
      0
)</f>
        <v>0</v>
      </c>
      <c r="AV3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8">
        <f>IF(Audit[[#This Row],[Max Relative Error (ep)]] = 0, 0, Audit[[#This Row],[Max Relative Error (ep)]]/Audit[[#This Row],[Error Bound (up) - Max. possible relative overstatement]])</f>
        <v>0</v>
      </c>
      <c r="BH3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8" s="18">
        <f t="shared" si="5"/>
        <v>1</v>
      </c>
      <c r="BJ318" s="18">
        <f>PRODUCT($BI$5:BI318)</f>
        <v>0.57146126097022543</v>
      </c>
      <c r="BK318" s="20">
        <f>1 - Audit[[#This Row],[K-M P Value]]</f>
        <v>0.42853873902977457</v>
      </c>
      <c r="BL318" s="18" t="str">
        <f>IF(Audit[[#This Row],[K-M P Value]]&gt;1-'General Info'!$B$12,"Continue", "Stop")</f>
        <v>Continue</v>
      </c>
      <c r="BM318" s="23" t="b">
        <f>IF(Audit[[#This Row],[Status - Continue or stop audit]] = "Continue", TRUE, IF(BL317 = "Continue", TRUE, FALSE))</f>
        <v>1</v>
      </c>
      <c r="BN318" s="23"/>
    </row>
    <row r="319" spans="1:66" ht="15" hidden="1" customHeight="1" x14ac:dyDescent="0.35">
      <c r="A319" s="18" t="str">
        <f>'Sampling Data'!AI319</f>
        <v/>
      </c>
      <c r="B319" s="18" t="str">
        <f>'Sampling Data'!A319</f>
        <v>5504 AMBER D   (AV)</v>
      </c>
      <c r="C319" s="18">
        <f>'Sampling Data'!B319</f>
        <v>6</v>
      </c>
      <c r="D319" s="18">
        <f>'Sampling Data'!C319</f>
        <v>0</v>
      </c>
      <c r="E319" s="19">
        <f>'Sampling Data'!D319</f>
        <v>0</v>
      </c>
      <c r="F319" s="19">
        <f>'Sampling Data'!E319</f>
        <v>0</v>
      </c>
      <c r="G319" s="19">
        <f>'Sampling Data'!F319</f>
        <v>0</v>
      </c>
      <c r="H319" s="19">
        <f>'Sampling Data'!G319</f>
        <v>0</v>
      </c>
      <c r="I319" s="19">
        <f>'Sampling Data'!H319</f>
        <v>0</v>
      </c>
      <c r="J319" s="19">
        <f>'Sampling Data'!I319</f>
        <v>0</v>
      </c>
      <c r="K319" s="19">
        <f>'Sampling Data'!J319</f>
        <v>0</v>
      </c>
      <c r="L319" s="19">
        <f>'Sampling Data'!K319</f>
        <v>0</v>
      </c>
      <c r="M319" s="19">
        <f>'Sampling Data'!L319</f>
        <v>0</v>
      </c>
      <c r="N319" s="19">
        <f>'Sampling Data'!M319</f>
        <v>0</v>
      </c>
      <c r="O319" s="18">
        <f>'Sampling Data'!N319</f>
        <v>0</v>
      </c>
      <c r="P319" s="18">
        <f>'Sampling Data'!O319</f>
        <v>0</v>
      </c>
      <c r="Q319" s="18">
        <f>'Sampling Data'!P319</f>
        <v>6</v>
      </c>
      <c r="R319" s="18">
        <f>'Sampling Data'!AJ319</f>
        <v>0</v>
      </c>
      <c r="S319" s="112"/>
      <c r="T319" s="112"/>
      <c r="U319" s="113"/>
      <c r="V319" s="113"/>
      <c r="W319" s="112"/>
      <c r="X319" s="112"/>
      <c r="Y319" s="112"/>
      <c r="Z319" s="112"/>
      <c r="AA319" s="15"/>
      <c r="AB319" s="15"/>
      <c r="AC319" s="15"/>
      <c r="AD319" s="15"/>
      <c r="AE319" s="114" t="str">
        <f>IF(NOT(ISBLANK(Audit[[#This Row],[Audit Winning Candidate]])), Audit[[#This Row],[Audit Winning Candidate]]-Audit[[#This Row],[Winning Candidate]], "")</f>
        <v/>
      </c>
      <c r="AF319" s="18" t="str">
        <f>IF(NOT(ISBLANK(Audit[[#This Row],[Audit Losing Candidate]])), Audit[[#This Row],[Audit Losing Candidate]]-Audit[[#This Row],[Losing Candidate]], "")</f>
        <v/>
      </c>
      <c r="AG319" s="18" t="str">
        <f>IF(NOT(ISBLANK(Audit[[#This Row],[Audit Candidate 3]])), Audit[[#This Row],[Audit Candidate 3]]-Audit[[#This Row],[Candidate 3]], "")</f>
        <v/>
      </c>
      <c r="AH319" s="18" t="str">
        <f>IF(NOT(ISBLANK(Audit[[#This Row],[Audit Candidate 4]])),Audit[[#This Row],[Audit Candidate 4]]-Audit[[#This Row],[Candidate 4]], "")</f>
        <v/>
      </c>
      <c r="AI319" s="18" t="str">
        <f>IF(NOT(ISBLANK(Audit[[#This Row],[Audit Candidate 5]])), Audit[[#This Row],[Audit Candidate 5]]-Audit[[#This Row],[Candidate 5]], "")</f>
        <v/>
      </c>
      <c r="AJ319" s="18" t="str">
        <f>IF(NOT(ISBLANK(Audit[[#This Row],[Audit Candidate 6]])), Audit[[#This Row],[Audit Candidate 6]]-Audit[[#This Row],[Candidate 6]], "")</f>
        <v/>
      </c>
      <c r="AK319" s="18" t="str">
        <f>IF(NOT(ISBLANK(Audit[[#This Row],[Audit Candidate 7]])), Audit[[#This Row],[Audit Candidate 7]]-Audit[[#This Row],[Candidate 7]], "")</f>
        <v/>
      </c>
      <c r="AL319" s="18" t="str">
        <f>IF(NOT(ISBLANK(Audit[[#This Row],[Audit Candidate 8]])), Audit[[#This Row],[Audit Candidate 8]]-Audit[[#This Row],[Candidate 8]], "")</f>
        <v/>
      </c>
      <c r="AM319" s="18" t="str">
        <f>IF(NOT(ISBLANK(Audit[[#This Row],[Audit Candidate 9]])), Audit[[#This Row],[Audit Candidate 9]]-Audit[[#This Row],[Candidate 9]], "")</f>
        <v/>
      </c>
      <c r="AN319" s="18" t="str">
        <f>IF(NOT(ISBLANK(Audit[[#This Row],[Audit Candidate 10]])), Audit[[#This Row],[Audit Candidate 10]]-Audit[[#This Row],[Candidate 10]], "")</f>
        <v/>
      </c>
      <c r="AO319" s="18" t="str">
        <f>IF(NOT(ISBLANK(Audit[[#This Row],[Audit Candidate 11]])), Audit[[#This Row],[Audit Candidate 11]]-Audit[[#This Row],[Candidate 11]], "")</f>
        <v/>
      </c>
      <c r="AP319" s="18" t="str">
        <f>IF(NOT(ISBLANK(Audit[[#This Row],[Audit Candidate 12]])), Audit[[#This Row],[Audit Candidate 12]]-Audit[[#This Row],[Candidate 12]], "")</f>
        <v/>
      </c>
      <c r="AQ319" s="18">
        <f>SUMIF(Audit[[#This Row],[Difference Winner]:[Difference Candidate 12]], "&gt;0")</f>
        <v>0</v>
      </c>
      <c r="AR319" s="18">
        <f>SUM(Audit[[#This Row],[Difference Winner]:[Difference Candidate 12]])</f>
        <v>0</v>
      </c>
      <c r="AS319" s="18">
        <f>IF(Audit[[#This Row],[Times p Drawn - With Replacement]]&gt;0, IF(Audit[[#This Row],[Canceled Differences]]&lt;0, Audit[[#This Row],[Max Differences]]+ABS(Audit[[#This Row],[Canceled Differences]]), Audit[[#This Row],[Max Differences]]), 0)</f>
        <v>0</v>
      </c>
      <c r="AT319" s="18">
        <f>'Sampling Data'!AB319</f>
        <v>3.7691993592361088E-4</v>
      </c>
      <c r="AU319" s="18">
        <f>IF(
      SUM(Audit[[#This Row],[Audit Losing Candidate]:[Audit Candidate 12]])
      &lt;&gt;0,
      (Audit[[#This Row],[Winning Candidate]]-Audit[[#This Row],[Losing Candidate]]-(Audit[[#This Row],[Audit Winning Candidate]]-Audit[[#This Row],[Audit Losing Candidate]]))/(Audit[[#Totals],[Winning Candidate]]-Audit[[#Totals],[Losing Candidate]]),
      0
)</f>
        <v>0</v>
      </c>
      <c r="AV3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8">
        <f>IF(Audit[[#This Row],[Max Relative Error (ep)]] = 0, 0, Audit[[#This Row],[Max Relative Error (ep)]]/Audit[[#This Row],[Error Bound (up) - Max. possible relative overstatement]])</f>
        <v>0</v>
      </c>
      <c r="BH3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19" s="18">
        <f t="shared" si="5"/>
        <v>1</v>
      </c>
      <c r="BJ319" s="18">
        <f>PRODUCT($BI$5:BI319)</f>
        <v>0.57146126097022543</v>
      </c>
      <c r="BK319" s="20">
        <f>1 - Audit[[#This Row],[K-M P Value]]</f>
        <v>0.42853873902977457</v>
      </c>
      <c r="BL319" s="18" t="str">
        <f>IF(Audit[[#This Row],[K-M P Value]]&gt;1-'General Info'!$B$12,"Continue", "Stop")</f>
        <v>Continue</v>
      </c>
      <c r="BM319" s="23" t="b">
        <f>IF(Audit[[#This Row],[Status - Continue or stop audit]] = "Continue", TRUE, IF(BL318 = "Continue", TRUE, FALSE))</f>
        <v>1</v>
      </c>
      <c r="BN319" s="23"/>
    </row>
    <row r="320" spans="1:66" ht="15" hidden="1" customHeight="1" x14ac:dyDescent="0.35">
      <c r="A320" s="18" t="str">
        <f>'Sampling Data'!AI320</f>
        <v/>
      </c>
      <c r="B320" s="18" t="str">
        <f>'Sampling Data'!A320</f>
        <v>5601 AND A   (AV)</v>
      </c>
      <c r="C320" s="18">
        <f>'Sampling Data'!B320</f>
        <v>12</v>
      </c>
      <c r="D320" s="18">
        <f>'Sampling Data'!C320</f>
        <v>0</v>
      </c>
      <c r="E320" s="19">
        <f>'Sampling Data'!D320</f>
        <v>0</v>
      </c>
      <c r="F320" s="19">
        <f>'Sampling Data'!E320</f>
        <v>0</v>
      </c>
      <c r="G320" s="19">
        <f>'Sampling Data'!F320</f>
        <v>0</v>
      </c>
      <c r="H320" s="19">
        <f>'Sampling Data'!G320</f>
        <v>0</v>
      </c>
      <c r="I320" s="19">
        <f>'Sampling Data'!H320</f>
        <v>0</v>
      </c>
      <c r="J320" s="19">
        <f>'Sampling Data'!I320</f>
        <v>0</v>
      </c>
      <c r="K320" s="19">
        <f>'Sampling Data'!J320</f>
        <v>0</v>
      </c>
      <c r="L320" s="19">
        <f>'Sampling Data'!K320</f>
        <v>0</v>
      </c>
      <c r="M320" s="19">
        <f>'Sampling Data'!L320</f>
        <v>0</v>
      </c>
      <c r="N320" s="19">
        <f>'Sampling Data'!M320</f>
        <v>0</v>
      </c>
      <c r="O320" s="18">
        <f>'Sampling Data'!N320</f>
        <v>0</v>
      </c>
      <c r="P320" s="18">
        <f>'Sampling Data'!O320</f>
        <v>2</v>
      </c>
      <c r="Q320" s="18">
        <f>'Sampling Data'!P320</f>
        <v>14</v>
      </c>
      <c r="R320" s="18">
        <f>'Sampling Data'!AJ320</f>
        <v>0</v>
      </c>
      <c r="S320" s="112"/>
      <c r="T320" s="112"/>
      <c r="U320" s="113"/>
      <c r="V320" s="113"/>
      <c r="W320" s="112"/>
      <c r="X320" s="112"/>
      <c r="Y320" s="112"/>
      <c r="Z320" s="112"/>
      <c r="AA320" s="15"/>
      <c r="AB320" s="15"/>
      <c r="AC320" s="15"/>
      <c r="AD320" s="15"/>
      <c r="AE320" s="114" t="str">
        <f>IF(NOT(ISBLANK(Audit[[#This Row],[Audit Winning Candidate]])), Audit[[#This Row],[Audit Winning Candidate]]-Audit[[#This Row],[Winning Candidate]], "")</f>
        <v/>
      </c>
      <c r="AF320" s="18" t="str">
        <f>IF(NOT(ISBLANK(Audit[[#This Row],[Audit Losing Candidate]])), Audit[[#This Row],[Audit Losing Candidate]]-Audit[[#This Row],[Losing Candidate]], "")</f>
        <v/>
      </c>
      <c r="AG320" s="18" t="str">
        <f>IF(NOT(ISBLANK(Audit[[#This Row],[Audit Candidate 3]])), Audit[[#This Row],[Audit Candidate 3]]-Audit[[#This Row],[Candidate 3]], "")</f>
        <v/>
      </c>
      <c r="AH320" s="18" t="str">
        <f>IF(NOT(ISBLANK(Audit[[#This Row],[Audit Candidate 4]])),Audit[[#This Row],[Audit Candidate 4]]-Audit[[#This Row],[Candidate 4]], "")</f>
        <v/>
      </c>
      <c r="AI320" s="18" t="str">
        <f>IF(NOT(ISBLANK(Audit[[#This Row],[Audit Candidate 5]])), Audit[[#This Row],[Audit Candidate 5]]-Audit[[#This Row],[Candidate 5]], "")</f>
        <v/>
      </c>
      <c r="AJ320" s="18" t="str">
        <f>IF(NOT(ISBLANK(Audit[[#This Row],[Audit Candidate 6]])), Audit[[#This Row],[Audit Candidate 6]]-Audit[[#This Row],[Candidate 6]], "")</f>
        <v/>
      </c>
      <c r="AK320" s="18" t="str">
        <f>IF(NOT(ISBLANK(Audit[[#This Row],[Audit Candidate 7]])), Audit[[#This Row],[Audit Candidate 7]]-Audit[[#This Row],[Candidate 7]], "")</f>
        <v/>
      </c>
      <c r="AL320" s="18" t="str">
        <f>IF(NOT(ISBLANK(Audit[[#This Row],[Audit Candidate 8]])), Audit[[#This Row],[Audit Candidate 8]]-Audit[[#This Row],[Candidate 8]], "")</f>
        <v/>
      </c>
      <c r="AM320" s="18" t="str">
        <f>IF(NOT(ISBLANK(Audit[[#This Row],[Audit Candidate 9]])), Audit[[#This Row],[Audit Candidate 9]]-Audit[[#This Row],[Candidate 9]], "")</f>
        <v/>
      </c>
      <c r="AN320" s="18" t="str">
        <f>IF(NOT(ISBLANK(Audit[[#This Row],[Audit Candidate 10]])), Audit[[#This Row],[Audit Candidate 10]]-Audit[[#This Row],[Candidate 10]], "")</f>
        <v/>
      </c>
      <c r="AO320" s="18" t="str">
        <f>IF(NOT(ISBLANK(Audit[[#This Row],[Audit Candidate 11]])), Audit[[#This Row],[Audit Candidate 11]]-Audit[[#This Row],[Candidate 11]], "")</f>
        <v/>
      </c>
      <c r="AP320" s="18" t="str">
        <f>IF(NOT(ISBLANK(Audit[[#This Row],[Audit Candidate 12]])), Audit[[#This Row],[Audit Candidate 12]]-Audit[[#This Row],[Candidate 12]], "")</f>
        <v/>
      </c>
      <c r="AQ320" s="18">
        <f>SUMIF(Audit[[#This Row],[Difference Winner]:[Difference Candidate 12]], "&gt;0")</f>
        <v>0</v>
      </c>
      <c r="AR320" s="18">
        <f>SUM(Audit[[#This Row],[Difference Winner]:[Difference Candidate 12]])</f>
        <v>0</v>
      </c>
      <c r="AS320" s="18">
        <f>IF(Audit[[#This Row],[Times p Drawn - With Replacement]]&gt;0, IF(Audit[[#This Row],[Canceled Differences]]&lt;0, Audit[[#This Row],[Max Differences]]+ABS(Audit[[#This Row],[Canceled Differences]]), Audit[[#This Row],[Max Differences]]), 0)</f>
        <v>0</v>
      </c>
      <c r="AT320" s="18">
        <f>'Sampling Data'!AB320</f>
        <v>8.1665986116782364E-4</v>
      </c>
      <c r="AU320" s="18">
        <f>IF(
      SUM(Audit[[#This Row],[Audit Losing Candidate]:[Audit Candidate 12]])
      &lt;&gt;0,
      (Audit[[#This Row],[Winning Candidate]]-Audit[[#This Row],[Losing Candidate]]-(Audit[[#This Row],[Audit Winning Candidate]]-Audit[[#This Row],[Audit Losing Candidate]]))/(Audit[[#Totals],[Winning Candidate]]-Audit[[#Totals],[Losing Candidate]]),
      0
)</f>
        <v>0</v>
      </c>
      <c r="AV3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8">
        <f>IF(Audit[[#This Row],[Max Relative Error (ep)]] = 0, 0, Audit[[#This Row],[Max Relative Error (ep)]]/Audit[[#This Row],[Error Bound (up) - Max. possible relative overstatement]])</f>
        <v>0</v>
      </c>
      <c r="BH3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0" s="18">
        <f t="shared" si="5"/>
        <v>1</v>
      </c>
      <c r="BJ320" s="18">
        <f>PRODUCT($BI$5:BI320)</f>
        <v>0.57146126097022543</v>
      </c>
      <c r="BK320" s="20">
        <f>1 - Audit[[#This Row],[K-M P Value]]</f>
        <v>0.42853873902977457</v>
      </c>
      <c r="BL320" s="18" t="str">
        <f>IF(Audit[[#This Row],[K-M P Value]]&gt;1-'General Info'!$B$12,"Continue", "Stop")</f>
        <v>Continue</v>
      </c>
      <c r="BM320" s="23" t="b">
        <f>IF(Audit[[#This Row],[Status - Continue or stop audit]] = "Continue", TRUE, IF(BL319 = "Continue", TRUE, FALSE))</f>
        <v>1</v>
      </c>
      <c r="BN320" s="23"/>
    </row>
    <row r="321" spans="1:66" ht="15" hidden="1" customHeight="1" x14ac:dyDescent="0.35">
      <c r="A321" s="18" t="str">
        <f>'Sampling Data'!AI321</f>
        <v/>
      </c>
      <c r="B321" s="18" t="str">
        <f>'Sampling Data'!A321</f>
        <v>5602 AND B   (AV)</v>
      </c>
      <c r="C321" s="18">
        <f>'Sampling Data'!B321</f>
        <v>22</v>
      </c>
      <c r="D321" s="18">
        <f>'Sampling Data'!C321</f>
        <v>5</v>
      </c>
      <c r="E321" s="19">
        <f>'Sampling Data'!D321</f>
        <v>0</v>
      </c>
      <c r="F321" s="19">
        <f>'Sampling Data'!E321</f>
        <v>0</v>
      </c>
      <c r="G321" s="19">
        <f>'Sampling Data'!F321</f>
        <v>0</v>
      </c>
      <c r="H321" s="19">
        <f>'Sampling Data'!G321</f>
        <v>0</v>
      </c>
      <c r="I321" s="19">
        <f>'Sampling Data'!H321</f>
        <v>0</v>
      </c>
      <c r="J321" s="19">
        <f>'Sampling Data'!I321</f>
        <v>0</v>
      </c>
      <c r="K321" s="19">
        <f>'Sampling Data'!J321</f>
        <v>0</v>
      </c>
      <c r="L321" s="19">
        <f>'Sampling Data'!K321</f>
        <v>0</v>
      </c>
      <c r="M321" s="19">
        <f>'Sampling Data'!L321</f>
        <v>0</v>
      </c>
      <c r="N321" s="19">
        <f>'Sampling Data'!M321</f>
        <v>0</v>
      </c>
      <c r="O321" s="18">
        <f>'Sampling Data'!N321</f>
        <v>0</v>
      </c>
      <c r="P321" s="18">
        <f>'Sampling Data'!O321</f>
        <v>1</v>
      </c>
      <c r="Q321" s="18">
        <f>'Sampling Data'!P321</f>
        <v>28</v>
      </c>
      <c r="R321" s="18">
        <f>'Sampling Data'!AJ321</f>
        <v>0</v>
      </c>
      <c r="S321" s="112"/>
      <c r="T321" s="112"/>
      <c r="U321" s="113"/>
      <c r="V321" s="113"/>
      <c r="W321" s="112"/>
      <c r="X321" s="112"/>
      <c r="Y321" s="112"/>
      <c r="Z321" s="112"/>
      <c r="AA321" s="15"/>
      <c r="AB321" s="15"/>
      <c r="AC321" s="15"/>
      <c r="AD321" s="15"/>
      <c r="AE321" s="114" t="str">
        <f>IF(NOT(ISBLANK(Audit[[#This Row],[Audit Winning Candidate]])), Audit[[#This Row],[Audit Winning Candidate]]-Audit[[#This Row],[Winning Candidate]], "")</f>
        <v/>
      </c>
      <c r="AF321" s="18" t="str">
        <f>IF(NOT(ISBLANK(Audit[[#This Row],[Audit Losing Candidate]])), Audit[[#This Row],[Audit Losing Candidate]]-Audit[[#This Row],[Losing Candidate]], "")</f>
        <v/>
      </c>
      <c r="AG321" s="18" t="str">
        <f>IF(NOT(ISBLANK(Audit[[#This Row],[Audit Candidate 3]])), Audit[[#This Row],[Audit Candidate 3]]-Audit[[#This Row],[Candidate 3]], "")</f>
        <v/>
      </c>
      <c r="AH321" s="18" t="str">
        <f>IF(NOT(ISBLANK(Audit[[#This Row],[Audit Candidate 4]])),Audit[[#This Row],[Audit Candidate 4]]-Audit[[#This Row],[Candidate 4]], "")</f>
        <v/>
      </c>
      <c r="AI321" s="18" t="str">
        <f>IF(NOT(ISBLANK(Audit[[#This Row],[Audit Candidate 5]])), Audit[[#This Row],[Audit Candidate 5]]-Audit[[#This Row],[Candidate 5]], "")</f>
        <v/>
      </c>
      <c r="AJ321" s="18" t="str">
        <f>IF(NOT(ISBLANK(Audit[[#This Row],[Audit Candidate 6]])), Audit[[#This Row],[Audit Candidate 6]]-Audit[[#This Row],[Candidate 6]], "")</f>
        <v/>
      </c>
      <c r="AK321" s="18" t="str">
        <f>IF(NOT(ISBLANK(Audit[[#This Row],[Audit Candidate 7]])), Audit[[#This Row],[Audit Candidate 7]]-Audit[[#This Row],[Candidate 7]], "")</f>
        <v/>
      </c>
      <c r="AL321" s="18" t="str">
        <f>IF(NOT(ISBLANK(Audit[[#This Row],[Audit Candidate 8]])), Audit[[#This Row],[Audit Candidate 8]]-Audit[[#This Row],[Candidate 8]], "")</f>
        <v/>
      </c>
      <c r="AM321" s="18" t="str">
        <f>IF(NOT(ISBLANK(Audit[[#This Row],[Audit Candidate 9]])), Audit[[#This Row],[Audit Candidate 9]]-Audit[[#This Row],[Candidate 9]], "")</f>
        <v/>
      </c>
      <c r="AN321" s="18" t="str">
        <f>IF(NOT(ISBLANK(Audit[[#This Row],[Audit Candidate 10]])), Audit[[#This Row],[Audit Candidate 10]]-Audit[[#This Row],[Candidate 10]], "")</f>
        <v/>
      </c>
      <c r="AO321" s="18" t="str">
        <f>IF(NOT(ISBLANK(Audit[[#This Row],[Audit Candidate 11]])), Audit[[#This Row],[Audit Candidate 11]]-Audit[[#This Row],[Candidate 11]], "")</f>
        <v/>
      </c>
      <c r="AP321" s="18" t="str">
        <f>IF(NOT(ISBLANK(Audit[[#This Row],[Audit Candidate 12]])), Audit[[#This Row],[Audit Candidate 12]]-Audit[[#This Row],[Candidate 12]], "")</f>
        <v/>
      </c>
      <c r="AQ321" s="18">
        <f>SUMIF(Audit[[#This Row],[Difference Winner]:[Difference Candidate 12]], "&gt;0")</f>
        <v>0</v>
      </c>
      <c r="AR321" s="18">
        <f>SUM(Audit[[#This Row],[Difference Winner]:[Difference Candidate 12]])</f>
        <v>0</v>
      </c>
      <c r="AS321" s="18">
        <f>IF(Audit[[#This Row],[Times p Drawn - With Replacement]]&gt;0, IF(Audit[[#This Row],[Canceled Differences]]&lt;0, Audit[[#This Row],[Max Differences]]+ABS(Audit[[#This Row],[Canceled Differences]]), Audit[[#This Row],[Max Differences]]), 0)</f>
        <v>0</v>
      </c>
      <c r="AT321" s="18">
        <f>'Sampling Data'!AB321</f>
        <v>1.4134497597135408E-3</v>
      </c>
      <c r="AU321" s="18">
        <f>IF(
      SUM(Audit[[#This Row],[Audit Losing Candidate]:[Audit Candidate 12]])
      &lt;&gt;0,
      (Audit[[#This Row],[Winning Candidate]]-Audit[[#This Row],[Losing Candidate]]-(Audit[[#This Row],[Audit Winning Candidate]]-Audit[[#This Row],[Audit Losing Candidate]]))/(Audit[[#Totals],[Winning Candidate]]-Audit[[#Totals],[Losing Candidate]]),
      0
)</f>
        <v>0</v>
      </c>
      <c r="AV3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8">
        <f>IF(Audit[[#This Row],[Max Relative Error (ep)]] = 0, 0, Audit[[#This Row],[Max Relative Error (ep)]]/Audit[[#This Row],[Error Bound (up) - Max. possible relative overstatement]])</f>
        <v>0</v>
      </c>
      <c r="BH3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1" s="18">
        <f t="shared" si="5"/>
        <v>1</v>
      </c>
      <c r="BJ321" s="18">
        <f>PRODUCT($BI$5:BI321)</f>
        <v>0.57146126097022543</v>
      </c>
      <c r="BK321" s="20">
        <f>1 - Audit[[#This Row],[K-M P Value]]</f>
        <v>0.42853873902977457</v>
      </c>
      <c r="BL321" s="18" t="str">
        <f>IF(Audit[[#This Row],[K-M P Value]]&gt;1-'General Info'!$B$12,"Continue", "Stop")</f>
        <v>Continue</v>
      </c>
      <c r="BM321" s="23" t="b">
        <f>IF(Audit[[#This Row],[Status - Continue or stop audit]] = "Continue", TRUE, IF(BL320 = "Continue", TRUE, FALSE))</f>
        <v>1</v>
      </c>
      <c r="BN321" s="23"/>
    </row>
    <row r="322" spans="1:66" ht="15" hidden="1" customHeight="1" x14ac:dyDescent="0.35">
      <c r="A322" s="18" t="str">
        <f>'Sampling Data'!AI322</f>
        <v/>
      </c>
      <c r="B322" s="18" t="str">
        <f>'Sampling Data'!A322</f>
        <v>5603 AND C   (AV)</v>
      </c>
      <c r="C322" s="18">
        <f>'Sampling Data'!B322</f>
        <v>23</v>
      </c>
      <c r="D322" s="18">
        <f>'Sampling Data'!C322</f>
        <v>1</v>
      </c>
      <c r="E322" s="19">
        <f>'Sampling Data'!D322</f>
        <v>0</v>
      </c>
      <c r="F322" s="19">
        <f>'Sampling Data'!E322</f>
        <v>0</v>
      </c>
      <c r="G322" s="19">
        <f>'Sampling Data'!F322</f>
        <v>0</v>
      </c>
      <c r="H322" s="19">
        <f>'Sampling Data'!G322</f>
        <v>0</v>
      </c>
      <c r="I322" s="19">
        <f>'Sampling Data'!H322</f>
        <v>0</v>
      </c>
      <c r="J322" s="19">
        <f>'Sampling Data'!I322</f>
        <v>0</v>
      </c>
      <c r="K322" s="19">
        <f>'Sampling Data'!J322</f>
        <v>0</v>
      </c>
      <c r="L322" s="19">
        <f>'Sampling Data'!K322</f>
        <v>0</v>
      </c>
      <c r="M322" s="19">
        <f>'Sampling Data'!L322</f>
        <v>0</v>
      </c>
      <c r="N322" s="19">
        <f>'Sampling Data'!M322</f>
        <v>0</v>
      </c>
      <c r="O322" s="18">
        <f>'Sampling Data'!N322</f>
        <v>0</v>
      </c>
      <c r="P322" s="18">
        <f>'Sampling Data'!O322</f>
        <v>0</v>
      </c>
      <c r="Q322" s="18">
        <f>'Sampling Data'!P322</f>
        <v>24</v>
      </c>
      <c r="R322" s="18">
        <f>'Sampling Data'!AJ322</f>
        <v>0</v>
      </c>
      <c r="S322" s="112"/>
      <c r="T322" s="112"/>
      <c r="U322" s="113"/>
      <c r="V322" s="113"/>
      <c r="W322" s="112"/>
      <c r="X322" s="112"/>
      <c r="Y322" s="112"/>
      <c r="Z322" s="112"/>
      <c r="AA322" s="15"/>
      <c r="AB322" s="15"/>
      <c r="AC322" s="15"/>
      <c r="AD322" s="15"/>
      <c r="AE322" s="114" t="str">
        <f>IF(NOT(ISBLANK(Audit[[#This Row],[Audit Winning Candidate]])), Audit[[#This Row],[Audit Winning Candidate]]-Audit[[#This Row],[Winning Candidate]], "")</f>
        <v/>
      </c>
      <c r="AF322" s="18" t="str">
        <f>IF(NOT(ISBLANK(Audit[[#This Row],[Audit Losing Candidate]])), Audit[[#This Row],[Audit Losing Candidate]]-Audit[[#This Row],[Losing Candidate]], "")</f>
        <v/>
      </c>
      <c r="AG322" s="18" t="str">
        <f>IF(NOT(ISBLANK(Audit[[#This Row],[Audit Candidate 3]])), Audit[[#This Row],[Audit Candidate 3]]-Audit[[#This Row],[Candidate 3]], "")</f>
        <v/>
      </c>
      <c r="AH322" s="18" t="str">
        <f>IF(NOT(ISBLANK(Audit[[#This Row],[Audit Candidate 4]])),Audit[[#This Row],[Audit Candidate 4]]-Audit[[#This Row],[Candidate 4]], "")</f>
        <v/>
      </c>
      <c r="AI322" s="18" t="str">
        <f>IF(NOT(ISBLANK(Audit[[#This Row],[Audit Candidate 5]])), Audit[[#This Row],[Audit Candidate 5]]-Audit[[#This Row],[Candidate 5]], "")</f>
        <v/>
      </c>
      <c r="AJ322" s="18" t="str">
        <f>IF(NOT(ISBLANK(Audit[[#This Row],[Audit Candidate 6]])), Audit[[#This Row],[Audit Candidate 6]]-Audit[[#This Row],[Candidate 6]], "")</f>
        <v/>
      </c>
      <c r="AK322" s="18" t="str">
        <f>IF(NOT(ISBLANK(Audit[[#This Row],[Audit Candidate 7]])), Audit[[#This Row],[Audit Candidate 7]]-Audit[[#This Row],[Candidate 7]], "")</f>
        <v/>
      </c>
      <c r="AL322" s="18" t="str">
        <f>IF(NOT(ISBLANK(Audit[[#This Row],[Audit Candidate 8]])), Audit[[#This Row],[Audit Candidate 8]]-Audit[[#This Row],[Candidate 8]], "")</f>
        <v/>
      </c>
      <c r="AM322" s="18" t="str">
        <f>IF(NOT(ISBLANK(Audit[[#This Row],[Audit Candidate 9]])), Audit[[#This Row],[Audit Candidate 9]]-Audit[[#This Row],[Candidate 9]], "")</f>
        <v/>
      </c>
      <c r="AN322" s="18" t="str">
        <f>IF(NOT(ISBLANK(Audit[[#This Row],[Audit Candidate 10]])), Audit[[#This Row],[Audit Candidate 10]]-Audit[[#This Row],[Candidate 10]], "")</f>
        <v/>
      </c>
      <c r="AO322" s="18" t="str">
        <f>IF(NOT(ISBLANK(Audit[[#This Row],[Audit Candidate 11]])), Audit[[#This Row],[Audit Candidate 11]]-Audit[[#This Row],[Candidate 11]], "")</f>
        <v/>
      </c>
      <c r="AP322" s="18" t="str">
        <f>IF(NOT(ISBLANK(Audit[[#This Row],[Audit Candidate 12]])), Audit[[#This Row],[Audit Candidate 12]]-Audit[[#This Row],[Candidate 12]], "")</f>
        <v/>
      </c>
      <c r="AQ322" s="18">
        <f>SUMIF(Audit[[#This Row],[Difference Winner]:[Difference Candidate 12]], "&gt;0")</f>
        <v>0</v>
      </c>
      <c r="AR322" s="18">
        <f>SUM(Audit[[#This Row],[Difference Winner]:[Difference Candidate 12]])</f>
        <v>0</v>
      </c>
      <c r="AS322" s="18">
        <f>IF(Audit[[#This Row],[Times p Drawn - With Replacement]]&gt;0, IF(Audit[[#This Row],[Canceled Differences]]&lt;0, Audit[[#This Row],[Max Differences]]+ABS(Audit[[#This Row],[Canceled Differences]]), Audit[[#This Row],[Max Differences]]), 0)</f>
        <v>0</v>
      </c>
      <c r="AT322" s="18">
        <f>'Sampling Data'!AB322</f>
        <v>1.4448597543738418E-3</v>
      </c>
      <c r="AU322" s="18">
        <f>IF(
      SUM(Audit[[#This Row],[Audit Losing Candidate]:[Audit Candidate 12]])
      &lt;&gt;0,
      (Audit[[#This Row],[Winning Candidate]]-Audit[[#This Row],[Losing Candidate]]-(Audit[[#This Row],[Audit Winning Candidate]]-Audit[[#This Row],[Audit Losing Candidate]]))/(Audit[[#Totals],[Winning Candidate]]-Audit[[#Totals],[Losing Candidate]]),
      0
)</f>
        <v>0</v>
      </c>
      <c r="AV3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8">
        <f>IF(Audit[[#This Row],[Max Relative Error (ep)]] = 0, 0, Audit[[#This Row],[Max Relative Error (ep)]]/Audit[[#This Row],[Error Bound (up) - Max. possible relative overstatement]])</f>
        <v>0</v>
      </c>
      <c r="BH3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2" s="18">
        <f t="shared" si="5"/>
        <v>1</v>
      </c>
      <c r="BJ322" s="18">
        <f>PRODUCT($BI$5:BI322)</f>
        <v>0.57146126097022543</v>
      </c>
      <c r="BK322" s="20">
        <f>1 - Audit[[#This Row],[K-M P Value]]</f>
        <v>0.42853873902977457</v>
      </c>
      <c r="BL322" s="18" t="str">
        <f>IF(Audit[[#This Row],[K-M P Value]]&gt;1-'General Info'!$B$12,"Continue", "Stop")</f>
        <v>Continue</v>
      </c>
      <c r="BM322" s="23" t="b">
        <f>IF(Audit[[#This Row],[Status - Continue or stop audit]] = "Continue", TRUE, IF(BL321 = "Continue", TRUE, FALSE))</f>
        <v>1</v>
      </c>
      <c r="BN322" s="23"/>
    </row>
    <row r="323" spans="1:66" ht="15" hidden="1" customHeight="1" x14ac:dyDescent="0.35">
      <c r="A323" s="18" t="str">
        <f>'Sampling Data'!AI323</f>
        <v/>
      </c>
      <c r="B323" s="18" t="str">
        <f>'Sampling Data'!A323</f>
        <v>5604 AND D   (AV)</v>
      </c>
      <c r="C323" s="18">
        <f>'Sampling Data'!B323</f>
        <v>19</v>
      </c>
      <c r="D323" s="18">
        <f>'Sampling Data'!C323</f>
        <v>3</v>
      </c>
      <c r="E323" s="19">
        <f>'Sampling Data'!D323</f>
        <v>0</v>
      </c>
      <c r="F323" s="19">
        <f>'Sampling Data'!E323</f>
        <v>0</v>
      </c>
      <c r="G323" s="19">
        <f>'Sampling Data'!F323</f>
        <v>0</v>
      </c>
      <c r="H323" s="19">
        <f>'Sampling Data'!G323</f>
        <v>0</v>
      </c>
      <c r="I323" s="19">
        <f>'Sampling Data'!H323</f>
        <v>0</v>
      </c>
      <c r="J323" s="19">
        <f>'Sampling Data'!I323</f>
        <v>0</v>
      </c>
      <c r="K323" s="19">
        <f>'Sampling Data'!J323</f>
        <v>0</v>
      </c>
      <c r="L323" s="19">
        <f>'Sampling Data'!K323</f>
        <v>0</v>
      </c>
      <c r="M323" s="19">
        <f>'Sampling Data'!L323</f>
        <v>0</v>
      </c>
      <c r="N323" s="19">
        <f>'Sampling Data'!M323</f>
        <v>0</v>
      </c>
      <c r="O323" s="18">
        <f>'Sampling Data'!N323</f>
        <v>0</v>
      </c>
      <c r="P323" s="18">
        <f>'Sampling Data'!O323</f>
        <v>0</v>
      </c>
      <c r="Q323" s="18">
        <f>'Sampling Data'!P323</f>
        <v>22</v>
      </c>
      <c r="R323" s="18">
        <f>'Sampling Data'!AJ323</f>
        <v>0</v>
      </c>
      <c r="S323" s="112"/>
      <c r="T323" s="112"/>
      <c r="U323" s="113"/>
      <c r="V323" s="113"/>
      <c r="W323" s="112"/>
      <c r="X323" s="112"/>
      <c r="Y323" s="112"/>
      <c r="Z323" s="112"/>
      <c r="AA323" s="15"/>
      <c r="AB323" s="15"/>
      <c r="AC323" s="15"/>
      <c r="AD323" s="15"/>
      <c r="AE323" s="114" t="str">
        <f>IF(NOT(ISBLANK(Audit[[#This Row],[Audit Winning Candidate]])), Audit[[#This Row],[Audit Winning Candidate]]-Audit[[#This Row],[Winning Candidate]], "")</f>
        <v/>
      </c>
      <c r="AF323" s="18" t="str">
        <f>IF(NOT(ISBLANK(Audit[[#This Row],[Audit Losing Candidate]])), Audit[[#This Row],[Audit Losing Candidate]]-Audit[[#This Row],[Losing Candidate]], "")</f>
        <v/>
      </c>
      <c r="AG323" s="18" t="str">
        <f>IF(NOT(ISBLANK(Audit[[#This Row],[Audit Candidate 3]])), Audit[[#This Row],[Audit Candidate 3]]-Audit[[#This Row],[Candidate 3]], "")</f>
        <v/>
      </c>
      <c r="AH323" s="18" t="str">
        <f>IF(NOT(ISBLANK(Audit[[#This Row],[Audit Candidate 4]])),Audit[[#This Row],[Audit Candidate 4]]-Audit[[#This Row],[Candidate 4]], "")</f>
        <v/>
      </c>
      <c r="AI323" s="18" t="str">
        <f>IF(NOT(ISBLANK(Audit[[#This Row],[Audit Candidate 5]])), Audit[[#This Row],[Audit Candidate 5]]-Audit[[#This Row],[Candidate 5]], "")</f>
        <v/>
      </c>
      <c r="AJ323" s="18" t="str">
        <f>IF(NOT(ISBLANK(Audit[[#This Row],[Audit Candidate 6]])), Audit[[#This Row],[Audit Candidate 6]]-Audit[[#This Row],[Candidate 6]], "")</f>
        <v/>
      </c>
      <c r="AK323" s="18" t="str">
        <f>IF(NOT(ISBLANK(Audit[[#This Row],[Audit Candidate 7]])), Audit[[#This Row],[Audit Candidate 7]]-Audit[[#This Row],[Candidate 7]], "")</f>
        <v/>
      </c>
      <c r="AL323" s="18" t="str">
        <f>IF(NOT(ISBLANK(Audit[[#This Row],[Audit Candidate 8]])), Audit[[#This Row],[Audit Candidate 8]]-Audit[[#This Row],[Candidate 8]], "")</f>
        <v/>
      </c>
      <c r="AM323" s="18" t="str">
        <f>IF(NOT(ISBLANK(Audit[[#This Row],[Audit Candidate 9]])), Audit[[#This Row],[Audit Candidate 9]]-Audit[[#This Row],[Candidate 9]], "")</f>
        <v/>
      </c>
      <c r="AN323" s="18" t="str">
        <f>IF(NOT(ISBLANK(Audit[[#This Row],[Audit Candidate 10]])), Audit[[#This Row],[Audit Candidate 10]]-Audit[[#This Row],[Candidate 10]], "")</f>
        <v/>
      </c>
      <c r="AO323" s="18" t="str">
        <f>IF(NOT(ISBLANK(Audit[[#This Row],[Audit Candidate 11]])), Audit[[#This Row],[Audit Candidate 11]]-Audit[[#This Row],[Candidate 11]], "")</f>
        <v/>
      </c>
      <c r="AP323" s="18" t="str">
        <f>IF(NOT(ISBLANK(Audit[[#This Row],[Audit Candidate 12]])), Audit[[#This Row],[Audit Candidate 12]]-Audit[[#This Row],[Candidate 12]], "")</f>
        <v/>
      </c>
      <c r="AQ323" s="18">
        <f>SUMIF(Audit[[#This Row],[Difference Winner]:[Difference Candidate 12]], "&gt;0")</f>
        <v>0</v>
      </c>
      <c r="AR323" s="18">
        <f>SUM(Audit[[#This Row],[Difference Winner]:[Difference Candidate 12]])</f>
        <v>0</v>
      </c>
      <c r="AS323" s="18">
        <f>IF(Audit[[#This Row],[Times p Drawn - With Replacement]]&gt;0, IF(Audit[[#This Row],[Canceled Differences]]&lt;0, Audit[[#This Row],[Max Differences]]+ABS(Audit[[#This Row],[Canceled Differences]]), Audit[[#This Row],[Max Differences]]), 0)</f>
        <v>0</v>
      </c>
      <c r="AT323" s="18">
        <f>'Sampling Data'!AB323</f>
        <v>1.1935797970914345E-3</v>
      </c>
      <c r="AU323" s="18">
        <f>IF(
      SUM(Audit[[#This Row],[Audit Losing Candidate]:[Audit Candidate 12]])
      &lt;&gt;0,
      (Audit[[#This Row],[Winning Candidate]]-Audit[[#This Row],[Losing Candidate]]-(Audit[[#This Row],[Audit Winning Candidate]]-Audit[[#This Row],[Audit Losing Candidate]]))/(Audit[[#Totals],[Winning Candidate]]-Audit[[#Totals],[Losing Candidate]]),
      0
)</f>
        <v>0</v>
      </c>
      <c r="AV3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8">
        <f>IF(Audit[[#This Row],[Max Relative Error (ep)]] = 0, 0, Audit[[#This Row],[Max Relative Error (ep)]]/Audit[[#This Row],[Error Bound (up) - Max. possible relative overstatement]])</f>
        <v>0</v>
      </c>
      <c r="BH3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3" s="18">
        <f t="shared" si="5"/>
        <v>1</v>
      </c>
      <c r="BJ323" s="18">
        <f>PRODUCT($BI$5:BI323)</f>
        <v>0.57146126097022543</v>
      </c>
      <c r="BK323" s="20">
        <f>1 - Audit[[#This Row],[K-M P Value]]</f>
        <v>0.42853873902977457</v>
      </c>
      <c r="BL323" s="18" t="str">
        <f>IF(Audit[[#This Row],[K-M P Value]]&gt;1-'General Info'!$B$12,"Continue", "Stop")</f>
        <v>Continue</v>
      </c>
      <c r="BM323" s="23" t="b">
        <f>IF(Audit[[#This Row],[Status - Continue or stop audit]] = "Continue", TRUE, IF(BL322 = "Continue", TRUE, FALSE))</f>
        <v>1</v>
      </c>
      <c r="BN323" s="23"/>
    </row>
    <row r="324" spans="1:66" ht="15" hidden="1" customHeight="1" x14ac:dyDescent="0.35">
      <c r="A324" s="18" t="str">
        <f>'Sampling Data'!AI324</f>
        <v/>
      </c>
      <c r="B324" s="18" t="str">
        <f>'Sampling Data'!A324</f>
        <v>5605 AND E   (AV)</v>
      </c>
      <c r="C324" s="18">
        <f>'Sampling Data'!B324</f>
        <v>23</v>
      </c>
      <c r="D324" s="18">
        <f>'Sampling Data'!C324</f>
        <v>1</v>
      </c>
      <c r="E324" s="19">
        <f>'Sampling Data'!D324</f>
        <v>0</v>
      </c>
      <c r="F324" s="19">
        <f>'Sampling Data'!E324</f>
        <v>0</v>
      </c>
      <c r="G324" s="19">
        <f>'Sampling Data'!F324</f>
        <v>0</v>
      </c>
      <c r="H324" s="19">
        <f>'Sampling Data'!G324</f>
        <v>0</v>
      </c>
      <c r="I324" s="19">
        <f>'Sampling Data'!H324</f>
        <v>0</v>
      </c>
      <c r="J324" s="19">
        <f>'Sampling Data'!I324</f>
        <v>0</v>
      </c>
      <c r="K324" s="19">
        <f>'Sampling Data'!J324</f>
        <v>0</v>
      </c>
      <c r="L324" s="19">
        <f>'Sampling Data'!K324</f>
        <v>0</v>
      </c>
      <c r="M324" s="19">
        <f>'Sampling Data'!L324</f>
        <v>0</v>
      </c>
      <c r="N324" s="19">
        <f>'Sampling Data'!M324</f>
        <v>0</v>
      </c>
      <c r="O324" s="18">
        <f>'Sampling Data'!N324</f>
        <v>0</v>
      </c>
      <c r="P324" s="18">
        <f>'Sampling Data'!O324</f>
        <v>2</v>
      </c>
      <c r="Q324" s="18">
        <f>'Sampling Data'!P324</f>
        <v>26</v>
      </c>
      <c r="R324" s="18">
        <f>'Sampling Data'!AJ324</f>
        <v>0</v>
      </c>
      <c r="S324" s="112"/>
      <c r="T324" s="112"/>
      <c r="U324" s="113"/>
      <c r="V324" s="113"/>
      <c r="W324" s="112"/>
      <c r="X324" s="112"/>
      <c r="Y324" s="112"/>
      <c r="Z324" s="112"/>
      <c r="AA324" s="15"/>
      <c r="AB324" s="15"/>
      <c r="AC324" s="15"/>
      <c r="AD324" s="15"/>
      <c r="AE324" s="114" t="str">
        <f>IF(NOT(ISBLANK(Audit[[#This Row],[Audit Winning Candidate]])), Audit[[#This Row],[Audit Winning Candidate]]-Audit[[#This Row],[Winning Candidate]], "")</f>
        <v/>
      </c>
      <c r="AF324" s="18" t="str">
        <f>IF(NOT(ISBLANK(Audit[[#This Row],[Audit Losing Candidate]])), Audit[[#This Row],[Audit Losing Candidate]]-Audit[[#This Row],[Losing Candidate]], "")</f>
        <v/>
      </c>
      <c r="AG324" s="18" t="str">
        <f>IF(NOT(ISBLANK(Audit[[#This Row],[Audit Candidate 3]])), Audit[[#This Row],[Audit Candidate 3]]-Audit[[#This Row],[Candidate 3]], "")</f>
        <v/>
      </c>
      <c r="AH324" s="18" t="str">
        <f>IF(NOT(ISBLANK(Audit[[#This Row],[Audit Candidate 4]])),Audit[[#This Row],[Audit Candidate 4]]-Audit[[#This Row],[Candidate 4]], "")</f>
        <v/>
      </c>
      <c r="AI324" s="18" t="str">
        <f>IF(NOT(ISBLANK(Audit[[#This Row],[Audit Candidate 5]])), Audit[[#This Row],[Audit Candidate 5]]-Audit[[#This Row],[Candidate 5]], "")</f>
        <v/>
      </c>
      <c r="AJ324" s="18" t="str">
        <f>IF(NOT(ISBLANK(Audit[[#This Row],[Audit Candidate 6]])), Audit[[#This Row],[Audit Candidate 6]]-Audit[[#This Row],[Candidate 6]], "")</f>
        <v/>
      </c>
      <c r="AK324" s="18" t="str">
        <f>IF(NOT(ISBLANK(Audit[[#This Row],[Audit Candidate 7]])), Audit[[#This Row],[Audit Candidate 7]]-Audit[[#This Row],[Candidate 7]], "")</f>
        <v/>
      </c>
      <c r="AL324" s="18" t="str">
        <f>IF(NOT(ISBLANK(Audit[[#This Row],[Audit Candidate 8]])), Audit[[#This Row],[Audit Candidate 8]]-Audit[[#This Row],[Candidate 8]], "")</f>
        <v/>
      </c>
      <c r="AM324" s="18" t="str">
        <f>IF(NOT(ISBLANK(Audit[[#This Row],[Audit Candidate 9]])), Audit[[#This Row],[Audit Candidate 9]]-Audit[[#This Row],[Candidate 9]], "")</f>
        <v/>
      </c>
      <c r="AN324" s="18" t="str">
        <f>IF(NOT(ISBLANK(Audit[[#This Row],[Audit Candidate 10]])), Audit[[#This Row],[Audit Candidate 10]]-Audit[[#This Row],[Candidate 10]], "")</f>
        <v/>
      </c>
      <c r="AO324" s="18" t="str">
        <f>IF(NOT(ISBLANK(Audit[[#This Row],[Audit Candidate 11]])), Audit[[#This Row],[Audit Candidate 11]]-Audit[[#This Row],[Candidate 11]], "")</f>
        <v/>
      </c>
      <c r="AP324" s="18" t="str">
        <f>IF(NOT(ISBLANK(Audit[[#This Row],[Audit Candidate 12]])), Audit[[#This Row],[Audit Candidate 12]]-Audit[[#This Row],[Candidate 12]], "")</f>
        <v/>
      </c>
      <c r="AQ324" s="18">
        <f>SUMIF(Audit[[#This Row],[Difference Winner]:[Difference Candidate 12]], "&gt;0")</f>
        <v>0</v>
      </c>
      <c r="AR324" s="18">
        <f>SUM(Audit[[#This Row],[Difference Winner]:[Difference Candidate 12]])</f>
        <v>0</v>
      </c>
      <c r="AS324" s="18">
        <f>IF(Audit[[#This Row],[Times p Drawn - With Replacement]]&gt;0, IF(Audit[[#This Row],[Canceled Differences]]&lt;0, Audit[[#This Row],[Max Differences]]+ABS(Audit[[#This Row],[Canceled Differences]]), Audit[[#This Row],[Max Differences]]), 0)</f>
        <v>0</v>
      </c>
      <c r="AT324" s="18">
        <f>'Sampling Data'!AB324</f>
        <v>1.5076797436944435E-3</v>
      </c>
      <c r="AU324" s="18">
        <f>IF(
      SUM(Audit[[#This Row],[Audit Losing Candidate]:[Audit Candidate 12]])
      &lt;&gt;0,
      (Audit[[#This Row],[Winning Candidate]]-Audit[[#This Row],[Losing Candidate]]-(Audit[[#This Row],[Audit Winning Candidate]]-Audit[[#This Row],[Audit Losing Candidate]]))/(Audit[[#Totals],[Winning Candidate]]-Audit[[#Totals],[Losing Candidate]]),
      0
)</f>
        <v>0</v>
      </c>
      <c r="AV3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8">
        <f>IF(Audit[[#This Row],[Max Relative Error (ep)]] = 0, 0, Audit[[#This Row],[Max Relative Error (ep)]]/Audit[[#This Row],[Error Bound (up) - Max. possible relative overstatement]])</f>
        <v>0</v>
      </c>
      <c r="BH3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4" s="18">
        <f t="shared" si="5"/>
        <v>1</v>
      </c>
      <c r="BJ324" s="18">
        <f>PRODUCT($BI$5:BI324)</f>
        <v>0.57146126097022543</v>
      </c>
      <c r="BK324" s="20">
        <f>1 - Audit[[#This Row],[K-M P Value]]</f>
        <v>0.42853873902977457</v>
      </c>
      <c r="BL324" s="18" t="str">
        <f>IF(Audit[[#This Row],[K-M P Value]]&gt;1-'General Info'!$B$12,"Continue", "Stop")</f>
        <v>Continue</v>
      </c>
      <c r="BM324" s="23" t="b">
        <f>IF(Audit[[#This Row],[Status - Continue or stop audit]] = "Continue", TRUE, IF(BL323 = "Continue", TRUE, FALSE))</f>
        <v>1</v>
      </c>
      <c r="BN324" s="23"/>
    </row>
    <row r="325" spans="1:66" ht="15" hidden="1" customHeight="1" x14ac:dyDescent="0.35">
      <c r="A325" s="18" t="str">
        <f>'Sampling Data'!AI325</f>
        <v/>
      </c>
      <c r="B325" s="18" t="str">
        <f>'Sampling Data'!A325</f>
        <v>5606 AND F   (AV)</v>
      </c>
      <c r="C325" s="18">
        <f>'Sampling Data'!B325</f>
        <v>11</v>
      </c>
      <c r="D325" s="18">
        <f>'Sampling Data'!C325</f>
        <v>2</v>
      </c>
      <c r="E325" s="19">
        <f>'Sampling Data'!D325</f>
        <v>0</v>
      </c>
      <c r="F325" s="19">
        <f>'Sampling Data'!E325</f>
        <v>0</v>
      </c>
      <c r="G325" s="19">
        <f>'Sampling Data'!F325</f>
        <v>0</v>
      </c>
      <c r="H325" s="19">
        <f>'Sampling Data'!G325</f>
        <v>0</v>
      </c>
      <c r="I325" s="19">
        <f>'Sampling Data'!H325</f>
        <v>0</v>
      </c>
      <c r="J325" s="19">
        <f>'Sampling Data'!I325</f>
        <v>0</v>
      </c>
      <c r="K325" s="19">
        <f>'Sampling Data'!J325</f>
        <v>0</v>
      </c>
      <c r="L325" s="19">
        <f>'Sampling Data'!K325</f>
        <v>0</v>
      </c>
      <c r="M325" s="19">
        <f>'Sampling Data'!L325</f>
        <v>0</v>
      </c>
      <c r="N325" s="19">
        <f>'Sampling Data'!M325</f>
        <v>0</v>
      </c>
      <c r="O325" s="18">
        <f>'Sampling Data'!N325</f>
        <v>0</v>
      </c>
      <c r="P325" s="18">
        <f>'Sampling Data'!O325</f>
        <v>0</v>
      </c>
      <c r="Q325" s="18">
        <f>'Sampling Data'!P325</f>
        <v>13</v>
      </c>
      <c r="R325" s="18">
        <f>'Sampling Data'!AJ325</f>
        <v>0</v>
      </c>
      <c r="S325" s="112"/>
      <c r="T325" s="112"/>
      <c r="U325" s="113"/>
      <c r="V325" s="113"/>
      <c r="W325" s="112"/>
      <c r="X325" s="112"/>
      <c r="Y325" s="112"/>
      <c r="Z325" s="112"/>
      <c r="AA325" s="15"/>
      <c r="AB325" s="15"/>
      <c r="AC325" s="15"/>
      <c r="AD325" s="15"/>
      <c r="AE325" s="114" t="str">
        <f>IF(NOT(ISBLANK(Audit[[#This Row],[Audit Winning Candidate]])), Audit[[#This Row],[Audit Winning Candidate]]-Audit[[#This Row],[Winning Candidate]], "")</f>
        <v/>
      </c>
      <c r="AF325" s="18" t="str">
        <f>IF(NOT(ISBLANK(Audit[[#This Row],[Audit Losing Candidate]])), Audit[[#This Row],[Audit Losing Candidate]]-Audit[[#This Row],[Losing Candidate]], "")</f>
        <v/>
      </c>
      <c r="AG325" s="18" t="str">
        <f>IF(NOT(ISBLANK(Audit[[#This Row],[Audit Candidate 3]])), Audit[[#This Row],[Audit Candidate 3]]-Audit[[#This Row],[Candidate 3]], "")</f>
        <v/>
      </c>
      <c r="AH325" s="18" t="str">
        <f>IF(NOT(ISBLANK(Audit[[#This Row],[Audit Candidate 4]])),Audit[[#This Row],[Audit Candidate 4]]-Audit[[#This Row],[Candidate 4]], "")</f>
        <v/>
      </c>
      <c r="AI325" s="18" t="str">
        <f>IF(NOT(ISBLANK(Audit[[#This Row],[Audit Candidate 5]])), Audit[[#This Row],[Audit Candidate 5]]-Audit[[#This Row],[Candidate 5]], "")</f>
        <v/>
      </c>
      <c r="AJ325" s="18" t="str">
        <f>IF(NOT(ISBLANK(Audit[[#This Row],[Audit Candidate 6]])), Audit[[#This Row],[Audit Candidate 6]]-Audit[[#This Row],[Candidate 6]], "")</f>
        <v/>
      </c>
      <c r="AK325" s="18" t="str">
        <f>IF(NOT(ISBLANK(Audit[[#This Row],[Audit Candidate 7]])), Audit[[#This Row],[Audit Candidate 7]]-Audit[[#This Row],[Candidate 7]], "")</f>
        <v/>
      </c>
      <c r="AL325" s="18" t="str">
        <f>IF(NOT(ISBLANK(Audit[[#This Row],[Audit Candidate 8]])), Audit[[#This Row],[Audit Candidate 8]]-Audit[[#This Row],[Candidate 8]], "")</f>
        <v/>
      </c>
      <c r="AM325" s="18" t="str">
        <f>IF(NOT(ISBLANK(Audit[[#This Row],[Audit Candidate 9]])), Audit[[#This Row],[Audit Candidate 9]]-Audit[[#This Row],[Candidate 9]], "")</f>
        <v/>
      </c>
      <c r="AN325" s="18" t="str">
        <f>IF(NOT(ISBLANK(Audit[[#This Row],[Audit Candidate 10]])), Audit[[#This Row],[Audit Candidate 10]]-Audit[[#This Row],[Candidate 10]], "")</f>
        <v/>
      </c>
      <c r="AO325" s="18" t="str">
        <f>IF(NOT(ISBLANK(Audit[[#This Row],[Audit Candidate 11]])), Audit[[#This Row],[Audit Candidate 11]]-Audit[[#This Row],[Candidate 11]], "")</f>
        <v/>
      </c>
      <c r="AP325" s="18" t="str">
        <f>IF(NOT(ISBLANK(Audit[[#This Row],[Audit Candidate 12]])), Audit[[#This Row],[Audit Candidate 12]]-Audit[[#This Row],[Candidate 12]], "")</f>
        <v/>
      </c>
      <c r="AQ325" s="18">
        <f>SUMIF(Audit[[#This Row],[Difference Winner]:[Difference Candidate 12]], "&gt;0")</f>
        <v>0</v>
      </c>
      <c r="AR325" s="18">
        <f>SUM(Audit[[#This Row],[Difference Winner]:[Difference Candidate 12]])</f>
        <v>0</v>
      </c>
      <c r="AS325" s="18">
        <f>IF(Audit[[#This Row],[Times p Drawn - With Replacement]]&gt;0, IF(Audit[[#This Row],[Canceled Differences]]&lt;0, Audit[[#This Row],[Max Differences]]+ABS(Audit[[#This Row],[Canceled Differences]]), Audit[[#This Row],[Max Differences]]), 0)</f>
        <v>0</v>
      </c>
      <c r="AT325" s="18">
        <f>'Sampling Data'!AB325</f>
        <v>6.9101988252662E-4</v>
      </c>
      <c r="AU325" s="18">
        <f>IF(
      SUM(Audit[[#This Row],[Audit Losing Candidate]:[Audit Candidate 12]])
      &lt;&gt;0,
      (Audit[[#This Row],[Winning Candidate]]-Audit[[#This Row],[Losing Candidate]]-(Audit[[#This Row],[Audit Winning Candidate]]-Audit[[#This Row],[Audit Losing Candidate]]))/(Audit[[#Totals],[Winning Candidate]]-Audit[[#Totals],[Losing Candidate]]),
      0
)</f>
        <v>0</v>
      </c>
      <c r="AV3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8">
        <f>IF(Audit[[#This Row],[Max Relative Error (ep)]] = 0, 0, Audit[[#This Row],[Max Relative Error (ep)]]/Audit[[#This Row],[Error Bound (up) - Max. possible relative overstatement]])</f>
        <v>0</v>
      </c>
      <c r="BH3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5" s="18">
        <f t="shared" si="5"/>
        <v>1</v>
      </c>
      <c r="BJ325" s="18">
        <f>PRODUCT($BI$5:BI325)</f>
        <v>0.57146126097022543</v>
      </c>
      <c r="BK325" s="20">
        <f>1 - Audit[[#This Row],[K-M P Value]]</f>
        <v>0.42853873902977457</v>
      </c>
      <c r="BL325" s="18" t="str">
        <f>IF(Audit[[#This Row],[K-M P Value]]&gt;1-'General Info'!$B$12,"Continue", "Stop")</f>
        <v>Continue</v>
      </c>
      <c r="BM325" s="23" t="b">
        <f>IF(Audit[[#This Row],[Status - Continue or stop audit]] = "Continue", TRUE, IF(BL324 = "Continue", TRUE, FALSE))</f>
        <v>1</v>
      </c>
      <c r="BN325" s="23"/>
    </row>
    <row r="326" spans="1:66" ht="15" hidden="1" customHeight="1" x14ac:dyDescent="0.35">
      <c r="A326" s="18" t="str">
        <f>'Sampling Data'!AI326</f>
        <v/>
      </c>
      <c r="B326" s="18" t="str">
        <f>'Sampling Data'!A326</f>
        <v>5607 AND G   (AV)</v>
      </c>
      <c r="C326" s="18">
        <f>'Sampling Data'!B326</f>
        <v>13</v>
      </c>
      <c r="D326" s="18">
        <f>'Sampling Data'!C326</f>
        <v>2</v>
      </c>
      <c r="E326" s="19">
        <f>'Sampling Data'!D326</f>
        <v>0</v>
      </c>
      <c r="F326" s="19">
        <f>'Sampling Data'!E326</f>
        <v>0</v>
      </c>
      <c r="G326" s="19">
        <f>'Sampling Data'!F326</f>
        <v>0</v>
      </c>
      <c r="H326" s="19">
        <f>'Sampling Data'!G326</f>
        <v>0</v>
      </c>
      <c r="I326" s="19">
        <f>'Sampling Data'!H326</f>
        <v>0</v>
      </c>
      <c r="J326" s="19">
        <f>'Sampling Data'!I326</f>
        <v>0</v>
      </c>
      <c r="K326" s="19">
        <f>'Sampling Data'!J326</f>
        <v>0</v>
      </c>
      <c r="L326" s="19">
        <f>'Sampling Data'!K326</f>
        <v>0</v>
      </c>
      <c r="M326" s="19">
        <f>'Sampling Data'!L326</f>
        <v>0</v>
      </c>
      <c r="N326" s="19">
        <f>'Sampling Data'!M326</f>
        <v>0</v>
      </c>
      <c r="O326" s="18">
        <f>'Sampling Data'!N326</f>
        <v>0</v>
      </c>
      <c r="P326" s="18">
        <f>'Sampling Data'!O326</f>
        <v>1</v>
      </c>
      <c r="Q326" s="18">
        <f>'Sampling Data'!P326</f>
        <v>16</v>
      </c>
      <c r="R326" s="18">
        <f>'Sampling Data'!AJ326</f>
        <v>0</v>
      </c>
      <c r="S326" s="112"/>
      <c r="T326" s="112"/>
      <c r="U326" s="113"/>
      <c r="V326" s="113"/>
      <c r="W326" s="112"/>
      <c r="X326" s="112"/>
      <c r="Y326" s="112"/>
      <c r="Z326" s="112"/>
      <c r="AA326" s="15"/>
      <c r="AB326" s="15"/>
      <c r="AC326" s="15"/>
      <c r="AD326" s="15"/>
      <c r="AE326" s="114" t="str">
        <f>IF(NOT(ISBLANK(Audit[[#This Row],[Audit Winning Candidate]])), Audit[[#This Row],[Audit Winning Candidate]]-Audit[[#This Row],[Winning Candidate]], "")</f>
        <v/>
      </c>
      <c r="AF326" s="18" t="str">
        <f>IF(NOT(ISBLANK(Audit[[#This Row],[Audit Losing Candidate]])), Audit[[#This Row],[Audit Losing Candidate]]-Audit[[#This Row],[Losing Candidate]], "")</f>
        <v/>
      </c>
      <c r="AG326" s="18" t="str">
        <f>IF(NOT(ISBLANK(Audit[[#This Row],[Audit Candidate 3]])), Audit[[#This Row],[Audit Candidate 3]]-Audit[[#This Row],[Candidate 3]], "")</f>
        <v/>
      </c>
      <c r="AH326" s="18" t="str">
        <f>IF(NOT(ISBLANK(Audit[[#This Row],[Audit Candidate 4]])),Audit[[#This Row],[Audit Candidate 4]]-Audit[[#This Row],[Candidate 4]], "")</f>
        <v/>
      </c>
      <c r="AI326" s="18" t="str">
        <f>IF(NOT(ISBLANK(Audit[[#This Row],[Audit Candidate 5]])), Audit[[#This Row],[Audit Candidate 5]]-Audit[[#This Row],[Candidate 5]], "")</f>
        <v/>
      </c>
      <c r="AJ326" s="18" t="str">
        <f>IF(NOT(ISBLANK(Audit[[#This Row],[Audit Candidate 6]])), Audit[[#This Row],[Audit Candidate 6]]-Audit[[#This Row],[Candidate 6]], "")</f>
        <v/>
      </c>
      <c r="AK326" s="18" t="str">
        <f>IF(NOT(ISBLANK(Audit[[#This Row],[Audit Candidate 7]])), Audit[[#This Row],[Audit Candidate 7]]-Audit[[#This Row],[Candidate 7]], "")</f>
        <v/>
      </c>
      <c r="AL326" s="18" t="str">
        <f>IF(NOT(ISBLANK(Audit[[#This Row],[Audit Candidate 8]])), Audit[[#This Row],[Audit Candidate 8]]-Audit[[#This Row],[Candidate 8]], "")</f>
        <v/>
      </c>
      <c r="AM326" s="18" t="str">
        <f>IF(NOT(ISBLANK(Audit[[#This Row],[Audit Candidate 9]])), Audit[[#This Row],[Audit Candidate 9]]-Audit[[#This Row],[Candidate 9]], "")</f>
        <v/>
      </c>
      <c r="AN326" s="18" t="str">
        <f>IF(NOT(ISBLANK(Audit[[#This Row],[Audit Candidate 10]])), Audit[[#This Row],[Audit Candidate 10]]-Audit[[#This Row],[Candidate 10]], "")</f>
        <v/>
      </c>
      <c r="AO326" s="18" t="str">
        <f>IF(NOT(ISBLANK(Audit[[#This Row],[Audit Candidate 11]])), Audit[[#This Row],[Audit Candidate 11]]-Audit[[#This Row],[Candidate 11]], "")</f>
        <v/>
      </c>
      <c r="AP326" s="18" t="str">
        <f>IF(NOT(ISBLANK(Audit[[#This Row],[Audit Candidate 12]])), Audit[[#This Row],[Audit Candidate 12]]-Audit[[#This Row],[Candidate 12]], "")</f>
        <v/>
      </c>
      <c r="AQ326" s="18">
        <f>SUMIF(Audit[[#This Row],[Difference Winner]:[Difference Candidate 12]], "&gt;0")</f>
        <v>0</v>
      </c>
      <c r="AR326" s="18">
        <f>SUM(Audit[[#This Row],[Difference Winner]:[Difference Candidate 12]])</f>
        <v>0</v>
      </c>
      <c r="AS326" s="18">
        <f>IF(Audit[[#This Row],[Times p Drawn - With Replacement]]&gt;0, IF(Audit[[#This Row],[Canceled Differences]]&lt;0, Audit[[#This Row],[Max Differences]]+ABS(Audit[[#This Row],[Canceled Differences]]), Audit[[#This Row],[Max Differences]]), 0)</f>
        <v>0</v>
      </c>
      <c r="AT326" s="18">
        <f>'Sampling Data'!AB326</f>
        <v>8.4806985582812453E-4</v>
      </c>
      <c r="AU326" s="18">
        <f>IF(
      SUM(Audit[[#This Row],[Audit Losing Candidate]:[Audit Candidate 12]])
      &lt;&gt;0,
      (Audit[[#This Row],[Winning Candidate]]-Audit[[#This Row],[Losing Candidate]]-(Audit[[#This Row],[Audit Winning Candidate]]-Audit[[#This Row],[Audit Losing Candidate]]))/(Audit[[#Totals],[Winning Candidate]]-Audit[[#Totals],[Losing Candidate]]),
      0
)</f>
        <v>0</v>
      </c>
      <c r="AV3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8">
        <f>IF(Audit[[#This Row],[Max Relative Error (ep)]] = 0, 0, Audit[[#This Row],[Max Relative Error (ep)]]/Audit[[#This Row],[Error Bound (up) - Max. possible relative overstatement]])</f>
        <v>0</v>
      </c>
      <c r="BH3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6" s="18">
        <f t="shared" si="5"/>
        <v>1</v>
      </c>
      <c r="BJ326" s="18">
        <f>PRODUCT($BI$5:BI326)</f>
        <v>0.57146126097022543</v>
      </c>
      <c r="BK326" s="20">
        <f>1 - Audit[[#This Row],[K-M P Value]]</f>
        <v>0.42853873902977457</v>
      </c>
      <c r="BL326" s="18" t="str">
        <f>IF(Audit[[#This Row],[K-M P Value]]&gt;1-'General Info'!$B$12,"Continue", "Stop")</f>
        <v>Continue</v>
      </c>
      <c r="BM326" s="23" t="b">
        <f>IF(Audit[[#This Row],[Status - Continue or stop audit]] = "Continue", TRUE, IF(BL325 = "Continue", TRUE, FALSE))</f>
        <v>1</v>
      </c>
      <c r="BN326" s="23"/>
    </row>
    <row r="327" spans="1:66" ht="15" hidden="1" customHeight="1" x14ac:dyDescent="0.35">
      <c r="A327" s="18" t="str">
        <f>'Sampling Data'!AI327</f>
        <v/>
      </c>
      <c r="B327" s="18" t="str">
        <f>'Sampling Data'!A327</f>
        <v>5608 AND H   (AV)</v>
      </c>
      <c r="C327" s="18">
        <f>'Sampling Data'!B327</f>
        <v>21</v>
      </c>
      <c r="D327" s="18">
        <f>'Sampling Data'!C327</f>
        <v>2</v>
      </c>
      <c r="E327" s="19">
        <f>'Sampling Data'!D327</f>
        <v>0</v>
      </c>
      <c r="F327" s="19">
        <f>'Sampling Data'!E327</f>
        <v>0</v>
      </c>
      <c r="G327" s="19">
        <f>'Sampling Data'!F327</f>
        <v>0</v>
      </c>
      <c r="H327" s="19">
        <f>'Sampling Data'!G327</f>
        <v>0</v>
      </c>
      <c r="I327" s="19">
        <f>'Sampling Data'!H327</f>
        <v>0</v>
      </c>
      <c r="J327" s="19">
        <f>'Sampling Data'!I327</f>
        <v>0</v>
      </c>
      <c r="K327" s="19">
        <f>'Sampling Data'!J327</f>
        <v>0</v>
      </c>
      <c r="L327" s="19">
        <f>'Sampling Data'!K327</f>
        <v>0</v>
      </c>
      <c r="M327" s="19">
        <f>'Sampling Data'!L327</f>
        <v>0</v>
      </c>
      <c r="N327" s="19">
        <f>'Sampling Data'!M327</f>
        <v>0</v>
      </c>
      <c r="O327" s="18">
        <f>'Sampling Data'!N327</f>
        <v>0</v>
      </c>
      <c r="P327" s="18">
        <f>'Sampling Data'!O327</f>
        <v>0</v>
      </c>
      <c r="Q327" s="18">
        <f>'Sampling Data'!P327</f>
        <v>23</v>
      </c>
      <c r="R327" s="18">
        <f>'Sampling Data'!AJ327</f>
        <v>0</v>
      </c>
      <c r="S327" s="112"/>
      <c r="T327" s="112"/>
      <c r="U327" s="113"/>
      <c r="V327" s="113"/>
      <c r="W327" s="112"/>
      <c r="X327" s="112"/>
      <c r="Y327" s="112"/>
      <c r="Z327" s="112"/>
      <c r="AA327" s="15"/>
      <c r="AB327" s="15"/>
      <c r="AC327" s="15"/>
      <c r="AD327" s="15"/>
      <c r="AE327" s="114" t="str">
        <f>IF(NOT(ISBLANK(Audit[[#This Row],[Audit Winning Candidate]])), Audit[[#This Row],[Audit Winning Candidate]]-Audit[[#This Row],[Winning Candidate]], "")</f>
        <v/>
      </c>
      <c r="AF327" s="18" t="str">
        <f>IF(NOT(ISBLANK(Audit[[#This Row],[Audit Losing Candidate]])), Audit[[#This Row],[Audit Losing Candidate]]-Audit[[#This Row],[Losing Candidate]], "")</f>
        <v/>
      </c>
      <c r="AG327" s="18" t="str">
        <f>IF(NOT(ISBLANK(Audit[[#This Row],[Audit Candidate 3]])), Audit[[#This Row],[Audit Candidate 3]]-Audit[[#This Row],[Candidate 3]], "")</f>
        <v/>
      </c>
      <c r="AH327" s="18" t="str">
        <f>IF(NOT(ISBLANK(Audit[[#This Row],[Audit Candidate 4]])),Audit[[#This Row],[Audit Candidate 4]]-Audit[[#This Row],[Candidate 4]], "")</f>
        <v/>
      </c>
      <c r="AI327" s="18" t="str">
        <f>IF(NOT(ISBLANK(Audit[[#This Row],[Audit Candidate 5]])), Audit[[#This Row],[Audit Candidate 5]]-Audit[[#This Row],[Candidate 5]], "")</f>
        <v/>
      </c>
      <c r="AJ327" s="18" t="str">
        <f>IF(NOT(ISBLANK(Audit[[#This Row],[Audit Candidate 6]])), Audit[[#This Row],[Audit Candidate 6]]-Audit[[#This Row],[Candidate 6]], "")</f>
        <v/>
      </c>
      <c r="AK327" s="18" t="str">
        <f>IF(NOT(ISBLANK(Audit[[#This Row],[Audit Candidate 7]])), Audit[[#This Row],[Audit Candidate 7]]-Audit[[#This Row],[Candidate 7]], "")</f>
        <v/>
      </c>
      <c r="AL327" s="18" t="str">
        <f>IF(NOT(ISBLANK(Audit[[#This Row],[Audit Candidate 8]])), Audit[[#This Row],[Audit Candidate 8]]-Audit[[#This Row],[Candidate 8]], "")</f>
        <v/>
      </c>
      <c r="AM327" s="18" t="str">
        <f>IF(NOT(ISBLANK(Audit[[#This Row],[Audit Candidate 9]])), Audit[[#This Row],[Audit Candidate 9]]-Audit[[#This Row],[Candidate 9]], "")</f>
        <v/>
      </c>
      <c r="AN327" s="18" t="str">
        <f>IF(NOT(ISBLANK(Audit[[#This Row],[Audit Candidate 10]])), Audit[[#This Row],[Audit Candidate 10]]-Audit[[#This Row],[Candidate 10]], "")</f>
        <v/>
      </c>
      <c r="AO327" s="18" t="str">
        <f>IF(NOT(ISBLANK(Audit[[#This Row],[Audit Candidate 11]])), Audit[[#This Row],[Audit Candidate 11]]-Audit[[#This Row],[Candidate 11]], "")</f>
        <v/>
      </c>
      <c r="AP327" s="18" t="str">
        <f>IF(NOT(ISBLANK(Audit[[#This Row],[Audit Candidate 12]])), Audit[[#This Row],[Audit Candidate 12]]-Audit[[#This Row],[Candidate 12]], "")</f>
        <v/>
      </c>
      <c r="AQ327" s="18">
        <f>SUMIF(Audit[[#This Row],[Difference Winner]:[Difference Candidate 12]], "&gt;0")</f>
        <v>0</v>
      </c>
      <c r="AR327" s="18">
        <f>SUM(Audit[[#This Row],[Difference Winner]:[Difference Candidate 12]])</f>
        <v>0</v>
      </c>
      <c r="AS327" s="18">
        <f>IF(Audit[[#This Row],[Times p Drawn - With Replacement]]&gt;0, IF(Audit[[#This Row],[Canceled Differences]]&lt;0, Audit[[#This Row],[Max Differences]]+ABS(Audit[[#This Row],[Canceled Differences]]), Audit[[#This Row],[Max Differences]]), 0)</f>
        <v>0</v>
      </c>
      <c r="AT327" s="18">
        <f>'Sampling Data'!AB327</f>
        <v>1.3192197757326382E-3</v>
      </c>
      <c r="AU327" s="18">
        <f>IF(
      SUM(Audit[[#This Row],[Audit Losing Candidate]:[Audit Candidate 12]])
      &lt;&gt;0,
      (Audit[[#This Row],[Winning Candidate]]-Audit[[#This Row],[Losing Candidate]]-(Audit[[#This Row],[Audit Winning Candidate]]-Audit[[#This Row],[Audit Losing Candidate]]))/(Audit[[#Totals],[Winning Candidate]]-Audit[[#Totals],[Losing Candidate]]),
      0
)</f>
        <v>0</v>
      </c>
      <c r="AV3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8">
        <f>IF(Audit[[#This Row],[Max Relative Error (ep)]] = 0, 0, Audit[[#This Row],[Max Relative Error (ep)]]/Audit[[#This Row],[Error Bound (up) - Max. possible relative overstatement]])</f>
        <v>0</v>
      </c>
      <c r="BH3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7" s="18">
        <f t="shared" si="5"/>
        <v>1</v>
      </c>
      <c r="BJ327" s="18">
        <f>PRODUCT($BI$5:BI327)</f>
        <v>0.57146126097022543</v>
      </c>
      <c r="BK327" s="20">
        <f>1 - Audit[[#This Row],[K-M P Value]]</f>
        <v>0.42853873902977457</v>
      </c>
      <c r="BL327" s="18" t="str">
        <f>IF(Audit[[#This Row],[K-M P Value]]&gt;1-'General Info'!$B$12,"Continue", "Stop")</f>
        <v>Continue</v>
      </c>
      <c r="BM327" s="23" t="b">
        <f>IF(Audit[[#This Row],[Status - Continue or stop audit]] = "Continue", TRUE, IF(BL326 = "Continue", TRUE, FALSE))</f>
        <v>1</v>
      </c>
      <c r="BN327" s="23"/>
    </row>
    <row r="328" spans="1:66" ht="15" customHeight="1" x14ac:dyDescent="0.35">
      <c r="A328" s="18">
        <f>'Sampling Data'!AI328</f>
        <v>3</v>
      </c>
      <c r="B328" s="18" t="str">
        <f>'Sampling Data'!A328</f>
        <v>5609 AND I   (AV)</v>
      </c>
      <c r="C328" s="18">
        <f>'Sampling Data'!B328</f>
        <v>17</v>
      </c>
      <c r="D328" s="18">
        <f>'Sampling Data'!C328</f>
        <v>1</v>
      </c>
      <c r="E328" s="19">
        <f>'Sampling Data'!D328</f>
        <v>0</v>
      </c>
      <c r="F328" s="19">
        <f>'Sampling Data'!E328</f>
        <v>0</v>
      </c>
      <c r="G328" s="19">
        <f>'Sampling Data'!F328</f>
        <v>0</v>
      </c>
      <c r="H328" s="19">
        <f>'Sampling Data'!G328</f>
        <v>0</v>
      </c>
      <c r="I328" s="19">
        <f>'Sampling Data'!H328</f>
        <v>0</v>
      </c>
      <c r="J328" s="19">
        <f>'Sampling Data'!I328</f>
        <v>0</v>
      </c>
      <c r="K328" s="19">
        <f>'Sampling Data'!J328</f>
        <v>0</v>
      </c>
      <c r="L328" s="19">
        <f>'Sampling Data'!K328</f>
        <v>0</v>
      </c>
      <c r="M328" s="19">
        <f>'Sampling Data'!L328</f>
        <v>0</v>
      </c>
      <c r="N328" s="19">
        <f>'Sampling Data'!M328</f>
        <v>0</v>
      </c>
      <c r="O328" s="18">
        <f>'Sampling Data'!N328</f>
        <v>0</v>
      </c>
      <c r="P328" s="18">
        <f>'Sampling Data'!O328</f>
        <v>1</v>
      </c>
      <c r="Q328" s="18">
        <f>'Sampling Data'!P328</f>
        <v>19</v>
      </c>
      <c r="R328" s="18">
        <f>'Sampling Data'!AJ328</f>
        <v>1</v>
      </c>
      <c r="S328" s="112">
        <v>17</v>
      </c>
      <c r="T328" s="112">
        <v>1</v>
      </c>
      <c r="U328" s="113"/>
      <c r="V328" s="113"/>
      <c r="W328" s="112"/>
      <c r="X328" s="112"/>
      <c r="Y328" s="112"/>
      <c r="Z328" s="112"/>
      <c r="AA328" s="15"/>
      <c r="AB328" s="15"/>
      <c r="AC328" s="15"/>
      <c r="AD328" s="15"/>
      <c r="AE328" s="114">
        <f>IF(NOT(ISBLANK(Audit[[#This Row],[Audit Winning Candidate]])), Audit[[#This Row],[Audit Winning Candidate]]-Audit[[#This Row],[Winning Candidate]], "")</f>
        <v>0</v>
      </c>
      <c r="AF328" s="18">
        <f>IF(NOT(ISBLANK(Audit[[#This Row],[Audit Losing Candidate]])), Audit[[#This Row],[Audit Losing Candidate]]-Audit[[#This Row],[Losing Candidate]], "")</f>
        <v>0</v>
      </c>
      <c r="AG328" s="18" t="str">
        <f>IF(NOT(ISBLANK(Audit[[#This Row],[Audit Candidate 3]])), Audit[[#This Row],[Audit Candidate 3]]-Audit[[#This Row],[Candidate 3]], "")</f>
        <v/>
      </c>
      <c r="AH328" s="18" t="str">
        <f>IF(NOT(ISBLANK(Audit[[#This Row],[Audit Candidate 4]])),Audit[[#This Row],[Audit Candidate 4]]-Audit[[#This Row],[Candidate 4]], "")</f>
        <v/>
      </c>
      <c r="AI328" s="18" t="str">
        <f>IF(NOT(ISBLANK(Audit[[#This Row],[Audit Candidate 5]])), Audit[[#This Row],[Audit Candidate 5]]-Audit[[#This Row],[Candidate 5]], "")</f>
        <v/>
      </c>
      <c r="AJ328" s="18" t="str">
        <f>IF(NOT(ISBLANK(Audit[[#This Row],[Audit Candidate 6]])), Audit[[#This Row],[Audit Candidate 6]]-Audit[[#This Row],[Candidate 6]], "")</f>
        <v/>
      </c>
      <c r="AK328" s="18" t="str">
        <f>IF(NOT(ISBLANK(Audit[[#This Row],[Audit Candidate 7]])), Audit[[#This Row],[Audit Candidate 7]]-Audit[[#This Row],[Candidate 7]], "")</f>
        <v/>
      </c>
      <c r="AL328" s="18" t="str">
        <f>IF(NOT(ISBLANK(Audit[[#This Row],[Audit Candidate 8]])), Audit[[#This Row],[Audit Candidate 8]]-Audit[[#This Row],[Candidate 8]], "")</f>
        <v/>
      </c>
      <c r="AM328" s="18" t="str">
        <f>IF(NOT(ISBLANK(Audit[[#This Row],[Audit Candidate 9]])), Audit[[#This Row],[Audit Candidate 9]]-Audit[[#This Row],[Candidate 9]], "")</f>
        <v/>
      </c>
      <c r="AN328" s="18" t="str">
        <f>IF(NOT(ISBLANK(Audit[[#This Row],[Audit Candidate 10]])), Audit[[#This Row],[Audit Candidate 10]]-Audit[[#This Row],[Candidate 10]], "")</f>
        <v/>
      </c>
      <c r="AO328" s="18" t="str">
        <f>IF(NOT(ISBLANK(Audit[[#This Row],[Audit Candidate 11]])), Audit[[#This Row],[Audit Candidate 11]]-Audit[[#This Row],[Candidate 11]], "")</f>
        <v/>
      </c>
      <c r="AP328" s="18" t="str">
        <f>IF(NOT(ISBLANK(Audit[[#This Row],[Audit Candidate 12]])), Audit[[#This Row],[Audit Candidate 12]]-Audit[[#This Row],[Candidate 12]], "")</f>
        <v/>
      </c>
      <c r="AQ328" s="18">
        <f>SUMIF(Audit[[#This Row],[Difference Winner]:[Difference Candidate 12]], "&gt;0")</f>
        <v>0</v>
      </c>
      <c r="AR328" s="18">
        <f>SUM(Audit[[#This Row],[Difference Winner]:[Difference Candidate 12]])</f>
        <v>0</v>
      </c>
      <c r="AS328" s="18">
        <f>IF(Audit[[#This Row],[Times p Drawn - With Replacement]]&gt;0, IF(Audit[[#This Row],[Canceled Differences]]&lt;0, Audit[[#This Row],[Max Differences]]+ABS(Audit[[#This Row],[Canceled Differences]]), Audit[[#This Row],[Max Differences]]), 0)</f>
        <v>0</v>
      </c>
      <c r="AT328" s="18">
        <f>'Sampling Data'!AB328</f>
        <v>1.0993498131105317E-3</v>
      </c>
      <c r="AU328" s="18">
        <f>IF(
      SUM(Audit[[#This Row],[Audit Losing Candidate]:[Audit Candidate 12]])
      &lt;&gt;0,
      (Audit[[#This Row],[Winning Candidate]]-Audit[[#This Row],[Losing Candidate]]-(Audit[[#This Row],[Audit Winning Candidate]]-Audit[[#This Row],[Audit Losing Candidate]]))/(Audit[[#Totals],[Winning Candidate]]-Audit[[#Totals],[Losing Candidate]]),
      0
)</f>
        <v>0</v>
      </c>
      <c r="AV3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8">
        <f>IF(Audit[[#This Row],[Max Relative Error (ep)]] = 0, 0, Audit[[#This Row],[Max Relative Error (ep)]]/Audit[[#This Row],[Error Bound (up) - Max. possible relative overstatement]])</f>
        <v>0</v>
      </c>
      <c r="BH3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8" s="18">
        <f t="shared" si="5"/>
        <v>0.57146126097022543</v>
      </c>
      <c r="BJ328" s="18">
        <f>PRODUCT($BI$5:BI328)</f>
        <v>0.32656797278968008</v>
      </c>
      <c r="BK328" s="20">
        <f>1 - Audit[[#This Row],[K-M P Value]]</f>
        <v>0.67343202721031992</v>
      </c>
      <c r="BL328" s="18" t="str">
        <f>IF(Audit[[#This Row],[K-M P Value]]&gt;1-'General Info'!$B$12,"Continue", "Stop")</f>
        <v>Continue</v>
      </c>
      <c r="BM328" s="23" t="b">
        <f>IF(Audit[[#This Row],[Status - Continue or stop audit]] = "Continue", TRUE, IF(BL327 = "Continue", TRUE, FALSE))</f>
        <v>1</v>
      </c>
      <c r="BN328" s="23"/>
    </row>
    <row r="329" spans="1:66" ht="15" hidden="1" customHeight="1" x14ac:dyDescent="0.35">
      <c r="A329" s="18" t="str">
        <f>'Sampling Data'!AI329</f>
        <v/>
      </c>
      <c r="B329" s="18" t="str">
        <f>'Sampling Data'!A329</f>
        <v>5610 AND J   (AV)</v>
      </c>
      <c r="C329" s="18">
        <f>'Sampling Data'!B329</f>
        <v>23</v>
      </c>
      <c r="D329" s="18">
        <f>'Sampling Data'!C329</f>
        <v>2</v>
      </c>
      <c r="E329" s="19">
        <f>'Sampling Data'!D329</f>
        <v>0</v>
      </c>
      <c r="F329" s="19">
        <f>'Sampling Data'!E329</f>
        <v>0</v>
      </c>
      <c r="G329" s="19">
        <f>'Sampling Data'!F329</f>
        <v>0</v>
      </c>
      <c r="H329" s="19">
        <f>'Sampling Data'!G329</f>
        <v>0</v>
      </c>
      <c r="I329" s="19">
        <f>'Sampling Data'!H329</f>
        <v>0</v>
      </c>
      <c r="J329" s="19">
        <f>'Sampling Data'!I329</f>
        <v>0</v>
      </c>
      <c r="K329" s="19">
        <f>'Sampling Data'!J329</f>
        <v>0</v>
      </c>
      <c r="L329" s="19">
        <f>'Sampling Data'!K329</f>
        <v>0</v>
      </c>
      <c r="M329" s="19">
        <f>'Sampling Data'!L329</f>
        <v>0</v>
      </c>
      <c r="N329" s="19">
        <f>'Sampling Data'!M329</f>
        <v>0</v>
      </c>
      <c r="O329" s="18">
        <f>'Sampling Data'!N329</f>
        <v>0</v>
      </c>
      <c r="P329" s="18">
        <f>'Sampling Data'!O329</f>
        <v>0</v>
      </c>
      <c r="Q329" s="18">
        <f>'Sampling Data'!P329</f>
        <v>25</v>
      </c>
      <c r="R329" s="18">
        <f>'Sampling Data'!AJ329</f>
        <v>0</v>
      </c>
      <c r="S329" s="112"/>
      <c r="T329" s="112"/>
      <c r="U329" s="113"/>
      <c r="V329" s="113"/>
      <c r="W329" s="112"/>
      <c r="X329" s="112"/>
      <c r="Y329" s="112"/>
      <c r="Z329" s="112"/>
      <c r="AA329" s="15"/>
      <c r="AB329" s="15"/>
      <c r="AC329" s="15"/>
      <c r="AD329" s="15"/>
      <c r="AE329" s="114" t="str">
        <f>IF(NOT(ISBLANK(Audit[[#This Row],[Audit Winning Candidate]])), Audit[[#This Row],[Audit Winning Candidate]]-Audit[[#This Row],[Winning Candidate]], "")</f>
        <v/>
      </c>
      <c r="AF329" s="18" t="str">
        <f>IF(NOT(ISBLANK(Audit[[#This Row],[Audit Losing Candidate]])), Audit[[#This Row],[Audit Losing Candidate]]-Audit[[#This Row],[Losing Candidate]], "")</f>
        <v/>
      </c>
      <c r="AG329" s="18" t="str">
        <f>IF(NOT(ISBLANK(Audit[[#This Row],[Audit Candidate 3]])), Audit[[#This Row],[Audit Candidate 3]]-Audit[[#This Row],[Candidate 3]], "")</f>
        <v/>
      </c>
      <c r="AH329" s="18" t="str">
        <f>IF(NOT(ISBLANK(Audit[[#This Row],[Audit Candidate 4]])),Audit[[#This Row],[Audit Candidate 4]]-Audit[[#This Row],[Candidate 4]], "")</f>
        <v/>
      </c>
      <c r="AI329" s="18" t="str">
        <f>IF(NOT(ISBLANK(Audit[[#This Row],[Audit Candidate 5]])), Audit[[#This Row],[Audit Candidate 5]]-Audit[[#This Row],[Candidate 5]], "")</f>
        <v/>
      </c>
      <c r="AJ329" s="18" t="str">
        <f>IF(NOT(ISBLANK(Audit[[#This Row],[Audit Candidate 6]])), Audit[[#This Row],[Audit Candidate 6]]-Audit[[#This Row],[Candidate 6]], "")</f>
        <v/>
      </c>
      <c r="AK329" s="18" t="str">
        <f>IF(NOT(ISBLANK(Audit[[#This Row],[Audit Candidate 7]])), Audit[[#This Row],[Audit Candidate 7]]-Audit[[#This Row],[Candidate 7]], "")</f>
        <v/>
      </c>
      <c r="AL329" s="18" t="str">
        <f>IF(NOT(ISBLANK(Audit[[#This Row],[Audit Candidate 8]])), Audit[[#This Row],[Audit Candidate 8]]-Audit[[#This Row],[Candidate 8]], "")</f>
        <v/>
      </c>
      <c r="AM329" s="18" t="str">
        <f>IF(NOT(ISBLANK(Audit[[#This Row],[Audit Candidate 9]])), Audit[[#This Row],[Audit Candidate 9]]-Audit[[#This Row],[Candidate 9]], "")</f>
        <v/>
      </c>
      <c r="AN329" s="18" t="str">
        <f>IF(NOT(ISBLANK(Audit[[#This Row],[Audit Candidate 10]])), Audit[[#This Row],[Audit Candidate 10]]-Audit[[#This Row],[Candidate 10]], "")</f>
        <v/>
      </c>
      <c r="AO329" s="18" t="str">
        <f>IF(NOT(ISBLANK(Audit[[#This Row],[Audit Candidate 11]])), Audit[[#This Row],[Audit Candidate 11]]-Audit[[#This Row],[Candidate 11]], "")</f>
        <v/>
      </c>
      <c r="AP329" s="18" t="str">
        <f>IF(NOT(ISBLANK(Audit[[#This Row],[Audit Candidate 12]])), Audit[[#This Row],[Audit Candidate 12]]-Audit[[#This Row],[Candidate 12]], "")</f>
        <v/>
      </c>
      <c r="AQ329" s="18">
        <f>SUMIF(Audit[[#This Row],[Difference Winner]:[Difference Candidate 12]], "&gt;0")</f>
        <v>0</v>
      </c>
      <c r="AR329" s="18">
        <f>SUM(Audit[[#This Row],[Difference Winner]:[Difference Candidate 12]])</f>
        <v>0</v>
      </c>
      <c r="AS329" s="18">
        <f>IF(Audit[[#This Row],[Times p Drawn - With Replacement]]&gt;0, IF(Audit[[#This Row],[Canceled Differences]]&lt;0, Audit[[#This Row],[Max Differences]]+ABS(Audit[[#This Row],[Canceled Differences]]), Audit[[#This Row],[Max Differences]]), 0)</f>
        <v>0</v>
      </c>
      <c r="AT329" s="18">
        <f>'Sampling Data'!AB329</f>
        <v>1.4448597543738418E-3</v>
      </c>
      <c r="AU329" s="18">
        <f>IF(
      SUM(Audit[[#This Row],[Audit Losing Candidate]:[Audit Candidate 12]])
      &lt;&gt;0,
      (Audit[[#This Row],[Winning Candidate]]-Audit[[#This Row],[Losing Candidate]]-(Audit[[#This Row],[Audit Winning Candidate]]-Audit[[#This Row],[Audit Losing Candidate]]))/(Audit[[#Totals],[Winning Candidate]]-Audit[[#Totals],[Losing Candidate]]),
      0
)</f>
        <v>0</v>
      </c>
      <c r="AV3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8">
        <f>IF(Audit[[#This Row],[Max Relative Error (ep)]] = 0, 0, Audit[[#This Row],[Max Relative Error (ep)]]/Audit[[#This Row],[Error Bound (up) - Max. possible relative overstatement]])</f>
        <v>0</v>
      </c>
      <c r="BH3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29" s="18">
        <f t="shared" si="5"/>
        <v>1</v>
      </c>
      <c r="BJ329" s="18">
        <f>PRODUCT($BI$5:BI329)</f>
        <v>0.32656797278968008</v>
      </c>
      <c r="BK329" s="20">
        <f>1 - Audit[[#This Row],[K-M P Value]]</f>
        <v>0.67343202721031992</v>
      </c>
      <c r="BL329" s="18" t="str">
        <f>IF(Audit[[#This Row],[K-M P Value]]&gt;1-'General Info'!$B$12,"Continue", "Stop")</f>
        <v>Continue</v>
      </c>
      <c r="BM329" s="23" t="b">
        <f>IF(Audit[[#This Row],[Status - Continue or stop audit]] = "Continue", TRUE, IF(BL328 = "Continue", TRUE, FALSE))</f>
        <v>1</v>
      </c>
      <c r="BN329" s="23"/>
    </row>
    <row r="330" spans="1:66" ht="15" hidden="1" customHeight="1" x14ac:dyDescent="0.35">
      <c r="A330" s="18" t="str">
        <f>'Sampling Data'!AI330</f>
        <v/>
      </c>
      <c r="B330" s="18" t="str">
        <f>'Sampling Data'!A330</f>
        <v>5611 AND K   (AV)</v>
      </c>
      <c r="C330" s="18">
        <f>'Sampling Data'!B330</f>
        <v>11</v>
      </c>
      <c r="D330" s="18">
        <f>'Sampling Data'!C330</f>
        <v>4</v>
      </c>
      <c r="E330" s="19">
        <f>'Sampling Data'!D330</f>
        <v>0</v>
      </c>
      <c r="F330" s="19">
        <f>'Sampling Data'!E330</f>
        <v>0</v>
      </c>
      <c r="G330" s="19">
        <f>'Sampling Data'!F330</f>
        <v>0</v>
      </c>
      <c r="H330" s="19">
        <f>'Sampling Data'!G330</f>
        <v>0</v>
      </c>
      <c r="I330" s="19">
        <f>'Sampling Data'!H330</f>
        <v>0</v>
      </c>
      <c r="J330" s="19">
        <f>'Sampling Data'!I330</f>
        <v>0</v>
      </c>
      <c r="K330" s="19">
        <f>'Sampling Data'!J330</f>
        <v>0</v>
      </c>
      <c r="L330" s="19">
        <f>'Sampling Data'!K330</f>
        <v>0</v>
      </c>
      <c r="M330" s="19">
        <f>'Sampling Data'!L330</f>
        <v>0</v>
      </c>
      <c r="N330" s="19">
        <f>'Sampling Data'!M330</f>
        <v>0</v>
      </c>
      <c r="O330" s="18">
        <f>'Sampling Data'!N330</f>
        <v>0</v>
      </c>
      <c r="P330" s="18">
        <f>'Sampling Data'!O330</f>
        <v>1</v>
      </c>
      <c r="Q330" s="18">
        <f>'Sampling Data'!P330</f>
        <v>16</v>
      </c>
      <c r="R330" s="18">
        <f>'Sampling Data'!AJ330</f>
        <v>0</v>
      </c>
      <c r="S330" s="112"/>
      <c r="T330" s="112"/>
      <c r="U330" s="113"/>
      <c r="V330" s="113"/>
      <c r="W330" s="112"/>
      <c r="X330" s="112"/>
      <c r="Y330" s="112"/>
      <c r="Z330" s="112"/>
      <c r="AA330" s="15"/>
      <c r="AB330" s="15"/>
      <c r="AC330" s="15"/>
      <c r="AD330" s="15"/>
      <c r="AE330" s="114" t="str">
        <f>IF(NOT(ISBLANK(Audit[[#This Row],[Audit Winning Candidate]])), Audit[[#This Row],[Audit Winning Candidate]]-Audit[[#This Row],[Winning Candidate]], "")</f>
        <v/>
      </c>
      <c r="AF330" s="18" t="str">
        <f>IF(NOT(ISBLANK(Audit[[#This Row],[Audit Losing Candidate]])), Audit[[#This Row],[Audit Losing Candidate]]-Audit[[#This Row],[Losing Candidate]], "")</f>
        <v/>
      </c>
      <c r="AG330" s="18" t="str">
        <f>IF(NOT(ISBLANK(Audit[[#This Row],[Audit Candidate 3]])), Audit[[#This Row],[Audit Candidate 3]]-Audit[[#This Row],[Candidate 3]], "")</f>
        <v/>
      </c>
      <c r="AH330" s="18" t="str">
        <f>IF(NOT(ISBLANK(Audit[[#This Row],[Audit Candidate 4]])),Audit[[#This Row],[Audit Candidate 4]]-Audit[[#This Row],[Candidate 4]], "")</f>
        <v/>
      </c>
      <c r="AI330" s="18" t="str">
        <f>IF(NOT(ISBLANK(Audit[[#This Row],[Audit Candidate 5]])), Audit[[#This Row],[Audit Candidate 5]]-Audit[[#This Row],[Candidate 5]], "")</f>
        <v/>
      </c>
      <c r="AJ330" s="18" t="str">
        <f>IF(NOT(ISBLANK(Audit[[#This Row],[Audit Candidate 6]])), Audit[[#This Row],[Audit Candidate 6]]-Audit[[#This Row],[Candidate 6]], "")</f>
        <v/>
      </c>
      <c r="AK330" s="18" t="str">
        <f>IF(NOT(ISBLANK(Audit[[#This Row],[Audit Candidate 7]])), Audit[[#This Row],[Audit Candidate 7]]-Audit[[#This Row],[Candidate 7]], "")</f>
        <v/>
      </c>
      <c r="AL330" s="18" t="str">
        <f>IF(NOT(ISBLANK(Audit[[#This Row],[Audit Candidate 8]])), Audit[[#This Row],[Audit Candidate 8]]-Audit[[#This Row],[Candidate 8]], "")</f>
        <v/>
      </c>
      <c r="AM330" s="18" t="str">
        <f>IF(NOT(ISBLANK(Audit[[#This Row],[Audit Candidate 9]])), Audit[[#This Row],[Audit Candidate 9]]-Audit[[#This Row],[Candidate 9]], "")</f>
        <v/>
      </c>
      <c r="AN330" s="18" t="str">
        <f>IF(NOT(ISBLANK(Audit[[#This Row],[Audit Candidate 10]])), Audit[[#This Row],[Audit Candidate 10]]-Audit[[#This Row],[Candidate 10]], "")</f>
        <v/>
      </c>
      <c r="AO330" s="18" t="str">
        <f>IF(NOT(ISBLANK(Audit[[#This Row],[Audit Candidate 11]])), Audit[[#This Row],[Audit Candidate 11]]-Audit[[#This Row],[Candidate 11]], "")</f>
        <v/>
      </c>
      <c r="AP330" s="18" t="str">
        <f>IF(NOT(ISBLANK(Audit[[#This Row],[Audit Candidate 12]])), Audit[[#This Row],[Audit Candidate 12]]-Audit[[#This Row],[Candidate 12]], "")</f>
        <v/>
      </c>
      <c r="AQ330" s="18">
        <f>SUMIF(Audit[[#This Row],[Difference Winner]:[Difference Candidate 12]], "&gt;0")</f>
        <v>0</v>
      </c>
      <c r="AR330" s="18">
        <f>SUM(Audit[[#This Row],[Difference Winner]:[Difference Candidate 12]])</f>
        <v>0</v>
      </c>
      <c r="AS330" s="18">
        <f>IF(Audit[[#This Row],[Times p Drawn - With Replacement]]&gt;0, IF(Audit[[#This Row],[Canceled Differences]]&lt;0, Audit[[#This Row],[Max Differences]]+ABS(Audit[[#This Row],[Canceled Differences]]), Audit[[#This Row],[Max Differences]]), 0)</f>
        <v>0</v>
      </c>
      <c r="AT330" s="18">
        <f>'Sampling Data'!AB330</f>
        <v>7.2242987718692088E-4</v>
      </c>
      <c r="AU330" s="18">
        <f>IF(
      SUM(Audit[[#This Row],[Audit Losing Candidate]:[Audit Candidate 12]])
      &lt;&gt;0,
      (Audit[[#This Row],[Winning Candidate]]-Audit[[#This Row],[Losing Candidate]]-(Audit[[#This Row],[Audit Winning Candidate]]-Audit[[#This Row],[Audit Losing Candidate]]))/(Audit[[#Totals],[Winning Candidate]]-Audit[[#Totals],[Losing Candidate]]),
      0
)</f>
        <v>0</v>
      </c>
      <c r="AV3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8">
        <f>IF(Audit[[#This Row],[Max Relative Error (ep)]] = 0, 0, Audit[[#This Row],[Max Relative Error (ep)]]/Audit[[#This Row],[Error Bound (up) - Max. possible relative overstatement]])</f>
        <v>0</v>
      </c>
      <c r="BH3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0" s="18">
        <f t="shared" si="5"/>
        <v>1</v>
      </c>
      <c r="BJ330" s="18">
        <f>PRODUCT($BI$5:BI330)</f>
        <v>0.32656797278968008</v>
      </c>
      <c r="BK330" s="20">
        <f>1 - Audit[[#This Row],[K-M P Value]]</f>
        <v>0.67343202721031992</v>
      </c>
      <c r="BL330" s="18" t="str">
        <f>IF(Audit[[#This Row],[K-M P Value]]&gt;1-'General Info'!$B$12,"Continue", "Stop")</f>
        <v>Continue</v>
      </c>
      <c r="BM330" s="23" t="b">
        <f>IF(Audit[[#This Row],[Status - Continue or stop audit]] = "Continue", TRUE, IF(BL329 = "Continue", TRUE, FALSE))</f>
        <v>1</v>
      </c>
      <c r="BN330" s="23"/>
    </row>
    <row r="331" spans="1:66" ht="15" hidden="1" customHeight="1" x14ac:dyDescent="0.35">
      <c r="A331" s="18" t="str">
        <f>'Sampling Data'!AI331</f>
        <v/>
      </c>
      <c r="B331" s="18" t="str">
        <f>'Sampling Data'!A331</f>
        <v>5612 AND L   (AV)</v>
      </c>
      <c r="C331" s="18">
        <f>'Sampling Data'!B331</f>
        <v>11</v>
      </c>
      <c r="D331" s="18">
        <f>'Sampling Data'!C331</f>
        <v>2</v>
      </c>
      <c r="E331" s="19">
        <f>'Sampling Data'!D331</f>
        <v>0</v>
      </c>
      <c r="F331" s="19">
        <f>'Sampling Data'!E331</f>
        <v>0</v>
      </c>
      <c r="G331" s="19">
        <f>'Sampling Data'!F331</f>
        <v>0</v>
      </c>
      <c r="H331" s="19">
        <f>'Sampling Data'!G331</f>
        <v>0</v>
      </c>
      <c r="I331" s="19">
        <f>'Sampling Data'!H331</f>
        <v>0</v>
      </c>
      <c r="J331" s="19">
        <f>'Sampling Data'!I331</f>
        <v>0</v>
      </c>
      <c r="K331" s="19">
        <f>'Sampling Data'!J331</f>
        <v>0</v>
      </c>
      <c r="L331" s="19">
        <f>'Sampling Data'!K331</f>
        <v>0</v>
      </c>
      <c r="M331" s="19">
        <f>'Sampling Data'!L331</f>
        <v>0</v>
      </c>
      <c r="N331" s="19">
        <f>'Sampling Data'!M331</f>
        <v>0</v>
      </c>
      <c r="O331" s="18">
        <f>'Sampling Data'!N331</f>
        <v>0</v>
      </c>
      <c r="P331" s="18">
        <f>'Sampling Data'!O331</f>
        <v>0</v>
      </c>
      <c r="Q331" s="18">
        <f>'Sampling Data'!P331</f>
        <v>13</v>
      </c>
      <c r="R331" s="18">
        <f>'Sampling Data'!AJ331</f>
        <v>0</v>
      </c>
      <c r="S331" s="112"/>
      <c r="T331" s="112"/>
      <c r="U331" s="113"/>
      <c r="V331" s="113"/>
      <c r="W331" s="112"/>
      <c r="X331" s="112"/>
      <c r="Y331" s="112"/>
      <c r="Z331" s="112"/>
      <c r="AA331" s="15"/>
      <c r="AB331" s="15"/>
      <c r="AC331" s="15"/>
      <c r="AD331" s="15"/>
      <c r="AE331" s="114" t="str">
        <f>IF(NOT(ISBLANK(Audit[[#This Row],[Audit Winning Candidate]])), Audit[[#This Row],[Audit Winning Candidate]]-Audit[[#This Row],[Winning Candidate]], "")</f>
        <v/>
      </c>
      <c r="AF331" s="18" t="str">
        <f>IF(NOT(ISBLANK(Audit[[#This Row],[Audit Losing Candidate]])), Audit[[#This Row],[Audit Losing Candidate]]-Audit[[#This Row],[Losing Candidate]], "")</f>
        <v/>
      </c>
      <c r="AG331" s="18" t="str">
        <f>IF(NOT(ISBLANK(Audit[[#This Row],[Audit Candidate 3]])), Audit[[#This Row],[Audit Candidate 3]]-Audit[[#This Row],[Candidate 3]], "")</f>
        <v/>
      </c>
      <c r="AH331" s="18" t="str">
        <f>IF(NOT(ISBLANK(Audit[[#This Row],[Audit Candidate 4]])),Audit[[#This Row],[Audit Candidate 4]]-Audit[[#This Row],[Candidate 4]], "")</f>
        <v/>
      </c>
      <c r="AI331" s="18" t="str">
        <f>IF(NOT(ISBLANK(Audit[[#This Row],[Audit Candidate 5]])), Audit[[#This Row],[Audit Candidate 5]]-Audit[[#This Row],[Candidate 5]], "")</f>
        <v/>
      </c>
      <c r="AJ331" s="18" t="str">
        <f>IF(NOT(ISBLANK(Audit[[#This Row],[Audit Candidate 6]])), Audit[[#This Row],[Audit Candidate 6]]-Audit[[#This Row],[Candidate 6]], "")</f>
        <v/>
      </c>
      <c r="AK331" s="18" t="str">
        <f>IF(NOT(ISBLANK(Audit[[#This Row],[Audit Candidate 7]])), Audit[[#This Row],[Audit Candidate 7]]-Audit[[#This Row],[Candidate 7]], "")</f>
        <v/>
      </c>
      <c r="AL331" s="18" t="str">
        <f>IF(NOT(ISBLANK(Audit[[#This Row],[Audit Candidate 8]])), Audit[[#This Row],[Audit Candidate 8]]-Audit[[#This Row],[Candidate 8]], "")</f>
        <v/>
      </c>
      <c r="AM331" s="18" t="str">
        <f>IF(NOT(ISBLANK(Audit[[#This Row],[Audit Candidate 9]])), Audit[[#This Row],[Audit Candidate 9]]-Audit[[#This Row],[Candidate 9]], "")</f>
        <v/>
      </c>
      <c r="AN331" s="18" t="str">
        <f>IF(NOT(ISBLANK(Audit[[#This Row],[Audit Candidate 10]])), Audit[[#This Row],[Audit Candidate 10]]-Audit[[#This Row],[Candidate 10]], "")</f>
        <v/>
      </c>
      <c r="AO331" s="18" t="str">
        <f>IF(NOT(ISBLANK(Audit[[#This Row],[Audit Candidate 11]])), Audit[[#This Row],[Audit Candidate 11]]-Audit[[#This Row],[Candidate 11]], "")</f>
        <v/>
      </c>
      <c r="AP331" s="18" t="str">
        <f>IF(NOT(ISBLANK(Audit[[#This Row],[Audit Candidate 12]])), Audit[[#This Row],[Audit Candidate 12]]-Audit[[#This Row],[Candidate 12]], "")</f>
        <v/>
      </c>
      <c r="AQ331" s="18">
        <f>SUMIF(Audit[[#This Row],[Difference Winner]:[Difference Candidate 12]], "&gt;0")</f>
        <v>0</v>
      </c>
      <c r="AR331" s="18">
        <f>SUM(Audit[[#This Row],[Difference Winner]:[Difference Candidate 12]])</f>
        <v>0</v>
      </c>
      <c r="AS331" s="18">
        <f>IF(Audit[[#This Row],[Times p Drawn - With Replacement]]&gt;0, IF(Audit[[#This Row],[Canceled Differences]]&lt;0, Audit[[#This Row],[Max Differences]]+ABS(Audit[[#This Row],[Canceled Differences]]), Audit[[#This Row],[Max Differences]]), 0)</f>
        <v>0</v>
      </c>
      <c r="AT331" s="18">
        <f>'Sampling Data'!AB331</f>
        <v>6.9101988252662E-4</v>
      </c>
      <c r="AU331" s="18">
        <f>IF(
      SUM(Audit[[#This Row],[Audit Losing Candidate]:[Audit Candidate 12]])
      &lt;&gt;0,
      (Audit[[#This Row],[Winning Candidate]]-Audit[[#This Row],[Losing Candidate]]-(Audit[[#This Row],[Audit Winning Candidate]]-Audit[[#This Row],[Audit Losing Candidate]]))/(Audit[[#Totals],[Winning Candidate]]-Audit[[#Totals],[Losing Candidate]]),
      0
)</f>
        <v>0</v>
      </c>
      <c r="AV3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8">
        <f>IF(Audit[[#This Row],[Max Relative Error (ep)]] = 0, 0, Audit[[#This Row],[Max Relative Error (ep)]]/Audit[[#This Row],[Error Bound (up) - Max. possible relative overstatement]])</f>
        <v>0</v>
      </c>
      <c r="BH3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1" s="18">
        <f t="shared" si="5"/>
        <v>1</v>
      </c>
      <c r="BJ331" s="18">
        <f>PRODUCT($BI$5:BI331)</f>
        <v>0.32656797278968008</v>
      </c>
      <c r="BK331" s="20">
        <f>1 - Audit[[#This Row],[K-M P Value]]</f>
        <v>0.67343202721031992</v>
      </c>
      <c r="BL331" s="18" t="str">
        <f>IF(Audit[[#This Row],[K-M P Value]]&gt;1-'General Info'!$B$12,"Continue", "Stop")</f>
        <v>Continue</v>
      </c>
      <c r="BM331" s="23" t="b">
        <f>IF(Audit[[#This Row],[Status - Continue or stop audit]] = "Continue", TRUE, IF(BL330 = "Continue", TRUE, FALSE))</f>
        <v>1</v>
      </c>
      <c r="BN331" s="23"/>
    </row>
    <row r="332" spans="1:66" ht="15" hidden="1" customHeight="1" x14ac:dyDescent="0.35">
      <c r="A332" s="18" t="str">
        <f>'Sampling Data'!AI332</f>
        <v/>
      </c>
      <c r="B332" s="18" t="str">
        <f>'Sampling Data'!A332</f>
        <v>5613 AND M   (AV)</v>
      </c>
      <c r="C332" s="18">
        <f>'Sampling Data'!B332</f>
        <v>6</v>
      </c>
      <c r="D332" s="18">
        <f>'Sampling Data'!C332</f>
        <v>0</v>
      </c>
      <c r="E332" s="19">
        <f>'Sampling Data'!D332</f>
        <v>0</v>
      </c>
      <c r="F332" s="19">
        <f>'Sampling Data'!E332</f>
        <v>0</v>
      </c>
      <c r="G332" s="19">
        <f>'Sampling Data'!F332</f>
        <v>0</v>
      </c>
      <c r="H332" s="19">
        <f>'Sampling Data'!G332</f>
        <v>0</v>
      </c>
      <c r="I332" s="19">
        <f>'Sampling Data'!H332</f>
        <v>0</v>
      </c>
      <c r="J332" s="19">
        <f>'Sampling Data'!I332</f>
        <v>0</v>
      </c>
      <c r="K332" s="19">
        <f>'Sampling Data'!J332</f>
        <v>0</v>
      </c>
      <c r="L332" s="19">
        <f>'Sampling Data'!K332</f>
        <v>0</v>
      </c>
      <c r="M332" s="19">
        <f>'Sampling Data'!L332</f>
        <v>0</v>
      </c>
      <c r="N332" s="19">
        <f>'Sampling Data'!M332</f>
        <v>0</v>
      </c>
      <c r="O332" s="18">
        <f>'Sampling Data'!N332</f>
        <v>0</v>
      </c>
      <c r="P332" s="18">
        <f>'Sampling Data'!O332</f>
        <v>0</v>
      </c>
      <c r="Q332" s="18">
        <f>'Sampling Data'!P332</f>
        <v>6</v>
      </c>
      <c r="R332" s="18">
        <f>'Sampling Data'!AJ332</f>
        <v>0</v>
      </c>
      <c r="S332" s="112"/>
      <c r="T332" s="112"/>
      <c r="U332" s="113"/>
      <c r="V332" s="113"/>
      <c r="W332" s="112"/>
      <c r="X332" s="112"/>
      <c r="Y332" s="112"/>
      <c r="Z332" s="112"/>
      <c r="AA332" s="15"/>
      <c r="AB332" s="15"/>
      <c r="AC332" s="15"/>
      <c r="AD332" s="15"/>
      <c r="AE332" s="114" t="str">
        <f>IF(NOT(ISBLANK(Audit[[#This Row],[Audit Winning Candidate]])), Audit[[#This Row],[Audit Winning Candidate]]-Audit[[#This Row],[Winning Candidate]], "")</f>
        <v/>
      </c>
      <c r="AF332" s="18" t="str">
        <f>IF(NOT(ISBLANK(Audit[[#This Row],[Audit Losing Candidate]])), Audit[[#This Row],[Audit Losing Candidate]]-Audit[[#This Row],[Losing Candidate]], "")</f>
        <v/>
      </c>
      <c r="AG332" s="18" t="str">
        <f>IF(NOT(ISBLANK(Audit[[#This Row],[Audit Candidate 3]])), Audit[[#This Row],[Audit Candidate 3]]-Audit[[#This Row],[Candidate 3]], "")</f>
        <v/>
      </c>
      <c r="AH332" s="18" t="str">
        <f>IF(NOT(ISBLANK(Audit[[#This Row],[Audit Candidate 4]])),Audit[[#This Row],[Audit Candidate 4]]-Audit[[#This Row],[Candidate 4]], "")</f>
        <v/>
      </c>
      <c r="AI332" s="18" t="str">
        <f>IF(NOT(ISBLANK(Audit[[#This Row],[Audit Candidate 5]])), Audit[[#This Row],[Audit Candidate 5]]-Audit[[#This Row],[Candidate 5]], "")</f>
        <v/>
      </c>
      <c r="AJ332" s="18" t="str">
        <f>IF(NOT(ISBLANK(Audit[[#This Row],[Audit Candidate 6]])), Audit[[#This Row],[Audit Candidate 6]]-Audit[[#This Row],[Candidate 6]], "")</f>
        <v/>
      </c>
      <c r="AK332" s="18" t="str">
        <f>IF(NOT(ISBLANK(Audit[[#This Row],[Audit Candidate 7]])), Audit[[#This Row],[Audit Candidate 7]]-Audit[[#This Row],[Candidate 7]], "")</f>
        <v/>
      </c>
      <c r="AL332" s="18" t="str">
        <f>IF(NOT(ISBLANK(Audit[[#This Row],[Audit Candidate 8]])), Audit[[#This Row],[Audit Candidate 8]]-Audit[[#This Row],[Candidate 8]], "")</f>
        <v/>
      </c>
      <c r="AM332" s="18" t="str">
        <f>IF(NOT(ISBLANK(Audit[[#This Row],[Audit Candidate 9]])), Audit[[#This Row],[Audit Candidate 9]]-Audit[[#This Row],[Candidate 9]], "")</f>
        <v/>
      </c>
      <c r="AN332" s="18" t="str">
        <f>IF(NOT(ISBLANK(Audit[[#This Row],[Audit Candidate 10]])), Audit[[#This Row],[Audit Candidate 10]]-Audit[[#This Row],[Candidate 10]], "")</f>
        <v/>
      </c>
      <c r="AO332" s="18" t="str">
        <f>IF(NOT(ISBLANK(Audit[[#This Row],[Audit Candidate 11]])), Audit[[#This Row],[Audit Candidate 11]]-Audit[[#This Row],[Candidate 11]], "")</f>
        <v/>
      </c>
      <c r="AP332" s="18" t="str">
        <f>IF(NOT(ISBLANK(Audit[[#This Row],[Audit Candidate 12]])), Audit[[#This Row],[Audit Candidate 12]]-Audit[[#This Row],[Candidate 12]], "")</f>
        <v/>
      </c>
      <c r="AQ332" s="18">
        <f>SUMIF(Audit[[#This Row],[Difference Winner]:[Difference Candidate 12]], "&gt;0")</f>
        <v>0</v>
      </c>
      <c r="AR332" s="18">
        <f>SUM(Audit[[#This Row],[Difference Winner]:[Difference Candidate 12]])</f>
        <v>0</v>
      </c>
      <c r="AS332" s="18">
        <f>IF(Audit[[#This Row],[Times p Drawn - With Replacement]]&gt;0, IF(Audit[[#This Row],[Canceled Differences]]&lt;0, Audit[[#This Row],[Max Differences]]+ABS(Audit[[#This Row],[Canceled Differences]]), Audit[[#This Row],[Max Differences]]), 0)</f>
        <v>0</v>
      </c>
      <c r="AT332" s="18">
        <f>'Sampling Data'!AB332</f>
        <v>3.7691993592361088E-4</v>
      </c>
      <c r="AU332" s="18">
        <f>IF(
      SUM(Audit[[#This Row],[Audit Losing Candidate]:[Audit Candidate 12]])
      &lt;&gt;0,
      (Audit[[#This Row],[Winning Candidate]]-Audit[[#This Row],[Losing Candidate]]-(Audit[[#This Row],[Audit Winning Candidate]]-Audit[[#This Row],[Audit Losing Candidate]]))/(Audit[[#Totals],[Winning Candidate]]-Audit[[#Totals],[Losing Candidate]]),
      0
)</f>
        <v>0</v>
      </c>
      <c r="AV3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8">
        <f>IF(Audit[[#This Row],[Max Relative Error (ep)]] = 0, 0, Audit[[#This Row],[Max Relative Error (ep)]]/Audit[[#This Row],[Error Bound (up) - Max. possible relative overstatement]])</f>
        <v>0</v>
      </c>
      <c r="BH3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2" s="18">
        <f t="shared" si="5"/>
        <v>1</v>
      </c>
      <c r="BJ332" s="18">
        <f>PRODUCT($BI$5:BI332)</f>
        <v>0.32656797278968008</v>
      </c>
      <c r="BK332" s="20">
        <f>1 - Audit[[#This Row],[K-M P Value]]</f>
        <v>0.67343202721031992</v>
      </c>
      <c r="BL332" s="18" t="str">
        <f>IF(Audit[[#This Row],[K-M P Value]]&gt;1-'General Info'!$B$12,"Continue", "Stop")</f>
        <v>Continue</v>
      </c>
      <c r="BM332" s="23" t="b">
        <f>IF(Audit[[#This Row],[Status - Continue or stop audit]] = "Continue", TRUE, IF(BL331 = "Continue", TRUE, FALSE))</f>
        <v>1</v>
      </c>
      <c r="BN332" s="23"/>
    </row>
    <row r="333" spans="1:66" ht="15" hidden="1" customHeight="1" x14ac:dyDescent="0.35">
      <c r="A333" s="18" t="str">
        <f>'Sampling Data'!AI333</f>
        <v/>
      </c>
      <c r="B333" s="18" t="str">
        <f>'Sampling Data'!A333</f>
        <v>5614 AND N   (AV)</v>
      </c>
      <c r="C333" s="18">
        <f>'Sampling Data'!B333</f>
        <v>17</v>
      </c>
      <c r="D333" s="18">
        <f>'Sampling Data'!C333</f>
        <v>0</v>
      </c>
      <c r="E333" s="19">
        <f>'Sampling Data'!D333</f>
        <v>0</v>
      </c>
      <c r="F333" s="19">
        <f>'Sampling Data'!E333</f>
        <v>0</v>
      </c>
      <c r="G333" s="19">
        <f>'Sampling Data'!F333</f>
        <v>0</v>
      </c>
      <c r="H333" s="19">
        <f>'Sampling Data'!G333</f>
        <v>0</v>
      </c>
      <c r="I333" s="19">
        <f>'Sampling Data'!H333</f>
        <v>0</v>
      </c>
      <c r="J333" s="19">
        <f>'Sampling Data'!I333</f>
        <v>0</v>
      </c>
      <c r="K333" s="19">
        <f>'Sampling Data'!J333</f>
        <v>0</v>
      </c>
      <c r="L333" s="19">
        <f>'Sampling Data'!K333</f>
        <v>0</v>
      </c>
      <c r="M333" s="19">
        <f>'Sampling Data'!L333</f>
        <v>0</v>
      </c>
      <c r="N333" s="19">
        <f>'Sampling Data'!M333</f>
        <v>0</v>
      </c>
      <c r="O333" s="18">
        <f>'Sampling Data'!N333</f>
        <v>0</v>
      </c>
      <c r="P333" s="18">
        <f>'Sampling Data'!O333</f>
        <v>0</v>
      </c>
      <c r="Q333" s="18">
        <f>'Sampling Data'!P333</f>
        <v>17</v>
      </c>
      <c r="R333" s="18">
        <f>'Sampling Data'!AJ333</f>
        <v>0</v>
      </c>
      <c r="S333" s="112"/>
      <c r="T333" s="112"/>
      <c r="U333" s="113"/>
      <c r="V333" s="113"/>
      <c r="W333" s="112"/>
      <c r="X333" s="112"/>
      <c r="Y333" s="112"/>
      <c r="Z333" s="112"/>
      <c r="AA333" s="15"/>
      <c r="AB333" s="15"/>
      <c r="AC333" s="15"/>
      <c r="AD333" s="15"/>
      <c r="AE333" s="114" t="str">
        <f>IF(NOT(ISBLANK(Audit[[#This Row],[Audit Winning Candidate]])), Audit[[#This Row],[Audit Winning Candidate]]-Audit[[#This Row],[Winning Candidate]], "")</f>
        <v/>
      </c>
      <c r="AF333" s="18" t="str">
        <f>IF(NOT(ISBLANK(Audit[[#This Row],[Audit Losing Candidate]])), Audit[[#This Row],[Audit Losing Candidate]]-Audit[[#This Row],[Losing Candidate]], "")</f>
        <v/>
      </c>
      <c r="AG333" s="18" t="str">
        <f>IF(NOT(ISBLANK(Audit[[#This Row],[Audit Candidate 3]])), Audit[[#This Row],[Audit Candidate 3]]-Audit[[#This Row],[Candidate 3]], "")</f>
        <v/>
      </c>
      <c r="AH333" s="18" t="str">
        <f>IF(NOT(ISBLANK(Audit[[#This Row],[Audit Candidate 4]])),Audit[[#This Row],[Audit Candidate 4]]-Audit[[#This Row],[Candidate 4]], "")</f>
        <v/>
      </c>
      <c r="AI333" s="18" t="str">
        <f>IF(NOT(ISBLANK(Audit[[#This Row],[Audit Candidate 5]])), Audit[[#This Row],[Audit Candidate 5]]-Audit[[#This Row],[Candidate 5]], "")</f>
        <v/>
      </c>
      <c r="AJ333" s="18" t="str">
        <f>IF(NOT(ISBLANK(Audit[[#This Row],[Audit Candidate 6]])), Audit[[#This Row],[Audit Candidate 6]]-Audit[[#This Row],[Candidate 6]], "")</f>
        <v/>
      </c>
      <c r="AK333" s="18" t="str">
        <f>IF(NOT(ISBLANK(Audit[[#This Row],[Audit Candidate 7]])), Audit[[#This Row],[Audit Candidate 7]]-Audit[[#This Row],[Candidate 7]], "")</f>
        <v/>
      </c>
      <c r="AL333" s="18" t="str">
        <f>IF(NOT(ISBLANK(Audit[[#This Row],[Audit Candidate 8]])), Audit[[#This Row],[Audit Candidate 8]]-Audit[[#This Row],[Candidate 8]], "")</f>
        <v/>
      </c>
      <c r="AM333" s="18" t="str">
        <f>IF(NOT(ISBLANK(Audit[[#This Row],[Audit Candidate 9]])), Audit[[#This Row],[Audit Candidate 9]]-Audit[[#This Row],[Candidate 9]], "")</f>
        <v/>
      </c>
      <c r="AN333" s="18" t="str">
        <f>IF(NOT(ISBLANK(Audit[[#This Row],[Audit Candidate 10]])), Audit[[#This Row],[Audit Candidate 10]]-Audit[[#This Row],[Candidate 10]], "")</f>
        <v/>
      </c>
      <c r="AO333" s="18" t="str">
        <f>IF(NOT(ISBLANK(Audit[[#This Row],[Audit Candidate 11]])), Audit[[#This Row],[Audit Candidate 11]]-Audit[[#This Row],[Candidate 11]], "")</f>
        <v/>
      </c>
      <c r="AP333" s="18" t="str">
        <f>IF(NOT(ISBLANK(Audit[[#This Row],[Audit Candidate 12]])), Audit[[#This Row],[Audit Candidate 12]]-Audit[[#This Row],[Candidate 12]], "")</f>
        <v/>
      </c>
      <c r="AQ333" s="18">
        <f>SUMIF(Audit[[#This Row],[Difference Winner]:[Difference Candidate 12]], "&gt;0")</f>
        <v>0</v>
      </c>
      <c r="AR333" s="18">
        <f>SUM(Audit[[#This Row],[Difference Winner]:[Difference Candidate 12]])</f>
        <v>0</v>
      </c>
      <c r="AS333" s="18">
        <f>IF(Audit[[#This Row],[Times p Drawn - With Replacement]]&gt;0, IF(Audit[[#This Row],[Canceled Differences]]&lt;0, Audit[[#This Row],[Max Differences]]+ABS(Audit[[#This Row],[Canceled Differences]]), Audit[[#This Row],[Max Differences]]), 0)</f>
        <v>0</v>
      </c>
      <c r="AT333" s="18">
        <f>'Sampling Data'!AB333</f>
        <v>1.0679398184502309E-3</v>
      </c>
      <c r="AU333" s="18">
        <f>IF(
      SUM(Audit[[#This Row],[Audit Losing Candidate]:[Audit Candidate 12]])
      &lt;&gt;0,
      (Audit[[#This Row],[Winning Candidate]]-Audit[[#This Row],[Losing Candidate]]-(Audit[[#This Row],[Audit Winning Candidate]]-Audit[[#This Row],[Audit Losing Candidate]]))/(Audit[[#Totals],[Winning Candidate]]-Audit[[#Totals],[Losing Candidate]]),
      0
)</f>
        <v>0</v>
      </c>
      <c r="AV3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8">
        <f>IF(Audit[[#This Row],[Max Relative Error (ep)]] = 0, 0, Audit[[#This Row],[Max Relative Error (ep)]]/Audit[[#This Row],[Error Bound (up) - Max. possible relative overstatement]])</f>
        <v>0</v>
      </c>
      <c r="BH3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3" s="18">
        <f t="shared" si="5"/>
        <v>1</v>
      </c>
      <c r="BJ333" s="18">
        <f>PRODUCT($BI$5:BI333)</f>
        <v>0.32656797278968008</v>
      </c>
      <c r="BK333" s="20">
        <f>1 - Audit[[#This Row],[K-M P Value]]</f>
        <v>0.67343202721031992</v>
      </c>
      <c r="BL333" s="18" t="str">
        <f>IF(Audit[[#This Row],[K-M P Value]]&gt;1-'General Info'!$B$12,"Continue", "Stop")</f>
        <v>Continue</v>
      </c>
      <c r="BM333" s="23" t="b">
        <f>IF(Audit[[#This Row],[Status - Continue or stop audit]] = "Continue", TRUE, IF(BL332 = "Continue", TRUE, FALSE))</f>
        <v>1</v>
      </c>
      <c r="BN333" s="23"/>
    </row>
    <row r="334" spans="1:66" ht="15" hidden="1" customHeight="1" x14ac:dyDescent="0.35">
      <c r="A334" s="18" t="str">
        <f>'Sampling Data'!AI334</f>
        <v/>
      </c>
      <c r="B334" s="18" t="str">
        <f>'Sampling Data'!A334</f>
        <v>5615 AND O   (AV)</v>
      </c>
      <c r="C334" s="18">
        <f>'Sampling Data'!B334</f>
        <v>19</v>
      </c>
      <c r="D334" s="18">
        <f>'Sampling Data'!C334</f>
        <v>1</v>
      </c>
      <c r="E334" s="19">
        <f>'Sampling Data'!D334</f>
        <v>0</v>
      </c>
      <c r="F334" s="19">
        <f>'Sampling Data'!E334</f>
        <v>0</v>
      </c>
      <c r="G334" s="19">
        <f>'Sampling Data'!F334</f>
        <v>0</v>
      </c>
      <c r="H334" s="19">
        <f>'Sampling Data'!G334</f>
        <v>0</v>
      </c>
      <c r="I334" s="19">
        <f>'Sampling Data'!H334</f>
        <v>0</v>
      </c>
      <c r="J334" s="19">
        <f>'Sampling Data'!I334</f>
        <v>0</v>
      </c>
      <c r="K334" s="19">
        <f>'Sampling Data'!J334</f>
        <v>0</v>
      </c>
      <c r="L334" s="19">
        <f>'Sampling Data'!K334</f>
        <v>0</v>
      </c>
      <c r="M334" s="19">
        <f>'Sampling Data'!L334</f>
        <v>0</v>
      </c>
      <c r="N334" s="19">
        <f>'Sampling Data'!M334</f>
        <v>0</v>
      </c>
      <c r="O334" s="18">
        <f>'Sampling Data'!N334</f>
        <v>0</v>
      </c>
      <c r="P334" s="18">
        <f>'Sampling Data'!O334</f>
        <v>1</v>
      </c>
      <c r="Q334" s="18">
        <f>'Sampling Data'!P334</f>
        <v>21</v>
      </c>
      <c r="R334" s="18">
        <f>'Sampling Data'!AJ334</f>
        <v>0</v>
      </c>
      <c r="S334" s="112"/>
      <c r="T334" s="112"/>
      <c r="U334" s="113"/>
      <c r="V334" s="113"/>
      <c r="W334" s="112"/>
      <c r="X334" s="112"/>
      <c r="Y334" s="112"/>
      <c r="Z334" s="112"/>
      <c r="AA334" s="15"/>
      <c r="AB334" s="15"/>
      <c r="AC334" s="15"/>
      <c r="AD334" s="15"/>
      <c r="AE334" s="114" t="str">
        <f>IF(NOT(ISBLANK(Audit[[#This Row],[Audit Winning Candidate]])), Audit[[#This Row],[Audit Winning Candidate]]-Audit[[#This Row],[Winning Candidate]], "")</f>
        <v/>
      </c>
      <c r="AF334" s="18" t="str">
        <f>IF(NOT(ISBLANK(Audit[[#This Row],[Audit Losing Candidate]])), Audit[[#This Row],[Audit Losing Candidate]]-Audit[[#This Row],[Losing Candidate]], "")</f>
        <v/>
      </c>
      <c r="AG334" s="18" t="str">
        <f>IF(NOT(ISBLANK(Audit[[#This Row],[Audit Candidate 3]])), Audit[[#This Row],[Audit Candidate 3]]-Audit[[#This Row],[Candidate 3]], "")</f>
        <v/>
      </c>
      <c r="AH334" s="18" t="str">
        <f>IF(NOT(ISBLANK(Audit[[#This Row],[Audit Candidate 4]])),Audit[[#This Row],[Audit Candidate 4]]-Audit[[#This Row],[Candidate 4]], "")</f>
        <v/>
      </c>
      <c r="AI334" s="18" t="str">
        <f>IF(NOT(ISBLANK(Audit[[#This Row],[Audit Candidate 5]])), Audit[[#This Row],[Audit Candidate 5]]-Audit[[#This Row],[Candidate 5]], "")</f>
        <v/>
      </c>
      <c r="AJ334" s="18" t="str">
        <f>IF(NOT(ISBLANK(Audit[[#This Row],[Audit Candidate 6]])), Audit[[#This Row],[Audit Candidate 6]]-Audit[[#This Row],[Candidate 6]], "")</f>
        <v/>
      </c>
      <c r="AK334" s="18" t="str">
        <f>IF(NOT(ISBLANK(Audit[[#This Row],[Audit Candidate 7]])), Audit[[#This Row],[Audit Candidate 7]]-Audit[[#This Row],[Candidate 7]], "")</f>
        <v/>
      </c>
      <c r="AL334" s="18" t="str">
        <f>IF(NOT(ISBLANK(Audit[[#This Row],[Audit Candidate 8]])), Audit[[#This Row],[Audit Candidate 8]]-Audit[[#This Row],[Candidate 8]], "")</f>
        <v/>
      </c>
      <c r="AM334" s="18" t="str">
        <f>IF(NOT(ISBLANK(Audit[[#This Row],[Audit Candidate 9]])), Audit[[#This Row],[Audit Candidate 9]]-Audit[[#This Row],[Candidate 9]], "")</f>
        <v/>
      </c>
      <c r="AN334" s="18" t="str">
        <f>IF(NOT(ISBLANK(Audit[[#This Row],[Audit Candidate 10]])), Audit[[#This Row],[Audit Candidate 10]]-Audit[[#This Row],[Candidate 10]], "")</f>
        <v/>
      </c>
      <c r="AO334" s="18" t="str">
        <f>IF(NOT(ISBLANK(Audit[[#This Row],[Audit Candidate 11]])), Audit[[#This Row],[Audit Candidate 11]]-Audit[[#This Row],[Candidate 11]], "")</f>
        <v/>
      </c>
      <c r="AP334" s="18" t="str">
        <f>IF(NOT(ISBLANK(Audit[[#This Row],[Audit Candidate 12]])), Audit[[#This Row],[Audit Candidate 12]]-Audit[[#This Row],[Candidate 12]], "")</f>
        <v/>
      </c>
      <c r="AQ334" s="18">
        <f>SUMIF(Audit[[#This Row],[Difference Winner]:[Difference Candidate 12]], "&gt;0")</f>
        <v>0</v>
      </c>
      <c r="AR334" s="18">
        <f>SUM(Audit[[#This Row],[Difference Winner]:[Difference Candidate 12]])</f>
        <v>0</v>
      </c>
      <c r="AS334" s="18">
        <f>IF(Audit[[#This Row],[Times p Drawn - With Replacement]]&gt;0, IF(Audit[[#This Row],[Canceled Differences]]&lt;0, Audit[[#This Row],[Max Differences]]+ABS(Audit[[#This Row],[Canceled Differences]]), Audit[[#This Row],[Max Differences]]), 0)</f>
        <v>0</v>
      </c>
      <c r="AT334" s="18">
        <f>'Sampling Data'!AB334</f>
        <v>1.2249897917517355E-3</v>
      </c>
      <c r="AU334" s="18">
        <f>IF(
      SUM(Audit[[#This Row],[Audit Losing Candidate]:[Audit Candidate 12]])
      &lt;&gt;0,
      (Audit[[#This Row],[Winning Candidate]]-Audit[[#This Row],[Losing Candidate]]-(Audit[[#This Row],[Audit Winning Candidate]]-Audit[[#This Row],[Audit Losing Candidate]]))/(Audit[[#Totals],[Winning Candidate]]-Audit[[#Totals],[Losing Candidate]]),
      0
)</f>
        <v>0</v>
      </c>
      <c r="AV3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8">
        <f>IF(Audit[[#This Row],[Max Relative Error (ep)]] = 0, 0, Audit[[#This Row],[Max Relative Error (ep)]]/Audit[[#This Row],[Error Bound (up) - Max. possible relative overstatement]])</f>
        <v>0</v>
      </c>
      <c r="BH3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4" s="18">
        <f t="shared" si="5"/>
        <v>1</v>
      </c>
      <c r="BJ334" s="18">
        <f>PRODUCT($BI$5:BI334)</f>
        <v>0.32656797278968008</v>
      </c>
      <c r="BK334" s="20">
        <f>1 - Audit[[#This Row],[K-M P Value]]</f>
        <v>0.67343202721031992</v>
      </c>
      <c r="BL334" s="18" t="str">
        <f>IF(Audit[[#This Row],[K-M P Value]]&gt;1-'General Info'!$B$12,"Continue", "Stop")</f>
        <v>Continue</v>
      </c>
      <c r="BM334" s="23" t="b">
        <f>IF(Audit[[#This Row],[Status - Continue or stop audit]] = "Continue", TRUE, IF(BL333 = "Continue", TRUE, FALSE))</f>
        <v>1</v>
      </c>
      <c r="BN334" s="23"/>
    </row>
    <row r="335" spans="1:66" ht="15" hidden="1" customHeight="1" x14ac:dyDescent="0.35">
      <c r="A335" s="18" t="str">
        <f>'Sampling Data'!AI335</f>
        <v/>
      </c>
      <c r="B335" s="18" t="str">
        <f>'Sampling Data'!A335</f>
        <v>5616 AND P   (AV)</v>
      </c>
      <c r="C335" s="18">
        <f>'Sampling Data'!B335</f>
        <v>13</v>
      </c>
      <c r="D335" s="18">
        <f>'Sampling Data'!C335</f>
        <v>0</v>
      </c>
      <c r="E335" s="19">
        <f>'Sampling Data'!D335</f>
        <v>0</v>
      </c>
      <c r="F335" s="19">
        <f>'Sampling Data'!E335</f>
        <v>0</v>
      </c>
      <c r="G335" s="19">
        <f>'Sampling Data'!F335</f>
        <v>0</v>
      </c>
      <c r="H335" s="19">
        <f>'Sampling Data'!G335</f>
        <v>0</v>
      </c>
      <c r="I335" s="19">
        <f>'Sampling Data'!H335</f>
        <v>0</v>
      </c>
      <c r="J335" s="19">
        <f>'Sampling Data'!I335</f>
        <v>0</v>
      </c>
      <c r="K335" s="19">
        <f>'Sampling Data'!J335</f>
        <v>0</v>
      </c>
      <c r="L335" s="19">
        <f>'Sampling Data'!K335</f>
        <v>0</v>
      </c>
      <c r="M335" s="19">
        <f>'Sampling Data'!L335</f>
        <v>0</v>
      </c>
      <c r="N335" s="19">
        <f>'Sampling Data'!M335</f>
        <v>0</v>
      </c>
      <c r="O335" s="18">
        <f>'Sampling Data'!N335</f>
        <v>0</v>
      </c>
      <c r="P335" s="18">
        <f>'Sampling Data'!O335</f>
        <v>0</v>
      </c>
      <c r="Q335" s="18">
        <f>'Sampling Data'!P335</f>
        <v>13</v>
      </c>
      <c r="R335" s="18">
        <f>'Sampling Data'!AJ335</f>
        <v>0</v>
      </c>
      <c r="S335" s="112"/>
      <c r="T335" s="112"/>
      <c r="U335" s="113"/>
      <c r="V335" s="113"/>
      <c r="W335" s="112"/>
      <c r="X335" s="112"/>
      <c r="Y335" s="112"/>
      <c r="Z335" s="112"/>
      <c r="AA335" s="15"/>
      <c r="AB335" s="15"/>
      <c r="AC335" s="15"/>
      <c r="AD335" s="15"/>
      <c r="AE335" s="114" t="str">
        <f>IF(NOT(ISBLANK(Audit[[#This Row],[Audit Winning Candidate]])), Audit[[#This Row],[Audit Winning Candidate]]-Audit[[#This Row],[Winning Candidate]], "")</f>
        <v/>
      </c>
      <c r="AF335" s="18" t="str">
        <f>IF(NOT(ISBLANK(Audit[[#This Row],[Audit Losing Candidate]])), Audit[[#This Row],[Audit Losing Candidate]]-Audit[[#This Row],[Losing Candidate]], "")</f>
        <v/>
      </c>
      <c r="AG335" s="18" t="str">
        <f>IF(NOT(ISBLANK(Audit[[#This Row],[Audit Candidate 3]])), Audit[[#This Row],[Audit Candidate 3]]-Audit[[#This Row],[Candidate 3]], "")</f>
        <v/>
      </c>
      <c r="AH335" s="18" t="str">
        <f>IF(NOT(ISBLANK(Audit[[#This Row],[Audit Candidate 4]])),Audit[[#This Row],[Audit Candidate 4]]-Audit[[#This Row],[Candidate 4]], "")</f>
        <v/>
      </c>
      <c r="AI335" s="18" t="str">
        <f>IF(NOT(ISBLANK(Audit[[#This Row],[Audit Candidate 5]])), Audit[[#This Row],[Audit Candidate 5]]-Audit[[#This Row],[Candidate 5]], "")</f>
        <v/>
      </c>
      <c r="AJ335" s="18" t="str">
        <f>IF(NOT(ISBLANK(Audit[[#This Row],[Audit Candidate 6]])), Audit[[#This Row],[Audit Candidate 6]]-Audit[[#This Row],[Candidate 6]], "")</f>
        <v/>
      </c>
      <c r="AK335" s="18" t="str">
        <f>IF(NOT(ISBLANK(Audit[[#This Row],[Audit Candidate 7]])), Audit[[#This Row],[Audit Candidate 7]]-Audit[[#This Row],[Candidate 7]], "")</f>
        <v/>
      </c>
      <c r="AL335" s="18" t="str">
        <f>IF(NOT(ISBLANK(Audit[[#This Row],[Audit Candidate 8]])), Audit[[#This Row],[Audit Candidate 8]]-Audit[[#This Row],[Candidate 8]], "")</f>
        <v/>
      </c>
      <c r="AM335" s="18" t="str">
        <f>IF(NOT(ISBLANK(Audit[[#This Row],[Audit Candidate 9]])), Audit[[#This Row],[Audit Candidate 9]]-Audit[[#This Row],[Candidate 9]], "")</f>
        <v/>
      </c>
      <c r="AN335" s="18" t="str">
        <f>IF(NOT(ISBLANK(Audit[[#This Row],[Audit Candidate 10]])), Audit[[#This Row],[Audit Candidate 10]]-Audit[[#This Row],[Candidate 10]], "")</f>
        <v/>
      </c>
      <c r="AO335" s="18" t="str">
        <f>IF(NOT(ISBLANK(Audit[[#This Row],[Audit Candidate 11]])), Audit[[#This Row],[Audit Candidate 11]]-Audit[[#This Row],[Candidate 11]], "")</f>
        <v/>
      </c>
      <c r="AP335" s="18" t="str">
        <f>IF(NOT(ISBLANK(Audit[[#This Row],[Audit Candidate 12]])), Audit[[#This Row],[Audit Candidate 12]]-Audit[[#This Row],[Candidate 12]], "")</f>
        <v/>
      </c>
      <c r="AQ335" s="18">
        <f>SUMIF(Audit[[#This Row],[Difference Winner]:[Difference Candidate 12]], "&gt;0")</f>
        <v>0</v>
      </c>
      <c r="AR335" s="18">
        <f>SUM(Audit[[#This Row],[Difference Winner]:[Difference Candidate 12]])</f>
        <v>0</v>
      </c>
      <c r="AS335" s="18">
        <f>IF(Audit[[#This Row],[Times p Drawn - With Replacement]]&gt;0, IF(Audit[[#This Row],[Canceled Differences]]&lt;0, Audit[[#This Row],[Max Differences]]+ABS(Audit[[#This Row],[Canceled Differences]]), Audit[[#This Row],[Max Differences]]), 0)</f>
        <v>0</v>
      </c>
      <c r="AT335" s="18">
        <f>'Sampling Data'!AB335</f>
        <v>8.1665986116782364E-4</v>
      </c>
      <c r="AU335" s="18">
        <f>IF(
      SUM(Audit[[#This Row],[Audit Losing Candidate]:[Audit Candidate 12]])
      &lt;&gt;0,
      (Audit[[#This Row],[Winning Candidate]]-Audit[[#This Row],[Losing Candidate]]-(Audit[[#This Row],[Audit Winning Candidate]]-Audit[[#This Row],[Audit Losing Candidate]]))/(Audit[[#Totals],[Winning Candidate]]-Audit[[#Totals],[Losing Candidate]]),
      0
)</f>
        <v>0</v>
      </c>
      <c r="AV3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8">
        <f>IF(Audit[[#This Row],[Max Relative Error (ep)]] = 0, 0, Audit[[#This Row],[Max Relative Error (ep)]]/Audit[[#This Row],[Error Bound (up) - Max. possible relative overstatement]])</f>
        <v>0</v>
      </c>
      <c r="BH3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5" s="18">
        <f t="shared" ref="BI335:BI398" si="6">IF(ISERR(POWER(BH335,R335)), 0, POWER(BH335,R335))</f>
        <v>1</v>
      </c>
      <c r="BJ335" s="18">
        <f>PRODUCT($BI$5:BI335)</f>
        <v>0.32656797278968008</v>
      </c>
      <c r="BK335" s="20">
        <f>1 - Audit[[#This Row],[K-M P Value]]</f>
        <v>0.67343202721031992</v>
      </c>
      <c r="BL335" s="18" t="str">
        <f>IF(Audit[[#This Row],[K-M P Value]]&gt;1-'General Info'!$B$12,"Continue", "Stop")</f>
        <v>Continue</v>
      </c>
      <c r="BM335" s="23" t="b">
        <f>IF(Audit[[#This Row],[Status - Continue or stop audit]] = "Continue", TRUE, IF(BL334 = "Continue", TRUE, FALSE))</f>
        <v>1</v>
      </c>
      <c r="BN335" s="23"/>
    </row>
    <row r="336" spans="1:66" ht="15" hidden="1" customHeight="1" x14ac:dyDescent="0.35">
      <c r="A336" s="18" t="str">
        <f>'Sampling Data'!AI336</f>
        <v/>
      </c>
      <c r="B336" s="18" t="str">
        <f>'Sampling Data'!A336</f>
        <v>5617 AND Q   (AV)</v>
      </c>
      <c r="C336" s="18">
        <f>'Sampling Data'!B336</f>
        <v>11</v>
      </c>
      <c r="D336" s="18">
        <f>'Sampling Data'!C336</f>
        <v>3</v>
      </c>
      <c r="E336" s="19">
        <f>'Sampling Data'!D336</f>
        <v>0</v>
      </c>
      <c r="F336" s="19">
        <f>'Sampling Data'!E336</f>
        <v>0</v>
      </c>
      <c r="G336" s="19">
        <f>'Sampling Data'!F336</f>
        <v>0</v>
      </c>
      <c r="H336" s="19">
        <f>'Sampling Data'!G336</f>
        <v>0</v>
      </c>
      <c r="I336" s="19">
        <f>'Sampling Data'!H336</f>
        <v>0</v>
      </c>
      <c r="J336" s="19">
        <f>'Sampling Data'!I336</f>
        <v>0</v>
      </c>
      <c r="K336" s="19">
        <f>'Sampling Data'!J336</f>
        <v>0</v>
      </c>
      <c r="L336" s="19">
        <f>'Sampling Data'!K336</f>
        <v>0</v>
      </c>
      <c r="M336" s="19">
        <f>'Sampling Data'!L336</f>
        <v>0</v>
      </c>
      <c r="N336" s="19">
        <f>'Sampling Data'!M336</f>
        <v>0</v>
      </c>
      <c r="O336" s="18">
        <f>'Sampling Data'!N336</f>
        <v>0</v>
      </c>
      <c r="P336" s="18">
        <f>'Sampling Data'!O336</f>
        <v>0</v>
      </c>
      <c r="Q336" s="18">
        <f>'Sampling Data'!P336</f>
        <v>14</v>
      </c>
      <c r="R336" s="18">
        <f>'Sampling Data'!AJ336</f>
        <v>0</v>
      </c>
      <c r="S336" s="112"/>
      <c r="T336" s="112"/>
      <c r="U336" s="113"/>
      <c r="V336" s="113"/>
      <c r="W336" s="112"/>
      <c r="X336" s="112"/>
      <c r="Y336" s="112"/>
      <c r="Z336" s="112"/>
      <c r="AA336" s="15"/>
      <c r="AB336" s="15"/>
      <c r="AC336" s="15"/>
      <c r="AD336" s="15"/>
      <c r="AE336" s="114" t="str">
        <f>IF(NOT(ISBLANK(Audit[[#This Row],[Audit Winning Candidate]])), Audit[[#This Row],[Audit Winning Candidate]]-Audit[[#This Row],[Winning Candidate]], "")</f>
        <v/>
      </c>
      <c r="AF336" s="18" t="str">
        <f>IF(NOT(ISBLANK(Audit[[#This Row],[Audit Losing Candidate]])), Audit[[#This Row],[Audit Losing Candidate]]-Audit[[#This Row],[Losing Candidate]], "")</f>
        <v/>
      </c>
      <c r="AG336" s="18" t="str">
        <f>IF(NOT(ISBLANK(Audit[[#This Row],[Audit Candidate 3]])), Audit[[#This Row],[Audit Candidate 3]]-Audit[[#This Row],[Candidate 3]], "")</f>
        <v/>
      </c>
      <c r="AH336" s="18" t="str">
        <f>IF(NOT(ISBLANK(Audit[[#This Row],[Audit Candidate 4]])),Audit[[#This Row],[Audit Candidate 4]]-Audit[[#This Row],[Candidate 4]], "")</f>
        <v/>
      </c>
      <c r="AI336" s="18" t="str">
        <f>IF(NOT(ISBLANK(Audit[[#This Row],[Audit Candidate 5]])), Audit[[#This Row],[Audit Candidate 5]]-Audit[[#This Row],[Candidate 5]], "")</f>
        <v/>
      </c>
      <c r="AJ336" s="18" t="str">
        <f>IF(NOT(ISBLANK(Audit[[#This Row],[Audit Candidate 6]])), Audit[[#This Row],[Audit Candidate 6]]-Audit[[#This Row],[Candidate 6]], "")</f>
        <v/>
      </c>
      <c r="AK336" s="18" t="str">
        <f>IF(NOT(ISBLANK(Audit[[#This Row],[Audit Candidate 7]])), Audit[[#This Row],[Audit Candidate 7]]-Audit[[#This Row],[Candidate 7]], "")</f>
        <v/>
      </c>
      <c r="AL336" s="18" t="str">
        <f>IF(NOT(ISBLANK(Audit[[#This Row],[Audit Candidate 8]])), Audit[[#This Row],[Audit Candidate 8]]-Audit[[#This Row],[Candidate 8]], "")</f>
        <v/>
      </c>
      <c r="AM336" s="18" t="str">
        <f>IF(NOT(ISBLANK(Audit[[#This Row],[Audit Candidate 9]])), Audit[[#This Row],[Audit Candidate 9]]-Audit[[#This Row],[Candidate 9]], "")</f>
        <v/>
      </c>
      <c r="AN336" s="18" t="str">
        <f>IF(NOT(ISBLANK(Audit[[#This Row],[Audit Candidate 10]])), Audit[[#This Row],[Audit Candidate 10]]-Audit[[#This Row],[Candidate 10]], "")</f>
        <v/>
      </c>
      <c r="AO336" s="18" t="str">
        <f>IF(NOT(ISBLANK(Audit[[#This Row],[Audit Candidate 11]])), Audit[[#This Row],[Audit Candidate 11]]-Audit[[#This Row],[Candidate 11]], "")</f>
        <v/>
      </c>
      <c r="AP336" s="18" t="str">
        <f>IF(NOT(ISBLANK(Audit[[#This Row],[Audit Candidate 12]])), Audit[[#This Row],[Audit Candidate 12]]-Audit[[#This Row],[Candidate 12]], "")</f>
        <v/>
      </c>
      <c r="AQ336" s="18">
        <f>SUMIF(Audit[[#This Row],[Difference Winner]:[Difference Candidate 12]], "&gt;0")</f>
        <v>0</v>
      </c>
      <c r="AR336" s="18">
        <f>SUM(Audit[[#This Row],[Difference Winner]:[Difference Candidate 12]])</f>
        <v>0</v>
      </c>
      <c r="AS336" s="18">
        <f>IF(Audit[[#This Row],[Times p Drawn - With Replacement]]&gt;0, IF(Audit[[#This Row],[Canceled Differences]]&lt;0, Audit[[#This Row],[Max Differences]]+ABS(Audit[[#This Row],[Canceled Differences]]), Audit[[#This Row],[Max Differences]]), 0)</f>
        <v>0</v>
      </c>
      <c r="AT336" s="18">
        <f>'Sampling Data'!AB336</f>
        <v>6.9101988252662E-4</v>
      </c>
      <c r="AU336" s="18">
        <f>IF(
      SUM(Audit[[#This Row],[Audit Losing Candidate]:[Audit Candidate 12]])
      &lt;&gt;0,
      (Audit[[#This Row],[Winning Candidate]]-Audit[[#This Row],[Losing Candidate]]-(Audit[[#This Row],[Audit Winning Candidate]]-Audit[[#This Row],[Audit Losing Candidate]]))/(Audit[[#Totals],[Winning Candidate]]-Audit[[#Totals],[Losing Candidate]]),
      0
)</f>
        <v>0</v>
      </c>
      <c r="AV3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8">
        <f>IF(Audit[[#This Row],[Max Relative Error (ep)]] = 0, 0, Audit[[#This Row],[Max Relative Error (ep)]]/Audit[[#This Row],[Error Bound (up) - Max. possible relative overstatement]])</f>
        <v>0</v>
      </c>
      <c r="BH3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6" s="18">
        <f t="shared" si="6"/>
        <v>1</v>
      </c>
      <c r="BJ336" s="18">
        <f>PRODUCT($BI$5:BI336)</f>
        <v>0.32656797278968008</v>
      </c>
      <c r="BK336" s="20">
        <f>1 - Audit[[#This Row],[K-M P Value]]</f>
        <v>0.67343202721031992</v>
      </c>
      <c r="BL336" s="18" t="str">
        <f>IF(Audit[[#This Row],[K-M P Value]]&gt;1-'General Info'!$B$12,"Continue", "Stop")</f>
        <v>Continue</v>
      </c>
      <c r="BM336" s="23" t="b">
        <f>IF(Audit[[#This Row],[Status - Continue or stop audit]] = "Continue", TRUE, IF(BL335 = "Continue", TRUE, FALSE))</f>
        <v>1</v>
      </c>
      <c r="BN336" s="23"/>
    </row>
    <row r="337" spans="1:66" ht="15" hidden="1" customHeight="1" x14ac:dyDescent="0.35">
      <c r="A337" s="18" t="str">
        <f>'Sampling Data'!AI337</f>
        <v/>
      </c>
      <c r="B337" s="18" t="str">
        <f>'Sampling Data'!A337</f>
        <v>5618 AND R   (AV)</v>
      </c>
      <c r="C337" s="18">
        <f>'Sampling Data'!B337</f>
        <v>14</v>
      </c>
      <c r="D337" s="18">
        <f>'Sampling Data'!C337</f>
        <v>0</v>
      </c>
      <c r="E337" s="19">
        <f>'Sampling Data'!D337</f>
        <v>0</v>
      </c>
      <c r="F337" s="19">
        <f>'Sampling Data'!E337</f>
        <v>0</v>
      </c>
      <c r="G337" s="19">
        <f>'Sampling Data'!F337</f>
        <v>0</v>
      </c>
      <c r="H337" s="19">
        <f>'Sampling Data'!G337</f>
        <v>0</v>
      </c>
      <c r="I337" s="19">
        <f>'Sampling Data'!H337</f>
        <v>0</v>
      </c>
      <c r="J337" s="19">
        <f>'Sampling Data'!I337</f>
        <v>0</v>
      </c>
      <c r="K337" s="19">
        <f>'Sampling Data'!J337</f>
        <v>0</v>
      </c>
      <c r="L337" s="19">
        <f>'Sampling Data'!K337</f>
        <v>0</v>
      </c>
      <c r="M337" s="19">
        <f>'Sampling Data'!L337</f>
        <v>0</v>
      </c>
      <c r="N337" s="19">
        <f>'Sampling Data'!M337</f>
        <v>0</v>
      </c>
      <c r="O337" s="18">
        <f>'Sampling Data'!N337</f>
        <v>0</v>
      </c>
      <c r="P337" s="18">
        <f>'Sampling Data'!O337</f>
        <v>0</v>
      </c>
      <c r="Q337" s="18">
        <f>'Sampling Data'!P337</f>
        <v>14</v>
      </c>
      <c r="R337" s="18">
        <f>'Sampling Data'!AJ337</f>
        <v>0</v>
      </c>
      <c r="S337" s="112"/>
      <c r="T337" s="112"/>
      <c r="U337" s="113"/>
      <c r="V337" s="113"/>
      <c r="W337" s="112"/>
      <c r="X337" s="112"/>
      <c r="Y337" s="112"/>
      <c r="Z337" s="112"/>
      <c r="AA337" s="15"/>
      <c r="AB337" s="15"/>
      <c r="AC337" s="15"/>
      <c r="AD337" s="15"/>
      <c r="AE337" s="114" t="str">
        <f>IF(NOT(ISBLANK(Audit[[#This Row],[Audit Winning Candidate]])), Audit[[#This Row],[Audit Winning Candidate]]-Audit[[#This Row],[Winning Candidate]], "")</f>
        <v/>
      </c>
      <c r="AF337" s="18" t="str">
        <f>IF(NOT(ISBLANK(Audit[[#This Row],[Audit Losing Candidate]])), Audit[[#This Row],[Audit Losing Candidate]]-Audit[[#This Row],[Losing Candidate]], "")</f>
        <v/>
      </c>
      <c r="AG337" s="18" t="str">
        <f>IF(NOT(ISBLANK(Audit[[#This Row],[Audit Candidate 3]])), Audit[[#This Row],[Audit Candidate 3]]-Audit[[#This Row],[Candidate 3]], "")</f>
        <v/>
      </c>
      <c r="AH337" s="18" t="str">
        <f>IF(NOT(ISBLANK(Audit[[#This Row],[Audit Candidate 4]])),Audit[[#This Row],[Audit Candidate 4]]-Audit[[#This Row],[Candidate 4]], "")</f>
        <v/>
      </c>
      <c r="AI337" s="18" t="str">
        <f>IF(NOT(ISBLANK(Audit[[#This Row],[Audit Candidate 5]])), Audit[[#This Row],[Audit Candidate 5]]-Audit[[#This Row],[Candidate 5]], "")</f>
        <v/>
      </c>
      <c r="AJ337" s="18" t="str">
        <f>IF(NOT(ISBLANK(Audit[[#This Row],[Audit Candidate 6]])), Audit[[#This Row],[Audit Candidate 6]]-Audit[[#This Row],[Candidate 6]], "")</f>
        <v/>
      </c>
      <c r="AK337" s="18" t="str">
        <f>IF(NOT(ISBLANK(Audit[[#This Row],[Audit Candidate 7]])), Audit[[#This Row],[Audit Candidate 7]]-Audit[[#This Row],[Candidate 7]], "")</f>
        <v/>
      </c>
      <c r="AL337" s="18" t="str">
        <f>IF(NOT(ISBLANK(Audit[[#This Row],[Audit Candidate 8]])), Audit[[#This Row],[Audit Candidate 8]]-Audit[[#This Row],[Candidate 8]], "")</f>
        <v/>
      </c>
      <c r="AM337" s="18" t="str">
        <f>IF(NOT(ISBLANK(Audit[[#This Row],[Audit Candidate 9]])), Audit[[#This Row],[Audit Candidate 9]]-Audit[[#This Row],[Candidate 9]], "")</f>
        <v/>
      </c>
      <c r="AN337" s="18" t="str">
        <f>IF(NOT(ISBLANK(Audit[[#This Row],[Audit Candidate 10]])), Audit[[#This Row],[Audit Candidate 10]]-Audit[[#This Row],[Candidate 10]], "")</f>
        <v/>
      </c>
      <c r="AO337" s="18" t="str">
        <f>IF(NOT(ISBLANK(Audit[[#This Row],[Audit Candidate 11]])), Audit[[#This Row],[Audit Candidate 11]]-Audit[[#This Row],[Candidate 11]], "")</f>
        <v/>
      </c>
      <c r="AP337" s="18" t="str">
        <f>IF(NOT(ISBLANK(Audit[[#This Row],[Audit Candidate 12]])), Audit[[#This Row],[Audit Candidate 12]]-Audit[[#This Row],[Candidate 12]], "")</f>
        <v/>
      </c>
      <c r="AQ337" s="18">
        <f>SUMIF(Audit[[#This Row],[Difference Winner]:[Difference Candidate 12]], "&gt;0")</f>
        <v>0</v>
      </c>
      <c r="AR337" s="18">
        <f>SUM(Audit[[#This Row],[Difference Winner]:[Difference Candidate 12]])</f>
        <v>0</v>
      </c>
      <c r="AS337" s="18">
        <f>IF(Audit[[#This Row],[Times p Drawn - With Replacement]]&gt;0, IF(Audit[[#This Row],[Canceled Differences]]&lt;0, Audit[[#This Row],[Max Differences]]+ABS(Audit[[#This Row],[Canceled Differences]]), Audit[[#This Row],[Max Differences]]), 0)</f>
        <v>0</v>
      </c>
      <c r="AT337" s="18">
        <f>'Sampling Data'!AB337</f>
        <v>8.7947985048842541E-4</v>
      </c>
      <c r="AU337" s="18">
        <f>IF(
      SUM(Audit[[#This Row],[Audit Losing Candidate]:[Audit Candidate 12]])
      &lt;&gt;0,
      (Audit[[#This Row],[Winning Candidate]]-Audit[[#This Row],[Losing Candidate]]-(Audit[[#This Row],[Audit Winning Candidate]]-Audit[[#This Row],[Audit Losing Candidate]]))/(Audit[[#Totals],[Winning Candidate]]-Audit[[#Totals],[Losing Candidate]]),
      0
)</f>
        <v>0</v>
      </c>
      <c r="AV3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8">
        <f>IF(Audit[[#This Row],[Max Relative Error (ep)]] = 0, 0, Audit[[#This Row],[Max Relative Error (ep)]]/Audit[[#This Row],[Error Bound (up) - Max. possible relative overstatement]])</f>
        <v>0</v>
      </c>
      <c r="BH3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7" s="18">
        <f t="shared" si="6"/>
        <v>1</v>
      </c>
      <c r="BJ337" s="18">
        <f>PRODUCT($BI$5:BI337)</f>
        <v>0.32656797278968008</v>
      </c>
      <c r="BK337" s="20">
        <f>1 - Audit[[#This Row],[K-M P Value]]</f>
        <v>0.67343202721031992</v>
      </c>
      <c r="BL337" s="18" t="str">
        <f>IF(Audit[[#This Row],[K-M P Value]]&gt;1-'General Info'!$B$12,"Continue", "Stop")</f>
        <v>Continue</v>
      </c>
      <c r="BM337" s="23" t="b">
        <f>IF(Audit[[#This Row],[Status - Continue or stop audit]] = "Continue", TRUE, IF(BL336 = "Continue", TRUE, FALSE))</f>
        <v>1</v>
      </c>
      <c r="BN337" s="23"/>
    </row>
    <row r="338" spans="1:66" ht="15" hidden="1" customHeight="1" x14ac:dyDescent="0.35">
      <c r="A338" s="18" t="str">
        <f>'Sampling Data'!AI338</f>
        <v/>
      </c>
      <c r="B338" s="18" t="str">
        <f>'Sampling Data'!A338</f>
        <v>5619 AND S   (AV)</v>
      </c>
      <c r="C338" s="18">
        <f>'Sampling Data'!B338</f>
        <v>14</v>
      </c>
      <c r="D338" s="18">
        <f>'Sampling Data'!C338</f>
        <v>0</v>
      </c>
      <c r="E338" s="19">
        <f>'Sampling Data'!D338</f>
        <v>0</v>
      </c>
      <c r="F338" s="19">
        <f>'Sampling Data'!E338</f>
        <v>0</v>
      </c>
      <c r="G338" s="19">
        <f>'Sampling Data'!F338</f>
        <v>0</v>
      </c>
      <c r="H338" s="19">
        <f>'Sampling Data'!G338</f>
        <v>0</v>
      </c>
      <c r="I338" s="19">
        <f>'Sampling Data'!H338</f>
        <v>0</v>
      </c>
      <c r="J338" s="19">
        <f>'Sampling Data'!I338</f>
        <v>0</v>
      </c>
      <c r="K338" s="19">
        <f>'Sampling Data'!J338</f>
        <v>0</v>
      </c>
      <c r="L338" s="19">
        <f>'Sampling Data'!K338</f>
        <v>0</v>
      </c>
      <c r="M338" s="19">
        <f>'Sampling Data'!L338</f>
        <v>0</v>
      </c>
      <c r="N338" s="19">
        <f>'Sampling Data'!M338</f>
        <v>0</v>
      </c>
      <c r="O338" s="18">
        <f>'Sampling Data'!N338</f>
        <v>0</v>
      </c>
      <c r="P338" s="18">
        <f>'Sampling Data'!O338</f>
        <v>0</v>
      </c>
      <c r="Q338" s="18">
        <f>'Sampling Data'!P338</f>
        <v>14</v>
      </c>
      <c r="R338" s="18">
        <f>'Sampling Data'!AJ338</f>
        <v>0</v>
      </c>
      <c r="S338" s="112"/>
      <c r="T338" s="112"/>
      <c r="U338" s="113"/>
      <c r="V338" s="113"/>
      <c r="W338" s="112"/>
      <c r="X338" s="112"/>
      <c r="Y338" s="112"/>
      <c r="Z338" s="112"/>
      <c r="AA338" s="15"/>
      <c r="AB338" s="15"/>
      <c r="AC338" s="15"/>
      <c r="AD338" s="15"/>
      <c r="AE338" s="114" t="str">
        <f>IF(NOT(ISBLANK(Audit[[#This Row],[Audit Winning Candidate]])), Audit[[#This Row],[Audit Winning Candidate]]-Audit[[#This Row],[Winning Candidate]], "")</f>
        <v/>
      </c>
      <c r="AF338" s="18" t="str">
        <f>IF(NOT(ISBLANK(Audit[[#This Row],[Audit Losing Candidate]])), Audit[[#This Row],[Audit Losing Candidate]]-Audit[[#This Row],[Losing Candidate]], "")</f>
        <v/>
      </c>
      <c r="AG338" s="18" t="str">
        <f>IF(NOT(ISBLANK(Audit[[#This Row],[Audit Candidate 3]])), Audit[[#This Row],[Audit Candidate 3]]-Audit[[#This Row],[Candidate 3]], "")</f>
        <v/>
      </c>
      <c r="AH338" s="18" t="str">
        <f>IF(NOT(ISBLANK(Audit[[#This Row],[Audit Candidate 4]])),Audit[[#This Row],[Audit Candidate 4]]-Audit[[#This Row],[Candidate 4]], "")</f>
        <v/>
      </c>
      <c r="AI338" s="18" t="str">
        <f>IF(NOT(ISBLANK(Audit[[#This Row],[Audit Candidate 5]])), Audit[[#This Row],[Audit Candidate 5]]-Audit[[#This Row],[Candidate 5]], "")</f>
        <v/>
      </c>
      <c r="AJ338" s="18" t="str">
        <f>IF(NOT(ISBLANK(Audit[[#This Row],[Audit Candidate 6]])), Audit[[#This Row],[Audit Candidate 6]]-Audit[[#This Row],[Candidate 6]], "")</f>
        <v/>
      </c>
      <c r="AK338" s="18" t="str">
        <f>IF(NOT(ISBLANK(Audit[[#This Row],[Audit Candidate 7]])), Audit[[#This Row],[Audit Candidate 7]]-Audit[[#This Row],[Candidate 7]], "")</f>
        <v/>
      </c>
      <c r="AL338" s="18" t="str">
        <f>IF(NOT(ISBLANK(Audit[[#This Row],[Audit Candidate 8]])), Audit[[#This Row],[Audit Candidate 8]]-Audit[[#This Row],[Candidate 8]], "")</f>
        <v/>
      </c>
      <c r="AM338" s="18" t="str">
        <f>IF(NOT(ISBLANK(Audit[[#This Row],[Audit Candidate 9]])), Audit[[#This Row],[Audit Candidate 9]]-Audit[[#This Row],[Candidate 9]], "")</f>
        <v/>
      </c>
      <c r="AN338" s="18" t="str">
        <f>IF(NOT(ISBLANK(Audit[[#This Row],[Audit Candidate 10]])), Audit[[#This Row],[Audit Candidate 10]]-Audit[[#This Row],[Candidate 10]], "")</f>
        <v/>
      </c>
      <c r="AO338" s="18" t="str">
        <f>IF(NOT(ISBLANK(Audit[[#This Row],[Audit Candidate 11]])), Audit[[#This Row],[Audit Candidate 11]]-Audit[[#This Row],[Candidate 11]], "")</f>
        <v/>
      </c>
      <c r="AP338" s="18" t="str">
        <f>IF(NOT(ISBLANK(Audit[[#This Row],[Audit Candidate 12]])), Audit[[#This Row],[Audit Candidate 12]]-Audit[[#This Row],[Candidate 12]], "")</f>
        <v/>
      </c>
      <c r="AQ338" s="18">
        <f>SUMIF(Audit[[#This Row],[Difference Winner]:[Difference Candidate 12]], "&gt;0")</f>
        <v>0</v>
      </c>
      <c r="AR338" s="18">
        <f>SUM(Audit[[#This Row],[Difference Winner]:[Difference Candidate 12]])</f>
        <v>0</v>
      </c>
      <c r="AS338" s="18">
        <f>IF(Audit[[#This Row],[Times p Drawn - With Replacement]]&gt;0, IF(Audit[[#This Row],[Canceled Differences]]&lt;0, Audit[[#This Row],[Max Differences]]+ABS(Audit[[#This Row],[Canceled Differences]]), Audit[[#This Row],[Max Differences]]), 0)</f>
        <v>0</v>
      </c>
      <c r="AT338" s="18">
        <f>'Sampling Data'!AB338</f>
        <v>8.7947985048842541E-4</v>
      </c>
      <c r="AU338" s="18">
        <f>IF(
      SUM(Audit[[#This Row],[Audit Losing Candidate]:[Audit Candidate 12]])
      &lt;&gt;0,
      (Audit[[#This Row],[Winning Candidate]]-Audit[[#This Row],[Losing Candidate]]-(Audit[[#This Row],[Audit Winning Candidate]]-Audit[[#This Row],[Audit Losing Candidate]]))/(Audit[[#Totals],[Winning Candidate]]-Audit[[#Totals],[Losing Candidate]]),
      0
)</f>
        <v>0</v>
      </c>
      <c r="AV3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8">
        <f>IF(Audit[[#This Row],[Max Relative Error (ep)]] = 0, 0, Audit[[#This Row],[Max Relative Error (ep)]]/Audit[[#This Row],[Error Bound (up) - Max. possible relative overstatement]])</f>
        <v>0</v>
      </c>
      <c r="BH3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8" s="18">
        <f t="shared" si="6"/>
        <v>1</v>
      </c>
      <c r="BJ338" s="18">
        <f>PRODUCT($BI$5:BI338)</f>
        <v>0.32656797278968008</v>
      </c>
      <c r="BK338" s="20">
        <f>1 - Audit[[#This Row],[K-M P Value]]</f>
        <v>0.67343202721031992</v>
      </c>
      <c r="BL338" s="18" t="str">
        <f>IF(Audit[[#This Row],[K-M P Value]]&gt;1-'General Info'!$B$12,"Continue", "Stop")</f>
        <v>Continue</v>
      </c>
      <c r="BM338" s="23" t="b">
        <f>IF(Audit[[#This Row],[Status - Continue or stop audit]] = "Continue", TRUE, IF(BL337 = "Continue", TRUE, FALSE))</f>
        <v>1</v>
      </c>
      <c r="BN338" s="23"/>
    </row>
    <row r="339" spans="1:66" ht="15" hidden="1" customHeight="1" x14ac:dyDescent="0.35">
      <c r="A339" s="18" t="str">
        <f>'Sampling Data'!AI339</f>
        <v/>
      </c>
      <c r="B339" s="18" t="str">
        <f>'Sampling Data'!A339</f>
        <v>5620 AND T   (AV)</v>
      </c>
      <c r="C339" s="18">
        <f>'Sampling Data'!B339</f>
        <v>10</v>
      </c>
      <c r="D339" s="18">
        <f>'Sampling Data'!C339</f>
        <v>2</v>
      </c>
      <c r="E339" s="19">
        <f>'Sampling Data'!D339</f>
        <v>0</v>
      </c>
      <c r="F339" s="19">
        <f>'Sampling Data'!E339</f>
        <v>0</v>
      </c>
      <c r="G339" s="19">
        <f>'Sampling Data'!F339</f>
        <v>0</v>
      </c>
      <c r="H339" s="19">
        <f>'Sampling Data'!G339</f>
        <v>0</v>
      </c>
      <c r="I339" s="19">
        <f>'Sampling Data'!H339</f>
        <v>0</v>
      </c>
      <c r="J339" s="19">
        <f>'Sampling Data'!I339</f>
        <v>0</v>
      </c>
      <c r="K339" s="19">
        <f>'Sampling Data'!J339</f>
        <v>0</v>
      </c>
      <c r="L339" s="19">
        <f>'Sampling Data'!K339</f>
        <v>0</v>
      </c>
      <c r="M339" s="19">
        <f>'Sampling Data'!L339</f>
        <v>0</v>
      </c>
      <c r="N339" s="19">
        <f>'Sampling Data'!M339</f>
        <v>0</v>
      </c>
      <c r="O339" s="18">
        <f>'Sampling Data'!N339</f>
        <v>0</v>
      </c>
      <c r="P339" s="18">
        <f>'Sampling Data'!O339</f>
        <v>0</v>
      </c>
      <c r="Q339" s="18">
        <f>'Sampling Data'!P339</f>
        <v>12</v>
      </c>
      <c r="R339" s="18">
        <f>'Sampling Data'!AJ339</f>
        <v>0</v>
      </c>
      <c r="S339" s="112"/>
      <c r="T339" s="112"/>
      <c r="U339" s="113"/>
      <c r="V339" s="113"/>
      <c r="W339" s="112"/>
      <c r="X339" s="112"/>
      <c r="Y339" s="112"/>
      <c r="Z339" s="112"/>
      <c r="AA339" s="15"/>
      <c r="AB339" s="15"/>
      <c r="AC339" s="15"/>
      <c r="AD339" s="15"/>
      <c r="AE339" s="114" t="str">
        <f>IF(NOT(ISBLANK(Audit[[#This Row],[Audit Winning Candidate]])), Audit[[#This Row],[Audit Winning Candidate]]-Audit[[#This Row],[Winning Candidate]], "")</f>
        <v/>
      </c>
      <c r="AF339" s="18" t="str">
        <f>IF(NOT(ISBLANK(Audit[[#This Row],[Audit Losing Candidate]])), Audit[[#This Row],[Audit Losing Candidate]]-Audit[[#This Row],[Losing Candidate]], "")</f>
        <v/>
      </c>
      <c r="AG339" s="18" t="str">
        <f>IF(NOT(ISBLANK(Audit[[#This Row],[Audit Candidate 3]])), Audit[[#This Row],[Audit Candidate 3]]-Audit[[#This Row],[Candidate 3]], "")</f>
        <v/>
      </c>
      <c r="AH339" s="18" t="str">
        <f>IF(NOT(ISBLANK(Audit[[#This Row],[Audit Candidate 4]])),Audit[[#This Row],[Audit Candidate 4]]-Audit[[#This Row],[Candidate 4]], "")</f>
        <v/>
      </c>
      <c r="AI339" s="18" t="str">
        <f>IF(NOT(ISBLANK(Audit[[#This Row],[Audit Candidate 5]])), Audit[[#This Row],[Audit Candidate 5]]-Audit[[#This Row],[Candidate 5]], "")</f>
        <v/>
      </c>
      <c r="AJ339" s="18" t="str">
        <f>IF(NOT(ISBLANK(Audit[[#This Row],[Audit Candidate 6]])), Audit[[#This Row],[Audit Candidate 6]]-Audit[[#This Row],[Candidate 6]], "")</f>
        <v/>
      </c>
      <c r="AK339" s="18" t="str">
        <f>IF(NOT(ISBLANK(Audit[[#This Row],[Audit Candidate 7]])), Audit[[#This Row],[Audit Candidate 7]]-Audit[[#This Row],[Candidate 7]], "")</f>
        <v/>
      </c>
      <c r="AL339" s="18" t="str">
        <f>IF(NOT(ISBLANK(Audit[[#This Row],[Audit Candidate 8]])), Audit[[#This Row],[Audit Candidate 8]]-Audit[[#This Row],[Candidate 8]], "")</f>
        <v/>
      </c>
      <c r="AM339" s="18" t="str">
        <f>IF(NOT(ISBLANK(Audit[[#This Row],[Audit Candidate 9]])), Audit[[#This Row],[Audit Candidate 9]]-Audit[[#This Row],[Candidate 9]], "")</f>
        <v/>
      </c>
      <c r="AN339" s="18" t="str">
        <f>IF(NOT(ISBLANK(Audit[[#This Row],[Audit Candidate 10]])), Audit[[#This Row],[Audit Candidate 10]]-Audit[[#This Row],[Candidate 10]], "")</f>
        <v/>
      </c>
      <c r="AO339" s="18" t="str">
        <f>IF(NOT(ISBLANK(Audit[[#This Row],[Audit Candidate 11]])), Audit[[#This Row],[Audit Candidate 11]]-Audit[[#This Row],[Candidate 11]], "")</f>
        <v/>
      </c>
      <c r="AP339" s="18" t="str">
        <f>IF(NOT(ISBLANK(Audit[[#This Row],[Audit Candidate 12]])), Audit[[#This Row],[Audit Candidate 12]]-Audit[[#This Row],[Candidate 12]], "")</f>
        <v/>
      </c>
      <c r="AQ339" s="18">
        <f>SUMIF(Audit[[#This Row],[Difference Winner]:[Difference Candidate 12]], "&gt;0")</f>
        <v>0</v>
      </c>
      <c r="AR339" s="18">
        <f>SUM(Audit[[#This Row],[Difference Winner]:[Difference Candidate 12]])</f>
        <v>0</v>
      </c>
      <c r="AS339" s="18">
        <f>IF(Audit[[#This Row],[Times p Drawn - With Replacement]]&gt;0, IF(Audit[[#This Row],[Canceled Differences]]&lt;0, Audit[[#This Row],[Max Differences]]+ABS(Audit[[#This Row],[Canceled Differences]]), Audit[[#This Row],[Max Differences]]), 0)</f>
        <v>0</v>
      </c>
      <c r="AT339" s="18">
        <f>'Sampling Data'!AB339</f>
        <v>6.2819989320601812E-4</v>
      </c>
      <c r="AU339" s="18">
        <f>IF(
      SUM(Audit[[#This Row],[Audit Losing Candidate]:[Audit Candidate 12]])
      &lt;&gt;0,
      (Audit[[#This Row],[Winning Candidate]]-Audit[[#This Row],[Losing Candidate]]-(Audit[[#This Row],[Audit Winning Candidate]]-Audit[[#This Row],[Audit Losing Candidate]]))/(Audit[[#Totals],[Winning Candidate]]-Audit[[#Totals],[Losing Candidate]]),
      0
)</f>
        <v>0</v>
      </c>
      <c r="AV3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8">
        <f>IF(Audit[[#This Row],[Max Relative Error (ep)]] = 0, 0, Audit[[#This Row],[Max Relative Error (ep)]]/Audit[[#This Row],[Error Bound (up) - Max. possible relative overstatement]])</f>
        <v>0</v>
      </c>
      <c r="BH3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39" s="18">
        <f t="shared" si="6"/>
        <v>1</v>
      </c>
      <c r="BJ339" s="18">
        <f>PRODUCT($BI$5:BI339)</f>
        <v>0.32656797278968008</v>
      </c>
      <c r="BK339" s="20">
        <f>1 - Audit[[#This Row],[K-M P Value]]</f>
        <v>0.67343202721031992</v>
      </c>
      <c r="BL339" s="18" t="str">
        <f>IF(Audit[[#This Row],[K-M P Value]]&gt;1-'General Info'!$B$12,"Continue", "Stop")</f>
        <v>Continue</v>
      </c>
      <c r="BM339" s="23" t="b">
        <f>IF(Audit[[#This Row],[Status - Continue or stop audit]] = "Continue", TRUE, IF(BL338 = "Continue", TRUE, FALSE))</f>
        <v>1</v>
      </c>
      <c r="BN339" s="23"/>
    </row>
    <row r="340" spans="1:66" ht="15" hidden="1" customHeight="1" x14ac:dyDescent="0.35">
      <c r="A340" s="18" t="str">
        <f>'Sampling Data'!AI340</f>
        <v/>
      </c>
      <c r="B340" s="18" t="str">
        <f>'Sampling Data'!A340</f>
        <v>5621 AND U   (AV)</v>
      </c>
      <c r="C340" s="18">
        <f>'Sampling Data'!B340</f>
        <v>8</v>
      </c>
      <c r="D340" s="18">
        <f>'Sampling Data'!C340</f>
        <v>0</v>
      </c>
      <c r="E340" s="19">
        <f>'Sampling Data'!D340</f>
        <v>0</v>
      </c>
      <c r="F340" s="19">
        <f>'Sampling Data'!E340</f>
        <v>0</v>
      </c>
      <c r="G340" s="19">
        <f>'Sampling Data'!F340</f>
        <v>0</v>
      </c>
      <c r="H340" s="19">
        <f>'Sampling Data'!G340</f>
        <v>0</v>
      </c>
      <c r="I340" s="19">
        <f>'Sampling Data'!H340</f>
        <v>0</v>
      </c>
      <c r="J340" s="19">
        <f>'Sampling Data'!I340</f>
        <v>0</v>
      </c>
      <c r="K340" s="19">
        <f>'Sampling Data'!J340</f>
        <v>0</v>
      </c>
      <c r="L340" s="19">
        <f>'Sampling Data'!K340</f>
        <v>0</v>
      </c>
      <c r="M340" s="19">
        <f>'Sampling Data'!L340</f>
        <v>0</v>
      </c>
      <c r="N340" s="19">
        <f>'Sampling Data'!M340</f>
        <v>0</v>
      </c>
      <c r="O340" s="18">
        <f>'Sampling Data'!N340</f>
        <v>0</v>
      </c>
      <c r="P340" s="18">
        <f>'Sampling Data'!O340</f>
        <v>1</v>
      </c>
      <c r="Q340" s="18">
        <f>'Sampling Data'!P340</f>
        <v>9</v>
      </c>
      <c r="R340" s="18">
        <f>'Sampling Data'!AJ340</f>
        <v>0</v>
      </c>
      <c r="S340" s="112"/>
      <c r="T340" s="112"/>
      <c r="U340" s="113"/>
      <c r="V340" s="113"/>
      <c r="W340" s="112"/>
      <c r="X340" s="112"/>
      <c r="Y340" s="112"/>
      <c r="Z340" s="112"/>
      <c r="AA340" s="15"/>
      <c r="AB340" s="15"/>
      <c r="AC340" s="15"/>
      <c r="AD340" s="15"/>
      <c r="AE340" s="114" t="str">
        <f>IF(NOT(ISBLANK(Audit[[#This Row],[Audit Winning Candidate]])), Audit[[#This Row],[Audit Winning Candidate]]-Audit[[#This Row],[Winning Candidate]], "")</f>
        <v/>
      </c>
      <c r="AF340" s="18" t="str">
        <f>IF(NOT(ISBLANK(Audit[[#This Row],[Audit Losing Candidate]])), Audit[[#This Row],[Audit Losing Candidate]]-Audit[[#This Row],[Losing Candidate]], "")</f>
        <v/>
      </c>
      <c r="AG340" s="18" t="str">
        <f>IF(NOT(ISBLANK(Audit[[#This Row],[Audit Candidate 3]])), Audit[[#This Row],[Audit Candidate 3]]-Audit[[#This Row],[Candidate 3]], "")</f>
        <v/>
      </c>
      <c r="AH340" s="18" t="str">
        <f>IF(NOT(ISBLANK(Audit[[#This Row],[Audit Candidate 4]])),Audit[[#This Row],[Audit Candidate 4]]-Audit[[#This Row],[Candidate 4]], "")</f>
        <v/>
      </c>
      <c r="AI340" s="18" t="str">
        <f>IF(NOT(ISBLANK(Audit[[#This Row],[Audit Candidate 5]])), Audit[[#This Row],[Audit Candidate 5]]-Audit[[#This Row],[Candidate 5]], "")</f>
        <v/>
      </c>
      <c r="AJ340" s="18" t="str">
        <f>IF(NOT(ISBLANK(Audit[[#This Row],[Audit Candidate 6]])), Audit[[#This Row],[Audit Candidate 6]]-Audit[[#This Row],[Candidate 6]], "")</f>
        <v/>
      </c>
      <c r="AK340" s="18" t="str">
        <f>IF(NOT(ISBLANK(Audit[[#This Row],[Audit Candidate 7]])), Audit[[#This Row],[Audit Candidate 7]]-Audit[[#This Row],[Candidate 7]], "")</f>
        <v/>
      </c>
      <c r="AL340" s="18" t="str">
        <f>IF(NOT(ISBLANK(Audit[[#This Row],[Audit Candidate 8]])), Audit[[#This Row],[Audit Candidate 8]]-Audit[[#This Row],[Candidate 8]], "")</f>
        <v/>
      </c>
      <c r="AM340" s="18" t="str">
        <f>IF(NOT(ISBLANK(Audit[[#This Row],[Audit Candidate 9]])), Audit[[#This Row],[Audit Candidate 9]]-Audit[[#This Row],[Candidate 9]], "")</f>
        <v/>
      </c>
      <c r="AN340" s="18" t="str">
        <f>IF(NOT(ISBLANK(Audit[[#This Row],[Audit Candidate 10]])), Audit[[#This Row],[Audit Candidate 10]]-Audit[[#This Row],[Candidate 10]], "")</f>
        <v/>
      </c>
      <c r="AO340" s="18" t="str">
        <f>IF(NOT(ISBLANK(Audit[[#This Row],[Audit Candidate 11]])), Audit[[#This Row],[Audit Candidate 11]]-Audit[[#This Row],[Candidate 11]], "")</f>
        <v/>
      </c>
      <c r="AP340" s="18" t="str">
        <f>IF(NOT(ISBLANK(Audit[[#This Row],[Audit Candidate 12]])), Audit[[#This Row],[Audit Candidate 12]]-Audit[[#This Row],[Candidate 12]], "")</f>
        <v/>
      </c>
      <c r="AQ340" s="18">
        <f>SUMIF(Audit[[#This Row],[Difference Winner]:[Difference Candidate 12]], "&gt;0")</f>
        <v>0</v>
      </c>
      <c r="AR340" s="18">
        <f>SUM(Audit[[#This Row],[Difference Winner]:[Difference Candidate 12]])</f>
        <v>0</v>
      </c>
      <c r="AS340" s="18">
        <f>IF(Audit[[#This Row],[Times p Drawn - With Replacement]]&gt;0, IF(Audit[[#This Row],[Canceled Differences]]&lt;0, Audit[[#This Row],[Max Differences]]+ABS(Audit[[#This Row],[Canceled Differences]]), Audit[[#This Row],[Max Differences]]), 0)</f>
        <v>0</v>
      </c>
      <c r="AT340" s="18">
        <f>'Sampling Data'!AB340</f>
        <v>5.3396990922511547E-4</v>
      </c>
      <c r="AU340" s="18">
        <f>IF(
      SUM(Audit[[#This Row],[Audit Losing Candidate]:[Audit Candidate 12]])
      &lt;&gt;0,
      (Audit[[#This Row],[Winning Candidate]]-Audit[[#This Row],[Losing Candidate]]-(Audit[[#This Row],[Audit Winning Candidate]]-Audit[[#This Row],[Audit Losing Candidate]]))/(Audit[[#Totals],[Winning Candidate]]-Audit[[#Totals],[Losing Candidate]]),
      0
)</f>
        <v>0</v>
      </c>
      <c r="AV3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8">
        <f>IF(Audit[[#This Row],[Max Relative Error (ep)]] = 0, 0, Audit[[#This Row],[Max Relative Error (ep)]]/Audit[[#This Row],[Error Bound (up) - Max. possible relative overstatement]])</f>
        <v>0</v>
      </c>
      <c r="BH3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0" s="18">
        <f t="shared" si="6"/>
        <v>1</v>
      </c>
      <c r="BJ340" s="18">
        <f>PRODUCT($BI$5:BI340)</f>
        <v>0.32656797278968008</v>
      </c>
      <c r="BK340" s="20">
        <f>1 - Audit[[#This Row],[K-M P Value]]</f>
        <v>0.67343202721031992</v>
      </c>
      <c r="BL340" s="18" t="str">
        <f>IF(Audit[[#This Row],[K-M P Value]]&gt;1-'General Info'!$B$12,"Continue", "Stop")</f>
        <v>Continue</v>
      </c>
      <c r="BM340" s="23" t="b">
        <f>IF(Audit[[#This Row],[Status - Continue or stop audit]] = "Continue", TRUE, IF(BL339 = "Continue", TRUE, FALSE))</f>
        <v>1</v>
      </c>
      <c r="BN340" s="23"/>
    </row>
    <row r="341" spans="1:66" ht="15" hidden="1" customHeight="1" x14ac:dyDescent="0.35">
      <c r="A341" s="18" t="str">
        <f>'Sampling Data'!AI341</f>
        <v/>
      </c>
      <c r="B341" s="18" t="str">
        <f>'Sampling Data'!A341</f>
        <v>5622 AND V   (AV)</v>
      </c>
      <c r="C341" s="18">
        <f>'Sampling Data'!B341</f>
        <v>5</v>
      </c>
      <c r="D341" s="18">
        <f>'Sampling Data'!C341</f>
        <v>0</v>
      </c>
      <c r="E341" s="19">
        <f>'Sampling Data'!D341</f>
        <v>0</v>
      </c>
      <c r="F341" s="19">
        <f>'Sampling Data'!E341</f>
        <v>0</v>
      </c>
      <c r="G341" s="19">
        <f>'Sampling Data'!F341</f>
        <v>0</v>
      </c>
      <c r="H341" s="19">
        <f>'Sampling Data'!G341</f>
        <v>0</v>
      </c>
      <c r="I341" s="19">
        <f>'Sampling Data'!H341</f>
        <v>0</v>
      </c>
      <c r="J341" s="19">
        <f>'Sampling Data'!I341</f>
        <v>0</v>
      </c>
      <c r="K341" s="19">
        <f>'Sampling Data'!J341</f>
        <v>0</v>
      </c>
      <c r="L341" s="19">
        <f>'Sampling Data'!K341</f>
        <v>0</v>
      </c>
      <c r="M341" s="19">
        <f>'Sampling Data'!L341</f>
        <v>0</v>
      </c>
      <c r="N341" s="19">
        <f>'Sampling Data'!M341</f>
        <v>0</v>
      </c>
      <c r="O341" s="18">
        <f>'Sampling Data'!N341</f>
        <v>0</v>
      </c>
      <c r="P341" s="18">
        <f>'Sampling Data'!O341</f>
        <v>0</v>
      </c>
      <c r="Q341" s="18">
        <f>'Sampling Data'!P341</f>
        <v>5</v>
      </c>
      <c r="R341" s="18">
        <f>'Sampling Data'!AJ341</f>
        <v>0</v>
      </c>
      <c r="S341" s="112"/>
      <c r="T341" s="112"/>
      <c r="U341" s="113"/>
      <c r="V341" s="113"/>
      <c r="W341" s="112"/>
      <c r="X341" s="112"/>
      <c r="Y341" s="112"/>
      <c r="Z341" s="112"/>
      <c r="AA341" s="15"/>
      <c r="AB341" s="15"/>
      <c r="AC341" s="15"/>
      <c r="AD341" s="15"/>
      <c r="AE341" s="114" t="str">
        <f>IF(NOT(ISBLANK(Audit[[#This Row],[Audit Winning Candidate]])), Audit[[#This Row],[Audit Winning Candidate]]-Audit[[#This Row],[Winning Candidate]], "")</f>
        <v/>
      </c>
      <c r="AF341" s="18" t="str">
        <f>IF(NOT(ISBLANK(Audit[[#This Row],[Audit Losing Candidate]])), Audit[[#This Row],[Audit Losing Candidate]]-Audit[[#This Row],[Losing Candidate]], "")</f>
        <v/>
      </c>
      <c r="AG341" s="18" t="str">
        <f>IF(NOT(ISBLANK(Audit[[#This Row],[Audit Candidate 3]])), Audit[[#This Row],[Audit Candidate 3]]-Audit[[#This Row],[Candidate 3]], "")</f>
        <v/>
      </c>
      <c r="AH341" s="18" t="str">
        <f>IF(NOT(ISBLANK(Audit[[#This Row],[Audit Candidate 4]])),Audit[[#This Row],[Audit Candidate 4]]-Audit[[#This Row],[Candidate 4]], "")</f>
        <v/>
      </c>
      <c r="AI341" s="18" t="str">
        <f>IF(NOT(ISBLANK(Audit[[#This Row],[Audit Candidate 5]])), Audit[[#This Row],[Audit Candidate 5]]-Audit[[#This Row],[Candidate 5]], "")</f>
        <v/>
      </c>
      <c r="AJ341" s="18" t="str">
        <f>IF(NOT(ISBLANK(Audit[[#This Row],[Audit Candidate 6]])), Audit[[#This Row],[Audit Candidate 6]]-Audit[[#This Row],[Candidate 6]], "")</f>
        <v/>
      </c>
      <c r="AK341" s="18" t="str">
        <f>IF(NOT(ISBLANK(Audit[[#This Row],[Audit Candidate 7]])), Audit[[#This Row],[Audit Candidate 7]]-Audit[[#This Row],[Candidate 7]], "")</f>
        <v/>
      </c>
      <c r="AL341" s="18" t="str">
        <f>IF(NOT(ISBLANK(Audit[[#This Row],[Audit Candidate 8]])), Audit[[#This Row],[Audit Candidate 8]]-Audit[[#This Row],[Candidate 8]], "")</f>
        <v/>
      </c>
      <c r="AM341" s="18" t="str">
        <f>IF(NOT(ISBLANK(Audit[[#This Row],[Audit Candidate 9]])), Audit[[#This Row],[Audit Candidate 9]]-Audit[[#This Row],[Candidate 9]], "")</f>
        <v/>
      </c>
      <c r="AN341" s="18" t="str">
        <f>IF(NOT(ISBLANK(Audit[[#This Row],[Audit Candidate 10]])), Audit[[#This Row],[Audit Candidate 10]]-Audit[[#This Row],[Candidate 10]], "")</f>
        <v/>
      </c>
      <c r="AO341" s="18" t="str">
        <f>IF(NOT(ISBLANK(Audit[[#This Row],[Audit Candidate 11]])), Audit[[#This Row],[Audit Candidate 11]]-Audit[[#This Row],[Candidate 11]], "")</f>
        <v/>
      </c>
      <c r="AP341" s="18" t="str">
        <f>IF(NOT(ISBLANK(Audit[[#This Row],[Audit Candidate 12]])), Audit[[#This Row],[Audit Candidate 12]]-Audit[[#This Row],[Candidate 12]], "")</f>
        <v/>
      </c>
      <c r="AQ341" s="18">
        <f>SUMIF(Audit[[#This Row],[Difference Winner]:[Difference Candidate 12]], "&gt;0")</f>
        <v>0</v>
      </c>
      <c r="AR341" s="18">
        <f>SUM(Audit[[#This Row],[Difference Winner]:[Difference Candidate 12]])</f>
        <v>0</v>
      </c>
      <c r="AS341" s="18">
        <f>IF(Audit[[#This Row],[Times p Drawn - With Replacement]]&gt;0, IF(Audit[[#This Row],[Canceled Differences]]&lt;0, Audit[[#This Row],[Max Differences]]+ABS(Audit[[#This Row],[Canceled Differences]]), Audit[[#This Row],[Max Differences]]), 0)</f>
        <v>0</v>
      </c>
      <c r="AT341" s="18">
        <f>'Sampling Data'!AB341</f>
        <v>3.1409994660300906E-4</v>
      </c>
      <c r="AU341" s="18">
        <f>IF(
      SUM(Audit[[#This Row],[Audit Losing Candidate]:[Audit Candidate 12]])
      &lt;&gt;0,
      (Audit[[#This Row],[Winning Candidate]]-Audit[[#This Row],[Losing Candidate]]-(Audit[[#This Row],[Audit Winning Candidate]]-Audit[[#This Row],[Audit Losing Candidate]]))/(Audit[[#Totals],[Winning Candidate]]-Audit[[#Totals],[Losing Candidate]]),
      0
)</f>
        <v>0</v>
      </c>
      <c r="AV3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8">
        <f>IF(Audit[[#This Row],[Max Relative Error (ep)]] = 0, 0, Audit[[#This Row],[Max Relative Error (ep)]]/Audit[[#This Row],[Error Bound (up) - Max. possible relative overstatement]])</f>
        <v>0</v>
      </c>
      <c r="BH3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1" s="18">
        <f t="shared" si="6"/>
        <v>1</v>
      </c>
      <c r="BJ341" s="18">
        <f>PRODUCT($BI$5:BI341)</f>
        <v>0.32656797278968008</v>
      </c>
      <c r="BK341" s="20">
        <f>1 - Audit[[#This Row],[K-M P Value]]</f>
        <v>0.67343202721031992</v>
      </c>
      <c r="BL341" s="18" t="str">
        <f>IF(Audit[[#This Row],[K-M P Value]]&gt;1-'General Info'!$B$12,"Continue", "Stop")</f>
        <v>Continue</v>
      </c>
      <c r="BM341" s="23" t="b">
        <f>IF(Audit[[#This Row],[Status - Continue or stop audit]] = "Continue", TRUE, IF(BL340 = "Continue", TRUE, FALSE))</f>
        <v>1</v>
      </c>
      <c r="BN341" s="23"/>
    </row>
    <row r="342" spans="1:66" ht="15" hidden="1" customHeight="1" x14ac:dyDescent="0.35">
      <c r="A342" s="18" t="str">
        <f>'Sampling Data'!AI342</f>
        <v/>
      </c>
      <c r="B342" s="18" t="str">
        <f>'Sampling Data'!A342</f>
        <v>5623 AND W   (AV)</v>
      </c>
      <c r="C342" s="18">
        <f>'Sampling Data'!B342</f>
        <v>12</v>
      </c>
      <c r="D342" s="18">
        <f>'Sampling Data'!C342</f>
        <v>3</v>
      </c>
      <c r="E342" s="19">
        <f>'Sampling Data'!D342</f>
        <v>0</v>
      </c>
      <c r="F342" s="19">
        <f>'Sampling Data'!E342</f>
        <v>0</v>
      </c>
      <c r="G342" s="19">
        <f>'Sampling Data'!F342</f>
        <v>0</v>
      </c>
      <c r="H342" s="19">
        <f>'Sampling Data'!G342</f>
        <v>0</v>
      </c>
      <c r="I342" s="19">
        <f>'Sampling Data'!H342</f>
        <v>0</v>
      </c>
      <c r="J342" s="19">
        <f>'Sampling Data'!I342</f>
        <v>0</v>
      </c>
      <c r="K342" s="19">
        <f>'Sampling Data'!J342</f>
        <v>0</v>
      </c>
      <c r="L342" s="19">
        <f>'Sampling Data'!K342</f>
        <v>0</v>
      </c>
      <c r="M342" s="19">
        <f>'Sampling Data'!L342</f>
        <v>0</v>
      </c>
      <c r="N342" s="19">
        <f>'Sampling Data'!M342</f>
        <v>0</v>
      </c>
      <c r="O342" s="18">
        <f>'Sampling Data'!N342</f>
        <v>0</v>
      </c>
      <c r="P342" s="18">
        <f>'Sampling Data'!O342</f>
        <v>1</v>
      </c>
      <c r="Q342" s="18">
        <f>'Sampling Data'!P342</f>
        <v>16</v>
      </c>
      <c r="R342" s="18">
        <f>'Sampling Data'!AJ342</f>
        <v>0</v>
      </c>
      <c r="S342" s="112"/>
      <c r="T342" s="112"/>
      <c r="U342" s="113"/>
      <c r="V342" s="113"/>
      <c r="W342" s="112"/>
      <c r="X342" s="112"/>
      <c r="Y342" s="112"/>
      <c r="Z342" s="112"/>
      <c r="AA342" s="15"/>
      <c r="AB342" s="15"/>
      <c r="AC342" s="15"/>
      <c r="AD342" s="15"/>
      <c r="AE342" s="114" t="str">
        <f>IF(NOT(ISBLANK(Audit[[#This Row],[Audit Winning Candidate]])), Audit[[#This Row],[Audit Winning Candidate]]-Audit[[#This Row],[Winning Candidate]], "")</f>
        <v/>
      </c>
      <c r="AF342" s="18" t="str">
        <f>IF(NOT(ISBLANK(Audit[[#This Row],[Audit Losing Candidate]])), Audit[[#This Row],[Audit Losing Candidate]]-Audit[[#This Row],[Losing Candidate]], "")</f>
        <v/>
      </c>
      <c r="AG342" s="18" t="str">
        <f>IF(NOT(ISBLANK(Audit[[#This Row],[Audit Candidate 3]])), Audit[[#This Row],[Audit Candidate 3]]-Audit[[#This Row],[Candidate 3]], "")</f>
        <v/>
      </c>
      <c r="AH342" s="18" t="str">
        <f>IF(NOT(ISBLANK(Audit[[#This Row],[Audit Candidate 4]])),Audit[[#This Row],[Audit Candidate 4]]-Audit[[#This Row],[Candidate 4]], "")</f>
        <v/>
      </c>
      <c r="AI342" s="18" t="str">
        <f>IF(NOT(ISBLANK(Audit[[#This Row],[Audit Candidate 5]])), Audit[[#This Row],[Audit Candidate 5]]-Audit[[#This Row],[Candidate 5]], "")</f>
        <v/>
      </c>
      <c r="AJ342" s="18" t="str">
        <f>IF(NOT(ISBLANK(Audit[[#This Row],[Audit Candidate 6]])), Audit[[#This Row],[Audit Candidate 6]]-Audit[[#This Row],[Candidate 6]], "")</f>
        <v/>
      </c>
      <c r="AK342" s="18" t="str">
        <f>IF(NOT(ISBLANK(Audit[[#This Row],[Audit Candidate 7]])), Audit[[#This Row],[Audit Candidate 7]]-Audit[[#This Row],[Candidate 7]], "")</f>
        <v/>
      </c>
      <c r="AL342" s="18" t="str">
        <f>IF(NOT(ISBLANK(Audit[[#This Row],[Audit Candidate 8]])), Audit[[#This Row],[Audit Candidate 8]]-Audit[[#This Row],[Candidate 8]], "")</f>
        <v/>
      </c>
      <c r="AM342" s="18" t="str">
        <f>IF(NOT(ISBLANK(Audit[[#This Row],[Audit Candidate 9]])), Audit[[#This Row],[Audit Candidate 9]]-Audit[[#This Row],[Candidate 9]], "")</f>
        <v/>
      </c>
      <c r="AN342" s="18" t="str">
        <f>IF(NOT(ISBLANK(Audit[[#This Row],[Audit Candidate 10]])), Audit[[#This Row],[Audit Candidate 10]]-Audit[[#This Row],[Candidate 10]], "")</f>
        <v/>
      </c>
      <c r="AO342" s="18" t="str">
        <f>IF(NOT(ISBLANK(Audit[[#This Row],[Audit Candidate 11]])), Audit[[#This Row],[Audit Candidate 11]]-Audit[[#This Row],[Candidate 11]], "")</f>
        <v/>
      </c>
      <c r="AP342" s="18" t="str">
        <f>IF(NOT(ISBLANK(Audit[[#This Row],[Audit Candidate 12]])), Audit[[#This Row],[Audit Candidate 12]]-Audit[[#This Row],[Candidate 12]], "")</f>
        <v/>
      </c>
      <c r="AQ342" s="18">
        <f>SUMIF(Audit[[#This Row],[Difference Winner]:[Difference Candidate 12]], "&gt;0")</f>
        <v>0</v>
      </c>
      <c r="AR342" s="18">
        <f>SUM(Audit[[#This Row],[Difference Winner]:[Difference Candidate 12]])</f>
        <v>0</v>
      </c>
      <c r="AS342" s="18">
        <f>IF(Audit[[#This Row],[Times p Drawn - With Replacement]]&gt;0, IF(Audit[[#This Row],[Canceled Differences]]&lt;0, Audit[[#This Row],[Max Differences]]+ABS(Audit[[#This Row],[Canceled Differences]]), Audit[[#This Row],[Max Differences]]), 0)</f>
        <v>0</v>
      </c>
      <c r="AT342" s="18">
        <f>'Sampling Data'!AB342</f>
        <v>7.8524986650752265E-4</v>
      </c>
      <c r="AU342" s="18">
        <f>IF(
      SUM(Audit[[#This Row],[Audit Losing Candidate]:[Audit Candidate 12]])
      &lt;&gt;0,
      (Audit[[#This Row],[Winning Candidate]]-Audit[[#This Row],[Losing Candidate]]-(Audit[[#This Row],[Audit Winning Candidate]]-Audit[[#This Row],[Audit Losing Candidate]]))/(Audit[[#Totals],[Winning Candidate]]-Audit[[#Totals],[Losing Candidate]]),
      0
)</f>
        <v>0</v>
      </c>
      <c r="AV3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8">
        <f>IF(Audit[[#This Row],[Max Relative Error (ep)]] = 0, 0, Audit[[#This Row],[Max Relative Error (ep)]]/Audit[[#This Row],[Error Bound (up) - Max. possible relative overstatement]])</f>
        <v>0</v>
      </c>
      <c r="BH3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2" s="18">
        <f t="shared" si="6"/>
        <v>1</v>
      </c>
      <c r="BJ342" s="18">
        <f>PRODUCT($BI$5:BI342)</f>
        <v>0.32656797278968008</v>
      </c>
      <c r="BK342" s="20">
        <f>1 - Audit[[#This Row],[K-M P Value]]</f>
        <v>0.67343202721031992</v>
      </c>
      <c r="BL342" s="18" t="str">
        <f>IF(Audit[[#This Row],[K-M P Value]]&gt;1-'General Info'!$B$12,"Continue", "Stop")</f>
        <v>Continue</v>
      </c>
      <c r="BM342" s="23" t="b">
        <f>IF(Audit[[#This Row],[Status - Continue or stop audit]] = "Continue", TRUE, IF(BL341 = "Continue", TRUE, FALSE))</f>
        <v>1</v>
      </c>
      <c r="BN342" s="23"/>
    </row>
    <row r="343" spans="1:66" ht="15" hidden="1" customHeight="1" x14ac:dyDescent="0.35">
      <c r="A343" s="18" t="str">
        <f>'Sampling Data'!AI343</f>
        <v/>
      </c>
      <c r="B343" s="18" t="str">
        <f>'Sampling Data'!A343</f>
        <v>5624 AND X   (AV)</v>
      </c>
      <c r="C343" s="18">
        <f>'Sampling Data'!B343</f>
        <v>4</v>
      </c>
      <c r="D343" s="18">
        <f>'Sampling Data'!C343</f>
        <v>1</v>
      </c>
      <c r="E343" s="19">
        <f>'Sampling Data'!D343</f>
        <v>0</v>
      </c>
      <c r="F343" s="19">
        <f>'Sampling Data'!E343</f>
        <v>0</v>
      </c>
      <c r="G343" s="19">
        <f>'Sampling Data'!F343</f>
        <v>0</v>
      </c>
      <c r="H343" s="19">
        <f>'Sampling Data'!G343</f>
        <v>0</v>
      </c>
      <c r="I343" s="19">
        <f>'Sampling Data'!H343</f>
        <v>0</v>
      </c>
      <c r="J343" s="19">
        <f>'Sampling Data'!I343</f>
        <v>0</v>
      </c>
      <c r="K343" s="19">
        <f>'Sampling Data'!J343</f>
        <v>0</v>
      </c>
      <c r="L343" s="19">
        <f>'Sampling Data'!K343</f>
        <v>0</v>
      </c>
      <c r="M343" s="19">
        <f>'Sampling Data'!L343</f>
        <v>0</v>
      </c>
      <c r="N343" s="19">
        <f>'Sampling Data'!M343</f>
        <v>0</v>
      </c>
      <c r="O343" s="18">
        <f>'Sampling Data'!N343</f>
        <v>0</v>
      </c>
      <c r="P343" s="18">
        <f>'Sampling Data'!O343</f>
        <v>0</v>
      </c>
      <c r="Q343" s="18">
        <f>'Sampling Data'!P343</f>
        <v>5</v>
      </c>
      <c r="R343" s="18">
        <f>'Sampling Data'!AJ343</f>
        <v>0</v>
      </c>
      <c r="S343" s="112"/>
      <c r="T343" s="112"/>
      <c r="U343" s="113"/>
      <c r="V343" s="113"/>
      <c r="W343" s="112"/>
      <c r="X343" s="112"/>
      <c r="Y343" s="112"/>
      <c r="Z343" s="112"/>
      <c r="AA343" s="15"/>
      <c r="AB343" s="15"/>
      <c r="AC343" s="15"/>
      <c r="AD343" s="15"/>
      <c r="AE343" s="114" t="str">
        <f>IF(NOT(ISBLANK(Audit[[#This Row],[Audit Winning Candidate]])), Audit[[#This Row],[Audit Winning Candidate]]-Audit[[#This Row],[Winning Candidate]], "")</f>
        <v/>
      </c>
      <c r="AF343" s="18" t="str">
        <f>IF(NOT(ISBLANK(Audit[[#This Row],[Audit Losing Candidate]])), Audit[[#This Row],[Audit Losing Candidate]]-Audit[[#This Row],[Losing Candidate]], "")</f>
        <v/>
      </c>
      <c r="AG343" s="18" t="str">
        <f>IF(NOT(ISBLANK(Audit[[#This Row],[Audit Candidate 3]])), Audit[[#This Row],[Audit Candidate 3]]-Audit[[#This Row],[Candidate 3]], "")</f>
        <v/>
      </c>
      <c r="AH343" s="18" t="str">
        <f>IF(NOT(ISBLANK(Audit[[#This Row],[Audit Candidate 4]])),Audit[[#This Row],[Audit Candidate 4]]-Audit[[#This Row],[Candidate 4]], "")</f>
        <v/>
      </c>
      <c r="AI343" s="18" t="str">
        <f>IF(NOT(ISBLANK(Audit[[#This Row],[Audit Candidate 5]])), Audit[[#This Row],[Audit Candidate 5]]-Audit[[#This Row],[Candidate 5]], "")</f>
        <v/>
      </c>
      <c r="AJ343" s="18" t="str">
        <f>IF(NOT(ISBLANK(Audit[[#This Row],[Audit Candidate 6]])), Audit[[#This Row],[Audit Candidate 6]]-Audit[[#This Row],[Candidate 6]], "")</f>
        <v/>
      </c>
      <c r="AK343" s="18" t="str">
        <f>IF(NOT(ISBLANK(Audit[[#This Row],[Audit Candidate 7]])), Audit[[#This Row],[Audit Candidate 7]]-Audit[[#This Row],[Candidate 7]], "")</f>
        <v/>
      </c>
      <c r="AL343" s="18" t="str">
        <f>IF(NOT(ISBLANK(Audit[[#This Row],[Audit Candidate 8]])), Audit[[#This Row],[Audit Candidate 8]]-Audit[[#This Row],[Candidate 8]], "")</f>
        <v/>
      </c>
      <c r="AM343" s="18" t="str">
        <f>IF(NOT(ISBLANK(Audit[[#This Row],[Audit Candidate 9]])), Audit[[#This Row],[Audit Candidate 9]]-Audit[[#This Row],[Candidate 9]], "")</f>
        <v/>
      </c>
      <c r="AN343" s="18" t="str">
        <f>IF(NOT(ISBLANK(Audit[[#This Row],[Audit Candidate 10]])), Audit[[#This Row],[Audit Candidate 10]]-Audit[[#This Row],[Candidate 10]], "")</f>
        <v/>
      </c>
      <c r="AO343" s="18" t="str">
        <f>IF(NOT(ISBLANK(Audit[[#This Row],[Audit Candidate 11]])), Audit[[#This Row],[Audit Candidate 11]]-Audit[[#This Row],[Candidate 11]], "")</f>
        <v/>
      </c>
      <c r="AP343" s="18" t="str">
        <f>IF(NOT(ISBLANK(Audit[[#This Row],[Audit Candidate 12]])), Audit[[#This Row],[Audit Candidate 12]]-Audit[[#This Row],[Candidate 12]], "")</f>
        <v/>
      </c>
      <c r="AQ343" s="18">
        <f>SUMIF(Audit[[#This Row],[Difference Winner]:[Difference Candidate 12]], "&gt;0")</f>
        <v>0</v>
      </c>
      <c r="AR343" s="18">
        <f>SUM(Audit[[#This Row],[Difference Winner]:[Difference Candidate 12]])</f>
        <v>0</v>
      </c>
      <c r="AS343" s="18">
        <f>IF(Audit[[#This Row],[Times p Drawn - With Replacement]]&gt;0, IF(Audit[[#This Row],[Canceled Differences]]&lt;0, Audit[[#This Row],[Max Differences]]+ABS(Audit[[#This Row],[Canceled Differences]]), Audit[[#This Row],[Max Differences]]), 0)</f>
        <v>0</v>
      </c>
      <c r="AT343" s="18">
        <f>'Sampling Data'!AB343</f>
        <v>2.5127995728240724E-4</v>
      </c>
      <c r="AU343" s="18">
        <f>IF(
      SUM(Audit[[#This Row],[Audit Losing Candidate]:[Audit Candidate 12]])
      &lt;&gt;0,
      (Audit[[#This Row],[Winning Candidate]]-Audit[[#This Row],[Losing Candidate]]-(Audit[[#This Row],[Audit Winning Candidate]]-Audit[[#This Row],[Audit Losing Candidate]]))/(Audit[[#Totals],[Winning Candidate]]-Audit[[#Totals],[Losing Candidate]]),
      0
)</f>
        <v>0</v>
      </c>
      <c r="AV3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8">
        <f>IF(Audit[[#This Row],[Max Relative Error (ep)]] = 0, 0, Audit[[#This Row],[Max Relative Error (ep)]]/Audit[[#This Row],[Error Bound (up) - Max. possible relative overstatement]])</f>
        <v>0</v>
      </c>
      <c r="BH3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3" s="18">
        <f t="shared" si="6"/>
        <v>1</v>
      </c>
      <c r="BJ343" s="18">
        <f>PRODUCT($BI$5:BI343)</f>
        <v>0.32656797278968008</v>
      </c>
      <c r="BK343" s="20">
        <f>1 - Audit[[#This Row],[K-M P Value]]</f>
        <v>0.67343202721031992</v>
      </c>
      <c r="BL343" s="18" t="str">
        <f>IF(Audit[[#This Row],[K-M P Value]]&gt;1-'General Info'!$B$12,"Continue", "Stop")</f>
        <v>Continue</v>
      </c>
      <c r="BM343" s="23" t="b">
        <f>IF(Audit[[#This Row],[Status - Continue or stop audit]] = "Continue", TRUE, IF(BL342 = "Continue", TRUE, FALSE))</f>
        <v>1</v>
      </c>
      <c r="BN343" s="23"/>
    </row>
    <row r="344" spans="1:66" ht="15" hidden="1" customHeight="1" x14ac:dyDescent="0.35">
      <c r="A344" s="18" t="str">
        <f>'Sampling Data'!AI344</f>
        <v/>
      </c>
      <c r="B344" s="18" t="str">
        <f>'Sampling Data'!A344</f>
        <v>5625 AND Y   (AV)</v>
      </c>
      <c r="C344" s="18">
        <f>'Sampling Data'!B344</f>
        <v>5</v>
      </c>
      <c r="D344" s="18">
        <f>'Sampling Data'!C344</f>
        <v>0</v>
      </c>
      <c r="E344" s="19">
        <f>'Sampling Data'!D344</f>
        <v>0</v>
      </c>
      <c r="F344" s="19">
        <f>'Sampling Data'!E344</f>
        <v>0</v>
      </c>
      <c r="G344" s="19">
        <f>'Sampling Data'!F344</f>
        <v>0</v>
      </c>
      <c r="H344" s="19">
        <f>'Sampling Data'!G344</f>
        <v>0</v>
      </c>
      <c r="I344" s="19">
        <f>'Sampling Data'!H344</f>
        <v>0</v>
      </c>
      <c r="J344" s="19">
        <f>'Sampling Data'!I344</f>
        <v>0</v>
      </c>
      <c r="K344" s="19">
        <f>'Sampling Data'!J344</f>
        <v>0</v>
      </c>
      <c r="L344" s="19">
        <f>'Sampling Data'!K344</f>
        <v>0</v>
      </c>
      <c r="M344" s="19">
        <f>'Sampling Data'!L344</f>
        <v>0</v>
      </c>
      <c r="N344" s="19">
        <f>'Sampling Data'!M344</f>
        <v>0</v>
      </c>
      <c r="O344" s="18">
        <f>'Sampling Data'!N344</f>
        <v>0</v>
      </c>
      <c r="P344" s="18">
        <f>'Sampling Data'!O344</f>
        <v>2</v>
      </c>
      <c r="Q344" s="18">
        <f>'Sampling Data'!P344</f>
        <v>7</v>
      </c>
      <c r="R344" s="18">
        <f>'Sampling Data'!AJ344</f>
        <v>0</v>
      </c>
      <c r="S344" s="112"/>
      <c r="T344" s="112"/>
      <c r="U344" s="113"/>
      <c r="V344" s="113"/>
      <c r="W344" s="112"/>
      <c r="X344" s="112"/>
      <c r="Y344" s="112"/>
      <c r="Z344" s="112"/>
      <c r="AA344" s="15"/>
      <c r="AB344" s="15"/>
      <c r="AC344" s="15"/>
      <c r="AD344" s="15"/>
      <c r="AE344" s="114" t="str">
        <f>IF(NOT(ISBLANK(Audit[[#This Row],[Audit Winning Candidate]])), Audit[[#This Row],[Audit Winning Candidate]]-Audit[[#This Row],[Winning Candidate]], "")</f>
        <v/>
      </c>
      <c r="AF344" s="18" t="str">
        <f>IF(NOT(ISBLANK(Audit[[#This Row],[Audit Losing Candidate]])), Audit[[#This Row],[Audit Losing Candidate]]-Audit[[#This Row],[Losing Candidate]], "")</f>
        <v/>
      </c>
      <c r="AG344" s="18" t="str">
        <f>IF(NOT(ISBLANK(Audit[[#This Row],[Audit Candidate 3]])), Audit[[#This Row],[Audit Candidate 3]]-Audit[[#This Row],[Candidate 3]], "")</f>
        <v/>
      </c>
      <c r="AH344" s="18" t="str">
        <f>IF(NOT(ISBLANK(Audit[[#This Row],[Audit Candidate 4]])),Audit[[#This Row],[Audit Candidate 4]]-Audit[[#This Row],[Candidate 4]], "")</f>
        <v/>
      </c>
      <c r="AI344" s="18" t="str">
        <f>IF(NOT(ISBLANK(Audit[[#This Row],[Audit Candidate 5]])), Audit[[#This Row],[Audit Candidate 5]]-Audit[[#This Row],[Candidate 5]], "")</f>
        <v/>
      </c>
      <c r="AJ344" s="18" t="str">
        <f>IF(NOT(ISBLANK(Audit[[#This Row],[Audit Candidate 6]])), Audit[[#This Row],[Audit Candidate 6]]-Audit[[#This Row],[Candidate 6]], "")</f>
        <v/>
      </c>
      <c r="AK344" s="18" t="str">
        <f>IF(NOT(ISBLANK(Audit[[#This Row],[Audit Candidate 7]])), Audit[[#This Row],[Audit Candidate 7]]-Audit[[#This Row],[Candidate 7]], "")</f>
        <v/>
      </c>
      <c r="AL344" s="18" t="str">
        <f>IF(NOT(ISBLANK(Audit[[#This Row],[Audit Candidate 8]])), Audit[[#This Row],[Audit Candidate 8]]-Audit[[#This Row],[Candidate 8]], "")</f>
        <v/>
      </c>
      <c r="AM344" s="18" t="str">
        <f>IF(NOT(ISBLANK(Audit[[#This Row],[Audit Candidate 9]])), Audit[[#This Row],[Audit Candidate 9]]-Audit[[#This Row],[Candidate 9]], "")</f>
        <v/>
      </c>
      <c r="AN344" s="18" t="str">
        <f>IF(NOT(ISBLANK(Audit[[#This Row],[Audit Candidate 10]])), Audit[[#This Row],[Audit Candidate 10]]-Audit[[#This Row],[Candidate 10]], "")</f>
        <v/>
      </c>
      <c r="AO344" s="18" t="str">
        <f>IF(NOT(ISBLANK(Audit[[#This Row],[Audit Candidate 11]])), Audit[[#This Row],[Audit Candidate 11]]-Audit[[#This Row],[Candidate 11]], "")</f>
        <v/>
      </c>
      <c r="AP344" s="18" t="str">
        <f>IF(NOT(ISBLANK(Audit[[#This Row],[Audit Candidate 12]])), Audit[[#This Row],[Audit Candidate 12]]-Audit[[#This Row],[Candidate 12]], "")</f>
        <v/>
      </c>
      <c r="AQ344" s="18">
        <f>SUMIF(Audit[[#This Row],[Difference Winner]:[Difference Candidate 12]], "&gt;0")</f>
        <v>0</v>
      </c>
      <c r="AR344" s="18">
        <f>SUM(Audit[[#This Row],[Difference Winner]:[Difference Candidate 12]])</f>
        <v>0</v>
      </c>
      <c r="AS344" s="18">
        <f>IF(Audit[[#This Row],[Times p Drawn - With Replacement]]&gt;0, IF(Audit[[#This Row],[Canceled Differences]]&lt;0, Audit[[#This Row],[Max Differences]]+ABS(Audit[[#This Row],[Canceled Differences]]), Audit[[#This Row],[Max Differences]]), 0)</f>
        <v>0</v>
      </c>
      <c r="AT344" s="18">
        <f>'Sampling Data'!AB344</f>
        <v>3.7691993592361088E-4</v>
      </c>
      <c r="AU344" s="18">
        <f>IF(
      SUM(Audit[[#This Row],[Audit Losing Candidate]:[Audit Candidate 12]])
      &lt;&gt;0,
      (Audit[[#This Row],[Winning Candidate]]-Audit[[#This Row],[Losing Candidate]]-(Audit[[#This Row],[Audit Winning Candidate]]-Audit[[#This Row],[Audit Losing Candidate]]))/(Audit[[#Totals],[Winning Candidate]]-Audit[[#Totals],[Losing Candidate]]),
      0
)</f>
        <v>0</v>
      </c>
      <c r="AV3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8">
        <f>IF(Audit[[#This Row],[Max Relative Error (ep)]] = 0, 0, Audit[[#This Row],[Max Relative Error (ep)]]/Audit[[#This Row],[Error Bound (up) - Max. possible relative overstatement]])</f>
        <v>0</v>
      </c>
      <c r="BH3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4" s="18">
        <f t="shared" si="6"/>
        <v>1</v>
      </c>
      <c r="BJ344" s="18">
        <f>PRODUCT($BI$5:BI344)</f>
        <v>0.32656797278968008</v>
      </c>
      <c r="BK344" s="20">
        <f>1 - Audit[[#This Row],[K-M P Value]]</f>
        <v>0.67343202721031992</v>
      </c>
      <c r="BL344" s="18" t="str">
        <f>IF(Audit[[#This Row],[K-M P Value]]&gt;1-'General Info'!$B$12,"Continue", "Stop")</f>
        <v>Continue</v>
      </c>
      <c r="BM344" s="23" t="b">
        <f>IF(Audit[[#This Row],[Status - Continue or stop audit]] = "Continue", TRUE, IF(BL343 = "Continue", TRUE, FALSE))</f>
        <v>1</v>
      </c>
      <c r="BN344" s="23"/>
    </row>
    <row r="345" spans="1:66" ht="15" hidden="1" customHeight="1" x14ac:dyDescent="0.35">
      <c r="A345" s="18" t="str">
        <f>'Sampling Data'!AI345</f>
        <v/>
      </c>
      <c r="B345" s="18" t="str">
        <f>'Sampling Data'!A345</f>
        <v>5626 AND Z   (AV)</v>
      </c>
      <c r="C345" s="18">
        <f>'Sampling Data'!B345</f>
        <v>7</v>
      </c>
      <c r="D345" s="18">
        <f>'Sampling Data'!C345</f>
        <v>0</v>
      </c>
      <c r="E345" s="19">
        <f>'Sampling Data'!D345</f>
        <v>0</v>
      </c>
      <c r="F345" s="19">
        <f>'Sampling Data'!E345</f>
        <v>0</v>
      </c>
      <c r="G345" s="19">
        <f>'Sampling Data'!F345</f>
        <v>0</v>
      </c>
      <c r="H345" s="19">
        <f>'Sampling Data'!G345</f>
        <v>0</v>
      </c>
      <c r="I345" s="19">
        <f>'Sampling Data'!H345</f>
        <v>0</v>
      </c>
      <c r="J345" s="19">
        <f>'Sampling Data'!I345</f>
        <v>0</v>
      </c>
      <c r="K345" s="19">
        <f>'Sampling Data'!J345</f>
        <v>0</v>
      </c>
      <c r="L345" s="19">
        <f>'Sampling Data'!K345</f>
        <v>0</v>
      </c>
      <c r="M345" s="19">
        <f>'Sampling Data'!L345</f>
        <v>0</v>
      </c>
      <c r="N345" s="19">
        <f>'Sampling Data'!M345</f>
        <v>0</v>
      </c>
      <c r="O345" s="18">
        <f>'Sampling Data'!N345</f>
        <v>0</v>
      </c>
      <c r="P345" s="18">
        <f>'Sampling Data'!O345</f>
        <v>0</v>
      </c>
      <c r="Q345" s="18">
        <f>'Sampling Data'!P345</f>
        <v>7</v>
      </c>
      <c r="R345" s="18">
        <f>'Sampling Data'!AJ345</f>
        <v>0</v>
      </c>
      <c r="S345" s="112"/>
      <c r="T345" s="112"/>
      <c r="U345" s="113"/>
      <c r="V345" s="113"/>
      <c r="W345" s="112"/>
      <c r="X345" s="112"/>
      <c r="Y345" s="112"/>
      <c r="Z345" s="112"/>
      <c r="AA345" s="15"/>
      <c r="AB345" s="15"/>
      <c r="AC345" s="15"/>
      <c r="AD345" s="15"/>
      <c r="AE345" s="114" t="str">
        <f>IF(NOT(ISBLANK(Audit[[#This Row],[Audit Winning Candidate]])), Audit[[#This Row],[Audit Winning Candidate]]-Audit[[#This Row],[Winning Candidate]], "")</f>
        <v/>
      </c>
      <c r="AF345" s="18" t="str">
        <f>IF(NOT(ISBLANK(Audit[[#This Row],[Audit Losing Candidate]])), Audit[[#This Row],[Audit Losing Candidate]]-Audit[[#This Row],[Losing Candidate]], "")</f>
        <v/>
      </c>
      <c r="AG345" s="18" t="str">
        <f>IF(NOT(ISBLANK(Audit[[#This Row],[Audit Candidate 3]])), Audit[[#This Row],[Audit Candidate 3]]-Audit[[#This Row],[Candidate 3]], "")</f>
        <v/>
      </c>
      <c r="AH345" s="18" t="str">
        <f>IF(NOT(ISBLANK(Audit[[#This Row],[Audit Candidate 4]])),Audit[[#This Row],[Audit Candidate 4]]-Audit[[#This Row],[Candidate 4]], "")</f>
        <v/>
      </c>
      <c r="AI345" s="18" t="str">
        <f>IF(NOT(ISBLANK(Audit[[#This Row],[Audit Candidate 5]])), Audit[[#This Row],[Audit Candidate 5]]-Audit[[#This Row],[Candidate 5]], "")</f>
        <v/>
      </c>
      <c r="AJ345" s="18" t="str">
        <f>IF(NOT(ISBLANK(Audit[[#This Row],[Audit Candidate 6]])), Audit[[#This Row],[Audit Candidate 6]]-Audit[[#This Row],[Candidate 6]], "")</f>
        <v/>
      </c>
      <c r="AK345" s="18" t="str">
        <f>IF(NOT(ISBLANK(Audit[[#This Row],[Audit Candidate 7]])), Audit[[#This Row],[Audit Candidate 7]]-Audit[[#This Row],[Candidate 7]], "")</f>
        <v/>
      </c>
      <c r="AL345" s="18" t="str">
        <f>IF(NOT(ISBLANK(Audit[[#This Row],[Audit Candidate 8]])), Audit[[#This Row],[Audit Candidate 8]]-Audit[[#This Row],[Candidate 8]], "")</f>
        <v/>
      </c>
      <c r="AM345" s="18" t="str">
        <f>IF(NOT(ISBLANK(Audit[[#This Row],[Audit Candidate 9]])), Audit[[#This Row],[Audit Candidate 9]]-Audit[[#This Row],[Candidate 9]], "")</f>
        <v/>
      </c>
      <c r="AN345" s="18" t="str">
        <f>IF(NOT(ISBLANK(Audit[[#This Row],[Audit Candidate 10]])), Audit[[#This Row],[Audit Candidate 10]]-Audit[[#This Row],[Candidate 10]], "")</f>
        <v/>
      </c>
      <c r="AO345" s="18" t="str">
        <f>IF(NOT(ISBLANK(Audit[[#This Row],[Audit Candidate 11]])), Audit[[#This Row],[Audit Candidate 11]]-Audit[[#This Row],[Candidate 11]], "")</f>
        <v/>
      </c>
      <c r="AP345" s="18" t="str">
        <f>IF(NOT(ISBLANK(Audit[[#This Row],[Audit Candidate 12]])), Audit[[#This Row],[Audit Candidate 12]]-Audit[[#This Row],[Candidate 12]], "")</f>
        <v/>
      </c>
      <c r="AQ345" s="18">
        <f>SUMIF(Audit[[#This Row],[Difference Winner]:[Difference Candidate 12]], "&gt;0")</f>
        <v>0</v>
      </c>
      <c r="AR345" s="18">
        <f>SUM(Audit[[#This Row],[Difference Winner]:[Difference Candidate 12]])</f>
        <v>0</v>
      </c>
      <c r="AS345" s="18">
        <f>IF(Audit[[#This Row],[Times p Drawn - With Replacement]]&gt;0, IF(Audit[[#This Row],[Canceled Differences]]&lt;0, Audit[[#This Row],[Max Differences]]+ABS(Audit[[#This Row],[Canceled Differences]]), Audit[[#This Row],[Max Differences]]), 0)</f>
        <v>0</v>
      </c>
      <c r="AT345" s="18">
        <f>'Sampling Data'!AB345</f>
        <v>4.3973992524421271E-4</v>
      </c>
      <c r="AU345" s="18">
        <f>IF(
      SUM(Audit[[#This Row],[Audit Losing Candidate]:[Audit Candidate 12]])
      &lt;&gt;0,
      (Audit[[#This Row],[Winning Candidate]]-Audit[[#This Row],[Losing Candidate]]-(Audit[[#This Row],[Audit Winning Candidate]]-Audit[[#This Row],[Audit Losing Candidate]]))/(Audit[[#Totals],[Winning Candidate]]-Audit[[#Totals],[Losing Candidate]]),
      0
)</f>
        <v>0</v>
      </c>
      <c r="AV3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8">
        <f>IF(Audit[[#This Row],[Max Relative Error (ep)]] = 0, 0, Audit[[#This Row],[Max Relative Error (ep)]]/Audit[[#This Row],[Error Bound (up) - Max. possible relative overstatement]])</f>
        <v>0</v>
      </c>
      <c r="BH3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5" s="18">
        <f t="shared" si="6"/>
        <v>1</v>
      </c>
      <c r="BJ345" s="18">
        <f>PRODUCT($BI$5:BI345)</f>
        <v>0.32656797278968008</v>
      </c>
      <c r="BK345" s="20">
        <f>1 - Audit[[#This Row],[K-M P Value]]</f>
        <v>0.67343202721031992</v>
      </c>
      <c r="BL345" s="18" t="str">
        <f>IF(Audit[[#This Row],[K-M P Value]]&gt;1-'General Info'!$B$12,"Continue", "Stop")</f>
        <v>Continue</v>
      </c>
      <c r="BM345" s="23" t="b">
        <f>IF(Audit[[#This Row],[Status - Continue or stop audit]] = "Continue", TRUE, IF(BL344 = "Continue", TRUE, FALSE))</f>
        <v>1</v>
      </c>
      <c r="BN345" s="23"/>
    </row>
    <row r="346" spans="1:66" ht="15" hidden="1" customHeight="1" x14ac:dyDescent="0.35">
      <c r="A346" s="18" t="str">
        <f>'Sampling Data'!AI346</f>
        <v/>
      </c>
      <c r="B346" s="18" t="str">
        <f>'Sampling Data'!A346</f>
        <v>5627 AND AA   (AV)</v>
      </c>
      <c r="C346" s="18">
        <f>'Sampling Data'!B346</f>
        <v>12</v>
      </c>
      <c r="D346" s="18">
        <f>'Sampling Data'!C346</f>
        <v>1</v>
      </c>
      <c r="E346" s="19">
        <f>'Sampling Data'!D346</f>
        <v>0</v>
      </c>
      <c r="F346" s="19">
        <f>'Sampling Data'!E346</f>
        <v>0</v>
      </c>
      <c r="G346" s="19">
        <f>'Sampling Data'!F346</f>
        <v>0</v>
      </c>
      <c r="H346" s="19">
        <f>'Sampling Data'!G346</f>
        <v>0</v>
      </c>
      <c r="I346" s="19">
        <f>'Sampling Data'!H346</f>
        <v>0</v>
      </c>
      <c r="J346" s="19">
        <f>'Sampling Data'!I346</f>
        <v>0</v>
      </c>
      <c r="K346" s="19">
        <f>'Sampling Data'!J346</f>
        <v>0</v>
      </c>
      <c r="L346" s="19">
        <f>'Sampling Data'!K346</f>
        <v>0</v>
      </c>
      <c r="M346" s="19">
        <f>'Sampling Data'!L346</f>
        <v>0</v>
      </c>
      <c r="N346" s="19">
        <f>'Sampling Data'!M346</f>
        <v>0</v>
      </c>
      <c r="O346" s="18">
        <f>'Sampling Data'!N346</f>
        <v>0</v>
      </c>
      <c r="P346" s="18">
        <f>'Sampling Data'!O346</f>
        <v>0</v>
      </c>
      <c r="Q346" s="18">
        <f>'Sampling Data'!P346</f>
        <v>13</v>
      </c>
      <c r="R346" s="18">
        <f>'Sampling Data'!AJ346</f>
        <v>0</v>
      </c>
      <c r="S346" s="112"/>
      <c r="T346" s="112"/>
      <c r="U346" s="113"/>
      <c r="V346" s="113"/>
      <c r="W346" s="112"/>
      <c r="X346" s="112"/>
      <c r="Y346" s="112"/>
      <c r="Z346" s="112"/>
      <c r="AA346" s="15"/>
      <c r="AB346" s="15"/>
      <c r="AC346" s="15"/>
      <c r="AD346" s="15"/>
      <c r="AE346" s="114" t="str">
        <f>IF(NOT(ISBLANK(Audit[[#This Row],[Audit Winning Candidate]])), Audit[[#This Row],[Audit Winning Candidate]]-Audit[[#This Row],[Winning Candidate]], "")</f>
        <v/>
      </c>
      <c r="AF346" s="18" t="str">
        <f>IF(NOT(ISBLANK(Audit[[#This Row],[Audit Losing Candidate]])), Audit[[#This Row],[Audit Losing Candidate]]-Audit[[#This Row],[Losing Candidate]], "")</f>
        <v/>
      </c>
      <c r="AG346" s="18" t="str">
        <f>IF(NOT(ISBLANK(Audit[[#This Row],[Audit Candidate 3]])), Audit[[#This Row],[Audit Candidate 3]]-Audit[[#This Row],[Candidate 3]], "")</f>
        <v/>
      </c>
      <c r="AH346" s="18" t="str">
        <f>IF(NOT(ISBLANK(Audit[[#This Row],[Audit Candidate 4]])),Audit[[#This Row],[Audit Candidate 4]]-Audit[[#This Row],[Candidate 4]], "")</f>
        <v/>
      </c>
      <c r="AI346" s="18" t="str">
        <f>IF(NOT(ISBLANK(Audit[[#This Row],[Audit Candidate 5]])), Audit[[#This Row],[Audit Candidate 5]]-Audit[[#This Row],[Candidate 5]], "")</f>
        <v/>
      </c>
      <c r="AJ346" s="18" t="str">
        <f>IF(NOT(ISBLANK(Audit[[#This Row],[Audit Candidate 6]])), Audit[[#This Row],[Audit Candidate 6]]-Audit[[#This Row],[Candidate 6]], "")</f>
        <v/>
      </c>
      <c r="AK346" s="18" t="str">
        <f>IF(NOT(ISBLANK(Audit[[#This Row],[Audit Candidate 7]])), Audit[[#This Row],[Audit Candidate 7]]-Audit[[#This Row],[Candidate 7]], "")</f>
        <v/>
      </c>
      <c r="AL346" s="18" t="str">
        <f>IF(NOT(ISBLANK(Audit[[#This Row],[Audit Candidate 8]])), Audit[[#This Row],[Audit Candidate 8]]-Audit[[#This Row],[Candidate 8]], "")</f>
        <v/>
      </c>
      <c r="AM346" s="18" t="str">
        <f>IF(NOT(ISBLANK(Audit[[#This Row],[Audit Candidate 9]])), Audit[[#This Row],[Audit Candidate 9]]-Audit[[#This Row],[Candidate 9]], "")</f>
        <v/>
      </c>
      <c r="AN346" s="18" t="str">
        <f>IF(NOT(ISBLANK(Audit[[#This Row],[Audit Candidate 10]])), Audit[[#This Row],[Audit Candidate 10]]-Audit[[#This Row],[Candidate 10]], "")</f>
        <v/>
      </c>
      <c r="AO346" s="18" t="str">
        <f>IF(NOT(ISBLANK(Audit[[#This Row],[Audit Candidate 11]])), Audit[[#This Row],[Audit Candidate 11]]-Audit[[#This Row],[Candidate 11]], "")</f>
        <v/>
      </c>
      <c r="AP346" s="18" t="str">
        <f>IF(NOT(ISBLANK(Audit[[#This Row],[Audit Candidate 12]])), Audit[[#This Row],[Audit Candidate 12]]-Audit[[#This Row],[Candidate 12]], "")</f>
        <v/>
      </c>
      <c r="AQ346" s="18">
        <f>SUMIF(Audit[[#This Row],[Difference Winner]:[Difference Candidate 12]], "&gt;0")</f>
        <v>0</v>
      </c>
      <c r="AR346" s="18">
        <f>SUM(Audit[[#This Row],[Difference Winner]:[Difference Candidate 12]])</f>
        <v>0</v>
      </c>
      <c r="AS346" s="18">
        <f>IF(Audit[[#This Row],[Times p Drawn - With Replacement]]&gt;0, IF(Audit[[#This Row],[Canceled Differences]]&lt;0, Audit[[#This Row],[Max Differences]]+ABS(Audit[[#This Row],[Canceled Differences]]), Audit[[#This Row],[Max Differences]]), 0)</f>
        <v>0</v>
      </c>
      <c r="AT346" s="18">
        <f>'Sampling Data'!AB346</f>
        <v>7.5383987184722177E-4</v>
      </c>
      <c r="AU346" s="18">
        <f>IF(
      SUM(Audit[[#This Row],[Audit Losing Candidate]:[Audit Candidate 12]])
      &lt;&gt;0,
      (Audit[[#This Row],[Winning Candidate]]-Audit[[#This Row],[Losing Candidate]]-(Audit[[#This Row],[Audit Winning Candidate]]-Audit[[#This Row],[Audit Losing Candidate]]))/(Audit[[#Totals],[Winning Candidate]]-Audit[[#Totals],[Losing Candidate]]),
      0
)</f>
        <v>0</v>
      </c>
      <c r="AV3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8">
        <f>IF(Audit[[#This Row],[Max Relative Error (ep)]] = 0, 0, Audit[[#This Row],[Max Relative Error (ep)]]/Audit[[#This Row],[Error Bound (up) - Max. possible relative overstatement]])</f>
        <v>0</v>
      </c>
      <c r="BH3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6" s="18">
        <f t="shared" si="6"/>
        <v>1</v>
      </c>
      <c r="BJ346" s="18">
        <f>PRODUCT($BI$5:BI346)</f>
        <v>0.32656797278968008</v>
      </c>
      <c r="BK346" s="20">
        <f>1 - Audit[[#This Row],[K-M P Value]]</f>
        <v>0.67343202721031992</v>
      </c>
      <c r="BL346" s="18" t="str">
        <f>IF(Audit[[#This Row],[K-M P Value]]&gt;1-'General Info'!$B$12,"Continue", "Stop")</f>
        <v>Continue</v>
      </c>
      <c r="BM346" s="23" t="b">
        <f>IF(Audit[[#This Row],[Status - Continue or stop audit]] = "Continue", TRUE, IF(BL345 = "Continue", TRUE, FALSE))</f>
        <v>1</v>
      </c>
      <c r="BN346" s="23"/>
    </row>
    <row r="347" spans="1:66" ht="15" hidden="1" customHeight="1" x14ac:dyDescent="0.35">
      <c r="A347" s="18" t="str">
        <f>'Sampling Data'!AI347</f>
        <v/>
      </c>
      <c r="B347" s="18" t="str">
        <f>'Sampling Data'!A347</f>
        <v>5628 AND BB   (AV)</v>
      </c>
      <c r="C347" s="18">
        <f>'Sampling Data'!B347</f>
        <v>2</v>
      </c>
      <c r="D347" s="18">
        <f>'Sampling Data'!C347</f>
        <v>2</v>
      </c>
      <c r="E347" s="19">
        <f>'Sampling Data'!D347</f>
        <v>0</v>
      </c>
      <c r="F347" s="19">
        <f>'Sampling Data'!E347</f>
        <v>0</v>
      </c>
      <c r="G347" s="19">
        <f>'Sampling Data'!F347</f>
        <v>0</v>
      </c>
      <c r="H347" s="19">
        <f>'Sampling Data'!G347</f>
        <v>0</v>
      </c>
      <c r="I347" s="19">
        <f>'Sampling Data'!H347</f>
        <v>0</v>
      </c>
      <c r="J347" s="19">
        <f>'Sampling Data'!I347</f>
        <v>0</v>
      </c>
      <c r="K347" s="19">
        <f>'Sampling Data'!J347</f>
        <v>0</v>
      </c>
      <c r="L347" s="19">
        <f>'Sampling Data'!K347</f>
        <v>0</v>
      </c>
      <c r="M347" s="19">
        <f>'Sampling Data'!L347</f>
        <v>0</v>
      </c>
      <c r="N347" s="19">
        <f>'Sampling Data'!M347</f>
        <v>0</v>
      </c>
      <c r="O347" s="18">
        <f>'Sampling Data'!N347</f>
        <v>0</v>
      </c>
      <c r="P347" s="18">
        <f>'Sampling Data'!O347</f>
        <v>0</v>
      </c>
      <c r="Q347" s="18">
        <f>'Sampling Data'!P347</f>
        <v>4</v>
      </c>
      <c r="R347" s="18">
        <f>'Sampling Data'!AJ347</f>
        <v>0</v>
      </c>
      <c r="S347" s="112"/>
      <c r="T347" s="112"/>
      <c r="U347" s="113"/>
      <c r="V347" s="113"/>
      <c r="W347" s="112"/>
      <c r="X347" s="112"/>
      <c r="Y347" s="112"/>
      <c r="Z347" s="112"/>
      <c r="AA347" s="15"/>
      <c r="AB347" s="15"/>
      <c r="AC347" s="15"/>
      <c r="AD347" s="15"/>
      <c r="AE347" s="114" t="str">
        <f>IF(NOT(ISBLANK(Audit[[#This Row],[Audit Winning Candidate]])), Audit[[#This Row],[Audit Winning Candidate]]-Audit[[#This Row],[Winning Candidate]], "")</f>
        <v/>
      </c>
      <c r="AF347" s="18" t="str">
        <f>IF(NOT(ISBLANK(Audit[[#This Row],[Audit Losing Candidate]])), Audit[[#This Row],[Audit Losing Candidate]]-Audit[[#This Row],[Losing Candidate]], "")</f>
        <v/>
      </c>
      <c r="AG347" s="18" t="str">
        <f>IF(NOT(ISBLANK(Audit[[#This Row],[Audit Candidate 3]])), Audit[[#This Row],[Audit Candidate 3]]-Audit[[#This Row],[Candidate 3]], "")</f>
        <v/>
      </c>
      <c r="AH347" s="18" t="str">
        <f>IF(NOT(ISBLANK(Audit[[#This Row],[Audit Candidate 4]])),Audit[[#This Row],[Audit Candidate 4]]-Audit[[#This Row],[Candidate 4]], "")</f>
        <v/>
      </c>
      <c r="AI347" s="18" t="str">
        <f>IF(NOT(ISBLANK(Audit[[#This Row],[Audit Candidate 5]])), Audit[[#This Row],[Audit Candidate 5]]-Audit[[#This Row],[Candidate 5]], "")</f>
        <v/>
      </c>
      <c r="AJ347" s="18" t="str">
        <f>IF(NOT(ISBLANK(Audit[[#This Row],[Audit Candidate 6]])), Audit[[#This Row],[Audit Candidate 6]]-Audit[[#This Row],[Candidate 6]], "")</f>
        <v/>
      </c>
      <c r="AK347" s="18" t="str">
        <f>IF(NOT(ISBLANK(Audit[[#This Row],[Audit Candidate 7]])), Audit[[#This Row],[Audit Candidate 7]]-Audit[[#This Row],[Candidate 7]], "")</f>
        <v/>
      </c>
      <c r="AL347" s="18" t="str">
        <f>IF(NOT(ISBLANK(Audit[[#This Row],[Audit Candidate 8]])), Audit[[#This Row],[Audit Candidate 8]]-Audit[[#This Row],[Candidate 8]], "")</f>
        <v/>
      </c>
      <c r="AM347" s="18" t="str">
        <f>IF(NOT(ISBLANK(Audit[[#This Row],[Audit Candidate 9]])), Audit[[#This Row],[Audit Candidate 9]]-Audit[[#This Row],[Candidate 9]], "")</f>
        <v/>
      </c>
      <c r="AN347" s="18" t="str">
        <f>IF(NOT(ISBLANK(Audit[[#This Row],[Audit Candidate 10]])), Audit[[#This Row],[Audit Candidate 10]]-Audit[[#This Row],[Candidate 10]], "")</f>
        <v/>
      </c>
      <c r="AO347" s="18" t="str">
        <f>IF(NOT(ISBLANK(Audit[[#This Row],[Audit Candidate 11]])), Audit[[#This Row],[Audit Candidate 11]]-Audit[[#This Row],[Candidate 11]], "")</f>
        <v/>
      </c>
      <c r="AP347" s="18" t="str">
        <f>IF(NOT(ISBLANK(Audit[[#This Row],[Audit Candidate 12]])), Audit[[#This Row],[Audit Candidate 12]]-Audit[[#This Row],[Candidate 12]], "")</f>
        <v/>
      </c>
      <c r="AQ347" s="18">
        <f>SUMIF(Audit[[#This Row],[Difference Winner]:[Difference Candidate 12]], "&gt;0")</f>
        <v>0</v>
      </c>
      <c r="AR347" s="18">
        <f>SUM(Audit[[#This Row],[Difference Winner]:[Difference Candidate 12]])</f>
        <v>0</v>
      </c>
      <c r="AS347" s="18">
        <f>IF(Audit[[#This Row],[Times p Drawn - With Replacement]]&gt;0, IF(Audit[[#This Row],[Canceled Differences]]&lt;0, Audit[[#This Row],[Max Differences]]+ABS(Audit[[#This Row],[Canceled Differences]]), Audit[[#This Row],[Max Differences]]), 0)</f>
        <v>0</v>
      </c>
      <c r="AT347" s="18">
        <f>'Sampling Data'!AB347</f>
        <v>1.2563997864120362E-4</v>
      </c>
      <c r="AU347" s="18">
        <f>IF(
      SUM(Audit[[#This Row],[Audit Losing Candidate]:[Audit Candidate 12]])
      &lt;&gt;0,
      (Audit[[#This Row],[Winning Candidate]]-Audit[[#This Row],[Losing Candidate]]-(Audit[[#This Row],[Audit Winning Candidate]]-Audit[[#This Row],[Audit Losing Candidate]]))/(Audit[[#Totals],[Winning Candidate]]-Audit[[#Totals],[Losing Candidate]]),
      0
)</f>
        <v>0</v>
      </c>
      <c r="AV3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8">
        <f>IF(Audit[[#This Row],[Max Relative Error (ep)]] = 0, 0, Audit[[#This Row],[Max Relative Error (ep)]]/Audit[[#This Row],[Error Bound (up) - Max. possible relative overstatement]])</f>
        <v>0</v>
      </c>
      <c r="BH3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7" s="18">
        <f t="shared" si="6"/>
        <v>1</v>
      </c>
      <c r="BJ347" s="18">
        <f>PRODUCT($BI$5:BI347)</f>
        <v>0.32656797278968008</v>
      </c>
      <c r="BK347" s="20">
        <f>1 - Audit[[#This Row],[K-M P Value]]</f>
        <v>0.67343202721031992</v>
      </c>
      <c r="BL347" s="18" t="str">
        <f>IF(Audit[[#This Row],[K-M P Value]]&gt;1-'General Info'!$B$12,"Continue", "Stop")</f>
        <v>Continue</v>
      </c>
      <c r="BM347" s="23" t="b">
        <f>IF(Audit[[#This Row],[Status - Continue or stop audit]] = "Continue", TRUE, IF(BL346 = "Continue", TRUE, FALSE))</f>
        <v>1</v>
      </c>
      <c r="BN347" s="23"/>
    </row>
    <row r="348" spans="1:66" ht="15" hidden="1" customHeight="1" x14ac:dyDescent="0.35">
      <c r="A348" s="18" t="str">
        <f>'Sampling Data'!AI348</f>
        <v/>
      </c>
      <c r="B348" s="18" t="str">
        <f>'Sampling Data'!A348</f>
        <v>5629 AND CC   (AV)</v>
      </c>
      <c r="C348" s="18">
        <f>'Sampling Data'!B348</f>
        <v>8</v>
      </c>
      <c r="D348" s="18">
        <f>'Sampling Data'!C348</f>
        <v>3</v>
      </c>
      <c r="E348" s="19">
        <f>'Sampling Data'!D348</f>
        <v>0</v>
      </c>
      <c r="F348" s="19">
        <f>'Sampling Data'!E348</f>
        <v>0</v>
      </c>
      <c r="G348" s="19">
        <f>'Sampling Data'!F348</f>
        <v>0</v>
      </c>
      <c r="H348" s="19">
        <f>'Sampling Data'!G348</f>
        <v>0</v>
      </c>
      <c r="I348" s="19">
        <f>'Sampling Data'!H348</f>
        <v>0</v>
      </c>
      <c r="J348" s="19">
        <f>'Sampling Data'!I348</f>
        <v>0</v>
      </c>
      <c r="K348" s="19">
        <f>'Sampling Data'!J348</f>
        <v>0</v>
      </c>
      <c r="L348" s="19">
        <f>'Sampling Data'!K348</f>
        <v>0</v>
      </c>
      <c r="M348" s="19">
        <f>'Sampling Data'!L348</f>
        <v>0</v>
      </c>
      <c r="N348" s="19">
        <f>'Sampling Data'!M348</f>
        <v>0</v>
      </c>
      <c r="O348" s="18">
        <f>'Sampling Data'!N348</f>
        <v>0</v>
      </c>
      <c r="P348" s="18">
        <f>'Sampling Data'!O348</f>
        <v>0</v>
      </c>
      <c r="Q348" s="18">
        <f>'Sampling Data'!P348</f>
        <v>11</v>
      </c>
      <c r="R348" s="18">
        <f>'Sampling Data'!AJ348</f>
        <v>0</v>
      </c>
      <c r="S348" s="112"/>
      <c r="T348" s="112"/>
      <c r="U348" s="113"/>
      <c r="V348" s="113"/>
      <c r="W348" s="112"/>
      <c r="X348" s="112"/>
      <c r="Y348" s="112"/>
      <c r="Z348" s="112"/>
      <c r="AA348" s="15"/>
      <c r="AB348" s="15"/>
      <c r="AC348" s="15"/>
      <c r="AD348" s="15"/>
      <c r="AE348" s="114" t="str">
        <f>IF(NOT(ISBLANK(Audit[[#This Row],[Audit Winning Candidate]])), Audit[[#This Row],[Audit Winning Candidate]]-Audit[[#This Row],[Winning Candidate]], "")</f>
        <v/>
      </c>
      <c r="AF348" s="18" t="str">
        <f>IF(NOT(ISBLANK(Audit[[#This Row],[Audit Losing Candidate]])), Audit[[#This Row],[Audit Losing Candidate]]-Audit[[#This Row],[Losing Candidate]], "")</f>
        <v/>
      </c>
      <c r="AG348" s="18" t="str">
        <f>IF(NOT(ISBLANK(Audit[[#This Row],[Audit Candidate 3]])), Audit[[#This Row],[Audit Candidate 3]]-Audit[[#This Row],[Candidate 3]], "")</f>
        <v/>
      </c>
      <c r="AH348" s="18" t="str">
        <f>IF(NOT(ISBLANK(Audit[[#This Row],[Audit Candidate 4]])),Audit[[#This Row],[Audit Candidate 4]]-Audit[[#This Row],[Candidate 4]], "")</f>
        <v/>
      </c>
      <c r="AI348" s="18" t="str">
        <f>IF(NOT(ISBLANK(Audit[[#This Row],[Audit Candidate 5]])), Audit[[#This Row],[Audit Candidate 5]]-Audit[[#This Row],[Candidate 5]], "")</f>
        <v/>
      </c>
      <c r="AJ348" s="18" t="str">
        <f>IF(NOT(ISBLANK(Audit[[#This Row],[Audit Candidate 6]])), Audit[[#This Row],[Audit Candidate 6]]-Audit[[#This Row],[Candidate 6]], "")</f>
        <v/>
      </c>
      <c r="AK348" s="18" t="str">
        <f>IF(NOT(ISBLANK(Audit[[#This Row],[Audit Candidate 7]])), Audit[[#This Row],[Audit Candidate 7]]-Audit[[#This Row],[Candidate 7]], "")</f>
        <v/>
      </c>
      <c r="AL348" s="18" t="str">
        <f>IF(NOT(ISBLANK(Audit[[#This Row],[Audit Candidate 8]])), Audit[[#This Row],[Audit Candidate 8]]-Audit[[#This Row],[Candidate 8]], "")</f>
        <v/>
      </c>
      <c r="AM348" s="18" t="str">
        <f>IF(NOT(ISBLANK(Audit[[#This Row],[Audit Candidate 9]])), Audit[[#This Row],[Audit Candidate 9]]-Audit[[#This Row],[Candidate 9]], "")</f>
        <v/>
      </c>
      <c r="AN348" s="18" t="str">
        <f>IF(NOT(ISBLANK(Audit[[#This Row],[Audit Candidate 10]])), Audit[[#This Row],[Audit Candidate 10]]-Audit[[#This Row],[Candidate 10]], "")</f>
        <v/>
      </c>
      <c r="AO348" s="18" t="str">
        <f>IF(NOT(ISBLANK(Audit[[#This Row],[Audit Candidate 11]])), Audit[[#This Row],[Audit Candidate 11]]-Audit[[#This Row],[Candidate 11]], "")</f>
        <v/>
      </c>
      <c r="AP348" s="18" t="str">
        <f>IF(NOT(ISBLANK(Audit[[#This Row],[Audit Candidate 12]])), Audit[[#This Row],[Audit Candidate 12]]-Audit[[#This Row],[Candidate 12]], "")</f>
        <v/>
      </c>
      <c r="AQ348" s="18">
        <f>SUMIF(Audit[[#This Row],[Difference Winner]:[Difference Candidate 12]], "&gt;0")</f>
        <v>0</v>
      </c>
      <c r="AR348" s="18">
        <f>SUM(Audit[[#This Row],[Difference Winner]:[Difference Candidate 12]])</f>
        <v>0</v>
      </c>
      <c r="AS348" s="18">
        <f>IF(Audit[[#This Row],[Times p Drawn - With Replacement]]&gt;0, IF(Audit[[#This Row],[Canceled Differences]]&lt;0, Audit[[#This Row],[Max Differences]]+ABS(Audit[[#This Row],[Canceled Differences]]), Audit[[#This Row],[Max Differences]]), 0)</f>
        <v>0</v>
      </c>
      <c r="AT348" s="18">
        <f>'Sampling Data'!AB348</f>
        <v>5.0255991456481448E-4</v>
      </c>
      <c r="AU348" s="18">
        <f>IF(
      SUM(Audit[[#This Row],[Audit Losing Candidate]:[Audit Candidate 12]])
      &lt;&gt;0,
      (Audit[[#This Row],[Winning Candidate]]-Audit[[#This Row],[Losing Candidate]]-(Audit[[#This Row],[Audit Winning Candidate]]-Audit[[#This Row],[Audit Losing Candidate]]))/(Audit[[#Totals],[Winning Candidate]]-Audit[[#Totals],[Losing Candidate]]),
      0
)</f>
        <v>0</v>
      </c>
      <c r="AV3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8">
        <f>IF(Audit[[#This Row],[Max Relative Error (ep)]] = 0, 0, Audit[[#This Row],[Max Relative Error (ep)]]/Audit[[#This Row],[Error Bound (up) - Max. possible relative overstatement]])</f>
        <v>0</v>
      </c>
      <c r="BH3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8" s="18">
        <f t="shared" si="6"/>
        <v>1</v>
      </c>
      <c r="BJ348" s="18">
        <f>PRODUCT($BI$5:BI348)</f>
        <v>0.32656797278968008</v>
      </c>
      <c r="BK348" s="20">
        <f>1 - Audit[[#This Row],[K-M P Value]]</f>
        <v>0.67343202721031992</v>
      </c>
      <c r="BL348" s="18" t="str">
        <f>IF(Audit[[#This Row],[K-M P Value]]&gt;1-'General Info'!$B$12,"Continue", "Stop")</f>
        <v>Continue</v>
      </c>
      <c r="BM348" s="23" t="b">
        <f>IF(Audit[[#This Row],[Status - Continue or stop audit]] = "Continue", TRUE, IF(BL347 = "Continue", TRUE, FALSE))</f>
        <v>1</v>
      </c>
      <c r="BN348" s="23"/>
    </row>
    <row r="349" spans="1:66" ht="15" hidden="1" customHeight="1" x14ac:dyDescent="0.35">
      <c r="A349" s="18" t="str">
        <f>'Sampling Data'!AI349</f>
        <v/>
      </c>
      <c r="B349" s="18" t="str">
        <f>'Sampling Data'!A349</f>
        <v>5630 AND DD   (AV)</v>
      </c>
      <c r="C349" s="18">
        <f>'Sampling Data'!B349</f>
        <v>7</v>
      </c>
      <c r="D349" s="18">
        <f>'Sampling Data'!C349</f>
        <v>0</v>
      </c>
      <c r="E349" s="19">
        <f>'Sampling Data'!D349</f>
        <v>0</v>
      </c>
      <c r="F349" s="19">
        <f>'Sampling Data'!E349</f>
        <v>0</v>
      </c>
      <c r="G349" s="19">
        <f>'Sampling Data'!F349</f>
        <v>0</v>
      </c>
      <c r="H349" s="19">
        <f>'Sampling Data'!G349</f>
        <v>0</v>
      </c>
      <c r="I349" s="19">
        <f>'Sampling Data'!H349</f>
        <v>0</v>
      </c>
      <c r="J349" s="19">
        <f>'Sampling Data'!I349</f>
        <v>0</v>
      </c>
      <c r="K349" s="19">
        <f>'Sampling Data'!J349</f>
        <v>0</v>
      </c>
      <c r="L349" s="19">
        <f>'Sampling Data'!K349</f>
        <v>0</v>
      </c>
      <c r="M349" s="19">
        <f>'Sampling Data'!L349</f>
        <v>0</v>
      </c>
      <c r="N349" s="19">
        <f>'Sampling Data'!M349</f>
        <v>0</v>
      </c>
      <c r="O349" s="18">
        <f>'Sampling Data'!N349</f>
        <v>0</v>
      </c>
      <c r="P349" s="18">
        <f>'Sampling Data'!O349</f>
        <v>1</v>
      </c>
      <c r="Q349" s="18">
        <f>'Sampling Data'!P349</f>
        <v>8</v>
      </c>
      <c r="R349" s="18">
        <f>'Sampling Data'!AJ349</f>
        <v>0</v>
      </c>
      <c r="S349" s="112"/>
      <c r="T349" s="112"/>
      <c r="U349" s="113"/>
      <c r="V349" s="113"/>
      <c r="W349" s="112"/>
      <c r="X349" s="112"/>
      <c r="Y349" s="112"/>
      <c r="Z349" s="112"/>
      <c r="AA349" s="15"/>
      <c r="AB349" s="15"/>
      <c r="AC349" s="15"/>
      <c r="AD349" s="15"/>
      <c r="AE349" s="114" t="str">
        <f>IF(NOT(ISBLANK(Audit[[#This Row],[Audit Winning Candidate]])), Audit[[#This Row],[Audit Winning Candidate]]-Audit[[#This Row],[Winning Candidate]], "")</f>
        <v/>
      </c>
      <c r="AF349" s="18" t="str">
        <f>IF(NOT(ISBLANK(Audit[[#This Row],[Audit Losing Candidate]])), Audit[[#This Row],[Audit Losing Candidate]]-Audit[[#This Row],[Losing Candidate]], "")</f>
        <v/>
      </c>
      <c r="AG349" s="18" t="str">
        <f>IF(NOT(ISBLANK(Audit[[#This Row],[Audit Candidate 3]])), Audit[[#This Row],[Audit Candidate 3]]-Audit[[#This Row],[Candidate 3]], "")</f>
        <v/>
      </c>
      <c r="AH349" s="18" t="str">
        <f>IF(NOT(ISBLANK(Audit[[#This Row],[Audit Candidate 4]])),Audit[[#This Row],[Audit Candidate 4]]-Audit[[#This Row],[Candidate 4]], "")</f>
        <v/>
      </c>
      <c r="AI349" s="18" t="str">
        <f>IF(NOT(ISBLANK(Audit[[#This Row],[Audit Candidate 5]])), Audit[[#This Row],[Audit Candidate 5]]-Audit[[#This Row],[Candidate 5]], "")</f>
        <v/>
      </c>
      <c r="AJ349" s="18" t="str">
        <f>IF(NOT(ISBLANK(Audit[[#This Row],[Audit Candidate 6]])), Audit[[#This Row],[Audit Candidate 6]]-Audit[[#This Row],[Candidate 6]], "")</f>
        <v/>
      </c>
      <c r="AK349" s="18" t="str">
        <f>IF(NOT(ISBLANK(Audit[[#This Row],[Audit Candidate 7]])), Audit[[#This Row],[Audit Candidate 7]]-Audit[[#This Row],[Candidate 7]], "")</f>
        <v/>
      </c>
      <c r="AL349" s="18" t="str">
        <f>IF(NOT(ISBLANK(Audit[[#This Row],[Audit Candidate 8]])), Audit[[#This Row],[Audit Candidate 8]]-Audit[[#This Row],[Candidate 8]], "")</f>
        <v/>
      </c>
      <c r="AM349" s="18" t="str">
        <f>IF(NOT(ISBLANK(Audit[[#This Row],[Audit Candidate 9]])), Audit[[#This Row],[Audit Candidate 9]]-Audit[[#This Row],[Candidate 9]], "")</f>
        <v/>
      </c>
      <c r="AN349" s="18" t="str">
        <f>IF(NOT(ISBLANK(Audit[[#This Row],[Audit Candidate 10]])), Audit[[#This Row],[Audit Candidate 10]]-Audit[[#This Row],[Candidate 10]], "")</f>
        <v/>
      </c>
      <c r="AO349" s="18" t="str">
        <f>IF(NOT(ISBLANK(Audit[[#This Row],[Audit Candidate 11]])), Audit[[#This Row],[Audit Candidate 11]]-Audit[[#This Row],[Candidate 11]], "")</f>
        <v/>
      </c>
      <c r="AP349" s="18" t="str">
        <f>IF(NOT(ISBLANK(Audit[[#This Row],[Audit Candidate 12]])), Audit[[#This Row],[Audit Candidate 12]]-Audit[[#This Row],[Candidate 12]], "")</f>
        <v/>
      </c>
      <c r="AQ349" s="18">
        <f>SUMIF(Audit[[#This Row],[Difference Winner]:[Difference Candidate 12]], "&gt;0")</f>
        <v>0</v>
      </c>
      <c r="AR349" s="18">
        <f>SUM(Audit[[#This Row],[Difference Winner]:[Difference Candidate 12]])</f>
        <v>0</v>
      </c>
      <c r="AS349" s="18">
        <f>IF(Audit[[#This Row],[Times p Drawn - With Replacement]]&gt;0, IF(Audit[[#This Row],[Canceled Differences]]&lt;0, Audit[[#This Row],[Max Differences]]+ABS(Audit[[#This Row],[Canceled Differences]]), Audit[[#This Row],[Max Differences]]), 0)</f>
        <v>0</v>
      </c>
      <c r="AT349" s="18">
        <f>'Sampling Data'!AB349</f>
        <v>4.7114991990451359E-4</v>
      </c>
      <c r="AU349" s="18">
        <f>IF(
      SUM(Audit[[#This Row],[Audit Losing Candidate]:[Audit Candidate 12]])
      &lt;&gt;0,
      (Audit[[#This Row],[Winning Candidate]]-Audit[[#This Row],[Losing Candidate]]-(Audit[[#This Row],[Audit Winning Candidate]]-Audit[[#This Row],[Audit Losing Candidate]]))/(Audit[[#Totals],[Winning Candidate]]-Audit[[#Totals],[Losing Candidate]]),
      0
)</f>
        <v>0</v>
      </c>
      <c r="AV3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8">
        <f>IF(Audit[[#This Row],[Max Relative Error (ep)]] = 0, 0, Audit[[#This Row],[Max Relative Error (ep)]]/Audit[[#This Row],[Error Bound (up) - Max. possible relative overstatement]])</f>
        <v>0</v>
      </c>
      <c r="BH3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49" s="18">
        <f t="shared" si="6"/>
        <v>1</v>
      </c>
      <c r="BJ349" s="18">
        <f>PRODUCT($BI$5:BI349)</f>
        <v>0.32656797278968008</v>
      </c>
      <c r="BK349" s="20">
        <f>1 - Audit[[#This Row],[K-M P Value]]</f>
        <v>0.67343202721031992</v>
      </c>
      <c r="BL349" s="18" t="str">
        <f>IF(Audit[[#This Row],[K-M P Value]]&gt;1-'General Info'!$B$12,"Continue", "Stop")</f>
        <v>Continue</v>
      </c>
      <c r="BM349" s="23" t="b">
        <f>IF(Audit[[#This Row],[Status - Continue or stop audit]] = "Continue", TRUE, IF(BL348 = "Continue", TRUE, FALSE))</f>
        <v>1</v>
      </c>
      <c r="BN349" s="23"/>
    </row>
    <row r="350" spans="1:66" ht="15" hidden="1" customHeight="1" x14ac:dyDescent="0.35">
      <c r="A350" s="18" t="str">
        <f>'Sampling Data'!AI350</f>
        <v/>
      </c>
      <c r="B350" s="18" t="str">
        <f>'Sampling Data'!A350</f>
        <v>5631 AND EE   (AV)</v>
      </c>
      <c r="C350" s="18">
        <f>'Sampling Data'!B350</f>
        <v>13</v>
      </c>
      <c r="D350" s="18">
        <f>'Sampling Data'!C350</f>
        <v>0</v>
      </c>
      <c r="E350" s="19">
        <f>'Sampling Data'!D350</f>
        <v>0</v>
      </c>
      <c r="F350" s="19">
        <f>'Sampling Data'!E350</f>
        <v>0</v>
      </c>
      <c r="G350" s="19">
        <f>'Sampling Data'!F350</f>
        <v>0</v>
      </c>
      <c r="H350" s="19">
        <f>'Sampling Data'!G350</f>
        <v>0</v>
      </c>
      <c r="I350" s="19">
        <f>'Sampling Data'!H350</f>
        <v>0</v>
      </c>
      <c r="J350" s="19">
        <f>'Sampling Data'!I350</f>
        <v>0</v>
      </c>
      <c r="K350" s="19">
        <f>'Sampling Data'!J350</f>
        <v>0</v>
      </c>
      <c r="L350" s="19">
        <f>'Sampling Data'!K350</f>
        <v>0</v>
      </c>
      <c r="M350" s="19">
        <f>'Sampling Data'!L350</f>
        <v>0</v>
      </c>
      <c r="N350" s="19">
        <f>'Sampling Data'!M350</f>
        <v>0</v>
      </c>
      <c r="O350" s="18">
        <f>'Sampling Data'!N350</f>
        <v>0</v>
      </c>
      <c r="P350" s="18">
        <f>'Sampling Data'!O350</f>
        <v>1</v>
      </c>
      <c r="Q350" s="18">
        <f>'Sampling Data'!P350</f>
        <v>14</v>
      </c>
      <c r="R350" s="18">
        <f>'Sampling Data'!AJ350</f>
        <v>0</v>
      </c>
      <c r="S350" s="112"/>
      <c r="T350" s="112"/>
      <c r="U350" s="113"/>
      <c r="V350" s="113"/>
      <c r="W350" s="112"/>
      <c r="X350" s="112"/>
      <c r="Y350" s="112"/>
      <c r="Z350" s="112"/>
      <c r="AA350" s="15"/>
      <c r="AB350" s="15"/>
      <c r="AC350" s="15"/>
      <c r="AD350" s="15"/>
      <c r="AE350" s="114" t="str">
        <f>IF(NOT(ISBLANK(Audit[[#This Row],[Audit Winning Candidate]])), Audit[[#This Row],[Audit Winning Candidate]]-Audit[[#This Row],[Winning Candidate]], "")</f>
        <v/>
      </c>
      <c r="AF350" s="18" t="str">
        <f>IF(NOT(ISBLANK(Audit[[#This Row],[Audit Losing Candidate]])), Audit[[#This Row],[Audit Losing Candidate]]-Audit[[#This Row],[Losing Candidate]], "")</f>
        <v/>
      </c>
      <c r="AG350" s="18" t="str">
        <f>IF(NOT(ISBLANK(Audit[[#This Row],[Audit Candidate 3]])), Audit[[#This Row],[Audit Candidate 3]]-Audit[[#This Row],[Candidate 3]], "")</f>
        <v/>
      </c>
      <c r="AH350" s="18" t="str">
        <f>IF(NOT(ISBLANK(Audit[[#This Row],[Audit Candidate 4]])),Audit[[#This Row],[Audit Candidate 4]]-Audit[[#This Row],[Candidate 4]], "")</f>
        <v/>
      </c>
      <c r="AI350" s="18" t="str">
        <f>IF(NOT(ISBLANK(Audit[[#This Row],[Audit Candidate 5]])), Audit[[#This Row],[Audit Candidate 5]]-Audit[[#This Row],[Candidate 5]], "")</f>
        <v/>
      </c>
      <c r="AJ350" s="18" t="str">
        <f>IF(NOT(ISBLANK(Audit[[#This Row],[Audit Candidate 6]])), Audit[[#This Row],[Audit Candidate 6]]-Audit[[#This Row],[Candidate 6]], "")</f>
        <v/>
      </c>
      <c r="AK350" s="18" t="str">
        <f>IF(NOT(ISBLANK(Audit[[#This Row],[Audit Candidate 7]])), Audit[[#This Row],[Audit Candidate 7]]-Audit[[#This Row],[Candidate 7]], "")</f>
        <v/>
      </c>
      <c r="AL350" s="18" t="str">
        <f>IF(NOT(ISBLANK(Audit[[#This Row],[Audit Candidate 8]])), Audit[[#This Row],[Audit Candidate 8]]-Audit[[#This Row],[Candidate 8]], "")</f>
        <v/>
      </c>
      <c r="AM350" s="18" t="str">
        <f>IF(NOT(ISBLANK(Audit[[#This Row],[Audit Candidate 9]])), Audit[[#This Row],[Audit Candidate 9]]-Audit[[#This Row],[Candidate 9]], "")</f>
        <v/>
      </c>
      <c r="AN350" s="18" t="str">
        <f>IF(NOT(ISBLANK(Audit[[#This Row],[Audit Candidate 10]])), Audit[[#This Row],[Audit Candidate 10]]-Audit[[#This Row],[Candidate 10]], "")</f>
        <v/>
      </c>
      <c r="AO350" s="18" t="str">
        <f>IF(NOT(ISBLANK(Audit[[#This Row],[Audit Candidate 11]])), Audit[[#This Row],[Audit Candidate 11]]-Audit[[#This Row],[Candidate 11]], "")</f>
        <v/>
      </c>
      <c r="AP350" s="18" t="str">
        <f>IF(NOT(ISBLANK(Audit[[#This Row],[Audit Candidate 12]])), Audit[[#This Row],[Audit Candidate 12]]-Audit[[#This Row],[Candidate 12]], "")</f>
        <v/>
      </c>
      <c r="AQ350" s="18">
        <f>SUMIF(Audit[[#This Row],[Difference Winner]:[Difference Candidate 12]], "&gt;0")</f>
        <v>0</v>
      </c>
      <c r="AR350" s="18">
        <f>SUM(Audit[[#This Row],[Difference Winner]:[Difference Candidate 12]])</f>
        <v>0</v>
      </c>
      <c r="AS350" s="18">
        <f>IF(Audit[[#This Row],[Times p Drawn - With Replacement]]&gt;0, IF(Audit[[#This Row],[Canceled Differences]]&lt;0, Audit[[#This Row],[Max Differences]]+ABS(Audit[[#This Row],[Canceled Differences]]), Audit[[#This Row],[Max Differences]]), 0)</f>
        <v>0</v>
      </c>
      <c r="AT350" s="18">
        <f>'Sampling Data'!AB350</f>
        <v>8.4806985582812453E-4</v>
      </c>
      <c r="AU350" s="18">
        <f>IF(
      SUM(Audit[[#This Row],[Audit Losing Candidate]:[Audit Candidate 12]])
      &lt;&gt;0,
      (Audit[[#This Row],[Winning Candidate]]-Audit[[#This Row],[Losing Candidate]]-(Audit[[#This Row],[Audit Winning Candidate]]-Audit[[#This Row],[Audit Losing Candidate]]))/(Audit[[#Totals],[Winning Candidate]]-Audit[[#Totals],[Losing Candidate]]),
      0
)</f>
        <v>0</v>
      </c>
      <c r="AV3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8">
        <f>IF(Audit[[#This Row],[Max Relative Error (ep)]] = 0, 0, Audit[[#This Row],[Max Relative Error (ep)]]/Audit[[#This Row],[Error Bound (up) - Max. possible relative overstatement]])</f>
        <v>0</v>
      </c>
      <c r="BH3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0" s="18">
        <f t="shared" si="6"/>
        <v>1</v>
      </c>
      <c r="BJ350" s="18">
        <f>PRODUCT($BI$5:BI350)</f>
        <v>0.32656797278968008</v>
      </c>
      <c r="BK350" s="20">
        <f>1 - Audit[[#This Row],[K-M P Value]]</f>
        <v>0.67343202721031992</v>
      </c>
      <c r="BL350" s="18" t="str">
        <f>IF(Audit[[#This Row],[K-M P Value]]&gt;1-'General Info'!$B$12,"Continue", "Stop")</f>
        <v>Continue</v>
      </c>
      <c r="BM350" s="23" t="b">
        <f>IF(Audit[[#This Row],[Status - Continue or stop audit]] = "Continue", TRUE, IF(BL349 = "Continue", TRUE, FALSE))</f>
        <v>1</v>
      </c>
      <c r="BN350" s="23"/>
    </row>
    <row r="351" spans="1:66" ht="15" hidden="1" customHeight="1" x14ac:dyDescent="0.35">
      <c r="A351" s="18" t="str">
        <f>'Sampling Data'!AI351</f>
        <v/>
      </c>
      <c r="B351" s="18" t="str">
        <f>'Sampling Data'!A351</f>
        <v>5632 AND FF   (AV)</v>
      </c>
      <c r="C351" s="18">
        <f>'Sampling Data'!B351</f>
        <v>17</v>
      </c>
      <c r="D351" s="18">
        <f>'Sampling Data'!C351</f>
        <v>2</v>
      </c>
      <c r="E351" s="19">
        <f>'Sampling Data'!D351</f>
        <v>0</v>
      </c>
      <c r="F351" s="19">
        <f>'Sampling Data'!E351</f>
        <v>0</v>
      </c>
      <c r="G351" s="19">
        <f>'Sampling Data'!F351</f>
        <v>0</v>
      </c>
      <c r="H351" s="19">
        <f>'Sampling Data'!G351</f>
        <v>0</v>
      </c>
      <c r="I351" s="19">
        <f>'Sampling Data'!H351</f>
        <v>0</v>
      </c>
      <c r="J351" s="19">
        <f>'Sampling Data'!I351</f>
        <v>0</v>
      </c>
      <c r="K351" s="19">
        <f>'Sampling Data'!J351</f>
        <v>0</v>
      </c>
      <c r="L351" s="19">
        <f>'Sampling Data'!K351</f>
        <v>0</v>
      </c>
      <c r="M351" s="19">
        <f>'Sampling Data'!L351</f>
        <v>0</v>
      </c>
      <c r="N351" s="19">
        <f>'Sampling Data'!M351</f>
        <v>0</v>
      </c>
      <c r="O351" s="18">
        <f>'Sampling Data'!N351</f>
        <v>0</v>
      </c>
      <c r="P351" s="18">
        <f>'Sampling Data'!O351</f>
        <v>1</v>
      </c>
      <c r="Q351" s="18">
        <f>'Sampling Data'!P351</f>
        <v>20</v>
      </c>
      <c r="R351" s="18">
        <f>'Sampling Data'!AJ351</f>
        <v>0</v>
      </c>
      <c r="S351" s="112"/>
      <c r="T351" s="112"/>
      <c r="U351" s="113"/>
      <c r="V351" s="113"/>
      <c r="W351" s="112"/>
      <c r="X351" s="112"/>
      <c r="Y351" s="112"/>
      <c r="Z351" s="112"/>
      <c r="AA351" s="15"/>
      <c r="AB351" s="15"/>
      <c r="AC351" s="15"/>
      <c r="AD351" s="15"/>
      <c r="AE351" s="114" t="str">
        <f>IF(NOT(ISBLANK(Audit[[#This Row],[Audit Winning Candidate]])), Audit[[#This Row],[Audit Winning Candidate]]-Audit[[#This Row],[Winning Candidate]], "")</f>
        <v/>
      </c>
      <c r="AF351" s="18" t="str">
        <f>IF(NOT(ISBLANK(Audit[[#This Row],[Audit Losing Candidate]])), Audit[[#This Row],[Audit Losing Candidate]]-Audit[[#This Row],[Losing Candidate]], "")</f>
        <v/>
      </c>
      <c r="AG351" s="18" t="str">
        <f>IF(NOT(ISBLANK(Audit[[#This Row],[Audit Candidate 3]])), Audit[[#This Row],[Audit Candidate 3]]-Audit[[#This Row],[Candidate 3]], "")</f>
        <v/>
      </c>
      <c r="AH351" s="18" t="str">
        <f>IF(NOT(ISBLANK(Audit[[#This Row],[Audit Candidate 4]])),Audit[[#This Row],[Audit Candidate 4]]-Audit[[#This Row],[Candidate 4]], "")</f>
        <v/>
      </c>
      <c r="AI351" s="18" t="str">
        <f>IF(NOT(ISBLANK(Audit[[#This Row],[Audit Candidate 5]])), Audit[[#This Row],[Audit Candidate 5]]-Audit[[#This Row],[Candidate 5]], "")</f>
        <v/>
      </c>
      <c r="AJ351" s="18" t="str">
        <f>IF(NOT(ISBLANK(Audit[[#This Row],[Audit Candidate 6]])), Audit[[#This Row],[Audit Candidate 6]]-Audit[[#This Row],[Candidate 6]], "")</f>
        <v/>
      </c>
      <c r="AK351" s="18" t="str">
        <f>IF(NOT(ISBLANK(Audit[[#This Row],[Audit Candidate 7]])), Audit[[#This Row],[Audit Candidate 7]]-Audit[[#This Row],[Candidate 7]], "")</f>
        <v/>
      </c>
      <c r="AL351" s="18" t="str">
        <f>IF(NOT(ISBLANK(Audit[[#This Row],[Audit Candidate 8]])), Audit[[#This Row],[Audit Candidate 8]]-Audit[[#This Row],[Candidate 8]], "")</f>
        <v/>
      </c>
      <c r="AM351" s="18" t="str">
        <f>IF(NOT(ISBLANK(Audit[[#This Row],[Audit Candidate 9]])), Audit[[#This Row],[Audit Candidate 9]]-Audit[[#This Row],[Candidate 9]], "")</f>
        <v/>
      </c>
      <c r="AN351" s="18" t="str">
        <f>IF(NOT(ISBLANK(Audit[[#This Row],[Audit Candidate 10]])), Audit[[#This Row],[Audit Candidate 10]]-Audit[[#This Row],[Candidate 10]], "")</f>
        <v/>
      </c>
      <c r="AO351" s="18" t="str">
        <f>IF(NOT(ISBLANK(Audit[[#This Row],[Audit Candidate 11]])), Audit[[#This Row],[Audit Candidate 11]]-Audit[[#This Row],[Candidate 11]], "")</f>
        <v/>
      </c>
      <c r="AP351" s="18" t="str">
        <f>IF(NOT(ISBLANK(Audit[[#This Row],[Audit Candidate 12]])), Audit[[#This Row],[Audit Candidate 12]]-Audit[[#This Row],[Candidate 12]], "")</f>
        <v/>
      </c>
      <c r="AQ351" s="18">
        <f>SUMIF(Audit[[#This Row],[Difference Winner]:[Difference Candidate 12]], "&gt;0")</f>
        <v>0</v>
      </c>
      <c r="AR351" s="18">
        <f>SUM(Audit[[#This Row],[Difference Winner]:[Difference Candidate 12]])</f>
        <v>0</v>
      </c>
      <c r="AS351" s="18">
        <f>IF(Audit[[#This Row],[Times p Drawn - With Replacement]]&gt;0, IF(Audit[[#This Row],[Canceled Differences]]&lt;0, Audit[[#This Row],[Max Differences]]+ABS(Audit[[#This Row],[Canceled Differences]]), Audit[[#This Row],[Max Differences]]), 0)</f>
        <v>0</v>
      </c>
      <c r="AT351" s="18">
        <f>'Sampling Data'!AB351</f>
        <v>1.0993498131105317E-3</v>
      </c>
      <c r="AU351" s="18">
        <f>IF(
      SUM(Audit[[#This Row],[Audit Losing Candidate]:[Audit Candidate 12]])
      &lt;&gt;0,
      (Audit[[#This Row],[Winning Candidate]]-Audit[[#This Row],[Losing Candidate]]-(Audit[[#This Row],[Audit Winning Candidate]]-Audit[[#This Row],[Audit Losing Candidate]]))/(Audit[[#Totals],[Winning Candidate]]-Audit[[#Totals],[Losing Candidate]]),
      0
)</f>
        <v>0</v>
      </c>
      <c r="AV3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8">
        <f>IF(Audit[[#This Row],[Max Relative Error (ep)]] = 0, 0, Audit[[#This Row],[Max Relative Error (ep)]]/Audit[[#This Row],[Error Bound (up) - Max. possible relative overstatement]])</f>
        <v>0</v>
      </c>
      <c r="BH3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1" s="18">
        <f t="shared" si="6"/>
        <v>1</v>
      </c>
      <c r="BJ351" s="18">
        <f>PRODUCT($BI$5:BI351)</f>
        <v>0.32656797278968008</v>
      </c>
      <c r="BK351" s="20">
        <f>1 - Audit[[#This Row],[K-M P Value]]</f>
        <v>0.67343202721031992</v>
      </c>
      <c r="BL351" s="18" t="str">
        <f>IF(Audit[[#This Row],[K-M P Value]]&gt;1-'General Info'!$B$12,"Continue", "Stop")</f>
        <v>Continue</v>
      </c>
      <c r="BM351" s="23" t="b">
        <f>IF(Audit[[#This Row],[Status - Continue or stop audit]] = "Continue", TRUE, IF(BL350 = "Continue", TRUE, FALSE))</f>
        <v>1</v>
      </c>
      <c r="BN351" s="23"/>
    </row>
    <row r="352" spans="1:66" ht="15" hidden="1" customHeight="1" x14ac:dyDescent="0.35">
      <c r="A352" s="18" t="str">
        <f>'Sampling Data'!AI352</f>
        <v/>
      </c>
      <c r="B352" s="18" t="str">
        <f>'Sampling Data'!A352</f>
        <v>5801 ARLN A   (AV)</v>
      </c>
      <c r="C352" s="18">
        <f>'Sampling Data'!B352</f>
        <v>6</v>
      </c>
      <c r="D352" s="18">
        <f>'Sampling Data'!C352</f>
        <v>0</v>
      </c>
      <c r="E352" s="19">
        <f>'Sampling Data'!D352</f>
        <v>0</v>
      </c>
      <c r="F352" s="19">
        <f>'Sampling Data'!E352</f>
        <v>0</v>
      </c>
      <c r="G352" s="19">
        <f>'Sampling Data'!F352</f>
        <v>0</v>
      </c>
      <c r="H352" s="19">
        <f>'Sampling Data'!G352</f>
        <v>0</v>
      </c>
      <c r="I352" s="19">
        <f>'Sampling Data'!H352</f>
        <v>0</v>
      </c>
      <c r="J352" s="19">
        <f>'Sampling Data'!I352</f>
        <v>0</v>
      </c>
      <c r="K352" s="19">
        <f>'Sampling Data'!J352</f>
        <v>0</v>
      </c>
      <c r="L352" s="19">
        <f>'Sampling Data'!K352</f>
        <v>0</v>
      </c>
      <c r="M352" s="19">
        <f>'Sampling Data'!L352</f>
        <v>0</v>
      </c>
      <c r="N352" s="19">
        <f>'Sampling Data'!M352</f>
        <v>0</v>
      </c>
      <c r="O352" s="18">
        <f>'Sampling Data'!N352</f>
        <v>0</v>
      </c>
      <c r="P352" s="18">
        <f>'Sampling Data'!O352</f>
        <v>0</v>
      </c>
      <c r="Q352" s="18">
        <f>'Sampling Data'!P352</f>
        <v>6</v>
      </c>
      <c r="R352" s="18">
        <f>'Sampling Data'!AJ352</f>
        <v>0</v>
      </c>
      <c r="S352" s="112"/>
      <c r="T352" s="112"/>
      <c r="U352" s="113"/>
      <c r="V352" s="113"/>
      <c r="W352" s="112"/>
      <c r="X352" s="112"/>
      <c r="Y352" s="112"/>
      <c r="Z352" s="112"/>
      <c r="AA352" s="15"/>
      <c r="AB352" s="15"/>
      <c r="AC352" s="15"/>
      <c r="AD352" s="15"/>
      <c r="AE352" s="114" t="str">
        <f>IF(NOT(ISBLANK(Audit[[#This Row],[Audit Winning Candidate]])), Audit[[#This Row],[Audit Winning Candidate]]-Audit[[#This Row],[Winning Candidate]], "")</f>
        <v/>
      </c>
      <c r="AF352" s="18" t="str">
        <f>IF(NOT(ISBLANK(Audit[[#This Row],[Audit Losing Candidate]])), Audit[[#This Row],[Audit Losing Candidate]]-Audit[[#This Row],[Losing Candidate]], "")</f>
        <v/>
      </c>
      <c r="AG352" s="18" t="str">
        <f>IF(NOT(ISBLANK(Audit[[#This Row],[Audit Candidate 3]])), Audit[[#This Row],[Audit Candidate 3]]-Audit[[#This Row],[Candidate 3]], "")</f>
        <v/>
      </c>
      <c r="AH352" s="18" t="str">
        <f>IF(NOT(ISBLANK(Audit[[#This Row],[Audit Candidate 4]])),Audit[[#This Row],[Audit Candidate 4]]-Audit[[#This Row],[Candidate 4]], "")</f>
        <v/>
      </c>
      <c r="AI352" s="18" t="str">
        <f>IF(NOT(ISBLANK(Audit[[#This Row],[Audit Candidate 5]])), Audit[[#This Row],[Audit Candidate 5]]-Audit[[#This Row],[Candidate 5]], "")</f>
        <v/>
      </c>
      <c r="AJ352" s="18" t="str">
        <f>IF(NOT(ISBLANK(Audit[[#This Row],[Audit Candidate 6]])), Audit[[#This Row],[Audit Candidate 6]]-Audit[[#This Row],[Candidate 6]], "")</f>
        <v/>
      </c>
      <c r="AK352" s="18" t="str">
        <f>IF(NOT(ISBLANK(Audit[[#This Row],[Audit Candidate 7]])), Audit[[#This Row],[Audit Candidate 7]]-Audit[[#This Row],[Candidate 7]], "")</f>
        <v/>
      </c>
      <c r="AL352" s="18" t="str">
        <f>IF(NOT(ISBLANK(Audit[[#This Row],[Audit Candidate 8]])), Audit[[#This Row],[Audit Candidate 8]]-Audit[[#This Row],[Candidate 8]], "")</f>
        <v/>
      </c>
      <c r="AM352" s="18" t="str">
        <f>IF(NOT(ISBLANK(Audit[[#This Row],[Audit Candidate 9]])), Audit[[#This Row],[Audit Candidate 9]]-Audit[[#This Row],[Candidate 9]], "")</f>
        <v/>
      </c>
      <c r="AN352" s="18" t="str">
        <f>IF(NOT(ISBLANK(Audit[[#This Row],[Audit Candidate 10]])), Audit[[#This Row],[Audit Candidate 10]]-Audit[[#This Row],[Candidate 10]], "")</f>
        <v/>
      </c>
      <c r="AO352" s="18" t="str">
        <f>IF(NOT(ISBLANK(Audit[[#This Row],[Audit Candidate 11]])), Audit[[#This Row],[Audit Candidate 11]]-Audit[[#This Row],[Candidate 11]], "")</f>
        <v/>
      </c>
      <c r="AP352" s="18" t="str">
        <f>IF(NOT(ISBLANK(Audit[[#This Row],[Audit Candidate 12]])), Audit[[#This Row],[Audit Candidate 12]]-Audit[[#This Row],[Candidate 12]], "")</f>
        <v/>
      </c>
      <c r="AQ352" s="18">
        <f>SUMIF(Audit[[#This Row],[Difference Winner]:[Difference Candidate 12]], "&gt;0")</f>
        <v>0</v>
      </c>
      <c r="AR352" s="18">
        <f>SUM(Audit[[#This Row],[Difference Winner]:[Difference Candidate 12]])</f>
        <v>0</v>
      </c>
      <c r="AS352" s="18">
        <f>IF(Audit[[#This Row],[Times p Drawn - With Replacement]]&gt;0, IF(Audit[[#This Row],[Canceled Differences]]&lt;0, Audit[[#This Row],[Max Differences]]+ABS(Audit[[#This Row],[Canceled Differences]]), Audit[[#This Row],[Max Differences]]), 0)</f>
        <v>0</v>
      </c>
      <c r="AT352" s="18">
        <f>'Sampling Data'!AB352</f>
        <v>3.7691993592361088E-4</v>
      </c>
      <c r="AU352" s="18">
        <f>IF(
      SUM(Audit[[#This Row],[Audit Losing Candidate]:[Audit Candidate 12]])
      &lt;&gt;0,
      (Audit[[#This Row],[Winning Candidate]]-Audit[[#This Row],[Losing Candidate]]-(Audit[[#This Row],[Audit Winning Candidate]]-Audit[[#This Row],[Audit Losing Candidate]]))/(Audit[[#Totals],[Winning Candidate]]-Audit[[#Totals],[Losing Candidate]]),
      0
)</f>
        <v>0</v>
      </c>
      <c r="AV3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8">
        <f>IF(Audit[[#This Row],[Max Relative Error (ep)]] = 0, 0, Audit[[#This Row],[Max Relative Error (ep)]]/Audit[[#This Row],[Error Bound (up) - Max. possible relative overstatement]])</f>
        <v>0</v>
      </c>
      <c r="BH3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2" s="18">
        <f t="shared" si="6"/>
        <v>1</v>
      </c>
      <c r="BJ352" s="18">
        <f>PRODUCT($BI$5:BI352)</f>
        <v>0.32656797278968008</v>
      </c>
      <c r="BK352" s="20">
        <f>1 - Audit[[#This Row],[K-M P Value]]</f>
        <v>0.67343202721031992</v>
      </c>
      <c r="BL352" s="18" t="str">
        <f>IF(Audit[[#This Row],[K-M P Value]]&gt;1-'General Info'!$B$12,"Continue", "Stop")</f>
        <v>Continue</v>
      </c>
      <c r="BM352" s="23" t="b">
        <f>IF(Audit[[#This Row],[Status - Continue or stop audit]] = "Continue", TRUE, IF(BL351 = "Continue", TRUE, FALSE))</f>
        <v>1</v>
      </c>
      <c r="BN352" s="23"/>
    </row>
    <row r="353" spans="1:66" ht="15" hidden="1" customHeight="1" x14ac:dyDescent="0.35">
      <c r="A353" s="18" t="str">
        <f>'Sampling Data'!AI353</f>
        <v/>
      </c>
      <c r="B353" s="18" t="str">
        <f>'Sampling Data'!A353</f>
        <v>5901 COLE A   (AV)</v>
      </c>
      <c r="C353" s="18">
        <f>'Sampling Data'!B353</f>
        <v>13</v>
      </c>
      <c r="D353" s="18">
        <f>'Sampling Data'!C353</f>
        <v>2</v>
      </c>
      <c r="E353" s="19">
        <f>'Sampling Data'!D353</f>
        <v>0</v>
      </c>
      <c r="F353" s="19">
        <f>'Sampling Data'!E353</f>
        <v>0</v>
      </c>
      <c r="G353" s="19">
        <f>'Sampling Data'!F353</f>
        <v>0</v>
      </c>
      <c r="H353" s="19">
        <f>'Sampling Data'!G353</f>
        <v>0</v>
      </c>
      <c r="I353" s="19">
        <f>'Sampling Data'!H353</f>
        <v>0</v>
      </c>
      <c r="J353" s="19">
        <f>'Sampling Data'!I353</f>
        <v>0</v>
      </c>
      <c r="K353" s="19">
        <f>'Sampling Data'!J353</f>
        <v>0</v>
      </c>
      <c r="L353" s="19">
        <f>'Sampling Data'!K353</f>
        <v>0</v>
      </c>
      <c r="M353" s="19">
        <f>'Sampling Data'!L353</f>
        <v>0</v>
      </c>
      <c r="N353" s="19">
        <f>'Sampling Data'!M353</f>
        <v>0</v>
      </c>
      <c r="O353" s="18">
        <f>'Sampling Data'!N353</f>
        <v>0</v>
      </c>
      <c r="P353" s="18">
        <f>'Sampling Data'!O353</f>
        <v>1</v>
      </c>
      <c r="Q353" s="18">
        <f>'Sampling Data'!P353</f>
        <v>16</v>
      </c>
      <c r="R353" s="18">
        <f>'Sampling Data'!AJ353</f>
        <v>0</v>
      </c>
      <c r="S353" s="112"/>
      <c r="T353" s="112"/>
      <c r="U353" s="113"/>
      <c r="V353" s="113"/>
      <c r="W353" s="112"/>
      <c r="X353" s="112"/>
      <c r="Y353" s="112"/>
      <c r="Z353" s="112"/>
      <c r="AA353" s="15"/>
      <c r="AB353" s="15"/>
      <c r="AC353" s="15"/>
      <c r="AD353" s="15"/>
      <c r="AE353" s="114" t="str">
        <f>IF(NOT(ISBLANK(Audit[[#This Row],[Audit Winning Candidate]])), Audit[[#This Row],[Audit Winning Candidate]]-Audit[[#This Row],[Winning Candidate]], "")</f>
        <v/>
      </c>
      <c r="AF353" s="18" t="str">
        <f>IF(NOT(ISBLANK(Audit[[#This Row],[Audit Losing Candidate]])), Audit[[#This Row],[Audit Losing Candidate]]-Audit[[#This Row],[Losing Candidate]], "")</f>
        <v/>
      </c>
      <c r="AG353" s="18" t="str">
        <f>IF(NOT(ISBLANK(Audit[[#This Row],[Audit Candidate 3]])), Audit[[#This Row],[Audit Candidate 3]]-Audit[[#This Row],[Candidate 3]], "")</f>
        <v/>
      </c>
      <c r="AH353" s="18" t="str">
        <f>IF(NOT(ISBLANK(Audit[[#This Row],[Audit Candidate 4]])),Audit[[#This Row],[Audit Candidate 4]]-Audit[[#This Row],[Candidate 4]], "")</f>
        <v/>
      </c>
      <c r="AI353" s="18" t="str">
        <f>IF(NOT(ISBLANK(Audit[[#This Row],[Audit Candidate 5]])), Audit[[#This Row],[Audit Candidate 5]]-Audit[[#This Row],[Candidate 5]], "")</f>
        <v/>
      </c>
      <c r="AJ353" s="18" t="str">
        <f>IF(NOT(ISBLANK(Audit[[#This Row],[Audit Candidate 6]])), Audit[[#This Row],[Audit Candidate 6]]-Audit[[#This Row],[Candidate 6]], "")</f>
        <v/>
      </c>
      <c r="AK353" s="18" t="str">
        <f>IF(NOT(ISBLANK(Audit[[#This Row],[Audit Candidate 7]])), Audit[[#This Row],[Audit Candidate 7]]-Audit[[#This Row],[Candidate 7]], "")</f>
        <v/>
      </c>
      <c r="AL353" s="18" t="str">
        <f>IF(NOT(ISBLANK(Audit[[#This Row],[Audit Candidate 8]])), Audit[[#This Row],[Audit Candidate 8]]-Audit[[#This Row],[Candidate 8]], "")</f>
        <v/>
      </c>
      <c r="AM353" s="18" t="str">
        <f>IF(NOT(ISBLANK(Audit[[#This Row],[Audit Candidate 9]])), Audit[[#This Row],[Audit Candidate 9]]-Audit[[#This Row],[Candidate 9]], "")</f>
        <v/>
      </c>
      <c r="AN353" s="18" t="str">
        <f>IF(NOT(ISBLANK(Audit[[#This Row],[Audit Candidate 10]])), Audit[[#This Row],[Audit Candidate 10]]-Audit[[#This Row],[Candidate 10]], "")</f>
        <v/>
      </c>
      <c r="AO353" s="18" t="str">
        <f>IF(NOT(ISBLANK(Audit[[#This Row],[Audit Candidate 11]])), Audit[[#This Row],[Audit Candidate 11]]-Audit[[#This Row],[Candidate 11]], "")</f>
        <v/>
      </c>
      <c r="AP353" s="18" t="str">
        <f>IF(NOT(ISBLANK(Audit[[#This Row],[Audit Candidate 12]])), Audit[[#This Row],[Audit Candidate 12]]-Audit[[#This Row],[Candidate 12]], "")</f>
        <v/>
      </c>
      <c r="AQ353" s="18">
        <f>SUMIF(Audit[[#This Row],[Difference Winner]:[Difference Candidate 12]], "&gt;0")</f>
        <v>0</v>
      </c>
      <c r="AR353" s="18">
        <f>SUM(Audit[[#This Row],[Difference Winner]:[Difference Candidate 12]])</f>
        <v>0</v>
      </c>
      <c r="AS353" s="18">
        <f>IF(Audit[[#This Row],[Times p Drawn - With Replacement]]&gt;0, IF(Audit[[#This Row],[Canceled Differences]]&lt;0, Audit[[#This Row],[Max Differences]]+ABS(Audit[[#This Row],[Canceled Differences]]), Audit[[#This Row],[Max Differences]]), 0)</f>
        <v>0</v>
      </c>
      <c r="AT353" s="18">
        <f>'Sampling Data'!AB353</f>
        <v>8.4806985582812453E-4</v>
      </c>
      <c r="AU353" s="18">
        <f>IF(
      SUM(Audit[[#This Row],[Audit Losing Candidate]:[Audit Candidate 12]])
      &lt;&gt;0,
      (Audit[[#This Row],[Winning Candidate]]-Audit[[#This Row],[Losing Candidate]]-(Audit[[#This Row],[Audit Winning Candidate]]-Audit[[#This Row],[Audit Losing Candidate]]))/(Audit[[#Totals],[Winning Candidate]]-Audit[[#Totals],[Losing Candidate]]),
      0
)</f>
        <v>0</v>
      </c>
      <c r="AV3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8">
        <f>IF(Audit[[#This Row],[Max Relative Error (ep)]] = 0, 0, Audit[[#This Row],[Max Relative Error (ep)]]/Audit[[#This Row],[Error Bound (up) - Max. possible relative overstatement]])</f>
        <v>0</v>
      </c>
      <c r="BH3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3" s="18">
        <f t="shared" si="6"/>
        <v>1</v>
      </c>
      <c r="BJ353" s="18">
        <f>PRODUCT($BI$5:BI353)</f>
        <v>0.32656797278968008</v>
      </c>
      <c r="BK353" s="20">
        <f>1 - Audit[[#This Row],[K-M P Value]]</f>
        <v>0.67343202721031992</v>
      </c>
      <c r="BL353" s="18" t="str">
        <f>IF(Audit[[#This Row],[K-M P Value]]&gt;1-'General Info'!$B$12,"Continue", "Stop")</f>
        <v>Continue</v>
      </c>
      <c r="BM353" s="23" t="b">
        <f>IF(Audit[[#This Row],[Status - Continue or stop audit]] = "Continue", TRUE, IF(BL352 = "Continue", TRUE, FALSE))</f>
        <v>1</v>
      </c>
      <c r="BN353" s="23"/>
    </row>
    <row r="354" spans="1:66" ht="15" hidden="1" customHeight="1" x14ac:dyDescent="0.35">
      <c r="A354" s="18" t="str">
        <f>'Sampling Data'!AI354</f>
        <v/>
      </c>
      <c r="B354" s="18" t="str">
        <f>'Sampling Data'!A354</f>
        <v>5902 COLE B   (AV)</v>
      </c>
      <c r="C354" s="18">
        <f>'Sampling Data'!B354</f>
        <v>1</v>
      </c>
      <c r="D354" s="18">
        <f>'Sampling Data'!C354</f>
        <v>0</v>
      </c>
      <c r="E354" s="19">
        <f>'Sampling Data'!D354</f>
        <v>0</v>
      </c>
      <c r="F354" s="19">
        <f>'Sampling Data'!E354</f>
        <v>0</v>
      </c>
      <c r="G354" s="19">
        <f>'Sampling Data'!F354</f>
        <v>0</v>
      </c>
      <c r="H354" s="19">
        <f>'Sampling Data'!G354</f>
        <v>0</v>
      </c>
      <c r="I354" s="19">
        <f>'Sampling Data'!H354</f>
        <v>0</v>
      </c>
      <c r="J354" s="19">
        <f>'Sampling Data'!I354</f>
        <v>0</v>
      </c>
      <c r="K354" s="19">
        <f>'Sampling Data'!J354</f>
        <v>0</v>
      </c>
      <c r="L354" s="19">
        <f>'Sampling Data'!K354</f>
        <v>0</v>
      </c>
      <c r="M354" s="19">
        <f>'Sampling Data'!L354</f>
        <v>0</v>
      </c>
      <c r="N354" s="19">
        <f>'Sampling Data'!M354</f>
        <v>0</v>
      </c>
      <c r="O354" s="18">
        <f>'Sampling Data'!N354</f>
        <v>0</v>
      </c>
      <c r="P354" s="18">
        <f>'Sampling Data'!O354</f>
        <v>0</v>
      </c>
      <c r="Q354" s="18">
        <f>'Sampling Data'!P354</f>
        <v>1</v>
      </c>
      <c r="R354" s="18">
        <f>'Sampling Data'!AJ354</f>
        <v>0</v>
      </c>
      <c r="S354" s="112"/>
      <c r="T354" s="112"/>
      <c r="U354" s="113"/>
      <c r="V354" s="113"/>
      <c r="W354" s="112"/>
      <c r="X354" s="112"/>
      <c r="Y354" s="112"/>
      <c r="Z354" s="112"/>
      <c r="AA354" s="15"/>
      <c r="AB354" s="15"/>
      <c r="AC354" s="15"/>
      <c r="AD354" s="15"/>
      <c r="AE354" s="114" t="str">
        <f>IF(NOT(ISBLANK(Audit[[#This Row],[Audit Winning Candidate]])), Audit[[#This Row],[Audit Winning Candidate]]-Audit[[#This Row],[Winning Candidate]], "")</f>
        <v/>
      </c>
      <c r="AF354" s="18" t="str">
        <f>IF(NOT(ISBLANK(Audit[[#This Row],[Audit Losing Candidate]])), Audit[[#This Row],[Audit Losing Candidate]]-Audit[[#This Row],[Losing Candidate]], "")</f>
        <v/>
      </c>
      <c r="AG354" s="18" t="str">
        <f>IF(NOT(ISBLANK(Audit[[#This Row],[Audit Candidate 3]])), Audit[[#This Row],[Audit Candidate 3]]-Audit[[#This Row],[Candidate 3]], "")</f>
        <v/>
      </c>
      <c r="AH354" s="18" t="str">
        <f>IF(NOT(ISBLANK(Audit[[#This Row],[Audit Candidate 4]])),Audit[[#This Row],[Audit Candidate 4]]-Audit[[#This Row],[Candidate 4]], "")</f>
        <v/>
      </c>
      <c r="AI354" s="18" t="str">
        <f>IF(NOT(ISBLANK(Audit[[#This Row],[Audit Candidate 5]])), Audit[[#This Row],[Audit Candidate 5]]-Audit[[#This Row],[Candidate 5]], "")</f>
        <v/>
      </c>
      <c r="AJ354" s="18" t="str">
        <f>IF(NOT(ISBLANK(Audit[[#This Row],[Audit Candidate 6]])), Audit[[#This Row],[Audit Candidate 6]]-Audit[[#This Row],[Candidate 6]], "")</f>
        <v/>
      </c>
      <c r="AK354" s="18" t="str">
        <f>IF(NOT(ISBLANK(Audit[[#This Row],[Audit Candidate 7]])), Audit[[#This Row],[Audit Candidate 7]]-Audit[[#This Row],[Candidate 7]], "")</f>
        <v/>
      </c>
      <c r="AL354" s="18" t="str">
        <f>IF(NOT(ISBLANK(Audit[[#This Row],[Audit Candidate 8]])), Audit[[#This Row],[Audit Candidate 8]]-Audit[[#This Row],[Candidate 8]], "")</f>
        <v/>
      </c>
      <c r="AM354" s="18" t="str">
        <f>IF(NOT(ISBLANK(Audit[[#This Row],[Audit Candidate 9]])), Audit[[#This Row],[Audit Candidate 9]]-Audit[[#This Row],[Candidate 9]], "")</f>
        <v/>
      </c>
      <c r="AN354" s="18" t="str">
        <f>IF(NOT(ISBLANK(Audit[[#This Row],[Audit Candidate 10]])), Audit[[#This Row],[Audit Candidate 10]]-Audit[[#This Row],[Candidate 10]], "")</f>
        <v/>
      </c>
      <c r="AO354" s="18" t="str">
        <f>IF(NOT(ISBLANK(Audit[[#This Row],[Audit Candidate 11]])), Audit[[#This Row],[Audit Candidate 11]]-Audit[[#This Row],[Candidate 11]], "")</f>
        <v/>
      </c>
      <c r="AP354" s="18" t="str">
        <f>IF(NOT(ISBLANK(Audit[[#This Row],[Audit Candidate 12]])), Audit[[#This Row],[Audit Candidate 12]]-Audit[[#This Row],[Candidate 12]], "")</f>
        <v/>
      </c>
      <c r="AQ354" s="18">
        <f>SUMIF(Audit[[#This Row],[Difference Winner]:[Difference Candidate 12]], "&gt;0")</f>
        <v>0</v>
      </c>
      <c r="AR354" s="18">
        <f>SUM(Audit[[#This Row],[Difference Winner]:[Difference Candidate 12]])</f>
        <v>0</v>
      </c>
      <c r="AS354" s="18">
        <f>IF(Audit[[#This Row],[Times p Drawn - With Replacement]]&gt;0, IF(Audit[[#This Row],[Canceled Differences]]&lt;0, Audit[[#This Row],[Max Differences]]+ABS(Audit[[#This Row],[Canceled Differences]]), Audit[[#This Row],[Max Differences]]), 0)</f>
        <v>0</v>
      </c>
      <c r="AT354" s="18">
        <f>'Sampling Data'!AB354</f>
        <v>6.2819989320601809E-5</v>
      </c>
      <c r="AU354" s="18">
        <f>IF(
      SUM(Audit[[#This Row],[Audit Losing Candidate]:[Audit Candidate 12]])
      &lt;&gt;0,
      (Audit[[#This Row],[Winning Candidate]]-Audit[[#This Row],[Losing Candidate]]-(Audit[[#This Row],[Audit Winning Candidate]]-Audit[[#This Row],[Audit Losing Candidate]]))/(Audit[[#Totals],[Winning Candidate]]-Audit[[#Totals],[Losing Candidate]]),
      0
)</f>
        <v>0</v>
      </c>
      <c r="AV3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8">
        <f>IF(Audit[[#This Row],[Max Relative Error (ep)]] = 0, 0, Audit[[#This Row],[Max Relative Error (ep)]]/Audit[[#This Row],[Error Bound (up) - Max. possible relative overstatement]])</f>
        <v>0</v>
      </c>
      <c r="BH3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4" s="18">
        <f t="shared" si="6"/>
        <v>1</v>
      </c>
      <c r="BJ354" s="18">
        <f>PRODUCT($BI$5:BI354)</f>
        <v>0.32656797278968008</v>
      </c>
      <c r="BK354" s="20">
        <f>1 - Audit[[#This Row],[K-M P Value]]</f>
        <v>0.67343202721031992</v>
      </c>
      <c r="BL354" s="18" t="str">
        <f>IF(Audit[[#This Row],[K-M P Value]]&gt;1-'General Info'!$B$12,"Continue", "Stop")</f>
        <v>Continue</v>
      </c>
      <c r="BM354" s="23" t="b">
        <f>IF(Audit[[#This Row],[Status - Continue or stop audit]] = "Continue", TRUE, IF(BL353 = "Continue", TRUE, FALSE))</f>
        <v>1</v>
      </c>
      <c r="BN354" s="23"/>
    </row>
    <row r="355" spans="1:66" ht="15" hidden="1" customHeight="1" x14ac:dyDescent="0.35">
      <c r="A355" s="18" t="str">
        <f>'Sampling Data'!AI355</f>
        <v/>
      </c>
      <c r="B355" s="18" t="str">
        <f>'Sampling Data'!A355</f>
        <v>5903 COLE C   (AV)</v>
      </c>
      <c r="C355" s="18">
        <f>'Sampling Data'!B355</f>
        <v>15</v>
      </c>
      <c r="D355" s="18">
        <f>'Sampling Data'!C355</f>
        <v>1</v>
      </c>
      <c r="E355" s="19">
        <f>'Sampling Data'!D355</f>
        <v>0</v>
      </c>
      <c r="F355" s="19">
        <f>'Sampling Data'!E355</f>
        <v>0</v>
      </c>
      <c r="G355" s="19">
        <f>'Sampling Data'!F355</f>
        <v>0</v>
      </c>
      <c r="H355" s="19">
        <f>'Sampling Data'!G355</f>
        <v>0</v>
      </c>
      <c r="I355" s="19">
        <f>'Sampling Data'!H355</f>
        <v>0</v>
      </c>
      <c r="J355" s="19">
        <f>'Sampling Data'!I355</f>
        <v>0</v>
      </c>
      <c r="K355" s="19">
        <f>'Sampling Data'!J355</f>
        <v>0</v>
      </c>
      <c r="L355" s="19">
        <f>'Sampling Data'!K355</f>
        <v>0</v>
      </c>
      <c r="M355" s="19">
        <f>'Sampling Data'!L355</f>
        <v>0</v>
      </c>
      <c r="N355" s="19">
        <f>'Sampling Data'!M355</f>
        <v>0</v>
      </c>
      <c r="O355" s="18">
        <f>'Sampling Data'!N355</f>
        <v>0</v>
      </c>
      <c r="P355" s="18">
        <f>'Sampling Data'!O355</f>
        <v>0</v>
      </c>
      <c r="Q355" s="18">
        <f>'Sampling Data'!P355</f>
        <v>16</v>
      </c>
      <c r="R355" s="18">
        <f>'Sampling Data'!AJ355</f>
        <v>0</v>
      </c>
      <c r="S355" s="112"/>
      <c r="T355" s="112"/>
      <c r="U355" s="113"/>
      <c r="V355" s="113"/>
      <c r="W355" s="112"/>
      <c r="X355" s="112"/>
      <c r="Y355" s="112"/>
      <c r="Z355" s="112"/>
      <c r="AA355" s="15"/>
      <c r="AB355" s="15"/>
      <c r="AC355" s="15"/>
      <c r="AD355" s="15"/>
      <c r="AE355" s="114" t="str">
        <f>IF(NOT(ISBLANK(Audit[[#This Row],[Audit Winning Candidate]])), Audit[[#This Row],[Audit Winning Candidate]]-Audit[[#This Row],[Winning Candidate]], "")</f>
        <v/>
      </c>
      <c r="AF355" s="18" t="str">
        <f>IF(NOT(ISBLANK(Audit[[#This Row],[Audit Losing Candidate]])), Audit[[#This Row],[Audit Losing Candidate]]-Audit[[#This Row],[Losing Candidate]], "")</f>
        <v/>
      </c>
      <c r="AG355" s="18" t="str">
        <f>IF(NOT(ISBLANK(Audit[[#This Row],[Audit Candidate 3]])), Audit[[#This Row],[Audit Candidate 3]]-Audit[[#This Row],[Candidate 3]], "")</f>
        <v/>
      </c>
      <c r="AH355" s="18" t="str">
        <f>IF(NOT(ISBLANK(Audit[[#This Row],[Audit Candidate 4]])),Audit[[#This Row],[Audit Candidate 4]]-Audit[[#This Row],[Candidate 4]], "")</f>
        <v/>
      </c>
      <c r="AI355" s="18" t="str">
        <f>IF(NOT(ISBLANK(Audit[[#This Row],[Audit Candidate 5]])), Audit[[#This Row],[Audit Candidate 5]]-Audit[[#This Row],[Candidate 5]], "")</f>
        <v/>
      </c>
      <c r="AJ355" s="18" t="str">
        <f>IF(NOT(ISBLANK(Audit[[#This Row],[Audit Candidate 6]])), Audit[[#This Row],[Audit Candidate 6]]-Audit[[#This Row],[Candidate 6]], "")</f>
        <v/>
      </c>
      <c r="AK355" s="18" t="str">
        <f>IF(NOT(ISBLANK(Audit[[#This Row],[Audit Candidate 7]])), Audit[[#This Row],[Audit Candidate 7]]-Audit[[#This Row],[Candidate 7]], "")</f>
        <v/>
      </c>
      <c r="AL355" s="18" t="str">
        <f>IF(NOT(ISBLANK(Audit[[#This Row],[Audit Candidate 8]])), Audit[[#This Row],[Audit Candidate 8]]-Audit[[#This Row],[Candidate 8]], "")</f>
        <v/>
      </c>
      <c r="AM355" s="18" t="str">
        <f>IF(NOT(ISBLANK(Audit[[#This Row],[Audit Candidate 9]])), Audit[[#This Row],[Audit Candidate 9]]-Audit[[#This Row],[Candidate 9]], "")</f>
        <v/>
      </c>
      <c r="AN355" s="18" t="str">
        <f>IF(NOT(ISBLANK(Audit[[#This Row],[Audit Candidate 10]])), Audit[[#This Row],[Audit Candidate 10]]-Audit[[#This Row],[Candidate 10]], "")</f>
        <v/>
      </c>
      <c r="AO355" s="18" t="str">
        <f>IF(NOT(ISBLANK(Audit[[#This Row],[Audit Candidate 11]])), Audit[[#This Row],[Audit Candidate 11]]-Audit[[#This Row],[Candidate 11]], "")</f>
        <v/>
      </c>
      <c r="AP355" s="18" t="str">
        <f>IF(NOT(ISBLANK(Audit[[#This Row],[Audit Candidate 12]])), Audit[[#This Row],[Audit Candidate 12]]-Audit[[#This Row],[Candidate 12]], "")</f>
        <v/>
      </c>
      <c r="AQ355" s="18">
        <f>SUMIF(Audit[[#This Row],[Difference Winner]:[Difference Candidate 12]], "&gt;0")</f>
        <v>0</v>
      </c>
      <c r="AR355" s="18">
        <f>SUM(Audit[[#This Row],[Difference Winner]:[Difference Candidate 12]])</f>
        <v>0</v>
      </c>
      <c r="AS355" s="18">
        <f>IF(Audit[[#This Row],[Times p Drawn - With Replacement]]&gt;0, IF(Audit[[#This Row],[Canceled Differences]]&lt;0, Audit[[#This Row],[Max Differences]]+ABS(Audit[[#This Row],[Canceled Differences]]), Audit[[#This Row],[Max Differences]]), 0)</f>
        <v>0</v>
      </c>
      <c r="AT355" s="18">
        <f>'Sampling Data'!AB355</f>
        <v>9.4229983980902718E-4</v>
      </c>
      <c r="AU355" s="18">
        <f>IF(
      SUM(Audit[[#This Row],[Audit Losing Candidate]:[Audit Candidate 12]])
      &lt;&gt;0,
      (Audit[[#This Row],[Winning Candidate]]-Audit[[#This Row],[Losing Candidate]]-(Audit[[#This Row],[Audit Winning Candidate]]-Audit[[#This Row],[Audit Losing Candidate]]))/(Audit[[#Totals],[Winning Candidate]]-Audit[[#Totals],[Losing Candidate]]),
      0
)</f>
        <v>0</v>
      </c>
      <c r="AV3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8">
        <f>IF(Audit[[#This Row],[Max Relative Error (ep)]] = 0, 0, Audit[[#This Row],[Max Relative Error (ep)]]/Audit[[#This Row],[Error Bound (up) - Max. possible relative overstatement]])</f>
        <v>0</v>
      </c>
      <c r="BH3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5" s="18">
        <f t="shared" si="6"/>
        <v>1</v>
      </c>
      <c r="BJ355" s="18">
        <f>PRODUCT($BI$5:BI355)</f>
        <v>0.32656797278968008</v>
      </c>
      <c r="BK355" s="20">
        <f>1 - Audit[[#This Row],[K-M P Value]]</f>
        <v>0.67343202721031992</v>
      </c>
      <c r="BL355" s="18" t="str">
        <f>IF(Audit[[#This Row],[K-M P Value]]&gt;1-'General Info'!$B$12,"Continue", "Stop")</f>
        <v>Continue</v>
      </c>
      <c r="BM355" s="23" t="b">
        <f>IF(Audit[[#This Row],[Status - Continue or stop audit]] = "Continue", TRUE, IF(BL354 = "Continue", TRUE, FALSE))</f>
        <v>1</v>
      </c>
      <c r="BN355" s="23"/>
    </row>
    <row r="356" spans="1:66" ht="15" hidden="1" customHeight="1" x14ac:dyDescent="0.35">
      <c r="A356" s="18" t="str">
        <f>'Sampling Data'!AI356</f>
        <v/>
      </c>
      <c r="B356" s="18" t="str">
        <f>'Sampling Data'!A356</f>
        <v>5904 COLE D   (AV)</v>
      </c>
      <c r="C356" s="18">
        <f>'Sampling Data'!B356</f>
        <v>3</v>
      </c>
      <c r="D356" s="18">
        <f>'Sampling Data'!C356</f>
        <v>0</v>
      </c>
      <c r="E356" s="19">
        <f>'Sampling Data'!D356</f>
        <v>0</v>
      </c>
      <c r="F356" s="19">
        <f>'Sampling Data'!E356</f>
        <v>0</v>
      </c>
      <c r="G356" s="19">
        <f>'Sampling Data'!F356</f>
        <v>0</v>
      </c>
      <c r="H356" s="19">
        <f>'Sampling Data'!G356</f>
        <v>0</v>
      </c>
      <c r="I356" s="19">
        <f>'Sampling Data'!H356</f>
        <v>0</v>
      </c>
      <c r="J356" s="19">
        <f>'Sampling Data'!I356</f>
        <v>0</v>
      </c>
      <c r="K356" s="19">
        <f>'Sampling Data'!J356</f>
        <v>0</v>
      </c>
      <c r="L356" s="19">
        <f>'Sampling Data'!K356</f>
        <v>0</v>
      </c>
      <c r="M356" s="19">
        <f>'Sampling Data'!L356</f>
        <v>0</v>
      </c>
      <c r="N356" s="19">
        <f>'Sampling Data'!M356</f>
        <v>0</v>
      </c>
      <c r="O356" s="18">
        <f>'Sampling Data'!N356</f>
        <v>0</v>
      </c>
      <c r="P356" s="18">
        <f>'Sampling Data'!O356</f>
        <v>0</v>
      </c>
      <c r="Q356" s="18">
        <f>'Sampling Data'!P356</f>
        <v>3</v>
      </c>
      <c r="R356" s="18">
        <f>'Sampling Data'!AJ356</f>
        <v>0</v>
      </c>
      <c r="S356" s="112"/>
      <c r="T356" s="112"/>
      <c r="U356" s="113"/>
      <c r="V356" s="113"/>
      <c r="W356" s="112"/>
      <c r="X356" s="112"/>
      <c r="Y356" s="112"/>
      <c r="Z356" s="112"/>
      <c r="AA356" s="15"/>
      <c r="AB356" s="15"/>
      <c r="AC356" s="15"/>
      <c r="AD356" s="15"/>
      <c r="AE356" s="114" t="str">
        <f>IF(NOT(ISBLANK(Audit[[#This Row],[Audit Winning Candidate]])), Audit[[#This Row],[Audit Winning Candidate]]-Audit[[#This Row],[Winning Candidate]], "")</f>
        <v/>
      </c>
      <c r="AF356" s="18" t="str">
        <f>IF(NOT(ISBLANK(Audit[[#This Row],[Audit Losing Candidate]])), Audit[[#This Row],[Audit Losing Candidate]]-Audit[[#This Row],[Losing Candidate]], "")</f>
        <v/>
      </c>
      <c r="AG356" s="18" t="str">
        <f>IF(NOT(ISBLANK(Audit[[#This Row],[Audit Candidate 3]])), Audit[[#This Row],[Audit Candidate 3]]-Audit[[#This Row],[Candidate 3]], "")</f>
        <v/>
      </c>
      <c r="AH356" s="18" t="str">
        <f>IF(NOT(ISBLANK(Audit[[#This Row],[Audit Candidate 4]])),Audit[[#This Row],[Audit Candidate 4]]-Audit[[#This Row],[Candidate 4]], "")</f>
        <v/>
      </c>
      <c r="AI356" s="18" t="str">
        <f>IF(NOT(ISBLANK(Audit[[#This Row],[Audit Candidate 5]])), Audit[[#This Row],[Audit Candidate 5]]-Audit[[#This Row],[Candidate 5]], "")</f>
        <v/>
      </c>
      <c r="AJ356" s="18" t="str">
        <f>IF(NOT(ISBLANK(Audit[[#This Row],[Audit Candidate 6]])), Audit[[#This Row],[Audit Candidate 6]]-Audit[[#This Row],[Candidate 6]], "")</f>
        <v/>
      </c>
      <c r="AK356" s="18" t="str">
        <f>IF(NOT(ISBLANK(Audit[[#This Row],[Audit Candidate 7]])), Audit[[#This Row],[Audit Candidate 7]]-Audit[[#This Row],[Candidate 7]], "")</f>
        <v/>
      </c>
      <c r="AL356" s="18" t="str">
        <f>IF(NOT(ISBLANK(Audit[[#This Row],[Audit Candidate 8]])), Audit[[#This Row],[Audit Candidate 8]]-Audit[[#This Row],[Candidate 8]], "")</f>
        <v/>
      </c>
      <c r="AM356" s="18" t="str">
        <f>IF(NOT(ISBLANK(Audit[[#This Row],[Audit Candidate 9]])), Audit[[#This Row],[Audit Candidate 9]]-Audit[[#This Row],[Candidate 9]], "")</f>
        <v/>
      </c>
      <c r="AN356" s="18" t="str">
        <f>IF(NOT(ISBLANK(Audit[[#This Row],[Audit Candidate 10]])), Audit[[#This Row],[Audit Candidate 10]]-Audit[[#This Row],[Candidate 10]], "")</f>
        <v/>
      </c>
      <c r="AO356" s="18" t="str">
        <f>IF(NOT(ISBLANK(Audit[[#This Row],[Audit Candidate 11]])), Audit[[#This Row],[Audit Candidate 11]]-Audit[[#This Row],[Candidate 11]], "")</f>
        <v/>
      </c>
      <c r="AP356" s="18" t="str">
        <f>IF(NOT(ISBLANK(Audit[[#This Row],[Audit Candidate 12]])), Audit[[#This Row],[Audit Candidate 12]]-Audit[[#This Row],[Candidate 12]], "")</f>
        <v/>
      </c>
      <c r="AQ356" s="18">
        <f>SUMIF(Audit[[#This Row],[Difference Winner]:[Difference Candidate 12]], "&gt;0")</f>
        <v>0</v>
      </c>
      <c r="AR356" s="18">
        <f>SUM(Audit[[#This Row],[Difference Winner]:[Difference Candidate 12]])</f>
        <v>0</v>
      </c>
      <c r="AS356" s="18">
        <f>IF(Audit[[#This Row],[Times p Drawn - With Replacement]]&gt;0, IF(Audit[[#This Row],[Canceled Differences]]&lt;0, Audit[[#This Row],[Max Differences]]+ABS(Audit[[#This Row],[Canceled Differences]]), Audit[[#This Row],[Max Differences]]), 0)</f>
        <v>0</v>
      </c>
      <c r="AT356" s="18">
        <f>'Sampling Data'!AB356</f>
        <v>1.8845996796180544E-4</v>
      </c>
      <c r="AU356" s="18">
        <f>IF(
      SUM(Audit[[#This Row],[Audit Losing Candidate]:[Audit Candidate 12]])
      &lt;&gt;0,
      (Audit[[#This Row],[Winning Candidate]]-Audit[[#This Row],[Losing Candidate]]-(Audit[[#This Row],[Audit Winning Candidate]]-Audit[[#This Row],[Audit Losing Candidate]]))/(Audit[[#Totals],[Winning Candidate]]-Audit[[#Totals],[Losing Candidate]]),
      0
)</f>
        <v>0</v>
      </c>
      <c r="AV3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8">
        <f>IF(Audit[[#This Row],[Max Relative Error (ep)]] = 0, 0, Audit[[#This Row],[Max Relative Error (ep)]]/Audit[[#This Row],[Error Bound (up) - Max. possible relative overstatement]])</f>
        <v>0</v>
      </c>
      <c r="BH3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6" s="18">
        <f t="shared" si="6"/>
        <v>1</v>
      </c>
      <c r="BJ356" s="18">
        <f>PRODUCT($BI$5:BI356)</f>
        <v>0.32656797278968008</v>
      </c>
      <c r="BK356" s="20">
        <f>1 - Audit[[#This Row],[K-M P Value]]</f>
        <v>0.67343202721031992</v>
      </c>
      <c r="BL356" s="18" t="str">
        <f>IF(Audit[[#This Row],[K-M P Value]]&gt;1-'General Info'!$B$12,"Continue", "Stop")</f>
        <v>Continue</v>
      </c>
      <c r="BM356" s="23" t="b">
        <f>IF(Audit[[#This Row],[Status - Continue or stop audit]] = "Continue", TRUE, IF(BL355 = "Continue", TRUE, FALSE))</f>
        <v>1</v>
      </c>
      <c r="BN356" s="23"/>
    </row>
    <row r="357" spans="1:66" ht="15" hidden="1" customHeight="1" x14ac:dyDescent="0.35">
      <c r="A357" s="18" t="str">
        <f>'Sampling Data'!AI357</f>
        <v/>
      </c>
      <c r="B357" s="18" t="str">
        <f>'Sampling Data'!A357</f>
        <v>5905 COLE E   (AV)</v>
      </c>
      <c r="C357" s="18">
        <f>'Sampling Data'!B357</f>
        <v>18</v>
      </c>
      <c r="D357" s="18">
        <f>'Sampling Data'!C357</f>
        <v>4</v>
      </c>
      <c r="E357" s="19">
        <f>'Sampling Data'!D357</f>
        <v>0</v>
      </c>
      <c r="F357" s="19">
        <f>'Sampling Data'!E357</f>
        <v>0</v>
      </c>
      <c r="G357" s="19">
        <f>'Sampling Data'!F357</f>
        <v>0</v>
      </c>
      <c r="H357" s="19">
        <f>'Sampling Data'!G357</f>
        <v>0</v>
      </c>
      <c r="I357" s="19">
        <f>'Sampling Data'!H357</f>
        <v>0</v>
      </c>
      <c r="J357" s="19">
        <f>'Sampling Data'!I357</f>
        <v>0</v>
      </c>
      <c r="K357" s="19">
        <f>'Sampling Data'!J357</f>
        <v>0</v>
      </c>
      <c r="L357" s="19">
        <f>'Sampling Data'!K357</f>
        <v>0</v>
      </c>
      <c r="M357" s="19">
        <f>'Sampling Data'!L357</f>
        <v>0</v>
      </c>
      <c r="N357" s="19">
        <f>'Sampling Data'!M357</f>
        <v>0</v>
      </c>
      <c r="O357" s="18">
        <f>'Sampling Data'!N357</f>
        <v>0</v>
      </c>
      <c r="P357" s="18">
        <f>'Sampling Data'!O357</f>
        <v>0</v>
      </c>
      <c r="Q357" s="18">
        <f>'Sampling Data'!P357</f>
        <v>22</v>
      </c>
      <c r="R357" s="18">
        <f>'Sampling Data'!AJ357</f>
        <v>0</v>
      </c>
      <c r="S357" s="112"/>
      <c r="T357" s="112"/>
      <c r="U357" s="113"/>
      <c r="V357" s="113"/>
      <c r="W357" s="112"/>
      <c r="X357" s="112"/>
      <c r="Y357" s="112"/>
      <c r="Z357" s="112"/>
      <c r="AA357" s="15"/>
      <c r="AB357" s="15"/>
      <c r="AC357" s="15"/>
      <c r="AD357" s="15"/>
      <c r="AE357" s="114" t="str">
        <f>IF(NOT(ISBLANK(Audit[[#This Row],[Audit Winning Candidate]])), Audit[[#This Row],[Audit Winning Candidate]]-Audit[[#This Row],[Winning Candidate]], "")</f>
        <v/>
      </c>
      <c r="AF357" s="18" t="str">
        <f>IF(NOT(ISBLANK(Audit[[#This Row],[Audit Losing Candidate]])), Audit[[#This Row],[Audit Losing Candidate]]-Audit[[#This Row],[Losing Candidate]], "")</f>
        <v/>
      </c>
      <c r="AG357" s="18" t="str">
        <f>IF(NOT(ISBLANK(Audit[[#This Row],[Audit Candidate 3]])), Audit[[#This Row],[Audit Candidate 3]]-Audit[[#This Row],[Candidate 3]], "")</f>
        <v/>
      </c>
      <c r="AH357" s="18" t="str">
        <f>IF(NOT(ISBLANK(Audit[[#This Row],[Audit Candidate 4]])),Audit[[#This Row],[Audit Candidate 4]]-Audit[[#This Row],[Candidate 4]], "")</f>
        <v/>
      </c>
      <c r="AI357" s="18" t="str">
        <f>IF(NOT(ISBLANK(Audit[[#This Row],[Audit Candidate 5]])), Audit[[#This Row],[Audit Candidate 5]]-Audit[[#This Row],[Candidate 5]], "")</f>
        <v/>
      </c>
      <c r="AJ357" s="18" t="str">
        <f>IF(NOT(ISBLANK(Audit[[#This Row],[Audit Candidate 6]])), Audit[[#This Row],[Audit Candidate 6]]-Audit[[#This Row],[Candidate 6]], "")</f>
        <v/>
      </c>
      <c r="AK357" s="18" t="str">
        <f>IF(NOT(ISBLANK(Audit[[#This Row],[Audit Candidate 7]])), Audit[[#This Row],[Audit Candidate 7]]-Audit[[#This Row],[Candidate 7]], "")</f>
        <v/>
      </c>
      <c r="AL357" s="18" t="str">
        <f>IF(NOT(ISBLANK(Audit[[#This Row],[Audit Candidate 8]])), Audit[[#This Row],[Audit Candidate 8]]-Audit[[#This Row],[Candidate 8]], "")</f>
        <v/>
      </c>
      <c r="AM357" s="18" t="str">
        <f>IF(NOT(ISBLANK(Audit[[#This Row],[Audit Candidate 9]])), Audit[[#This Row],[Audit Candidate 9]]-Audit[[#This Row],[Candidate 9]], "")</f>
        <v/>
      </c>
      <c r="AN357" s="18" t="str">
        <f>IF(NOT(ISBLANK(Audit[[#This Row],[Audit Candidate 10]])), Audit[[#This Row],[Audit Candidate 10]]-Audit[[#This Row],[Candidate 10]], "")</f>
        <v/>
      </c>
      <c r="AO357" s="18" t="str">
        <f>IF(NOT(ISBLANK(Audit[[#This Row],[Audit Candidate 11]])), Audit[[#This Row],[Audit Candidate 11]]-Audit[[#This Row],[Candidate 11]], "")</f>
        <v/>
      </c>
      <c r="AP357" s="18" t="str">
        <f>IF(NOT(ISBLANK(Audit[[#This Row],[Audit Candidate 12]])), Audit[[#This Row],[Audit Candidate 12]]-Audit[[#This Row],[Candidate 12]], "")</f>
        <v/>
      </c>
      <c r="AQ357" s="18">
        <f>SUMIF(Audit[[#This Row],[Difference Winner]:[Difference Candidate 12]], "&gt;0")</f>
        <v>0</v>
      </c>
      <c r="AR357" s="18">
        <f>SUM(Audit[[#This Row],[Difference Winner]:[Difference Candidate 12]])</f>
        <v>0</v>
      </c>
      <c r="AS357" s="18">
        <f>IF(Audit[[#This Row],[Times p Drawn - With Replacement]]&gt;0, IF(Audit[[#This Row],[Canceled Differences]]&lt;0, Audit[[#This Row],[Max Differences]]+ABS(Audit[[#This Row],[Canceled Differences]]), Audit[[#This Row],[Max Differences]]), 0)</f>
        <v>0</v>
      </c>
      <c r="AT357" s="18">
        <f>'Sampling Data'!AB357</f>
        <v>1.1307598077708327E-3</v>
      </c>
      <c r="AU357" s="18">
        <f>IF(
      SUM(Audit[[#This Row],[Audit Losing Candidate]:[Audit Candidate 12]])
      &lt;&gt;0,
      (Audit[[#This Row],[Winning Candidate]]-Audit[[#This Row],[Losing Candidate]]-(Audit[[#This Row],[Audit Winning Candidate]]-Audit[[#This Row],[Audit Losing Candidate]]))/(Audit[[#Totals],[Winning Candidate]]-Audit[[#Totals],[Losing Candidate]]),
      0
)</f>
        <v>0</v>
      </c>
      <c r="AV3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8">
        <f>IF(Audit[[#This Row],[Max Relative Error (ep)]] = 0, 0, Audit[[#This Row],[Max Relative Error (ep)]]/Audit[[#This Row],[Error Bound (up) - Max. possible relative overstatement]])</f>
        <v>0</v>
      </c>
      <c r="BH3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7" s="18">
        <f t="shared" si="6"/>
        <v>1</v>
      </c>
      <c r="BJ357" s="18">
        <f>PRODUCT($BI$5:BI357)</f>
        <v>0.32656797278968008</v>
      </c>
      <c r="BK357" s="20">
        <f>1 - Audit[[#This Row],[K-M P Value]]</f>
        <v>0.67343202721031992</v>
      </c>
      <c r="BL357" s="18" t="str">
        <f>IF(Audit[[#This Row],[K-M P Value]]&gt;1-'General Info'!$B$12,"Continue", "Stop")</f>
        <v>Continue</v>
      </c>
      <c r="BM357" s="23" t="b">
        <f>IF(Audit[[#This Row],[Status - Continue or stop audit]] = "Continue", TRUE, IF(BL356 = "Continue", TRUE, FALSE))</f>
        <v>1</v>
      </c>
      <c r="BN357" s="23"/>
    </row>
    <row r="358" spans="1:66" ht="15" hidden="1" customHeight="1" x14ac:dyDescent="0.35">
      <c r="A358" s="18" t="str">
        <f>'Sampling Data'!AI358</f>
        <v/>
      </c>
      <c r="B358" s="18" t="str">
        <f>'Sampling Data'!A358</f>
        <v>5906 COLE F   (AV)</v>
      </c>
      <c r="C358" s="18">
        <f>'Sampling Data'!B358</f>
        <v>15</v>
      </c>
      <c r="D358" s="18">
        <f>'Sampling Data'!C358</f>
        <v>1</v>
      </c>
      <c r="E358" s="19">
        <f>'Sampling Data'!D358</f>
        <v>0</v>
      </c>
      <c r="F358" s="19">
        <f>'Sampling Data'!E358</f>
        <v>0</v>
      </c>
      <c r="G358" s="19">
        <f>'Sampling Data'!F358</f>
        <v>0</v>
      </c>
      <c r="H358" s="19">
        <f>'Sampling Data'!G358</f>
        <v>0</v>
      </c>
      <c r="I358" s="19">
        <f>'Sampling Data'!H358</f>
        <v>0</v>
      </c>
      <c r="J358" s="19">
        <f>'Sampling Data'!I358</f>
        <v>0</v>
      </c>
      <c r="K358" s="19">
        <f>'Sampling Data'!J358</f>
        <v>0</v>
      </c>
      <c r="L358" s="19">
        <f>'Sampling Data'!K358</f>
        <v>0</v>
      </c>
      <c r="M358" s="19">
        <f>'Sampling Data'!L358</f>
        <v>0</v>
      </c>
      <c r="N358" s="19">
        <f>'Sampling Data'!M358</f>
        <v>0</v>
      </c>
      <c r="O358" s="18">
        <f>'Sampling Data'!N358</f>
        <v>0</v>
      </c>
      <c r="P358" s="18">
        <f>'Sampling Data'!O358</f>
        <v>0</v>
      </c>
      <c r="Q358" s="18">
        <f>'Sampling Data'!P358</f>
        <v>16</v>
      </c>
      <c r="R358" s="18">
        <f>'Sampling Data'!AJ358</f>
        <v>0</v>
      </c>
      <c r="S358" s="112"/>
      <c r="T358" s="112"/>
      <c r="U358" s="113"/>
      <c r="V358" s="113"/>
      <c r="W358" s="112"/>
      <c r="X358" s="112"/>
      <c r="Y358" s="112"/>
      <c r="Z358" s="112"/>
      <c r="AA358" s="15"/>
      <c r="AB358" s="15"/>
      <c r="AC358" s="15"/>
      <c r="AD358" s="15"/>
      <c r="AE358" s="114" t="str">
        <f>IF(NOT(ISBLANK(Audit[[#This Row],[Audit Winning Candidate]])), Audit[[#This Row],[Audit Winning Candidate]]-Audit[[#This Row],[Winning Candidate]], "")</f>
        <v/>
      </c>
      <c r="AF358" s="18" t="str">
        <f>IF(NOT(ISBLANK(Audit[[#This Row],[Audit Losing Candidate]])), Audit[[#This Row],[Audit Losing Candidate]]-Audit[[#This Row],[Losing Candidate]], "")</f>
        <v/>
      </c>
      <c r="AG358" s="18" t="str">
        <f>IF(NOT(ISBLANK(Audit[[#This Row],[Audit Candidate 3]])), Audit[[#This Row],[Audit Candidate 3]]-Audit[[#This Row],[Candidate 3]], "")</f>
        <v/>
      </c>
      <c r="AH358" s="18" t="str">
        <f>IF(NOT(ISBLANK(Audit[[#This Row],[Audit Candidate 4]])),Audit[[#This Row],[Audit Candidate 4]]-Audit[[#This Row],[Candidate 4]], "")</f>
        <v/>
      </c>
      <c r="AI358" s="18" t="str">
        <f>IF(NOT(ISBLANK(Audit[[#This Row],[Audit Candidate 5]])), Audit[[#This Row],[Audit Candidate 5]]-Audit[[#This Row],[Candidate 5]], "")</f>
        <v/>
      </c>
      <c r="AJ358" s="18" t="str">
        <f>IF(NOT(ISBLANK(Audit[[#This Row],[Audit Candidate 6]])), Audit[[#This Row],[Audit Candidate 6]]-Audit[[#This Row],[Candidate 6]], "")</f>
        <v/>
      </c>
      <c r="AK358" s="18" t="str">
        <f>IF(NOT(ISBLANK(Audit[[#This Row],[Audit Candidate 7]])), Audit[[#This Row],[Audit Candidate 7]]-Audit[[#This Row],[Candidate 7]], "")</f>
        <v/>
      </c>
      <c r="AL358" s="18" t="str">
        <f>IF(NOT(ISBLANK(Audit[[#This Row],[Audit Candidate 8]])), Audit[[#This Row],[Audit Candidate 8]]-Audit[[#This Row],[Candidate 8]], "")</f>
        <v/>
      </c>
      <c r="AM358" s="18" t="str">
        <f>IF(NOT(ISBLANK(Audit[[#This Row],[Audit Candidate 9]])), Audit[[#This Row],[Audit Candidate 9]]-Audit[[#This Row],[Candidate 9]], "")</f>
        <v/>
      </c>
      <c r="AN358" s="18" t="str">
        <f>IF(NOT(ISBLANK(Audit[[#This Row],[Audit Candidate 10]])), Audit[[#This Row],[Audit Candidate 10]]-Audit[[#This Row],[Candidate 10]], "")</f>
        <v/>
      </c>
      <c r="AO358" s="18" t="str">
        <f>IF(NOT(ISBLANK(Audit[[#This Row],[Audit Candidate 11]])), Audit[[#This Row],[Audit Candidate 11]]-Audit[[#This Row],[Candidate 11]], "")</f>
        <v/>
      </c>
      <c r="AP358" s="18" t="str">
        <f>IF(NOT(ISBLANK(Audit[[#This Row],[Audit Candidate 12]])), Audit[[#This Row],[Audit Candidate 12]]-Audit[[#This Row],[Candidate 12]], "")</f>
        <v/>
      </c>
      <c r="AQ358" s="18">
        <f>SUMIF(Audit[[#This Row],[Difference Winner]:[Difference Candidate 12]], "&gt;0")</f>
        <v>0</v>
      </c>
      <c r="AR358" s="18">
        <f>SUM(Audit[[#This Row],[Difference Winner]:[Difference Candidate 12]])</f>
        <v>0</v>
      </c>
      <c r="AS358" s="18">
        <f>IF(Audit[[#This Row],[Times p Drawn - With Replacement]]&gt;0, IF(Audit[[#This Row],[Canceled Differences]]&lt;0, Audit[[#This Row],[Max Differences]]+ABS(Audit[[#This Row],[Canceled Differences]]), Audit[[#This Row],[Max Differences]]), 0)</f>
        <v>0</v>
      </c>
      <c r="AT358" s="18">
        <f>'Sampling Data'!AB358</f>
        <v>9.4229983980902718E-4</v>
      </c>
      <c r="AU358" s="18">
        <f>IF(
      SUM(Audit[[#This Row],[Audit Losing Candidate]:[Audit Candidate 12]])
      &lt;&gt;0,
      (Audit[[#This Row],[Winning Candidate]]-Audit[[#This Row],[Losing Candidate]]-(Audit[[#This Row],[Audit Winning Candidate]]-Audit[[#This Row],[Audit Losing Candidate]]))/(Audit[[#Totals],[Winning Candidate]]-Audit[[#Totals],[Losing Candidate]]),
      0
)</f>
        <v>0</v>
      </c>
      <c r="AV3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8">
        <f>IF(Audit[[#This Row],[Max Relative Error (ep)]] = 0, 0, Audit[[#This Row],[Max Relative Error (ep)]]/Audit[[#This Row],[Error Bound (up) - Max. possible relative overstatement]])</f>
        <v>0</v>
      </c>
      <c r="BH3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8" s="18">
        <f t="shared" si="6"/>
        <v>1</v>
      </c>
      <c r="BJ358" s="18">
        <f>PRODUCT($BI$5:BI358)</f>
        <v>0.32656797278968008</v>
      </c>
      <c r="BK358" s="20">
        <f>1 - Audit[[#This Row],[K-M P Value]]</f>
        <v>0.67343202721031992</v>
      </c>
      <c r="BL358" s="18" t="str">
        <f>IF(Audit[[#This Row],[K-M P Value]]&gt;1-'General Info'!$B$12,"Continue", "Stop")</f>
        <v>Continue</v>
      </c>
      <c r="BM358" s="23" t="b">
        <f>IF(Audit[[#This Row],[Status - Continue or stop audit]] = "Continue", TRUE, IF(BL357 = "Continue", TRUE, FALSE))</f>
        <v>1</v>
      </c>
      <c r="BN358" s="23"/>
    </row>
    <row r="359" spans="1:66" ht="15" hidden="1" customHeight="1" x14ac:dyDescent="0.35">
      <c r="A359" s="18" t="str">
        <f>'Sampling Data'!AI359</f>
        <v/>
      </c>
      <c r="B359" s="18" t="str">
        <f>'Sampling Data'!A359</f>
        <v>5907 COLE G   (AV)</v>
      </c>
      <c r="C359" s="18">
        <f>'Sampling Data'!B359</f>
        <v>19</v>
      </c>
      <c r="D359" s="18">
        <f>'Sampling Data'!C359</f>
        <v>3</v>
      </c>
      <c r="E359" s="19">
        <f>'Sampling Data'!D359</f>
        <v>0</v>
      </c>
      <c r="F359" s="19">
        <f>'Sampling Data'!E359</f>
        <v>0</v>
      </c>
      <c r="G359" s="19">
        <f>'Sampling Data'!F359</f>
        <v>0</v>
      </c>
      <c r="H359" s="19">
        <f>'Sampling Data'!G359</f>
        <v>0</v>
      </c>
      <c r="I359" s="19">
        <f>'Sampling Data'!H359</f>
        <v>0</v>
      </c>
      <c r="J359" s="19">
        <f>'Sampling Data'!I359</f>
        <v>0</v>
      </c>
      <c r="K359" s="19">
        <f>'Sampling Data'!J359</f>
        <v>0</v>
      </c>
      <c r="L359" s="19">
        <f>'Sampling Data'!K359</f>
        <v>0</v>
      </c>
      <c r="M359" s="19">
        <f>'Sampling Data'!L359</f>
        <v>0</v>
      </c>
      <c r="N359" s="19">
        <f>'Sampling Data'!M359</f>
        <v>0</v>
      </c>
      <c r="O359" s="18">
        <f>'Sampling Data'!N359</f>
        <v>0</v>
      </c>
      <c r="P359" s="18">
        <f>'Sampling Data'!O359</f>
        <v>0</v>
      </c>
      <c r="Q359" s="18">
        <f>'Sampling Data'!P359</f>
        <v>22</v>
      </c>
      <c r="R359" s="18">
        <f>'Sampling Data'!AJ359</f>
        <v>0</v>
      </c>
      <c r="S359" s="112"/>
      <c r="T359" s="112"/>
      <c r="U359" s="113"/>
      <c r="V359" s="113"/>
      <c r="W359" s="112"/>
      <c r="X359" s="112"/>
      <c r="Y359" s="112"/>
      <c r="Z359" s="112"/>
      <c r="AA359" s="15"/>
      <c r="AB359" s="15"/>
      <c r="AC359" s="15"/>
      <c r="AD359" s="15"/>
      <c r="AE359" s="114" t="str">
        <f>IF(NOT(ISBLANK(Audit[[#This Row],[Audit Winning Candidate]])), Audit[[#This Row],[Audit Winning Candidate]]-Audit[[#This Row],[Winning Candidate]], "")</f>
        <v/>
      </c>
      <c r="AF359" s="18" t="str">
        <f>IF(NOT(ISBLANK(Audit[[#This Row],[Audit Losing Candidate]])), Audit[[#This Row],[Audit Losing Candidate]]-Audit[[#This Row],[Losing Candidate]], "")</f>
        <v/>
      </c>
      <c r="AG359" s="18" t="str">
        <f>IF(NOT(ISBLANK(Audit[[#This Row],[Audit Candidate 3]])), Audit[[#This Row],[Audit Candidate 3]]-Audit[[#This Row],[Candidate 3]], "")</f>
        <v/>
      </c>
      <c r="AH359" s="18" t="str">
        <f>IF(NOT(ISBLANK(Audit[[#This Row],[Audit Candidate 4]])),Audit[[#This Row],[Audit Candidate 4]]-Audit[[#This Row],[Candidate 4]], "")</f>
        <v/>
      </c>
      <c r="AI359" s="18" t="str">
        <f>IF(NOT(ISBLANK(Audit[[#This Row],[Audit Candidate 5]])), Audit[[#This Row],[Audit Candidate 5]]-Audit[[#This Row],[Candidate 5]], "")</f>
        <v/>
      </c>
      <c r="AJ359" s="18" t="str">
        <f>IF(NOT(ISBLANK(Audit[[#This Row],[Audit Candidate 6]])), Audit[[#This Row],[Audit Candidate 6]]-Audit[[#This Row],[Candidate 6]], "")</f>
        <v/>
      </c>
      <c r="AK359" s="18" t="str">
        <f>IF(NOT(ISBLANK(Audit[[#This Row],[Audit Candidate 7]])), Audit[[#This Row],[Audit Candidate 7]]-Audit[[#This Row],[Candidate 7]], "")</f>
        <v/>
      </c>
      <c r="AL359" s="18" t="str">
        <f>IF(NOT(ISBLANK(Audit[[#This Row],[Audit Candidate 8]])), Audit[[#This Row],[Audit Candidate 8]]-Audit[[#This Row],[Candidate 8]], "")</f>
        <v/>
      </c>
      <c r="AM359" s="18" t="str">
        <f>IF(NOT(ISBLANK(Audit[[#This Row],[Audit Candidate 9]])), Audit[[#This Row],[Audit Candidate 9]]-Audit[[#This Row],[Candidate 9]], "")</f>
        <v/>
      </c>
      <c r="AN359" s="18" t="str">
        <f>IF(NOT(ISBLANK(Audit[[#This Row],[Audit Candidate 10]])), Audit[[#This Row],[Audit Candidate 10]]-Audit[[#This Row],[Candidate 10]], "")</f>
        <v/>
      </c>
      <c r="AO359" s="18" t="str">
        <f>IF(NOT(ISBLANK(Audit[[#This Row],[Audit Candidate 11]])), Audit[[#This Row],[Audit Candidate 11]]-Audit[[#This Row],[Candidate 11]], "")</f>
        <v/>
      </c>
      <c r="AP359" s="18" t="str">
        <f>IF(NOT(ISBLANK(Audit[[#This Row],[Audit Candidate 12]])), Audit[[#This Row],[Audit Candidate 12]]-Audit[[#This Row],[Candidate 12]], "")</f>
        <v/>
      </c>
      <c r="AQ359" s="18">
        <f>SUMIF(Audit[[#This Row],[Difference Winner]:[Difference Candidate 12]], "&gt;0")</f>
        <v>0</v>
      </c>
      <c r="AR359" s="18">
        <f>SUM(Audit[[#This Row],[Difference Winner]:[Difference Candidate 12]])</f>
        <v>0</v>
      </c>
      <c r="AS359" s="18">
        <f>IF(Audit[[#This Row],[Times p Drawn - With Replacement]]&gt;0, IF(Audit[[#This Row],[Canceled Differences]]&lt;0, Audit[[#This Row],[Max Differences]]+ABS(Audit[[#This Row],[Canceled Differences]]), Audit[[#This Row],[Max Differences]]), 0)</f>
        <v>0</v>
      </c>
      <c r="AT359" s="18">
        <f>'Sampling Data'!AB359</f>
        <v>1.1935797970914345E-3</v>
      </c>
      <c r="AU359" s="18">
        <f>IF(
      SUM(Audit[[#This Row],[Audit Losing Candidate]:[Audit Candidate 12]])
      &lt;&gt;0,
      (Audit[[#This Row],[Winning Candidate]]-Audit[[#This Row],[Losing Candidate]]-(Audit[[#This Row],[Audit Winning Candidate]]-Audit[[#This Row],[Audit Losing Candidate]]))/(Audit[[#Totals],[Winning Candidate]]-Audit[[#Totals],[Losing Candidate]]),
      0
)</f>
        <v>0</v>
      </c>
      <c r="AV3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8">
        <f>IF(Audit[[#This Row],[Max Relative Error (ep)]] = 0, 0, Audit[[#This Row],[Max Relative Error (ep)]]/Audit[[#This Row],[Error Bound (up) - Max. possible relative overstatement]])</f>
        <v>0</v>
      </c>
      <c r="BH3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59" s="18">
        <f t="shared" si="6"/>
        <v>1</v>
      </c>
      <c r="BJ359" s="18">
        <f>PRODUCT($BI$5:BI359)</f>
        <v>0.32656797278968008</v>
      </c>
      <c r="BK359" s="20">
        <f>1 - Audit[[#This Row],[K-M P Value]]</f>
        <v>0.67343202721031992</v>
      </c>
      <c r="BL359" s="18" t="str">
        <f>IF(Audit[[#This Row],[K-M P Value]]&gt;1-'General Info'!$B$12,"Continue", "Stop")</f>
        <v>Continue</v>
      </c>
      <c r="BM359" s="23" t="b">
        <f>IF(Audit[[#This Row],[Status - Continue or stop audit]] = "Continue", TRUE, IF(BL358 = "Continue", TRUE, FALSE))</f>
        <v>1</v>
      </c>
      <c r="BN359" s="23"/>
    </row>
    <row r="360" spans="1:66" ht="15" hidden="1" customHeight="1" x14ac:dyDescent="0.35">
      <c r="A360" s="18" t="str">
        <f>'Sampling Data'!AI360</f>
        <v/>
      </c>
      <c r="B360" s="18" t="str">
        <f>'Sampling Data'!A360</f>
        <v>5908 COLE H   (AV)</v>
      </c>
      <c r="C360" s="18">
        <f>'Sampling Data'!B360</f>
        <v>5</v>
      </c>
      <c r="D360" s="18">
        <f>'Sampling Data'!C360</f>
        <v>2</v>
      </c>
      <c r="E360" s="19">
        <f>'Sampling Data'!D360</f>
        <v>0</v>
      </c>
      <c r="F360" s="19">
        <f>'Sampling Data'!E360</f>
        <v>0</v>
      </c>
      <c r="G360" s="19">
        <f>'Sampling Data'!F360</f>
        <v>0</v>
      </c>
      <c r="H360" s="19">
        <f>'Sampling Data'!G360</f>
        <v>0</v>
      </c>
      <c r="I360" s="19">
        <f>'Sampling Data'!H360</f>
        <v>0</v>
      </c>
      <c r="J360" s="19">
        <f>'Sampling Data'!I360</f>
        <v>0</v>
      </c>
      <c r="K360" s="19">
        <f>'Sampling Data'!J360</f>
        <v>0</v>
      </c>
      <c r="L360" s="19">
        <f>'Sampling Data'!K360</f>
        <v>0</v>
      </c>
      <c r="M360" s="19">
        <f>'Sampling Data'!L360</f>
        <v>0</v>
      </c>
      <c r="N360" s="19">
        <f>'Sampling Data'!M360</f>
        <v>0</v>
      </c>
      <c r="O360" s="18">
        <f>'Sampling Data'!N360</f>
        <v>0</v>
      </c>
      <c r="P360" s="18">
        <f>'Sampling Data'!O360</f>
        <v>1</v>
      </c>
      <c r="Q360" s="18">
        <f>'Sampling Data'!P360</f>
        <v>8</v>
      </c>
      <c r="R360" s="18">
        <f>'Sampling Data'!AJ360</f>
        <v>0</v>
      </c>
      <c r="S360" s="112"/>
      <c r="T360" s="112"/>
      <c r="U360" s="113"/>
      <c r="V360" s="113"/>
      <c r="W360" s="112"/>
      <c r="X360" s="112"/>
      <c r="Y360" s="112"/>
      <c r="Z360" s="112"/>
      <c r="AA360" s="15"/>
      <c r="AB360" s="15"/>
      <c r="AC360" s="15"/>
      <c r="AD360" s="15"/>
      <c r="AE360" s="114" t="str">
        <f>IF(NOT(ISBLANK(Audit[[#This Row],[Audit Winning Candidate]])), Audit[[#This Row],[Audit Winning Candidate]]-Audit[[#This Row],[Winning Candidate]], "")</f>
        <v/>
      </c>
      <c r="AF360" s="18" t="str">
        <f>IF(NOT(ISBLANK(Audit[[#This Row],[Audit Losing Candidate]])), Audit[[#This Row],[Audit Losing Candidate]]-Audit[[#This Row],[Losing Candidate]], "")</f>
        <v/>
      </c>
      <c r="AG360" s="18" t="str">
        <f>IF(NOT(ISBLANK(Audit[[#This Row],[Audit Candidate 3]])), Audit[[#This Row],[Audit Candidate 3]]-Audit[[#This Row],[Candidate 3]], "")</f>
        <v/>
      </c>
      <c r="AH360" s="18" t="str">
        <f>IF(NOT(ISBLANK(Audit[[#This Row],[Audit Candidate 4]])),Audit[[#This Row],[Audit Candidate 4]]-Audit[[#This Row],[Candidate 4]], "")</f>
        <v/>
      </c>
      <c r="AI360" s="18" t="str">
        <f>IF(NOT(ISBLANK(Audit[[#This Row],[Audit Candidate 5]])), Audit[[#This Row],[Audit Candidate 5]]-Audit[[#This Row],[Candidate 5]], "")</f>
        <v/>
      </c>
      <c r="AJ360" s="18" t="str">
        <f>IF(NOT(ISBLANK(Audit[[#This Row],[Audit Candidate 6]])), Audit[[#This Row],[Audit Candidate 6]]-Audit[[#This Row],[Candidate 6]], "")</f>
        <v/>
      </c>
      <c r="AK360" s="18" t="str">
        <f>IF(NOT(ISBLANK(Audit[[#This Row],[Audit Candidate 7]])), Audit[[#This Row],[Audit Candidate 7]]-Audit[[#This Row],[Candidate 7]], "")</f>
        <v/>
      </c>
      <c r="AL360" s="18" t="str">
        <f>IF(NOT(ISBLANK(Audit[[#This Row],[Audit Candidate 8]])), Audit[[#This Row],[Audit Candidate 8]]-Audit[[#This Row],[Candidate 8]], "")</f>
        <v/>
      </c>
      <c r="AM360" s="18" t="str">
        <f>IF(NOT(ISBLANK(Audit[[#This Row],[Audit Candidate 9]])), Audit[[#This Row],[Audit Candidate 9]]-Audit[[#This Row],[Candidate 9]], "")</f>
        <v/>
      </c>
      <c r="AN360" s="18" t="str">
        <f>IF(NOT(ISBLANK(Audit[[#This Row],[Audit Candidate 10]])), Audit[[#This Row],[Audit Candidate 10]]-Audit[[#This Row],[Candidate 10]], "")</f>
        <v/>
      </c>
      <c r="AO360" s="18" t="str">
        <f>IF(NOT(ISBLANK(Audit[[#This Row],[Audit Candidate 11]])), Audit[[#This Row],[Audit Candidate 11]]-Audit[[#This Row],[Candidate 11]], "")</f>
        <v/>
      </c>
      <c r="AP360" s="18" t="str">
        <f>IF(NOT(ISBLANK(Audit[[#This Row],[Audit Candidate 12]])), Audit[[#This Row],[Audit Candidate 12]]-Audit[[#This Row],[Candidate 12]], "")</f>
        <v/>
      </c>
      <c r="AQ360" s="18">
        <f>SUMIF(Audit[[#This Row],[Difference Winner]:[Difference Candidate 12]], "&gt;0")</f>
        <v>0</v>
      </c>
      <c r="AR360" s="18">
        <f>SUM(Audit[[#This Row],[Difference Winner]:[Difference Candidate 12]])</f>
        <v>0</v>
      </c>
      <c r="AS360" s="18">
        <f>IF(Audit[[#This Row],[Times p Drawn - With Replacement]]&gt;0, IF(Audit[[#This Row],[Canceled Differences]]&lt;0, Audit[[#This Row],[Max Differences]]+ABS(Audit[[#This Row],[Canceled Differences]]), Audit[[#This Row],[Max Differences]]), 0)</f>
        <v>0</v>
      </c>
      <c r="AT360" s="18">
        <f>'Sampling Data'!AB360</f>
        <v>3.4550994126331E-4</v>
      </c>
      <c r="AU360" s="18">
        <f>IF(
      SUM(Audit[[#This Row],[Audit Losing Candidate]:[Audit Candidate 12]])
      &lt;&gt;0,
      (Audit[[#This Row],[Winning Candidate]]-Audit[[#This Row],[Losing Candidate]]-(Audit[[#This Row],[Audit Winning Candidate]]-Audit[[#This Row],[Audit Losing Candidate]]))/(Audit[[#Totals],[Winning Candidate]]-Audit[[#Totals],[Losing Candidate]]),
      0
)</f>
        <v>0</v>
      </c>
      <c r="AV3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8">
        <f>IF(Audit[[#This Row],[Max Relative Error (ep)]] = 0, 0, Audit[[#This Row],[Max Relative Error (ep)]]/Audit[[#This Row],[Error Bound (up) - Max. possible relative overstatement]])</f>
        <v>0</v>
      </c>
      <c r="BH3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0" s="18">
        <f t="shared" si="6"/>
        <v>1</v>
      </c>
      <c r="BJ360" s="18">
        <f>PRODUCT($BI$5:BI360)</f>
        <v>0.32656797278968008</v>
      </c>
      <c r="BK360" s="20">
        <f>1 - Audit[[#This Row],[K-M P Value]]</f>
        <v>0.67343202721031992</v>
      </c>
      <c r="BL360" s="18" t="str">
        <f>IF(Audit[[#This Row],[K-M P Value]]&gt;1-'General Info'!$B$12,"Continue", "Stop")</f>
        <v>Continue</v>
      </c>
      <c r="BM360" s="23" t="b">
        <f>IF(Audit[[#This Row],[Status - Continue or stop audit]] = "Continue", TRUE, IF(BL359 = "Continue", TRUE, FALSE))</f>
        <v>1</v>
      </c>
      <c r="BN360" s="23"/>
    </row>
    <row r="361" spans="1:66" ht="15" hidden="1" customHeight="1" x14ac:dyDescent="0.35">
      <c r="A361" s="18" t="str">
        <f>'Sampling Data'!AI361</f>
        <v/>
      </c>
      <c r="B361" s="18" t="str">
        <f>'Sampling Data'!A361</f>
        <v>5909 COLE I   (AV)</v>
      </c>
      <c r="C361" s="18">
        <f>'Sampling Data'!B361</f>
        <v>5</v>
      </c>
      <c r="D361" s="18">
        <f>'Sampling Data'!C361</f>
        <v>2</v>
      </c>
      <c r="E361" s="19">
        <f>'Sampling Data'!D361</f>
        <v>0</v>
      </c>
      <c r="F361" s="19">
        <f>'Sampling Data'!E361</f>
        <v>0</v>
      </c>
      <c r="G361" s="19">
        <f>'Sampling Data'!F361</f>
        <v>0</v>
      </c>
      <c r="H361" s="19">
        <f>'Sampling Data'!G361</f>
        <v>0</v>
      </c>
      <c r="I361" s="19">
        <f>'Sampling Data'!H361</f>
        <v>0</v>
      </c>
      <c r="J361" s="19">
        <f>'Sampling Data'!I361</f>
        <v>0</v>
      </c>
      <c r="K361" s="19">
        <f>'Sampling Data'!J361</f>
        <v>0</v>
      </c>
      <c r="L361" s="19">
        <f>'Sampling Data'!K361</f>
        <v>0</v>
      </c>
      <c r="M361" s="19">
        <f>'Sampling Data'!L361</f>
        <v>0</v>
      </c>
      <c r="N361" s="19">
        <f>'Sampling Data'!M361</f>
        <v>0</v>
      </c>
      <c r="O361" s="18">
        <f>'Sampling Data'!N361</f>
        <v>0</v>
      </c>
      <c r="P361" s="18">
        <f>'Sampling Data'!O361</f>
        <v>1</v>
      </c>
      <c r="Q361" s="18">
        <f>'Sampling Data'!P361</f>
        <v>8</v>
      </c>
      <c r="R361" s="18">
        <f>'Sampling Data'!AJ361</f>
        <v>0</v>
      </c>
      <c r="S361" s="112"/>
      <c r="T361" s="112"/>
      <c r="U361" s="113"/>
      <c r="V361" s="113"/>
      <c r="W361" s="112"/>
      <c r="X361" s="112"/>
      <c r="Y361" s="112"/>
      <c r="Z361" s="112"/>
      <c r="AA361" s="15"/>
      <c r="AB361" s="15"/>
      <c r="AC361" s="15"/>
      <c r="AD361" s="15"/>
      <c r="AE361" s="114" t="str">
        <f>IF(NOT(ISBLANK(Audit[[#This Row],[Audit Winning Candidate]])), Audit[[#This Row],[Audit Winning Candidate]]-Audit[[#This Row],[Winning Candidate]], "")</f>
        <v/>
      </c>
      <c r="AF361" s="18" t="str">
        <f>IF(NOT(ISBLANK(Audit[[#This Row],[Audit Losing Candidate]])), Audit[[#This Row],[Audit Losing Candidate]]-Audit[[#This Row],[Losing Candidate]], "")</f>
        <v/>
      </c>
      <c r="AG361" s="18" t="str">
        <f>IF(NOT(ISBLANK(Audit[[#This Row],[Audit Candidate 3]])), Audit[[#This Row],[Audit Candidate 3]]-Audit[[#This Row],[Candidate 3]], "")</f>
        <v/>
      </c>
      <c r="AH361" s="18" t="str">
        <f>IF(NOT(ISBLANK(Audit[[#This Row],[Audit Candidate 4]])),Audit[[#This Row],[Audit Candidate 4]]-Audit[[#This Row],[Candidate 4]], "")</f>
        <v/>
      </c>
      <c r="AI361" s="18" t="str">
        <f>IF(NOT(ISBLANK(Audit[[#This Row],[Audit Candidate 5]])), Audit[[#This Row],[Audit Candidate 5]]-Audit[[#This Row],[Candidate 5]], "")</f>
        <v/>
      </c>
      <c r="AJ361" s="18" t="str">
        <f>IF(NOT(ISBLANK(Audit[[#This Row],[Audit Candidate 6]])), Audit[[#This Row],[Audit Candidate 6]]-Audit[[#This Row],[Candidate 6]], "")</f>
        <v/>
      </c>
      <c r="AK361" s="18" t="str">
        <f>IF(NOT(ISBLANK(Audit[[#This Row],[Audit Candidate 7]])), Audit[[#This Row],[Audit Candidate 7]]-Audit[[#This Row],[Candidate 7]], "")</f>
        <v/>
      </c>
      <c r="AL361" s="18" t="str">
        <f>IF(NOT(ISBLANK(Audit[[#This Row],[Audit Candidate 8]])), Audit[[#This Row],[Audit Candidate 8]]-Audit[[#This Row],[Candidate 8]], "")</f>
        <v/>
      </c>
      <c r="AM361" s="18" t="str">
        <f>IF(NOT(ISBLANK(Audit[[#This Row],[Audit Candidate 9]])), Audit[[#This Row],[Audit Candidate 9]]-Audit[[#This Row],[Candidate 9]], "")</f>
        <v/>
      </c>
      <c r="AN361" s="18" t="str">
        <f>IF(NOT(ISBLANK(Audit[[#This Row],[Audit Candidate 10]])), Audit[[#This Row],[Audit Candidate 10]]-Audit[[#This Row],[Candidate 10]], "")</f>
        <v/>
      </c>
      <c r="AO361" s="18" t="str">
        <f>IF(NOT(ISBLANK(Audit[[#This Row],[Audit Candidate 11]])), Audit[[#This Row],[Audit Candidate 11]]-Audit[[#This Row],[Candidate 11]], "")</f>
        <v/>
      </c>
      <c r="AP361" s="18" t="str">
        <f>IF(NOT(ISBLANK(Audit[[#This Row],[Audit Candidate 12]])), Audit[[#This Row],[Audit Candidate 12]]-Audit[[#This Row],[Candidate 12]], "")</f>
        <v/>
      </c>
      <c r="AQ361" s="18">
        <f>SUMIF(Audit[[#This Row],[Difference Winner]:[Difference Candidate 12]], "&gt;0")</f>
        <v>0</v>
      </c>
      <c r="AR361" s="18">
        <f>SUM(Audit[[#This Row],[Difference Winner]:[Difference Candidate 12]])</f>
        <v>0</v>
      </c>
      <c r="AS361" s="18">
        <f>IF(Audit[[#This Row],[Times p Drawn - With Replacement]]&gt;0, IF(Audit[[#This Row],[Canceled Differences]]&lt;0, Audit[[#This Row],[Max Differences]]+ABS(Audit[[#This Row],[Canceled Differences]]), Audit[[#This Row],[Max Differences]]), 0)</f>
        <v>0</v>
      </c>
      <c r="AT361" s="18">
        <f>'Sampling Data'!AB361</f>
        <v>3.4550994126331E-4</v>
      </c>
      <c r="AU361" s="18">
        <f>IF(
      SUM(Audit[[#This Row],[Audit Losing Candidate]:[Audit Candidate 12]])
      &lt;&gt;0,
      (Audit[[#This Row],[Winning Candidate]]-Audit[[#This Row],[Losing Candidate]]-(Audit[[#This Row],[Audit Winning Candidate]]-Audit[[#This Row],[Audit Losing Candidate]]))/(Audit[[#Totals],[Winning Candidate]]-Audit[[#Totals],[Losing Candidate]]),
      0
)</f>
        <v>0</v>
      </c>
      <c r="AV3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8">
        <f>IF(Audit[[#This Row],[Max Relative Error (ep)]] = 0, 0, Audit[[#This Row],[Max Relative Error (ep)]]/Audit[[#This Row],[Error Bound (up) - Max. possible relative overstatement]])</f>
        <v>0</v>
      </c>
      <c r="BH3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1" s="18">
        <f t="shared" si="6"/>
        <v>1</v>
      </c>
      <c r="BJ361" s="18">
        <f>PRODUCT($BI$5:BI361)</f>
        <v>0.32656797278968008</v>
      </c>
      <c r="BK361" s="20">
        <f>1 - Audit[[#This Row],[K-M P Value]]</f>
        <v>0.67343202721031992</v>
      </c>
      <c r="BL361" s="18" t="str">
        <f>IF(Audit[[#This Row],[K-M P Value]]&gt;1-'General Info'!$B$12,"Continue", "Stop")</f>
        <v>Continue</v>
      </c>
      <c r="BM361" s="23" t="b">
        <f>IF(Audit[[#This Row],[Status - Continue or stop audit]] = "Continue", TRUE, IF(BL360 = "Continue", TRUE, FALSE))</f>
        <v>1</v>
      </c>
      <c r="BN361" s="23"/>
    </row>
    <row r="362" spans="1:66" ht="15" hidden="1" customHeight="1" x14ac:dyDescent="0.35">
      <c r="A362" s="18" t="str">
        <f>'Sampling Data'!AI362</f>
        <v/>
      </c>
      <c r="B362" s="18" t="str">
        <f>'Sampling Data'!A362</f>
        <v>5910 COLE J   (AV)</v>
      </c>
      <c r="C362" s="18">
        <f>'Sampling Data'!B362</f>
        <v>8</v>
      </c>
      <c r="D362" s="18">
        <f>'Sampling Data'!C362</f>
        <v>4</v>
      </c>
      <c r="E362" s="19">
        <f>'Sampling Data'!D362</f>
        <v>0</v>
      </c>
      <c r="F362" s="19">
        <f>'Sampling Data'!E362</f>
        <v>0</v>
      </c>
      <c r="G362" s="19">
        <f>'Sampling Data'!F362</f>
        <v>0</v>
      </c>
      <c r="H362" s="19">
        <f>'Sampling Data'!G362</f>
        <v>0</v>
      </c>
      <c r="I362" s="19">
        <f>'Sampling Data'!H362</f>
        <v>0</v>
      </c>
      <c r="J362" s="19">
        <f>'Sampling Data'!I362</f>
        <v>0</v>
      </c>
      <c r="K362" s="19">
        <f>'Sampling Data'!J362</f>
        <v>0</v>
      </c>
      <c r="L362" s="19">
        <f>'Sampling Data'!K362</f>
        <v>0</v>
      </c>
      <c r="M362" s="19">
        <f>'Sampling Data'!L362</f>
        <v>0</v>
      </c>
      <c r="N362" s="19">
        <f>'Sampling Data'!M362</f>
        <v>0</v>
      </c>
      <c r="O362" s="18">
        <f>'Sampling Data'!N362</f>
        <v>0</v>
      </c>
      <c r="P362" s="18">
        <f>'Sampling Data'!O362</f>
        <v>0</v>
      </c>
      <c r="Q362" s="18">
        <f>'Sampling Data'!P362</f>
        <v>12</v>
      </c>
      <c r="R362" s="18">
        <f>'Sampling Data'!AJ362</f>
        <v>0</v>
      </c>
      <c r="S362" s="112"/>
      <c r="T362" s="112"/>
      <c r="U362" s="113"/>
      <c r="V362" s="113"/>
      <c r="W362" s="112"/>
      <c r="X362" s="112"/>
      <c r="Y362" s="112"/>
      <c r="Z362" s="112"/>
      <c r="AA362" s="15"/>
      <c r="AB362" s="15"/>
      <c r="AC362" s="15"/>
      <c r="AD362" s="15"/>
      <c r="AE362" s="114" t="str">
        <f>IF(NOT(ISBLANK(Audit[[#This Row],[Audit Winning Candidate]])), Audit[[#This Row],[Audit Winning Candidate]]-Audit[[#This Row],[Winning Candidate]], "")</f>
        <v/>
      </c>
      <c r="AF362" s="18" t="str">
        <f>IF(NOT(ISBLANK(Audit[[#This Row],[Audit Losing Candidate]])), Audit[[#This Row],[Audit Losing Candidate]]-Audit[[#This Row],[Losing Candidate]], "")</f>
        <v/>
      </c>
      <c r="AG362" s="18" t="str">
        <f>IF(NOT(ISBLANK(Audit[[#This Row],[Audit Candidate 3]])), Audit[[#This Row],[Audit Candidate 3]]-Audit[[#This Row],[Candidate 3]], "")</f>
        <v/>
      </c>
      <c r="AH362" s="18" t="str">
        <f>IF(NOT(ISBLANK(Audit[[#This Row],[Audit Candidate 4]])),Audit[[#This Row],[Audit Candidate 4]]-Audit[[#This Row],[Candidate 4]], "")</f>
        <v/>
      </c>
      <c r="AI362" s="18" t="str">
        <f>IF(NOT(ISBLANK(Audit[[#This Row],[Audit Candidate 5]])), Audit[[#This Row],[Audit Candidate 5]]-Audit[[#This Row],[Candidate 5]], "")</f>
        <v/>
      </c>
      <c r="AJ362" s="18" t="str">
        <f>IF(NOT(ISBLANK(Audit[[#This Row],[Audit Candidate 6]])), Audit[[#This Row],[Audit Candidate 6]]-Audit[[#This Row],[Candidate 6]], "")</f>
        <v/>
      </c>
      <c r="AK362" s="18" t="str">
        <f>IF(NOT(ISBLANK(Audit[[#This Row],[Audit Candidate 7]])), Audit[[#This Row],[Audit Candidate 7]]-Audit[[#This Row],[Candidate 7]], "")</f>
        <v/>
      </c>
      <c r="AL362" s="18" t="str">
        <f>IF(NOT(ISBLANK(Audit[[#This Row],[Audit Candidate 8]])), Audit[[#This Row],[Audit Candidate 8]]-Audit[[#This Row],[Candidate 8]], "")</f>
        <v/>
      </c>
      <c r="AM362" s="18" t="str">
        <f>IF(NOT(ISBLANK(Audit[[#This Row],[Audit Candidate 9]])), Audit[[#This Row],[Audit Candidate 9]]-Audit[[#This Row],[Candidate 9]], "")</f>
        <v/>
      </c>
      <c r="AN362" s="18" t="str">
        <f>IF(NOT(ISBLANK(Audit[[#This Row],[Audit Candidate 10]])), Audit[[#This Row],[Audit Candidate 10]]-Audit[[#This Row],[Candidate 10]], "")</f>
        <v/>
      </c>
      <c r="AO362" s="18" t="str">
        <f>IF(NOT(ISBLANK(Audit[[#This Row],[Audit Candidate 11]])), Audit[[#This Row],[Audit Candidate 11]]-Audit[[#This Row],[Candidate 11]], "")</f>
        <v/>
      </c>
      <c r="AP362" s="18" t="str">
        <f>IF(NOT(ISBLANK(Audit[[#This Row],[Audit Candidate 12]])), Audit[[#This Row],[Audit Candidate 12]]-Audit[[#This Row],[Candidate 12]], "")</f>
        <v/>
      </c>
      <c r="AQ362" s="18">
        <f>SUMIF(Audit[[#This Row],[Difference Winner]:[Difference Candidate 12]], "&gt;0")</f>
        <v>0</v>
      </c>
      <c r="AR362" s="18">
        <f>SUM(Audit[[#This Row],[Difference Winner]:[Difference Candidate 12]])</f>
        <v>0</v>
      </c>
      <c r="AS362" s="18">
        <f>IF(Audit[[#This Row],[Times p Drawn - With Replacement]]&gt;0, IF(Audit[[#This Row],[Canceled Differences]]&lt;0, Audit[[#This Row],[Max Differences]]+ABS(Audit[[#This Row],[Canceled Differences]]), Audit[[#This Row],[Max Differences]]), 0)</f>
        <v>0</v>
      </c>
      <c r="AT362" s="18">
        <f>'Sampling Data'!AB362</f>
        <v>5.0255991456481448E-4</v>
      </c>
      <c r="AU362" s="18">
        <f>IF(
      SUM(Audit[[#This Row],[Audit Losing Candidate]:[Audit Candidate 12]])
      &lt;&gt;0,
      (Audit[[#This Row],[Winning Candidate]]-Audit[[#This Row],[Losing Candidate]]-(Audit[[#This Row],[Audit Winning Candidate]]-Audit[[#This Row],[Audit Losing Candidate]]))/(Audit[[#Totals],[Winning Candidate]]-Audit[[#Totals],[Losing Candidate]]),
      0
)</f>
        <v>0</v>
      </c>
      <c r="AV3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8">
        <f>IF(Audit[[#This Row],[Max Relative Error (ep)]] = 0, 0, Audit[[#This Row],[Max Relative Error (ep)]]/Audit[[#This Row],[Error Bound (up) - Max. possible relative overstatement]])</f>
        <v>0</v>
      </c>
      <c r="BH3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2" s="18">
        <f t="shared" si="6"/>
        <v>1</v>
      </c>
      <c r="BJ362" s="18">
        <f>PRODUCT($BI$5:BI362)</f>
        <v>0.32656797278968008</v>
      </c>
      <c r="BK362" s="20">
        <f>1 - Audit[[#This Row],[K-M P Value]]</f>
        <v>0.67343202721031992</v>
      </c>
      <c r="BL362" s="18" t="str">
        <f>IF(Audit[[#This Row],[K-M P Value]]&gt;1-'General Info'!$B$12,"Continue", "Stop")</f>
        <v>Continue</v>
      </c>
      <c r="BM362" s="23" t="b">
        <f>IF(Audit[[#This Row],[Status - Continue or stop audit]] = "Continue", TRUE, IF(BL361 = "Continue", TRUE, FALSE))</f>
        <v>1</v>
      </c>
      <c r="BN362" s="23"/>
    </row>
    <row r="363" spans="1:66" ht="15" hidden="1" customHeight="1" x14ac:dyDescent="0.35">
      <c r="A363" s="18" t="str">
        <f>'Sampling Data'!AI363</f>
        <v/>
      </c>
      <c r="B363" s="18" t="str">
        <f>'Sampling Data'!A363</f>
        <v>5911 COLE K   (AV)</v>
      </c>
      <c r="C363" s="18">
        <f>'Sampling Data'!B363</f>
        <v>9</v>
      </c>
      <c r="D363" s="18">
        <f>'Sampling Data'!C363</f>
        <v>0</v>
      </c>
      <c r="E363" s="19">
        <f>'Sampling Data'!D363</f>
        <v>0</v>
      </c>
      <c r="F363" s="19">
        <f>'Sampling Data'!E363</f>
        <v>0</v>
      </c>
      <c r="G363" s="19">
        <f>'Sampling Data'!F363</f>
        <v>0</v>
      </c>
      <c r="H363" s="19">
        <f>'Sampling Data'!G363</f>
        <v>0</v>
      </c>
      <c r="I363" s="19">
        <f>'Sampling Data'!H363</f>
        <v>0</v>
      </c>
      <c r="J363" s="19">
        <f>'Sampling Data'!I363</f>
        <v>0</v>
      </c>
      <c r="K363" s="19">
        <f>'Sampling Data'!J363</f>
        <v>0</v>
      </c>
      <c r="L363" s="19">
        <f>'Sampling Data'!K363</f>
        <v>0</v>
      </c>
      <c r="M363" s="19">
        <f>'Sampling Data'!L363</f>
        <v>0</v>
      </c>
      <c r="N363" s="19">
        <f>'Sampling Data'!M363</f>
        <v>0</v>
      </c>
      <c r="O363" s="18">
        <f>'Sampling Data'!N363</f>
        <v>0</v>
      </c>
      <c r="P363" s="18">
        <f>'Sampling Data'!O363</f>
        <v>0</v>
      </c>
      <c r="Q363" s="18">
        <f>'Sampling Data'!P363</f>
        <v>9</v>
      </c>
      <c r="R363" s="18">
        <f>'Sampling Data'!AJ363</f>
        <v>0</v>
      </c>
      <c r="S363" s="112"/>
      <c r="T363" s="112"/>
      <c r="U363" s="113"/>
      <c r="V363" s="113"/>
      <c r="W363" s="112"/>
      <c r="X363" s="112"/>
      <c r="Y363" s="112"/>
      <c r="Z363" s="112"/>
      <c r="AA363" s="15"/>
      <c r="AB363" s="15"/>
      <c r="AC363" s="15"/>
      <c r="AD363" s="15"/>
      <c r="AE363" s="114" t="str">
        <f>IF(NOT(ISBLANK(Audit[[#This Row],[Audit Winning Candidate]])), Audit[[#This Row],[Audit Winning Candidate]]-Audit[[#This Row],[Winning Candidate]], "")</f>
        <v/>
      </c>
      <c r="AF363" s="18" t="str">
        <f>IF(NOT(ISBLANK(Audit[[#This Row],[Audit Losing Candidate]])), Audit[[#This Row],[Audit Losing Candidate]]-Audit[[#This Row],[Losing Candidate]], "")</f>
        <v/>
      </c>
      <c r="AG363" s="18" t="str">
        <f>IF(NOT(ISBLANK(Audit[[#This Row],[Audit Candidate 3]])), Audit[[#This Row],[Audit Candidate 3]]-Audit[[#This Row],[Candidate 3]], "")</f>
        <v/>
      </c>
      <c r="AH363" s="18" t="str">
        <f>IF(NOT(ISBLANK(Audit[[#This Row],[Audit Candidate 4]])),Audit[[#This Row],[Audit Candidate 4]]-Audit[[#This Row],[Candidate 4]], "")</f>
        <v/>
      </c>
      <c r="AI363" s="18" t="str">
        <f>IF(NOT(ISBLANK(Audit[[#This Row],[Audit Candidate 5]])), Audit[[#This Row],[Audit Candidate 5]]-Audit[[#This Row],[Candidate 5]], "")</f>
        <v/>
      </c>
      <c r="AJ363" s="18" t="str">
        <f>IF(NOT(ISBLANK(Audit[[#This Row],[Audit Candidate 6]])), Audit[[#This Row],[Audit Candidate 6]]-Audit[[#This Row],[Candidate 6]], "")</f>
        <v/>
      </c>
      <c r="AK363" s="18" t="str">
        <f>IF(NOT(ISBLANK(Audit[[#This Row],[Audit Candidate 7]])), Audit[[#This Row],[Audit Candidate 7]]-Audit[[#This Row],[Candidate 7]], "")</f>
        <v/>
      </c>
      <c r="AL363" s="18" t="str">
        <f>IF(NOT(ISBLANK(Audit[[#This Row],[Audit Candidate 8]])), Audit[[#This Row],[Audit Candidate 8]]-Audit[[#This Row],[Candidate 8]], "")</f>
        <v/>
      </c>
      <c r="AM363" s="18" t="str">
        <f>IF(NOT(ISBLANK(Audit[[#This Row],[Audit Candidate 9]])), Audit[[#This Row],[Audit Candidate 9]]-Audit[[#This Row],[Candidate 9]], "")</f>
        <v/>
      </c>
      <c r="AN363" s="18" t="str">
        <f>IF(NOT(ISBLANK(Audit[[#This Row],[Audit Candidate 10]])), Audit[[#This Row],[Audit Candidate 10]]-Audit[[#This Row],[Candidate 10]], "")</f>
        <v/>
      </c>
      <c r="AO363" s="18" t="str">
        <f>IF(NOT(ISBLANK(Audit[[#This Row],[Audit Candidate 11]])), Audit[[#This Row],[Audit Candidate 11]]-Audit[[#This Row],[Candidate 11]], "")</f>
        <v/>
      </c>
      <c r="AP363" s="18" t="str">
        <f>IF(NOT(ISBLANK(Audit[[#This Row],[Audit Candidate 12]])), Audit[[#This Row],[Audit Candidate 12]]-Audit[[#This Row],[Candidate 12]], "")</f>
        <v/>
      </c>
      <c r="AQ363" s="18">
        <f>SUMIF(Audit[[#This Row],[Difference Winner]:[Difference Candidate 12]], "&gt;0")</f>
        <v>0</v>
      </c>
      <c r="AR363" s="18">
        <f>SUM(Audit[[#This Row],[Difference Winner]:[Difference Candidate 12]])</f>
        <v>0</v>
      </c>
      <c r="AS363" s="18">
        <f>IF(Audit[[#This Row],[Times p Drawn - With Replacement]]&gt;0, IF(Audit[[#This Row],[Canceled Differences]]&lt;0, Audit[[#This Row],[Max Differences]]+ABS(Audit[[#This Row],[Canceled Differences]]), Audit[[#This Row],[Max Differences]]), 0)</f>
        <v>0</v>
      </c>
      <c r="AT363" s="18">
        <f>'Sampling Data'!AB363</f>
        <v>5.6537990388541635E-4</v>
      </c>
      <c r="AU363" s="18">
        <f>IF(
      SUM(Audit[[#This Row],[Audit Losing Candidate]:[Audit Candidate 12]])
      &lt;&gt;0,
      (Audit[[#This Row],[Winning Candidate]]-Audit[[#This Row],[Losing Candidate]]-(Audit[[#This Row],[Audit Winning Candidate]]-Audit[[#This Row],[Audit Losing Candidate]]))/(Audit[[#Totals],[Winning Candidate]]-Audit[[#Totals],[Losing Candidate]]),
      0
)</f>
        <v>0</v>
      </c>
      <c r="AV3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8">
        <f>IF(Audit[[#This Row],[Max Relative Error (ep)]] = 0, 0, Audit[[#This Row],[Max Relative Error (ep)]]/Audit[[#This Row],[Error Bound (up) - Max. possible relative overstatement]])</f>
        <v>0</v>
      </c>
      <c r="BH3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3" s="18">
        <f t="shared" si="6"/>
        <v>1</v>
      </c>
      <c r="BJ363" s="18">
        <f>PRODUCT($BI$5:BI363)</f>
        <v>0.32656797278968008</v>
      </c>
      <c r="BK363" s="20">
        <f>1 - Audit[[#This Row],[K-M P Value]]</f>
        <v>0.67343202721031992</v>
      </c>
      <c r="BL363" s="18" t="str">
        <f>IF(Audit[[#This Row],[K-M P Value]]&gt;1-'General Info'!$B$12,"Continue", "Stop")</f>
        <v>Continue</v>
      </c>
      <c r="BM363" s="23" t="b">
        <f>IF(Audit[[#This Row],[Status - Continue or stop audit]] = "Continue", TRUE, IF(BL362 = "Continue", TRUE, FALSE))</f>
        <v>1</v>
      </c>
      <c r="BN363" s="23"/>
    </row>
    <row r="364" spans="1:66" ht="15" hidden="1" customHeight="1" x14ac:dyDescent="0.35">
      <c r="A364" s="18" t="str">
        <f>'Sampling Data'!AI364</f>
        <v/>
      </c>
      <c r="B364" s="18" t="str">
        <f>'Sampling Data'!A364</f>
        <v>5912 COLE L   (AV)</v>
      </c>
      <c r="C364" s="18">
        <f>'Sampling Data'!B364</f>
        <v>24</v>
      </c>
      <c r="D364" s="18">
        <f>'Sampling Data'!C364</f>
        <v>0</v>
      </c>
      <c r="E364" s="19">
        <f>'Sampling Data'!D364</f>
        <v>0</v>
      </c>
      <c r="F364" s="19">
        <f>'Sampling Data'!E364</f>
        <v>0</v>
      </c>
      <c r="G364" s="19">
        <f>'Sampling Data'!F364</f>
        <v>0</v>
      </c>
      <c r="H364" s="19">
        <f>'Sampling Data'!G364</f>
        <v>0</v>
      </c>
      <c r="I364" s="19">
        <f>'Sampling Data'!H364</f>
        <v>0</v>
      </c>
      <c r="J364" s="19">
        <f>'Sampling Data'!I364</f>
        <v>0</v>
      </c>
      <c r="K364" s="19">
        <f>'Sampling Data'!J364</f>
        <v>0</v>
      </c>
      <c r="L364" s="19">
        <f>'Sampling Data'!K364</f>
        <v>0</v>
      </c>
      <c r="M364" s="19">
        <f>'Sampling Data'!L364</f>
        <v>0</v>
      </c>
      <c r="N364" s="19">
        <f>'Sampling Data'!M364</f>
        <v>0</v>
      </c>
      <c r="O364" s="18">
        <f>'Sampling Data'!N364</f>
        <v>0</v>
      </c>
      <c r="P364" s="18">
        <f>'Sampling Data'!O364</f>
        <v>0</v>
      </c>
      <c r="Q364" s="18">
        <f>'Sampling Data'!P364</f>
        <v>24</v>
      </c>
      <c r="R364" s="18">
        <f>'Sampling Data'!AJ364</f>
        <v>0</v>
      </c>
      <c r="S364" s="112"/>
      <c r="T364" s="112"/>
      <c r="U364" s="113"/>
      <c r="V364" s="113"/>
      <c r="W364" s="112"/>
      <c r="X364" s="112"/>
      <c r="Y364" s="112"/>
      <c r="Z364" s="112"/>
      <c r="AA364" s="15"/>
      <c r="AB364" s="15"/>
      <c r="AC364" s="15"/>
      <c r="AD364" s="15"/>
      <c r="AE364" s="114" t="str">
        <f>IF(NOT(ISBLANK(Audit[[#This Row],[Audit Winning Candidate]])), Audit[[#This Row],[Audit Winning Candidate]]-Audit[[#This Row],[Winning Candidate]], "")</f>
        <v/>
      </c>
      <c r="AF364" s="18" t="str">
        <f>IF(NOT(ISBLANK(Audit[[#This Row],[Audit Losing Candidate]])), Audit[[#This Row],[Audit Losing Candidate]]-Audit[[#This Row],[Losing Candidate]], "")</f>
        <v/>
      </c>
      <c r="AG364" s="18" t="str">
        <f>IF(NOT(ISBLANK(Audit[[#This Row],[Audit Candidate 3]])), Audit[[#This Row],[Audit Candidate 3]]-Audit[[#This Row],[Candidate 3]], "")</f>
        <v/>
      </c>
      <c r="AH364" s="18" t="str">
        <f>IF(NOT(ISBLANK(Audit[[#This Row],[Audit Candidate 4]])),Audit[[#This Row],[Audit Candidate 4]]-Audit[[#This Row],[Candidate 4]], "")</f>
        <v/>
      </c>
      <c r="AI364" s="18" t="str">
        <f>IF(NOT(ISBLANK(Audit[[#This Row],[Audit Candidate 5]])), Audit[[#This Row],[Audit Candidate 5]]-Audit[[#This Row],[Candidate 5]], "")</f>
        <v/>
      </c>
      <c r="AJ364" s="18" t="str">
        <f>IF(NOT(ISBLANK(Audit[[#This Row],[Audit Candidate 6]])), Audit[[#This Row],[Audit Candidate 6]]-Audit[[#This Row],[Candidate 6]], "")</f>
        <v/>
      </c>
      <c r="AK364" s="18" t="str">
        <f>IF(NOT(ISBLANK(Audit[[#This Row],[Audit Candidate 7]])), Audit[[#This Row],[Audit Candidate 7]]-Audit[[#This Row],[Candidate 7]], "")</f>
        <v/>
      </c>
      <c r="AL364" s="18" t="str">
        <f>IF(NOT(ISBLANK(Audit[[#This Row],[Audit Candidate 8]])), Audit[[#This Row],[Audit Candidate 8]]-Audit[[#This Row],[Candidate 8]], "")</f>
        <v/>
      </c>
      <c r="AM364" s="18" t="str">
        <f>IF(NOT(ISBLANK(Audit[[#This Row],[Audit Candidate 9]])), Audit[[#This Row],[Audit Candidate 9]]-Audit[[#This Row],[Candidate 9]], "")</f>
        <v/>
      </c>
      <c r="AN364" s="18" t="str">
        <f>IF(NOT(ISBLANK(Audit[[#This Row],[Audit Candidate 10]])), Audit[[#This Row],[Audit Candidate 10]]-Audit[[#This Row],[Candidate 10]], "")</f>
        <v/>
      </c>
      <c r="AO364" s="18" t="str">
        <f>IF(NOT(ISBLANK(Audit[[#This Row],[Audit Candidate 11]])), Audit[[#This Row],[Audit Candidate 11]]-Audit[[#This Row],[Candidate 11]], "")</f>
        <v/>
      </c>
      <c r="AP364" s="18" t="str">
        <f>IF(NOT(ISBLANK(Audit[[#This Row],[Audit Candidate 12]])), Audit[[#This Row],[Audit Candidate 12]]-Audit[[#This Row],[Candidate 12]], "")</f>
        <v/>
      </c>
      <c r="AQ364" s="18">
        <f>SUMIF(Audit[[#This Row],[Difference Winner]:[Difference Candidate 12]], "&gt;0")</f>
        <v>0</v>
      </c>
      <c r="AR364" s="18">
        <f>SUM(Audit[[#This Row],[Difference Winner]:[Difference Candidate 12]])</f>
        <v>0</v>
      </c>
      <c r="AS364" s="18">
        <f>IF(Audit[[#This Row],[Times p Drawn - With Replacement]]&gt;0, IF(Audit[[#This Row],[Canceled Differences]]&lt;0, Audit[[#This Row],[Max Differences]]+ABS(Audit[[#This Row],[Canceled Differences]]), Audit[[#This Row],[Max Differences]]), 0)</f>
        <v>0</v>
      </c>
      <c r="AT364" s="18">
        <f>'Sampling Data'!AB364</f>
        <v>1.5076797436944435E-3</v>
      </c>
      <c r="AU364" s="18">
        <f>IF(
      SUM(Audit[[#This Row],[Audit Losing Candidate]:[Audit Candidate 12]])
      &lt;&gt;0,
      (Audit[[#This Row],[Winning Candidate]]-Audit[[#This Row],[Losing Candidate]]-(Audit[[#This Row],[Audit Winning Candidate]]-Audit[[#This Row],[Audit Losing Candidate]]))/(Audit[[#Totals],[Winning Candidate]]-Audit[[#Totals],[Losing Candidate]]),
      0
)</f>
        <v>0</v>
      </c>
      <c r="AV3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8">
        <f>IF(Audit[[#This Row],[Max Relative Error (ep)]] = 0, 0, Audit[[#This Row],[Max Relative Error (ep)]]/Audit[[#This Row],[Error Bound (up) - Max. possible relative overstatement]])</f>
        <v>0</v>
      </c>
      <c r="BH3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4" s="18">
        <f t="shared" si="6"/>
        <v>1</v>
      </c>
      <c r="BJ364" s="18">
        <f>PRODUCT($BI$5:BI364)</f>
        <v>0.32656797278968008</v>
      </c>
      <c r="BK364" s="20">
        <f>1 - Audit[[#This Row],[K-M P Value]]</f>
        <v>0.67343202721031992</v>
      </c>
      <c r="BL364" s="18" t="str">
        <f>IF(Audit[[#This Row],[K-M P Value]]&gt;1-'General Info'!$B$12,"Continue", "Stop")</f>
        <v>Continue</v>
      </c>
      <c r="BM364" s="23" t="b">
        <f>IF(Audit[[#This Row],[Status - Continue or stop audit]] = "Continue", TRUE, IF(BL363 = "Continue", TRUE, FALSE))</f>
        <v>1</v>
      </c>
      <c r="BN364" s="23"/>
    </row>
    <row r="365" spans="1:66" ht="15" hidden="1" customHeight="1" x14ac:dyDescent="0.35">
      <c r="A365" s="18" t="str">
        <f>'Sampling Data'!AI365</f>
        <v/>
      </c>
      <c r="B365" s="18" t="str">
        <f>'Sampling Data'!A365</f>
        <v>5913 COLE M   (AV)</v>
      </c>
      <c r="C365" s="18">
        <f>'Sampling Data'!B365</f>
        <v>4</v>
      </c>
      <c r="D365" s="18">
        <f>'Sampling Data'!C365</f>
        <v>1</v>
      </c>
      <c r="E365" s="19">
        <f>'Sampling Data'!D365</f>
        <v>0</v>
      </c>
      <c r="F365" s="19">
        <f>'Sampling Data'!E365</f>
        <v>0</v>
      </c>
      <c r="G365" s="19">
        <f>'Sampling Data'!F365</f>
        <v>0</v>
      </c>
      <c r="H365" s="19">
        <f>'Sampling Data'!G365</f>
        <v>0</v>
      </c>
      <c r="I365" s="19">
        <f>'Sampling Data'!H365</f>
        <v>0</v>
      </c>
      <c r="J365" s="19">
        <f>'Sampling Data'!I365</f>
        <v>0</v>
      </c>
      <c r="K365" s="19">
        <f>'Sampling Data'!J365</f>
        <v>0</v>
      </c>
      <c r="L365" s="19">
        <f>'Sampling Data'!K365</f>
        <v>0</v>
      </c>
      <c r="M365" s="19">
        <f>'Sampling Data'!L365</f>
        <v>0</v>
      </c>
      <c r="N365" s="19">
        <f>'Sampling Data'!M365</f>
        <v>0</v>
      </c>
      <c r="O365" s="18">
        <f>'Sampling Data'!N365</f>
        <v>0</v>
      </c>
      <c r="P365" s="18">
        <f>'Sampling Data'!O365</f>
        <v>0</v>
      </c>
      <c r="Q365" s="18">
        <f>'Sampling Data'!P365</f>
        <v>5</v>
      </c>
      <c r="R365" s="18">
        <f>'Sampling Data'!AJ365</f>
        <v>0</v>
      </c>
      <c r="S365" s="112"/>
      <c r="T365" s="112"/>
      <c r="U365" s="113"/>
      <c r="V365" s="113"/>
      <c r="W365" s="112"/>
      <c r="X365" s="112"/>
      <c r="Y365" s="112"/>
      <c r="Z365" s="112"/>
      <c r="AA365" s="15"/>
      <c r="AB365" s="15"/>
      <c r="AC365" s="15"/>
      <c r="AD365" s="15"/>
      <c r="AE365" s="114" t="str">
        <f>IF(NOT(ISBLANK(Audit[[#This Row],[Audit Winning Candidate]])), Audit[[#This Row],[Audit Winning Candidate]]-Audit[[#This Row],[Winning Candidate]], "")</f>
        <v/>
      </c>
      <c r="AF365" s="18" t="str">
        <f>IF(NOT(ISBLANK(Audit[[#This Row],[Audit Losing Candidate]])), Audit[[#This Row],[Audit Losing Candidate]]-Audit[[#This Row],[Losing Candidate]], "")</f>
        <v/>
      </c>
      <c r="AG365" s="18" t="str">
        <f>IF(NOT(ISBLANK(Audit[[#This Row],[Audit Candidate 3]])), Audit[[#This Row],[Audit Candidate 3]]-Audit[[#This Row],[Candidate 3]], "")</f>
        <v/>
      </c>
      <c r="AH365" s="18" t="str">
        <f>IF(NOT(ISBLANK(Audit[[#This Row],[Audit Candidate 4]])),Audit[[#This Row],[Audit Candidate 4]]-Audit[[#This Row],[Candidate 4]], "")</f>
        <v/>
      </c>
      <c r="AI365" s="18" t="str">
        <f>IF(NOT(ISBLANK(Audit[[#This Row],[Audit Candidate 5]])), Audit[[#This Row],[Audit Candidate 5]]-Audit[[#This Row],[Candidate 5]], "")</f>
        <v/>
      </c>
      <c r="AJ365" s="18" t="str">
        <f>IF(NOT(ISBLANK(Audit[[#This Row],[Audit Candidate 6]])), Audit[[#This Row],[Audit Candidate 6]]-Audit[[#This Row],[Candidate 6]], "")</f>
        <v/>
      </c>
      <c r="AK365" s="18" t="str">
        <f>IF(NOT(ISBLANK(Audit[[#This Row],[Audit Candidate 7]])), Audit[[#This Row],[Audit Candidate 7]]-Audit[[#This Row],[Candidate 7]], "")</f>
        <v/>
      </c>
      <c r="AL365" s="18" t="str">
        <f>IF(NOT(ISBLANK(Audit[[#This Row],[Audit Candidate 8]])), Audit[[#This Row],[Audit Candidate 8]]-Audit[[#This Row],[Candidate 8]], "")</f>
        <v/>
      </c>
      <c r="AM365" s="18" t="str">
        <f>IF(NOT(ISBLANK(Audit[[#This Row],[Audit Candidate 9]])), Audit[[#This Row],[Audit Candidate 9]]-Audit[[#This Row],[Candidate 9]], "")</f>
        <v/>
      </c>
      <c r="AN365" s="18" t="str">
        <f>IF(NOT(ISBLANK(Audit[[#This Row],[Audit Candidate 10]])), Audit[[#This Row],[Audit Candidate 10]]-Audit[[#This Row],[Candidate 10]], "")</f>
        <v/>
      </c>
      <c r="AO365" s="18" t="str">
        <f>IF(NOT(ISBLANK(Audit[[#This Row],[Audit Candidate 11]])), Audit[[#This Row],[Audit Candidate 11]]-Audit[[#This Row],[Candidate 11]], "")</f>
        <v/>
      </c>
      <c r="AP365" s="18" t="str">
        <f>IF(NOT(ISBLANK(Audit[[#This Row],[Audit Candidate 12]])), Audit[[#This Row],[Audit Candidate 12]]-Audit[[#This Row],[Candidate 12]], "")</f>
        <v/>
      </c>
      <c r="AQ365" s="18">
        <f>SUMIF(Audit[[#This Row],[Difference Winner]:[Difference Candidate 12]], "&gt;0")</f>
        <v>0</v>
      </c>
      <c r="AR365" s="18">
        <f>SUM(Audit[[#This Row],[Difference Winner]:[Difference Candidate 12]])</f>
        <v>0</v>
      </c>
      <c r="AS365" s="18">
        <f>IF(Audit[[#This Row],[Times p Drawn - With Replacement]]&gt;0, IF(Audit[[#This Row],[Canceled Differences]]&lt;0, Audit[[#This Row],[Max Differences]]+ABS(Audit[[#This Row],[Canceled Differences]]), Audit[[#This Row],[Max Differences]]), 0)</f>
        <v>0</v>
      </c>
      <c r="AT365" s="18">
        <f>'Sampling Data'!AB365</f>
        <v>2.5127995728240724E-4</v>
      </c>
      <c r="AU365" s="18">
        <f>IF(
      SUM(Audit[[#This Row],[Audit Losing Candidate]:[Audit Candidate 12]])
      &lt;&gt;0,
      (Audit[[#This Row],[Winning Candidate]]-Audit[[#This Row],[Losing Candidate]]-(Audit[[#This Row],[Audit Winning Candidate]]-Audit[[#This Row],[Audit Losing Candidate]]))/(Audit[[#Totals],[Winning Candidate]]-Audit[[#Totals],[Losing Candidate]]),
      0
)</f>
        <v>0</v>
      </c>
      <c r="AV3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8">
        <f>IF(Audit[[#This Row],[Max Relative Error (ep)]] = 0, 0, Audit[[#This Row],[Max Relative Error (ep)]]/Audit[[#This Row],[Error Bound (up) - Max. possible relative overstatement]])</f>
        <v>0</v>
      </c>
      <c r="BH3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5" s="18">
        <f t="shared" si="6"/>
        <v>1</v>
      </c>
      <c r="BJ365" s="18">
        <f>PRODUCT($BI$5:BI365)</f>
        <v>0.32656797278968008</v>
      </c>
      <c r="BK365" s="20">
        <f>1 - Audit[[#This Row],[K-M P Value]]</f>
        <v>0.67343202721031992</v>
      </c>
      <c r="BL365" s="18" t="str">
        <f>IF(Audit[[#This Row],[K-M P Value]]&gt;1-'General Info'!$B$12,"Continue", "Stop")</f>
        <v>Continue</v>
      </c>
      <c r="BM365" s="23" t="b">
        <f>IF(Audit[[#This Row],[Status - Continue or stop audit]] = "Continue", TRUE, IF(BL364 = "Continue", TRUE, FALSE))</f>
        <v>1</v>
      </c>
      <c r="BN365" s="23"/>
    </row>
    <row r="366" spans="1:66" ht="15" hidden="1" customHeight="1" x14ac:dyDescent="0.35">
      <c r="A366" s="18" t="str">
        <f>'Sampling Data'!AI366</f>
        <v/>
      </c>
      <c r="B366" s="18" t="str">
        <f>'Sampling Data'!A366</f>
        <v>5914 COLE N   (AV)</v>
      </c>
      <c r="C366" s="18">
        <f>'Sampling Data'!B366</f>
        <v>7</v>
      </c>
      <c r="D366" s="18">
        <f>'Sampling Data'!C366</f>
        <v>3</v>
      </c>
      <c r="E366" s="19">
        <f>'Sampling Data'!D366</f>
        <v>0</v>
      </c>
      <c r="F366" s="19">
        <f>'Sampling Data'!E366</f>
        <v>0</v>
      </c>
      <c r="G366" s="19">
        <f>'Sampling Data'!F366</f>
        <v>0</v>
      </c>
      <c r="H366" s="19">
        <f>'Sampling Data'!G366</f>
        <v>0</v>
      </c>
      <c r="I366" s="19">
        <f>'Sampling Data'!H366</f>
        <v>0</v>
      </c>
      <c r="J366" s="19">
        <f>'Sampling Data'!I366</f>
        <v>0</v>
      </c>
      <c r="K366" s="19">
        <f>'Sampling Data'!J366</f>
        <v>0</v>
      </c>
      <c r="L366" s="19">
        <f>'Sampling Data'!K366</f>
        <v>0</v>
      </c>
      <c r="M366" s="19">
        <f>'Sampling Data'!L366</f>
        <v>0</v>
      </c>
      <c r="N366" s="19">
        <f>'Sampling Data'!M366</f>
        <v>0</v>
      </c>
      <c r="O366" s="18">
        <f>'Sampling Data'!N366</f>
        <v>0</v>
      </c>
      <c r="P366" s="18">
        <f>'Sampling Data'!O366</f>
        <v>1</v>
      </c>
      <c r="Q366" s="18">
        <f>'Sampling Data'!P366</f>
        <v>11</v>
      </c>
      <c r="R366" s="18">
        <f>'Sampling Data'!AJ366</f>
        <v>0</v>
      </c>
      <c r="S366" s="112"/>
      <c r="T366" s="112"/>
      <c r="U366" s="113"/>
      <c r="V366" s="113"/>
      <c r="W366" s="112"/>
      <c r="X366" s="112"/>
      <c r="Y366" s="112"/>
      <c r="Z366" s="112"/>
      <c r="AA366" s="15"/>
      <c r="AB366" s="15"/>
      <c r="AC366" s="15"/>
      <c r="AD366" s="15"/>
      <c r="AE366" s="114" t="str">
        <f>IF(NOT(ISBLANK(Audit[[#This Row],[Audit Winning Candidate]])), Audit[[#This Row],[Audit Winning Candidate]]-Audit[[#This Row],[Winning Candidate]], "")</f>
        <v/>
      </c>
      <c r="AF366" s="18" t="str">
        <f>IF(NOT(ISBLANK(Audit[[#This Row],[Audit Losing Candidate]])), Audit[[#This Row],[Audit Losing Candidate]]-Audit[[#This Row],[Losing Candidate]], "")</f>
        <v/>
      </c>
      <c r="AG366" s="18" t="str">
        <f>IF(NOT(ISBLANK(Audit[[#This Row],[Audit Candidate 3]])), Audit[[#This Row],[Audit Candidate 3]]-Audit[[#This Row],[Candidate 3]], "")</f>
        <v/>
      </c>
      <c r="AH366" s="18" t="str">
        <f>IF(NOT(ISBLANK(Audit[[#This Row],[Audit Candidate 4]])),Audit[[#This Row],[Audit Candidate 4]]-Audit[[#This Row],[Candidate 4]], "")</f>
        <v/>
      </c>
      <c r="AI366" s="18" t="str">
        <f>IF(NOT(ISBLANK(Audit[[#This Row],[Audit Candidate 5]])), Audit[[#This Row],[Audit Candidate 5]]-Audit[[#This Row],[Candidate 5]], "")</f>
        <v/>
      </c>
      <c r="AJ366" s="18" t="str">
        <f>IF(NOT(ISBLANK(Audit[[#This Row],[Audit Candidate 6]])), Audit[[#This Row],[Audit Candidate 6]]-Audit[[#This Row],[Candidate 6]], "")</f>
        <v/>
      </c>
      <c r="AK366" s="18" t="str">
        <f>IF(NOT(ISBLANK(Audit[[#This Row],[Audit Candidate 7]])), Audit[[#This Row],[Audit Candidate 7]]-Audit[[#This Row],[Candidate 7]], "")</f>
        <v/>
      </c>
      <c r="AL366" s="18" t="str">
        <f>IF(NOT(ISBLANK(Audit[[#This Row],[Audit Candidate 8]])), Audit[[#This Row],[Audit Candidate 8]]-Audit[[#This Row],[Candidate 8]], "")</f>
        <v/>
      </c>
      <c r="AM366" s="18" t="str">
        <f>IF(NOT(ISBLANK(Audit[[#This Row],[Audit Candidate 9]])), Audit[[#This Row],[Audit Candidate 9]]-Audit[[#This Row],[Candidate 9]], "")</f>
        <v/>
      </c>
      <c r="AN366" s="18" t="str">
        <f>IF(NOT(ISBLANK(Audit[[#This Row],[Audit Candidate 10]])), Audit[[#This Row],[Audit Candidate 10]]-Audit[[#This Row],[Candidate 10]], "")</f>
        <v/>
      </c>
      <c r="AO366" s="18" t="str">
        <f>IF(NOT(ISBLANK(Audit[[#This Row],[Audit Candidate 11]])), Audit[[#This Row],[Audit Candidate 11]]-Audit[[#This Row],[Candidate 11]], "")</f>
        <v/>
      </c>
      <c r="AP366" s="18" t="str">
        <f>IF(NOT(ISBLANK(Audit[[#This Row],[Audit Candidate 12]])), Audit[[#This Row],[Audit Candidate 12]]-Audit[[#This Row],[Candidate 12]], "")</f>
        <v/>
      </c>
      <c r="AQ366" s="18">
        <f>SUMIF(Audit[[#This Row],[Difference Winner]:[Difference Candidate 12]], "&gt;0")</f>
        <v>0</v>
      </c>
      <c r="AR366" s="18">
        <f>SUM(Audit[[#This Row],[Difference Winner]:[Difference Candidate 12]])</f>
        <v>0</v>
      </c>
      <c r="AS366" s="18">
        <f>IF(Audit[[#This Row],[Times p Drawn - With Replacement]]&gt;0, IF(Audit[[#This Row],[Canceled Differences]]&lt;0, Audit[[#This Row],[Max Differences]]+ABS(Audit[[#This Row],[Canceled Differences]]), Audit[[#This Row],[Max Differences]]), 0)</f>
        <v>0</v>
      </c>
      <c r="AT366" s="18">
        <f>'Sampling Data'!AB366</f>
        <v>4.7114991990451359E-4</v>
      </c>
      <c r="AU366" s="18">
        <f>IF(
      SUM(Audit[[#This Row],[Audit Losing Candidate]:[Audit Candidate 12]])
      &lt;&gt;0,
      (Audit[[#This Row],[Winning Candidate]]-Audit[[#This Row],[Losing Candidate]]-(Audit[[#This Row],[Audit Winning Candidate]]-Audit[[#This Row],[Audit Losing Candidate]]))/(Audit[[#Totals],[Winning Candidate]]-Audit[[#Totals],[Losing Candidate]]),
      0
)</f>
        <v>0</v>
      </c>
      <c r="AV3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8">
        <f>IF(Audit[[#This Row],[Max Relative Error (ep)]] = 0, 0, Audit[[#This Row],[Max Relative Error (ep)]]/Audit[[#This Row],[Error Bound (up) - Max. possible relative overstatement]])</f>
        <v>0</v>
      </c>
      <c r="BH3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6" s="18">
        <f t="shared" si="6"/>
        <v>1</v>
      </c>
      <c r="BJ366" s="18">
        <f>PRODUCT($BI$5:BI366)</f>
        <v>0.32656797278968008</v>
      </c>
      <c r="BK366" s="20">
        <f>1 - Audit[[#This Row],[K-M P Value]]</f>
        <v>0.67343202721031992</v>
      </c>
      <c r="BL366" s="18" t="str">
        <f>IF(Audit[[#This Row],[K-M P Value]]&gt;1-'General Info'!$B$12,"Continue", "Stop")</f>
        <v>Continue</v>
      </c>
      <c r="BM366" s="23" t="b">
        <f>IF(Audit[[#This Row],[Status - Continue or stop audit]] = "Continue", TRUE, IF(BL365 = "Continue", TRUE, FALSE))</f>
        <v>1</v>
      </c>
      <c r="BN366" s="23"/>
    </row>
    <row r="367" spans="1:66" ht="15" hidden="1" customHeight="1" x14ac:dyDescent="0.35">
      <c r="A367" s="18" t="str">
        <f>'Sampling Data'!AI367</f>
        <v/>
      </c>
      <c r="B367" s="18" t="str">
        <f>'Sampling Data'!A367</f>
        <v>5915 COLE O   (AV)</v>
      </c>
      <c r="C367" s="18">
        <f>'Sampling Data'!B367</f>
        <v>10</v>
      </c>
      <c r="D367" s="18">
        <f>'Sampling Data'!C367</f>
        <v>1</v>
      </c>
      <c r="E367" s="19">
        <f>'Sampling Data'!D367</f>
        <v>0</v>
      </c>
      <c r="F367" s="19">
        <f>'Sampling Data'!E367</f>
        <v>0</v>
      </c>
      <c r="G367" s="19">
        <f>'Sampling Data'!F367</f>
        <v>0</v>
      </c>
      <c r="H367" s="19">
        <f>'Sampling Data'!G367</f>
        <v>0</v>
      </c>
      <c r="I367" s="19">
        <f>'Sampling Data'!H367</f>
        <v>0</v>
      </c>
      <c r="J367" s="19">
        <f>'Sampling Data'!I367</f>
        <v>0</v>
      </c>
      <c r="K367" s="19">
        <f>'Sampling Data'!J367</f>
        <v>0</v>
      </c>
      <c r="L367" s="19">
        <f>'Sampling Data'!K367</f>
        <v>0</v>
      </c>
      <c r="M367" s="19">
        <f>'Sampling Data'!L367</f>
        <v>0</v>
      </c>
      <c r="N367" s="19">
        <f>'Sampling Data'!M367</f>
        <v>0</v>
      </c>
      <c r="O367" s="18">
        <f>'Sampling Data'!N367</f>
        <v>0</v>
      </c>
      <c r="P367" s="18">
        <f>'Sampling Data'!O367</f>
        <v>0</v>
      </c>
      <c r="Q367" s="18">
        <f>'Sampling Data'!P367</f>
        <v>11</v>
      </c>
      <c r="R367" s="18">
        <f>'Sampling Data'!AJ367</f>
        <v>0</v>
      </c>
      <c r="S367" s="112"/>
      <c r="T367" s="112"/>
      <c r="U367" s="113"/>
      <c r="V367" s="113"/>
      <c r="W367" s="112"/>
      <c r="X367" s="112"/>
      <c r="Y367" s="112"/>
      <c r="Z367" s="112"/>
      <c r="AA367" s="15"/>
      <c r="AB367" s="15"/>
      <c r="AC367" s="15"/>
      <c r="AD367" s="15"/>
      <c r="AE367" s="114" t="str">
        <f>IF(NOT(ISBLANK(Audit[[#This Row],[Audit Winning Candidate]])), Audit[[#This Row],[Audit Winning Candidate]]-Audit[[#This Row],[Winning Candidate]], "")</f>
        <v/>
      </c>
      <c r="AF367" s="18" t="str">
        <f>IF(NOT(ISBLANK(Audit[[#This Row],[Audit Losing Candidate]])), Audit[[#This Row],[Audit Losing Candidate]]-Audit[[#This Row],[Losing Candidate]], "")</f>
        <v/>
      </c>
      <c r="AG367" s="18" t="str">
        <f>IF(NOT(ISBLANK(Audit[[#This Row],[Audit Candidate 3]])), Audit[[#This Row],[Audit Candidate 3]]-Audit[[#This Row],[Candidate 3]], "")</f>
        <v/>
      </c>
      <c r="AH367" s="18" t="str">
        <f>IF(NOT(ISBLANK(Audit[[#This Row],[Audit Candidate 4]])),Audit[[#This Row],[Audit Candidate 4]]-Audit[[#This Row],[Candidate 4]], "")</f>
        <v/>
      </c>
      <c r="AI367" s="18" t="str">
        <f>IF(NOT(ISBLANK(Audit[[#This Row],[Audit Candidate 5]])), Audit[[#This Row],[Audit Candidate 5]]-Audit[[#This Row],[Candidate 5]], "")</f>
        <v/>
      </c>
      <c r="AJ367" s="18" t="str">
        <f>IF(NOT(ISBLANK(Audit[[#This Row],[Audit Candidate 6]])), Audit[[#This Row],[Audit Candidate 6]]-Audit[[#This Row],[Candidate 6]], "")</f>
        <v/>
      </c>
      <c r="AK367" s="18" t="str">
        <f>IF(NOT(ISBLANK(Audit[[#This Row],[Audit Candidate 7]])), Audit[[#This Row],[Audit Candidate 7]]-Audit[[#This Row],[Candidate 7]], "")</f>
        <v/>
      </c>
      <c r="AL367" s="18" t="str">
        <f>IF(NOT(ISBLANK(Audit[[#This Row],[Audit Candidate 8]])), Audit[[#This Row],[Audit Candidate 8]]-Audit[[#This Row],[Candidate 8]], "")</f>
        <v/>
      </c>
      <c r="AM367" s="18" t="str">
        <f>IF(NOT(ISBLANK(Audit[[#This Row],[Audit Candidate 9]])), Audit[[#This Row],[Audit Candidate 9]]-Audit[[#This Row],[Candidate 9]], "")</f>
        <v/>
      </c>
      <c r="AN367" s="18" t="str">
        <f>IF(NOT(ISBLANK(Audit[[#This Row],[Audit Candidate 10]])), Audit[[#This Row],[Audit Candidate 10]]-Audit[[#This Row],[Candidate 10]], "")</f>
        <v/>
      </c>
      <c r="AO367" s="18" t="str">
        <f>IF(NOT(ISBLANK(Audit[[#This Row],[Audit Candidate 11]])), Audit[[#This Row],[Audit Candidate 11]]-Audit[[#This Row],[Candidate 11]], "")</f>
        <v/>
      </c>
      <c r="AP367" s="18" t="str">
        <f>IF(NOT(ISBLANK(Audit[[#This Row],[Audit Candidate 12]])), Audit[[#This Row],[Audit Candidate 12]]-Audit[[#This Row],[Candidate 12]], "")</f>
        <v/>
      </c>
      <c r="AQ367" s="18">
        <f>SUMIF(Audit[[#This Row],[Difference Winner]:[Difference Candidate 12]], "&gt;0")</f>
        <v>0</v>
      </c>
      <c r="AR367" s="18">
        <f>SUM(Audit[[#This Row],[Difference Winner]:[Difference Candidate 12]])</f>
        <v>0</v>
      </c>
      <c r="AS367" s="18">
        <f>IF(Audit[[#This Row],[Times p Drawn - With Replacement]]&gt;0, IF(Audit[[#This Row],[Canceled Differences]]&lt;0, Audit[[#This Row],[Max Differences]]+ABS(Audit[[#This Row],[Canceled Differences]]), Audit[[#This Row],[Max Differences]]), 0)</f>
        <v>0</v>
      </c>
      <c r="AT367" s="18">
        <f>'Sampling Data'!AB367</f>
        <v>6.2819989320601812E-4</v>
      </c>
      <c r="AU367" s="18">
        <f>IF(
      SUM(Audit[[#This Row],[Audit Losing Candidate]:[Audit Candidate 12]])
      &lt;&gt;0,
      (Audit[[#This Row],[Winning Candidate]]-Audit[[#This Row],[Losing Candidate]]-(Audit[[#This Row],[Audit Winning Candidate]]-Audit[[#This Row],[Audit Losing Candidate]]))/(Audit[[#Totals],[Winning Candidate]]-Audit[[#Totals],[Losing Candidate]]),
      0
)</f>
        <v>0</v>
      </c>
      <c r="AV3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8">
        <f>IF(Audit[[#This Row],[Max Relative Error (ep)]] = 0, 0, Audit[[#This Row],[Max Relative Error (ep)]]/Audit[[#This Row],[Error Bound (up) - Max. possible relative overstatement]])</f>
        <v>0</v>
      </c>
      <c r="BH3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7" s="18">
        <f t="shared" si="6"/>
        <v>1</v>
      </c>
      <c r="BJ367" s="18">
        <f>PRODUCT($BI$5:BI367)</f>
        <v>0.32656797278968008</v>
      </c>
      <c r="BK367" s="20">
        <f>1 - Audit[[#This Row],[K-M P Value]]</f>
        <v>0.67343202721031992</v>
      </c>
      <c r="BL367" s="18" t="str">
        <f>IF(Audit[[#This Row],[K-M P Value]]&gt;1-'General Info'!$B$12,"Continue", "Stop")</f>
        <v>Continue</v>
      </c>
      <c r="BM367" s="23" t="b">
        <f>IF(Audit[[#This Row],[Status - Continue or stop audit]] = "Continue", TRUE, IF(BL366 = "Continue", TRUE, FALSE))</f>
        <v>1</v>
      </c>
      <c r="BN367" s="23"/>
    </row>
    <row r="368" spans="1:66" ht="15" hidden="1" customHeight="1" x14ac:dyDescent="0.35">
      <c r="A368" s="18" t="str">
        <f>'Sampling Data'!AI368</f>
        <v/>
      </c>
      <c r="B368" s="18" t="str">
        <f>'Sampling Data'!A368</f>
        <v>5916 COLE P   (AV)</v>
      </c>
      <c r="C368" s="18">
        <f>'Sampling Data'!B368</f>
        <v>1</v>
      </c>
      <c r="D368" s="18">
        <f>'Sampling Data'!C368</f>
        <v>0</v>
      </c>
      <c r="E368" s="19">
        <f>'Sampling Data'!D368</f>
        <v>0</v>
      </c>
      <c r="F368" s="19">
        <f>'Sampling Data'!E368</f>
        <v>0</v>
      </c>
      <c r="G368" s="19">
        <f>'Sampling Data'!F368</f>
        <v>0</v>
      </c>
      <c r="H368" s="19">
        <f>'Sampling Data'!G368</f>
        <v>0</v>
      </c>
      <c r="I368" s="19">
        <f>'Sampling Data'!H368</f>
        <v>0</v>
      </c>
      <c r="J368" s="19">
        <f>'Sampling Data'!I368</f>
        <v>0</v>
      </c>
      <c r="K368" s="19">
        <f>'Sampling Data'!J368</f>
        <v>0</v>
      </c>
      <c r="L368" s="19">
        <f>'Sampling Data'!K368</f>
        <v>0</v>
      </c>
      <c r="M368" s="19">
        <f>'Sampling Data'!L368</f>
        <v>0</v>
      </c>
      <c r="N368" s="19">
        <f>'Sampling Data'!M368</f>
        <v>0</v>
      </c>
      <c r="O368" s="18">
        <f>'Sampling Data'!N368</f>
        <v>0</v>
      </c>
      <c r="P368" s="18">
        <f>'Sampling Data'!O368</f>
        <v>0</v>
      </c>
      <c r="Q368" s="18">
        <f>'Sampling Data'!P368</f>
        <v>1</v>
      </c>
      <c r="R368" s="18">
        <f>'Sampling Data'!AJ368</f>
        <v>0</v>
      </c>
      <c r="S368" s="112"/>
      <c r="T368" s="112"/>
      <c r="U368" s="113"/>
      <c r="V368" s="113"/>
      <c r="W368" s="112"/>
      <c r="X368" s="112"/>
      <c r="Y368" s="112"/>
      <c r="Z368" s="112"/>
      <c r="AA368" s="15"/>
      <c r="AB368" s="15"/>
      <c r="AC368" s="15"/>
      <c r="AD368" s="15"/>
      <c r="AE368" s="114" t="str">
        <f>IF(NOT(ISBLANK(Audit[[#This Row],[Audit Winning Candidate]])), Audit[[#This Row],[Audit Winning Candidate]]-Audit[[#This Row],[Winning Candidate]], "")</f>
        <v/>
      </c>
      <c r="AF368" s="18" t="str">
        <f>IF(NOT(ISBLANK(Audit[[#This Row],[Audit Losing Candidate]])), Audit[[#This Row],[Audit Losing Candidate]]-Audit[[#This Row],[Losing Candidate]], "")</f>
        <v/>
      </c>
      <c r="AG368" s="18" t="str">
        <f>IF(NOT(ISBLANK(Audit[[#This Row],[Audit Candidate 3]])), Audit[[#This Row],[Audit Candidate 3]]-Audit[[#This Row],[Candidate 3]], "")</f>
        <v/>
      </c>
      <c r="AH368" s="18" t="str">
        <f>IF(NOT(ISBLANK(Audit[[#This Row],[Audit Candidate 4]])),Audit[[#This Row],[Audit Candidate 4]]-Audit[[#This Row],[Candidate 4]], "")</f>
        <v/>
      </c>
      <c r="AI368" s="18" t="str">
        <f>IF(NOT(ISBLANK(Audit[[#This Row],[Audit Candidate 5]])), Audit[[#This Row],[Audit Candidate 5]]-Audit[[#This Row],[Candidate 5]], "")</f>
        <v/>
      </c>
      <c r="AJ368" s="18" t="str">
        <f>IF(NOT(ISBLANK(Audit[[#This Row],[Audit Candidate 6]])), Audit[[#This Row],[Audit Candidate 6]]-Audit[[#This Row],[Candidate 6]], "")</f>
        <v/>
      </c>
      <c r="AK368" s="18" t="str">
        <f>IF(NOT(ISBLANK(Audit[[#This Row],[Audit Candidate 7]])), Audit[[#This Row],[Audit Candidate 7]]-Audit[[#This Row],[Candidate 7]], "")</f>
        <v/>
      </c>
      <c r="AL368" s="18" t="str">
        <f>IF(NOT(ISBLANK(Audit[[#This Row],[Audit Candidate 8]])), Audit[[#This Row],[Audit Candidate 8]]-Audit[[#This Row],[Candidate 8]], "")</f>
        <v/>
      </c>
      <c r="AM368" s="18" t="str">
        <f>IF(NOT(ISBLANK(Audit[[#This Row],[Audit Candidate 9]])), Audit[[#This Row],[Audit Candidate 9]]-Audit[[#This Row],[Candidate 9]], "")</f>
        <v/>
      </c>
      <c r="AN368" s="18" t="str">
        <f>IF(NOT(ISBLANK(Audit[[#This Row],[Audit Candidate 10]])), Audit[[#This Row],[Audit Candidate 10]]-Audit[[#This Row],[Candidate 10]], "")</f>
        <v/>
      </c>
      <c r="AO368" s="18" t="str">
        <f>IF(NOT(ISBLANK(Audit[[#This Row],[Audit Candidate 11]])), Audit[[#This Row],[Audit Candidate 11]]-Audit[[#This Row],[Candidate 11]], "")</f>
        <v/>
      </c>
      <c r="AP368" s="18" t="str">
        <f>IF(NOT(ISBLANK(Audit[[#This Row],[Audit Candidate 12]])), Audit[[#This Row],[Audit Candidate 12]]-Audit[[#This Row],[Candidate 12]], "")</f>
        <v/>
      </c>
      <c r="AQ368" s="18">
        <f>SUMIF(Audit[[#This Row],[Difference Winner]:[Difference Candidate 12]], "&gt;0")</f>
        <v>0</v>
      </c>
      <c r="AR368" s="18">
        <f>SUM(Audit[[#This Row],[Difference Winner]:[Difference Candidate 12]])</f>
        <v>0</v>
      </c>
      <c r="AS368" s="18">
        <f>IF(Audit[[#This Row],[Times p Drawn - With Replacement]]&gt;0, IF(Audit[[#This Row],[Canceled Differences]]&lt;0, Audit[[#This Row],[Max Differences]]+ABS(Audit[[#This Row],[Canceled Differences]]), Audit[[#This Row],[Max Differences]]), 0)</f>
        <v>0</v>
      </c>
      <c r="AT368" s="18">
        <f>'Sampling Data'!AB368</f>
        <v>6.2819989320601809E-5</v>
      </c>
      <c r="AU368" s="18">
        <f>IF(
      SUM(Audit[[#This Row],[Audit Losing Candidate]:[Audit Candidate 12]])
      &lt;&gt;0,
      (Audit[[#This Row],[Winning Candidate]]-Audit[[#This Row],[Losing Candidate]]-(Audit[[#This Row],[Audit Winning Candidate]]-Audit[[#This Row],[Audit Losing Candidate]]))/(Audit[[#Totals],[Winning Candidate]]-Audit[[#Totals],[Losing Candidate]]),
      0
)</f>
        <v>0</v>
      </c>
      <c r="AV3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8">
        <f>IF(Audit[[#This Row],[Max Relative Error (ep)]] = 0, 0, Audit[[#This Row],[Max Relative Error (ep)]]/Audit[[#This Row],[Error Bound (up) - Max. possible relative overstatement]])</f>
        <v>0</v>
      </c>
      <c r="BH3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8" s="18">
        <f t="shared" si="6"/>
        <v>1</v>
      </c>
      <c r="BJ368" s="18">
        <f>PRODUCT($BI$5:BI368)</f>
        <v>0.32656797278968008</v>
      </c>
      <c r="BK368" s="20">
        <f>1 - Audit[[#This Row],[K-M P Value]]</f>
        <v>0.67343202721031992</v>
      </c>
      <c r="BL368" s="18" t="str">
        <f>IF(Audit[[#This Row],[K-M P Value]]&gt;1-'General Info'!$B$12,"Continue", "Stop")</f>
        <v>Continue</v>
      </c>
      <c r="BM368" s="23" t="b">
        <f>IF(Audit[[#This Row],[Status - Continue or stop audit]] = "Continue", TRUE, IF(BL367 = "Continue", TRUE, FALSE))</f>
        <v>1</v>
      </c>
      <c r="BN368" s="23"/>
    </row>
    <row r="369" spans="1:66" ht="15" hidden="1" customHeight="1" x14ac:dyDescent="0.35">
      <c r="A369" s="18" t="str">
        <f>'Sampling Data'!AI369</f>
        <v/>
      </c>
      <c r="B369" s="18" t="str">
        <f>'Sampling Data'!A369</f>
        <v>5917 COLE Q   (AV)</v>
      </c>
      <c r="C369" s="18">
        <f>'Sampling Data'!B369</f>
        <v>22</v>
      </c>
      <c r="D369" s="18">
        <f>'Sampling Data'!C369</f>
        <v>3</v>
      </c>
      <c r="E369" s="19">
        <f>'Sampling Data'!D369</f>
        <v>0</v>
      </c>
      <c r="F369" s="19">
        <f>'Sampling Data'!E369</f>
        <v>0</v>
      </c>
      <c r="G369" s="19">
        <f>'Sampling Data'!F369</f>
        <v>0</v>
      </c>
      <c r="H369" s="19">
        <f>'Sampling Data'!G369</f>
        <v>0</v>
      </c>
      <c r="I369" s="19">
        <f>'Sampling Data'!H369</f>
        <v>0</v>
      </c>
      <c r="J369" s="19">
        <f>'Sampling Data'!I369</f>
        <v>0</v>
      </c>
      <c r="K369" s="19">
        <f>'Sampling Data'!J369</f>
        <v>0</v>
      </c>
      <c r="L369" s="19">
        <f>'Sampling Data'!K369</f>
        <v>0</v>
      </c>
      <c r="M369" s="19">
        <f>'Sampling Data'!L369</f>
        <v>0</v>
      </c>
      <c r="N369" s="19">
        <f>'Sampling Data'!M369</f>
        <v>0</v>
      </c>
      <c r="O369" s="18">
        <f>'Sampling Data'!N369</f>
        <v>0</v>
      </c>
      <c r="P369" s="18">
        <f>'Sampling Data'!O369</f>
        <v>0</v>
      </c>
      <c r="Q369" s="18">
        <f>'Sampling Data'!P369</f>
        <v>25</v>
      </c>
      <c r="R369" s="18">
        <f>'Sampling Data'!AJ369</f>
        <v>0</v>
      </c>
      <c r="S369" s="112"/>
      <c r="T369" s="112"/>
      <c r="U369" s="113"/>
      <c r="V369" s="113"/>
      <c r="W369" s="112"/>
      <c r="X369" s="112"/>
      <c r="Y369" s="112"/>
      <c r="Z369" s="112"/>
      <c r="AA369" s="15"/>
      <c r="AB369" s="15"/>
      <c r="AC369" s="15"/>
      <c r="AD369" s="15"/>
      <c r="AE369" s="114" t="str">
        <f>IF(NOT(ISBLANK(Audit[[#This Row],[Audit Winning Candidate]])), Audit[[#This Row],[Audit Winning Candidate]]-Audit[[#This Row],[Winning Candidate]], "")</f>
        <v/>
      </c>
      <c r="AF369" s="18" t="str">
        <f>IF(NOT(ISBLANK(Audit[[#This Row],[Audit Losing Candidate]])), Audit[[#This Row],[Audit Losing Candidate]]-Audit[[#This Row],[Losing Candidate]], "")</f>
        <v/>
      </c>
      <c r="AG369" s="18" t="str">
        <f>IF(NOT(ISBLANK(Audit[[#This Row],[Audit Candidate 3]])), Audit[[#This Row],[Audit Candidate 3]]-Audit[[#This Row],[Candidate 3]], "")</f>
        <v/>
      </c>
      <c r="AH369" s="18" t="str">
        <f>IF(NOT(ISBLANK(Audit[[#This Row],[Audit Candidate 4]])),Audit[[#This Row],[Audit Candidate 4]]-Audit[[#This Row],[Candidate 4]], "")</f>
        <v/>
      </c>
      <c r="AI369" s="18" t="str">
        <f>IF(NOT(ISBLANK(Audit[[#This Row],[Audit Candidate 5]])), Audit[[#This Row],[Audit Candidate 5]]-Audit[[#This Row],[Candidate 5]], "")</f>
        <v/>
      </c>
      <c r="AJ369" s="18" t="str">
        <f>IF(NOT(ISBLANK(Audit[[#This Row],[Audit Candidate 6]])), Audit[[#This Row],[Audit Candidate 6]]-Audit[[#This Row],[Candidate 6]], "")</f>
        <v/>
      </c>
      <c r="AK369" s="18" t="str">
        <f>IF(NOT(ISBLANK(Audit[[#This Row],[Audit Candidate 7]])), Audit[[#This Row],[Audit Candidate 7]]-Audit[[#This Row],[Candidate 7]], "")</f>
        <v/>
      </c>
      <c r="AL369" s="18" t="str">
        <f>IF(NOT(ISBLANK(Audit[[#This Row],[Audit Candidate 8]])), Audit[[#This Row],[Audit Candidate 8]]-Audit[[#This Row],[Candidate 8]], "")</f>
        <v/>
      </c>
      <c r="AM369" s="18" t="str">
        <f>IF(NOT(ISBLANK(Audit[[#This Row],[Audit Candidate 9]])), Audit[[#This Row],[Audit Candidate 9]]-Audit[[#This Row],[Candidate 9]], "")</f>
        <v/>
      </c>
      <c r="AN369" s="18" t="str">
        <f>IF(NOT(ISBLANK(Audit[[#This Row],[Audit Candidate 10]])), Audit[[#This Row],[Audit Candidate 10]]-Audit[[#This Row],[Candidate 10]], "")</f>
        <v/>
      </c>
      <c r="AO369" s="18" t="str">
        <f>IF(NOT(ISBLANK(Audit[[#This Row],[Audit Candidate 11]])), Audit[[#This Row],[Audit Candidate 11]]-Audit[[#This Row],[Candidate 11]], "")</f>
        <v/>
      </c>
      <c r="AP369" s="18" t="str">
        <f>IF(NOT(ISBLANK(Audit[[#This Row],[Audit Candidate 12]])), Audit[[#This Row],[Audit Candidate 12]]-Audit[[#This Row],[Candidate 12]], "")</f>
        <v/>
      </c>
      <c r="AQ369" s="18">
        <f>SUMIF(Audit[[#This Row],[Difference Winner]:[Difference Candidate 12]], "&gt;0")</f>
        <v>0</v>
      </c>
      <c r="AR369" s="18">
        <f>SUM(Audit[[#This Row],[Difference Winner]:[Difference Candidate 12]])</f>
        <v>0</v>
      </c>
      <c r="AS369" s="18">
        <f>IF(Audit[[#This Row],[Times p Drawn - With Replacement]]&gt;0, IF(Audit[[#This Row],[Canceled Differences]]&lt;0, Audit[[#This Row],[Max Differences]]+ABS(Audit[[#This Row],[Canceled Differences]]), Audit[[#This Row],[Max Differences]]), 0)</f>
        <v>0</v>
      </c>
      <c r="AT369" s="18">
        <f>'Sampling Data'!AB369</f>
        <v>1.38203976505324E-3</v>
      </c>
      <c r="AU369" s="18">
        <f>IF(
      SUM(Audit[[#This Row],[Audit Losing Candidate]:[Audit Candidate 12]])
      &lt;&gt;0,
      (Audit[[#This Row],[Winning Candidate]]-Audit[[#This Row],[Losing Candidate]]-(Audit[[#This Row],[Audit Winning Candidate]]-Audit[[#This Row],[Audit Losing Candidate]]))/(Audit[[#Totals],[Winning Candidate]]-Audit[[#Totals],[Losing Candidate]]),
      0
)</f>
        <v>0</v>
      </c>
      <c r="AV3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8">
        <f>IF(Audit[[#This Row],[Max Relative Error (ep)]] = 0, 0, Audit[[#This Row],[Max Relative Error (ep)]]/Audit[[#This Row],[Error Bound (up) - Max. possible relative overstatement]])</f>
        <v>0</v>
      </c>
      <c r="BH3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69" s="18">
        <f t="shared" si="6"/>
        <v>1</v>
      </c>
      <c r="BJ369" s="18">
        <f>PRODUCT($BI$5:BI369)</f>
        <v>0.32656797278968008</v>
      </c>
      <c r="BK369" s="20">
        <f>1 - Audit[[#This Row],[K-M P Value]]</f>
        <v>0.67343202721031992</v>
      </c>
      <c r="BL369" s="18" t="str">
        <f>IF(Audit[[#This Row],[K-M P Value]]&gt;1-'General Info'!$B$12,"Continue", "Stop")</f>
        <v>Continue</v>
      </c>
      <c r="BM369" s="23" t="b">
        <f>IF(Audit[[#This Row],[Status - Continue or stop audit]] = "Continue", TRUE, IF(BL368 = "Continue", TRUE, FALSE))</f>
        <v>1</v>
      </c>
      <c r="BN369" s="23"/>
    </row>
    <row r="370" spans="1:66" ht="15" hidden="1" customHeight="1" x14ac:dyDescent="0.35">
      <c r="A370" s="18" t="str">
        <f>'Sampling Data'!AI370</f>
        <v/>
      </c>
      <c r="B370" s="18" t="str">
        <f>'Sampling Data'!A370</f>
        <v>5918 COLE R   (AV)</v>
      </c>
      <c r="C370" s="18">
        <f>'Sampling Data'!B370</f>
        <v>12</v>
      </c>
      <c r="D370" s="18">
        <f>'Sampling Data'!C370</f>
        <v>0</v>
      </c>
      <c r="E370" s="19">
        <f>'Sampling Data'!D370</f>
        <v>0</v>
      </c>
      <c r="F370" s="19">
        <f>'Sampling Data'!E370</f>
        <v>0</v>
      </c>
      <c r="G370" s="19">
        <f>'Sampling Data'!F370</f>
        <v>0</v>
      </c>
      <c r="H370" s="19">
        <f>'Sampling Data'!G370</f>
        <v>0</v>
      </c>
      <c r="I370" s="19">
        <f>'Sampling Data'!H370</f>
        <v>0</v>
      </c>
      <c r="J370" s="19">
        <f>'Sampling Data'!I370</f>
        <v>0</v>
      </c>
      <c r="K370" s="19">
        <f>'Sampling Data'!J370</f>
        <v>0</v>
      </c>
      <c r="L370" s="19">
        <f>'Sampling Data'!K370</f>
        <v>0</v>
      </c>
      <c r="M370" s="19">
        <f>'Sampling Data'!L370</f>
        <v>0</v>
      </c>
      <c r="N370" s="19">
        <f>'Sampling Data'!M370</f>
        <v>0</v>
      </c>
      <c r="O370" s="18">
        <f>'Sampling Data'!N370</f>
        <v>0</v>
      </c>
      <c r="P370" s="18">
        <f>'Sampling Data'!O370</f>
        <v>0</v>
      </c>
      <c r="Q370" s="18">
        <f>'Sampling Data'!P370</f>
        <v>12</v>
      </c>
      <c r="R370" s="18">
        <f>'Sampling Data'!AJ370</f>
        <v>0</v>
      </c>
      <c r="S370" s="112"/>
      <c r="T370" s="112"/>
      <c r="U370" s="113"/>
      <c r="V370" s="113"/>
      <c r="W370" s="112"/>
      <c r="X370" s="112"/>
      <c r="Y370" s="112"/>
      <c r="Z370" s="112"/>
      <c r="AA370" s="15"/>
      <c r="AB370" s="15"/>
      <c r="AC370" s="15"/>
      <c r="AD370" s="15"/>
      <c r="AE370" s="114" t="str">
        <f>IF(NOT(ISBLANK(Audit[[#This Row],[Audit Winning Candidate]])), Audit[[#This Row],[Audit Winning Candidate]]-Audit[[#This Row],[Winning Candidate]], "")</f>
        <v/>
      </c>
      <c r="AF370" s="18" t="str">
        <f>IF(NOT(ISBLANK(Audit[[#This Row],[Audit Losing Candidate]])), Audit[[#This Row],[Audit Losing Candidate]]-Audit[[#This Row],[Losing Candidate]], "")</f>
        <v/>
      </c>
      <c r="AG370" s="18" t="str">
        <f>IF(NOT(ISBLANK(Audit[[#This Row],[Audit Candidate 3]])), Audit[[#This Row],[Audit Candidate 3]]-Audit[[#This Row],[Candidate 3]], "")</f>
        <v/>
      </c>
      <c r="AH370" s="18" t="str">
        <f>IF(NOT(ISBLANK(Audit[[#This Row],[Audit Candidate 4]])),Audit[[#This Row],[Audit Candidate 4]]-Audit[[#This Row],[Candidate 4]], "")</f>
        <v/>
      </c>
      <c r="AI370" s="18" t="str">
        <f>IF(NOT(ISBLANK(Audit[[#This Row],[Audit Candidate 5]])), Audit[[#This Row],[Audit Candidate 5]]-Audit[[#This Row],[Candidate 5]], "")</f>
        <v/>
      </c>
      <c r="AJ370" s="18" t="str">
        <f>IF(NOT(ISBLANK(Audit[[#This Row],[Audit Candidate 6]])), Audit[[#This Row],[Audit Candidate 6]]-Audit[[#This Row],[Candidate 6]], "")</f>
        <v/>
      </c>
      <c r="AK370" s="18" t="str">
        <f>IF(NOT(ISBLANK(Audit[[#This Row],[Audit Candidate 7]])), Audit[[#This Row],[Audit Candidate 7]]-Audit[[#This Row],[Candidate 7]], "")</f>
        <v/>
      </c>
      <c r="AL370" s="18" t="str">
        <f>IF(NOT(ISBLANK(Audit[[#This Row],[Audit Candidate 8]])), Audit[[#This Row],[Audit Candidate 8]]-Audit[[#This Row],[Candidate 8]], "")</f>
        <v/>
      </c>
      <c r="AM370" s="18" t="str">
        <f>IF(NOT(ISBLANK(Audit[[#This Row],[Audit Candidate 9]])), Audit[[#This Row],[Audit Candidate 9]]-Audit[[#This Row],[Candidate 9]], "")</f>
        <v/>
      </c>
      <c r="AN370" s="18" t="str">
        <f>IF(NOT(ISBLANK(Audit[[#This Row],[Audit Candidate 10]])), Audit[[#This Row],[Audit Candidate 10]]-Audit[[#This Row],[Candidate 10]], "")</f>
        <v/>
      </c>
      <c r="AO370" s="18" t="str">
        <f>IF(NOT(ISBLANK(Audit[[#This Row],[Audit Candidate 11]])), Audit[[#This Row],[Audit Candidate 11]]-Audit[[#This Row],[Candidate 11]], "")</f>
        <v/>
      </c>
      <c r="AP370" s="18" t="str">
        <f>IF(NOT(ISBLANK(Audit[[#This Row],[Audit Candidate 12]])), Audit[[#This Row],[Audit Candidate 12]]-Audit[[#This Row],[Candidate 12]], "")</f>
        <v/>
      </c>
      <c r="AQ370" s="18">
        <f>SUMIF(Audit[[#This Row],[Difference Winner]:[Difference Candidate 12]], "&gt;0")</f>
        <v>0</v>
      </c>
      <c r="AR370" s="18">
        <f>SUM(Audit[[#This Row],[Difference Winner]:[Difference Candidate 12]])</f>
        <v>0</v>
      </c>
      <c r="AS370" s="18">
        <f>IF(Audit[[#This Row],[Times p Drawn - With Replacement]]&gt;0, IF(Audit[[#This Row],[Canceled Differences]]&lt;0, Audit[[#This Row],[Max Differences]]+ABS(Audit[[#This Row],[Canceled Differences]]), Audit[[#This Row],[Max Differences]]), 0)</f>
        <v>0</v>
      </c>
      <c r="AT370" s="18">
        <f>'Sampling Data'!AB370</f>
        <v>7.5383987184722177E-4</v>
      </c>
      <c r="AU370" s="18">
        <f>IF(
      SUM(Audit[[#This Row],[Audit Losing Candidate]:[Audit Candidate 12]])
      &lt;&gt;0,
      (Audit[[#This Row],[Winning Candidate]]-Audit[[#This Row],[Losing Candidate]]-(Audit[[#This Row],[Audit Winning Candidate]]-Audit[[#This Row],[Audit Losing Candidate]]))/(Audit[[#Totals],[Winning Candidate]]-Audit[[#Totals],[Losing Candidate]]),
      0
)</f>
        <v>0</v>
      </c>
      <c r="AV3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8">
        <f>IF(Audit[[#This Row],[Max Relative Error (ep)]] = 0, 0, Audit[[#This Row],[Max Relative Error (ep)]]/Audit[[#This Row],[Error Bound (up) - Max. possible relative overstatement]])</f>
        <v>0</v>
      </c>
      <c r="BH3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0" s="18">
        <f t="shared" si="6"/>
        <v>1</v>
      </c>
      <c r="BJ370" s="18">
        <f>PRODUCT($BI$5:BI370)</f>
        <v>0.32656797278968008</v>
      </c>
      <c r="BK370" s="20">
        <f>1 - Audit[[#This Row],[K-M P Value]]</f>
        <v>0.67343202721031992</v>
      </c>
      <c r="BL370" s="18" t="str">
        <f>IF(Audit[[#This Row],[K-M P Value]]&gt;1-'General Info'!$B$12,"Continue", "Stop")</f>
        <v>Continue</v>
      </c>
      <c r="BM370" s="23" t="b">
        <f>IF(Audit[[#This Row],[Status - Continue or stop audit]] = "Continue", TRUE, IF(BL369 = "Continue", TRUE, FALSE))</f>
        <v>1</v>
      </c>
      <c r="BN370" s="23"/>
    </row>
    <row r="371" spans="1:66" ht="15" hidden="1" customHeight="1" x14ac:dyDescent="0.35">
      <c r="A371" s="18" t="str">
        <f>'Sampling Data'!AI371</f>
        <v/>
      </c>
      <c r="B371" s="18" t="str">
        <f>'Sampling Data'!A371</f>
        <v>5919 COLE S   (AV)</v>
      </c>
      <c r="C371" s="18">
        <f>'Sampling Data'!B371</f>
        <v>9</v>
      </c>
      <c r="D371" s="18">
        <f>'Sampling Data'!C371</f>
        <v>2</v>
      </c>
      <c r="E371" s="19">
        <f>'Sampling Data'!D371</f>
        <v>0</v>
      </c>
      <c r="F371" s="19">
        <f>'Sampling Data'!E371</f>
        <v>0</v>
      </c>
      <c r="G371" s="19">
        <f>'Sampling Data'!F371</f>
        <v>0</v>
      </c>
      <c r="H371" s="19">
        <f>'Sampling Data'!G371</f>
        <v>0</v>
      </c>
      <c r="I371" s="19">
        <f>'Sampling Data'!H371</f>
        <v>0</v>
      </c>
      <c r="J371" s="19">
        <f>'Sampling Data'!I371</f>
        <v>0</v>
      </c>
      <c r="K371" s="19">
        <f>'Sampling Data'!J371</f>
        <v>0</v>
      </c>
      <c r="L371" s="19">
        <f>'Sampling Data'!K371</f>
        <v>0</v>
      </c>
      <c r="M371" s="19">
        <f>'Sampling Data'!L371</f>
        <v>0</v>
      </c>
      <c r="N371" s="19">
        <f>'Sampling Data'!M371</f>
        <v>0</v>
      </c>
      <c r="O371" s="18">
        <f>'Sampling Data'!N371</f>
        <v>0</v>
      </c>
      <c r="P371" s="18">
        <f>'Sampling Data'!O371</f>
        <v>2</v>
      </c>
      <c r="Q371" s="18">
        <f>'Sampling Data'!P371</f>
        <v>13</v>
      </c>
      <c r="R371" s="18">
        <f>'Sampling Data'!AJ371</f>
        <v>0</v>
      </c>
      <c r="S371" s="112"/>
      <c r="T371" s="112"/>
      <c r="U371" s="113"/>
      <c r="V371" s="113"/>
      <c r="W371" s="112"/>
      <c r="X371" s="112"/>
      <c r="Y371" s="112"/>
      <c r="Z371" s="112"/>
      <c r="AA371" s="15"/>
      <c r="AB371" s="15"/>
      <c r="AC371" s="15"/>
      <c r="AD371" s="15"/>
      <c r="AE371" s="114" t="str">
        <f>IF(NOT(ISBLANK(Audit[[#This Row],[Audit Winning Candidate]])), Audit[[#This Row],[Audit Winning Candidate]]-Audit[[#This Row],[Winning Candidate]], "")</f>
        <v/>
      </c>
      <c r="AF371" s="18" t="str">
        <f>IF(NOT(ISBLANK(Audit[[#This Row],[Audit Losing Candidate]])), Audit[[#This Row],[Audit Losing Candidate]]-Audit[[#This Row],[Losing Candidate]], "")</f>
        <v/>
      </c>
      <c r="AG371" s="18" t="str">
        <f>IF(NOT(ISBLANK(Audit[[#This Row],[Audit Candidate 3]])), Audit[[#This Row],[Audit Candidate 3]]-Audit[[#This Row],[Candidate 3]], "")</f>
        <v/>
      </c>
      <c r="AH371" s="18" t="str">
        <f>IF(NOT(ISBLANK(Audit[[#This Row],[Audit Candidate 4]])),Audit[[#This Row],[Audit Candidate 4]]-Audit[[#This Row],[Candidate 4]], "")</f>
        <v/>
      </c>
      <c r="AI371" s="18" t="str">
        <f>IF(NOT(ISBLANK(Audit[[#This Row],[Audit Candidate 5]])), Audit[[#This Row],[Audit Candidate 5]]-Audit[[#This Row],[Candidate 5]], "")</f>
        <v/>
      </c>
      <c r="AJ371" s="18" t="str">
        <f>IF(NOT(ISBLANK(Audit[[#This Row],[Audit Candidate 6]])), Audit[[#This Row],[Audit Candidate 6]]-Audit[[#This Row],[Candidate 6]], "")</f>
        <v/>
      </c>
      <c r="AK371" s="18" t="str">
        <f>IF(NOT(ISBLANK(Audit[[#This Row],[Audit Candidate 7]])), Audit[[#This Row],[Audit Candidate 7]]-Audit[[#This Row],[Candidate 7]], "")</f>
        <v/>
      </c>
      <c r="AL371" s="18" t="str">
        <f>IF(NOT(ISBLANK(Audit[[#This Row],[Audit Candidate 8]])), Audit[[#This Row],[Audit Candidate 8]]-Audit[[#This Row],[Candidate 8]], "")</f>
        <v/>
      </c>
      <c r="AM371" s="18" t="str">
        <f>IF(NOT(ISBLANK(Audit[[#This Row],[Audit Candidate 9]])), Audit[[#This Row],[Audit Candidate 9]]-Audit[[#This Row],[Candidate 9]], "")</f>
        <v/>
      </c>
      <c r="AN371" s="18" t="str">
        <f>IF(NOT(ISBLANK(Audit[[#This Row],[Audit Candidate 10]])), Audit[[#This Row],[Audit Candidate 10]]-Audit[[#This Row],[Candidate 10]], "")</f>
        <v/>
      </c>
      <c r="AO371" s="18" t="str">
        <f>IF(NOT(ISBLANK(Audit[[#This Row],[Audit Candidate 11]])), Audit[[#This Row],[Audit Candidate 11]]-Audit[[#This Row],[Candidate 11]], "")</f>
        <v/>
      </c>
      <c r="AP371" s="18" t="str">
        <f>IF(NOT(ISBLANK(Audit[[#This Row],[Audit Candidate 12]])), Audit[[#This Row],[Audit Candidate 12]]-Audit[[#This Row],[Candidate 12]], "")</f>
        <v/>
      </c>
      <c r="AQ371" s="18">
        <f>SUMIF(Audit[[#This Row],[Difference Winner]:[Difference Candidate 12]], "&gt;0")</f>
        <v>0</v>
      </c>
      <c r="AR371" s="18">
        <f>SUM(Audit[[#This Row],[Difference Winner]:[Difference Candidate 12]])</f>
        <v>0</v>
      </c>
      <c r="AS371" s="18">
        <f>IF(Audit[[#This Row],[Times p Drawn - With Replacement]]&gt;0, IF(Audit[[#This Row],[Canceled Differences]]&lt;0, Audit[[#This Row],[Max Differences]]+ABS(Audit[[#This Row],[Canceled Differences]]), Audit[[#This Row],[Max Differences]]), 0)</f>
        <v>0</v>
      </c>
      <c r="AT371" s="18">
        <f>'Sampling Data'!AB371</f>
        <v>6.2819989320601812E-4</v>
      </c>
      <c r="AU371" s="18">
        <f>IF(
      SUM(Audit[[#This Row],[Audit Losing Candidate]:[Audit Candidate 12]])
      &lt;&gt;0,
      (Audit[[#This Row],[Winning Candidate]]-Audit[[#This Row],[Losing Candidate]]-(Audit[[#This Row],[Audit Winning Candidate]]-Audit[[#This Row],[Audit Losing Candidate]]))/(Audit[[#Totals],[Winning Candidate]]-Audit[[#Totals],[Losing Candidate]]),
      0
)</f>
        <v>0</v>
      </c>
      <c r="AV3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8">
        <f>IF(Audit[[#This Row],[Max Relative Error (ep)]] = 0, 0, Audit[[#This Row],[Max Relative Error (ep)]]/Audit[[#This Row],[Error Bound (up) - Max. possible relative overstatement]])</f>
        <v>0</v>
      </c>
      <c r="BH3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1" s="18">
        <f t="shared" si="6"/>
        <v>1</v>
      </c>
      <c r="BJ371" s="18">
        <f>PRODUCT($BI$5:BI371)</f>
        <v>0.32656797278968008</v>
      </c>
      <c r="BK371" s="20">
        <f>1 - Audit[[#This Row],[K-M P Value]]</f>
        <v>0.67343202721031992</v>
      </c>
      <c r="BL371" s="18" t="str">
        <f>IF(Audit[[#This Row],[K-M P Value]]&gt;1-'General Info'!$B$12,"Continue", "Stop")</f>
        <v>Continue</v>
      </c>
      <c r="BM371" s="23" t="b">
        <f>IF(Audit[[#This Row],[Status - Continue or stop audit]] = "Continue", TRUE, IF(BL370 = "Continue", TRUE, FALSE))</f>
        <v>1</v>
      </c>
      <c r="BN371" s="23"/>
    </row>
    <row r="372" spans="1:66" ht="15" hidden="1" customHeight="1" x14ac:dyDescent="0.35">
      <c r="A372" s="18" t="str">
        <f>'Sampling Data'!AI372</f>
        <v/>
      </c>
      <c r="B372" s="18" t="str">
        <f>'Sampling Data'!A372</f>
        <v>5920 COLE T   (AV)</v>
      </c>
      <c r="C372" s="18">
        <f>'Sampling Data'!B372</f>
        <v>0</v>
      </c>
      <c r="D372" s="18">
        <f>'Sampling Data'!C372</f>
        <v>2</v>
      </c>
      <c r="E372" s="19">
        <f>'Sampling Data'!D372</f>
        <v>0</v>
      </c>
      <c r="F372" s="19">
        <f>'Sampling Data'!E372</f>
        <v>0</v>
      </c>
      <c r="G372" s="19">
        <f>'Sampling Data'!F372</f>
        <v>0</v>
      </c>
      <c r="H372" s="19">
        <f>'Sampling Data'!G372</f>
        <v>0</v>
      </c>
      <c r="I372" s="19">
        <f>'Sampling Data'!H372</f>
        <v>0</v>
      </c>
      <c r="J372" s="19">
        <f>'Sampling Data'!I372</f>
        <v>0</v>
      </c>
      <c r="K372" s="19">
        <f>'Sampling Data'!J372</f>
        <v>0</v>
      </c>
      <c r="L372" s="19">
        <f>'Sampling Data'!K372</f>
        <v>0</v>
      </c>
      <c r="M372" s="19">
        <f>'Sampling Data'!L372</f>
        <v>0</v>
      </c>
      <c r="N372" s="19">
        <f>'Sampling Data'!M372</f>
        <v>0</v>
      </c>
      <c r="O372" s="18">
        <f>'Sampling Data'!N372</f>
        <v>0</v>
      </c>
      <c r="P372" s="18">
        <f>'Sampling Data'!O372</f>
        <v>0</v>
      </c>
      <c r="Q372" s="18">
        <f>'Sampling Data'!P372</f>
        <v>2</v>
      </c>
      <c r="R372" s="18">
        <f>'Sampling Data'!AJ372</f>
        <v>0</v>
      </c>
      <c r="S372" s="112"/>
      <c r="T372" s="112"/>
      <c r="U372" s="113"/>
      <c r="V372" s="113"/>
      <c r="W372" s="112"/>
      <c r="X372" s="112"/>
      <c r="Y372" s="112"/>
      <c r="Z372" s="112"/>
      <c r="AA372" s="15"/>
      <c r="AB372" s="15"/>
      <c r="AC372" s="15"/>
      <c r="AD372" s="15"/>
      <c r="AE372" s="114" t="str">
        <f>IF(NOT(ISBLANK(Audit[[#This Row],[Audit Winning Candidate]])), Audit[[#This Row],[Audit Winning Candidate]]-Audit[[#This Row],[Winning Candidate]], "")</f>
        <v/>
      </c>
      <c r="AF372" s="18" t="str">
        <f>IF(NOT(ISBLANK(Audit[[#This Row],[Audit Losing Candidate]])), Audit[[#This Row],[Audit Losing Candidate]]-Audit[[#This Row],[Losing Candidate]], "")</f>
        <v/>
      </c>
      <c r="AG372" s="18" t="str">
        <f>IF(NOT(ISBLANK(Audit[[#This Row],[Audit Candidate 3]])), Audit[[#This Row],[Audit Candidate 3]]-Audit[[#This Row],[Candidate 3]], "")</f>
        <v/>
      </c>
      <c r="AH372" s="18" t="str">
        <f>IF(NOT(ISBLANK(Audit[[#This Row],[Audit Candidate 4]])),Audit[[#This Row],[Audit Candidate 4]]-Audit[[#This Row],[Candidate 4]], "")</f>
        <v/>
      </c>
      <c r="AI372" s="18" t="str">
        <f>IF(NOT(ISBLANK(Audit[[#This Row],[Audit Candidate 5]])), Audit[[#This Row],[Audit Candidate 5]]-Audit[[#This Row],[Candidate 5]], "")</f>
        <v/>
      </c>
      <c r="AJ372" s="18" t="str">
        <f>IF(NOT(ISBLANK(Audit[[#This Row],[Audit Candidate 6]])), Audit[[#This Row],[Audit Candidate 6]]-Audit[[#This Row],[Candidate 6]], "")</f>
        <v/>
      </c>
      <c r="AK372" s="18" t="str">
        <f>IF(NOT(ISBLANK(Audit[[#This Row],[Audit Candidate 7]])), Audit[[#This Row],[Audit Candidate 7]]-Audit[[#This Row],[Candidate 7]], "")</f>
        <v/>
      </c>
      <c r="AL372" s="18" t="str">
        <f>IF(NOT(ISBLANK(Audit[[#This Row],[Audit Candidate 8]])), Audit[[#This Row],[Audit Candidate 8]]-Audit[[#This Row],[Candidate 8]], "")</f>
        <v/>
      </c>
      <c r="AM372" s="18" t="str">
        <f>IF(NOT(ISBLANK(Audit[[#This Row],[Audit Candidate 9]])), Audit[[#This Row],[Audit Candidate 9]]-Audit[[#This Row],[Candidate 9]], "")</f>
        <v/>
      </c>
      <c r="AN372" s="18" t="str">
        <f>IF(NOT(ISBLANK(Audit[[#This Row],[Audit Candidate 10]])), Audit[[#This Row],[Audit Candidate 10]]-Audit[[#This Row],[Candidate 10]], "")</f>
        <v/>
      </c>
      <c r="AO372" s="18" t="str">
        <f>IF(NOT(ISBLANK(Audit[[#This Row],[Audit Candidate 11]])), Audit[[#This Row],[Audit Candidate 11]]-Audit[[#This Row],[Candidate 11]], "")</f>
        <v/>
      </c>
      <c r="AP372" s="18" t="str">
        <f>IF(NOT(ISBLANK(Audit[[#This Row],[Audit Candidate 12]])), Audit[[#This Row],[Audit Candidate 12]]-Audit[[#This Row],[Candidate 12]], "")</f>
        <v/>
      </c>
      <c r="AQ372" s="18">
        <f>SUMIF(Audit[[#This Row],[Difference Winner]:[Difference Candidate 12]], "&gt;0")</f>
        <v>0</v>
      </c>
      <c r="AR372" s="18">
        <f>SUM(Audit[[#This Row],[Difference Winner]:[Difference Candidate 12]])</f>
        <v>0</v>
      </c>
      <c r="AS372" s="18">
        <f>IF(Audit[[#This Row],[Times p Drawn - With Replacement]]&gt;0, IF(Audit[[#This Row],[Canceled Differences]]&lt;0, Audit[[#This Row],[Max Differences]]+ABS(Audit[[#This Row],[Canceled Differences]]), Audit[[#This Row],[Max Differences]]), 0)</f>
        <v>0</v>
      </c>
      <c r="AT372" s="18">
        <f>'Sampling Data'!AB372</f>
        <v>0</v>
      </c>
      <c r="AU372" s="18">
        <f>IF(
      SUM(Audit[[#This Row],[Audit Losing Candidate]:[Audit Candidate 12]])
      &lt;&gt;0,
      (Audit[[#This Row],[Winning Candidate]]-Audit[[#This Row],[Losing Candidate]]-(Audit[[#This Row],[Audit Winning Candidate]]-Audit[[#This Row],[Audit Losing Candidate]]))/(Audit[[#Totals],[Winning Candidate]]-Audit[[#Totals],[Losing Candidate]]),
      0
)</f>
        <v>0</v>
      </c>
      <c r="AV3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8">
        <f>IF(Audit[[#This Row],[Max Relative Error (ep)]] = 0, 0, Audit[[#This Row],[Max Relative Error (ep)]]/Audit[[#This Row],[Error Bound (up) - Max. possible relative overstatement]])</f>
        <v>0</v>
      </c>
      <c r="BH3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2" s="18">
        <f t="shared" si="6"/>
        <v>1</v>
      </c>
      <c r="BJ372" s="18">
        <f>PRODUCT($BI$5:BI372)</f>
        <v>0.32656797278968008</v>
      </c>
      <c r="BK372" s="20">
        <f>1 - Audit[[#This Row],[K-M P Value]]</f>
        <v>0.67343202721031992</v>
      </c>
      <c r="BL372" s="18" t="str">
        <f>IF(Audit[[#This Row],[K-M P Value]]&gt;1-'General Info'!$B$12,"Continue", "Stop")</f>
        <v>Continue</v>
      </c>
      <c r="BM372" s="23" t="b">
        <f>IF(Audit[[#This Row],[Status - Continue or stop audit]] = "Continue", TRUE, IF(BL371 = "Continue", TRUE, FALSE))</f>
        <v>1</v>
      </c>
      <c r="BN372" s="23"/>
    </row>
    <row r="373" spans="1:66" ht="15" hidden="1" customHeight="1" x14ac:dyDescent="0.35">
      <c r="A373" s="18" t="str">
        <f>'Sampling Data'!AI373</f>
        <v/>
      </c>
      <c r="B373" s="18" t="str">
        <f>'Sampling Data'!A373</f>
        <v>5921 COLE U   (AV)</v>
      </c>
      <c r="C373" s="18">
        <f>'Sampling Data'!B373</f>
        <v>7</v>
      </c>
      <c r="D373" s="18">
        <f>'Sampling Data'!C373</f>
        <v>3</v>
      </c>
      <c r="E373" s="19">
        <f>'Sampling Data'!D373</f>
        <v>0</v>
      </c>
      <c r="F373" s="19">
        <f>'Sampling Data'!E373</f>
        <v>0</v>
      </c>
      <c r="G373" s="19">
        <f>'Sampling Data'!F373</f>
        <v>0</v>
      </c>
      <c r="H373" s="19">
        <f>'Sampling Data'!G373</f>
        <v>0</v>
      </c>
      <c r="I373" s="19">
        <f>'Sampling Data'!H373</f>
        <v>0</v>
      </c>
      <c r="J373" s="19">
        <f>'Sampling Data'!I373</f>
        <v>0</v>
      </c>
      <c r="K373" s="19">
        <f>'Sampling Data'!J373</f>
        <v>0</v>
      </c>
      <c r="L373" s="19">
        <f>'Sampling Data'!K373</f>
        <v>0</v>
      </c>
      <c r="M373" s="19">
        <f>'Sampling Data'!L373</f>
        <v>0</v>
      </c>
      <c r="N373" s="19">
        <f>'Sampling Data'!M373</f>
        <v>0</v>
      </c>
      <c r="O373" s="18">
        <f>'Sampling Data'!N373</f>
        <v>0</v>
      </c>
      <c r="P373" s="18">
        <f>'Sampling Data'!O373</f>
        <v>0</v>
      </c>
      <c r="Q373" s="18">
        <f>'Sampling Data'!P373</f>
        <v>10</v>
      </c>
      <c r="R373" s="18">
        <f>'Sampling Data'!AJ373</f>
        <v>0</v>
      </c>
      <c r="S373" s="112"/>
      <c r="T373" s="112"/>
      <c r="U373" s="113"/>
      <c r="V373" s="113"/>
      <c r="W373" s="112"/>
      <c r="X373" s="112"/>
      <c r="Y373" s="112"/>
      <c r="Z373" s="112"/>
      <c r="AA373" s="15"/>
      <c r="AB373" s="15"/>
      <c r="AC373" s="15"/>
      <c r="AD373" s="15"/>
      <c r="AE373" s="114" t="str">
        <f>IF(NOT(ISBLANK(Audit[[#This Row],[Audit Winning Candidate]])), Audit[[#This Row],[Audit Winning Candidate]]-Audit[[#This Row],[Winning Candidate]], "")</f>
        <v/>
      </c>
      <c r="AF373" s="18" t="str">
        <f>IF(NOT(ISBLANK(Audit[[#This Row],[Audit Losing Candidate]])), Audit[[#This Row],[Audit Losing Candidate]]-Audit[[#This Row],[Losing Candidate]], "")</f>
        <v/>
      </c>
      <c r="AG373" s="18" t="str">
        <f>IF(NOT(ISBLANK(Audit[[#This Row],[Audit Candidate 3]])), Audit[[#This Row],[Audit Candidate 3]]-Audit[[#This Row],[Candidate 3]], "")</f>
        <v/>
      </c>
      <c r="AH373" s="18" t="str">
        <f>IF(NOT(ISBLANK(Audit[[#This Row],[Audit Candidate 4]])),Audit[[#This Row],[Audit Candidate 4]]-Audit[[#This Row],[Candidate 4]], "")</f>
        <v/>
      </c>
      <c r="AI373" s="18" t="str">
        <f>IF(NOT(ISBLANK(Audit[[#This Row],[Audit Candidate 5]])), Audit[[#This Row],[Audit Candidate 5]]-Audit[[#This Row],[Candidate 5]], "")</f>
        <v/>
      </c>
      <c r="AJ373" s="18" t="str">
        <f>IF(NOT(ISBLANK(Audit[[#This Row],[Audit Candidate 6]])), Audit[[#This Row],[Audit Candidate 6]]-Audit[[#This Row],[Candidate 6]], "")</f>
        <v/>
      </c>
      <c r="AK373" s="18" t="str">
        <f>IF(NOT(ISBLANK(Audit[[#This Row],[Audit Candidate 7]])), Audit[[#This Row],[Audit Candidate 7]]-Audit[[#This Row],[Candidate 7]], "")</f>
        <v/>
      </c>
      <c r="AL373" s="18" t="str">
        <f>IF(NOT(ISBLANK(Audit[[#This Row],[Audit Candidate 8]])), Audit[[#This Row],[Audit Candidate 8]]-Audit[[#This Row],[Candidate 8]], "")</f>
        <v/>
      </c>
      <c r="AM373" s="18" t="str">
        <f>IF(NOT(ISBLANK(Audit[[#This Row],[Audit Candidate 9]])), Audit[[#This Row],[Audit Candidate 9]]-Audit[[#This Row],[Candidate 9]], "")</f>
        <v/>
      </c>
      <c r="AN373" s="18" t="str">
        <f>IF(NOT(ISBLANK(Audit[[#This Row],[Audit Candidate 10]])), Audit[[#This Row],[Audit Candidate 10]]-Audit[[#This Row],[Candidate 10]], "")</f>
        <v/>
      </c>
      <c r="AO373" s="18" t="str">
        <f>IF(NOT(ISBLANK(Audit[[#This Row],[Audit Candidate 11]])), Audit[[#This Row],[Audit Candidate 11]]-Audit[[#This Row],[Candidate 11]], "")</f>
        <v/>
      </c>
      <c r="AP373" s="18" t="str">
        <f>IF(NOT(ISBLANK(Audit[[#This Row],[Audit Candidate 12]])), Audit[[#This Row],[Audit Candidate 12]]-Audit[[#This Row],[Candidate 12]], "")</f>
        <v/>
      </c>
      <c r="AQ373" s="18">
        <f>SUMIF(Audit[[#This Row],[Difference Winner]:[Difference Candidate 12]], "&gt;0")</f>
        <v>0</v>
      </c>
      <c r="AR373" s="18">
        <f>SUM(Audit[[#This Row],[Difference Winner]:[Difference Candidate 12]])</f>
        <v>0</v>
      </c>
      <c r="AS373" s="18">
        <f>IF(Audit[[#This Row],[Times p Drawn - With Replacement]]&gt;0, IF(Audit[[#This Row],[Canceled Differences]]&lt;0, Audit[[#This Row],[Max Differences]]+ABS(Audit[[#This Row],[Canceled Differences]]), Audit[[#This Row],[Max Differences]]), 0)</f>
        <v>0</v>
      </c>
      <c r="AT373" s="18">
        <f>'Sampling Data'!AB373</f>
        <v>4.3973992524421271E-4</v>
      </c>
      <c r="AU373" s="18">
        <f>IF(
      SUM(Audit[[#This Row],[Audit Losing Candidate]:[Audit Candidate 12]])
      &lt;&gt;0,
      (Audit[[#This Row],[Winning Candidate]]-Audit[[#This Row],[Losing Candidate]]-(Audit[[#This Row],[Audit Winning Candidate]]-Audit[[#This Row],[Audit Losing Candidate]]))/(Audit[[#Totals],[Winning Candidate]]-Audit[[#Totals],[Losing Candidate]]),
      0
)</f>
        <v>0</v>
      </c>
      <c r="AV3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8">
        <f>IF(Audit[[#This Row],[Max Relative Error (ep)]] = 0, 0, Audit[[#This Row],[Max Relative Error (ep)]]/Audit[[#This Row],[Error Bound (up) - Max. possible relative overstatement]])</f>
        <v>0</v>
      </c>
      <c r="BH3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3" s="18">
        <f t="shared" si="6"/>
        <v>1</v>
      </c>
      <c r="BJ373" s="18">
        <f>PRODUCT($BI$5:BI373)</f>
        <v>0.32656797278968008</v>
      </c>
      <c r="BK373" s="20">
        <f>1 - Audit[[#This Row],[K-M P Value]]</f>
        <v>0.67343202721031992</v>
      </c>
      <c r="BL373" s="18" t="str">
        <f>IF(Audit[[#This Row],[K-M P Value]]&gt;1-'General Info'!$B$12,"Continue", "Stop")</f>
        <v>Continue</v>
      </c>
      <c r="BM373" s="23" t="b">
        <f>IF(Audit[[#This Row],[Status - Continue or stop audit]] = "Continue", TRUE, IF(BL372 = "Continue", TRUE, FALSE))</f>
        <v>1</v>
      </c>
      <c r="BN373" s="23"/>
    </row>
    <row r="374" spans="1:66" ht="15" hidden="1" customHeight="1" x14ac:dyDescent="0.35">
      <c r="A374" s="18" t="str">
        <f>'Sampling Data'!AI374</f>
        <v/>
      </c>
      <c r="B374" s="18" t="str">
        <f>'Sampling Data'!A374</f>
        <v>5922 COLE V   (AV)</v>
      </c>
      <c r="C374" s="18">
        <f>'Sampling Data'!B374</f>
        <v>5</v>
      </c>
      <c r="D374" s="18">
        <f>'Sampling Data'!C374</f>
        <v>3</v>
      </c>
      <c r="E374" s="19">
        <f>'Sampling Data'!D374</f>
        <v>0</v>
      </c>
      <c r="F374" s="19">
        <f>'Sampling Data'!E374</f>
        <v>0</v>
      </c>
      <c r="G374" s="19">
        <f>'Sampling Data'!F374</f>
        <v>0</v>
      </c>
      <c r="H374" s="19">
        <f>'Sampling Data'!G374</f>
        <v>0</v>
      </c>
      <c r="I374" s="19">
        <f>'Sampling Data'!H374</f>
        <v>0</v>
      </c>
      <c r="J374" s="19">
        <f>'Sampling Data'!I374</f>
        <v>0</v>
      </c>
      <c r="K374" s="19">
        <f>'Sampling Data'!J374</f>
        <v>0</v>
      </c>
      <c r="L374" s="19">
        <f>'Sampling Data'!K374</f>
        <v>0</v>
      </c>
      <c r="M374" s="19">
        <f>'Sampling Data'!L374</f>
        <v>0</v>
      </c>
      <c r="N374" s="19">
        <f>'Sampling Data'!M374</f>
        <v>0</v>
      </c>
      <c r="O374" s="18">
        <f>'Sampling Data'!N374</f>
        <v>0</v>
      </c>
      <c r="P374" s="18">
        <f>'Sampling Data'!O374</f>
        <v>1</v>
      </c>
      <c r="Q374" s="18">
        <f>'Sampling Data'!P374</f>
        <v>9</v>
      </c>
      <c r="R374" s="18">
        <f>'Sampling Data'!AJ374</f>
        <v>0</v>
      </c>
      <c r="S374" s="112"/>
      <c r="T374" s="112"/>
      <c r="U374" s="113"/>
      <c r="V374" s="113"/>
      <c r="W374" s="112"/>
      <c r="X374" s="112"/>
      <c r="Y374" s="112"/>
      <c r="Z374" s="112"/>
      <c r="AA374" s="15"/>
      <c r="AB374" s="15"/>
      <c r="AC374" s="15"/>
      <c r="AD374" s="15"/>
      <c r="AE374" s="114" t="str">
        <f>IF(NOT(ISBLANK(Audit[[#This Row],[Audit Winning Candidate]])), Audit[[#This Row],[Audit Winning Candidate]]-Audit[[#This Row],[Winning Candidate]], "")</f>
        <v/>
      </c>
      <c r="AF374" s="18" t="str">
        <f>IF(NOT(ISBLANK(Audit[[#This Row],[Audit Losing Candidate]])), Audit[[#This Row],[Audit Losing Candidate]]-Audit[[#This Row],[Losing Candidate]], "")</f>
        <v/>
      </c>
      <c r="AG374" s="18" t="str">
        <f>IF(NOT(ISBLANK(Audit[[#This Row],[Audit Candidate 3]])), Audit[[#This Row],[Audit Candidate 3]]-Audit[[#This Row],[Candidate 3]], "")</f>
        <v/>
      </c>
      <c r="AH374" s="18" t="str">
        <f>IF(NOT(ISBLANK(Audit[[#This Row],[Audit Candidate 4]])),Audit[[#This Row],[Audit Candidate 4]]-Audit[[#This Row],[Candidate 4]], "")</f>
        <v/>
      </c>
      <c r="AI374" s="18" t="str">
        <f>IF(NOT(ISBLANK(Audit[[#This Row],[Audit Candidate 5]])), Audit[[#This Row],[Audit Candidate 5]]-Audit[[#This Row],[Candidate 5]], "")</f>
        <v/>
      </c>
      <c r="AJ374" s="18" t="str">
        <f>IF(NOT(ISBLANK(Audit[[#This Row],[Audit Candidate 6]])), Audit[[#This Row],[Audit Candidate 6]]-Audit[[#This Row],[Candidate 6]], "")</f>
        <v/>
      </c>
      <c r="AK374" s="18" t="str">
        <f>IF(NOT(ISBLANK(Audit[[#This Row],[Audit Candidate 7]])), Audit[[#This Row],[Audit Candidate 7]]-Audit[[#This Row],[Candidate 7]], "")</f>
        <v/>
      </c>
      <c r="AL374" s="18" t="str">
        <f>IF(NOT(ISBLANK(Audit[[#This Row],[Audit Candidate 8]])), Audit[[#This Row],[Audit Candidate 8]]-Audit[[#This Row],[Candidate 8]], "")</f>
        <v/>
      </c>
      <c r="AM374" s="18" t="str">
        <f>IF(NOT(ISBLANK(Audit[[#This Row],[Audit Candidate 9]])), Audit[[#This Row],[Audit Candidate 9]]-Audit[[#This Row],[Candidate 9]], "")</f>
        <v/>
      </c>
      <c r="AN374" s="18" t="str">
        <f>IF(NOT(ISBLANK(Audit[[#This Row],[Audit Candidate 10]])), Audit[[#This Row],[Audit Candidate 10]]-Audit[[#This Row],[Candidate 10]], "")</f>
        <v/>
      </c>
      <c r="AO374" s="18" t="str">
        <f>IF(NOT(ISBLANK(Audit[[#This Row],[Audit Candidate 11]])), Audit[[#This Row],[Audit Candidate 11]]-Audit[[#This Row],[Candidate 11]], "")</f>
        <v/>
      </c>
      <c r="AP374" s="18" t="str">
        <f>IF(NOT(ISBLANK(Audit[[#This Row],[Audit Candidate 12]])), Audit[[#This Row],[Audit Candidate 12]]-Audit[[#This Row],[Candidate 12]], "")</f>
        <v/>
      </c>
      <c r="AQ374" s="18">
        <f>SUMIF(Audit[[#This Row],[Difference Winner]:[Difference Candidate 12]], "&gt;0")</f>
        <v>0</v>
      </c>
      <c r="AR374" s="18">
        <f>SUM(Audit[[#This Row],[Difference Winner]:[Difference Candidate 12]])</f>
        <v>0</v>
      </c>
      <c r="AS374" s="18">
        <f>IF(Audit[[#This Row],[Times p Drawn - With Replacement]]&gt;0, IF(Audit[[#This Row],[Canceled Differences]]&lt;0, Audit[[#This Row],[Max Differences]]+ABS(Audit[[#This Row],[Canceled Differences]]), Audit[[#This Row],[Max Differences]]), 0)</f>
        <v>0</v>
      </c>
      <c r="AT374" s="18">
        <f>'Sampling Data'!AB374</f>
        <v>3.4550994126331E-4</v>
      </c>
      <c r="AU374" s="18">
        <f>IF(
      SUM(Audit[[#This Row],[Audit Losing Candidate]:[Audit Candidate 12]])
      &lt;&gt;0,
      (Audit[[#This Row],[Winning Candidate]]-Audit[[#This Row],[Losing Candidate]]-(Audit[[#This Row],[Audit Winning Candidate]]-Audit[[#This Row],[Audit Losing Candidate]]))/(Audit[[#Totals],[Winning Candidate]]-Audit[[#Totals],[Losing Candidate]]),
      0
)</f>
        <v>0</v>
      </c>
      <c r="AV3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8">
        <f>IF(Audit[[#This Row],[Max Relative Error (ep)]] = 0, 0, Audit[[#This Row],[Max Relative Error (ep)]]/Audit[[#This Row],[Error Bound (up) - Max. possible relative overstatement]])</f>
        <v>0</v>
      </c>
      <c r="BH3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4" s="18">
        <f t="shared" si="6"/>
        <v>1</v>
      </c>
      <c r="BJ374" s="18">
        <f>PRODUCT($BI$5:BI374)</f>
        <v>0.32656797278968008</v>
      </c>
      <c r="BK374" s="20">
        <f>1 - Audit[[#This Row],[K-M P Value]]</f>
        <v>0.67343202721031992</v>
      </c>
      <c r="BL374" s="18" t="str">
        <f>IF(Audit[[#This Row],[K-M P Value]]&gt;1-'General Info'!$B$12,"Continue", "Stop")</f>
        <v>Continue</v>
      </c>
      <c r="BM374" s="23" t="b">
        <f>IF(Audit[[#This Row],[Status - Continue or stop audit]] = "Continue", TRUE, IF(BL373 = "Continue", TRUE, FALSE))</f>
        <v>1</v>
      </c>
      <c r="BN374" s="23"/>
    </row>
    <row r="375" spans="1:66" ht="15" hidden="1" customHeight="1" x14ac:dyDescent="0.35">
      <c r="A375" s="18" t="str">
        <f>'Sampling Data'!AI375</f>
        <v/>
      </c>
      <c r="B375" s="18" t="str">
        <f>'Sampling Data'!A375</f>
        <v>5923 COLE W   (AV)</v>
      </c>
      <c r="C375" s="18">
        <f>'Sampling Data'!B375</f>
        <v>0</v>
      </c>
      <c r="D375" s="18">
        <f>'Sampling Data'!C375</f>
        <v>0</v>
      </c>
      <c r="E375" s="19">
        <f>'Sampling Data'!D375</f>
        <v>0</v>
      </c>
      <c r="F375" s="19">
        <f>'Sampling Data'!E375</f>
        <v>0</v>
      </c>
      <c r="G375" s="19">
        <f>'Sampling Data'!F375</f>
        <v>0</v>
      </c>
      <c r="H375" s="19">
        <f>'Sampling Data'!G375</f>
        <v>0</v>
      </c>
      <c r="I375" s="19">
        <f>'Sampling Data'!H375</f>
        <v>0</v>
      </c>
      <c r="J375" s="19">
        <f>'Sampling Data'!I375</f>
        <v>0</v>
      </c>
      <c r="K375" s="19">
        <f>'Sampling Data'!J375</f>
        <v>0</v>
      </c>
      <c r="L375" s="19">
        <f>'Sampling Data'!K375</f>
        <v>0</v>
      </c>
      <c r="M375" s="19">
        <f>'Sampling Data'!L375</f>
        <v>0</v>
      </c>
      <c r="N375" s="19">
        <f>'Sampling Data'!M375</f>
        <v>0</v>
      </c>
      <c r="O375" s="18">
        <f>'Sampling Data'!N375</f>
        <v>0</v>
      </c>
      <c r="P375" s="18">
        <f>'Sampling Data'!O375</f>
        <v>0</v>
      </c>
      <c r="Q375" s="18">
        <f>'Sampling Data'!P375</f>
        <v>0</v>
      </c>
      <c r="R375" s="18">
        <f>'Sampling Data'!AJ375</f>
        <v>0</v>
      </c>
      <c r="S375" s="112"/>
      <c r="T375" s="112"/>
      <c r="U375" s="113"/>
      <c r="V375" s="113"/>
      <c r="W375" s="112"/>
      <c r="X375" s="112"/>
      <c r="Y375" s="112"/>
      <c r="Z375" s="112"/>
      <c r="AA375" s="15"/>
      <c r="AB375" s="15"/>
      <c r="AC375" s="15"/>
      <c r="AD375" s="15"/>
      <c r="AE375" s="114" t="str">
        <f>IF(NOT(ISBLANK(Audit[[#This Row],[Audit Winning Candidate]])), Audit[[#This Row],[Audit Winning Candidate]]-Audit[[#This Row],[Winning Candidate]], "")</f>
        <v/>
      </c>
      <c r="AF375" s="18" t="str">
        <f>IF(NOT(ISBLANK(Audit[[#This Row],[Audit Losing Candidate]])), Audit[[#This Row],[Audit Losing Candidate]]-Audit[[#This Row],[Losing Candidate]], "")</f>
        <v/>
      </c>
      <c r="AG375" s="18" t="str">
        <f>IF(NOT(ISBLANK(Audit[[#This Row],[Audit Candidate 3]])), Audit[[#This Row],[Audit Candidate 3]]-Audit[[#This Row],[Candidate 3]], "")</f>
        <v/>
      </c>
      <c r="AH375" s="18" t="str">
        <f>IF(NOT(ISBLANK(Audit[[#This Row],[Audit Candidate 4]])),Audit[[#This Row],[Audit Candidate 4]]-Audit[[#This Row],[Candidate 4]], "")</f>
        <v/>
      </c>
      <c r="AI375" s="18" t="str">
        <f>IF(NOT(ISBLANK(Audit[[#This Row],[Audit Candidate 5]])), Audit[[#This Row],[Audit Candidate 5]]-Audit[[#This Row],[Candidate 5]], "")</f>
        <v/>
      </c>
      <c r="AJ375" s="18" t="str">
        <f>IF(NOT(ISBLANK(Audit[[#This Row],[Audit Candidate 6]])), Audit[[#This Row],[Audit Candidate 6]]-Audit[[#This Row],[Candidate 6]], "")</f>
        <v/>
      </c>
      <c r="AK375" s="18" t="str">
        <f>IF(NOT(ISBLANK(Audit[[#This Row],[Audit Candidate 7]])), Audit[[#This Row],[Audit Candidate 7]]-Audit[[#This Row],[Candidate 7]], "")</f>
        <v/>
      </c>
      <c r="AL375" s="18" t="str">
        <f>IF(NOT(ISBLANK(Audit[[#This Row],[Audit Candidate 8]])), Audit[[#This Row],[Audit Candidate 8]]-Audit[[#This Row],[Candidate 8]], "")</f>
        <v/>
      </c>
      <c r="AM375" s="18" t="str">
        <f>IF(NOT(ISBLANK(Audit[[#This Row],[Audit Candidate 9]])), Audit[[#This Row],[Audit Candidate 9]]-Audit[[#This Row],[Candidate 9]], "")</f>
        <v/>
      </c>
      <c r="AN375" s="18" t="str">
        <f>IF(NOT(ISBLANK(Audit[[#This Row],[Audit Candidate 10]])), Audit[[#This Row],[Audit Candidate 10]]-Audit[[#This Row],[Candidate 10]], "")</f>
        <v/>
      </c>
      <c r="AO375" s="18" t="str">
        <f>IF(NOT(ISBLANK(Audit[[#This Row],[Audit Candidate 11]])), Audit[[#This Row],[Audit Candidate 11]]-Audit[[#This Row],[Candidate 11]], "")</f>
        <v/>
      </c>
      <c r="AP375" s="18" t="str">
        <f>IF(NOT(ISBLANK(Audit[[#This Row],[Audit Candidate 12]])), Audit[[#This Row],[Audit Candidate 12]]-Audit[[#This Row],[Candidate 12]], "")</f>
        <v/>
      </c>
      <c r="AQ375" s="18">
        <f>SUMIF(Audit[[#This Row],[Difference Winner]:[Difference Candidate 12]], "&gt;0")</f>
        <v>0</v>
      </c>
      <c r="AR375" s="18">
        <f>SUM(Audit[[#This Row],[Difference Winner]:[Difference Candidate 12]])</f>
        <v>0</v>
      </c>
      <c r="AS375" s="18">
        <f>IF(Audit[[#This Row],[Times p Drawn - With Replacement]]&gt;0, IF(Audit[[#This Row],[Canceled Differences]]&lt;0, Audit[[#This Row],[Max Differences]]+ABS(Audit[[#This Row],[Canceled Differences]]), Audit[[#This Row],[Max Differences]]), 0)</f>
        <v>0</v>
      </c>
      <c r="AT375" s="18">
        <f>'Sampling Data'!AB375</f>
        <v>0</v>
      </c>
      <c r="AU375" s="18">
        <f>IF(
      SUM(Audit[[#This Row],[Audit Losing Candidate]:[Audit Candidate 12]])
      &lt;&gt;0,
      (Audit[[#This Row],[Winning Candidate]]-Audit[[#This Row],[Losing Candidate]]-(Audit[[#This Row],[Audit Winning Candidate]]-Audit[[#This Row],[Audit Losing Candidate]]))/(Audit[[#Totals],[Winning Candidate]]-Audit[[#Totals],[Losing Candidate]]),
      0
)</f>
        <v>0</v>
      </c>
      <c r="AV3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8">
        <f>IF(Audit[[#This Row],[Max Relative Error (ep)]] = 0, 0, Audit[[#This Row],[Max Relative Error (ep)]]/Audit[[#This Row],[Error Bound (up) - Max. possible relative overstatement]])</f>
        <v>0</v>
      </c>
      <c r="BH3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5" s="18">
        <f t="shared" si="6"/>
        <v>1</v>
      </c>
      <c r="BJ375" s="18">
        <f>PRODUCT($BI$5:BI375)</f>
        <v>0.32656797278968008</v>
      </c>
      <c r="BK375" s="20">
        <f>1 - Audit[[#This Row],[K-M P Value]]</f>
        <v>0.67343202721031992</v>
      </c>
      <c r="BL375" s="18" t="str">
        <f>IF(Audit[[#This Row],[K-M P Value]]&gt;1-'General Info'!$B$12,"Continue", "Stop")</f>
        <v>Continue</v>
      </c>
      <c r="BM375" s="23" t="b">
        <f>IF(Audit[[#This Row],[Status - Continue or stop audit]] = "Continue", TRUE, IF(BL374 = "Continue", TRUE, FALSE))</f>
        <v>1</v>
      </c>
      <c r="BN375" s="23"/>
    </row>
    <row r="376" spans="1:66" ht="15" hidden="1" customHeight="1" x14ac:dyDescent="0.35">
      <c r="A376" s="18" t="str">
        <f>'Sampling Data'!AI376</f>
        <v/>
      </c>
      <c r="B376" s="18" t="str">
        <f>'Sampling Data'!A376</f>
        <v>5924 COLE X   (AV)</v>
      </c>
      <c r="C376" s="18">
        <f>'Sampling Data'!B376</f>
        <v>8</v>
      </c>
      <c r="D376" s="18">
        <f>'Sampling Data'!C376</f>
        <v>0</v>
      </c>
      <c r="E376" s="19">
        <f>'Sampling Data'!D376</f>
        <v>0</v>
      </c>
      <c r="F376" s="19">
        <f>'Sampling Data'!E376</f>
        <v>0</v>
      </c>
      <c r="G376" s="19">
        <f>'Sampling Data'!F376</f>
        <v>0</v>
      </c>
      <c r="H376" s="19">
        <f>'Sampling Data'!G376</f>
        <v>0</v>
      </c>
      <c r="I376" s="19">
        <f>'Sampling Data'!H376</f>
        <v>0</v>
      </c>
      <c r="J376" s="19">
        <f>'Sampling Data'!I376</f>
        <v>0</v>
      </c>
      <c r="K376" s="19">
        <f>'Sampling Data'!J376</f>
        <v>0</v>
      </c>
      <c r="L376" s="19">
        <f>'Sampling Data'!K376</f>
        <v>0</v>
      </c>
      <c r="M376" s="19">
        <f>'Sampling Data'!L376</f>
        <v>0</v>
      </c>
      <c r="N376" s="19">
        <f>'Sampling Data'!M376</f>
        <v>0</v>
      </c>
      <c r="O376" s="18">
        <f>'Sampling Data'!N376</f>
        <v>0</v>
      </c>
      <c r="P376" s="18">
        <f>'Sampling Data'!O376</f>
        <v>0</v>
      </c>
      <c r="Q376" s="18">
        <f>'Sampling Data'!P376</f>
        <v>8</v>
      </c>
      <c r="R376" s="18">
        <f>'Sampling Data'!AJ376</f>
        <v>0</v>
      </c>
      <c r="S376" s="112"/>
      <c r="T376" s="112"/>
      <c r="U376" s="113"/>
      <c r="V376" s="113"/>
      <c r="W376" s="112"/>
      <c r="X376" s="112"/>
      <c r="Y376" s="112"/>
      <c r="Z376" s="112"/>
      <c r="AA376" s="15"/>
      <c r="AB376" s="15"/>
      <c r="AC376" s="15"/>
      <c r="AD376" s="15"/>
      <c r="AE376" s="114" t="str">
        <f>IF(NOT(ISBLANK(Audit[[#This Row],[Audit Winning Candidate]])), Audit[[#This Row],[Audit Winning Candidate]]-Audit[[#This Row],[Winning Candidate]], "")</f>
        <v/>
      </c>
      <c r="AF376" s="18" t="str">
        <f>IF(NOT(ISBLANK(Audit[[#This Row],[Audit Losing Candidate]])), Audit[[#This Row],[Audit Losing Candidate]]-Audit[[#This Row],[Losing Candidate]], "")</f>
        <v/>
      </c>
      <c r="AG376" s="18" t="str">
        <f>IF(NOT(ISBLANK(Audit[[#This Row],[Audit Candidate 3]])), Audit[[#This Row],[Audit Candidate 3]]-Audit[[#This Row],[Candidate 3]], "")</f>
        <v/>
      </c>
      <c r="AH376" s="18" t="str">
        <f>IF(NOT(ISBLANK(Audit[[#This Row],[Audit Candidate 4]])),Audit[[#This Row],[Audit Candidate 4]]-Audit[[#This Row],[Candidate 4]], "")</f>
        <v/>
      </c>
      <c r="AI376" s="18" t="str">
        <f>IF(NOT(ISBLANK(Audit[[#This Row],[Audit Candidate 5]])), Audit[[#This Row],[Audit Candidate 5]]-Audit[[#This Row],[Candidate 5]], "")</f>
        <v/>
      </c>
      <c r="AJ376" s="18" t="str">
        <f>IF(NOT(ISBLANK(Audit[[#This Row],[Audit Candidate 6]])), Audit[[#This Row],[Audit Candidate 6]]-Audit[[#This Row],[Candidate 6]], "")</f>
        <v/>
      </c>
      <c r="AK376" s="18" t="str">
        <f>IF(NOT(ISBLANK(Audit[[#This Row],[Audit Candidate 7]])), Audit[[#This Row],[Audit Candidate 7]]-Audit[[#This Row],[Candidate 7]], "")</f>
        <v/>
      </c>
      <c r="AL376" s="18" t="str">
        <f>IF(NOT(ISBLANK(Audit[[#This Row],[Audit Candidate 8]])), Audit[[#This Row],[Audit Candidate 8]]-Audit[[#This Row],[Candidate 8]], "")</f>
        <v/>
      </c>
      <c r="AM376" s="18" t="str">
        <f>IF(NOT(ISBLANK(Audit[[#This Row],[Audit Candidate 9]])), Audit[[#This Row],[Audit Candidate 9]]-Audit[[#This Row],[Candidate 9]], "")</f>
        <v/>
      </c>
      <c r="AN376" s="18" t="str">
        <f>IF(NOT(ISBLANK(Audit[[#This Row],[Audit Candidate 10]])), Audit[[#This Row],[Audit Candidate 10]]-Audit[[#This Row],[Candidate 10]], "")</f>
        <v/>
      </c>
      <c r="AO376" s="18" t="str">
        <f>IF(NOT(ISBLANK(Audit[[#This Row],[Audit Candidate 11]])), Audit[[#This Row],[Audit Candidate 11]]-Audit[[#This Row],[Candidate 11]], "")</f>
        <v/>
      </c>
      <c r="AP376" s="18" t="str">
        <f>IF(NOT(ISBLANK(Audit[[#This Row],[Audit Candidate 12]])), Audit[[#This Row],[Audit Candidate 12]]-Audit[[#This Row],[Candidate 12]], "")</f>
        <v/>
      </c>
      <c r="AQ376" s="18">
        <f>SUMIF(Audit[[#This Row],[Difference Winner]:[Difference Candidate 12]], "&gt;0")</f>
        <v>0</v>
      </c>
      <c r="AR376" s="18">
        <f>SUM(Audit[[#This Row],[Difference Winner]:[Difference Candidate 12]])</f>
        <v>0</v>
      </c>
      <c r="AS376" s="18">
        <f>IF(Audit[[#This Row],[Times p Drawn - With Replacement]]&gt;0, IF(Audit[[#This Row],[Canceled Differences]]&lt;0, Audit[[#This Row],[Max Differences]]+ABS(Audit[[#This Row],[Canceled Differences]]), Audit[[#This Row],[Max Differences]]), 0)</f>
        <v>0</v>
      </c>
      <c r="AT376" s="18">
        <f>'Sampling Data'!AB376</f>
        <v>5.0255991456481448E-4</v>
      </c>
      <c r="AU376" s="18">
        <f>IF(
      SUM(Audit[[#This Row],[Audit Losing Candidate]:[Audit Candidate 12]])
      &lt;&gt;0,
      (Audit[[#This Row],[Winning Candidate]]-Audit[[#This Row],[Losing Candidate]]-(Audit[[#This Row],[Audit Winning Candidate]]-Audit[[#This Row],[Audit Losing Candidate]]))/(Audit[[#Totals],[Winning Candidate]]-Audit[[#Totals],[Losing Candidate]]),
      0
)</f>
        <v>0</v>
      </c>
      <c r="AV3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8">
        <f>IF(Audit[[#This Row],[Max Relative Error (ep)]] = 0, 0, Audit[[#This Row],[Max Relative Error (ep)]]/Audit[[#This Row],[Error Bound (up) - Max. possible relative overstatement]])</f>
        <v>0</v>
      </c>
      <c r="BH3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6" s="18">
        <f t="shared" si="6"/>
        <v>1</v>
      </c>
      <c r="BJ376" s="18">
        <f>PRODUCT($BI$5:BI376)</f>
        <v>0.32656797278968008</v>
      </c>
      <c r="BK376" s="20">
        <f>1 - Audit[[#This Row],[K-M P Value]]</f>
        <v>0.67343202721031992</v>
      </c>
      <c r="BL376" s="18" t="str">
        <f>IF(Audit[[#This Row],[K-M P Value]]&gt;1-'General Info'!$B$12,"Continue", "Stop")</f>
        <v>Continue</v>
      </c>
      <c r="BM376" s="23" t="b">
        <f>IF(Audit[[#This Row],[Status - Continue or stop audit]] = "Continue", TRUE, IF(BL375 = "Continue", TRUE, FALSE))</f>
        <v>1</v>
      </c>
      <c r="BN376" s="23"/>
    </row>
    <row r="377" spans="1:66" ht="15" hidden="1" customHeight="1" x14ac:dyDescent="0.35">
      <c r="A377" s="18" t="str">
        <f>'Sampling Data'!AI377</f>
        <v/>
      </c>
      <c r="B377" s="18" t="str">
        <f>'Sampling Data'!A377</f>
        <v>5925 COLE Y   (AV)</v>
      </c>
      <c r="C377" s="18">
        <f>'Sampling Data'!B377</f>
        <v>7</v>
      </c>
      <c r="D377" s="18">
        <f>'Sampling Data'!C377</f>
        <v>0</v>
      </c>
      <c r="E377" s="19">
        <f>'Sampling Data'!D377</f>
        <v>0</v>
      </c>
      <c r="F377" s="19">
        <f>'Sampling Data'!E377</f>
        <v>0</v>
      </c>
      <c r="G377" s="19">
        <f>'Sampling Data'!F377</f>
        <v>0</v>
      </c>
      <c r="H377" s="19">
        <f>'Sampling Data'!G377</f>
        <v>0</v>
      </c>
      <c r="I377" s="19">
        <f>'Sampling Data'!H377</f>
        <v>0</v>
      </c>
      <c r="J377" s="19">
        <f>'Sampling Data'!I377</f>
        <v>0</v>
      </c>
      <c r="K377" s="19">
        <f>'Sampling Data'!J377</f>
        <v>0</v>
      </c>
      <c r="L377" s="19">
        <f>'Sampling Data'!K377</f>
        <v>0</v>
      </c>
      <c r="M377" s="19">
        <f>'Sampling Data'!L377</f>
        <v>0</v>
      </c>
      <c r="N377" s="19">
        <f>'Sampling Data'!M377</f>
        <v>0</v>
      </c>
      <c r="O377" s="18">
        <f>'Sampling Data'!N377</f>
        <v>0</v>
      </c>
      <c r="P377" s="18">
        <f>'Sampling Data'!O377</f>
        <v>0</v>
      </c>
      <c r="Q377" s="18">
        <f>'Sampling Data'!P377</f>
        <v>7</v>
      </c>
      <c r="R377" s="18">
        <f>'Sampling Data'!AJ377</f>
        <v>0</v>
      </c>
      <c r="S377" s="112"/>
      <c r="T377" s="112"/>
      <c r="U377" s="113"/>
      <c r="V377" s="113"/>
      <c r="W377" s="112"/>
      <c r="X377" s="112"/>
      <c r="Y377" s="112"/>
      <c r="Z377" s="112"/>
      <c r="AA377" s="15"/>
      <c r="AB377" s="15"/>
      <c r="AC377" s="15"/>
      <c r="AD377" s="15"/>
      <c r="AE377" s="114" t="str">
        <f>IF(NOT(ISBLANK(Audit[[#This Row],[Audit Winning Candidate]])), Audit[[#This Row],[Audit Winning Candidate]]-Audit[[#This Row],[Winning Candidate]], "")</f>
        <v/>
      </c>
      <c r="AF377" s="18" t="str">
        <f>IF(NOT(ISBLANK(Audit[[#This Row],[Audit Losing Candidate]])), Audit[[#This Row],[Audit Losing Candidate]]-Audit[[#This Row],[Losing Candidate]], "")</f>
        <v/>
      </c>
      <c r="AG377" s="18" t="str">
        <f>IF(NOT(ISBLANK(Audit[[#This Row],[Audit Candidate 3]])), Audit[[#This Row],[Audit Candidate 3]]-Audit[[#This Row],[Candidate 3]], "")</f>
        <v/>
      </c>
      <c r="AH377" s="18" t="str">
        <f>IF(NOT(ISBLANK(Audit[[#This Row],[Audit Candidate 4]])),Audit[[#This Row],[Audit Candidate 4]]-Audit[[#This Row],[Candidate 4]], "")</f>
        <v/>
      </c>
      <c r="AI377" s="18" t="str">
        <f>IF(NOT(ISBLANK(Audit[[#This Row],[Audit Candidate 5]])), Audit[[#This Row],[Audit Candidate 5]]-Audit[[#This Row],[Candidate 5]], "")</f>
        <v/>
      </c>
      <c r="AJ377" s="18" t="str">
        <f>IF(NOT(ISBLANK(Audit[[#This Row],[Audit Candidate 6]])), Audit[[#This Row],[Audit Candidate 6]]-Audit[[#This Row],[Candidate 6]], "")</f>
        <v/>
      </c>
      <c r="AK377" s="18" t="str">
        <f>IF(NOT(ISBLANK(Audit[[#This Row],[Audit Candidate 7]])), Audit[[#This Row],[Audit Candidate 7]]-Audit[[#This Row],[Candidate 7]], "")</f>
        <v/>
      </c>
      <c r="AL377" s="18" t="str">
        <f>IF(NOT(ISBLANK(Audit[[#This Row],[Audit Candidate 8]])), Audit[[#This Row],[Audit Candidate 8]]-Audit[[#This Row],[Candidate 8]], "")</f>
        <v/>
      </c>
      <c r="AM377" s="18" t="str">
        <f>IF(NOT(ISBLANK(Audit[[#This Row],[Audit Candidate 9]])), Audit[[#This Row],[Audit Candidate 9]]-Audit[[#This Row],[Candidate 9]], "")</f>
        <v/>
      </c>
      <c r="AN377" s="18" t="str">
        <f>IF(NOT(ISBLANK(Audit[[#This Row],[Audit Candidate 10]])), Audit[[#This Row],[Audit Candidate 10]]-Audit[[#This Row],[Candidate 10]], "")</f>
        <v/>
      </c>
      <c r="AO377" s="18" t="str">
        <f>IF(NOT(ISBLANK(Audit[[#This Row],[Audit Candidate 11]])), Audit[[#This Row],[Audit Candidate 11]]-Audit[[#This Row],[Candidate 11]], "")</f>
        <v/>
      </c>
      <c r="AP377" s="18" t="str">
        <f>IF(NOT(ISBLANK(Audit[[#This Row],[Audit Candidate 12]])), Audit[[#This Row],[Audit Candidate 12]]-Audit[[#This Row],[Candidate 12]], "")</f>
        <v/>
      </c>
      <c r="AQ377" s="18">
        <f>SUMIF(Audit[[#This Row],[Difference Winner]:[Difference Candidate 12]], "&gt;0")</f>
        <v>0</v>
      </c>
      <c r="AR377" s="18">
        <f>SUM(Audit[[#This Row],[Difference Winner]:[Difference Candidate 12]])</f>
        <v>0</v>
      </c>
      <c r="AS377" s="18">
        <f>IF(Audit[[#This Row],[Times p Drawn - With Replacement]]&gt;0, IF(Audit[[#This Row],[Canceled Differences]]&lt;0, Audit[[#This Row],[Max Differences]]+ABS(Audit[[#This Row],[Canceled Differences]]), Audit[[#This Row],[Max Differences]]), 0)</f>
        <v>0</v>
      </c>
      <c r="AT377" s="18">
        <f>'Sampling Data'!AB377</f>
        <v>4.3973992524421271E-4</v>
      </c>
      <c r="AU377" s="18">
        <f>IF(
      SUM(Audit[[#This Row],[Audit Losing Candidate]:[Audit Candidate 12]])
      &lt;&gt;0,
      (Audit[[#This Row],[Winning Candidate]]-Audit[[#This Row],[Losing Candidate]]-(Audit[[#This Row],[Audit Winning Candidate]]-Audit[[#This Row],[Audit Losing Candidate]]))/(Audit[[#Totals],[Winning Candidate]]-Audit[[#Totals],[Losing Candidate]]),
      0
)</f>
        <v>0</v>
      </c>
      <c r="AV3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8">
        <f>IF(Audit[[#This Row],[Max Relative Error (ep)]] = 0, 0, Audit[[#This Row],[Max Relative Error (ep)]]/Audit[[#This Row],[Error Bound (up) - Max. possible relative overstatement]])</f>
        <v>0</v>
      </c>
      <c r="BH3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7" s="18">
        <f t="shared" si="6"/>
        <v>1</v>
      </c>
      <c r="BJ377" s="18">
        <f>PRODUCT($BI$5:BI377)</f>
        <v>0.32656797278968008</v>
      </c>
      <c r="BK377" s="20">
        <f>1 - Audit[[#This Row],[K-M P Value]]</f>
        <v>0.67343202721031992</v>
      </c>
      <c r="BL377" s="18" t="str">
        <f>IF(Audit[[#This Row],[K-M P Value]]&gt;1-'General Info'!$B$12,"Continue", "Stop")</f>
        <v>Continue</v>
      </c>
      <c r="BM377" s="23" t="b">
        <f>IF(Audit[[#This Row],[Status - Continue or stop audit]] = "Continue", TRUE, IF(BL376 = "Continue", TRUE, FALSE))</f>
        <v>1</v>
      </c>
      <c r="BN377" s="23"/>
    </row>
    <row r="378" spans="1:66" ht="15" hidden="1" customHeight="1" x14ac:dyDescent="0.35">
      <c r="A378" s="18" t="str">
        <f>'Sampling Data'!AI378</f>
        <v/>
      </c>
      <c r="B378" s="18" t="str">
        <f>'Sampling Data'!A378</f>
        <v>5926 COLE Z   (AV)</v>
      </c>
      <c r="C378" s="18">
        <f>'Sampling Data'!B378</f>
        <v>1</v>
      </c>
      <c r="D378" s="18">
        <f>'Sampling Data'!C378</f>
        <v>2</v>
      </c>
      <c r="E378" s="19">
        <f>'Sampling Data'!D378</f>
        <v>0</v>
      </c>
      <c r="F378" s="19">
        <f>'Sampling Data'!E378</f>
        <v>0</v>
      </c>
      <c r="G378" s="19">
        <f>'Sampling Data'!F378</f>
        <v>0</v>
      </c>
      <c r="H378" s="19">
        <f>'Sampling Data'!G378</f>
        <v>0</v>
      </c>
      <c r="I378" s="19">
        <f>'Sampling Data'!H378</f>
        <v>0</v>
      </c>
      <c r="J378" s="19">
        <f>'Sampling Data'!I378</f>
        <v>0</v>
      </c>
      <c r="K378" s="19">
        <f>'Sampling Data'!J378</f>
        <v>0</v>
      </c>
      <c r="L378" s="19">
        <f>'Sampling Data'!K378</f>
        <v>0</v>
      </c>
      <c r="M378" s="19">
        <f>'Sampling Data'!L378</f>
        <v>0</v>
      </c>
      <c r="N378" s="19">
        <f>'Sampling Data'!M378</f>
        <v>0</v>
      </c>
      <c r="O378" s="18">
        <f>'Sampling Data'!N378</f>
        <v>0</v>
      </c>
      <c r="P378" s="18">
        <f>'Sampling Data'!O378</f>
        <v>0</v>
      </c>
      <c r="Q378" s="18">
        <f>'Sampling Data'!P378</f>
        <v>3</v>
      </c>
      <c r="R378" s="18">
        <f>'Sampling Data'!AJ378</f>
        <v>0</v>
      </c>
      <c r="S378" s="112"/>
      <c r="T378" s="112"/>
      <c r="U378" s="113"/>
      <c r="V378" s="113"/>
      <c r="W378" s="112"/>
      <c r="X378" s="112"/>
      <c r="Y378" s="112"/>
      <c r="Z378" s="112"/>
      <c r="AA378" s="15"/>
      <c r="AB378" s="15"/>
      <c r="AC378" s="15"/>
      <c r="AD378" s="15"/>
      <c r="AE378" s="114" t="str">
        <f>IF(NOT(ISBLANK(Audit[[#This Row],[Audit Winning Candidate]])), Audit[[#This Row],[Audit Winning Candidate]]-Audit[[#This Row],[Winning Candidate]], "")</f>
        <v/>
      </c>
      <c r="AF378" s="18" t="str">
        <f>IF(NOT(ISBLANK(Audit[[#This Row],[Audit Losing Candidate]])), Audit[[#This Row],[Audit Losing Candidate]]-Audit[[#This Row],[Losing Candidate]], "")</f>
        <v/>
      </c>
      <c r="AG378" s="18" t="str">
        <f>IF(NOT(ISBLANK(Audit[[#This Row],[Audit Candidate 3]])), Audit[[#This Row],[Audit Candidate 3]]-Audit[[#This Row],[Candidate 3]], "")</f>
        <v/>
      </c>
      <c r="AH378" s="18" t="str">
        <f>IF(NOT(ISBLANK(Audit[[#This Row],[Audit Candidate 4]])),Audit[[#This Row],[Audit Candidate 4]]-Audit[[#This Row],[Candidate 4]], "")</f>
        <v/>
      </c>
      <c r="AI378" s="18" t="str">
        <f>IF(NOT(ISBLANK(Audit[[#This Row],[Audit Candidate 5]])), Audit[[#This Row],[Audit Candidate 5]]-Audit[[#This Row],[Candidate 5]], "")</f>
        <v/>
      </c>
      <c r="AJ378" s="18" t="str">
        <f>IF(NOT(ISBLANK(Audit[[#This Row],[Audit Candidate 6]])), Audit[[#This Row],[Audit Candidate 6]]-Audit[[#This Row],[Candidate 6]], "")</f>
        <v/>
      </c>
      <c r="AK378" s="18" t="str">
        <f>IF(NOT(ISBLANK(Audit[[#This Row],[Audit Candidate 7]])), Audit[[#This Row],[Audit Candidate 7]]-Audit[[#This Row],[Candidate 7]], "")</f>
        <v/>
      </c>
      <c r="AL378" s="18" t="str">
        <f>IF(NOT(ISBLANK(Audit[[#This Row],[Audit Candidate 8]])), Audit[[#This Row],[Audit Candidate 8]]-Audit[[#This Row],[Candidate 8]], "")</f>
        <v/>
      </c>
      <c r="AM378" s="18" t="str">
        <f>IF(NOT(ISBLANK(Audit[[#This Row],[Audit Candidate 9]])), Audit[[#This Row],[Audit Candidate 9]]-Audit[[#This Row],[Candidate 9]], "")</f>
        <v/>
      </c>
      <c r="AN378" s="18" t="str">
        <f>IF(NOT(ISBLANK(Audit[[#This Row],[Audit Candidate 10]])), Audit[[#This Row],[Audit Candidate 10]]-Audit[[#This Row],[Candidate 10]], "")</f>
        <v/>
      </c>
      <c r="AO378" s="18" t="str">
        <f>IF(NOT(ISBLANK(Audit[[#This Row],[Audit Candidate 11]])), Audit[[#This Row],[Audit Candidate 11]]-Audit[[#This Row],[Candidate 11]], "")</f>
        <v/>
      </c>
      <c r="AP378" s="18" t="str">
        <f>IF(NOT(ISBLANK(Audit[[#This Row],[Audit Candidate 12]])), Audit[[#This Row],[Audit Candidate 12]]-Audit[[#This Row],[Candidate 12]], "")</f>
        <v/>
      </c>
      <c r="AQ378" s="18">
        <f>SUMIF(Audit[[#This Row],[Difference Winner]:[Difference Candidate 12]], "&gt;0")</f>
        <v>0</v>
      </c>
      <c r="AR378" s="18">
        <f>SUM(Audit[[#This Row],[Difference Winner]:[Difference Candidate 12]])</f>
        <v>0</v>
      </c>
      <c r="AS378" s="18">
        <f>IF(Audit[[#This Row],[Times p Drawn - With Replacement]]&gt;0, IF(Audit[[#This Row],[Canceled Differences]]&lt;0, Audit[[#This Row],[Max Differences]]+ABS(Audit[[#This Row],[Canceled Differences]]), Audit[[#This Row],[Max Differences]]), 0)</f>
        <v>0</v>
      </c>
      <c r="AT378" s="18">
        <f>'Sampling Data'!AB378</f>
        <v>6.2819989320601809E-5</v>
      </c>
      <c r="AU378" s="18">
        <f>IF(
      SUM(Audit[[#This Row],[Audit Losing Candidate]:[Audit Candidate 12]])
      &lt;&gt;0,
      (Audit[[#This Row],[Winning Candidate]]-Audit[[#This Row],[Losing Candidate]]-(Audit[[#This Row],[Audit Winning Candidate]]-Audit[[#This Row],[Audit Losing Candidate]]))/(Audit[[#Totals],[Winning Candidate]]-Audit[[#Totals],[Losing Candidate]]),
      0
)</f>
        <v>0</v>
      </c>
      <c r="AV3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8">
        <f>IF(Audit[[#This Row],[Max Relative Error (ep)]] = 0, 0, Audit[[#This Row],[Max Relative Error (ep)]]/Audit[[#This Row],[Error Bound (up) - Max. possible relative overstatement]])</f>
        <v>0</v>
      </c>
      <c r="BH3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8" s="18">
        <f t="shared" si="6"/>
        <v>1</v>
      </c>
      <c r="BJ378" s="18">
        <f>PRODUCT($BI$5:BI378)</f>
        <v>0.32656797278968008</v>
      </c>
      <c r="BK378" s="20">
        <f>1 - Audit[[#This Row],[K-M P Value]]</f>
        <v>0.67343202721031992</v>
      </c>
      <c r="BL378" s="18" t="str">
        <f>IF(Audit[[#This Row],[K-M P Value]]&gt;1-'General Info'!$B$12,"Continue", "Stop")</f>
        <v>Continue</v>
      </c>
      <c r="BM378" s="23" t="b">
        <f>IF(Audit[[#This Row],[Status - Continue or stop audit]] = "Continue", TRUE, IF(BL377 = "Continue", TRUE, FALSE))</f>
        <v>1</v>
      </c>
      <c r="BN378" s="23"/>
    </row>
    <row r="379" spans="1:66" ht="15" hidden="1" customHeight="1" x14ac:dyDescent="0.35">
      <c r="A379" s="18" t="str">
        <f>'Sampling Data'!AI379</f>
        <v/>
      </c>
      <c r="B379" s="18" t="str">
        <f>'Sampling Data'!A379</f>
        <v>5927 COLE AA   (AV)</v>
      </c>
      <c r="C379" s="18">
        <f>'Sampling Data'!B379</f>
        <v>14</v>
      </c>
      <c r="D379" s="18">
        <f>'Sampling Data'!C379</f>
        <v>1</v>
      </c>
      <c r="E379" s="19">
        <f>'Sampling Data'!D379</f>
        <v>0</v>
      </c>
      <c r="F379" s="19">
        <f>'Sampling Data'!E379</f>
        <v>0</v>
      </c>
      <c r="G379" s="19">
        <f>'Sampling Data'!F379</f>
        <v>0</v>
      </c>
      <c r="H379" s="19">
        <f>'Sampling Data'!G379</f>
        <v>0</v>
      </c>
      <c r="I379" s="19">
        <f>'Sampling Data'!H379</f>
        <v>0</v>
      </c>
      <c r="J379" s="19">
        <f>'Sampling Data'!I379</f>
        <v>0</v>
      </c>
      <c r="K379" s="19">
        <f>'Sampling Data'!J379</f>
        <v>0</v>
      </c>
      <c r="L379" s="19">
        <f>'Sampling Data'!K379</f>
        <v>0</v>
      </c>
      <c r="M379" s="19">
        <f>'Sampling Data'!L379</f>
        <v>0</v>
      </c>
      <c r="N379" s="19">
        <f>'Sampling Data'!M379</f>
        <v>0</v>
      </c>
      <c r="O379" s="18">
        <f>'Sampling Data'!N379</f>
        <v>0</v>
      </c>
      <c r="P379" s="18">
        <f>'Sampling Data'!O379</f>
        <v>0</v>
      </c>
      <c r="Q379" s="18">
        <f>'Sampling Data'!P379</f>
        <v>15</v>
      </c>
      <c r="R379" s="18">
        <f>'Sampling Data'!AJ379</f>
        <v>0</v>
      </c>
      <c r="S379" s="112"/>
      <c r="T379" s="112"/>
      <c r="U379" s="113"/>
      <c r="V379" s="113"/>
      <c r="W379" s="112"/>
      <c r="X379" s="112"/>
      <c r="Y379" s="112"/>
      <c r="Z379" s="112"/>
      <c r="AA379" s="15"/>
      <c r="AB379" s="15"/>
      <c r="AC379" s="15"/>
      <c r="AD379" s="15"/>
      <c r="AE379" s="114" t="str">
        <f>IF(NOT(ISBLANK(Audit[[#This Row],[Audit Winning Candidate]])), Audit[[#This Row],[Audit Winning Candidate]]-Audit[[#This Row],[Winning Candidate]], "")</f>
        <v/>
      </c>
      <c r="AF379" s="18" t="str">
        <f>IF(NOT(ISBLANK(Audit[[#This Row],[Audit Losing Candidate]])), Audit[[#This Row],[Audit Losing Candidate]]-Audit[[#This Row],[Losing Candidate]], "")</f>
        <v/>
      </c>
      <c r="AG379" s="18" t="str">
        <f>IF(NOT(ISBLANK(Audit[[#This Row],[Audit Candidate 3]])), Audit[[#This Row],[Audit Candidate 3]]-Audit[[#This Row],[Candidate 3]], "")</f>
        <v/>
      </c>
      <c r="AH379" s="18" t="str">
        <f>IF(NOT(ISBLANK(Audit[[#This Row],[Audit Candidate 4]])),Audit[[#This Row],[Audit Candidate 4]]-Audit[[#This Row],[Candidate 4]], "")</f>
        <v/>
      </c>
      <c r="AI379" s="18" t="str">
        <f>IF(NOT(ISBLANK(Audit[[#This Row],[Audit Candidate 5]])), Audit[[#This Row],[Audit Candidate 5]]-Audit[[#This Row],[Candidate 5]], "")</f>
        <v/>
      </c>
      <c r="AJ379" s="18" t="str">
        <f>IF(NOT(ISBLANK(Audit[[#This Row],[Audit Candidate 6]])), Audit[[#This Row],[Audit Candidate 6]]-Audit[[#This Row],[Candidate 6]], "")</f>
        <v/>
      </c>
      <c r="AK379" s="18" t="str">
        <f>IF(NOT(ISBLANK(Audit[[#This Row],[Audit Candidate 7]])), Audit[[#This Row],[Audit Candidate 7]]-Audit[[#This Row],[Candidate 7]], "")</f>
        <v/>
      </c>
      <c r="AL379" s="18" t="str">
        <f>IF(NOT(ISBLANK(Audit[[#This Row],[Audit Candidate 8]])), Audit[[#This Row],[Audit Candidate 8]]-Audit[[#This Row],[Candidate 8]], "")</f>
        <v/>
      </c>
      <c r="AM379" s="18" t="str">
        <f>IF(NOT(ISBLANK(Audit[[#This Row],[Audit Candidate 9]])), Audit[[#This Row],[Audit Candidate 9]]-Audit[[#This Row],[Candidate 9]], "")</f>
        <v/>
      </c>
      <c r="AN379" s="18" t="str">
        <f>IF(NOT(ISBLANK(Audit[[#This Row],[Audit Candidate 10]])), Audit[[#This Row],[Audit Candidate 10]]-Audit[[#This Row],[Candidate 10]], "")</f>
        <v/>
      </c>
      <c r="AO379" s="18" t="str">
        <f>IF(NOT(ISBLANK(Audit[[#This Row],[Audit Candidate 11]])), Audit[[#This Row],[Audit Candidate 11]]-Audit[[#This Row],[Candidate 11]], "")</f>
        <v/>
      </c>
      <c r="AP379" s="18" t="str">
        <f>IF(NOT(ISBLANK(Audit[[#This Row],[Audit Candidate 12]])), Audit[[#This Row],[Audit Candidate 12]]-Audit[[#This Row],[Candidate 12]], "")</f>
        <v/>
      </c>
      <c r="AQ379" s="18">
        <f>SUMIF(Audit[[#This Row],[Difference Winner]:[Difference Candidate 12]], "&gt;0")</f>
        <v>0</v>
      </c>
      <c r="AR379" s="18">
        <f>SUM(Audit[[#This Row],[Difference Winner]:[Difference Candidate 12]])</f>
        <v>0</v>
      </c>
      <c r="AS379" s="18">
        <f>IF(Audit[[#This Row],[Times p Drawn - With Replacement]]&gt;0, IF(Audit[[#This Row],[Canceled Differences]]&lt;0, Audit[[#This Row],[Max Differences]]+ABS(Audit[[#This Row],[Canceled Differences]]), Audit[[#This Row],[Max Differences]]), 0)</f>
        <v>0</v>
      </c>
      <c r="AT379" s="18">
        <f>'Sampling Data'!AB379</f>
        <v>8.7947985048842541E-4</v>
      </c>
      <c r="AU379" s="18">
        <f>IF(
      SUM(Audit[[#This Row],[Audit Losing Candidate]:[Audit Candidate 12]])
      &lt;&gt;0,
      (Audit[[#This Row],[Winning Candidate]]-Audit[[#This Row],[Losing Candidate]]-(Audit[[#This Row],[Audit Winning Candidate]]-Audit[[#This Row],[Audit Losing Candidate]]))/(Audit[[#Totals],[Winning Candidate]]-Audit[[#Totals],[Losing Candidate]]),
      0
)</f>
        <v>0</v>
      </c>
      <c r="AV3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8">
        <f>IF(Audit[[#This Row],[Max Relative Error (ep)]] = 0, 0, Audit[[#This Row],[Max Relative Error (ep)]]/Audit[[#This Row],[Error Bound (up) - Max. possible relative overstatement]])</f>
        <v>0</v>
      </c>
      <c r="BH3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79" s="18">
        <f t="shared" si="6"/>
        <v>1</v>
      </c>
      <c r="BJ379" s="18">
        <f>PRODUCT($BI$5:BI379)</f>
        <v>0.32656797278968008</v>
      </c>
      <c r="BK379" s="20">
        <f>1 - Audit[[#This Row],[K-M P Value]]</f>
        <v>0.67343202721031992</v>
      </c>
      <c r="BL379" s="18" t="str">
        <f>IF(Audit[[#This Row],[K-M P Value]]&gt;1-'General Info'!$B$12,"Continue", "Stop")</f>
        <v>Continue</v>
      </c>
      <c r="BM379" s="23" t="b">
        <f>IF(Audit[[#This Row],[Status - Continue or stop audit]] = "Continue", TRUE, IF(BL378 = "Continue", TRUE, FALSE))</f>
        <v>1</v>
      </c>
      <c r="BN379" s="23"/>
    </row>
    <row r="380" spans="1:66" ht="15" hidden="1" customHeight="1" x14ac:dyDescent="0.35">
      <c r="A380" s="18" t="str">
        <f>'Sampling Data'!AI380</f>
        <v/>
      </c>
      <c r="B380" s="18" t="str">
        <f>'Sampling Data'!A380</f>
        <v>5928 COLE BB   (AV)</v>
      </c>
      <c r="C380" s="18">
        <f>'Sampling Data'!B380</f>
        <v>20</v>
      </c>
      <c r="D380" s="18">
        <f>'Sampling Data'!C380</f>
        <v>1</v>
      </c>
      <c r="E380" s="19">
        <f>'Sampling Data'!D380</f>
        <v>0</v>
      </c>
      <c r="F380" s="19">
        <f>'Sampling Data'!E380</f>
        <v>0</v>
      </c>
      <c r="G380" s="19">
        <f>'Sampling Data'!F380</f>
        <v>0</v>
      </c>
      <c r="H380" s="19">
        <f>'Sampling Data'!G380</f>
        <v>0</v>
      </c>
      <c r="I380" s="19">
        <f>'Sampling Data'!H380</f>
        <v>0</v>
      </c>
      <c r="J380" s="19">
        <f>'Sampling Data'!I380</f>
        <v>0</v>
      </c>
      <c r="K380" s="19">
        <f>'Sampling Data'!J380</f>
        <v>0</v>
      </c>
      <c r="L380" s="19">
        <f>'Sampling Data'!K380</f>
        <v>0</v>
      </c>
      <c r="M380" s="19">
        <f>'Sampling Data'!L380</f>
        <v>0</v>
      </c>
      <c r="N380" s="19">
        <f>'Sampling Data'!M380</f>
        <v>0</v>
      </c>
      <c r="O380" s="18">
        <f>'Sampling Data'!N380</f>
        <v>0</v>
      </c>
      <c r="P380" s="18">
        <f>'Sampling Data'!O380</f>
        <v>0</v>
      </c>
      <c r="Q380" s="18">
        <f>'Sampling Data'!P380</f>
        <v>21</v>
      </c>
      <c r="R380" s="18">
        <f>'Sampling Data'!AJ380</f>
        <v>0</v>
      </c>
      <c r="S380" s="112"/>
      <c r="T380" s="112"/>
      <c r="U380" s="113"/>
      <c r="V380" s="113"/>
      <c r="W380" s="112"/>
      <c r="X380" s="112"/>
      <c r="Y380" s="112"/>
      <c r="Z380" s="112"/>
      <c r="AA380" s="15"/>
      <c r="AB380" s="15"/>
      <c r="AC380" s="15"/>
      <c r="AD380" s="15"/>
      <c r="AE380" s="114" t="str">
        <f>IF(NOT(ISBLANK(Audit[[#This Row],[Audit Winning Candidate]])), Audit[[#This Row],[Audit Winning Candidate]]-Audit[[#This Row],[Winning Candidate]], "")</f>
        <v/>
      </c>
      <c r="AF380" s="18" t="str">
        <f>IF(NOT(ISBLANK(Audit[[#This Row],[Audit Losing Candidate]])), Audit[[#This Row],[Audit Losing Candidate]]-Audit[[#This Row],[Losing Candidate]], "")</f>
        <v/>
      </c>
      <c r="AG380" s="18" t="str">
        <f>IF(NOT(ISBLANK(Audit[[#This Row],[Audit Candidate 3]])), Audit[[#This Row],[Audit Candidate 3]]-Audit[[#This Row],[Candidate 3]], "")</f>
        <v/>
      </c>
      <c r="AH380" s="18" t="str">
        <f>IF(NOT(ISBLANK(Audit[[#This Row],[Audit Candidate 4]])),Audit[[#This Row],[Audit Candidate 4]]-Audit[[#This Row],[Candidate 4]], "")</f>
        <v/>
      </c>
      <c r="AI380" s="18" t="str">
        <f>IF(NOT(ISBLANK(Audit[[#This Row],[Audit Candidate 5]])), Audit[[#This Row],[Audit Candidate 5]]-Audit[[#This Row],[Candidate 5]], "")</f>
        <v/>
      </c>
      <c r="AJ380" s="18" t="str">
        <f>IF(NOT(ISBLANK(Audit[[#This Row],[Audit Candidate 6]])), Audit[[#This Row],[Audit Candidate 6]]-Audit[[#This Row],[Candidate 6]], "")</f>
        <v/>
      </c>
      <c r="AK380" s="18" t="str">
        <f>IF(NOT(ISBLANK(Audit[[#This Row],[Audit Candidate 7]])), Audit[[#This Row],[Audit Candidate 7]]-Audit[[#This Row],[Candidate 7]], "")</f>
        <v/>
      </c>
      <c r="AL380" s="18" t="str">
        <f>IF(NOT(ISBLANK(Audit[[#This Row],[Audit Candidate 8]])), Audit[[#This Row],[Audit Candidate 8]]-Audit[[#This Row],[Candidate 8]], "")</f>
        <v/>
      </c>
      <c r="AM380" s="18" t="str">
        <f>IF(NOT(ISBLANK(Audit[[#This Row],[Audit Candidate 9]])), Audit[[#This Row],[Audit Candidate 9]]-Audit[[#This Row],[Candidate 9]], "")</f>
        <v/>
      </c>
      <c r="AN380" s="18" t="str">
        <f>IF(NOT(ISBLANK(Audit[[#This Row],[Audit Candidate 10]])), Audit[[#This Row],[Audit Candidate 10]]-Audit[[#This Row],[Candidate 10]], "")</f>
        <v/>
      </c>
      <c r="AO380" s="18" t="str">
        <f>IF(NOT(ISBLANK(Audit[[#This Row],[Audit Candidate 11]])), Audit[[#This Row],[Audit Candidate 11]]-Audit[[#This Row],[Candidate 11]], "")</f>
        <v/>
      </c>
      <c r="AP380" s="18" t="str">
        <f>IF(NOT(ISBLANK(Audit[[#This Row],[Audit Candidate 12]])), Audit[[#This Row],[Audit Candidate 12]]-Audit[[#This Row],[Candidate 12]], "")</f>
        <v/>
      </c>
      <c r="AQ380" s="18">
        <f>SUMIF(Audit[[#This Row],[Difference Winner]:[Difference Candidate 12]], "&gt;0")</f>
        <v>0</v>
      </c>
      <c r="AR380" s="18">
        <f>SUM(Audit[[#This Row],[Difference Winner]:[Difference Candidate 12]])</f>
        <v>0</v>
      </c>
      <c r="AS380" s="18">
        <f>IF(Audit[[#This Row],[Times p Drawn - With Replacement]]&gt;0, IF(Audit[[#This Row],[Canceled Differences]]&lt;0, Audit[[#This Row],[Max Differences]]+ABS(Audit[[#This Row],[Canceled Differences]]), Audit[[#This Row],[Max Differences]]), 0)</f>
        <v>0</v>
      </c>
      <c r="AT380" s="18">
        <f>'Sampling Data'!AB380</f>
        <v>1.2563997864120362E-3</v>
      </c>
      <c r="AU380" s="18">
        <f>IF(
      SUM(Audit[[#This Row],[Audit Losing Candidate]:[Audit Candidate 12]])
      &lt;&gt;0,
      (Audit[[#This Row],[Winning Candidate]]-Audit[[#This Row],[Losing Candidate]]-(Audit[[#This Row],[Audit Winning Candidate]]-Audit[[#This Row],[Audit Losing Candidate]]))/(Audit[[#Totals],[Winning Candidate]]-Audit[[#Totals],[Losing Candidate]]),
      0
)</f>
        <v>0</v>
      </c>
      <c r="AV3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8">
        <f>IF(Audit[[#This Row],[Max Relative Error (ep)]] = 0, 0, Audit[[#This Row],[Max Relative Error (ep)]]/Audit[[#This Row],[Error Bound (up) - Max. possible relative overstatement]])</f>
        <v>0</v>
      </c>
      <c r="BH3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0" s="18">
        <f t="shared" si="6"/>
        <v>1</v>
      </c>
      <c r="BJ380" s="18">
        <f>PRODUCT($BI$5:BI380)</f>
        <v>0.32656797278968008</v>
      </c>
      <c r="BK380" s="20">
        <f>1 - Audit[[#This Row],[K-M P Value]]</f>
        <v>0.67343202721031992</v>
      </c>
      <c r="BL380" s="18" t="str">
        <f>IF(Audit[[#This Row],[K-M P Value]]&gt;1-'General Info'!$B$12,"Continue", "Stop")</f>
        <v>Continue</v>
      </c>
      <c r="BM380" s="23" t="b">
        <f>IF(Audit[[#This Row],[Status - Continue or stop audit]] = "Continue", TRUE, IF(BL379 = "Continue", TRUE, FALSE))</f>
        <v>1</v>
      </c>
      <c r="BN380" s="23"/>
    </row>
    <row r="381" spans="1:66" ht="15" hidden="1" customHeight="1" x14ac:dyDescent="0.35">
      <c r="A381" s="18" t="str">
        <f>'Sampling Data'!AI381</f>
        <v/>
      </c>
      <c r="B381" s="18" t="str">
        <f>'Sampling Data'!A381</f>
        <v>5929 COLE CC   (AV)</v>
      </c>
      <c r="C381" s="18">
        <f>'Sampling Data'!B381</f>
        <v>5</v>
      </c>
      <c r="D381" s="18">
        <f>'Sampling Data'!C381</f>
        <v>1</v>
      </c>
      <c r="E381" s="19">
        <f>'Sampling Data'!D381</f>
        <v>0</v>
      </c>
      <c r="F381" s="19">
        <f>'Sampling Data'!E381</f>
        <v>0</v>
      </c>
      <c r="G381" s="19">
        <f>'Sampling Data'!F381</f>
        <v>0</v>
      </c>
      <c r="H381" s="19">
        <f>'Sampling Data'!G381</f>
        <v>0</v>
      </c>
      <c r="I381" s="19">
        <f>'Sampling Data'!H381</f>
        <v>0</v>
      </c>
      <c r="J381" s="19">
        <f>'Sampling Data'!I381</f>
        <v>0</v>
      </c>
      <c r="K381" s="19">
        <f>'Sampling Data'!J381</f>
        <v>0</v>
      </c>
      <c r="L381" s="19">
        <f>'Sampling Data'!K381</f>
        <v>0</v>
      </c>
      <c r="M381" s="19">
        <f>'Sampling Data'!L381</f>
        <v>0</v>
      </c>
      <c r="N381" s="19">
        <f>'Sampling Data'!M381</f>
        <v>0</v>
      </c>
      <c r="O381" s="18">
        <f>'Sampling Data'!N381</f>
        <v>0</v>
      </c>
      <c r="P381" s="18">
        <f>'Sampling Data'!O381</f>
        <v>3</v>
      </c>
      <c r="Q381" s="18">
        <f>'Sampling Data'!P381</f>
        <v>9</v>
      </c>
      <c r="R381" s="18">
        <f>'Sampling Data'!AJ381</f>
        <v>0</v>
      </c>
      <c r="S381" s="112"/>
      <c r="T381" s="112"/>
      <c r="U381" s="113"/>
      <c r="V381" s="113"/>
      <c r="W381" s="112"/>
      <c r="X381" s="112"/>
      <c r="Y381" s="112"/>
      <c r="Z381" s="112"/>
      <c r="AA381" s="15"/>
      <c r="AB381" s="15"/>
      <c r="AC381" s="15"/>
      <c r="AD381" s="15"/>
      <c r="AE381" s="114" t="str">
        <f>IF(NOT(ISBLANK(Audit[[#This Row],[Audit Winning Candidate]])), Audit[[#This Row],[Audit Winning Candidate]]-Audit[[#This Row],[Winning Candidate]], "")</f>
        <v/>
      </c>
      <c r="AF381" s="18" t="str">
        <f>IF(NOT(ISBLANK(Audit[[#This Row],[Audit Losing Candidate]])), Audit[[#This Row],[Audit Losing Candidate]]-Audit[[#This Row],[Losing Candidate]], "")</f>
        <v/>
      </c>
      <c r="AG381" s="18" t="str">
        <f>IF(NOT(ISBLANK(Audit[[#This Row],[Audit Candidate 3]])), Audit[[#This Row],[Audit Candidate 3]]-Audit[[#This Row],[Candidate 3]], "")</f>
        <v/>
      </c>
      <c r="AH381" s="18" t="str">
        <f>IF(NOT(ISBLANK(Audit[[#This Row],[Audit Candidate 4]])),Audit[[#This Row],[Audit Candidate 4]]-Audit[[#This Row],[Candidate 4]], "")</f>
        <v/>
      </c>
      <c r="AI381" s="18" t="str">
        <f>IF(NOT(ISBLANK(Audit[[#This Row],[Audit Candidate 5]])), Audit[[#This Row],[Audit Candidate 5]]-Audit[[#This Row],[Candidate 5]], "")</f>
        <v/>
      </c>
      <c r="AJ381" s="18" t="str">
        <f>IF(NOT(ISBLANK(Audit[[#This Row],[Audit Candidate 6]])), Audit[[#This Row],[Audit Candidate 6]]-Audit[[#This Row],[Candidate 6]], "")</f>
        <v/>
      </c>
      <c r="AK381" s="18" t="str">
        <f>IF(NOT(ISBLANK(Audit[[#This Row],[Audit Candidate 7]])), Audit[[#This Row],[Audit Candidate 7]]-Audit[[#This Row],[Candidate 7]], "")</f>
        <v/>
      </c>
      <c r="AL381" s="18" t="str">
        <f>IF(NOT(ISBLANK(Audit[[#This Row],[Audit Candidate 8]])), Audit[[#This Row],[Audit Candidate 8]]-Audit[[#This Row],[Candidate 8]], "")</f>
        <v/>
      </c>
      <c r="AM381" s="18" t="str">
        <f>IF(NOT(ISBLANK(Audit[[#This Row],[Audit Candidate 9]])), Audit[[#This Row],[Audit Candidate 9]]-Audit[[#This Row],[Candidate 9]], "")</f>
        <v/>
      </c>
      <c r="AN381" s="18" t="str">
        <f>IF(NOT(ISBLANK(Audit[[#This Row],[Audit Candidate 10]])), Audit[[#This Row],[Audit Candidate 10]]-Audit[[#This Row],[Candidate 10]], "")</f>
        <v/>
      </c>
      <c r="AO381" s="18" t="str">
        <f>IF(NOT(ISBLANK(Audit[[#This Row],[Audit Candidate 11]])), Audit[[#This Row],[Audit Candidate 11]]-Audit[[#This Row],[Candidate 11]], "")</f>
        <v/>
      </c>
      <c r="AP381" s="18" t="str">
        <f>IF(NOT(ISBLANK(Audit[[#This Row],[Audit Candidate 12]])), Audit[[#This Row],[Audit Candidate 12]]-Audit[[#This Row],[Candidate 12]], "")</f>
        <v/>
      </c>
      <c r="AQ381" s="18">
        <f>SUMIF(Audit[[#This Row],[Difference Winner]:[Difference Candidate 12]], "&gt;0")</f>
        <v>0</v>
      </c>
      <c r="AR381" s="18">
        <f>SUM(Audit[[#This Row],[Difference Winner]:[Difference Candidate 12]])</f>
        <v>0</v>
      </c>
      <c r="AS381" s="18">
        <f>IF(Audit[[#This Row],[Times p Drawn - With Replacement]]&gt;0, IF(Audit[[#This Row],[Canceled Differences]]&lt;0, Audit[[#This Row],[Max Differences]]+ABS(Audit[[#This Row],[Canceled Differences]]), Audit[[#This Row],[Max Differences]]), 0)</f>
        <v>0</v>
      </c>
      <c r="AT381" s="18">
        <f>'Sampling Data'!AB381</f>
        <v>4.0832993058391182E-4</v>
      </c>
      <c r="AU381" s="18">
        <f>IF(
      SUM(Audit[[#This Row],[Audit Losing Candidate]:[Audit Candidate 12]])
      &lt;&gt;0,
      (Audit[[#This Row],[Winning Candidate]]-Audit[[#This Row],[Losing Candidate]]-(Audit[[#This Row],[Audit Winning Candidate]]-Audit[[#This Row],[Audit Losing Candidate]]))/(Audit[[#Totals],[Winning Candidate]]-Audit[[#Totals],[Losing Candidate]]),
      0
)</f>
        <v>0</v>
      </c>
      <c r="AV3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8">
        <f>IF(Audit[[#This Row],[Max Relative Error (ep)]] = 0, 0, Audit[[#This Row],[Max Relative Error (ep)]]/Audit[[#This Row],[Error Bound (up) - Max. possible relative overstatement]])</f>
        <v>0</v>
      </c>
      <c r="BH3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1" s="18">
        <f t="shared" si="6"/>
        <v>1</v>
      </c>
      <c r="BJ381" s="18">
        <f>PRODUCT($BI$5:BI381)</f>
        <v>0.32656797278968008</v>
      </c>
      <c r="BK381" s="20">
        <f>1 - Audit[[#This Row],[K-M P Value]]</f>
        <v>0.67343202721031992</v>
      </c>
      <c r="BL381" s="18" t="str">
        <f>IF(Audit[[#This Row],[K-M P Value]]&gt;1-'General Info'!$B$12,"Continue", "Stop")</f>
        <v>Continue</v>
      </c>
      <c r="BM381" s="23" t="b">
        <f>IF(Audit[[#This Row],[Status - Continue or stop audit]] = "Continue", TRUE, IF(BL380 = "Continue", TRUE, FALSE))</f>
        <v>1</v>
      </c>
      <c r="BN381" s="23"/>
    </row>
    <row r="382" spans="1:66" ht="15" hidden="1" customHeight="1" x14ac:dyDescent="0.35">
      <c r="A382" s="18" t="str">
        <f>'Sampling Data'!AI382</f>
        <v/>
      </c>
      <c r="B382" s="18" t="str">
        <f>'Sampling Data'!A382</f>
        <v>5930 COLE DD   (AV)</v>
      </c>
      <c r="C382" s="18">
        <f>'Sampling Data'!B382</f>
        <v>1</v>
      </c>
      <c r="D382" s="18">
        <f>'Sampling Data'!C382</f>
        <v>0</v>
      </c>
      <c r="E382" s="19">
        <f>'Sampling Data'!D382</f>
        <v>0</v>
      </c>
      <c r="F382" s="19">
        <f>'Sampling Data'!E382</f>
        <v>0</v>
      </c>
      <c r="G382" s="19">
        <f>'Sampling Data'!F382</f>
        <v>0</v>
      </c>
      <c r="H382" s="19">
        <f>'Sampling Data'!G382</f>
        <v>0</v>
      </c>
      <c r="I382" s="19">
        <f>'Sampling Data'!H382</f>
        <v>0</v>
      </c>
      <c r="J382" s="19">
        <f>'Sampling Data'!I382</f>
        <v>0</v>
      </c>
      <c r="K382" s="19">
        <f>'Sampling Data'!J382</f>
        <v>0</v>
      </c>
      <c r="L382" s="19">
        <f>'Sampling Data'!K382</f>
        <v>0</v>
      </c>
      <c r="M382" s="19">
        <f>'Sampling Data'!L382</f>
        <v>0</v>
      </c>
      <c r="N382" s="19">
        <f>'Sampling Data'!M382</f>
        <v>0</v>
      </c>
      <c r="O382" s="18">
        <f>'Sampling Data'!N382</f>
        <v>0</v>
      </c>
      <c r="P382" s="18">
        <f>'Sampling Data'!O382</f>
        <v>0</v>
      </c>
      <c r="Q382" s="18">
        <f>'Sampling Data'!P382</f>
        <v>1</v>
      </c>
      <c r="R382" s="18">
        <f>'Sampling Data'!AJ382</f>
        <v>0</v>
      </c>
      <c r="S382" s="112"/>
      <c r="T382" s="112"/>
      <c r="U382" s="113"/>
      <c r="V382" s="113"/>
      <c r="W382" s="112"/>
      <c r="X382" s="112"/>
      <c r="Y382" s="112"/>
      <c r="Z382" s="112"/>
      <c r="AA382" s="15"/>
      <c r="AB382" s="15"/>
      <c r="AC382" s="15"/>
      <c r="AD382" s="15"/>
      <c r="AE382" s="114" t="str">
        <f>IF(NOT(ISBLANK(Audit[[#This Row],[Audit Winning Candidate]])), Audit[[#This Row],[Audit Winning Candidate]]-Audit[[#This Row],[Winning Candidate]], "")</f>
        <v/>
      </c>
      <c r="AF382" s="18" t="str">
        <f>IF(NOT(ISBLANK(Audit[[#This Row],[Audit Losing Candidate]])), Audit[[#This Row],[Audit Losing Candidate]]-Audit[[#This Row],[Losing Candidate]], "")</f>
        <v/>
      </c>
      <c r="AG382" s="18" t="str">
        <f>IF(NOT(ISBLANK(Audit[[#This Row],[Audit Candidate 3]])), Audit[[#This Row],[Audit Candidate 3]]-Audit[[#This Row],[Candidate 3]], "")</f>
        <v/>
      </c>
      <c r="AH382" s="18" t="str">
        <f>IF(NOT(ISBLANK(Audit[[#This Row],[Audit Candidate 4]])),Audit[[#This Row],[Audit Candidate 4]]-Audit[[#This Row],[Candidate 4]], "")</f>
        <v/>
      </c>
      <c r="AI382" s="18" t="str">
        <f>IF(NOT(ISBLANK(Audit[[#This Row],[Audit Candidate 5]])), Audit[[#This Row],[Audit Candidate 5]]-Audit[[#This Row],[Candidate 5]], "")</f>
        <v/>
      </c>
      <c r="AJ382" s="18" t="str">
        <f>IF(NOT(ISBLANK(Audit[[#This Row],[Audit Candidate 6]])), Audit[[#This Row],[Audit Candidate 6]]-Audit[[#This Row],[Candidate 6]], "")</f>
        <v/>
      </c>
      <c r="AK382" s="18" t="str">
        <f>IF(NOT(ISBLANK(Audit[[#This Row],[Audit Candidate 7]])), Audit[[#This Row],[Audit Candidate 7]]-Audit[[#This Row],[Candidate 7]], "")</f>
        <v/>
      </c>
      <c r="AL382" s="18" t="str">
        <f>IF(NOT(ISBLANK(Audit[[#This Row],[Audit Candidate 8]])), Audit[[#This Row],[Audit Candidate 8]]-Audit[[#This Row],[Candidate 8]], "")</f>
        <v/>
      </c>
      <c r="AM382" s="18" t="str">
        <f>IF(NOT(ISBLANK(Audit[[#This Row],[Audit Candidate 9]])), Audit[[#This Row],[Audit Candidate 9]]-Audit[[#This Row],[Candidate 9]], "")</f>
        <v/>
      </c>
      <c r="AN382" s="18" t="str">
        <f>IF(NOT(ISBLANK(Audit[[#This Row],[Audit Candidate 10]])), Audit[[#This Row],[Audit Candidate 10]]-Audit[[#This Row],[Candidate 10]], "")</f>
        <v/>
      </c>
      <c r="AO382" s="18" t="str">
        <f>IF(NOT(ISBLANK(Audit[[#This Row],[Audit Candidate 11]])), Audit[[#This Row],[Audit Candidate 11]]-Audit[[#This Row],[Candidate 11]], "")</f>
        <v/>
      </c>
      <c r="AP382" s="18" t="str">
        <f>IF(NOT(ISBLANK(Audit[[#This Row],[Audit Candidate 12]])), Audit[[#This Row],[Audit Candidate 12]]-Audit[[#This Row],[Candidate 12]], "")</f>
        <v/>
      </c>
      <c r="AQ382" s="18">
        <f>SUMIF(Audit[[#This Row],[Difference Winner]:[Difference Candidate 12]], "&gt;0")</f>
        <v>0</v>
      </c>
      <c r="AR382" s="18">
        <f>SUM(Audit[[#This Row],[Difference Winner]:[Difference Candidate 12]])</f>
        <v>0</v>
      </c>
      <c r="AS382" s="18">
        <f>IF(Audit[[#This Row],[Times p Drawn - With Replacement]]&gt;0, IF(Audit[[#This Row],[Canceled Differences]]&lt;0, Audit[[#This Row],[Max Differences]]+ABS(Audit[[#This Row],[Canceled Differences]]), Audit[[#This Row],[Max Differences]]), 0)</f>
        <v>0</v>
      </c>
      <c r="AT382" s="18">
        <f>'Sampling Data'!AB382</f>
        <v>6.2819989320601809E-5</v>
      </c>
      <c r="AU382" s="18">
        <f>IF(
      SUM(Audit[[#This Row],[Audit Losing Candidate]:[Audit Candidate 12]])
      &lt;&gt;0,
      (Audit[[#This Row],[Winning Candidate]]-Audit[[#This Row],[Losing Candidate]]-(Audit[[#This Row],[Audit Winning Candidate]]-Audit[[#This Row],[Audit Losing Candidate]]))/(Audit[[#Totals],[Winning Candidate]]-Audit[[#Totals],[Losing Candidate]]),
      0
)</f>
        <v>0</v>
      </c>
      <c r="AV3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8">
        <f>IF(Audit[[#This Row],[Max Relative Error (ep)]] = 0, 0, Audit[[#This Row],[Max Relative Error (ep)]]/Audit[[#This Row],[Error Bound (up) - Max. possible relative overstatement]])</f>
        <v>0</v>
      </c>
      <c r="BH3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2" s="18">
        <f t="shared" si="6"/>
        <v>1</v>
      </c>
      <c r="BJ382" s="18">
        <f>PRODUCT($BI$5:BI382)</f>
        <v>0.32656797278968008</v>
      </c>
      <c r="BK382" s="20">
        <f>1 - Audit[[#This Row],[K-M P Value]]</f>
        <v>0.67343202721031992</v>
      </c>
      <c r="BL382" s="18" t="str">
        <f>IF(Audit[[#This Row],[K-M P Value]]&gt;1-'General Info'!$B$12,"Continue", "Stop")</f>
        <v>Continue</v>
      </c>
      <c r="BM382" s="23" t="b">
        <f>IF(Audit[[#This Row],[Status - Continue or stop audit]] = "Continue", TRUE, IF(BL381 = "Continue", TRUE, FALSE))</f>
        <v>1</v>
      </c>
      <c r="BN382" s="23"/>
    </row>
    <row r="383" spans="1:66" ht="15" hidden="1" customHeight="1" x14ac:dyDescent="0.35">
      <c r="A383" s="18" t="str">
        <f>'Sampling Data'!AI383</f>
        <v/>
      </c>
      <c r="B383" s="18" t="str">
        <f>'Sampling Data'!A383</f>
        <v>5931 COLE EE   (AV)</v>
      </c>
      <c r="C383" s="18">
        <f>'Sampling Data'!B383</f>
        <v>10</v>
      </c>
      <c r="D383" s="18">
        <f>'Sampling Data'!C383</f>
        <v>0</v>
      </c>
      <c r="E383" s="19">
        <f>'Sampling Data'!D383</f>
        <v>0</v>
      </c>
      <c r="F383" s="19">
        <f>'Sampling Data'!E383</f>
        <v>0</v>
      </c>
      <c r="G383" s="19">
        <f>'Sampling Data'!F383</f>
        <v>0</v>
      </c>
      <c r="H383" s="19">
        <f>'Sampling Data'!G383</f>
        <v>0</v>
      </c>
      <c r="I383" s="19">
        <f>'Sampling Data'!H383</f>
        <v>0</v>
      </c>
      <c r="J383" s="19">
        <f>'Sampling Data'!I383</f>
        <v>0</v>
      </c>
      <c r="K383" s="19">
        <f>'Sampling Data'!J383</f>
        <v>0</v>
      </c>
      <c r="L383" s="19">
        <f>'Sampling Data'!K383</f>
        <v>0</v>
      </c>
      <c r="M383" s="19">
        <f>'Sampling Data'!L383</f>
        <v>0</v>
      </c>
      <c r="N383" s="19">
        <f>'Sampling Data'!M383</f>
        <v>0</v>
      </c>
      <c r="O383" s="18">
        <f>'Sampling Data'!N383</f>
        <v>0</v>
      </c>
      <c r="P383" s="18">
        <f>'Sampling Data'!O383</f>
        <v>0</v>
      </c>
      <c r="Q383" s="18">
        <f>'Sampling Data'!P383</f>
        <v>10</v>
      </c>
      <c r="R383" s="18">
        <f>'Sampling Data'!AJ383</f>
        <v>0</v>
      </c>
      <c r="S383" s="112"/>
      <c r="T383" s="112"/>
      <c r="U383" s="113"/>
      <c r="V383" s="113"/>
      <c r="W383" s="112"/>
      <c r="X383" s="112"/>
      <c r="Y383" s="112"/>
      <c r="Z383" s="112"/>
      <c r="AA383" s="15"/>
      <c r="AB383" s="15"/>
      <c r="AC383" s="15"/>
      <c r="AD383" s="15"/>
      <c r="AE383" s="114" t="str">
        <f>IF(NOT(ISBLANK(Audit[[#This Row],[Audit Winning Candidate]])), Audit[[#This Row],[Audit Winning Candidate]]-Audit[[#This Row],[Winning Candidate]], "")</f>
        <v/>
      </c>
      <c r="AF383" s="18" t="str">
        <f>IF(NOT(ISBLANK(Audit[[#This Row],[Audit Losing Candidate]])), Audit[[#This Row],[Audit Losing Candidate]]-Audit[[#This Row],[Losing Candidate]], "")</f>
        <v/>
      </c>
      <c r="AG383" s="18" t="str">
        <f>IF(NOT(ISBLANK(Audit[[#This Row],[Audit Candidate 3]])), Audit[[#This Row],[Audit Candidate 3]]-Audit[[#This Row],[Candidate 3]], "")</f>
        <v/>
      </c>
      <c r="AH383" s="18" t="str">
        <f>IF(NOT(ISBLANK(Audit[[#This Row],[Audit Candidate 4]])),Audit[[#This Row],[Audit Candidate 4]]-Audit[[#This Row],[Candidate 4]], "")</f>
        <v/>
      </c>
      <c r="AI383" s="18" t="str">
        <f>IF(NOT(ISBLANK(Audit[[#This Row],[Audit Candidate 5]])), Audit[[#This Row],[Audit Candidate 5]]-Audit[[#This Row],[Candidate 5]], "")</f>
        <v/>
      </c>
      <c r="AJ383" s="18" t="str">
        <f>IF(NOT(ISBLANK(Audit[[#This Row],[Audit Candidate 6]])), Audit[[#This Row],[Audit Candidate 6]]-Audit[[#This Row],[Candidate 6]], "")</f>
        <v/>
      </c>
      <c r="AK383" s="18" t="str">
        <f>IF(NOT(ISBLANK(Audit[[#This Row],[Audit Candidate 7]])), Audit[[#This Row],[Audit Candidate 7]]-Audit[[#This Row],[Candidate 7]], "")</f>
        <v/>
      </c>
      <c r="AL383" s="18" t="str">
        <f>IF(NOT(ISBLANK(Audit[[#This Row],[Audit Candidate 8]])), Audit[[#This Row],[Audit Candidate 8]]-Audit[[#This Row],[Candidate 8]], "")</f>
        <v/>
      </c>
      <c r="AM383" s="18" t="str">
        <f>IF(NOT(ISBLANK(Audit[[#This Row],[Audit Candidate 9]])), Audit[[#This Row],[Audit Candidate 9]]-Audit[[#This Row],[Candidate 9]], "")</f>
        <v/>
      </c>
      <c r="AN383" s="18" t="str">
        <f>IF(NOT(ISBLANK(Audit[[#This Row],[Audit Candidate 10]])), Audit[[#This Row],[Audit Candidate 10]]-Audit[[#This Row],[Candidate 10]], "")</f>
        <v/>
      </c>
      <c r="AO383" s="18" t="str">
        <f>IF(NOT(ISBLANK(Audit[[#This Row],[Audit Candidate 11]])), Audit[[#This Row],[Audit Candidate 11]]-Audit[[#This Row],[Candidate 11]], "")</f>
        <v/>
      </c>
      <c r="AP383" s="18" t="str">
        <f>IF(NOT(ISBLANK(Audit[[#This Row],[Audit Candidate 12]])), Audit[[#This Row],[Audit Candidate 12]]-Audit[[#This Row],[Candidate 12]], "")</f>
        <v/>
      </c>
      <c r="AQ383" s="18">
        <f>SUMIF(Audit[[#This Row],[Difference Winner]:[Difference Candidate 12]], "&gt;0")</f>
        <v>0</v>
      </c>
      <c r="AR383" s="18">
        <f>SUM(Audit[[#This Row],[Difference Winner]:[Difference Candidate 12]])</f>
        <v>0</v>
      </c>
      <c r="AS383" s="18">
        <f>IF(Audit[[#This Row],[Times p Drawn - With Replacement]]&gt;0, IF(Audit[[#This Row],[Canceled Differences]]&lt;0, Audit[[#This Row],[Max Differences]]+ABS(Audit[[#This Row],[Canceled Differences]]), Audit[[#This Row],[Max Differences]]), 0)</f>
        <v>0</v>
      </c>
      <c r="AT383" s="18">
        <f>'Sampling Data'!AB383</f>
        <v>6.2819989320601812E-4</v>
      </c>
      <c r="AU383" s="18">
        <f>IF(
      SUM(Audit[[#This Row],[Audit Losing Candidate]:[Audit Candidate 12]])
      &lt;&gt;0,
      (Audit[[#This Row],[Winning Candidate]]-Audit[[#This Row],[Losing Candidate]]-(Audit[[#This Row],[Audit Winning Candidate]]-Audit[[#This Row],[Audit Losing Candidate]]))/(Audit[[#Totals],[Winning Candidate]]-Audit[[#Totals],[Losing Candidate]]),
      0
)</f>
        <v>0</v>
      </c>
      <c r="AV3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8">
        <f>IF(Audit[[#This Row],[Max Relative Error (ep)]] = 0, 0, Audit[[#This Row],[Max Relative Error (ep)]]/Audit[[#This Row],[Error Bound (up) - Max. possible relative overstatement]])</f>
        <v>0</v>
      </c>
      <c r="BH3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3" s="18">
        <f t="shared" si="6"/>
        <v>1</v>
      </c>
      <c r="BJ383" s="18">
        <f>PRODUCT($BI$5:BI383)</f>
        <v>0.32656797278968008</v>
      </c>
      <c r="BK383" s="20">
        <f>1 - Audit[[#This Row],[K-M P Value]]</f>
        <v>0.67343202721031992</v>
      </c>
      <c r="BL383" s="18" t="str">
        <f>IF(Audit[[#This Row],[K-M P Value]]&gt;1-'General Info'!$B$12,"Continue", "Stop")</f>
        <v>Continue</v>
      </c>
      <c r="BM383" s="23" t="b">
        <f>IF(Audit[[#This Row],[Status - Continue or stop audit]] = "Continue", TRUE, IF(BL382 = "Continue", TRUE, FALSE))</f>
        <v>1</v>
      </c>
      <c r="BN383" s="23"/>
    </row>
    <row r="384" spans="1:66" ht="15" hidden="1" customHeight="1" x14ac:dyDescent="0.35">
      <c r="A384" s="18" t="str">
        <f>'Sampling Data'!AI384</f>
        <v/>
      </c>
      <c r="B384" s="18" t="str">
        <f>'Sampling Data'!A384</f>
        <v>5932 COLE FF   (AV)</v>
      </c>
      <c r="C384" s="18">
        <f>'Sampling Data'!B384</f>
        <v>5</v>
      </c>
      <c r="D384" s="18">
        <f>'Sampling Data'!C384</f>
        <v>0</v>
      </c>
      <c r="E384" s="19">
        <f>'Sampling Data'!D384</f>
        <v>0</v>
      </c>
      <c r="F384" s="19">
        <f>'Sampling Data'!E384</f>
        <v>0</v>
      </c>
      <c r="G384" s="19">
        <f>'Sampling Data'!F384</f>
        <v>0</v>
      </c>
      <c r="H384" s="19">
        <f>'Sampling Data'!G384</f>
        <v>0</v>
      </c>
      <c r="I384" s="19">
        <f>'Sampling Data'!H384</f>
        <v>0</v>
      </c>
      <c r="J384" s="19">
        <f>'Sampling Data'!I384</f>
        <v>0</v>
      </c>
      <c r="K384" s="19">
        <f>'Sampling Data'!J384</f>
        <v>0</v>
      </c>
      <c r="L384" s="19">
        <f>'Sampling Data'!K384</f>
        <v>0</v>
      </c>
      <c r="M384" s="19">
        <f>'Sampling Data'!L384</f>
        <v>0</v>
      </c>
      <c r="N384" s="19">
        <f>'Sampling Data'!M384</f>
        <v>0</v>
      </c>
      <c r="O384" s="18">
        <f>'Sampling Data'!N384</f>
        <v>0</v>
      </c>
      <c r="P384" s="18">
        <f>'Sampling Data'!O384</f>
        <v>0</v>
      </c>
      <c r="Q384" s="18">
        <f>'Sampling Data'!P384</f>
        <v>5</v>
      </c>
      <c r="R384" s="18">
        <f>'Sampling Data'!AJ384</f>
        <v>0</v>
      </c>
      <c r="S384" s="112"/>
      <c r="T384" s="112"/>
      <c r="U384" s="113"/>
      <c r="V384" s="113"/>
      <c r="W384" s="112"/>
      <c r="X384" s="112"/>
      <c r="Y384" s="112"/>
      <c r="Z384" s="112"/>
      <c r="AA384" s="15"/>
      <c r="AB384" s="15"/>
      <c r="AC384" s="15"/>
      <c r="AD384" s="15"/>
      <c r="AE384" s="114" t="str">
        <f>IF(NOT(ISBLANK(Audit[[#This Row],[Audit Winning Candidate]])), Audit[[#This Row],[Audit Winning Candidate]]-Audit[[#This Row],[Winning Candidate]], "")</f>
        <v/>
      </c>
      <c r="AF384" s="18" t="str">
        <f>IF(NOT(ISBLANK(Audit[[#This Row],[Audit Losing Candidate]])), Audit[[#This Row],[Audit Losing Candidate]]-Audit[[#This Row],[Losing Candidate]], "")</f>
        <v/>
      </c>
      <c r="AG384" s="18" t="str">
        <f>IF(NOT(ISBLANK(Audit[[#This Row],[Audit Candidate 3]])), Audit[[#This Row],[Audit Candidate 3]]-Audit[[#This Row],[Candidate 3]], "")</f>
        <v/>
      </c>
      <c r="AH384" s="18" t="str">
        <f>IF(NOT(ISBLANK(Audit[[#This Row],[Audit Candidate 4]])),Audit[[#This Row],[Audit Candidate 4]]-Audit[[#This Row],[Candidate 4]], "")</f>
        <v/>
      </c>
      <c r="AI384" s="18" t="str">
        <f>IF(NOT(ISBLANK(Audit[[#This Row],[Audit Candidate 5]])), Audit[[#This Row],[Audit Candidate 5]]-Audit[[#This Row],[Candidate 5]], "")</f>
        <v/>
      </c>
      <c r="AJ384" s="18" t="str">
        <f>IF(NOT(ISBLANK(Audit[[#This Row],[Audit Candidate 6]])), Audit[[#This Row],[Audit Candidate 6]]-Audit[[#This Row],[Candidate 6]], "")</f>
        <v/>
      </c>
      <c r="AK384" s="18" t="str">
        <f>IF(NOT(ISBLANK(Audit[[#This Row],[Audit Candidate 7]])), Audit[[#This Row],[Audit Candidate 7]]-Audit[[#This Row],[Candidate 7]], "")</f>
        <v/>
      </c>
      <c r="AL384" s="18" t="str">
        <f>IF(NOT(ISBLANK(Audit[[#This Row],[Audit Candidate 8]])), Audit[[#This Row],[Audit Candidate 8]]-Audit[[#This Row],[Candidate 8]], "")</f>
        <v/>
      </c>
      <c r="AM384" s="18" t="str">
        <f>IF(NOT(ISBLANK(Audit[[#This Row],[Audit Candidate 9]])), Audit[[#This Row],[Audit Candidate 9]]-Audit[[#This Row],[Candidate 9]], "")</f>
        <v/>
      </c>
      <c r="AN384" s="18" t="str">
        <f>IF(NOT(ISBLANK(Audit[[#This Row],[Audit Candidate 10]])), Audit[[#This Row],[Audit Candidate 10]]-Audit[[#This Row],[Candidate 10]], "")</f>
        <v/>
      </c>
      <c r="AO384" s="18" t="str">
        <f>IF(NOT(ISBLANK(Audit[[#This Row],[Audit Candidate 11]])), Audit[[#This Row],[Audit Candidate 11]]-Audit[[#This Row],[Candidate 11]], "")</f>
        <v/>
      </c>
      <c r="AP384" s="18" t="str">
        <f>IF(NOT(ISBLANK(Audit[[#This Row],[Audit Candidate 12]])), Audit[[#This Row],[Audit Candidate 12]]-Audit[[#This Row],[Candidate 12]], "")</f>
        <v/>
      </c>
      <c r="AQ384" s="18">
        <f>SUMIF(Audit[[#This Row],[Difference Winner]:[Difference Candidate 12]], "&gt;0")</f>
        <v>0</v>
      </c>
      <c r="AR384" s="18">
        <f>SUM(Audit[[#This Row],[Difference Winner]:[Difference Candidate 12]])</f>
        <v>0</v>
      </c>
      <c r="AS384" s="18">
        <f>IF(Audit[[#This Row],[Times p Drawn - With Replacement]]&gt;0, IF(Audit[[#This Row],[Canceled Differences]]&lt;0, Audit[[#This Row],[Max Differences]]+ABS(Audit[[#This Row],[Canceled Differences]]), Audit[[#This Row],[Max Differences]]), 0)</f>
        <v>0</v>
      </c>
      <c r="AT384" s="18">
        <f>'Sampling Data'!AB384</f>
        <v>3.1409994660300906E-4</v>
      </c>
      <c r="AU384" s="18">
        <f>IF(
      SUM(Audit[[#This Row],[Audit Losing Candidate]:[Audit Candidate 12]])
      &lt;&gt;0,
      (Audit[[#This Row],[Winning Candidate]]-Audit[[#This Row],[Losing Candidate]]-(Audit[[#This Row],[Audit Winning Candidate]]-Audit[[#This Row],[Audit Losing Candidate]]))/(Audit[[#Totals],[Winning Candidate]]-Audit[[#Totals],[Losing Candidate]]),
      0
)</f>
        <v>0</v>
      </c>
      <c r="AV3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8">
        <f>IF(Audit[[#This Row],[Max Relative Error (ep)]] = 0, 0, Audit[[#This Row],[Max Relative Error (ep)]]/Audit[[#This Row],[Error Bound (up) - Max. possible relative overstatement]])</f>
        <v>0</v>
      </c>
      <c r="BH3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4" s="18">
        <f t="shared" si="6"/>
        <v>1</v>
      </c>
      <c r="BJ384" s="18">
        <f>PRODUCT($BI$5:BI384)</f>
        <v>0.32656797278968008</v>
      </c>
      <c r="BK384" s="20">
        <f>1 - Audit[[#This Row],[K-M P Value]]</f>
        <v>0.67343202721031992</v>
      </c>
      <c r="BL384" s="18" t="str">
        <f>IF(Audit[[#This Row],[K-M P Value]]&gt;1-'General Info'!$B$12,"Continue", "Stop")</f>
        <v>Continue</v>
      </c>
      <c r="BM384" s="23" t="b">
        <f>IF(Audit[[#This Row],[Status - Continue or stop audit]] = "Continue", TRUE, IF(BL383 = "Continue", TRUE, FALSE))</f>
        <v>1</v>
      </c>
      <c r="BN384" s="23"/>
    </row>
    <row r="385" spans="1:66" ht="15" hidden="1" customHeight="1" x14ac:dyDescent="0.35">
      <c r="A385" s="18" t="str">
        <f>'Sampling Data'!AI385</f>
        <v/>
      </c>
      <c r="B385" s="18" t="str">
        <f>'Sampling Data'!A385</f>
        <v>5933 COLE GG   (AV)</v>
      </c>
      <c r="C385" s="18">
        <f>'Sampling Data'!B385</f>
        <v>3</v>
      </c>
      <c r="D385" s="18">
        <f>'Sampling Data'!C385</f>
        <v>0</v>
      </c>
      <c r="E385" s="19">
        <f>'Sampling Data'!D385</f>
        <v>0</v>
      </c>
      <c r="F385" s="19">
        <f>'Sampling Data'!E385</f>
        <v>0</v>
      </c>
      <c r="G385" s="19">
        <f>'Sampling Data'!F385</f>
        <v>0</v>
      </c>
      <c r="H385" s="19">
        <f>'Sampling Data'!G385</f>
        <v>0</v>
      </c>
      <c r="I385" s="19">
        <f>'Sampling Data'!H385</f>
        <v>0</v>
      </c>
      <c r="J385" s="19">
        <f>'Sampling Data'!I385</f>
        <v>0</v>
      </c>
      <c r="K385" s="19">
        <f>'Sampling Data'!J385</f>
        <v>0</v>
      </c>
      <c r="L385" s="19">
        <f>'Sampling Data'!K385</f>
        <v>0</v>
      </c>
      <c r="M385" s="19">
        <f>'Sampling Data'!L385</f>
        <v>0</v>
      </c>
      <c r="N385" s="19">
        <f>'Sampling Data'!M385</f>
        <v>0</v>
      </c>
      <c r="O385" s="18">
        <f>'Sampling Data'!N385</f>
        <v>0</v>
      </c>
      <c r="P385" s="18">
        <f>'Sampling Data'!O385</f>
        <v>1</v>
      </c>
      <c r="Q385" s="18">
        <f>'Sampling Data'!P385</f>
        <v>4</v>
      </c>
      <c r="R385" s="18">
        <f>'Sampling Data'!AJ385</f>
        <v>0</v>
      </c>
      <c r="S385" s="112"/>
      <c r="T385" s="112"/>
      <c r="U385" s="113"/>
      <c r="V385" s="113"/>
      <c r="W385" s="112"/>
      <c r="X385" s="112"/>
      <c r="Y385" s="112"/>
      <c r="Z385" s="112"/>
      <c r="AA385" s="15"/>
      <c r="AB385" s="15"/>
      <c r="AC385" s="15"/>
      <c r="AD385" s="15"/>
      <c r="AE385" s="114" t="str">
        <f>IF(NOT(ISBLANK(Audit[[#This Row],[Audit Winning Candidate]])), Audit[[#This Row],[Audit Winning Candidate]]-Audit[[#This Row],[Winning Candidate]], "")</f>
        <v/>
      </c>
      <c r="AF385" s="18" t="str">
        <f>IF(NOT(ISBLANK(Audit[[#This Row],[Audit Losing Candidate]])), Audit[[#This Row],[Audit Losing Candidate]]-Audit[[#This Row],[Losing Candidate]], "")</f>
        <v/>
      </c>
      <c r="AG385" s="18" t="str">
        <f>IF(NOT(ISBLANK(Audit[[#This Row],[Audit Candidate 3]])), Audit[[#This Row],[Audit Candidate 3]]-Audit[[#This Row],[Candidate 3]], "")</f>
        <v/>
      </c>
      <c r="AH385" s="18" t="str">
        <f>IF(NOT(ISBLANK(Audit[[#This Row],[Audit Candidate 4]])),Audit[[#This Row],[Audit Candidate 4]]-Audit[[#This Row],[Candidate 4]], "")</f>
        <v/>
      </c>
      <c r="AI385" s="18" t="str">
        <f>IF(NOT(ISBLANK(Audit[[#This Row],[Audit Candidate 5]])), Audit[[#This Row],[Audit Candidate 5]]-Audit[[#This Row],[Candidate 5]], "")</f>
        <v/>
      </c>
      <c r="AJ385" s="18" t="str">
        <f>IF(NOT(ISBLANK(Audit[[#This Row],[Audit Candidate 6]])), Audit[[#This Row],[Audit Candidate 6]]-Audit[[#This Row],[Candidate 6]], "")</f>
        <v/>
      </c>
      <c r="AK385" s="18" t="str">
        <f>IF(NOT(ISBLANK(Audit[[#This Row],[Audit Candidate 7]])), Audit[[#This Row],[Audit Candidate 7]]-Audit[[#This Row],[Candidate 7]], "")</f>
        <v/>
      </c>
      <c r="AL385" s="18" t="str">
        <f>IF(NOT(ISBLANK(Audit[[#This Row],[Audit Candidate 8]])), Audit[[#This Row],[Audit Candidate 8]]-Audit[[#This Row],[Candidate 8]], "")</f>
        <v/>
      </c>
      <c r="AM385" s="18" t="str">
        <f>IF(NOT(ISBLANK(Audit[[#This Row],[Audit Candidate 9]])), Audit[[#This Row],[Audit Candidate 9]]-Audit[[#This Row],[Candidate 9]], "")</f>
        <v/>
      </c>
      <c r="AN385" s="18" t="str">
        <f>IF(NOT(ISBLANK(Audit[[#This Row],[Audit Candidate 10]])), Audit[[#This Row],[Audit Candidate 10]]-Audit[[#This Row],[Candidate 10]], "")</f>
        <v/>
      </c>
      <c r="AO385" s="18" t="str">
        <f>IF(NOT(ISBLANK(Audit[[#This Row],[Audit Candidate 11]])), Audit[[#This Row],[Audit Candidate 11]]-Audit[[#This Row],[Candidate 11]], "")</f>
        <v/>
      </c>
      <c r="AP385" s="18" t="str">
        <f>IF(NOT(ISBLANK(Audit[[#This Row],[Audit Candidate 12]])), Audit[[#This Row],[Audit Candidate 12]]-Audit[[#This Row],[Candidate 12]], "")</f>
        <v/>
      </c>
      <c r="AQ385" s="18">
        <f>SUMIF(Audit[[#This Row],[Difference Winner]:[Difference Candidate 12]], "&gt;0")</f>
        <v>0</v>
      </c>
      <c r="AR385" s="18">
        <f>SUM(Audit[[#This Row],[Difference Winner]:[Difference Candidate 12]])</f>
        <v>0</v>
      </c>
      <c r="AS385" s="18">
        <f>IF(Audit[[#This Row],[Times p Drawn - With Replacement]]&gt;0, IF(Audit[[#This Row],[Canceled Differences]]&lt;0, Audit[[#This Row],[Max Differences]]+ABS(Audit[[#This Row],[Canceled Differences]]), Audit[[#This Row],[Max Differences]]), 0)</f>
        <v>0</v>
      </c>
      <c r="AT385" s="18">
        <f>'Sampling Data'!AB385</f>
        <v>2.1986996262210635E-4</v>
      </c>
      <c r="AU385" s="18">
        <f>IF(
      SUM(Audit[[#This Row],[Audit Losing Candidate]:[Audit Candidate 12]])
      &lt;&gt;0,
      (Audit[[#This Row],[Winning Candidate]]-Audit[[#This Row],[Losing Candidate]]-(Audit[[#This Row],[Audit Winning Candidate]]-Audit[[#This Row],[Audit Losing Candidate]]))/(Audit[[#Totals],[Winning Candidate]]-Audit[[#Totals],[Losing Candidate]]),
      0
)</f>
        <v>0</v>
      </c>
      <c r="AV3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8">
        <f>IF(Audit[[#This Row],[Max Relative Error (ep)]] = 0, 0, Audit[[#This Row],[Max Relative Error (ep)]]/Audit[[#This Row],[Error Bound (up) - Max. possible relative overstatement]])</f>
        <v>0</v>
      </c>
      <c r="BH3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5" s="18">
        <f t="shared" si="6"/>
        <v>1</v>
      </c>
      <c r="BJ385" s="18">
        <f>PRODUCT($BI$5:BI385)</f>
        <v>0.32656797278968008</v>
      </c>
      <c r="BK385" s="20">
        <f>1 - Audit[[#This Row],[K-M P Value]]</f>
        <v>0.67343202721031992</v>
      </c>
      <c r="BL385" s="18" t="str">
        <f>IF(Audit[[#This Row],[K-M P Value]]&gt;1-'General Info'!$B$12,"Continue", "Stop")</f>
        <v>Continue</v>
      </c>
      <c r="BM385" s="23" t="b">
        <f>IF(Audit[[#This Row],[Status - Continue or stop audit]] = "Continue", TRUE, IF(BL384 = "Continue", TRUE, FALSE))</f>
        <v>1</v>
      </c>
      <c r="BN385" s="23"/>
    </row>
    <row r="386" spans="1:66" ht="15" hidden="1" customHeight="1" x14ac:dyDescent="0.35">
      <c r="A386" s="18" t="str">
        <f>'Sampling Data'!AI386</f>
        <v/>
      </c>
      <c r="B386" s="18" t="str">
        <f>'Sampling Data'!A386</f>
        <v>5934 COLE HH   (AV)</v>
      </c>
      <c r="C386" s="18">
        <f>'Sampling Data'!B386</f>
        <v>6</v>
      </c>
      <c r="D386" s="18">
        <f>'Sampling Data'!C386</f>
        <v>0</v>
      </c>
      <c r="E386" s="19">
        <f>'Sampling Data'!D386</f>
        <v>0</v>
      </c>
      <c r="F386" s="19">
        <f>'Sampling Data'!E386</f>
        <v>0</v>
      </c>
      <c r="G386" s="19">
        <f>'Sampling Data'!F386</f>
        <v>0</v>
      </c>
      <c r="H386" s="19">
        <f>'Sampling Data'!G386</f>
        <v>0</v>
      </c>
      <c r="I386" s="19">
        <f>'Sampling Data'!H386</f>
        <v>0</v>
      </c>
      <c r="J386" s="19">
        <f>'Sampling Data'!I386</f>
        <v>0</v>
      </c>
      <c r="K386" s="19">
        <f>'Sampling Data'!J386</f>
        <v>0</v>
      </c>
      <c r="L386" s="19">
        <f>'Sampling Data'!K386</f>
        <v>0</v>
      </c>
      <c r="M386" s="19">
        <f>'Sampling Data'!L386</f>
        <v>0</v>
      </c>
      <c r="N386" s="19">
        <f>'Sampling Data'!M386</f>
        <v>0</v>
      </c>
      <c r="O386" s="18">
        <f>'Sampling Data'!N386</f>
        <v>0</v>
      </c>
      <c r="P386" s="18">
        <f>'Sampling Data'!O386</f>
        <v>0</v>
      </c>
      <c r="Q386" s="18">
        <f>'Sampling Data'!P386</f>
        <v>6</v>
      </c>
      <c r="R386" s="18">
        <f>'Sampling Data'!AJ386</f>
        <v>0</v>
      </c>
      <c r="S386" s="112"/>
      <c r="T386" s="112"/>
      <c r="U386" s="113"/>
      <c r="V386" s="113"/>
      <c r="W386" s="112"/>
      <c r="X386" s="112"/>
      <c r="Y386" s="112"/>
      <c r="Z386" s="112"/>
      <c r="AA386" s="15"/>
      <c r="AB386" s="15"/>
      <c r="AC386" s="15"/>
      <c r="AD386" s="15"/>
      <c r="AE386" s="114" t="str">
        <f>IF(NOT(ISBLANK(Audit[[#This Row],[Audit Winning Candidate]])), Audit[[#This Row],[Audit Winning Candidate]]-Audit[[#This Row],[Winning Candidate]], "")</f>
        <v/>
      </c>
      <c r="AF386" s="18" t="str">
        <f>IF(NOT(ISBLANK(Audit[[#This Row],[Audit Losing Candidate]])), Audit[[#This Row],[Audit Losing Candidate]]-Audit[[#This Row],[Losing Candidate]], "")</f>
        <v/>
      </c>
      <c r="AG386" s="18" t="str">
        <f>IF(NOT(ISBLANK(Audit[[#This Row],[Audit Candidate 3]])), Audit[[#This Row],[Audit Candidate 3]]-Audit[[#This Row],[Candidate 3]], "")</f>
        <v/>
      </c>
      <c r="AH386" s="18" t="str">
        <f>IF(NOT(ISBLANK(Audit[[#This Row],[Audit Candidate 4]])),Audit[[#This Row],[Audit Candidate 4]]-Audit[[#This Row],[Candidate 4]], "")</f>
        <v/>
      </c>
      <c r="AI386" s="18" t="str">
        <f>IF(NOT(ISBLANK(Audit[[#This Row],[Audit Candidate 5]])), Audit[[#This Row],[Audit Candidate 5]]-Audit[[#This Row],[Candidate 5]], "")</f>
        <v/>
      </c>
      <c r="AJ386" s="18" t="str">
        <f>IF(NOT(ISBLANK(Audit[[#This Row],[Audit Candidate 6]])), Audit[[#This Row],[Audit Candidate 6]]-Audit[[#This Row],[Candidate 6]], "")</f>
        <v/>
      </c>
      <c r="AK386" s="18" t="str">
        <f>IF(NOT(ISBLANK(Audit[[#This Row],[Audit Candidate 7]])), Audit[[#This Row],[Audit Candidate 7]]-Audit[[#This Row],[Candidate 7]], "")</f>
        <v/>
      </c>
      <c r="AL386" s="18" t="str">
        <f>IF(NOT(ISBLANK(Audit[[#This Row],[Audit Candidate 8]])), Audit[[#This Row],[Audit Candidate 8]]-Audit[[#This Row],[Candidate 8]], "")</f>
        <v/>
      </c>
      <c r="AM386" s="18" t="str">
        <f>IF(NOT(ISBLANK(Audit[[#This Row],[Audit Candidate 9]])), Audit[[#This Row],[Audit Candidate 9]]-Audit[[#This Row],[Candidate 9]], "")</f>
        <v/>
      </c>
      <c r="AN386" s="18" t="str">
        <f>IF(NOT(ISBLANK(Audit[[#This Row],[Audit Candidate 10]])), Audit[[#This Row],[Audit Candidate 10]]-Audit[[#This Row],[Candidate 10]], "")</f>
        <v/>
      </c>
      <c r="AO386" s="18" t="str">
        <f>IF(NOT(ISBLANK(Audit[[#This Row],[Audit Candidate 11]])), Audit[[#This Row],[Audit Candidate 11]]-Audit[[#This Row],[Candidate 11]], "")</f>
        <v/>
      </c>
      <c r="AP386" s="18" t="str">
        <f>IF(NOT(ISBLANK(Audit[[#This Row],[Audit Candidate 12]])), Audit[[#This Row],[Audit Candidate 12]]-Audit[[#This Row],[Candidate 12]], "")</f>
        <v/>
      </c>
      <c r="AQ386" s="18">
        <f>SUMIF(Audit[[#This Row],[Difference Winner]:[Difference Candidate 12]], "&gt;0")</f>
        <v>0</v>
      </c>
      <c r="AR386" s="18">
        <f>SUM(Audit[[#This Row],[Difference Winner]:[Difference Candidate 12]])</f>
        <v>0</v>
      </c>
      <c r="AS386" s="18">
        <f>IF(Audit[[#This Row],[Times p Drawn - With Replacement]]&gt;0, IF(Audit[[#This Row],[Canceled Differences]]&lt;0, Audit[[#This Row],[Max Differences]]+ABS(Audit[[#This Row],[Canceled Differences]]), Audit[[#This Row],[Max Differences]]), 0)</f>
        <v>0</v>
      </c>
      <c r="AT386" s="18">
        <f>'Sampling Data'!AB386</f>
        <v>3.7691993592361088E-4</v>
      </c>
      <c r="AU386" s="18">
        <f>IF(
      SUM(Audit[[#This Row],[Audit Losing Candidate]:[Audit Candidate 12]])
      &lt;&gt;0,
      (Audit[[#This Row],[Winning Candidate]]-Audit[[#This Row],[Losing Candidate]]-(Audit[[#This Row],[Audit Winning Candidate]]-Audit[[#This Row],[Audit Losing Candidate]]))/(Audit[[#Totals],[Winning Candidate]]-Audit[[#Totals],[Losing Candidate]]),
      0
)</f>
        <v>0</v>
      </c>
      <c r="AV3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8">
        <f>IF(Audit[[#This Row],[Max Relative Error (ep)]] = 0, 0, Audit[[#This Row],[Max Relative Error (ep)]]/Audit[[#This Row],[Error Bound (up) - Max. possible relative overstatement]])</f>
        <v>0</v>
      </c>
      <c r="BH3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6" s="18">
        <f t="shared" si="6"/>
        <v>1</v>
      </c>
      <c r="BJ386" s="18">
        <f>PRODUCT($BI$5:BI386)</f>
        <v>0.32656797278968008</v>
      </c>
      <c r="BK386" s="20">
        <f>1 - Audit[[#This Row],[K-M P Value]]</f>
        <v>0.67343202721031992</v>
      </c>
      <c r="BL386" s="18" t="str">
        <f>IF(Audit[[#This Row],[K-M P Value]]&gt;1-'General Info'!$B$12,"Continue", "Stop")</f>
        <v>Continue</v>
      </c>
      <c r="BM386" s="23" t="b">
        <f>IF(Audit[[#This Row],[Status - Continue or stop audit]] = "Continue", TRUE, IF(BL385 = "Continue", TRUE, FALSE))</f>
        <v>1</v>
      </c>
      <c r="BN386" s="23"/>
    </row>
    <row r="387" spans="1:66" ht="15" hidden="1" customHeight="1" x14ac:dyDescent="0.35">
      <c r="A387" s="18" t="str">
        <f>'Sampling Data'!AI387</f>
        <v/>
      </c>
      <c r="B387" s="18" t="str">
        <f>'Sampling Data'!A387</f>
        <v>5935 COLE II   (AV)</v>
      </c>
      <c r="C387" s="18">
        <f>'Sampling Data'!B387</f>
        <v>1</v>
      </c>
      <c r="D387" s="18">
        <f>'Sampling Data'!C387</f>
        <v>0</v>
      </c>
      <c r="E387" s="19">
        <f>'Sampling Data'!D387</f>
        <v>0</v>
      </c>
      <c r="F387" s="19">
        <f>'Sampling Data'!E387</f>
        <v>0</v>
      </c>
      <c r="G387" s="19">
        <f>'Sampling Data'!F387</f>
        <v>0</v>
      </c>
      <c r="H387" s="19">
        <f>'Sampling Data'!G387</f>
        <v>0</v>
      </c>
      <c r="I387" s="19">
        <f>'Sampling Data'!H387</f>
        <v>0</v>
      </c>
      <c r="J387" s="19">
        <f>'Sampling Data'!I387</f>
        <v>0</v>
      </c>
      <c r="K387" s="19">
        <f>'Sampling Data'!J387</f>
        <v>0</v>
      </c>
      <c r="L387" s="19">
        <f>'Sampling Data'!K387</f>
        <v>0</v>
      </c>
      <c r="M387" s="19">
        <f>'Sampling Data'!L387</f>
        <v>0</v>
      </c>
      <c r="N387" s="19">
        <f>'Sampling Data'!M387</f>
        <v>0</v>
      </c>
      <c r="O387" s="18">
        <f>'Sampling Data'!N387</f>
        <v>0</v>
      </c>
      <c r="P387" s="18">
        <f>'Sampling Data'!O387</f>
        <v>0</v>
      </c>
      <c r="Q387" s="18">
        <f>'Sampling Data'!P387</f>
        <v>1</v>
      </c>
      <c r="R387" s="18">
        <f>'Sampling Data'!AJ387</f>
        <v>0</v>
      </c>
      <c r="S387" s="112"/>
      <c r="T387" s="112"/>
      <c r="U387" s="113"/>
      <c r="V387" s="113"/>
      <c r="W387" s="112"/>
      <c r="X387" s="112"/>
      <c r="Y387" s="112"/>
      <c r="Z387" s="112"/>
      <c r="AA387" s="15"/>
      <c r="AB387" s="15"/>
      <c r="AC387" s="15"/>
      <c r="AD387" s="15"/>
      <c r="AE387" s="114" t="str">
        <f>IF(NOT(ISBLANK(Audit[[#This Row],[Audit Winning Candidate]])), Audit[[#This Row],[Audit Winning Candidate]]-Audit[[#This Row],[Winning Candidate]], "")</f>
        <v/>
      </c>
      <c r="AF387" s="18" t="str">
        <f>IF(NOT(ISBLANK(Audit[[#This Row],[Audit Losing Candidate]])), Audit[[#This Row],[Audit Losing Candidate]]-Audit[[#This Row],[Losing Candidate]], "")</f>
        <v/>
      </c>
      <c r="AG387" s="18" t="str">
        <f>IF(NOT(ISBLANK(Audit[[#This Row],[Audit Candidate 3]])), Audit[[#This Row],[Audit Candidate 3]]-Audit[[#This Row],[Candidate 3]], "")</f>
        <v/>
      </c>
      <c r="AH387" s="18" t="str">
        <f>IF(NOT(ISBLANK(Audit[[#This Row],[Audit Candidate 4]])),Audit[[#This Row],[Audit Candidate 4]]-Audit[[#This Row],[Candidate 4]], "")</f>
        <v/>
      </c>
      <c r="AI387" s="18" t="str">
        <f>IF(NOT(ISBLANK(Audit[[#This Row],[Audit Candidate 5]])), Audit[[#This Row],[Audit Candidate 5]]-Audit[[#This Row],[Candidate 5]], "")</f>
        <v/>
      </c>
      <c r="AJ387" s="18" t="str">
        <f>IF(NOT(ISBLANK(Audit[[#This Row],[Audit Candidate 6]])), Audit[[#This Row],[Audit Candidate 6]]-Audit[[#This Row],[Candidate 6]], "")</f>
        <v/>
      </c>
      <c r="AK387" s="18" t="str">
        <f>IF(NOT(ISBLANK(Audit[[#This Row],[Audit Candidate 7]])), Audit[[#This Row],[Audit Candidate 7]]-Audit[[#This Row],[Candidate 7]], "")</f>
        <v/>
      </c>
      <c r="AL387" s="18" t="str">
        <f>IF(NOT(ISBLANK(Audit[[#This Row],[Audit Candidate 8]])), Audit[[#This Row],[Audit Candidate 8]]-Audit[[#This Row],[Candidate 8]], "")</f>
        <v/>
      </c>
      <c r="AM387" s="18" t="str">
        <f>IF(NOT(ISBLANK(Audit[[#This Row],[Audit Candidate 9]])), Audit[[#This Row],[Audit Candidate 9]]-Audit[[#This Row],[Candidate 9]], "")</f>
        <v/>
      </c>
      <c r="AN387" s="18" t="str">
        <f>IF(NOT(ISBLANK(Audit[[#This Row],[Audit Candidate 10]])), Audit[[#This Row],[Audit Candidate 10]]-Audit[[#This Row],[Candidate 10]], "")</f>
        <v/>
      </c>
      <c r="AO387" s="18" t="str">
        <f>IF(NOT(ISBLANK(Audit[[#This Row],[Audit Candidate 11]])), Audit[[#This Row],[Audit Candidate 11]]-Audit[[#This Row],[Candidate 11]], "")</f>
        <v/>
      </c>
      <c r="AP387" s="18" t="str">
        <f>IF(NOT(ISBLANK(Audit[[#This Row],[Audit Candidate 12]])), Audit[[#This Row],[Audit Candidate 12]]-Audit[[#This Row],[Candidate 12]], "")</f>
        <v/>
      </c>
      <c r="AQ387" s="18">
        <f>SUMIF(Audit[[#This Row],[Difference Winner]:[Difference Candidate 12]], "&gt;0")</f>
        <v>0</v>
      </c>
      <c r="AR387" s="18">
        <f>SUM(Audit[[#This Row],[Difference Winner]:[Difference Candidate 12]])</f>
        <v>0</v>
      </c>
      <c r="AS387" s="18">
        <f>IF(Audit[[#This Row],[Times p Drawn - With Replacement]]&gt;0, IF(Audit[[#This Row],[Canceled Differences]]&lt;0, Audit[[#This Row],[Max Differences]]+ABS(Audit[[#This Row],[Canceled Differences]]), Audit[[#This Row],[Max Differences]]), 0)</f>
        <v>0</v>
      </c>
      <c r="AT387" s="18">
        <f>'Sampling Data'!AB387</f>
        <v>6.2819989320601809E-5</v>
      </c>
      <c r="AU387" s="18">
        <f>IF(
      SUM(Audit[[#This Row],[Audit Losing Candidate]:[Audit Candidate 12]])
      &lt;&gt;0,
      (Audit[[#This Row],[Winning Candidate]]-Audit[[#This Row],[Losing Candidate]]-(Audit[[#This Row],[Audit Winning Candidate]]-Audit[[#This Row],[Audit Losing Candidate]]))/(Audit[[#Totals],[Winning Candidate]]-Audit[[#Totals],[Losing Candidate]]),
      0
)</f>
        <v>0</v>
      </c>
      <c r="AV3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8">
        <f>IF(Audit[[#This Row],[Max Relative Error (ep)]] = 0, 0, Audit[[#This Row],[Max Relative Error (ep)]]/Audit[[#This Row],[Error Bound (up) - Max. possible relative overstatement]])</f>
        <v>0</v>
      </c>
      <c r="BH3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7" s="18">
        <f t="shared" si="6"/>
        <v>1</v>
      </c>
      <c r="BJ387" s="18">
        <f>PRODUCT($BI$5:BI387)</f>
        <v>0.32656797278968008</v>
      </c>
      <c r="BK387" s="20">
        <f>1 - Audit[[#This Row],[K-M P Value]]</f>
        <v>0.67343202721031992</v>
      </c>
      <c r="BL387" s="18" t="str">
        <f>IF(Audit[[#This Row],[K-M P Value]]&gt;1-'General Info'!$B$12,"Continue", "Stop")</f>
        <v>Continue</v>
      </c>
      <c r="BM387" s="23" t="b">
        <f>IF(Audit[[#This Row],[Status - Continue or stop audit]] = "Continue", TRUE, IF(BL386 = "Continue", TRUE, FALSE))</f>
        <v>1</v>
      </c>
      <c r="BN387" s="23"/>
    </row>
    <row r="388" spans="1:66" ht="15" hidden="1" customHeight="1" x14ac:dyDescent="0.35">
      <c r="A388" s="18" t="str">
        <f>'Sampling Data'!AI388</f>
        <v/>
      </c>
      <c r="B388" s="18" t="str">
        <f>'Sampling Data'!A388</f>
        <v>5936 COLE JJ   (AV)</v>
      </c>
      <c r="C388" s="18">
        <f>'Sampling Data'!B388</f>
        <v>8</v>
      </c>
      <c r="D388" s="18">
        <f>'Sampling Data'!C388</f>
        <v>0</v>
      </c>
      <c r="E388" s="19">
        <f>'Sampling Data'!D388</f>
        <v>0</v>
      </c>
      <c r="F388" s="19">
        <f>'Sampling Data'!E388</f>
        <v>0</v>
      </c>
      <c r="G388" s="19">
        <f>'Sampling Data'!F388</f>
        <v>0</v>
      </c>
      <c r="H388" s="19">
        <f>'Sampling Data'!G388</f>
        <v>0</v>
      </c>
      <c r="I388" s="19">
        <f>'Sampling Data'!H388</f>
        <v>0</v>
      </c>
      <c r="J388" s="19">
        <f>'Sampling Data'!I388</f>
        <v>0</v>
      </c>
      <c r="K388" s="19">
        <f>'Sampling Data'!J388</f>
        <v>0</v>
      </c>
      <c r="L388" s="19">
        <f>'Sampling Data'!K388</f>
        <v>0</v>
      </c>
      <c r="M388" s="19">
        <f>'Sampling Data'!L388</f>
        <v>0</v>
      </c>
      <c r="N388" s="19">
        <f>'Sampling Data'!M388</f>
        <v>0</v>
      </c>
      <c r="O388" s="18">
        <f>'Sampling Data'!N388</f>
        <v>0</v>
      </c>
      <c r="P388" s="18">
        <f>'Sampling Data'!O388</f>
        <v>0</v>
      </c>
      <c r="Q388" s="18">
        <f>'Sampling Data'!P388</f>
        <v>8</v>
      </c>
      <c r="R388" s="18">
        <f>'Sampling Data'!AJ388</f>
        <v>0</v>
      </c>
      <c r="S388" s="112"/>
      <c r="T388" s="112"/>
      <c r="U388" s="113"/>
      <c r="V388" s="113"/>
      <c r="W388" s="112"/>
      <c r="X388" s="112"/>
      <c r="Y388" s="112"/>
      <c r="Z388" s="112"/>
      <c r="AA388" s="15"/>
      <c r="AB388" s="15"/>
      <c r="AC388" s="15"/>
      <c r="AD388" s="15"/>
      <c r="AE388" s="114" t="str">
        <f>IF(NOT(ISBLANK(Audit[[#This Row],[Audit Winning Candidate]])), Audit[[#This Row],[Audit Winning Candidate]]-Audit[[#This Row],[Winning Candidate]], "")</f>
        <v/>
      </c>
      <c r="AF388" s="18" t="str">
        <f>IF(NOT(ISBLANK(Audit[[#This Row],[Audit Losing Candidate]])), Audit[[#This Row],[Audit Losing Candidate]]-Audit[[#This Row],[Losing Candidate]], "")</f>
        <v/>
      </c>
      <c r="AG388" s="18" t="str">
        <f>IF(NOT(ISBLANK(Audit[[#This Row],[Audit Candidate 3]])), Audit[[#This Row],[Audit Candidate 3]]-Audit[[#This Row],[Candidate 3]], "")</f>
        <v/>
      </c>
      <c r="AH388" s="18" t="str">
        <f>IF(NOT(ISBLANK(Audit[[#This Row],[Audit Candidate 4]])),Audit[[#This Row],[Audit Candidate 4]]-Audit[[#This Row],[Candidate 4]], "")</f>
        <v/>
      </c>
      <c r="AI388" s="18" t="str">
        <f>IF(NOT(ISBLANK(Audit[[#This Row],[Audit Candidate 5]])), Audit[[#This Row],[Audit Candidate 5]]-Audit[[#This Row],[Candidate 5]], "")</f>
        <v/>
      </c>
      <c r="AJ388" s="18" t="str">
        <f>IF(NOT(ISBLANK(Audit[[#This Row],[Audit Candidate 6]])), Audit[[#This Row],[Audit Candidate 6]]-Audit[[#This Row],[Candidate 6]], "")</f>
        <v/>
      </c>
      <c r="AK388" s="18" t="str">
        <f>IF(NOT(ISBLANK(Audit[[#This Row],[Audit Candidate 7]])), Audit[[#This Row],[Audit Candidate 7]]-Audit[[#This Row],[Candidate 7]], "")</f>
        <v/>
      </c>
      <c r="AL388" s="18" t="str">
        <f>IF(NOT(ISBLANK(Audit[[#This Row],[Audit Candidate 8]])), Audit[[#This Row],[Audit Candidate 8]]-Audit[[#This Row],[Candidate 8]], "")</f>
        <v/>
      </c>
      <c r="AM388" s="18" t="str">
        <f>IF(NOT(ISBLANK(Audit[[#This Row],[Audit Candidate 9]])), Audit[[#This Row],[Audit Candidate 9]]-Audit[[#This Row],[Candidate 9]], "")</f>
        <v/>
      </c>
      <c r="AN388" s="18" t="str">
        <f>IF(NOT(ISBLANK(Audit[[#This Row],[Audit Candidate 10]])), Audit[[#This Row],[Audit Candidate 10]]-Audit[[#This Row],[Candidate 10]], "")</f>
        <v/>
      </c>
      <c r="AO388" s="18" t="str">
        <f>IF(NOT(ISBLANK(Audit[[#This Row],[Audit Candidate 11]])), Audit[[#This Row],[Audit Candidate 11]]-Audit[[#This Row],[Candidate 11]], "")</f>
        <v/>
      </c>
      <c r="AP388" s="18" t="str">
        <f>IF(NOT(ISBLANK(Audit[[#This Row],[Audit Candidate 12]])), Audit[[#This Row],[Audit Candidate 12]]-Audit[[#This Row],[Candidate 12]], "")</f>
        <v/>
      </c>
      <c r="AQ388" s="18">
        <f>SUMIF(Audit[[#This Row],[Difference Winner]:[Difference Candidate 12]], "&gt;0")</f>
        <v>0</v>
      </c>
      <c r="AR388" s="18">
        <f>SUM(Audit[[#This Row],[Difference Winner]:[Difference Candidate 12]])</f>
        <v>0</v>
      </c>
      <c r="AS388" s="18">
        <f>IF(Audit[[#This Row],[Times p Drawn - With Replacement]]&gt;0, IF(Audit[[#This Row],[Canceled Differences]]&lt;0, Audit[[#This Row],[Max Differences]]+ABS(Audit[[#This Row],[Canceled Differences]]), Audit[[#This Row],[Max Differences]]), 0)</f>
        <v>0</v>
      </c>
      <c r="AT388" s="18">
        <f>'Sampling Data'!AB388</f>
        <v>5.0255991456481448E-4</v>
      </c>
      <c r="AU388" s="18">
        <f>IF(
      SUM(Audit[[#This Row],[Audit Losing Candidate]:[Audit Candidate 12]])
      &lt;&gt;0,
      (Audit[[#This Row],[Winning Candidate]]-Audit[[#This Row],[Losing Candidate]]-(Audit[[#This Row],[Audit Winning Candidate]]-Audit[[#This Row],[Audit Losing Candidate]]))/(Audit[[#Totals],[Winning Candidate]]-Audit[[#Totals],[Losing Candidate]]),
      0
)</f>
        <v>0</v>
      </c>
      <c r="AV3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8">
        <f>IF(Audit[[#This Row],[Max Relative Error (ep)]] = 0, 0, Audit[[#This Row],[Max Relative Error (ep)]]/Audit[[#This Row],[Error Bound (up) - Max. possible relative overstatement]])</f>
        <v>0</v>
      </c>
      <c r="BH3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8" s="18">
        <f t="shared" si="6"/>
        <v>1</v>
      </c>
      <c r="BJ388" s="18">
        <f>PRODUCT($BI$5:BI388)</f>
        <v>0.32656797278968008</v>
      </c>
      <c r="BK388" s="20">
        <f>1 - Audit[[#This Row],[K-M P Value]]</f>
        <v>0.67343202721031992</v>
      </c>
      <c r="BL388" s="18" t="str">
        <f>IF(Audit[[#This Row],[K-M P Value]]&gt;1-'General Info'!$B$12,"Continue", "Stop")</f>
        <v>Continue</v>
      </c>
      <c r="BM388" s="23" t="b">
        <f>IF(Audit[[#This Row],[Status - Continue or stop audit]] = "Continue", TRUE, IF(BL387 = "Continue", TRUE, FALSE))</f>
        <v>1</v>
      </c>
      <c r="BN388" s="23"/>
    </row>
    <row r="389" spans="1:66" ht="15" hidden="1" customHeight="1" x14ac:dyDescent="0.35">
      <c r="A389" s="18" t="str">
        <f>'Sampling Data'!AI389</f>
        <v/>
      </c>
      <c r="B389" s="18" t="str">
        <f>'Sampling Data'!A389</f>
        <v>5937 COLE KK   (AV)</v>
      </c>
      <c r="C389" s="18">
        <f>'Sampling Data'!B389</f>
        <v>5</v>
      </c>
      <c r="D389" s="18">
        <f>'Sampling Data'!C389</f>
        <v>0</v>
      </c>
      <c r="E389" s="19">
        <f>'Sampling Data'!D389</f>
        <v>0</v>
      </c>
      <c r="F389" s="19">
        <f>'Sampling Data'!E389</f>
        <v>0</v>
      </c>
      <c r="G389" s="19">
        <f>'Sampling Data'!F389</f>
        <v>0</v>
      </c>
      <c r="H389" s="19">
        <f>'Sampling Data'!G389</f>
        <v>0</v>
      </c>
      <c r="I389" s="19">
        <f>'Sampling Data'!H389</f>
        <v>0</v>
      </c>
      <c r="J389" s="19">
        <f>'Sampling Data'!I389</f>
        <v>0</v>
      </c>
      <c r="K389" s="19">
        <f>'Sampling Data'!J389</f>
        <v>0</v>
      </c>
      <c r="L389" s="19">
        <f>'Sampling Data'!K389</f>
        <v>0</v>
      </c>
      <c r="M389" s="19">
        <f>'Sampling Data'!L389</f>
        <v>0</v>
      </c>
      <c r="N389" s="19">
        <f>'Sampling Data'!M389</f>
        <v>0</v>
      </c>
      <c r="O389" s="18">
        <f>'Sampling Data'!N389</f>
        <v>0</v>
      </c>
      <c r="P389" s="18">
        <f>'Sampling Data'!O389</f>
        <v>0</v>
      </c>
      <c r="Q389" s="18">
        <f>'Sampling Data'!P389</f>
        <v>5</v>
      </c>
      <c r="R389" s="18">
        <f>'Sampling Data'!AJ389</f>
        <v>0</v>
      </c>
      <c r="S389" s="112"/>
      <c r="T389" s="112"/>
      <c r="U389" s="113"/>
      <c r="V389" s="113"/>
      <c r="W389" s="112"/>
      <c r="X389" s="112"/>
      <c r="Y389" s="112"/>
      <c r="Z389" s="112"/>
      <c r="AA389" s="15"/>
      <c r="AB389" s="15"/>
      <c r="AC389" s="15"/>
      <c r="AD389" s="15"/>
      <c r="AE389" s="114" t="str">
        <f>IF(NOT(ISBLANK(Audit[[#This Row],[Audit Winning Candidate]])), Audit[[#This Row],[Audit Winning Candidate]]-Audit[[#This Row],[Winning Candidate]], "")</f>
        <v/>
      </c>
      <c r="AF389" s="18" t="str">
        <f>IF(NOT(ISBLANK(Audit[[#This Row],[Audit Losing Candidate]])), Audit[[#This Row],[Audit Losing Candidate]]-Audit[[#This Row],[Losing Candidate]], "")</f>
        <v/>
      </c>
      <c r="AG389" s="18" t="str">
        <f>IF(NOT(ISBLANK(Audit[[#This Row],[Audit Candidate 3]])), Audit[[#This Row],[Audit Candidate 3]]-Audit[[#This Row],[Candidate 3]], "")</f>
        <v/>
      </c>
      <c r="AH389" s="18" t="str">
        <f>IF(NOT(ISBLANK(Audit[[#This Row],[Audit Candidate 4]])),Audit[[#This Row],[Audit Candidate 4]]-Audit[[#This Row],[Candidate 4]], "")</f>
        <v/>
      </c>
      <c r="AI389" s="18" t="str">
        <f>IF(NOT(ISBLANK(Audit[[#This Row],[Audit Candidate 5]])), Audit[[#This Row],[Audit Candidate 5]]-Audit[[#This Row],[Candidate 5]], "")</f>
        <v/>
      </c>
      <c r="AJ389" s="18" t="str">
        <f>IF(NOT(ISBLANK(Audit[[#This Row],[Audit Candidate 6]])), Audit[[#This Row],[Audit Candidate 6]]-Audit[[#This Row],[Candidate 6]], "")</f>
        <v/>
      </c>
      <c r="AK389" s="18" t="str">
        <f>IF(NOT(ISBLANK(Audit[[#This Row],[Audit Candidate 7]])), Audit[[#This Row],[Audit Candidate 7]]-Audit[[#This Row],[Candidate 7]], "")</f>
        <v/>
      </c>
      <c r="AL389" s="18" t="str">
        <f>IF(NOT(ISBLANK(Audit[[#This Row],[Audit Candidate 8]])), Audit[[#This Row],[Audit Candidate 8]]-Audit[[#This Row],[Candidate 8]], "")</f>
        <v/>
      </c>
      <c r="AM389" s="18" t="str">
        <f>IF(NOT(ISBLANK(Audit[[#This Row],[Audit Candidate 9]])), Audit[[#This Row],[Audit Candidate 9]]-Audit[[#This Row],[Candidate 9]], "")</f>
        <v/>
      </c>
      <c r="AN389" s="18" t="str">
        <f>IF(NOT(ISBLANK(Audit[[#This Row],[Audit Candidate 10]])), Audit[[#This Row],[Audit Candidate 10]]-Audit[[#This Row],[Candidate 10]], "")</f>
        <v/>
      </c>
      <c r="AO389" s="18" t="str">
        <f>IF(NOT(ISBLANK(Audit[[#This Row],[Audit Candidate 11]])), Audit[[#This Row],[Audit Candidate 11]]-Audit[[#This Row],[Candidate 11]], "")</f>
        <v/>
      </c>
      <c r="AP389" s="18" t="str">
        <f>IF(NOT(ISBLANK(Audit[[#This Row],[Audit Candidate 12]])), Audit[[#This Row],[Audit Candidate 12]]-Audit[[#This Row],[Candidate 12]], "")</f>
        <v/>
      </c>
      <c r="AQ389" s="18">
        <f>SUMIF(Audit[[#This Row],[Difference Winner]:[Difference Candidate 12]], "&gt;0")</f>
        <v>0</v>
      </c>
      <c r="AR389" s="18">
        <f>SUM(Audit[[#This Row],[Difference Winner]:[Difference Candidate 12]])</f>
        <v>0</v>
      </c>
      <c r="AS389" s="18">
        <f>IF(Audit[[#This Row],[Times p Drawn - With Replacement]]&gt;0, IF(Audit[[#This Row],[Canceled Differences]]&lt;0, Audit[[#This Row],[Max Differences]]+ABS(Audit[[#This Row],[Canceled Differences]]), Audit[[#This Row],[Max Differences]]), 0)</f>
        <v>0</v>
      </c>
      <c r="AT389" s="18">
        <f>'Sampling Data'!AB389</f>
        <v>3.1409994660300906E-4</v>
      </c>
      <c r="AU389" s="18">
        <f>IF(
      SUM(Audit[[#This Row],[Audit Losing Candidate]:[Audit Candidate 12]])
      &lt;&gt;0,
      (Audit[[#This Row],[Winning Candidate]]-Audit[[#This Row],[Losing Candidate]]-(Audit[[#This Row],[Audit Winning Candidate]]-Audit[[#This Row],[Audit Losing Candidate]]))/(Audit[[#Totals],[Winning Candidate]]-Audit[[#Totals],[Losing Candidate]]),
      0
)</f>
        <v>0</v>
      </c>
      <c r="AV3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8">
        <f>IF(Audit[[#This Row],[Max Relative Error (ep)]] = 0, 0, Audit[[#This Row],[Max Relative Error (ep)]]/Audit[[#This Row],[Error Bound (up) - Max. possible relative overstatement]])</f>
        <v>0</v>
      </c>
      <c r="BH3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89" s="18">
        <f t="shared" si="6"/>
        <v>1</v>
      </c>
      <c r="BJ389" s="18">
        <f>PRODUCT($BI$5:BI389)</f>
        <v>0.32656797278968008</v>
      </c>
      <c r="BK389" s="20">
        <f>1 - Audit[[#This Row],[K-M P Value]]</f>
        <v>0.67343202721031992</v>
      </c>
      <c r="BL389" s="18" t="str">
        <f>IF(Audit[[#This Row],[K-M P Value]]&gt;1-'General Info'!$B$12,"Continue", "Stop")</f>
        <v>Continue</v>
      </c>
      <c r="BM389" s="23" t="b">
        <f>IF(Audit[[#This Row],[Status - Continue or stop audit]] = "Continue", TRUE, IF(BL388 = "Continue", TRUE, FALSE))</f>
        <v>1</v>
      </c>
      <c r="BN389" s="23"/>
    </row>
    <row r="390" spans="1:66" ht="15" hidden="1" customHeight="1" x14ac:dyDescent="0.35">
      <c r="A390" s="18" t="str">
        <f>'Sampling Data'!AI390</f>
        <v/>
      </c>
      <c r="B390" s="18" t="str">
        <f>'Sampling Data'!A390</f>
        <v>5938 COLE LL   (AV)</v>
      </c>
      <c r="C390" s="18">
        <f>'Sampling Data'!B390</f>
        <v>4</v>
      </c>
      <c r="D390" s="18">
        <f>'Sampling Data'!C390</f>
        <v>3</v>
      </c>
      <c r="E390" s="19">
        <f>'Sampling Data'!D390</f>
        <v>0</v>
      </c>
      <c r="F390" s="19">
        <f>'Sampling Data'!E390</f>
        <v>0</v>
      </c>
      <c r="G390" s="19">
        <f>'Sampling Data'!F390</f>
        <v>0</v>
      </c>
      <c r="H390" s="19">
        <f>'Sampling Data'!G390</f>
        <v>0</v>
      </c>
      <c r="I390" s="19">
        <f>'Sampling Data'!H390</f>
        <v>0</v>
      </c>
      <c r="J390" s="19">
        <f>'Sampling Data'!I390</f>
        <v>0</v>
      </c>
      <c r="K390" s="19">
        <f>'Sampling Data'!J390</f>
        <v>0</v>
      </c>
      <c r="L390" s="19">
        <f>'Sampling Data'!K390</f>
        <v>0</v>
      </c>
      <c r="M390" s="19">
        <f>'Sampling Data'!L390</f>
        <v>0</v>
      </c>
      <c r="N390" s="19">
        <f>'Sampling Data'!M390</f>
        <v>0</v>
      </c>
      <c r="O390" s="18">
        <f>'Sampling Data'!N390</f>
        <v>0</v>
      </c>
      <c r="P390" s="18">
        <f>'Sampling Data'!O390</f>
        <v>0</v>
      </c>
      <c r="Q390" s="18">
        <f>'Sampling Data'!P390</f>
        <v>7</v>
      </c>
      <c r="R390" s="18">
        <f>'Sampling Data'!AJ390</f>
        <v>0</v>
      </c>
      <c r="S390" s="112"/>
      <c r="T390" s="112"/>
      <c r="U390" s="113"/>
      <c r="V390" s="113"/>
      <c r="W390" s="112"/>
      <c r="X390" s="112"/>
      <c r="Y390" s="112"/>
      <c r="Z390" s="112"/>
      <c r="AA390" s="15"/>
      <c r="AB390" s="15"/>
      <c r="AC390" s="15"/>
      <c r="AD390" s="15"/>
      <c r="AE390" s="114" t="str">
        <f>IF(NOT(ISBLANK(Audit[[#This Row],[Audit Winning Candidate]])), Audit[[#This Row],[Audit Winning Candidate]]-Audit[[#This Row],[Winning Candidate]], "")</f>
        <v/>
      </c>
      <c r="AF390" s="18" t="str">
        <f>IF(NOT(ISBLANK(Audit[[#This Row],[Audit Losing Candidate]])), Audit[[#This Row],[Audit Losing Candidate]]-Audit[[#This Row],[Losing Candidate]], "")</f>
        <v/>
      </c>
      <c r="AG390" s="18" t="str">
        <f>IF(NOT(ISBLANK(Audit[[#This Row],[Audit Candidate 3]])), Audit[[#This Row],[Audit Candidate 3]]-Audit[[#This Row],[Candidate 3]], "")</f>
        <v/>
      </c>
      <c r="AH390" s="18" t="str">
        <f>IF(NOT(ISBLANK(Audit[[#This Row],[Audit Candidate 4]])),Audit[[#This Row],[Audit Candidate 4]]-Audit[[#This Row],[Candidate 4]], "")</f>
        <v/>
      </c>
      <c r="AI390" s="18" t="str">
        <f>IF(NOT(ISBLANK(Audit[[#This Row],[Audit Candidate 5]])), Audit[[#This Row],[Audit Candidate 5]]-Audit[[#This Row],[Candidate 5]], "")</f>
        <v/>
      </c>
      <c r="AJ390" s="18" t="str">
        <f>IF(NOT(ISBLANK(Audit[[#This Row],[Audit Candidate 6]])), Audit[[#This Row],[Audit Candidate 6]]-Audit[[#This Row],[Candidate 6]], "")</f>
        <v/>
      </c>
      <c r="AK390" s="18" t="str">
        <f>IF(NOT(ISBLANK(Audit[[#This Row],[Audit Candidate 7]])), Audit[[#This Row],[Audit Candidate 7]]-Audit[[#This Row],[Candidate 7]], "")</f>
        <v/>
      </c>
      <c r="AL390" s="18" t="str">
        <f>IF(NOT(ISBLANK(Audit[[#This Row],[Audit Candidate 8]])), Audit[[#This Row],[Audit Candidate 8]]-Audit[[#This Row],[Candidate 8]], "")</f>
        <v/>
      </c>
      <c r="AM390" s="18" t="str">
        <f>IF(NOT(ISBLANK(Audit[[#This Row],[Audit Candidate 9]])), Audit[[#This Row],[Audit Candidate 9]]-Audit[[#This Row],[Candidate 9]], "")</f>
        <v/>
      </c>
      <c r="AN390" s="18" t="str">
        <f>IF(NOT(ISBLANK(Audit[[#This Row],[Audit Candidate 10]])), Audit[[#This Row],[Audit Candidate 10]]-Audit[[#This Row],[Candidate 10]], "")</f>
        <v/>
      </c>
      <c r="AO390" s="18" t="str">
        <f>IF(NOT(ISBLANK(Audit[[#This Row],[Audit Candidate 11]])), Audit[[#This Row],[Audit Candidate 11]]-Audit[[#This Row],[Candidate 11]], "")</f>
        <v/>
      </c>
      <c r="AP390" s="18" t="str">
        <f>IF(NOT(ISBLANK(Audit[[#This Row],[Audit Candidate 12]])), Audit[[#This Row],[Audit Candidate 12]]-Audit[[#This Row],[Candidate 12]], "")</f>
        <v/>
      </c>
      <c r="AQ390" s="18">
        <f>SUMIF(Audit[[#This Row],[Difference Winner]:[Difference Candidate 12]], "&gt;0")</f>
        <v>0</v>
      </c>
      <c r="AR390" s="18">
        <f>SUM(Audit[[#This Row],[Difference Winner]:[Difference Candidate 12]])</f>
        <v>0</v>
      </c>
      <c r="AS390" s="18">
        <f>IF(Audit[[#This Row],[Times p Drawn - With Replacement]]&gt;0, IF(Audit[[#This Row],[Canceled Differences]]&lt;0, Audit[[#This Row],[Max Differences]]+ABS(Audit[[#This Row],[Canceled Differences]]), Audit[[#This Row],[Max Differences]]), 0)</f>
        <v>0</v>
      </c>
      <c r="AT390" s="18">
        <f>'Sampling Data'!AB390</f>
        <v>2.5127995728240724E-4</v>
      </c>
      <c r="AU390" s="18">
        <f>IF(
      SUM(Audit[[#This Row],[Audit Losing Candidate]:[Audit Candidate 12]])
      &lt;&gt;0,
      (Audit[[#This Row],[Winning Candidate]]-Audit[[#This Row],[Losing Candidate]]-(Audit[[#This Row],[Audit Winning Candidate]]-Audit[[#This Row],[Audit Losing Candidate]]))/(Audit[[#Totals],[Winning Candidate]]-Audit[[#Totals],[Losing Candidate]]),
      0
)</f>
        <v>0</v>
      </c>
      <c r="AV3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8">
        <f>IF(Audit[[#This Row],[Max Relative Error (ep)]] = 0, 0, Audit[[#This Row],[Max Relative Error (ep)]]/Audit[[#This Row],[Error Bound (up) - Max. possible relative overstatement]])</f>
        <v>0</v>
      </c>
      <c r="BH3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0" s="18">
        <f t="shared" si="6"/>
        <v>1</v>
      </c>
      <c r="BJ390" s="18">
        <f>PRODUCT($BI$5:BI390)</f>
        <v>0.32656797278968008</v>
      </c>
      <c r="BK390" s="20">
        <f>1 - Audit[[#This Row],[K-M P Value]]</f>
        <v>0.67343202721031992</v>
      </c>
      <c r="BL390" s="18" t="str">
        <f>IF(Audit[[#This Row],[K-M P Value]]&gt;1-'General Info'!$B$12,"Continue", "Stop")</f>
        <v>Continue</v>
      </c>
      <c r="BM390" s="23" t="b">
        <f>IF(Audit[[#This Row],[Status - Continue or stop audit]] = "Continue", TRUE, IF(BL389 = "Continue", TRUE, FALSE))</f>
        <v>1</v>
      </c>
      <c r="BN390" s="23"/>
    </row>
    <row r="391" spans="1:66" ht="15" hidden="1" customHeight="1" x14ac:dyDescent="0.35">
      <c r="A391" s="18" t="str">
        <f>'Sampling Data'!AI391</f>
        <v/>
      </c>
      <c r="B391" s="18" t="str">
        <f>'Sampling Data'!A391</f>
        <v>6201 COLUM A   (AV)</v>
      </c>
      <c r="C391" s="18">
        <f>'Sampling Data'!B391</f>
        <v>1</v>
      </c>
      <c r="D391" s="18">
        <f>'Sampling Data'!C391</f>
        <v>0</v>
      </c>
      <c r="E391" s="19">
        <f>'Sampling Data'!D391</f>
        <v>0</v>
      </c>
      <c r="F391" s="19">
        <f>'Sampling Data'!E391</f>
        <v>0</v>
      </c>
      <c r="G391" s="19">
        <f>'Sampling Data'!F391</f>
        <v>0</v>
      </c>
      <c r="H391" s="19">
        <f>'Sampling Data'!G391</f>
        <v>0</v>
      </c>
      <c r="I391" s="19">
        <f>'Sampling Data'!H391</f>
        <v>0</v>
      </c>
      <c r="J391" s="19">
        <f>'Sampling Data'!I391</f>
        <v>0</v>
      </c>
      <c r="K391" s="19">
        <f>'Sampling Data'!J391</f>
        <v>0</v>
      </c>
      <c r="L391" s="19">
        <f>'Sampling Data'!K391</f>
        <v>0</v>
      </c>
      <c r="M391" s="19">
        <f>'Sampling Data'!L391</f>
        <v>0</v>
      </c>
      <c r="N391" s="19">
        <f>'Sampling Data'!M391</f>
        <v>0</v>
      </c>
      <c r="O391" s="18">
        <f>'Sampling Data'!N391</f>
        <v>0</v>
      </c>
      <c r="P391" s="18">
        <f>'Sampling Data'!O391</f>
        <v>0</v>
      </c>
      <c r="Q391" s="18">
        <f>'Sampling Data'!P391</f>
        <v>1</v>
      </c>
      <c r="R391" s="18">
        <f>'Sampling Data'!AJ391</f>
        <v>0</v>
      </c>
      <c r="S391" s="112"/>
      <c r="T391" s="112"/>
      <c r="U391" s="113"/>
      <c r="V391" s="113"/>
      <c r="W391" s="112"/>
      <c r="X391" s="112"/>
      <c r="Y391" s="112"/>
      <c r="Z391" s="112"/>
      <c r="AA391" s="15"/>
      <c r="AB391" s="15"/>
      <c r="AC391" s="15"/>
      <c r="AD391" s="15"/>
      <c r="AE391" s="114" t="str">
        <f>IF(NOT(ISBLANK(Audit[[#This Row],[Audit Winning Candidate]])), Audit[[#This Row],[Audit Winning Candidate]]-Audit[[#This Row],[Winning Candidate]], "")</f>
        <v/>
      </c>
      <c r="AF391" s="18" t="str">
        <f>IF(NOT(ISBLANK(Audit[[#This Row],[Audit Losing Candidate]])), Audit[[#This Row],[Audit Losing Candidate]]-Audit[[#This Row],[Losing Candidate]], "")</f>
        <v/>
      </c>
      <c r="AG391" s="18" t="str">
        <f>IF(NOT(ISBLANK(Audit[[#This Row],[Audit Candidate 3]])), Audit[[#This Row],[Audit Candidate 3]]-Audit[[#This Row],[Candidate 3]], "")</f>
        <v/>
      </c>
      <c r="AH391" s="18" t="str">
        <f>IF(NOT(ISBLANK(Audit[[#This Row],[Audit Candidate 4]])),Audit[[#This Row],[Audit Candidate 4]]-Audit[[#This Row],[Candidate 4]], "")</f>
        <v/>
      </c>
      <c r="AI391" s="18" t="str">
        <f>IF(NOT(ISBLANK(Audit[[#This Row],[Audit Candidate 5]])), Audit[[#This Row],[Audit Candidate 5]]-Audit[[#This Row],[Candidate 5]], "")</f>
        <v/>
      </c>
      <c r="AJ391" s="18" t="str">
        <f>IF(NOT(ISBLANK(Audit[[#This Row],[Audit Candidate 6]])), Audit[[#This Row],[Audit Candidate 6]]-Audit[[#This Row],[Candidate 6]], "")</f>
        <v/>
      </c>
      <c r="AK391" s="18" t="str">
        <f>IF(NOT(ISBLANK(Audit[[#This Row],[Audit Candidate 7]])), Audit[[#This Row],[Audit Candidate 7]]-Audit[[#This Row],[Candidate 7]], "")</f>
        <v/>
      </c>
      <c r="AL391" s="18" t="str">
        <f>IF(NOT(ISBLANK(Audit[[#This Row],[Audit Candidate 8]])), Audit[[#This Row],[Audit Candidate 8]]-Audit[[#This Row],[Candidate 8]], "")</f>
        <v/>
      </c>
      <c r="AM391" s="18" t="str">
        <f>IF(NOT(ISBLANK(Audit[[#This Row],[Audit Candidate 9]])), Audit[[#This Row],[Audit Candidate 9]]-Audit[[#This Row],[Candidate 9]], "")</f>
        <v/>
      </c>
      <c r="AN391" s="18" t="str">
        <f>IF(NOT(ISBLANK(Audit[[#This Row],[Audit Candidate 10]])), Audit[[#This Row],[Audit Candidate 10]]-Audit[[#This Row],[Candidate 10]], "")</f>
        <v/>
      </c>
      <c r="AO391" s="18" t="str">
        <f>IF(NOT(ISBLANK(Audit[[#This Row],[Audit Candidate 11]])), Audit[[#This Row],[Audit Candidate 11]]-Audit[[#This Row],[Candidate 11]], "")</f>
        <v/>
      </c>
      <c r="AP391" s="18" t="str">
        <f>IF(NOT(ISBLANK(Audit[[#This Row],[Audit Candidate 12]])), Audit[[#This Row],[Audit Candidate 12]]-Audit[[#This Row],[Candidate 12]], "")</f>
        <v/>
      </c>
      <c r="AQ391" s="18">
        <f>SUMIF(Audit[[#This Row],[Difference Winner]:[Difference Candidate 12]], "&gt;0")</f>
        <v>0</v>
      </c>
      <c r="AR391" s="18">
        <f>SUM(Audit[[#This Row],[Difference Winner]:[Difference Candidate 12]])</f>
        <v>0</v>
      </c>
      <c r="AS391" s="18">
        <f>IF(Audit[[#This Row],[Times p Drawn - With Replacement]]&gt;0, IF(Audit[[#This Row],[Canceled Differences]]&lt;0, Audit[[#This Row],[Max Differences]]+ABS(Audit[[#This Row],[Canceled Differences]]), Audit[[#This Row],[Max Differences]]), 0)</f>
        <v>0</v>
      </c>
      <c r="AT391" s="18">
        <f>'Sampling Data'!AB391</f>
        <v>6.2819989320601809E-5</v>
      </c>
      <c r="AU391" s="18">
        <f>IF(
      SUM(Audit[[#This Row],[Audit Losing Candidate]:[Audit Candidate 12]])
      &lt;&gt;0,
      (Audit[[#This Row],[Winning Candidate]]-Audit[[#This Row],[Losing Candidate]]-(Audit[[#This Row],[Audit Winning Candidate]]-Audit[[#This Row],[Audit Losing Candidate]]))/(Audit[[#Totals],[Winning Candidate]]-Audit[[#Totals],[Losing Candidate]]),
      0
)</f>
        <v>0</v>
      </c>
      <c r="AV3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8">
        <f>IF(Audit[[#This Row],[Max Relative Error (ep)]] = 0, 0, Audit[[#This Row],[Max Relative Error (ep)]]/Audit[[#This Row],[Error Bound (up) - Max. possible relative overstatement]])</f>
        <v>0</v>
      </c>
      <c r="BH3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1" s="18">
        <f t="shared" si="6"/>
        <v>1</v>
      </c>
      <c r="BJ391" s="18">
        <f>PRODUCT($BI$5:BI391)</f>
        <v>0.32656797278968008</v>
      </c>
      <c r="BK391" s="20">
        <f>1 - Audit[[#This Row],[K-M P Value]]</f>
        <v>0.67343202721031992</v>
      </c>
      <c r="BL391" s="18" t="str">
        <f>IF(Audit[[#This Row],[K-M P Value]]&gt;1-'General Info'!$B$12,"Continue", "Stop")</f>
        <v>Continue</v>
      </c>
      <c r="BM391" s="23" t="b">
        <f>IF(Audit[[#This Row],[Status - Continue or stop audit]] = "Continue", TRUE, IF(BL390 = "Continue", TRUE, FALSE))</f>
        <v>1</v>
      </c>
      <c r="BN391" s="23"/>
    </row>
    <row r="392" spans="1:66" ht="15" hidden="1" customHeight="1" x14ac:dyDescent="0.35">
      <c r="A392" s="18" t="str">
        <f>'Sampling Data'!AI392</f>
        <v/>
      </c>
      <c r="B392" s="18" t="str">
        <f>'Sampling Data'!A392</f>
        <v>6202 COLUM B   (AV)</v>
      </c>
      <c r="C392" s="18">
        <f>'Sampling Data'!B392</f>
        <v>3</v>
      </c>
      <c r="D392" s="18">
        <f>'Sampling Data'!C392</f>
        <v>0</v>
      </c>
      <c r="E392" s="19">
        <f>'Sampling Data'!D392</f>
        <v>0</v>
      </c>
      <c r="F392" s="19">
        <f>'Sampling Data'!E392</f>
        <v>0</v>
      </c>
      <c r="G392" s="19">
        <f>'Sampling Data'!F392</f>
        <v>0</v>
      </c>
      <c r="H392" s="19">
        <f>'Sampling Data'!G392</f>
        <v>0</v>
      </c>
      <c r="I392" s="19">
        <f>'Sampling Data'!H392</f>
        <v>0</v>
      </c>
      <c r="J392" s="19">
        <f>'Sampling Data'!I392</f>
        <v>0</v>
      </c>
      <c r="K392" s="19">
        <f>'Sampling Data'!J392</f>
        <v>0</v>
      </c>
      <c r="L392" s="19">
        <f>'Sampling Data'!K392</f>
        <v>0</v>
      </c>
      <c r="M392" s="19">
        <f>'Sampling Data'!L392</f>
        <v>0</v>
      </c>
      <c r="N392" s="19">
        <f>'Sampling Data'!M392</f>
        <v>0</v>
      </c>
      <c r="O392" s="18">
        <f>'Sampling Data'!N392</f>
        <v>0</v>
      </c>
      <c r="P392" s="18">
        <f>'Sampling Data'!O392</f>
        <v>1</v>
      </c>
      <c r="Q392" s="18">
        <f>'Sampling Data'!P392</f>
        <v>4</v>
      </c>
      <c r="R392" s="18">
        <f>'Sampling Data'!AJ392</f>
        <v>0</v>
      </c>
      <c r="S392" s="112"/>
      <c r="T392" s="112"/>
      <c r="U392" s="113"/>
      <c r="V392" s="113"/>
      <c r="W392" s="112"/>
      <c r="X392" s="112"/>
      <c r="Y392" s="112"/>
      <c r="Z392" s="112"/>
      <c r="AA392" s="15"/>
      <c r="AB392" s="15"/>
      <c r="AC392" s="15"/>
      <c r="AD392" s="15"/>
      <c r="AE392" s="114" t="str">
        <f>IF(NOT(ISBLANK(Audit[[#This Row],[Audit Winning Candidate]])), Audit[[#This Row],[Audit Winning Candidate]]-Audit[[#This Row],[Winning Candidate]], "")</f>
        <v/>
      </c>
      <c r="AF392" s="18" t="str">
        <f>IF(NOT(ISBLANK(Audit[[#This Row],[Audit Losing Candidate]])), Audit[[#This Row],[Audit Losing Candidate]]-Audit[[#This Row],[Losing Candidate]], "")</f>
        <v/>
      </c>
      <c r="AG392" s="18" t="str">
        <f>IF(NOT(ISBLANK(Audit[[#This Row],[Audit Candidate 3]])), Audit[[#This Row],[Audit Candidate 3]]-Audit[[#This Row],[Candidate 3]], "")</f>
        <v/>
      </c>
      <c r="AH392" s="18" t="str">
        <f>IF(NOT(ISBLANK(Audit[[#This Row],[Audit Candidate 4]])),Audit[[#This Row],[Audit Candidate 4]]-Audit[[#This Row],[Candidate 4]], "")</f>
        <v/>
      </c>
      <c r="AI392" s="18" t="str">
        <f>IF(NOT(ISBLANK(Audit[[#This Row],[Audit Candidate 5]])), Audit[[#This Row],[Audit Candidate 5]]-Audit[[#This Row],[Candidate 5]], "")</f>
        <v/>
      </c>
      <c r="AJ392" s="18" t="str">
        <f>IF(NOT(ISBLANK(Audit[[#This Row],[Audit Candidate 6]])), Audit[[#This Row],[Audit Candidate 6]]-Audit[[#This Row],[Candidate 6]], "")</f>
        <v/>
      </c>
      <c r="AK392" s="18" t="str">
        <f>IF(NOT(ISBLANK(Audit[[#This Row],[Audit Candidate 7]])), Audit[[#This Row],[Audit Candidate 7]]-Audit[[#This Row],[Candidate 7]], "")</f>
        <v/>
      </c>
      <c r="AL392" s="18" t="str">
        <f>IF(NOT(ISBLANK(Audit[[#This Row],[Audit Candidate 8]])), Audit[[#This Row],[Audit Candidate 8]]-Audit[[#This Row],[Candidate 8]], "")</f>
        <v/>
      </c>
      <c r="AM392" s="18" t="str">
        <f>IF(NOT(ISBLANK(Audit[[#This Row],[Audit Candidate 9]])), Audit[[#This Row],[Audit Candidate 9]]-Audit[[#This Row],[Candidate 9]], "")</f>
        <v/>
      </c>
      <c r="AN392" s="18" t="str">
        <f>IF(NOT(ISBLANK(Audit[[#This Row],[Audit Candidate 10]])), Audit[[#This Row],[Audit Candidate 10]]-Audit[[#This Row],[Candidate 10]], "")</f>
        <v/>
      </c>
      <c r="AO392" s="18" t="str">
        <f>IF(NOT(ISBLANK(Audit[[#This Row],[Audit Candidate 11]])), Audit[[#This Row],[Audit Candidate 11]]-Audit[[#This Row],[Candidate 11]], "")</f>
        <v/>
      </c>
      <c r="AP392" s="18" t="str">
        <f>IF(NOT(ISBLANK(Audit[[#This Row],[Audit Candidate 12]])), Audit[[#This Row],[Audit Candidate 12]]-Audit[[#This Row],[Candidate 12]], "")</f>
        <v/>
      </c>
      <c r="AQ392" s="18">
        <f>SUMIF(Audit[[#This Row],[Difference Winner]:[Difference Candidate 12]], "&gt;0")</f>
        <v>0</v>
      </c>
      <c r="AR392" s="18">
        <f>SUM(Audit[[#This Row],[Difference Winner]:[Difference Candidate 12]])</f>
        <v>0</v>
      </c>
      <c r="AS392" s="18">
        <f>IF(Audit[[#This Row],[Times p Drawn - With Replacement]]&gt;0, IF(Audit[[#This Row],[Canceled Differences]]&lt;0, Audit[[#This Row],[Max Differences]]+ABS(Audit[[#This Row],[Canceled Differences]]), Audit[[#This Row],[Max Differences]]), 0)</f>
        <v>0</v>
      </c>
      <c r="AT392" s="18">
        <f>'Sampling Data'!AB392</f>
        <v>2.1986996262210635E-4</v>
      </c>
      <c r="AU392" s="18">
        <f>IF(
      SUM(Audit[[#This Row],[Audit Losing Candidate]:[Audit Candidate 12]])
      &lt;&gt;0,
      (Audit[[#This Row],[Winning Candidate]]-Audit[[#This Row],[Losing Candidate]]-(Audit[[#This Row],[Audit Winning Candidate]]-Audit[[#This Row],[Audit Losing Candidate]]))/(Audit[[#Totals],[Winning Candidate]]-Audit[[#Totals],[Losing Candidate]]),
      0
)</f>
        <v>0</v>
      </c>
      <c r="AV3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8">
        <f>IF(Audit[[#This Row],[Max Relative Error (ep)]] = 0, 0, Audit[[#This Row],[Max Relative Error (ep)]]/Audit[[#This Row],[Error Bound (up) - Max. possible relative overstatement]])</f>
        <v>0</v>
      </c>
      <c r="BH3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2" s="18">
        <f t="shared" si="6"/>
        <v>1</v>
      </c>
      <c r="BJ392" s="18">
        <f>PRODUCT($BI$5:BI392)</f>
        <v>0.32656797278968008</v>
      </c>
      <c r="BK392" s="20">
        <f>1 - Audit[[#This Row],[K-M P Value]]</f>
        <v>0.67343202721031992</v>
      </c>
      <c r="BL392" s="18" t="str">
        <f>IF(Audit[[#This Row],[K-M P Value]]&gt;1-'General Info'!$B$12,"Continue", "Stop")</f>
        <v>Continue</v>
      </c>
      <c r="BM392" s="23" t="b">
        <f>IF(Audit[[#This Row],[Status - Continue or stop audit]] = "Continue", TRUE, IF(BL391 = "Continue", TRUE, FALSE))</f>
        <v>1</v>
      </c>
      <c r="BN392" s="23"/>
    </row>
    <row r="393" spans="1:66" ht="15" hidden="1" customHeight="1" x14ac:dyDescent="0.35">
      <c r="A393" s="18" t="str">
        <f>'Sampling Data'!AI393</f>
        <v/>
      </c>
      <c r="B393" s="18" t="str">
        <f>'Sampling Data'!A393</f>
        <v>6203 COLUM C   (AV)</v>
      </c>
      <c r="C393" s="18">
        <f>'Sampling Data'!B393</f>
        <v>2</v>
      </c>
      <c r="D393" s="18">
        <f>'Sampling Data'!C393</f>
        <v>2</v>
      </c>
      <c r="E393" s="19">
        <f>'Sampling Data'!D393</f>
        <v>0</v>
      </c>
      <c r="F393" s="19">
        <f>'Sampling Data'!E393</f>
        <v>0</v>
      </c>
      <c r="G393" s="19">
        <f>'Sampling Data'!F393</f>
        <v>0</v>
      </c>
      <c r="H393" s="19">
        <f>'Sampling Data'!G393</f>
        <v>0</v>
      </c>
      <c r="I393" s="19">
        <f>'Sampling Data'!H393</f>
        <v>0</v>
      </c>
      <c r="J393" s="19">
        <f>'Sampling Data'!I393</f>
        <v>0</v>
      </c>
      <c r="K393" s="19">
        <f>'Sampling Data'!J393</f>
        <v>0</v>
      </c>
      <c r="L393" s="19">
        <f>'Sampling Data'!K393</f>
        <v>0</v>
      </c>
      <c r="M393" s="19">
        <f>'Sampling Data'!L393</f>
        <v>0</v>
      </c>
      <c r="N393" s="19">
        <f>'Sampling Data'!M393</f>
        <v>0</v>
      </c>
      <c r="O393" s="18">
        <f>'Sampling Data'!N393</f>
        <v>0</v>
      </c>
      <c r="P393" s="18">
        <f>'Sampling Data'!O393</f>
        <v>0</v>
      </c>
      <c r="Q393" s="18">
        <f>'Sampling Data'!P393</f>
        <v>4</v>
      </c>
      <c r="R393" s="18">
        <f>'Sampling Data'!AJ393</f>
        <v>0</v>
      </c>
      <c r="S393" s="112"/>
      <c r="T393" s="112"/>
      <c r="U393" s="113"/>
      <c r="V393" s="113"/>
      <c r="W393" s="112"/>
      <c r="X393" s="112"/>
      <c r="Y393" s="112"/>
      <c r="Z393" s="112"/>
      <c r="AA393" s="15"/>
      <c r="AB393" s="15"/>
      <c r="AC393" s="15"/>
      <c r="AD393" s="15"/>
      <c r="AE393" s="114" t="str">
        <f>IF(NOT(ISBLANK(Audit[[#This Row],[Audit Winning Candidate]])), Audit[[#This Row],[Audit Winning Candidate]]-Audit[[#This Row],[Winning Candidate]], "")</f>
        <v/>
      </c>
      <c r="AF393" s="18" t="str">
        <f>IF(NOT(ISBLANK(Audit[[#This Row],[Audit Losing Candidate]])), Audit[[#This Row],[Audit Losing Candidate]]-Audit[[#This Row],[Losing Candidate]], "")</f>
        <v/>
      </c>
      <c r="AG393" s="18" t="str">
        <f>IF(NOT(ISBLANK(Audit[[#This Row],[Audit Candidate 3]])), Audit[[#This Row],[Audit Candidate 3]]-Audit[[#This Row],[Candidate 3]], "")</f>
        <v/>
      </c>
      <c r="AH393" s="18" t="str">
        <f>IF(NOT(ISBLANK(Audit[[#This Row],[Audit Candidate 4]])),Audit[[#This Row],[Audit Candidate 4]]-Audit[[#This Row],[Candidate 4]], "")</f>
        <v/>
      </c>
      <c r="AI393" s="18" t="str">
        <f>IF(NOT(ISBLANK(Audit[[#This Row],[Audit Candidate 5]])), Audit[[#This Row],[Audit Candidate 5]]-Audit[[#This Row],[Candidate 5]], "")</f>
        <v/>
      </c>
      <c r="AJ393" s="18" t="str">
        <f>IF(NOT(ISBLANK(Audit[[#This Row],[Audit Candidate 6]])), Audit[[#This Row],[Audit Candidate 6]]-Audit[[#This Row],[Candidate 6]], "")</f>
        <v/>
      </c>
      <c r="AK393" s="18" t="str">
        <f>IF(NOT(ISBLANK(Audit[[#This Row],[Audit Candidate 7]])), Audit[[#This Row],[Audit Candidate 7]]-Audit[[#This Row],[Candidate 7]], "")</f>
        <v/>
      </c>
      <c r="AL393" s="18" t="str">
        <f>IF(NOT(ISBLANK(Audit[[#This Row],[Audit Candidate 8]])), Audit[[#This Row],[Audit Candidate 8]]-Audit[[#This Row],[Candidate 8]], "")</f>
        <v/>
      </c>
      <c r="AM393" s="18" t="str">
        <f>IF(NOT(ISBLANK(Audit[[#This Row],[Audit Candidate 9]])), Audit[[#This Row],[Audit Candidate 9]]-Audit[[#This Row],[Candidate 9]], "")</f>
        <v/>
      </c>
      <c r="AN393" s="18" t="str">
        <f>IF(NOT(ISBLANK(Audit[[#This Row],[Audit Candidate 10]])), Audit[[#This Row],[Audit Candidate 10]]-Audit[[#This Row],[Candidate 10]], "")</f>
        <v/>
      </c>
      <c r="AO393" s="18" t="str">
        <f>IF(NOT(ISBLANK(Audit[[#This Row],[Audit Candidate 11]])), Audit[[#This Row],[Audit Candidate 11]]-Audit[[#This Row],[Candidate 11]], "")</f>
        <v/>
      </c>
      <c r="AP393" s="18" t="str">
        <f>IF(NOT(ISBLANK(Audit[[#This Row],[Audit Candidate 12]])), Audit[[#This Row],[Audit Candidate 12]]-Audit[[#This Row],[Candidate 12]], "")</f>
        <v/>
      </c>
      <c r="AQ393" s="18">
        <f>SUMIF(Audit[[#This Row],[Difference Winner]:[Difference Candidate 12]], "&gt;0")</f>
        <v>0</v>
      </c>
      <c r="AR393" s="18">
        <f>SUM(Audit[[#This Row],[Difference Winner]:[Difference Candidate 12]])</f>
        <v>0</v>
      </c>
      <c r="AS393" s="18">
        <f>IF(Audit[[#This Row],[Times p Drawn - With Replacement]]&gt;0, IF(Audit[[#This Row],[Canceled Differences]]&lt;0, Audit[[#This Row],[Max Differences]]+ABS(Audit[[#This Row],[Canceled Differences]]), Audit[[#This Row],[Max Differences]]), 0)</f>
        <v>0</v>
      </c>
      <c r="AT393" s="18">
        <f>'Sampling Data'!AB393</f>
        <v>1.2563997864120362E-4</v>
      </c>
      <c r="AU393" s="18">
        <f>IF(
      SUM(Audit[[#This Row],[Audit Losing Candidate]:[Audit Candidate 12]])
      &lt;&gt;0,
      (Audit[[#This Row],[Winning Candidate]]-Audit[[#This Row],[Losing Candidate]]-(Audit[[#This Row],[Audit Winning Candidate]]-Audit[[#This Row],[Audit Losing Candidate]]))/(Audit[[#Totals],[Winning Candidate]]-Audit[[#Totals],[Losing Candidate]]),
      0
)</f>
        <v>0</v>
      </c>
      <c r="AV3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8">
        <f>IF(Audit[[#This Row],[Max Relative Error (ep)]] = 0, 0, Audit[[#This Row],[Max Relative Error (ep)]]/Audit[[#This Row],[Error Bound (up) - Max. possible relative overstatement]])</f>
        <v>0</v>
      </c>
      <c r="BH3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3" s="18">
        <f t="shared" si="6"/>
        <v>1</v>
      </c>
      <c r="BJ393" s="18">
        <f>PRODUCT($BI$5:BI393)</f>
        <v>0.32656797278968008</v>
      </c>
      <c r="BK393" s="20">
        <f>1 - Audit[[#This Row],[K-M P Value]]</f>
        <v>0.67343202721031992</v>
      </c>
      <c r="BL393" s="18" t="str">
        <f>IF(Audit[[#This Row],[K-M P Value]]&gt;1-'General Info'!$B$12,"Continue", "Stop")</f>
        <v>Continue</v>
      </c>
      <c r="BM393" s="23" t="b">
        <f>IF(Audit[[#This Row],[Status - Continue or stop audit]] = "Continue", TRUE, IF(BL392 = "Continue", TRUE, FALSE))</f>
        <v>1</v>
      </c>
      <c r="BN393" s="23"/>
    </row>
    <row r="394" spans="1:66" ht="15" hidden="1" customHeight="1" x14ac:dyDescent="0.35">
      <c r="A394" s="18" t="str">
        <f>'Sampling Data'!AI394</f>
        <v/>
      </c>
      <c r="B394" s="18" t="str">
        <f>'Sampling Data'!A394</f>
        <v>6204 COLUM D   (AV)</v>
      </c>
      <c r="C394" s="18">
        <f>'Sampling Data'!B394</f>
        <v>1</v>
      </c>
      <c r="D394" s="18">
        <f>'Sampling Data'!C394</f>
        <v>0</v>
      </c>
      <c r="E394" s="19">
        <f>'Sampling Data'!D394</f>
        <v>0</v>
      </c>
      <c r="F394" s="19">
        <f>'Sampling Data'!E394</f>
        <v>0</v>
      </c>
      <c r="G394" s="19">
        <f>'Sampling Data'!F394</f>
        <v>0</v>
      </c>
      <c r="H394" s="19">
        <f>'Sampling Data'!G394</f>
        <v>0</v>
      </c>
      <c r="I394" s="19">
        <f>'Sampling Data'!H394</f>
        <v>0</v>
      </c>
      <c r="J394" s="19">
        <f>'Sampling Data'!I394</f>
        <v>0</v>
      </c>
      <c r="K394" s="19">
        <f>'Sampling Data'!J394</f>
        <v>0</v>
      </c>
      <c r="L394" s="19">
        <f>'Sampling Data'!K394</f>
        <v>0</v>
      </c>
      <c r="M394" s="19">
        <f>'Sampling Data'!L394</f>
        <v>0</v>
      </c>
      <c r="N394" s="19">
        <f>'Sampling Data'!M394</f>
        <v>0</v>
      </c>
      <c r="O394" s="18">
        <f>'Sampling Data'!N394</f>
        <v>0</v>
      </c>
      <c r="P394" s="18">
        <f>'Sampling Data'!O394</f>
        <v>0</v>
      </c>
      <c r="Q394" s="18">
        <f>'Sampling Data'!P394</f>
        <v>1</v>
      </c>
      <c r="R394" s="18">
        <f>'Sampling Data'!AJ394</f>
        <v>0</v>
      </c>
      <c r="S394" s="112"/>
      <c r="T394" s="112"/>
      <c r="U394" s="113"/>
      <c r="V394" s="113"/>
      <c r="W394" s="112"/>
      <c r="X394" s="112"/>
      <c r="Y394" s="112"/>
      <c r="Z394" s="112"/>
      <c r="AA394" s="15"/>
      <c r="AB394" s="15"/>
      <c r="AC394" s="15"/>
      <c r="AD394" s="15"/>
      <c r="AE394" s="114" t="str">
        <f>IF(NOT(ISBLANK(Audit[[#This Row],[Audit Winning Candidate]])), Audit[[#This Row],[Audit Winning Candidate]]-Audit[[#This Row],[Winning Candidate]], "")</f>
        <v/>
      </c>
      <c r="AF394" s="18" t="str">
        <f>IF(NOT(ISBLANK(Audit[[#This Row],[Audit Losing Candidate]])), Audit[[#This Row],[Audit Losing Candidate]]-Audit[[#This Row],[Losing Candidate]], "")</f>
        <v/>
      </c>
      <c r="AG394" s="18" t="str">
        <f>IF(NOT(ISBLANK(Audit[[#This Row],[Audit Candidate 3]])), Audit[[#This Row],[Audit Candidate 3]]-Audit[[#This Row],[Candidate 3]], "")</f>
        <v/>
      </c>
      <c r="AH394" s="18" t="str">
        <f>IF(NOT(ISBLANK(Audit[[#This Row],[Audit Candidate 4]])),Audit[[#This Row],[Audit Candidate 4]]-Audit[[#This Row],[Candidate 4]], "")</f>
        <v/>
      </c>
      <c r="AI394" s="18" t="str">
        <f>IF(NOT(ISBLANK(Audit[[#This Row],[Audit Candidate 5]])), Audit[[#This Row],[Audit Candidate 5]]-Audit[[#This Row],[Candidate 5]], "")</f>
        <v/>
      </c>
      <c r="AJ394" s="18" t="str">
        <f>IF(NOT(ISBLANK(Audit[[#This Row],[Audit Candidate 6]])), Audit[[#This Row],[Audit Candidate 6]]-Audit[[#This Row],[Candidate 6]], "")</f>
        <v/>
      </c>
      <c r="AK394" s="18" t="str">
        <f>IF(NOT(ISBLANK(Audit[[#This Row],[Audit Candidate 7]])), Audit[[#This Row],[Audit Candidate 7]]-Audit[[#This Row],[Candidate 7]], "")</f>
        <v/>
      </c>
      <c r="AL394" s="18" t="str">
        <f>IF(NOT(ISBLANK(Audit[[#This Row],[Audit Candidate 8]])), Audit[[#This Row],[Audit Candidate 8]]-Audit[[#This Row],[Candidate 8]], "")</f>
        <v/>
      </c>
      <c r="AM394" s="18" t="str">
        <f>IF(NOT(ISBLANK(Audit[[#This Row],[Audit Candidate 9]])), Audit[[#This Row],[Audit Candidate 9]]-Audit[[#This Row],[Candidate 9]], "")</f>
        <v/>
      </c>
      <c r="AN394" s="18" t="str">
        <f>IF(NOT(ISBLANK(Audit[[#This Row],[Audit Candidate 10]])), Audit[[#This Row],[Audit Candidate 10]]-Audit[[#This Row],[Candidate 10]], "")</f>
        <v/>
      </c>
      <c r="AO394" s="18" t="str">
        <f>IF(NOT(ISBLANK(Audit[[#This Row],[Audit Candidate 11]])), Audit[[#This Row],[Audit Candidate 11]]-Audit[[#This Row],[Candidate 11]], "")</f>
        <v/>
      </c>
      <c r="AP394" s="18" t="str">
        <f>IF(NOT(ISBLANK(Audit[[#This Row],[Audit Candidate 12]])), Audit[[#This Row],[Audit Candidate 12]]-Audit[[#This Row],[Candidate 12]], "")</f>
        <v/>
      </c>
      <c r="AQ394" s="18">
        <f>SUMIF(Audit[[#This Row],[Difference Winner]:[Difference Candidate 12]], "&gt;0")</f>
        <v>0</v>
      </c>
      <c r="AR394" s="18">
        <f>SUM(Audit[[#This Row],[Difference Winner]:[Difference Candidate 12]])</f>
        <v>0</v>
      </c>
      <c r="AS394" s="18">
        <f>IF(Audit[[#This Row],[Times p Drawn - With Replacement]]&gt;0, IF(Audit[[#This Row],[Canceled Differences]]&lt;0, Audit[[#This Row],[Max Differences]]+ABS(Audit[[#This Row],[Canceled Differences]]), Audit[[#This Row],[Max Differences]]), 0)</f>
        <v>0</v>
      </c>
      <c r="AT394" s="18">
        <f>'Sampling Data'!AB394</f>
        <v>6.2819989320601809E-5</v>
      </c>
      <c r="AU394" s="18">
        <f>IF(
      SUM(Audit[[#This Row],[Audit Losing Candidate]:[Audit Candidate 12]])
      &lt;&gt;0,
      (Audit[[#This Row],[Winning Candidate]]-Audit[[#This Row],[Losing Candidate]]-(Audit[[#This Row],[Audit Winning Candidate]]-Audit[[#This Row],[Audit Losing Candidate]]))/(Audit[[#Totals],[Winning Candidate]]-Audit[[#Totals],[Losing Candidate]]),
      0
)</f>
        <v>0</v>
      </c>
      <c r="AV3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8">
        <f>IF(Audit[[#This Row],[Max Relative Error (ep)]] = 0, 0, Audit[[#This Row],[Max Relative Error (ep)]]/Audit[[#This Row],[Error Bound (up) - Max. possible relative overstatement]])</f>
        <v>0</v>
      </c>
      <c r="BH3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4" s="18">
        <f t="shared" si="6"/>
        <v>1</v>
      </c>
      <c r="BJ394" s="18">
        <f>PRODUCT($BI$5:BI394)</f>
        <v>0.32656797278968008</v>
      </c>
      <c r="BK394" s="20">
        <f>1 - Audit[[#This Row],[K-M P Value]]</f>
        <v>0.67343202721031992</v>
      </c>
      <c r="BL394" s="18" t="str">
        <f>IF(Audit[[#This Row],[K-M P Value]]&gt;1-'General Info'!$B$12,"Continue", "Stop")</f>
        <v>Continue</v>
      </c>
      <c r="BM394" s="23" t="b">
        <f>IF(Audit[[#This Row],[Status - Continue or stop audit]] = "Continue", TRUE, IF(BL393 = "Continue", TRUE, FALSE))</f>
        <v>1</v>
      </c>
      <c r="BN394" s="23"/>
    </row>
    <row r="395" spans="1:66" ht="15" hidden="1" customHeight="1" x14ac:dyDescent="0.35">
      <c r="A395" s="18" t="str">
        <f>'Sampling Data'!AI395</f>
        <v/>
      </c>
      <c r="B395" s="18" t="str">
        <f>'Sampling Data'!A395</f>
        <v>6205 COLUM E   (AV)</v>
      </c>
      <c r="C395" s="18">
        <f>'Sampling Data'!B395</f>
        <v>4</v>
      </c>
      <c r="D395" s="18">
        <f>'Sampling Data'!C395</f>
        <v>0</v>
      </c>
      <c r="E395" s="19">
        <f>'Sampling Data'!D395</f>
        <v>0</v>
      </c>
      <c r="F395" s="19">
        <f>'Sampling Data'!E395</f>
        <v>0</v>
      </c>
      <c r="G395" s="19">
        <f>'Sampling Data'!F395</f>
        <v>0</v>
      </c>
      <c r="H395" s="19">
        <f>'Sampling Data'!G395</f>
        <v>0</v>
      </c>
      <c r="I395" s="19">
        <f>'Sampling Data'!H395</f>
        <v>0</v>
      </c>
      <c r="J395" s="19">
        <f>'Sampling Data'!I395</f>
        <v>0</v>
      </c>
      <c r="K395" s="19">
        <f>'Sampling Data'!J395</f>
        <v>0</v>
      </c>
      <c r="L395" s="19">
        <f>'Sampling Data'!K395</f>
        <v>0</v>
      </c>
      <c r="M395" s="19">
        <f>'Sampling Data'!L395</f>
        <v>0</v>
      </c>
      <c r="N395" s="19">
        <f>'Sampling Data'!M395</f>
        <v>0</v>
      </c>
      <c r="O395" s="18">
        <f>'Sampling Data'!N395</f>
        <v>0</v>
      </c>
      <c r="P395" s="18">
        <f>'Sampling Data'!O395</f>
        <v>0</v>
      </c>
      <c r="Q395" s="18">
        <f>'Sampling Data'!P395</f>
        <v>4</v>
      </c>
      <c r="R395" s="18">
        <f>'Sampling Data'!AJ395</f>
        <v>0</v>
      </c>
      <c r="S395" s="112"/>
      <c r="T395" s="112"/>
      <c r="U395" s="113"/>
      <c r="V395" s="113"/>
      <c r="W395" s="112"/>
      <c r="X395" s="112"/>
      <c r="Y395" s="112"/>
      <c r="Z395" s="112"/>
      <c r="AA395" s="15"/>
      <c r="AB395" s="15"/>
      <c r="AC395" s="15"/>
      <c r="AD395" s="15"/>
      <c r="AE395" s="114" t="str">
        <f>IF(NOT(ISBLANK(Audit[[#This Row],[Audit Winning Candidate]])), Audit[[#This Row],[Audit Winning Candidate]]-Audit[[#This Row],[Winning Candidate]], "")</f>
        <v/>
      </c>
      <c r="AF395" s="18" t="str">
        <f>IF(NOT(ISBLANK(Audit[[#This Row],[Audit Losing Candidate]])), Audit[[#This Row],[Audit Losing Candidate]]-Audit[[#This Row],[Losing Candidate]], "")</f>
        <v/>
      </c>
      <c r="AG395" s="18" t="str">
        <f>IF(NOT(ISBLANK(Audit[[#This Row],[Audit Candidate 3]])), Audit[[#This Row],[Audit Candidate 3]]-Audit[[#This Row],[Candidate 3]], "")</f>
        <v/>
      </c>
      <c r="AH395" s="18" t="str">
        <f>IF(NOT(ISBLANK(Audit[[#This Row],[Audit Candidate 4]])),Audit[[#This Row],[Audit Candidate 4]]-Audit[[#This Row],[Candidate 4]], "")</f>
        <v/>
      </c>
      <c r="AI395" s="18" t="str">
        <f>IF(NOT(ISBLANK(Audit[[#This Row],[Audit Candidate 5]])), Audit[[#This Row],[Audit Candidate 5]]-Audit[[#This Row],[Candidate 5]], "")</f>
        <v/>
      </c>
      <c r="AJ395" s="18" t="str">
        <f>IF(NOT(ISBLANK(Audit[[#This Row],[Audit Candidate 6]])), Audit[[#This Row],[Audit Candidate 6]]-Audit[[#This Row],[Candidate 6]], "")</f>
        <v/>
      </c>
      <c r="AK395" s="18" t="str">
        <f>IF(NOT(ISBLANK(Audit[[#This Row],[Audit Candidate 7]])), Audit[[#This Row],[Audit Candidate 7]]-Audit[[#This Row],[Candidate 7]], "")</f>
        <v/>
      </c>
      <c r="AL395" s="18" t="str">
        <f>IF(NOT(ISBLANK(Audit[[#This Row],[Audit Candidate 8]])), Audit[[#This Row],[Audit Candidate 8]]-Audit[[#This Row],[Candidate 8]], "")</f>
        <v/>
      </c>
      <c r="AM395" s="18" t="str">
        <f>IF(NOT(ISBLANK(Audit[[#This Row],[Audit Candidate 9]])), Audit[[#This Row],[Audit Candidate 9]]-Audit[[#This Row],[Candidate 9]], "")</f>
        <v/>
      </c>
      <c r="AN395" s="18" t="str">
        <f>IF(NOT(ISBLANK(Audit[[#This Row],[Audit Candidate 10]])), Audit[[#This Row],[Audit Candidate 10]]-Audit[[#This Row],[Candidate 10]], "")</f>
        <v/>
      </c>
      <c r="AO395" s="18" t="str">
        <f>IF(NOT(ISBLANK(Audit[[#This Row],[Audit Candidate 11]])), Audit[[#This Row],[Audit Candidate 11]]-Audit[[#This Row],[Candidate 11]], "")</f>
        <v/>
      </c>
      <c r="AP395" s="18" t="str">
        <f>IF(NOT(ISBLANK(Audit[[#This Row],[Audit Candidate 12]])), Audit[[#This Row],[Audit Candidate 12]]-Audit[[#This Row],[Candidate 12]], "")</f>
        <v/>
      </c>
      <c r="AQ395" s="18">
        <f>SUMIF(Audit[[#This Row],[Difference Winner]:[Difference Candidate 12]], "&gt;0")</f>
        <v>0</v>
      </c>
      <c r="AR395" s="18">
        <f>SUM(Audit[[#This Row],[Difference Winner]:[Difference Candidate 12]])</f>
        <v>0</v>
      </c>
      <c r="AS395" s="18">
        <f>IF(Audit[[#This Row],[Times p Drawn - With Replacement]]&gt;0, IF(Audit[[#This Row],[Canceled Differences]]&lt;0, Audit[[#This Row],[Max Differences]]+ABS(Audit[[#This Row],[Canceled Differences]]), Audit[[#This Row],[Max Differences]]), 0)</f>
        <v>0</v>
      </c>
      <c r="AT395" s="18">
        <f>'Sampling Data'!AB395</f>
        <v>2.5127995728240724E-4</v>
      </c>
      <c r="AU395" s="18">
        <f>IF(
      SUM(Audit[[#This Row],[Audit Losing Candidate]:[Audit Candidate 12]])
      &lt;&gt;0,
      (Audit[[#This Row],[Winning Candidate]]-Audit[[#This Row],[Losing Candidate]]-(Audit[[#This Row],[Audit Winning Candidate]]-Audit[[#This Row],[Audit Losing Candidate]]))/(Audit[[#Totals],[Winning Candidate]]-Audit[[#Totals],[Losing Candidate]]),
      0
)</f>
        <v>0</v>
      </c>
      <c r="AV3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8">
        <f>IF(Audit[[#This Row],[Max Relative Error (ep)]] = 0, 0, Audit[[#This Row],[Max Relative Error (ep)]]/Audit[[#This Row],[Error Bound (up) - Max. possible relative overstatement]])</f>
        <v>0</v>
      </c>
      <c r="BH3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5" s="18">
        <f t="shared" si="6"/>
        <v>1</v>
      </c>
      <c r="BJ395" s="18">
        <f>PRODUCT($BI$5:BI395)</f>
        <v>0.32656797278968008</v>
      </c>
      <c r="BK395" s="20">
        <f>1 - Audit[[#This Row],[K-M P Value]]</f>
        <v>0.67343202721031992</v>
      </c>
      <c r="BL395" s="18" t="str">
        <f>IF(Audit[[#This Row],[K-M P Value]]&gt;1-'General Info'!$B$12,"Continue", "Stop")</f>
        <v>Continue</v>
      </c>
      <c r="BM395" s="23" t="b">
        <f>IF(Audit[[#This Row],[Status - Continue or stop audit]] = "Continue", TRUE, IF(BL394 = "Continue", TRUE, FALSE))</f>
        <v>1</v>
      </c>
      <c r="BN395" s="23"/>
    </row>
    <row r="396" spans="1:66" ht="15" hidden="1" customHeight="1" x14ac:dyDescent="0.35">
      <c r="A396" s="18" t="str">
        <f>'Sampling Data'!AI396</f>
        <v/>
      </c>
      <c r="B396" s="18" t="str">
        <f>'Sampling Data'!A396</f>
        <v>6206 COLUM F   (AV)</v>
      </c>
      <c r="C396" s="18">
        <f>'Sampling Data'!B396</f>
        <v>9</v>
      </c>
      <c r="D396" s="18">
        <f>'Sampling Data'!C396</f>
        <v>0</v>
      </c>
      <c r="E396" s="19">
        <f>'Sampling Data'!D396</f>
        <v>0</v>
      </c>
      <c r="F396" s="19">
        <f>'Sampling Data'!E396</f>
        <v>0</v>
      </c>
      <c r="G396" s="19">
        <f>'Sampling Data'!F396</f>
        <v>0</v>
      </c>
      <c r="H396" s="19">
        <f>'Sampling Data'!G396</f>
        <v>0</v>
      </c>
      <c r="I396" s="19">
        <f>'Sampling Data'!H396</f>
        <v>0</v>
      </c>
      <c r="J396" s="19">
        <f>'Sampling Data'!I396</f>
        <v>0</v>
      </c>
      <c r="K396" s="19">
        <f>'Sampling Data'!J396</f>
        <v>0</v>
      </c>
      <c r="L396" s="19">
        <f>'Sampling Data'!K396</f>
        <v>0</v>
      </c>
      <c r="M396" s="19">
        <f>'Sampling Data'!L396</f>
        <v>0</v>
      </c>
      <c r="N396" s="19">
        <f>'Sampling Data'!M396</f>
        <v>0</v>
      </c>
      <c r="O396" s="18">
        <f>'Sampling Data'!N396</f>
        <v>0</v>
      </c>
      <c r="P396" s="18">
        <f>'Sampling Data'!O396</f>
        <v>0</v>
      </c>
      <c r="Q396" s="18">
        <f>'Sampling Data'!P396</f>
        <v>9</v>
      </c>
      <c r="R396" s="18">
        <f>'Sampling Data'!AJ396</f>
        <v>0</v>
      </c>
      <c r="S396" s="112"/>
      <c r="T396" s="112"/>
      <c r="U396" s="113"/>
      <c r="V396" s="113"/>
      <c r="W396" s="112"/>
      <c r="X396" s="112"/>
      <c r="Y396" s="112"/>
      <c r="Z396" s="112"/>
      <c r="AA396" s="15"/>
      <c r="AB396" s="15"/>
      <c r="AC396" s="15"/>
      <c r="AD396" s="15"/>
      <c r="AE396" s="114" t="str">
        <f>IF(NOT(ISBLANK(Audit[[#This Row],[Audit Winning Candidate]])), Audit[[#This Row],[Audit Winning Candidate]]-Audit[[#This Row],[Winning Candidate]], "")</f>
        <v/>
      </c>
      <c r="AF396" s="18" t="str">
        <f>IF(NOT(ISBLANK(Audit[[#This Row],[Audit Losing Candidate]])), Audit[[#This Row],[Audit Losing Candidate]]-Audit[[#This Row],[Losing Candidate]], "")</f>
        <v/>
      </c>
      <c r="AG396" s="18" t="str">
        <f>IF(NOT(ISBLANK(Audit[[#This Row],[Audit Candidate 3]])), Audit[[#This Row],[Audit Candidate 3]]-Audit[[#This Row],[Candidate 3]], "")</f>
        <v/>
      </c>
      <c r="AH396" s="18" t="str">
        <f>IF(NOT(ISBLANK(Audit[[#This Row],[Audit Candidate 4]])),Audit[[#This Row],[Audit Candidate 4]]-Audit[[#This Row],[Candidate 4]], "")</f>
        <v/>
      </c>
      <c r="AI396" s="18" t="str">
        <f>IF(NOT(ISBLANK(Audit[[#This Row],[Audit Candidate 5]])), Audit[[#This Row],[Audit Candidate 5]]-Audit[[#This Row],[Candidate 5]], "")</f>
        <v/>
      </c>
      <c r="AJ396" s="18" t="str">
        <f>IF(NOT(ISBLANK(Audit[[#This Row],[Audit Candidate 6]])), Audit[[#This Row],[Audit Candidate 6]]-Audit[[#This Row],[Candidate 6]], "")</f>
        <v/>
      </c>
      <c r="AK396" s="18" t="str">
        <f>IF(NOT(ISBLANK(Audit[[#This Row],[Audit Candidate 7]])), Audit[[#This Row],[Audit Candidate 7]]-Audit[[#This Row],[Candidate 7]], "")</f>
        <v/>
      </c>
      <c r="AL396" s="18" t="str">
        <f>IF(NOT(ISBLANK(Audit[[#This Row],[Audit Candidate 8]])), Audit[[#This Row],[Audit Candidate 8]]-Audit[[#This Row],[Candidate 8]], "")</f>
        <v/>
      </c>
      <c r="AM396" s="18" t="str">
        <f>IF(NOT(ISBLANK(Audit[[#This Row],[Audit Candidate 9]])), Audit[[#This Row],[Audit Candidate 9]]-Audit[[#This Row],[Candidate 9]], "")</f>
        <v/>
      </c>
      <c r="AN396" s="18" t="str">
        <f>IF(NOT(ISBLANK(Audit[[#This Row],[Audit Candidate 10]])), Audit[[#This Row],[Audit Candidate 10]]-Audit[[#This Row],[Candidate 10]], "")</f>
        <v/>
      </c>
      <c r="AO396" s="18" t="str">
        <f>IF(NOT(ISBLANK(Audit[[#This Row],[Audit Candidate 11]])), Audit[[#This Row],[Audit Candidate 11]]-Audit[[#This Row],[Candidate 11]], "")</f>
        <v/>
      </c>
      <c r="AP396" s="18" t="str">
        <f>IF(NOT(ISBLANK(Audit[[#This Row],[Audit Candidate 12]])), Audit[[#This Row],[Audit Candidate 12]]-Audit[[#This Row],[Candidate 12]], "")</f>
        <v/>
      </c>
      <c r="AQ396" s="18">
        <f>SUMIF(Audit[[#This Row],[Difference Winner]:[Difference Candidate 12]], "&gt;0")</f>
        <v>0</v>
      </c>
      <c r="AR396" s="18">
        <f>SUM(Audit[[#This Row],[Difference Winner]:[Difference Candidate 12]])</f>
        <v>0</v>
      </c>
      <c r="AS396" s="18">
        <f>IF(Audit[[#This Row],[Times p Drawn - With Replacement]]&gt;0, IF(Audit[[#This Row],[Canceled Differences]]&lt;0, Audit[[#This Row],[Max Differences]]+ABS(Audit[[#This Row],[Canceled Differences]]), Audit[[#This Row],[Max Differences]]), 0)</f>
        <v>0</v>
      </c>
      <c r="AT396" s="18">
        <f>'Sampling Data'!AB396</f>
        <v>5.6537990388541635E-4</v>
      </c>
      <c r="AU396" s="18">
        <f>IF(
      SUM(Audit[[#This Row],[Audit Losing Candidate]:[Audit Candidate 12]])
      &lt;&gt;0,
      (Audit[[#This Row],[Winning Candidate]]-Audit[[#This Row],[Losing Candidate]]-(Audit[[#This Row],[Audit Winning Candidate]]-Audit[[#This Row],[Audit Losing Candidate]]))/(Audit[[#Totals],[Winning Candidate]]-Audit[[#Totals],[Losing Candidate]]),
      0
)</f>
        <v>0</v>
      </c>
      <c r="AV3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8">
        <f>IF(Audit[[#This Row],[Max Relative Error (ep)]] = 0, 0, Audit[[#This Row],[Max Relative Error (ep)]]/Audit[[#This Row],[Error Bound (up) - Max. possible relative overstatement]])</f>
        <v>0</v>
      </c>
      <c r="BH3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6" s="18">
        <f t="shared" si="6"/>
        <v>1</v>
      </c>
      <c r="BJ396" s="18">
        <f>PRODUCT($BI$5:BI396)</f>
        <v>0.32656797278968008</v>
      </c>
      <c r="BK396" s="20">
        <f>1 - Audit[[#This Row],[K-M P Value]]</f>
        <v>0.67343202721031992</v>
      </c>
      <c r="BL396" s="18" t="str">
        <f>IF(Audit[[#This Row],[K-M P Value]]&gt;1-'General Info'!$B$12,"Continue", "Stop")</f>
        <v>Continue</v>
      </c>
      <c r="BM396" s="23" t="b">
        <f>IF(Audit[[#This Row],[Status - Continue or stop audit]] = "Continue", TRUE, IF(BL395 = "Continue", TRUE, FALSE))</f>
        <v>1</v>
      </c>
      <c r="BN396" s="23"/>
    </row>
    <row r="397" spans="1:66" ht="15" hidden="1" customHeight="1" x14ac:dyDescent="0.35">
      <c r="A397" s="18" t="str">
        <f>'Sampling Data'!AI397</f>
        <v/>
      </c>
      <c r="B397" s="18" t="str">
        <f>'Sampling Data'!A397</f>
        <v>6207 COLUM G   (AV)</v>
      </c>
      <c r="C397" s="18">
        <f>'Sampling Data'!B397</f>
        <v>12</v>
      </c>
      <c r="D397" s="18">
        <f>'Sampling Data'!C397</f>
        <v>0</v>
      </c>
      <c r="E397" s="19">
        <f>'Sampling Data'!D397</f>
        <v>0</v>
      </c>
      <c r="F397" s="19">
        <f>'Sampling Data'!E397</f>
        <v>0</v>
      </c>
      <c r="G397" s="19">
        <f>'Sampling Data'!F397</f>
        <v>0</v>
      </c>
      <c r="H397" s="19">
        <f>'Sampling Data'!G397</f>
        <v>0</v>
      </c>
      <c r="I397" s="19">
        <f>'Sampling Data'!H397</f>
        <v>0</v>
      </c>
      <c r="J397" s="19">
        <f>'Sampling Data'!I397</f>
        <v>0</v>
      </c>
      <c r="K397" s="19">
        <f>'Sampling Data'!J397</f>
        <v>0</v>
      </c>
      <c r="L397" s="19">
        <f>'Sampling Data'!K397</f>
        <v>0</v>
      </c>
      <c r="M397" s="19">
        <f>'Sampling Data'!L397</f>
        <v>0</v>
      </c>
      <c r="N397" s="19">
        <f>'Sampling Data'!M397</f>
        <v>0</v>
      </c>
      <c r="O397" s="18">
        <f>'Sampling Data'!N397</f>
        <v>0</v>
      </c>
      <c r="P397" s="18">
        <f>'Sampling Data'!O397</f>
        <v>0</v>
      </c>
      <c r="Q397" s="18">
        <f>'Sampling Data'!P397</f>
        <v>12</v>
      </c>
      <c r="R397" s="18">
        <f>'Sampling Data'!AJ397</f>
        <v>0</v>
      </c>
      <c r="S397" s="112"/>
      <c r="T397" s="112"/>
      <c r="U397" s="113"/>
      <c r="V397" s="113"/>
      <c r="W397" s="112"/>
      <c r="X397" s="112"/>
      <c r="Y397" s="112"/>
      <c r="Z397" s="112"/>
      <c r="AA397" s="15"/>
      <c r="AB397" s="15"/>
      <c r="AC397" s="15"/>
      <c r="AD397" s="15"/>
      <c r="AE397" s="114" t="str">
        <f>IF(NOT(ISBLANK(Audit[[#This Row],[Audit Winning Candidate]])), Audit[[#This Row],[Audit Winning Candidate]]-Audit[[#This Row],[Winning Candidate]], "")</f>
        <v/>
      </c>
      <c r="AF397" s="18" t="str">
        <f>IF(NOT(ISBLANK(Audit[[#This Row],[Audit Losing Candidate]])), Audit[[#This Row],[Audit Losing Candidate]]-Audit[[#This Row],[Losing Candidate]], "")</f>
        <v/>
      </c>
      <c r="AG397" s="18" t="str">
        <f>IF(NOT(ISBLANK(Audit[[#This Row],[Audit Candidate 3]])), Audit[[#This Row],[Audit Candidate 3]]-Audit[[#This Row],[Candidate 3]], "")</f>
        <v/>
      </c>
      <c r="AH397" s="18" t="str">
        <f>IF(NOT(ISBLANK(Audit[[#This Row],[Audit Candidate 4]])),Audit[[#This Row],[Audit Candidate 4]]-Audit[[#This Row],[Candidate 4]], "")</f>
        <v/>
      </c>
      <c r="AI397" s="18" t="str">
        <f>IF(NOT(ISBLANK(Audit[[#This Row],[Audit Candidate 5]])), Audit[[#This Row],[Audit Candidate 5]]-Audit[[#This Row],[Candidate 5]], "")</f>
        <v/>
      </c>
      <c r="AJ397" s="18" t="str">
        <f>IF(NOT(ISBLANK(Audit[[#This Row],[Audit Candidate 6]])), Audit[[#This Row],[Audit Candidate 6]]-Audit[[#This Row],[Candidate 6]], "")</f>
        <v/>
      </c>
      <c r="AK397" s="18" t="str">
        <f>IF(NOT(ISBLANK(Audit[[#This Row],[Audit Candidate 7]])), Audit[[#This Row],[Audit Candidate 7]]-Audit[[#This Row],[Candidate 7]], "")</f>
        <v/>
      </c>
      <c r="AL397" s="18" t="str">
        <f>IF(NOT(ISBLANK(Audit[[#This Row],[Audit Candidate 8]])), Audit[[#This Row],[Audit Candidate 8]]-Audit[[#This Row],[Candidate 8]], "")</f>
        <v/>
      </c>
      <c r="AM397" s="18" t="str">
        <f>IF(NOT(ISBLANK(Audit[[#This Row],[Audit Candidate 9]])), Audit[[#This Row],[Audit Candidate 9]]-Audit[[#This Row],[Candidate 9]], "")</f>
        <v/>
      </c>
      <c r="AN397" s="18" t="str">
        <f>IF(NOT(ISBLANK(Audit[[#This Row],[Audit Candidate 10]])), Audit[[#This Row],[Audit Candidate 10]]-Audit[[#This Row],[Candidate 10]], "")</f>
        <v/>
      </c>
      <c r="AO397" s="18" t="str">
        <f>IF(NOT(ISBLANK(Audit[[#This Row],[Audit Candidate 11]])), Audit[[#This Row],[Audit Candidate 11]]-Audit[[#This Row],[Candidate 11]], "")</f>
        <v/>
      </c>
      <c r="AP397" s="18" t="str">
        <f>IF(NOT(ISBLANK(Audit[[#This Row],[Audit Candidate 12]])), Audit[[#This Row],[Audit Candidate 12]]-Audit[[#This Row],[Candidate 12]], "")</f>
        <v/>
      </c>
      <c r="AQ397" s="18">
        <f>SUMIF(Audit[[#This Row],[Difference Winner]:[Difference Candidate 12]], "&gt;0")</f>
        <v>0</v>
      </c>
      <c r="AR397" s="18">
        <f>SUM(Audit[[#This Row],[Difference Winner]:[Difference Candidate 12]])</f>
        <v>0</v>
      </c>
      <c r="AS397" s="18">
        <f>IF(Audit[[#This Row],[Times p Drawn - With Replacement]]&gt;0, IF(Audit[[#This Row],[Canceled Differences]]&lt;0, Audit[[#This Row],[Max Differences]]+ABS(Audit[[#This Row],[Canceled Differences]]), Audit[[#This Row],[Max Differences]]), 0)</f>
        <v>0</v>
      </c>
      <c r="AT397" s="18">
        <f>'Sampling Data'!AB397</f>
        <v>7.5383987184722177E-4</v>
      </c>
      <c r="AU397" s="18">
        <f>IF(
      SUM(Audit[[#This Row],[Audit Losing Candidate]:[Audit Candidate 12]])
      &lt;&gt;0,
      (Audit[[#This Row],[Winning Candidate]]-Audit[[#This Row],[Losing Candidate]]-(Audit[[#This Row],[Audit Winning Candidate]]-Audit[[#This Row],[Audit Losing Candidate]]))/(Audit[[#Totals],[Winning Candidate]]-Audit[[#Totals],[Losing Candidate]]),
      0
)</f>
        <v>0</v>
      </c>
      <c r="AV3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8">
        <f>IF(Audit[[#This Row],[Max Relative Error (ep)]] = 0, 0, Audit[[#This Row],[Max Relative Error (ep)]]/Audit[[#This Row],[Error Bound (up) - Max. possible relative overstatement]])</f>
        <v>0</v>
      </c>
      <c r="BH3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7" s="18">
        <f t="shared" si="6"/>
        <v>1</v>
      </c>
      <c r="BJ397" s="18">
        <f>PRODUCT($BI$5:BI397)</f>
        <v>0.32656797278968008</v>
      </c>
      <c r="BK397" s="20">
        <f>1 - Audit[[#This Row],[K-M P Value]]</f>
        <v>0.67343202721031992</v>
      </c>
      <c r="BL397" s="18" t="str">
        <f>IF(Audit[[#This Row],[K-M P Value]]&gt;1-'General Info'!$B$12,"Continue", "Stop")</f>
        <v>Continue</v>
      </c>
      <c r="BM397" s="23" t="b">
        <f>IF(Audit[[#This Row],[Status - Continue or stop audit]] = "Continue", TRUE, IF(BL396 = "Continue", TRUE, FALSE))</f>
        <v>1</v>
      </c>
      <c r="BN397" s="23"/>
    </row>
    <row r="398" spans="1:66" ht="15" hidden="1" customHeight="1" x14ac:dyDescent="0.35">
      <c r="A398" s="18" t="str">
        <f>'Sampling Data'!AI398</f>
        <v/>
      </c>
      <c r="B398" s="18" t="str">
        <f>'Sampling Data'!A398</f>
        <v>6208 COLUM H   (AV)</v>
      </c>
      <c r="C398" s="18">
        <f>'Sampling Data'!B398</f>
        <v>0</v>
      </c>
      <c r="D398" s="18">
        <f>'Sampling Data'!C398</f>
        <v>0</v>
      </c>
      <c r="E398" s="19">
        <f>'Sampling Data'!D398</f>
        <v>0</v>
      </c>
      <c r="F398" s="19">
        <f>'Sampling Data'!E398</f>
        <v>0</v>
      </c>
      <c r="G398" s="19">
        <f>'Sampling Data'!F398</f>
        <v>0</v>
      </c>
      <c r="H398" s="19">
        <f>'Sampling Data'!G398</f>
        <v>0</v>
      </c>
      <c r="I398" s="19">
        <f>'Sampling Data'!H398</f>
        <v>0</v>
      </c>
      <c r="J398" s="19">
        <f>'Sampling Data'!I398</f>
        <v>0</v>
      </c>
      <c r="K398" s="19">
        <f>'Sampling Data'!J398</f>
        <v>0</v>
      </c>
      <c r="L398" s="19">
        <f>'Sampling Data'!K398</f>
        <v>0</v>
      </c>
      <c r="M398" s="19">
        <f>'Sampling Data'!L398</f>
        <v>0</v>
      </c>
      <c r="N398" s="19">
        <f>'Sampling Data'!M398</f>
        <v>0</v>
      </c>
      <c r="O398" s="18">
        <f>'Sampling Data'!N398</f>
        <v>0</v>
      </c>
      <c r="P398" s="18">
        <f>'Sampling Data'!O398</f>
        <v>0</v>
      </c>
      <c r="Q398" s="18">
        <f>'Sampling Data'!P398</f>
        <v>0</v>
      </c>
      <c r="R398" s="18">
        <f>'Sampling Data'!AJ398</f>
        <v>0</v>
      </c>
      <c r="S398" s="112"/>
      <c r="T398" s="112"/>
      <c r="U398" s="113"/>
      <c r="V398" s="113"/>
      <c r="W398" s="112"/>
      <c r="X398" s="112"/>
      <c r="Y398" s="112"/>
      <c r="Z398" s="112"/>
      <c r="AA398" s="15"/>
      <c r="AB398" s="15"/>
      <c r="AC398" s="15"/>
      <c r="AD398" s="15"/>
      <c r="AE398" s="114" t="str">
        <f>IF(NOT(ISBLANK(Audit[[#This Row],[Audit Winning Candidate]])), Audit[[#This Row],[Audit Winning Candidate]]-Audit[[#This Row],[Winning Candidate]], "")</f>
        <v/>
      </c>
      <c r="AF398" s="18" t="str">
        <f>IF(NOT(ISBLANK(Audit[[#This Row],[Audit Losing Candidate]])), Audit[[#This Row],[Audit Losing Candidate]]-Audit[[#This Row],[Losing Candidate]], "")</f>
        <v/>
      </c>
      <c r="AG398" s="18" t="str">
        <f>IF(NOT(ISBLANK(Audit[[#This Row],[Audit Candidate 3]])), Audit[[#This Row],[Audit Candidate 3]]-Audit[[#This Row],[Candidate 3]], "")</f>
        <v/>
      </c>
      <c r="AH398" s="18" t="str">
        <f>IF(NOT(ISBLANK(Audit[[#This Row],[Audit Candidate 4]])),Audit[[#This Row],[Audit Candidate 4]]-Audit[[#This Row],[Candidate 4]], "")</f>
        <v/>
      </c>
      <c r="AI398" s="18" t="str">
        <f>IF(NOT(ISBLANK(Audit[[#This Row],[Audit Candidate 5]])), Audit[[#This Row],[Audit Candidate 5]]-Audit[[#This Row],[Candidate 5]], "")</f>
        <v/>
      </c>
      <c r="AJ398" s="18" t="str">
        <f>IF(NOT(ISBLANK(Audit[[#This Row],[Audit Candidate 6]])), Audit[[#This Row],[Audit Candidate 6]]-Audit[[#This Row],[Candidate 6]], "")</f>
        <v/>
      </c>
      <c r="AK398" s="18" t="str">
        <f>IF(NOT(ISBLANK(Audit[[#This Row],[Audit Candidate 7]])), Audit[[#This Row],[Audit Candidate 7]]-Audit[[#This Row],[Candidate 7]], "")</f>
        <v/>
      </c>
      <c r="AL398" s="18" t="str">
        <f>IF(NOT(ISBLANK(Audit[[#This Row],[Audit Candidate 8]])), Audit[[#This Row],[Audit Candidate 8]]-Audit[[#This Row],[Candidate 8]], "")</f>
        <v/>
      </c>
      <c r="AM398" s="18" t="str">
        <f>IF(NOT(ISBLANK(Audit[[#This Row],[Audit Candidate 9]])), Audit[[#This Row],[Audit Candidate 9]]-Audit[[#This Row],[Candidate 9]], "")</f>
        <v/>
      </c>
      <c r="AN398" s="18" t="str">
        <f>IF(NOT(ISBLANK(Audit[[#This Row],[Audit Candidate 10]])), Audit[[#This Row],[Audit Candidate 10]]-Audit[[#This Row],[Candidate 10]], "")</f>
        <v/>
      </c>
      <c r="AO398" s="18" t="str">
        <f>IF(NOT(ISBLANK(Audit[[#This Row],[Audit Candidate 11]])), Audit[[#This Row],[Audit Candidate 11]]-Audit[[#This Row],[Candidate 11]], "")</f>
        <v/>
      </c>
      <c r="AP398" s="18" t="str">
        <f>IF(NOT(ISBLANK(Audit[[#This Row],[Audit Candidate 12]])), Audit[[#This Row],[Audit Candidate 12]]-Audit[[#This Row],[Candidate 12]], "")</f>
        <v/>
      </c>
      <c r="AQ398" s="18">
        <f>SUMIF(Audit[[#This Row],[Difference Winner]:[Difference Candidate 12]], "&gt;0")</f>
        <v>0</v>
      </c>
      <c r="AR398" s="18">
        <f>SUM(Audit[[#This Row],[Difference Winner]:[Difference Candidate 12]])</f>
        <v>0</v>
      </c>
      <c r="AS398" s="18">
        <f>IF(Audit[[#This Row],[Times p Drawn - With Replacement]]&gt;0, IF(Audit[[#This Row],[Canceled Differences]]&lt;0, Audit[[#This Row],[Max Differences]]+ABS(Audit[[#This Row],[Canceled Differences]]), Audit[[#This Row],[Max Differences]]), 0)</f>
        <v>0</v>
      </c>
      <c r="AT398" s="18">
        <f>'Sampling Data'!AB398</f>
        <v>0</v>
      </c>
      <c r="AU398" s="18">
        <f>IF(
      SUM(Audit[[#This Row],[Audit Losing Candidate]:[Audit Candidate 12]])
      &lt;&gt;0,
      (Audit[[#This Row],[Winning Candidate]]-Audit[[#This Row],[Losing Candidate]]-(Audit[[#This Row],[Audit Winning Candidate]]-Audit[[#This Row],[Audit Losing Candidate]]))/(Audit[[#Totals],[Winning Candidate]]-Audit[[#Totals],[Losing Candidate]]),
      0
)</f>
        <v>0</v>
      </c>
      <c r="AV3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8">
        <f>IF(Audit[[#This Row],[Max Relative Error (ep)]] = 0, 0, Audit[[#This Row],[Max Relative Error (ep)]]/Audit[[#This Row],[Error Bound (up) - Max. possible relative overstatement]])</f>
        <v>0</v>
      </c>
      <c r="BH3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8" s="18">
        <f t="shared" si="6"/>
        <v>1</v>
      </c>
      <c r="BJ398" s="18">
        <f>PRODUCT($BI$5:BI398)</f>
        <v>0.32656797278968008</v>
      </c>
      <c r="BK398" s="20">
        <f>1 - Audit[[#This Row],[K-M P Value]]</f>
        <v>0.67343202721031992</v>
      </c>
      <c r="BL398" s="18" t="str">
        <f>IF(Audit[[#This Row],[K-M P Value]]&gt;1-'General Info'!$B$12,"Continue", "Stop")</f>
        <v>Continue</v>
      </c>
      <c r="BM398" s="23" t="b">
        <f>IF(Audit[[#This Row],[Status - Continue or stop audit]] = "Continue", TRUE, IF(BL397 = "Continue", TRUE, FALSE))</f>
        <v>1</v>
      </c>
      <c r="BN398" s="23"/>
    </row>
    <row r="399" spans="1:66" ht="15" hidden="1" customHeight="1" x14ac:dyDescent="0.35">
      <c r="A399" s="18" t="str">
        <f>'Sampling Data'!AI399</f>
        <v/>
      </c>
      <c r="B399" s="18" t="str">
        <f>'Sampling Data'!A399</f>
        <v>6209 COLUM I   (AV)</v>
      </c>
      <c r="C399" s="18">
        <f>'Sampling Data'!B399</f>
        <v>0</v>
      </c>
      <c r="D399" s="18">
        <f>'Sampling Data'!C399</f>
        <v>0</v>
      </c>
      <c r="E399" s="19">
        <f>'Sampling Data'!D399</f>
        <v>0</v>
      </c>
      <c r="F399" s="19">
        <f>'Sampling Data'!E399</f>
        <v>0</v>
      </c>
      <c r="G399" s="19">
        <f>'Sampling Data'!F399</f>
        <v>0</v>
      </c>
      <c r="H399" s="19">
        <f>'Sampling Data'!G399</f>
        <v>0</v>
      </c>
      <c r="I399" s="19">
        <f>'Sampling Data'!H399</f>
        <v>0</v>
      </c>
      <c r="J399" s="19">
        <f>'Sampling Data'!I399</f>
        <v>0</v>
      </c>
      <c r="K399" s="19">
        <f>'Sampling Data'!J399</f>
        <v>0</v>
      </c>
      <c r="L399" s="19">
        <f>'Sampling Data'!K399</f>
        <v>0</v>
      </c>
      <c r="M399" s="19">
        <f>'Sampling Data'!L399</f>
        <v>0</v>
      </c>
      <c r="N399" s="19">
        <f>'Sampling Data'!M399</f>
        <v>0</v>
      </c>
      <c r="O399" s="18">
        <f>'Sampling Data'!N399</f>
        <v>0</v>
      </c>
      <c r="P399" s="18">
        <f>'Sampling Data'!O399</f>
        <v>0</v>
      </c>
      <c r="Q399" s="18">
        <f>'Sampling Data'!P399</f>
        <v>0</v>
      </c>
      <c r="R399" s="18">
        <f>'Sampling Data'!AJ399</f>
        <v>0</v>
      </c>
      <c r="S399" s="112"/>
      <c r="T399" s="112"/>
      <c r="U399" s="113"/>
      <c r="V399" s="113"/>
      <c r="W399" s="112"/>
      <c r="X399" s="112"/>
      <c r="Y399" s="112"/>
      <c r="Z399" s="112"/>
      <c r="AA399" s="15"/>
      <c r="AB399" s="15"/>
      <c r="AC399" s="15"/>
      <c r="AD399" s="15"/>
      <c r="AE399" s="114" t="str">
        <f>IF(NOT(ISBLANK(Audit[[#This Row],[Audit Winning Candidate]])), Audit[[#This Row],[Audit Winning Candidate]]-Audit[[#This Row],[Winning Candidate]], "")</f>
        <v/>
      </c>
      <c r="AF399" s="18" t="str">
        <f>IF(NOT(ISBLANK(Audit[[#This Row],[Audit Losing Candidate]])), Audit[[#This Row],[Audit Losing Candidate]]-Audit[[#This Row],[Losing Candidate]], "")</f>
        <v/>
      </c>
      <c r="AG399" s="18" t="str">
        <f>IF(NOT(ISBLANK(Audit[[#This Row],[Audit Candidate 3]])), Audit[[#This Row],[Audit Candidate 3]]-Audit[[#This Row],[Candidate 3]], "")</f>
        <v/>
      </c>
      <c r="AH399" s="18" t="str">
        <f>IF(NOT(ISBLANK(Audit[[#This Row],[Audit Candidate 4]])),Audit[[#This Row],[Audit Candidate 4]]-Audit[[#This Row],[Candidate 4]], "")</f>
        <v/>
      </c>
      <c r="AI399" s="18" t="str">
        <f>IF(NOT(ISBLANK(Audit[[#This Row],[Audit Candidate 5]])), Audit[[#This Row],[Audit Candidate 5]]-Audit[[#This Row],[Candidate 5]], "")</f>
        <v/>
      </c>
      <c r="AJ399" s="18" t="str">
        <f>IF(NOT(ISBLANK(Audit[[#This Row],[Audit Candidate 6]])), Audit[[#This Row],[Audit Candidate 6]]-Audit[[#This Row],[Candidate 6]], "")</f>
        <v/>
      </c>
      <c r="AK399" s="18" t="str">
        <f>IF(NOT(ISBLANK(Audit[[#This Row],[Audit Candidate 7]])), Audit[[#This Row],[Audit Candidate 7]]-Audit[[#This Row],[Candidate 7]], "")</f>
        <v/>
      </c>
      <c r="AL399" s="18" t="str">
        <f>IF(NOT(ISBLANK(Audit[[#This Row],[Audit Candidate 8]])), Audit[[#This Row],[Audit Candidate 8]]-Audit[[#This Row],[Candidate 8]], "")</f>
        <v/>
      </c>
      <c r="AM399" s="18" t="str">
        <f>IF(NOT(ISBLANK(Audit[[#This Row],[Audit Candidate 9]])), Audit[[#This Row],[Audit Candidate 9]]-Audit[[#This Row],[Candidate 9]], "")</f>
        <v/>
      </c>
      <c r="AN399" s="18" t="str">
        <f>IF(NOT(ISBLANK(Audit[[#This Row],[Audit Candidate 10]])), Audit[[#This Row],[Audit Candidate 10]]-Audit[[#This Row],[Candidate 10]], "")</f>
        <v/>
      </c>
      <c r="AO399" s="18" t="str">
        <f>IF(NOT(ISBLANK(Audit[[#This Row],[Audit Candidate 11]])), Audit[[#This Row],[Audit Candidate 11]]-Audit[[#This Row],[Candidate 11]], "")</f>
        <v/>
      </c>
      <c r="AP399" s="18" t="str">
        <f>IF(NOT(ISBLANK(Audit[[#This Row],[Audit Candidate 12]])), Audit[[#This Row],[Audit Candidate 12]]-Audit[[#This Row],[Candidate 12]], "")</f>
        <v/>
      </c>
      <c r="AQ399" s="18">
        <f>SUMIF(Audit[[#This Row],[Difference Winner]:[Difference Candidate 12]], "&gt;0")</f>
        <v>0</v>
      </c>
      <c r="AR399" s="18">
        <f>SUM(Audit[[#This Row],[Difference Winner]:[Difference Candidate 12]])</f>
        <v>0</v>
      </c>
      <c r="AS399" s="18">
        <f>IF(Audit[[#This Row],[Times p Drawn - With Replacement]]&gt;0, IF(Audit[[#This Row],[Canceled Differences]]&lt;0, Audit[[#This Row],[Max Differences]]+ABS(Audit[[#This Row],[Canceled Differences]]), Audit[[#This Row],[Max Differences]]), 0)</f>
        <v>0</v>
      </c>
      <c r="AT399" s="18">
        <f>'Sampling Data'!AB399</f>
        <v>0</v>
      </c>
      <c r="AU399" s="18">
        <f>IF(
      SUM(Audit[[#This Row],[Audit Losing Candidate]:[Audit Candidate 12]])
      &lt;&gt;0,
      (Audit[[#This Row],[Winning Candidate]]-Audit[[#This Row],[Losing Candidate]]-(Audit[[#This Row],[Audit Winning Candidate]]-Audit[[#This Row],[Audit Losing Candidate]]))/(Audit[[#Totals],[Winning Candidate]]-Audit[[#Totals],[Losing Candidate]]),
      0
)</f>
        <v>0</v>
      </c>
      <c r="AV3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8">
        <f>IF(Audit[[#This Row],[Max Relative Error (ep)]] = 0, 0, Audit[[#This Row],[Max Relative Error (ep)]]/Audit[[#This Row],[Error Bound (up) - Max. possible relative overstatement]])</f>
        <v>0</v>
      </c>
      <c r="BH3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399" s="18">
        <f t="shared" ref="BI399:BI462" si="7">IF(ISERR(POWER(BH399,R399)), 0, POWER(BH399,R399))</f>
        <v>1</v>
      </c>
      <c r="BJ399" s="18">
        <f>PRODUCT($BI$5:BI399)</f>
        <v>0.32656797278968008</v>
      </c>
      <c r="BK399" s="20">
        <f>1 - Audit[[#This Row],[K-M P Value]]</f>
        <v>0.67343202721031992</v>
      </c>
      <c r="BL399" s="18" t="str">
        <f>IF(Audit[[#This Row],[K-M P Value]]&gt;1-'General Info'!$B$12,"Continue", "Stop")</f>
        <v>Continue</v>
      </c>
      <c r="BM399" s="23" t="b">
        <f>IF(Audit[[#This Row],[Status - Continue or stop audit]] = "Continue", TRUE, IF(BL398 = "Continue", TRUE, FALSE))</f>
        <v>1</v>
      </c>
      <c r="BN399" s="23"/>
    </row>
    <row r="400" spans="1:66" ht="15" hidden="1" customHeight="1" x14ac:dyDescent="0.35">
      <c r="A400" s="18" t="str">
        <f>'Sampling Data'!AI400</f>
        <v/>
      </c>
      <c r="B400" s="18" t="str">
        <f>'Sampling Data'!A400</f>
        <v>6401 CROSB A   (AV)</v>
      </c>
      <c r="C400" s="18">
        <f>'Sampling Data'!B400</f>
        <v>16</v>
      </c>
      <c r="D400" s="18">
        <f>'Sampling Data'!C400</f>
        <v>4</v>
      </c>
      <c r="E400" s="19">
        <f>'Sampling Data'!D400</f>
        <v>0</v>
      </c>
      <c r="F400" s="19">
        <f>'Sampling Data'!E400</f>
        <v>0</v>
      </c>
      <c r="G400" s="19">
        <f>'Sampling Data'!F400</f>
        <v>0</v>
      </c>
      <c r="H400" s="19">
        <f>'Sampling Data'!G400</f>
        <v>0</v>
      </c>
      <c r="I400" s="19">
        <f>'Sampling Data'!H400</f>
        <v>0</v>
      </c>
      <c r="J400" s="19">
        <f>'Sampling Data'!I400</f>
        <v>0</v>
      </c>
      <c r="K400" s="19">
        <f>'Sampling Data'!J400</f>
        <v>0</v>
      </c>
      <c r="L400" s="19">
        <f>'Sampling Data'!K400</f>
        <v>0</v>
      </c>
      <c r="M400" s="19">
        <f>'Sampling Data'!L400</f>
        <v>0</v>
      </c>
      <c r="N400" s="19">
        <f>'Sampling Data'!M400</f>
        <v>0</v>
      </c>
      <c r="O400" s="18">
        <f>'Sampling Data'!N400</f>
        <v>0</v>
      </c>
      <c r="P400" s="18">
        <f>'Sampling Data'!O400</f>
        <v>2</v>
      </c>
      <c r="Q400" s="18">
        <f>'Sampling Data'!P400</f>
        <v>22</v>
      </c>
      <c r="R400" s="18">
        <f>'Sampling Data'!AJ400</f>
        <v>0</v>
      </c>
      <c r="S400" s="112"/>
      <c r="T400" s="112"/>
      <c r="U400" s="113"/>
      <c r="V400" s="113"/>
      <c r="W400" s="112"/>
      <c r="X400" s="112"/>
      <c r="Y400" s="112"/>
      <c r="Z400" s="112"/>
      <c r="AA400" s="15"/>
      <c r="AB400" s="15"/>
      <c r="AC400" s="15"/>
      <c r="AD400" s="15"/>
      <c r="AE400" s="114" t="str">
        <f>IF(NOT(ISBLANK(Audit[[#This Row],[Audit Winning Candidate]])), Audit[[#This Row],[Audit Winning Candidate]]-Audit[[#This Row],[Winning Candidate]], "")</f>
        <v/>
      </c>
      <c r="AF400" s="18" t="str">
        <f>IF(NOT(ISBLANK(Audit[[#This Row],[Audit Losing Candidate]])), Audit[[#This Row],[Audit Losing Candidate]]-Audit[[#This Row],[Losing Candidate]], "")</f>
        <v/>
      </c>
      <c r="AG400" s="18" t="str">
        <f>IF(NOT(ISBLANK(Audit[[#This Row],[Audit Candidate 3]])), Audit[[#This Row],[Audit Candidate 3]]-Audit[[#This Row],[Candidate 3]], "")</f>
        <v/>
      </c>
      <c r="AH400" s="18" t="str">
        <f>IF(NOT(ISBLANK(Audit[[#This Row],[Audit Candidate 4]])),Audit[[#This Row],[Audit Candidate 4]]-Audit[[#This Row],[Candidate 4]], "")</f>
        <v/>
      </c>
      <c r="AI400" s="18" t="str">
        <f>IF(NOT(ISBLANK(Audit[[#This Row],[Audit Candidate 5]])), Audit[[#This Row],[Audit Candidate 5]]-Audit[[#This Row],[Candidate 5]], "")</f>
        <v/>
      </c>
      <c r="AJ400" s="18" t="str">
        <f>IF(NOT(ISBLANK(Audit[[#This Row],[Audit Candidate 6]])), Audit[[#This Row],[Audit Candidate 6]]-Audit[[#This Row],[Candidate 6]], "")</f>
        <v/>
      </c>
      <c r="AK400" s="18" t="str">
        <f>IF(NOT(ISBLANK(Audit[[#This Row],[Audit Candidate 7]])), Audit[[#This Row],[Audit Candidate 7]]-Audit[[#This Row],[Candidate 7]], "")</f>
        <v/>
      </c>
      <c r="AL400" s="18" t="str">
        <f>IF(NOT(ISBLANK(Audit[[#This Row],[Audit Candidate 8]])), Audit[[#This Row],[Audit Candidate 8]]-Audit[[#This Row],[Candidate 8]], "")</f>
        <v/>
      </c>
      <c r="AM400" s="18" t="str">
        <f>IF(NOT(ISBLANK(Audit[[#This Row],[Audit Candidate 9]])), Audit[[#This Row],[Audit Candidate 9]]-Audit[[#This Row],[Candidate 9]], "")</f>
        <v/>
      </c>
      <c r="AN400" s="18" t="str">
        <f>IF(NOT(ISBLANK(Audit[[#This Row],[Audit Candidate 10]])), Audit[[#This Row],[Audit Candidate 10]]-Audit[[#This Row],[Candidate 10]], "")</f>
        <v/>
      </c>
      <c r="AO400" s="18" t="str">
        <f>IF(NOT(ISBLANK(Audit[[#This Row],[Audit Candidate 11]])), Audit[[#This Row],[Audit Candidate 11]]-Audit[[#This Row],[Candidate 11]], "")</f>
        <v/>
      </c>
      <c r="AP400" s="18" t="str">
        <f>IF(NOT(ISBLANK(Audit[[#This Row],[Audit Candidate 12]])), Audit[[#This Row],[Audit Candidate 12]]-Audit[[#This Row],[Candidate 12]], "")</f>
        <v/>
      </c>
      <c r="AQ400" s="18">
        <f>SUMIF(Audit[[#This Row],[Difference Winner]:[Difference Candidate 12]], "&gt;0")</f>
        <v>0</v>
      </c>
      <c r="AR400" s="18">
        <f>SUM(Audit[[#This Row],[Difference Winner]:[Difference Candidate 12]])</f>
        <v>0</v>
      </c>
      <c r="AS400" s="18">
        <f>IF(Audit[[#This Row],[Times p Drawn - With Replacement]]&gt;0, IF(Audit[[#This Row],[Canceled Differences]]&lt;0, Audit[[#This Row],[Max Differences]]+ABS(Audit[[#This Row],[Canceled Differences]]), Audit[[#This Row],[Max Differences]]), 0)</f>
        <v>0</v>
      </c>
      <c r="AT400" s="18">
        <f>'Sampling Data'!AB400</f>
        <v>1.0679398184502309E-3</v>
      </c>
      <c r="AU400" s="18">
        <f>IF(
      SUM(Audit[[#This Row],[Audit Losing Candidate]:[Audit Candidate 12]])
      &lt;&gt;0,
      (Audit[[#This Row],[Winning Candidate]]-Audit[[#This Row],[Losing Candidate]]-(Audit[[#This Row],[Audit Winning Candidate]]-Audit[[#This Row],[Audit Losing Candidate]]))/(Audit[[#Totals],[Winning Candidate]]-Audit[[#Totals],[Losing Candidate]]),
      0
)</f>
        <v>0</v>
      </c>
      <c r="AV4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8">
        <f>IF(Audit[[#This Row],[Max Relative Error (ep)]] = 0, 0, Audit[[#This Row],[Max Relative Error (ep)]]/Audit[[#This Row],[Error Bound (up) - Max. possible relative overstatement]])</f>
        <v>0</v>
      </c>
      <c r="BH4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0" s="18">
        <f t="shared" si="7"/>
        <v>1</v>
      </c>
      <c r="BJ400" s="18">
        <f>PRODUCT($BI$5:BI400)</f>
        <v>0.32656797278968008</v>
      </c>
      <c r="BK400" s="20">
        <f>1 - Audit[[#This Row],[K-M P Value]]</f>
        <v>0.67343202721031992</v>
      </c>
      <c r="BL400" s="18" t="str">
        <f>IF(Audit[[#This Row],[K-M P Value]]&gt;1-'General Info'!$B$12,"Continue", "Stop")</f>
        <v>Continue</v>
      </c>
      <c r="BM400" s="23" t="b">
        <f>IF(Audit[[#This Row],[Status - Continue or stop audit]] = "Continue", TRUE, IF(BL399 = "Continue", TRUE, FALSE))</f>
        <v>1</v>
      </c>
      <c r="BN400" s="23"/>
    </row>
    <row r="401" spans="1:66" ht="15" hidden="1" customHeight="1" x14ac:dyDescent="0.35">
      <c r="A401" s="18" t="str">
        <f>'Sampling Data'!AI401</f>
        <v/>
      </c>
      <c r="B401" s="18" t="str">
        <f>'Sampling Data'!A401</f>
        <v>6402 CROSB B   (AV)</v>
      </c>
      <c r="C401" s="18">
        <f>'Sampling Data'!B401</f>
        <v>20</v>
      </c>
      <c r="D401" s="18">
        <f>'Sampling Data'!C401</f>
        <v>1</v>
      </c>
      <c r="E401" s="19">
        <f>'Sampling Data'!D401</f>
        <v>0</v>
      </c>
      <c r="F401" s="19">
        <f>'Sampling Data'!E401</f>
        <v>0</v>
      </c>
      <c r="G401" s="19">
        <f>'Sampling Data'!F401</f>
        <v>0</v>
      </c>
      <c r="H401" s="19">
        <f>'Sampling Data'!G401</f>
        <v>0</v>
      </c>
      <c r="I401" s="19">
        <f>'Sampling Data'!H401</f>
        <v>0</v>
      </c>
      <c r="J401" s="19">
        <f>'Sampling Data'!I401</f>
        <v>0</v>
      </c>
      <c r="K401" s="19">
        <f>'Sampling Data'!J401</f>
        <v>0</v>
      </c>
      <c r="L401" s="19">
        <f>'Sampling Data'!K401</f>
        <v>0</v>
      </c>
      <c r="M401" s="19">
        <f>'Sampling Data'!L401</f>
        <v>0</v>
      </c>
      <c r="N401" s="19">
        <f>'Sampling Data'!M401</f>
        <v>0</v>
      </c>
      <c r="O401" s="18">
        <f>'Sampling Data'!N401</f>
        <v>0</v>
      </c>
      <c r="P401" s="18">
        <f>'Sampling Data'!O401</f>
        <v>0</v>
      </c>
      <c r="Q401" s="18">
        <f>'Sampling Data'!P401</f>
        <v>21</v>
      </c>
      <c r="R401" s="18">
        <f>'Sampling Data'!AJ401</f>
        <v>0</v>
      </c>
      <c r="S401" s="112"/>
      <c r="T401" s="112"/>
      <c r="U401" s="113"/>
      <c r="V401" s="113"/>
      <c r="W401" s="112"/>
      <c r="X401" s="112"/>
      <c r="Y401" s="112"/>
      <c r="Z401" s="112"/>
      <c r="AA401" s="15"/>
      <c r="AB401" s="15"/>
      <c r="AC401" s="15"/>
      <c r="AD401" s="15"/>
      <c r="AE401" s="114" t="str">
        <f>IF(NOT(ISBLANK(Audit[[#This Row],[Audit Winning Candidate]])), Audit[[#This Row],[Audit Winning Candidate]]-Audit[[#This Row],[Winning Candidate]], "")</f>
        <v/>
      </c>
      <c r="AF401" s="18" t="str">
        <f>IF(NOT(ISBLANK(Audit[[#This Row],[Audit Losing Candidate]])), Audit[[#This Row],[Audit Losing Candidate]]-Audit[[#This Row],[Losing Candidate]], "")</f>
        <v/>
      </c>
      <c r="AG401" s="18" t="str">
        <f>IF(NOT(ISBLANK(Audit[[#This Row],[Audit Candidate 3]])), Audit[[#This Row],[Audit Candidate 3]]-Audit[[#This Row],[Candidate 3]], "")</f>
        <v/>
      </c>
      <c r="AH401" s="18" t="str">
        <f>IF(NOT(ISBLANK(Audit[[#This Row],[Audit Candidate 4]])),Audit[[#This Row],[Audit Candidate 4]]-Audit[[#This Row],[Candidate 4]], "")</f>
        <v/>
      </c>
      <c r="AI401" s="18" t="str">
        <f>IF(NOT(ISBLANK(Audit[[#This Row],[Audit Candidate 5]])), Audit[[#This Row],[Audit Candidate 5]]-Audit[[#This Row],[Candidate 5]], "")</f>
        <v/>
      </c>
      <c r="AJ401" s="18" t="str">
        <f>IF(NOT(ISBLANK(Audit[[#This Row],[Audit Candidate 6]])), Audit[[#This Row],[Audit Candidate 6]]-Audit[[#This Row],[Candidate 6]], "")</f>
        <v/>
      </c>
      <c r="AK401" s="18" t="str">
        <f>IF(NOT(ISBLANK(Audit[[#This Row],[Audit Candidate 7]])), Audit[[#This Row],[Audit Candidate 7]]-Audit[[#This Row],[Candidate 7]], "")</f>
        <v/>
      </c>
      <c r="AL401" s="18" t="str">
        <f>IF(NOT(ISBLANK(Audit[[#This Row],[Audit Candidate 8]])), Audit[[#This Row],[Audit Candidate 8]]-Audit[[#This Row],[Candidate 8]], "")</f>
        <v/>
      </c>
      <c r="AM401" s="18" t="str">
        <f>IF(NOT(ISBLANK(Audit[[#This Row],[Audit Candidate 9]])), Audit[[#This Row],[Audit Candidate 9]]-Audit[[#This Row],[Candidate 9]], "")</f>
        <v/>
      </c>
      <c r="AN401" s="18" t="str">
        <f>IF(NOT(ISBLANK(Audit[[#This Row],[Audit Candidate 10]])), Audit[[#This Row],[Audit Candidate 10]]-Audit[[#This Row],[Candidate 10]], "")</f>
        <v/>
      </c>
      <c r="AO401" s="18" t="str">
        <f>IF(NOT(ISBLANK(Audit[[#This Row],[Audit Candidate 11]])), Audit[[#This Row],[Audit Candidate 11]]-Audit[[#This Row],[Candidate 11]], "")</f>
        <v/>
      </c>
      <c r="AP401" s="18" t="str">
        <f>IF(NOT(ISBLANK(Audit[[#This Row],[Audit Candidate 12]])), Audit[[#This Row],[Audit Candidate 12]]-Audit[[#This Row],[Candidate 12]], "")</f>
        <v/>
      </c>
      <c r="AQ401" s="18">
        <f>SUMIF(Audit[[#This Row],[Difference Winner]:[Difference Candidate 12]], "&gt;0")</f>
        <v>0</v>
      </c>
      <c r="AR401" s="18">
        <f>SUM(Audit[[#This Row],[Difference Winner]:[Difference Candidate 12]])</f>
        <v>0</v>
      </c>
      <c r="AS401" s="18">
        <f>IF(Audit[[#This Row],[Times p Drawn - With Replacement]]&gt;0, IF(Audit[[#This Row],[Canceled Differences]]&lt;0, Audit[[#This Row],[Max Differences]]+ABS(Audit[[#This Row],[Canceled Differences]]), Audit[[#This Row],[Max Differences]]), 0)</f>
        <v>0</v>
      </c>
      <c r="AT401" s="18">
        <f>'Sampling Data'!AB401</f>
        <v>1.2563997864120362E-3</v>
      </c>
      <c r="AU401" s="18">
        <f>IF(
      SUM(Audit[[#This Row],[Audit Losing Candidate]:[Audit Candidate 12]])
      &lt;&gt;0,
      (Audit[[#This Row],[Winning Candidate]]-Audit[[#This Row],[Losing Candidate]]-(Audit[[#This Row],[Audit Winning Candidate]]-Audit[[#This Row],[Audit Losing Candidate]]))/(Audit[[#Totals],[Winning Candidate]]-Audit[[#Totals],[Losing Candidate]]),
      0
)</f>
        <v>0</v>
      </c>
      <c r="AV4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8">
        <f>IF(Audit[[#This Row],[Max Relative Error (ep)]] = 0, 0, Audit[[#This Row],[Max Relative Error (ep)]]/Audit[[#This Row],[Error Bound (up) - Max. possible relative overstatement]])</f>
        <v>0</v>
      </c>
      <c r="BH4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1" s="18">
        <f t="shared" si="7"/>
        <v>1</v>
      </c>
      <c r="BJ401" s="18">
        <f>PRODUCT($BI$5:BI401)</f>
        <v>0.32656797278968008</v>
      </c>
      <c r="BK401" s="20">
        <f>1 - Audit[[#This Row],[K-M P Value]]</f>
        <v>0.67343202721031992</v>
      </c>
      <c r="BL401" s="18" t="str">
        <f>IF(Audit[[#This Row],[K-M P Value]]&gt;1-'General Info'!$B$12,"Continue", "Stop")</f>
        <v>Continue</v>
      </c>
      <c r="BM401" s="23" t="b">
        <f>IF(Audit[[#This Row],[Status - Continue or stop audit]] = "Continue", TRUE, IF(BL400 = "Continue", TRUE, FALSE))</f>
        <v>1</v>
      </c>
      <c r="BN401" s="23"/>
    </row>
    <row r="402" spans="1:66" ht="15" hidden="1" customHeight="1" x14ac:dyDescent="0.35">
      <c r="A402" s="18" t="str">
        <f>'Sampling Data'!AI402</f>
        <v/>
      </c>
      <c r="B402" s="18" t="str">
        <f>'Sampling Data'!A402</f>
        <v>6501 DELHI A   (AV)</v>
      </c>
      <c r="C402" s="18">
        <f>'Sampling Data'!B402</f>
        <v>4</v>
      </c>
      <c r="D402" s="18">
        <f>'Sampling Data'!C402</f>
        <v>0</v>
      </c>
      <c r="E402" s="19">
        <f>'Sampling Data'!D402</f>
        <v>0</v>
      </c>
      <c r="F402" s="19">
        <f>'Sampling Data'!E402</f>
        <v>0</v>
      </c>
      <c r="G402" s="19">
        <f>'Sampling Data'!F402</f>
        <v>0</v>
      </c>
      <c r="H402" s="19">
        <f>'Sampling Data'!G402</f>
        <v>0</v>
      </c>
      <c r="I402" s="19">
        <f>'Sampling Data'!H402</f>
        <v>0</v>
      </c>
      <c r="J402" s="19">
        <f>'Sampling Data'!I402</f>
        <v>0</v>
      </c>
      <c r="K402" s="19">
        <f>'Sampling Data'!J402</f>
        <v>0</v>
      </c>
      <c r="L402" s="19">
        <f>'Sampling Data'!K402</f>
        <v>0</v>
      </c>
      <c r="M402" s="19">
        <f>'Sampling Data'!L402</f>
        <v>0</v>
      </c>
      <c r="N402" s="19">
        <f>'Sampling Data'!M402</f>
        <v>0</v>
      </c>
      <c r="O402" s="18">
        <f>'Sampling Data'!N402</f>
        <v>0</v>
      </c>
      <c r="P402" s="18">
        <f>'Sampling Data'!O402</f>
        <v>0</v>
      </c>
      <c r="Q402" s="18">
        <f>'Sampling Data'!P402</f>
        <v>4</v>
      </c>
      <c r="R402" s="18">
        <f>'Sampling Data'!AJ402</f>
        <v>0</v>
      </c>
      <c r="S402" s="112"/>
      <c r="T402" s="112"/>
      <c r="U402" s="113"/>
      <c r="V402" s="113"/>
      <c r="W402" s="112"/>
      <c r="X402" s="112"/>
      <c r="Y402" s="112"/>
      <c r="Z402" s="112"/>
      <c r="AA402" s="15"/>
      <c r="AB402" s="15"/>
      <c r="AC402" s="15"/>
      <c r="AD402" s="15"/>
      <c r="AE402" s="114" t="str">
        <f>IF(NOT(ISBLANK(Audit[[#This Row],[Audit Winning Candidate]])), Audit[[#This Row],[Audit Winning Candidate]]-Audit[[#This Row],[Winning Candidate]], "")</f>
        <v/>
      </c>
      <c r="AF402" s="18" t="str">
        <f>IF(NOT(ISBLANK(Audit[[#This Row],[Audit Losing Candidate]])), Audit[[#This Row],[Audit Losing Candidate]]-Audit[[#This Row],[Losing Candidate]], "")</f>
        <v/>
      </c>
      <c r="AG402" s="18" t="str">
        <f>IF(NOT(ISBLANK(Audit[[#This Row],[Audit Candidate 3]])), Audit[[#This Row],[Audit Candidate 3]]-Audit[[#This Row],[Candidate 3]], "")</f>
        <v/>
      </c>
      <c r="AH402" s="18" t="str">
        <f>IF(NOT(ISBLANK(Audit[[#This Row],[Audit Candidate 4]])),Audit[[#This Row],[Audit Candidate 4]]-Audit[[#This Row],[Candidate 4]], "")</f>
        <v/>
      </c>
      <c r="AI402" s="18" t="str">
        <f>IF(NOT(ISBLANK(Audit[[#This Row],[Audit Candidate 5]])), Audit[[#This Row],[Audit Candidate 5]]-Audit[[#This Row],[Candidate 5]], "")</f>
        <v/>
      </c>
      <c r="AJ402" s="18" t="str">
        <f>IF(NOT(ISBLANK(Audit[[#This Row],[Audit Candidate 6]])), Audit[[#This Row],[Audit Candidate 6]]-Audit[[#This Row],[Candidate 6]], "")</f>
        <v/>
      </c>
      <c r="AK402" s="18" t="str">
        <f>IF(NOT(ISBLANK(Audit[[#This Row],[Audit Candidate 7]])), Audit[[#This Row],[Audit Candidate 7]]-Audit[[#This Row],[Candidate 7]], "")</f>
        <v/>
      </c>
      <c r="AL402" s="18" t="str">
        <f>IF(NOT(ISBLANK(Audit[[#This Row],[Audit Candidate 8]])), Audit[[#This Row],[Audit Candidate 8]]-Audit[[#This Row],[Candidate 8]], "")</f>
        <v/>
      </c>
      <c r="AM402" s="18" t="str">
        <f>IF(NOT(ISBLANK(Audit[[#This Row],[Audit Candidate 9]])), Audit[[#This Row],[Audit Candidate 9]]-Audit[[#This Row],[Candidate 9]], "")</f>
        <v/>
      </c>
      <c r="AN402" s="18" t="str">
        <f>IF(NOT(ISBLANK(Audit[[#This Row],[Audit Candidate 10]])), Audit[[#This Row],[Audit Candidate 10]]-Audit[[#This Row],[Candidate 10]], "")</f>
        <v/>
      </c>
      <c r="AO402" s="18" t="str">
        <f>IF(NOT(ISBLANK(Audit[[#This Row],[Audit Candidate 11]])), Audit[[#This Row],[Audit Candidate 11]]-Audit[[#This Row],[Candidate 11]], "")</f>
        <v/>
      </c>
      <c r="AP402" s="18" t="str">
        <f>IF(NOT(ISBLANK(Audit[[#This Row],[Audit Candidate 12]])), Audit[[#This Row],[Audit Candidate 12]]-Audit[[#This Row],[Candidate 12]], "")</f>
        <v/>
      </c>
      <c r="AQ402" s="18">
        <f>SUMIF(Audit[[#This Row],[Difference Winner]:[Difference Candidate 12]], "&gt;0")</f>
        <v>0</v>
      </c>
      <c r="AR402" s="18">
        <f>SUM(Audit[[#This Row],[Difference Winner]:[Difference Candidate 12]])</f>
        <v>0</v>
      </c>
      <c r="AS402" s="18">
        <f>IF(Audit[[#This Row],[Times p Drawn - With Replacement]]&gt;0, IF(Audit[[#This Row],[Canceled Differences]]&lt;0, Audit[[#This Row],[Max Differences]]+ABS(Audit[[#This Row],[Canceled Differences]]), Audit[[#This Row],[Max Differences]]), 0)</f>
        <v>0</v>
      </c>
      <c r="AT402" s="18">
        <f>'Sampling Data'!AB402</f>
        <v>2.5127995728240724E-4</v>
      </c>
      <c r="AU402" s="18">
        <f>IF(
      SUM(Audit[[#This Row],[Audit Losing Candidate]:[Audit Candidate 12]])
      &lt;&gt;0,
      (Audit[[#This Row],[Winning Candidate]]-Audit[[#This Row],[Losing Candidate]]-(Audit[[#This Row],[Audit Winning Candidate]]-Audit[[#This Row],[Audit Losing Candidate]]))/(Audit[[#Totals],[Winning Candidate]]-Audit[[#Totals],[Losing Candidate]]),
      0
)</f>
        <v>0</v>
      </c>
      <c r="AV4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8">
        <f>IF(Audit[[#This Row],[Max Relative Error (ep)]] = 0, 0, Audit[[#This Row],[Max Relative Error (ep)]]/Audit[[#This Row],[Error Bound (up) - Max. possible relative overstatement]])</f>
        <v>0</v>
      </c>
      <c r="BH4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2" s="18">
        <f t="shared" si="7"/>
        <v>1</v>
      </c>
      <c r="BJ402" s="18">
        <f>PRODUCT($BI$5:BI402)</f>
        <v>0.32656797278968008</v>
      </c>
      <c r="BK402" s="20">
        <f>1 - Audit[[#This Row],[K-M P Value]]</f>
        <v>0.67343202721031992</v>
      </c>
      <c r="BL402" s="18" t="str">
        <f>IF(Audit[[#This Row],[K-M P Value]]&gt;1-'General Info'!$B$12,"Continue", "Stop")</f>
        <v>Continue</v>
      </c>
      <c r="BM402" s="23" t="b">
        <f>IF(Audit[[#This Row],[Status - Continue or stop audit]] = "Continue", TRUE, IF(BL401 = "Continue", TRUE, FALSE))</f>
        <v>1</v>
      </c>
      <c r="BN402" s="23"/>
    </row>
    <row r="403" spans="1:66" ht="15" hidden="1" customHeight="1" x14ac:dyDescent="0.35">
      <c r="A403" s="18" t="str">
        <f>'Sampling Data'!AI403</f>
        <v/>
      </c>
      <c r="B403" s="18" t="str">
        <f>'Sampling Data'!A403</f>
        <v>6502 DELHI B   (AV)</v>
      </c>
      <c r="C403" s="18">
        <f>'Sampling Data'!B403</f>
        <v>13</v>
      </c>
      <c r="D403" s="18">
        <f>'Sampling Data'!C403</f>
        <v>1</v>
      </c>
      <c r="E403" s="19">
        <f>'Sampling Data'!D403</f>
        <v>0</v>
      </c>
      <c r="F403" s="19">
        <f>'Sampling Data'!E403</f>
        <v>0</v>
      </c>
      <c r="G403" s="19">
        <f>'Sampling Data'!F403</f>
        <v>0</v>
      </c>
      <c r="H403" s="19">
        <f>'Sampling Data'!G403</f>
        <v>0</v>
      </c>
      <c r="I403" s="19">
        <f>'Sampling Data'!H403</f>
        <v>0</v>
      </c>
      <c r="J403" s="19">
        <f>'Sampling Data'!I403</f>
        <v>0</v>
      </c>
      <c r="K403" s="19">
        <f>'Sampling Data'!J403</f>
        <v>0</v>
      </c>
      <c r="L403" s="19">
        <f>'Sampling Data'!K403</f>
        <v>0</v>
      </c>
      <c r="M403" s="19">
        <f>'Sampling Data'!L403</f>
        <v>0</v>
      </c>
      <c r="N403" s="19">
        <f>'Sampling Data'!M403</f>
        <v>0</v>
      </c>
      <c r="O403" s="18">
        <f>'Sampling Data'!N403</f>
        <v>0</v>
      </c>
      <c r="P403" s="18">
        <f>'Sampling Data'!O403</f>
        <v>0</v>
      </c>
      <c r="Q403" s="18">
        <f>'Sampling Data'!P403</f>
        <v>14</v>
      </c>
      <c r="R403" s="18">
        <f>'Sampling Data'!AJ403</f>
        <v>0</v>
      </c>
      <c r="S403" s="112"/>
      <c r="T403" s="112"/>
      <c r="U403" s="113"/>
      <c r="V403" s="113"/>
      <c r="W403" s="112"/>
      <c r="X403" s="112"/>
      <c r="Y403" s="112"/>
      <c r="Z403" s="112"/>
      <c r="AA403" s="15"/>
      <c r="AB403" s="15"/>
      <c r="AC403" s="15"/>
      <c r="AD403" s="15"/>
      <c r="AE403" s="114" t="str">
        <f>IF(NOT(ISBLANK(Audit[[#This Row],[Audit Winning Candidate]])), Audit[[#This Row],[Audit Winning Candidate]]-Audit[[#This Row],[Winning Candidate]], "")</f>
        <v/>
      </c>
      <c r="AF403" s="18" t="str">
        <f>IF(NOT(ISBLANK(Audit[[#This Row],[Audit Losing Candidate]])), Audit[[#This Row],[Audit Losing Candidate]]-Audit[[#This Row],[Losing Candidate]], "")</f>
        <v/>
      </c>
      <c r="AG403" s="18" t="str">
        <f>IF(NOT(ISBLANK(Audit[[#This Row],[Audit Candidate 3]])), Audit[[#This Row],[Audit Candidate 3]]-Audit[[#This Row],[Candidate 3]], "")</f>
        <v/>
      </c>
      <c r="AH403" s="18" t="str">
        <f>IF(NOT(ISBLANK(Audit[[#This Row],[Audit Candidate 4]])),Audit[[#This Row],[Audit Candidate 4]]-Audit[[#This Row],[Candidate 4]], "")</f>
        <v/>
      </c>
      <c r="AI403" s="18" t="str">
        <f>IF(NOT(ISBLANK(Audit[[#This Row],[Audit Candidate 5]])), Audit[[#This Row],[Audit Candidate 5]]-Audit[[#This Row],[Candidate 5]], "")</f>
        <v/>
      </c>
      <c r="AJ403" s="18" t="str">
        <f>IF(NOT(ISBLANK(Audit[[#This Row],[Audit Candidate 6]])), Audit[[#This Row],[Audit Candidate 6]]-Audit[[#This Row],[Candidate 6]], "")</f>
        <v/>
      </c>
      <c r="AK403" s="18" t="str">
        <f>IF(NOT(ISBLANK(Audit[[#This Row],[Audit Candidate 7]])), Audit[[#This Row],[Audit Candidate 7]]-Audit[[#This Row],[Candidate 7]], "")</f>
        <v/>
      </c>
      <c r="AL403" s="18" t="str">
        <f>IF(NOT(ISBLANK(Audit[[#This Row],[Audit Candidate 8]])), Audit[[#This Row],[Audit Candidate 8]]-Audit[[#This Row],[Candidate 8]], "")</f>
        <v/>
      </c>
      <c r="AM403" s="18" t="str">
        <f>IF(NOT(ISBLANK(Audit[[#This Row],[Audit Candidate 9]])), Audit[[#This Row],[Audit Candidate 9]]-Audit[[#This Row],[Candidate 9]], "")</f>
        <v/>
      </c>
      <c r="AN403" s="18" t="str">
        <f>IF(NOT(ISBLANK(Audit[[#This Row],[Audit Candidate 10]])), Audit[[#This Row],[Audit Candidate 10]]-Audit[[#This Row],[Candidate 10]], "")</f>
        <v/>
      </c>
      <c r="AO403" s="18" t="str">
        <f>IF(NOT(ISBLANK(Audit[[#This Row],[Audit Candidate 11]])), Audit[[#This Row],[Audit Candidate 11]]-Audit[[#This Row],[Candidate 11]], "")</f>
        <v/>
      </c>
      <c r="AP403" s="18" t="str">
        <f>IF(NOT(ISBLANK(Audit[[#This Row],[Audit Candidate 12]])), Audit[[#This Row],[Audit Candidate 12]]-Audit[[#This Row],[Candidate 12]], "")</f>
        <v/>
      </c>
      <c r="AQ403" s="18">
        <f>SUMIF(Audit[[#This Row],[Difference Winner]:[Difference Candidate 12]], "&gt;0")</f>
        <v>0</v>
      </c>
      <c r="AR403" s="18">
        <f>SUM(Audit[[#This Row],[Difference Winner]:[Difference Candidate 12]])</f>
        <v>0</v>
      </c>
      <c r="AS403" s="18">
        <f>IF(Audit[[#This Row],[Times p Drawn - With Replacement]]&gt;0, IF(Audit[[#This Row],[Canceled Differences]]&lt;0, Audit[[#This Row],[Max Differences]]+ABS(Audit[[#This Row],[Canceled Differences]]), Audit[[#This Row],[Max Differences]]), 0)</f>
        <v>0</v>
      </c>
      <c r="AT403" s="18">
        <f>'Sampling Data'!AB403</f>
        <v>8.1665986116782364E-4</v>
      </c>
      <c r="AU403" s="18">
        <f>IF(
      SUM(Audit[[#This Row],[Audit Losing Candidate]:[Audit Candidate 12]])
      &lt;&gt;0,
      (Audit[[#This Row],[Winning Candidate]]-Audit[[#This Row],[Losing Candidate]]-(Audit[[#This Row],[Audit Winning Candidate]]-Audit[[#This Row],[Audit Losing Candidate]]))/(Audit[[#Totals],[Winning Candidate]]-Audit[[#Totals],[Losing Candidate]]),
      0
)</f>
        <v>0</v>
      </c>
      <c r="AV4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8">
        <f>IF(Audit[[#This Row],[Max Relative Error (ep)]] = 0, 0, Audit[[#This Row],[Max Relative Error (ep)]]/Audit[[#This Row],[Error Bound (up) - Max. possible relative overstatement]])</f>
        <v>0</v>
      </c>
      <c r="BH4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3" s="18">
        <f t="shared" si="7"/>
        <v>1</v>
      </c>
      <c r="BJ403" s="18">
        <f>PRODUCT($BI$5:BI403)</f>
        <v>0.32656797278968008</v>
      </c>
      <c r="BK403" s="20">
        <f>1 - Audit[[#This Row],[K-M P Value]]</f>
        <v>0.67343202721031992</v>
      </c>
      <c r="BL403" s="18" t="str">
        <f>IF(Audit[[#This Row],[K-M P Value]]&gt;1-'General Info'!$B$12,"Continue", "Stop")</f>
        <v>Continue</v>
      </c>
      <c r="BM403" s="23" t="b">
        <f>IF(Audit[[#This Row],[Status - Continue or stop audit]] = "Continue", TRUE, IF(BL402 = "Continue", TRUE, FALSE))</f>
        <v>1</v>
      </c>
      <c r="BN403" s="23"/>
    </row>
    <row r="404" spans="1:66" ht="15" hidden="1" customHeight="1" x14ac:dyDescent="0.35">
      <c r="A404" s="18" t="str">
        <f>'Sampling Data'!AI404</f>
        <v/>
      </c>
      <c r="B404" s="18" t="str">
        <f>'Sampling Data'!A404</f>
        <v>6503 DELHI C   (AV)</v>
      </c>
      <c r="C404" s="18">
        <f>'Sampling Data'!B404</f>
        <v>3</v>
      </c>
      <c r="D404" s="18">
        <f>'Sampling Data'!C404</f>
        <v>0</v>
      </c>
      <c r="E404" s="19">
        <f>'Sampling Data'!D404</f>
        <v>0</v>
      </c>
      <c r="F404" s="19">
        <f>'Sampling Data'!E404</f>
        <v>0</v>
      </c>
      <c r="G404" s="19">
        <f>'Sampling Data'!F404</f>
        <v>0</v>
      </c>
      <c r="H404" s="19">
        <f>'Sampling Data'!G404</f>
        <v>0</v>
      </c>
      <c r="I404" s="19">
        <f>'Sampling Data'!H404</f>
        <v>0</v>
      </c>
      <c r="J404" s="19">
        <f>'Sampling Data'!I404</f>
        <v>0</v>
      </c>
      <c r="K404" s="19">
        <f>'Sampling Data'!J404</f>
        <v>0</v>
      </c>
      <c r="L404" s="19">
        <f>'Sampling Data'!K404</f>
        <v>0</v>
      </c>
      <c r="M404" s="19">
        <f>'Sampling Data'!L404</f>
        <v>0</v>
      </c>
      <c r="N404" s="19">
        <f>'Sampling Data'!M404</f>
        <v>0</v>
      </c>
      <c r="O404" s="18">
        <f>'Sampling Data'!N404</f>
        <v>0</v>
      </c>
      <c r="P404" s="18">
        <f>'Sampling Data'!O404</f>
        <v>0</v>
      </c>
      <c r="Q404" s="18">
        <f>'Sampling Data'!P404</f>
        <v>3</v>
      </c>
      <c r="R404" s="18">
        <f>'Sampling Data'!AJ404</f>
        <v>0</v>
      </c>
      <c r="S404" s="112"/>
      <c r="T404" s="112"/>
      <c r="U404" s="113"/>
      <c r="V404" s="113"/>
      <c r="W404" s="112"/>
      <c r="X404" s="112"/>
      <c r="Y404" s="112"/>
      <c r="Z404" s="112"/>
      <c r="AA404" s="15"/>
      <c r="AB404" s="15"/>
      <c r="AC404" s="15"/>
      <c r="AD404" s="15"/>
      <c r="AE404" s="114" t="str">
        <f>IF(NOT(ISBLANK(Audit[[#This Row],[Audit Winning Candidate]])), Audit[[#This Row],[Audit Winning Candidate]]-Audit[[#This Row],[Winning Candidate]], "")</f>
        <v/>
      </c>
      <c r="AF404" s="18" t="str">
        <f>IF(NOT(ISBLANK(Audit[[#This Row],[Audit Losing Candidate]])), Audit[[#This Row],[Audit Losing Candidate]]-Audit[[#This Row],[Losing Candidate]], "")</f>
        <v/>
      </c>
      <c r="AG404" s="18" t="str">
        <f>IF(NOT(ISBLANK(Audit[[#This Row],[Audit Candidate 3]])), Audit[[#This Row],[Audit Candidate 3]]-Audit[[#This Row],[Candidate 3]], "")</f>
        <v/>
      </c>
      <c r="AH404" s="18" t="str">
        <f>IF(NOT(ISBLANK(Audit[[#This Row],[Audit Candidate 4]])),Audit[[#This Row],[Audit Candidate 4]]-Audit[[#This Row],[Candidate 4]], "")</f>
        <v/>
      </c>
      <c r="AI404" s="18" t="str">
        <f>IF(NOT(ISBLANK(Audit[[#This Row],[Audit Candidate 5]])), Audit[[#This Row],[Audit Candidate 5]]-Audit[[#This Row],[Candidate 5]], "")</f>
        <v/>
      </c>
      <c r="AJ404" s="18" t="str">
        <f>IF(NOT(ISBLANK(Audit[[#This Row],[Audit Candidate 6]])), Audit[[#This Row],[Audit Candidate 6]]-Audit[[#This Row],[Candidate 6]], "")</f>
        <v/>
      </c>
      <c r="AK404" s="18" t="str">
        <f>IF(NOT(ISBLANK(Audit[[#This Row],[Audit Candidate 7]])), Audit[[#This Row],[Audit Candidate 7]]-Audit[[#This Row],[Candidate 7]], "")</f>
        <v/>
      </c>
      <c r="AL404" s="18" t="str">
        <f>IF(NOT(ISBLANK(Audit[[#This Row],[Audit Candidate 8]])), Audit[[#This Row],[Audit Candidate 8]]-Audit[[#This Row],[Candidate 8]], "")</f>
        <v/>
      </c>
      <c r="AM404" s="18" t="str">
        <f>IF(NOT(ISBLANK(Audit[[#This Row],[Audit Candidate 9]])), Audit[[#This Row],[Audit Candidate 9]]-Audit[[#This Row],[Candidate 9]], "")</f>
        <v/>
      </c>
      <c r="AN404" s="18" t="str">
        <f>IF(NOT(ISBLANK(Audit[[#This Row],[Audit Candidate 10]])), Audit[[#This Row],[Audit Candidate 10]]-Audit[[#This Row],[Candidate 10]], "")</f>
        <v/>
      </c>
      <c r="AO404" s="18" t="str">
        <f>IF(NOT(ISBLANK(Audit[[#This Row],[Audit Candidate 11]])), Audit[[#This Row],[Audit Candidate 11]]-Audit[[#This Row],[Candidate 11]], "")</f>
        <v/>
      </c>
      <c r="AP404" s="18" t="str">
        <f>IF(NOT(ISBLANK(Audit[[#This Row],[Audit Candidate 12]])), Audit[[#This Row],[Audit Candidate 12]]-Audit[[#This Row],[Candidate 12]], "")</f>
        <v/>
      </c>
      <c r="AQ404" s="18">
        <f>SUMIF(Audit[[#This Row],[Difference Winner]:[Difference Candidate 12]], "&gt;0")</f>
        <v>0</v>
      </c>
      <c r="AR404" s="18">
        <f>SUM(Audit[[#This Row],[Difference Winner]:[Difference Candidate 12]])</f>
        <v>0</v>
      </c>
      <c r="AS404" s="18">
        <f>IF(Audit[[#This Row],[Times p Drawn - With Replacement]]&gt;0, IF(Audit[[#This Row],[Canceled Differences]]&lt;0, Audit[[#This Row],[Max Differences]]+ABS(Audit[[#This Row],[Canceled Differences]]), Audit[[#This Row],[Max Differences]]), 0)</f>
        <v>0</v>
      </c>
      <c r="AT404" s="18">
        <f>'Sampling Data'!AB404</f>
        <v>1.8845996796180544E-4</v>
      </c>
      <c r="AU404" s="18">
        <f>IF(
      SUM(Audit[[#This Row],[Audit Losing Candidate]:[Audit Candidate 12]])
      &lt;&gt;0,
      (Audit[[#This Row],[Winning Candidate]]-Audit[[#This Row],[Losing Candidate]]-(Audit[[#This Row],[Audit Winning Candidate]]-Audit[[#This Row],[Audit Losing Candidate]]))/(Audit[[#Totals],[Winning Candidate]]-Audit[[#Totals],[Losing Candidate]]),
      0
)</f>
        <v>0</v>
      </c>
      <c r="AV4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8">
        <f>IF(Audit[[#This Row],[Max Relative Error (ep)]] = 0, 0, Audit[[#This Row],[Max Relative Error (ep)]]/Audit[[#This Row],[Error Bound (up) - Max. possible relative overstatement]])</f>
        <v>0</v>
      </c>
      <c r="BH4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4" s="18">
        <f t="shared" si="7"/>
        <v>1</v>
      </c>
      <c r="BJ404" s="18">
        <f>PRODUCT($BI$5:BI404)</f>
        <v>0.32656797278968008</v>
      </c>
      <c r="BK404" s="20">
        <f>1 - Audit[[#This Row],[K-M P Value]]</f>
        <v>0.67343202721031992</v>
      </c>
      <c r="BL404" s="18" t="str">
        <f>IF(Audit[[#This Row],[K-M P Value]]&gt;1-'General Info'!$B$12,"Continue", "Stop")</f>
        <v>Continue</v>
      </c>
      <c r="BM404" s="23" t="b">
        <f>IF(Audit[[#This Row],[Status - Continue or stop audit]] = "Continue", TRUE, IF(BL403 = "Continue", TRUE, FALSE))</f>
        <v>1</v>
      </c>
      <c r="BN404" s="23"/>
    </row>
    <row r="405" spans="1:66" ht="15" hidden="1" customHeight="1" x14ac:dyDescent="0.35">
      <c r="A405" s="18" t="str">
        <f>'Sampling Data'!AI405</f>
        <v/>
      </c>
      <c r="B405" s="18" t="str">
        <f>'Sampling Data'!A405</f>
        <v>6504 DELHI D   (AV)</v>
      </c>
      <c r="C405" s="18">
        <f>'Sampling Data'!B405</f>
        <v>6</v>
      </c>
      <c r="D405" s="18">
        <f>'Sampling Data'!C405</f>
        <v>0</v>
      </c>
      <c r="E405" s="19">
        <f>'Sampling Data'!D405</f>
        <v>0</v>
      </c>
      <c r="F405" s="19">
        <f>'Sampling Data'!E405</f>
        <v>0</v>
      </c>
      <c r="G405" s="19">
        <f>'Sampling Data'!F405</f>
        <v>0</v>
      </c>
      <c r="H405" s="19">
        <f>'Sampling Data'!G405</f>
        <v>0</v>
      </c>
      <c r="I405" s="19">
        <f>'Sampling Data'!H405</f>
        <v>0</v>
      </c>
      <c r="J405" s="19">
        <f>'Sampling Data'!I405</f>
        <v>0</v>
      </c>
      <c r="K405" s="19">
        <f>'Sampling Data'!J405</f>
        <v>0</v>
      </c>
      <c r="L405" s="19">
        <f>'Sampling Data'!K405</f>
        <v>0</v>
      </c>
      <c r="M405" s="19">
        <f>'Sampling Data'!L405</f>
        <v>0</v>
      </c>
      <c r="N405" s="19">
        <f>'Sampling Data'!M405</f>
        <v>0</v>
      </c>
      <c r="O405" s="18">
        <f>'Sampling Data'!N405</f>
        <v>0</v>
      </c>
      <c r="P405" s="18">
        <f>'Sampling Data'!O405</f>
        <v>0</v>
      </c>
      <c r="Q405" s="18">
        <f>'Sampling Data'!P405</f>
        <v>6</v>
      </c>
      <c r="R405" s="18">
        <f>'Sampling Data'!AJ405</f>
        <v>0</v>
      </c>
      <c r="S405" s="112"/>
      <c r="T405" s="112"/>
      <c r="U405" s="113"/>
      <c r="V405" s="113"/>
      <c r="W405" s="112"/>
      <c r="X405" s="112"/>
      <c r="Y405" s="112"/>
      <c r="Z405" s="112"/>
      <c r="AA405" s="15"/>
      <c r="AB405" s="15"/>
      <c r="AC405" s="15"/>
      <c r="AD405" s="15"/>
      <c r="AE405" s="114" t="str">
        <f>IF(NOT(ISBLANK(Audit[[#This Row],[Audit Winning Candidate]])), Audit[[#This Row],[Audit Winning Candidate]]-Audit[[#This Row],[Winning Candidate]], "")</f>
        <v/>
      </c>
      <c r="AF405" s="18" t="str">
        <f>IF(NOT(ISBLANK(Audit[[#This Row],[Audit Losing Candidate]])), Audit[[#This Row],[Audit Losing Candidate]]-Audit[[#This Row],[Losing Candidate]], "")</f>
        <v/>
      </c>
      <c r="AG405" s="18" t="str">
        <f>IF(NOT(ISBLANK(Audit[[#This Row],[Audit Candidate 3]])), Audit[[#This Row],[Audit Candidate 3]]-Audit[[#This Row],[Candidate 3]], "")</f>
        <v/>
      </c>
      <c r="AH405" s="18" t="str">
        <f>IF(NOT(ISBLANK(Audit[[#This Row],[Audit Candidate 4]])),Audit[[#This Row],[Audit Candidate 4]]-Audit[[#This Row],[Candidate 4]], "")</f>
        <v/>
      </c>
      <c r="AI405" s="18" t="str">
        <f>IF(NOT(ISBLANK(Audit[[#This Row],[Audit Candidate 5]])), Audit[[#This Row],[Audit Candidate 5]]-Audit[[#This Row],[Candidate 5]], "")</f>
        <v/>
      </c>
      <c r="AJ405" s="18" t="str">
        <f>IF(NOT(ISBLANK(Audit[[#This Row],[Audit Candidate 6]])), Audit[[#This Row],[Audit Candidate 6]]-Audit[[#This Row],[Candidate 6]], "")</f>
        <v/>
      </c>
      <c r="AK405" s="18" t="str">
        <f>IF(NOT(ISBLANK(Audit[[#This Row],[Audit Candidate 7]])), Audit[[#This Row],[Audit Candidate 7]]-Audit[[#This Row],[Candidate 7]], "")</f>
        <v/>
      </c>
      <c r="AL405" s="18" t="str">
        <f>IF(NOT(ISBLANK(Audit[[#This Row],[Audit Candidate 8]])), Audit[[#This Row],[Audit Candidate 8]]-Audit[[#This Row],[Candidate 8]], "")</f>
        <v/>
      </c>
      <c r="AM405" s="18" t="str">
        <f>IF(NOT(ISBLANK(Audit[[#This Row],[Audit Candidate 9]])), Audit[[#This Row],[Audit Candidate 9]]-Audit[[#This Row],[Candidate 9]], "")</f>
        <v/>
      </c>
      <c r="AN405" s="18" t="str">
        <f>IF(NOT(ISBLANK(Audit[[#This Row],[Audit Candidate 10]])), Audit[[#This Row],[Audit Candidate 10]]-Audit[[#This Row],[Candidate 10]], "")</f>
        <v/>
      </c>
      <c r="AO405" s="18" t="str">
        <f>IF(NOT(ISBLANK(Audit[[#This Row],[Audit Candidate 11]])), Audit[[#This Row],[Audit Candidate 11]]-Audit[[#This Row],[Candidate 11]], "")</f>
        <v/>
      </c>
      <c r="AP405" s="18" t="str">
        <f>IF(NOT(ISBLANK(Audit[[#This Row],[Audit Candidate 12]])), Audit[[#This Row],[Audit Candidate 12]]-Audit[[#This Row],[Candidate 12]], "")</f>
        <v/>
      </c>
      <c r="AQ405" s="18">
        <f>SUMIF(Audit[[#This Row],[Difference Winner]:[Difference Candidate 12]], "&gt;0")</f>
        <v>0</v>
      </c>
      <c r="AR405" s="18">
        <f>SUM(Audit[[#This Row],[Difference Winner]:[Difference Candidate 12]])</f>
        <v>0</v>
      </c>
      <c r="AS405" s="18">
        <f>IF(Audit[[#This Row],[Times p Drawn - With Replacement]]&gt;0, IF(Audit[[#This Row],[Canceled Differences]]&lt;0, Audit[[#This Row],[Max Differences]]+ABS(Audit[[#This Row],[Canceled Differences]]), Audit[[#This Row],[Max Differences]]), 0)</f>
        <v>0</v>
      </c>
      <c r="AT405" s="18">
        <f>'Sampling Data'!AB405</f>
        <v>3.7691993592361088E-4</v>
      </c>
      <c r="AU405" s="18">
        <f>IF(
      SUM(Audit[[#This Row],[Audit Losing Candidate]:[Audit Candidate 12]])
      &lt;&gt;0,
      (Audit[[#This Row],[Winning Candidate]]-Audit[[#This Row],[Losing Candidate]]-(Audit[[#This Row],[Audit Winning Candidate]]-Audit[[#This Row],[Audit Losing Candidate]]))/(Audit[[#Totals],[Winning Candidate]]-Audit[[#Totals],[Losing Candidate]]),
      0
)</f>
        <v>0</v>
      </c>
      <c r="AV4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8">
        <f>IF(Audit[[#This Row],[Max Relative Error (ep)]] = 0, 0, Audit[[#This Row],[Max Relative Error (ep)]]/Audit[[#This Row],[Error Bound (up) - Max. possible relative overstatement]])</f>
        <v>0</v>
      </c>
      <c r="BH4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5" s="18">
        <f t="shared" si="7"/>
        <v>1</v>
      </c>
      <c r="BJ405" s="18">
        <f>PRODUCT($BI$5:BI405)</f>
        <v>0.32656797278968008</v>
      </c>
      <c r="BK405" s="20">
        <f>1 - Audit[[#This Row],[K-M P Value]]</f>
        <v>0.67343202721031992</v>
      </c>
      <c r="BL405" s="18" t="str">
        <f>IF(Audit[[#This Row],[K-M P Value]]&gt;1-'General Info'!$B$12,"Continue", "Stop")</f>
        <v>Continue</v>
      </c>
      <c r="BM405" s="23" t="b">
        <f>IF(Audit[[#This Row],[Status - Continue or stop audit]] = "Continue", TRUE, IF(BL404 = "Continue", TRUE, FALSE))</f>
        <v>1</v>
      </c>
      <c r="BN405" s="23"/>
    </row>
    <row r="406" spans="1:66" ht="15" hidden="1" customHeight="1" x14ac:dyDescent="0.35">
      <c r="A406" s="18" t="str">
        <f>'Sampling Data'!AI406</f>
        <v/>
      </c>
      <c r="B406" s="18" t="str">
        <f>'Sampling Data'!A406</f>
        <v>6505 DELHI E   (AV)</v>
      </c>
      <c r="C406" s="18">
        <f>'Sampling Data'!B406</f>
        <v>8</v>
      </c>
      <c r="D406" s="18">
        <f>'Sampling Data'!C406</f>
        <v>1</v>
      </c>
      <c r="E406" s="19">
        <f>'Sampling Data'!D406</f>
        <v>0</v>
      </c>
      <c r="F406" s="19">
        <f>'Sampling Data'!E406</f>
        <v>0</v>
      </c>
      <c r="G406" s="19">
        <f>'Sampling Data'!F406</f>
        <v>0</v>
      </c>
      <c r="H406" s="19">
        <f>'Sampling Data'!G406</f>
        <v>0</v>
      </c>
      <c r="I406" s="19">
        <f>'Sampling Data'!H406</f>
        <v>0</v>
      </c>
      <c r="J406" s="19">
        <f>'Sampling Data'!I406</f>
        <v>0</v>
      </c>
      <c r="K406" s="19">
        <f>'Sampling Data'!J406</f>
        <v>0</v>
      </c>
      <c r="L406" s="19">
        <f>'Sampling Data'!K406</f>
        <v>0</v>
      </c>
      <c r="M406" s="19">
        <f>'Sampling Data'!L406</f>
        <v>0</v>
      </c>
      <c r="N406" s="19">
        <f>'Sampling Data'!M406</f>
        <v>0</v>
      </c>
      <c r="O406" s="18">
        <f>'Sampling Data'!N406</f>
        <v>0</v>
      </c>
      <c r="P406" s="18">
        <f>'Sampling Data'!O406</f>
        <v>0</v>
      </c>
      <c r="Q406" s="18">
        <f>'Sampling Data'!P406</f>
        <v>9</v>
      </c>
      <c r="R406" s="18">
        <f>'Sampling Data'!AJ406</f>
        <v>0</v>
      </c>
      <c r="S406" s="112"/>
      <c r="T406" s="112"/>
      <c r="U406" s="113"/>
      <c r="V406" s="113"/>
      <c r="W406" s="112"/>
      <c r="X406" s="112"/>
      <c r="Y406" s="112"/>
      <c r="Z406" s="112"/>
      <c r="AA406" s="15"/>
      <c r="AB406" s="15"/>
      <c r="AC406" s="15"/>
      <c r="AD406" s="15"/>
      <c r="AE406" s="114" t="str">
        <f>IF(NOT(ISBLANK(Audit[[#This Row],[Audit Winning Candidate]])), Audit[[#This Row],[Audit Winning Candidate]]-Audit[[#This Row],[Winning Candidate]], "")</f>
        <v/>
      </c>
      <c r="AF406" s="18" t="str">
        <f>IF(NOT(ISBLANK(Audit[[#This Row],[Audit Losing Candidate]])), Audit[[#This Row],[Audit Losing Candidate]]-Audit[[#This Row],[Losing Candidate]], "")</f>
        <v/>
      </c>
      <c r="AG406" s="18" t="str">
        <f>IF(NOT(ISBLANK(Audit[[#This Row],[Audit Candidate 3]])), Audit[[#This Row],[Audit Candidate 3]]-Audit[[#This Row],[Candidate 3]], "")</f>
        <v/>
      </c>
      <c r="AH406" s="18" t="str">
        <f>IF(NOT(ISBLANK(Audit[[#This Row],[Audit Candidate 4]])),Audit[[#This Row],[Audit Candidate 4]]-Audit[[#This Row],[Candidate 4]], "")</f>
        <v/>
      </c>
      <c r="AI406" s="18" t="str">
        <f>IF(NOT(ISBLANK(Audit[[#This Row],[Audit Candidate 5]])), Audit[[#This Row],[Audit Candidate 5]]-Audit[[#This Row],[Candidate 5]], "")</f>
        <v/>
      </c>
      <c r="AJ406" s="18" t="str">
        <f>IF(NOT(ISBLANK(Audit[[#This Row],[Audit Candidate 6]])), Audit[[#This Row],[Audit Candidate 6]]-Audit[[#This Row],[Candidate 6]], "")</f>
        <v/>
      </c>
      <c r="AK406" s="18" t="str">
        <f>IF(NOT(ISBLANK(Audit[[#This Row],[Audit Candidate 7]])), Audit[[#This Row],[Audit Candidate 7]]-Audit[[#This Row],[Candidate 7]], "")</f>
        <v/>
      </c>
      <c r="AL406" s="18" t="str">
        <f>IF(NOT(ISBLANK(Audit[[#This Row],[Audit Candidate 8]])), Audit[[#This Row],[Audit Candidate 8]]-Audit[[#This Row],[Candidate 8]], "")</f>
        <v/>
      </c>
      <c r="AM406" s="18" t="str">
        <f>IF(NOT(ISBLANK(Audit[[#This Row],[Audit Candidate 9]])), Audit[[#This Row],[Audit Candidate 9]]-Audit[[#This Row],[Candidate 9]], "")</f>
        <v/>
      </c>
      <c r="AN406" s="18" t="str">
        <f>IF(NOT(ISBLANK(Audit[[#This Row],[Audit Candidate 10]])), Audit[[#This Row],[Audit Candidate 10]]-Audit[[#This Row],[Candidate 10]], "")</f>
        <v/>
      </c>
      <c r="AO406" s="18" t="str">
        <f>IF(NOT(ISBLANK(Audit[[#This Row],[Audit Candidate 11]])), Audit[[#This Row],[Audit Candidate 11]]-Audit[[#This Row],[Candidate 11]], "")</f>
        <v/>
      </c>
      <c r="AP406" s="18" t="str">
        <f>IF(NOT(ISBLANK(Audit[[#This Row],[Audit Candidate 12]])), Audit[[#This Row],[Audit Candidate 12]]-Audit[[#This Row],[Candidate 12]], "")</f>
        <v/>
      </c>
      <c r="AQ406" s="18">
        <f>SUMIF(Audit[[#This Row],[Difference Winner]:[Difference Candidate 12]], "&gt;0")</f>
        <v>0</v>
      </c>
      <c r="AR406" s="18">
        <f>SUM(Audit[[#This Row],[Difference Winner]:[Difference Candidate 12]])</f>
        <v>0</v>
      </c>
      <c r="AS406" s="18">
        <f>IF(Audit[[#This Row],[Times p Drawn - With Replacement]]&gt;0, IF(Audit[[#This Row],[Canceled Differences]]&lt;0, Audit[[#This Row],[Max Differences]]+ABS(Audit[[#This Row],[Canceled Differences]]), Audit[[#This Row],[Max Differences]]), 0)</f>
        <v>0</v>
      </c>
      <c r="AT406" s="18">
        <f>'Sampling Data'!AB406</f>
        <v>5.0255991456481448E-4</v>
      </c>
      <c r="AU406" s="18">
        <f>IF(
      SUM(Audit[[#This Row],[Audit Losing Candidate]:[Audit Candidate 12]])
      &lt;&gt;0,
      (Audit[[#This Row],[Winning Candidate]]-Audit[[#This Row],[Losing Candidate]]-(Audit[[#This Row],[Audit Winning Candidate]]-Audit[[#This Row],[Audit Losing Candidate]]))/(Audit[[#Totals],[Winning Candidate]]-Audit[[#Totals],[Losing Candidate]]),
      0
)</f>
        <v>0</v>
      </c>
      <c r="AV4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8">
        <f>IF(Audit[[#This Row],[Max Relative Error (ep)]] = 0, 0, Audit[[#This Row],[Max Relative Error (ep)]]/Audit[[#This Row],[Error Bound (up) - Max. possible relative overstatement]])</f>
        <v>0</v>
      </c>
      <c r="BH4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6" s="18">
        <f t="shared" si="7"/>
        <v>1</v>
      </c>
      <c r="BJ406" s="18">
        <f>PRODUCT($BI$5:BI406)</f>
        <v>0.32656797278968008</v>
      </c>
      <c r="BK406" s="20">
        <f>1 - Audit[[#This Row],[K-M P Value]]</f>
        <v>0.67343202721031992</v>
      </c>
      <c r="BL406" s="18" t="str">
        <f>IF(Audit[[#This Row],[K-M P Value]]&gt;1-'General Info'!$B$12,"Continue", "Stop")</f>
        <v>Continue</v>
      </c>
      <c r="BM406" s="23" t="b">
        <f>IF(Audit[[#This Row],[Status - Continue or stop audit]] = "Continue", TRUE, IF(BL405 = "Continue", TRUE, FALSE))</f>
        <v>1</v>
      </c>
      <c r="BN406" s="23"/>
    </row>
    <row r="407" spans="1:66" ht="15" hidden="1" customHeight="1" x14ac:dyDescent="0.35">
      <c r="A407" s="18" t="str">
        <f>'Sampling Data'!AI407</f>
        <v/>
      </c>
      <c r="B407" s="18" t="str">
        <f>'Sampling Data'!A407</f>
        <v>6506 DELHI F   (AV)</v>
      </c>
      <c r="C407" s="18">
        <f>'Sampling Data'!B407</f>
        <v>0</v>
      </c>
      <c r="D407" s="18">
        <f>'Sampling Data'!C407</f>
        <v>0</v>
      </c>
      <c r="E407" s="19">
        <f>'Sampling Data'!D407</f>
        <v>0</v>
      </c>
      <c r="F407" s="19">
        <f>'Sampling Data'!E407</f>
        <v>0</v>
      </c>
      <c r="G407" s="19">
        <f>'Sampling Data'!F407</f>
        <v>0</v>
      </c>
      <c r="H407" s="19">
        <f>'Sampling Data'!G407</f>
        <v>0</v>
      </c>
      <c r="I407" s="19">
        <f>'Sampling Data'!H407</f>
        <v>0</v>
      </c>
      <c r="J407" s="19">
        <f>'Sampling Data'!I407</f>
        <v>0</v>
      </c>
      <c r="K407" s="19">
        <f>'Sampling Data'!J407</f>
        <v>0</v>
      </c>
      <c r="L407" s="19">
        <f>'Sampling Data'!K407</f>
        <v>0</v>
      </c>
      <c r="M407" s="19">
        <f>'Sampling Data'!L407</f>
        <v>0</v>
      </c>
      <c r="N407" s="19">
        <f>'Sampling Data'!M407</f>
        <v>0</v>
      </c>
      <c r="O407" s="18">
        <f>'Sampling Data'!N407</f>
        <v>0</v>
      </c>
      <c r="P407" s="18">
        <f>'Sampling Data'!O407</f>
        <v>0</v>
      </c>
      <c r="Q407" s="18">
        <f>'Sampling Data'!P407</f>
        <v>0</v>
      </c>
      <c r="R407" s="18">
        <f>'Sampling Data'!AJ407</f>
        <v>0</v>
      </c>
      <c r="S407" s="112"/>
      <c r="T407" s="112"/>
      <c r="U407" s="113"/>
      <c r="V407" s="113"/>
      <c r="W407" s="112"/>
      <c r="X407" s="112"/>
      <c r="Y407" s="112"/>
      <c r="Z407" s="112"/>
      <c r="AA407" s="15"/>
      <c r="AB407" s="15"/>
      <c r="AC407" s="15"/>
      <c r="AD407" s="15"/>
      <c r="AE407" s="114" t="str">
        <f>IF(NOT(ISBLANK(Audit[[#This Row],[Audit Winning Candidate]])), Audit[[#This Row],[Audit Winning Candidate]]-Audit[[#This Row],[Winning Candidate]], "")</f>
        <v/>
      </c>
      <c r="AF407" s="18" t="str">
        <f>IF(NOT(ISBLANK(Audit[[#This Row],[Audit Losing Candidate]])), Audit[[#This Row],[Audit Losing Candidate]]-Audit[[#This Row],[Losing Candidate]], "")</f>
        <v/>
      </c>
      <c r="AG407" s="18" t="str">
        <f>IF(NOT(ISBLANK(Audit[[#This Row],[Audit Candidate 3]])), Audit[[#This Row],[Audit Candidate 3]]-Audit[[#This Row],[Candidate 3]], "")</f>
        <v/>
      </c>
      <c r="AH407" s="18" t="str">
        <f>IF(NOT(ISBLANK(Audit[[#This Row],[Audit Candidate 4]])),Audit[[#This Row],[Audit Candidate 4]]-Audit[[#This Row],[Candidate 4]], "")</f>
        <v/>
      </c>
      <c r="AI407" s="18" t="str">
        <f>IF(NOT(ISBLANK(Audit[[#This Row],[Audit Candidate 5]])), Audit[[#This Row],[Audit Candidate 5]]-Audit[[#This Row],[Candidate 5]], "")</f>
        <v/>
      </c>
      <c r="AJ407" s="18" t="str">
        <f>IF(NOT(ISBLANK(Audit[[#This Row],[Audit Candidate 6]])), Audit[[#This Row],[Audit Candidate 6]]-Audit[[#This Row],[Candidate 6]], "")</f>
        <v/>
      </c>
      <c r="AK407" s="18" t="str">
        <f>IF(NOT(ISBLANK(Audit[[#This Row],[Audit Candidate 7]])), Audit[[#This Row],[Audit Candidate 7]]-Audit[[#This Row],[Candidate 7]], "")</f>
        <v/>
      </c>
      <c r="AL407" s="18" t="str">
        <f>IF(NOT(ISBLANK(Audit[[#This Row],[Audit Candidate 8]])), Audit[[#This Row],[Audit Candidate 8]]-Audit[[#This Row],[Candidate 8]], "")</f>
        <v/>
      </c>
      <c r="AM407" s="18" t="str">
        <f>IF(NOT(ISBLANK(Audit[[#This Row],[Audit Candidate 9]])), Audit[[#This Row],[Audit Candidate 9]]-Audit[[#This Row],[Candidate 9]], "")</f>
        <v/>
      </c>
      <c r="AN407" s="18" t="str">
        <f>IF(NOT(ISBLANK(Audit[[#This Row],[Audit Candidate 10]])), Audit[[#This Row],[Audit Candidate 10]]-Audit[[#This Row],[Candidate 10]], "")</f>
        <v/>
      </c>
      <c r="AO407" s="18" t="str">
        <f>IF(NOT(ISBLANK(Audit[[#This Row],[Audit Candidate 11]])), Audit[[#This Row],[Audit Candidate 11]]-Audit[[#This Row],[Candidate 11]], "")</f>
        <v/>
      </c>
      <c r="AP407" s="18" t="str">
        <f>IF(NOT(ISBLANK(Audit[[#This Row],[Audit Candidate 12]])), Audit[[#This Row],[Audit Candidate 12]]-Audit[[#This Row],[Candidate 12]], "")</f>
        <v/>
      </c>
      <c r="AQ407" s="18">
        <f>SUMIF(Audit[[#This Row],[Difference Winner]:[Difference Candidate 12]], "&gt;0")</f>
        <v>0</v>
      </c>
      <c r="AR407" s="18">
        <f>SUM(Audit[[#This Row],[Difference Winner]:[Difference Candidate 12]])</f>
        <v>0</v>
      </c>
      <c r="AS407" s="18">
        <f>IF(Audit[[#This Row],[Times p Drawn - With Replacement]]&gt;0, IF(Audit[[#This Row],[Canceled Differences]]&lt;0, Audit[[#This Row],[Max Differences]]+ABS(Audit[[#This Row],[Canceled Differences]]), Audit[[#This Row],[Max Differences]]), 0)</f>
        <v>0</v>
      </c>
      <c r="AT407" s="18">
        <f>'Sampling Data'!AB407</f>
        <v>0</v>
      </c>
      <c r="AU407" s="18">
        <f>IF(
      SUM(Audit[[#This Row],[Audit Losing Candidate]:[Audit Candidate 12]])
      &lt;&gt;0,
      (Audit[[#This Row],[Winning Candidate]]-Audit[[#This Row],[Losing Candidate]]-(Audit[[#This Row],[Audit Winning Candidate]]-Audit[[#This Row],[Audit Losing Candidate]]))/(Audit[[#Totals],[Winning Candidate]]-Audit[[#Totals],[Losing Candidate]]),
      0
)</f>
        <v>0</v>
      </c>
      <c r="AV4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8">
        <f>IF(Audit[[#This Row],[Max Relative Error (ep)]] = 0, 0, Audit[[#This Row],[Max Relative Error (ep)]]/Audit[[#This Row],[Error Bound (up) - Max. possible relative overstatement]])</f>
        <v>0</v>
      </c>
      <c r="BH4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7" s="18">
        <f t="shared" si="7"/>
        <v>1</v>
      </c>
      <c r="BJ407" s="18">
        <f>PRODUCT($BI$5:BI407)</f>
        <v>0.32656797278968008</v>
      </c>
      <c r="BK407" s="20">
        <f>1 - Audit[[#This Row],[K-M P Value]]</f>
        <v>0.67343202721031992</v>
      </c>
      <c r="BL407" s="18" t="str">
        <f>IF(Audit[[#This Row],[K-M P Value]]&gt;1-'General Info'!$B$12,"Continue", "Stop")</f>
        <v>Continue</v>
      </c>
      <c r="BM407" s="23" t="b">
        <f>IF(Audit[[#This Row],[Status - Continue or stop audit]] = "Continue", TRUE, IF(BL406 = "Continue", TRUE, FALSE))</f>
        <v>1</v>
      </c>
      <c r="BN407" s="23"/>
    </row>
    <row r="408" spans="1:66" ht="15" hidden="1" customHeight="1" x14ac:dyDescent="0.35">
      <c r="A408" s="18" t="str">
        <f>'Sampling Data'!AI408</f>
        <v/>
      </c>
      <c r="B408" s="18" t="str">
        <f>'Sampling Data'!A408</f>
        <v>6507 DELHI G   (AV)</v>
      </c>
      <c r="C408" s="18">
        <f>'Sampling Data'!B408</f>
        <v>26</v>
      </c>
      <c r="D408" s="18">
        <f>'Sampling Data'!C408</f>
        <v>3</v>
      </c>
      <c r="E408" s="19">
        <f>'Sampling Data'!D408</f>
        <v>0</v>
      </c>
      <c r="F408" s="19">
        <f>'Sampling Data'!E408</f>
        <v>0</v>
      </c>
      <c r="G408" s="19">
        <f>'Sampling Data'!F408</f>
        <v>0</v>
      </c>
      <c r="H408" s="19">
        <f>'Sampling Data'!G408</f>
        <v>0</v>
      </c>
      <c r="I408" s="19">
        <f>'Sampling Data'!H408</f>
        <v>0</v>
      </c>
      <c r="J408" s="19">
        <f>'Sampling Data'!I408</f>
        <v>0</v>
      </c>
      <c r="K408" s="19">
        <f>'Sampling Data'!J408</f>
        <v>0</v>
      </c>
      <c r="L408" s="19">
        <f>'Sampling Data'!K408</f>
        <v>0</v>
      </c>
      <c r="M408" s="19">
        <f>'Sampling Data'!L408</f>
        <v>0</v>
      </c>
      <c r="N408" s="19">
        <f>'Sampling Data'!M408</f>
        <v>0</v>
      </c>
      <c r="O408" s="18">
        <f>'Sampling Data'!N408</f>
        <v>0</v>
      </c>
      <c r="P408" s="18">
        <f>'Sampling Data'!O408</f>
        <v>2</v>
      </c>
      <c r="Q408" s="18">
        <f>'Sampling Data'!P408</f>
        <v>31</v>
      </c>
      <c r="R408" s="18">
        <f>'Sampling Data'!AJ408</f>
        <v>0</v>
      </c>
      <c r="S408" s="112"/>
      <c r="T408" s="112"/>
      <c r="U408" s="113"/>
      <c r="V408" s="113"/>
      <c r="W408" s="112"/>
      <c r="X408" s="112"/>
      <c r="Y408" s="112"/>
      <c r="Z408" s="112"/>
      <c r="AA408" s="15"/>
      <c r="AB408" s="15"/>
      <c r="AC408" s="15"/>
      <c r="AD408" s="15"/>
      <c r="AE408" s="114" t="str">
        <f>IF(NOT(ISBLANK(Audit[[#This Row],[Audit Winning Candidate]])), Audit[[#This Row],[Audit Winning Candidate]]-Audit[[#This Row],[Winning Candidate]], "")</f>
        <v/>
      </c>
      <c r="AF408" s="18" t="str">
        <f>IF(NOT(ISBLANK(Audit[[#This Row],[Audit Losing Candidate]])), Audit[[#This Row],[Audit Losing Candidate]]-Audit[[#This Row],[Losing Candidate]], "")</f>
        <v/>
      </c>
      <c r="AG408" s="18" t="str">
        <f>IF(NOT(ISBLANK(Audit[[#This Row],[Audit Candidate 3]])), Audit[[#This Row],[Audit Candidate 3]]-Audit[[#This Row],[Candidate 3]], "")</f>
        <v/>
      </c>
      <c r="AH408" s="18" t="str">
        <f>IF(NOT(ISBLANK(Audit[[#This Row],[Audit Candidate 4]])),Audit[[#This Row],[Audit Candidate 4]]-Audit[[#This Row],[Candidate 4]], "")</f>
        <v/>
      </c>
      <c r="AI408" s="18" t="str">
        <f>IF(NOT(ISBLANK(Audit[[#This Row],[Audit Candidate 5]])), Audit[[#This Row],[Audit Candidate 5]]-Audit[[#This Row],[Candidate 5]], "")</f>
        <v/>
      </c>
      <c r="AJ408" s="18" t="str">
        <f>IF(NOT(ISBLANK(Audit[[#This Row],[Audit Candidate 6]])), Audit[[#This Row],[Audit Candidate 6]]-Audit[[#This Row],[Candidate 6]], "")</f>
        <v/>
      </c>
      <c r="AK408" s="18" t="str">
        <f>IF(NOT(ISBLANK(Audit[[#This Row],[Audit Candidate 7]])), Audit[[#This Row],[Audit Candidate 7]]-Audit[[#This Row],[Candidate 7]], "")</f>
        <v/>
      </c>
      <c r="AL408" s="18" t="str">
        <f>IF(NOT(ISBLANK(Audit[[#This Row],[Audit Candidate 8]])), Audit[[#This Row],[Audit Candidate 8]]-Audit[[#This Row],[Candidate 8]], "")</f>
        <v/>
      </c>
      <c r="AM408" s="18" t="str">
        <f>IF(NOT(ISBLANK(Audit[[#This Row],[Audit Candidate 9]])), Audit[[#This Row],[Audit Candidate 9]]-Audit[[#This Row],[Candidate 9]], "")</f>
        <v/>
      </c>
      <c r="AN408" s="18" t="str">
        <f>IF(NOT(ISBLANK(Audit[[#This Row],[Audit Candidate 10]])), Audit[[#This Row],[Audit Candidate 10]]-Audit[[#This Row],[Candidate 10]], "")</f>
        <v/>
      </c>
      <c r="AO408" s="18" t="str">
        <f>IF(NOT(ISBLANK(Audit[[#This Row],[Audit Candidate 11]])), Audit[[#This Row],[Audit Candidate 11]]-Audit[[#This Row],[Candidate 11]], "")</f>
        <v/>
      </c>
      <c r="AP408" s="18" t="str">
        <f>IF(NOT(ISBLANK(Audit[[#This Row],[Audit Candidate 12]])), Audit[[#This Row],[Audit Candidate 12]]-Audit[[#This Row],[Candidate 12]], "")</f>
        <v/>
      </c>
      <c r="AQ408" s="18">
        <f>SUMIF(Audit[[#This Row],[Difference Winner]:[Difference Candidate 12]], "&gt;0")</f>
        <v>0</v>
      </c>
      <c r="AR408" s="18">
        <f>SUM(Audit[[#This Row],[Difference Winner]:[Difference Candidate 12]])</f>
        <v>0</v>
      </c>
      <c r="AS408" s="18">
        <f>IF(Audit[[#This Row],[Times p Drawn - With Replacement]]&gt;0, IF(Audit[[#This Row],[Canceled Differences]]&lt;0, Audit[[#This Row],[Max Differences]]+ABS(Audit[[#This Row],[Canceled Differences]]), Audit[[#This Row],[Max Differences]]), 0)</f>
        <v>0</v>
      </c>
      <c r="AT408" s="18">
        <f>'Sampling Data'!AB408</f>
        <v>1.6961397116562491E-3</v>
      </c>
      <c r="AU408" s="18">
        <f>IF(
      SUM(Audit[[#This Row],[Audit Losing Candidate]:[Audit Candidate 12]])
      &lt;&gt;0,
      (Audit[[#This Row],[Winning Candidate]]-Audit[[#This Row],[Losing Candidate]]-(Audit[[#This Row],[Audit Winning Candidate]]-Audit[[#This Row],[Audit Losing Candidate]]))/(Audit[[#Totals],[Winning Candidate]]-Audit[[#Totals],[Losing Candidate]]),
      0
)</f>
        <v>0</v>
      </c>
      <c r="AV4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8">
        <f>IF(Audit[[#This Row],[Max Relative Error (ep)]] = 0, 0, Audit[[#This Row],[Max Relative Error (ep)]]/Audit[[#This Row],[Error Bound (up) - Max. possible relative overstatement]])</f>
        <v>0</v>
      </c>
      <c r="BH4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8" s="18">
        <f t="shared" si="7"/>
        <v>1</v>
      </c>
      <c r="BJ408" s="18">
        <f>PRODUCT($BI$5:BI408)</f>
        <v>0.32656797278968008</v>
      </c>
      <c r="BK408" s="20">
        <f>1 - Audit[[#This Row],[K-M P Value]]</f>
        <v>0.67343202721031992</v>
      </c>
      <c r="BL408" s="18" t="str">
        <f>IF(Audit[[#This Row],[K-M P Value]]&gt;1-'General Info'!$B$12,"Continue", "Stop")</f>
        <v>Continue</v>
      </c>
      <c r="BM408" s="23" t="b">
        <f>IF(Audit[[#This Row],[Status - Continue or stop audit]] = "Continue", TRUE, IF(BL407 = "Continue", TRUE, FALSE))</f>
        <v>1</v>
      </c>
      <c r="BN408" s="23"/>
    </row>
    <row r="409" spans="1:66" ht="15" hidden="1" customHeight="1" x14ac:dyDescent="0.35">
      <c r="A409" s="18" t="str">
        <f>'Sampling Data'!AI409</f>
        <v/>
      </c>
      <c r="B409" s="18" t="str">
        <f>'Sampling Data'!A409</f>
        <v>6508 DELHI H   (AV)</v>
      </c>
      <c r="C409" s="18">
        <f>'Sampling Data'!B409</f>
        <v>16</v>
      </c>
      <c r="D409" s="18">
        <f>'Sampling Data'!C409</f>
        <v>0</v>
      </c>
      <c r="E409" s="19">
        <f>'Sampling Data'!D409</f>
        <v>0</v>
      </c>
      <c r="F409" s="19">
        <f>'Sampling Data'!E409</f>
        <v>0</v>
      </c>
      <c r="G409" s="19">
        <f>'Sampling Data'!F409</f>
        <v>0</v>
      </c>
      <c r="H409" s="19">
        <f>'Sampling Data'!G409</f>
        <v>0</v>
      </c>
      <c r="I409" s="19">
        <f>'Sampling Data'!H409</f>
        <v>0</v>
      </c>
      <c r="J409" s="19">
        <f>'Sampling Data'!I409</f>
        <v>0</v>
      </c>
      <c r="K409" s="19">
        <f>'Sampling Data'!J409</f>
        <v>0</v>
      </c>
      <c r="L409" s="19">
        <f>'Sampling Data'!K409</f>
        <v>0</v>
      </c>
      <c r="M409" s="19">
        <f>'Sampling Data'!L409</f>
        <v>0</v>
      </c>
      <c r="N409" s="19">
        <f>'Sampling Data'!M409</f>
        <v>0</v>
      </c>
      <c r="O409" s="18">
        <f>'Sampling Data'!N409</f>
        <v>0</v>
      </c>
      <c r="P409" s="18">
        <f>'Sampling Data'!O409</f>
        <v>0</v>
      </c>
      <c r="Q409" s="18">
        <f>'Sampling Data'!P409</f>
        <v>16</v>
      </c>
      <c r="R409" s="18">
        <f>'Sampling Data'!AJ409</f>
        <v>0</v>
      </c>
      <c r="S409" s="112"/>
      <c r="T409" s="112"/>
      <c r="U409" s="113"/>
      <c r="V409" s="113"/>
      <c r="W409" s="112"/>
      <c r="X409" s="112"/>
      <c r="Y409" s="112"/>
      <c r="Z409" s="112"/>
      <c r="AA409" s="15"/>
      <c r="AB409" s="15"/>
      <c r="AC409" s="15"/>
      <c r="AD409" s="15"/>
      <c r="AE409" s="114" t="str">
        <f>IF(NOT(ISBLANK(Audit[[#This Row],[Audit Winning Candidate]])), Audit[[#This Row],[Audit Winning Candidate]]-Audit[[#This Row],[Winning Candidate]], "")</f>
        <v/>
      </c>
      <c r="AF409" s="18" t="str">
        <f>IF(NOT(ISBLANK(Audit[[#This Row],[Audit Losing Candidate]])), Audit[[#This Row],[Audit Losing Candidate]]-Audit[[#This Row],[Losing Candidate]], "")</f>
        <v/>
      </c>
      <c r="AG409" s="18" t="str">
        <f>IF(NOT(ISBLANK(Audit[[#This Row],[Audit Candidate 3]])), Audit[[#This Row],[Audit Candidate 3]]-Audit[[#This Row],[Candidate 3]], "")</f>
        <v/>
      </c>
      <c r="AH409" s="18" t="str">
        <f>IF(NOT(ISBLANK(Audit[[#This Row],[Audit Candidate 4]])),Audit[[#This Row],[Audit Candidate 4]]-Audit[[#This Row],[Candidate 4]], "")</f>
        <v/>
      </c>
      <c r="AI409" s="18" t="str">
        <f>IF(NOT(ISBLANK(Audit[[#This Row],[Audit Candidate 5]])), Audit[[#This Row],[Audit Candidate 5]]-Audit[[#This Row],[Candidate 5]], "")</f>
        <v/>
      </c>
      <c r="AJ409" s="18" t="str">
        <f>IF(NOT(ISBLANK(Audit[[#This Row],[Audit Candidate 6]])), Audit[[#This Row],[Audit Candidate 6]]-Audit[[#This Row],[Candidate 6]], "")</f>
        <v/>
      </c>
      <c r="AK409" s="18" t="str">
        <f>IF(NOT(ISBLANK(Audit[[#This Row],[Audit Candidate 7]])), Audit[[#This Row],[Audit Candidate 7]]-Audit[[#This Row],[Candidate 7]], "")</f>
        <v/>
      </c>
      <c r="AL409" s="18" t="str">
        <f>IF(NOT(ISBLANK(Audit[[#This Row],[Audit Candidate 8]])), Audit[[#This Row],[Audit Candidate 8]]-Audit[[#This Row],[Candidate 8]], "")</f>
        <v/>
      </c>
      <c r="AM409" s="18" t="str">
        <f>IF(NOT(ISBLANK(Audit[[#This Row],[Audit Candidate 9]])), Audit[[#This Row],[Audit Candidate 9]]-Audit[[#This Row],[Candidate 9]], "")</f>
        <v/>
      </c>
      <c r="AN409" s="18" t="str">
        <f>IF(NOT(ISBLANK(Audit[[#This Row],[Audit Candidate 10]])), Audit[[#This Row],[Audit Candidate 10]]-Audit[[#This Row],[Candidate 10]], "")</f>
        <v/>
      </c>
      <c r="AO409" s="18" t="str">
        <f>IF(NOT(ISBLANK(Audit[[#This Row],[Audit Candidate 11]])), Audit[[#This Row],[Audit Candidate 11]]-Audit[[#This Row],[Candidate 11]], "")</f>
        <v/>
      </c>
      <c r="AP409" s="18" t="str">
        <f>IF(NOT(ISBLANK(Audit[[#This Row],[Audit Candidate 12]])), Audit[[#This Row],[Audit Candidate 12]]-Audit[[#This Row],[Candidate 12]], "")</f>
        <v/>
      </c>
      <c r="AQ409" s="18">
        <f>SUMIF(Audit[[#This Row],[Difference Winner]:[Difference Candidate 12]], "&gt;0")</f>
        <v>0</v>
      </c>
      <c r="AR409" s="18">
        <f>SUM(Audit[[#This Row],[Difference Winner]:[Difference Candidate 12]])</f>
        <v>0</v>
      </c>
      <c r="AS409" s="18">
        <f>IF(Audit[[#This Row],[Times p Drawn - With Replacement]]&gt;0, IF(Audit[[#This Row],[Canceled Differences]]&lt;0, Audit[[#This Row],[Max Differences]]+ABS(Audit[[#This Row],[Canceled Differences]]), Audit[[#This Row],[Max Differences]]), 0)</f>
        <v>0</v>
      </c>
      <c r="AT409" s="18">
        <f>'Sampling Data'!AB409</f>
        <v>1.005119829129629E-3</v>
      </c>
      <c r="AU409" s="18">
        <f>IF(
      SUM(Audit[[#This Row],[Audit Losing Candidate]:[Audit Candidate 12]])
      &lt;&gt;0,
      (Audit[[#This Row],[Winning Candidate]]-Audit[[#This Row],[Losing Candidate]]-(Audit[[#This Row],[Audit Winning Candidate]]-Audit[[#This Row],[Audit Losing Candidate]]))/(Audit[[#Totals],[Winning Candidate]]-Audit[[#Totals],[Losing Candidate]]),
      0
)</f>
        <v>0</v>
      </c>
      <c r="AV4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8">
        <f>IF(Audit[[#This Row],[Max Relative Error (ep)]] = 0, 0, Audit[[#This Row],[Max Relative Error (ep)]]/Audit[[#This Row],[Error Bound (up) - Max. possible relative overstatement]])</f>
        <v>0</v>
      </c>
      <c r="BH4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09" s="18">
        <f t="shared" si="7"/>
        <v>1</v>
      </c>
      <c r="BJ409" s="18">
        <f>PRODUCT($BI$5:BI409)</f>
        <v>0.32656797278968008</v>
      </c>
      <c r="BK409" s="20">
        <f>1 - Audit[[#This Row],[K-M P Value]]</f>
        <v>0.67343202721031992</v>
      </c>
      <c r="BL409" s="18" t="str">
        <f>IF(Audit[[#This Row],[K-M P Value]]&gt;1-'General Info'!$B$12,"Continue", "Stop")</f>
        <v>Continue</v>
      </c>
      <c r="BM409" s="23" t="b">
        <f>IF(Audit[[#This Row],[Status - Continue or stop audit]] = "Continue", TRUE, IF(BL408 = "Continue", TRUE, FALSE))</f>
        <v>1</v>
      </c>
      <c r="BN409" s="23"/>
    </row>
    <row r="410" spans="1:66" ht="15" hidden="1" customHeight="1" x14ac:dyDescent="0.35">
      <c r="A410" s="18" t="str">
        <f>'Sampling Data'!AI410</f>
        <v/>
      </c>
      <c r="B410" s="18" t="str">
        <f>'Sampling Data'!A410</f>
        <v>6509 DELHI I   (AV)</v>
      </c>
      <c r="C410" s="18">
        <f>'Sampling Data'!B410</f>
        <v>5</v>
      </c>
      <c r="D410" s="18">
        <f>'Sampling Data'!C410</f>
        <v>1</v>
      </c>
      <c r="E410" s="19">
        <f>'Sampling Data'!D410</f>
        <v>0</v>
      </c>
      <c r="F410" s="19">
        <f>'Sampling Data'!E410</f>
        <v>0</v>
      </c>
      <c r="G410" s="19">
        <f>'Sampling Data'!F410</f>
        <v>0</v>
      </c>
      <c r="H410" s="19">
        <f>'Sampling Data'!G410</f>
        <v>0</v>
      </c>
      <c r="I410" s="19">
        <f>'Sampling Data'!H410</f>
        <v>0</v>
      </c>
      <c r="J410" s="19">
        <f>'Sampling Data'!I410</f>
        <v>0</v>
      </c>
      <c r="K410" s="19">
        <f>'Sampling Data'!J410</f>
        <v>0</v>
      </c>
      <c r="L410" s="19">
        <f>'Sampling Data'!K410</f>
        <v>0</v>
      </c>
      <c r="M410" s="19">
        <f>'Sampling Data'!L410</f>
        <v>0</v>
      </c>
      <c r="N410" s="19">
        <f>'Sampling Data'!M410</f>
        <v>0</v>
      </c>
      <c r="O410" s="18">
        <f>'Sampling Data'!N410</f>
        <v>0</v>
      </c>
      <c r="P410" s="18">
        <f>'Sampling Data'!O410</f>
        <v>0</v>
      </c>
      <c r="Q410" s="18">
        <f>'Sampling Data'!P410</f>
        <v>6</v>
      </c>
      <c r="R410" s="18">
        <f>'Sampling Data'!AJ410</f>
        <v>0</v>
      </c>
      <c r="S410" s="112"/>
      <c r="T410" s="112"/>
      <c r="U410" s="113"/>
      <c r="V410" s="113"/>
      <c r="W410" s="112"/>
      <c r="X410" s="112"/>
      <c r="Y410" s="112"/>
      <c r="Z410" s="112"/>
      <c r="AA410" s="15"/>
      <c r="AB410" s="15"/>
      <c r="AC410" s="15"/>
      <c r="AD410" s="15"/>
      <c r="AE410" s="114" t="str">
        <f>IF(NOT(ISBLANK(Audit[[#This Row],[Audit Winning Candidate]])), Audit[[#This Row],[Audit Winning Candidate]]-Audit[[#This Row],[Winning Candidate]], "")</f>
        <v/>
      </c>
      <c r="AF410" s="18" t="str">
        <f>IF(NOT(ISBLANK(Audit[[#This Row],[Audit Losing Candidate]])), Audit[[#This Row],[Audit Losing Candidate]]-Audit[[#This Row],[Losing Candidate]], "")</f>
        <v/>
      </c>
      <c r="AG410" s="18" t="str">
        <f>IF(NOT(ISBLANK(Audit[[#This Row],[Audit Candidate 3]])), Audit[[#This Row],[Audit Candidate 3]]-Audit[[#This Row],[Candidate 3]], "")</f>
        <v/>
      </c>
      <c r="AH410" s="18" t="str">
        <f>IF(NOT(ISBLANK(Audit[[#This Row],[Audit Candidate 4]])),Audit[[#This Row],[Audit Candidate 4]]-Audit[[#This Row],[Candidate 4]], "")</f>
        <v/>
      </c>
      <c r="AI410" s="18" t="str">
        <f>IF(NOT(ISBLANK(Audit[[#This Row],[Audit Candidate 5]])), Audit[[#This Row],[Audit Candidate 5]]-Audit[[#This Row],[Candidate 5]], "")</f>
        <v/>
      </c>
      <c r="AJ410" s="18" t="str">
        <f>IF(NOT(ISBLANK(Audit[[#This Row],[Audit Candidate 6]])), Audit[[#This Row],[Audit Candidate 6]]-Audit[[#This Row],[Candidate 6]], "")</f>
        <v/>
      </c>
      <c r="AK410" s="18" t="str">
        <f>IF(NOT(ISBLANK(Audit[[#This Row],[Audit Candidate 7]])), Audit[[#This Row],[Audit Candidate 7]]-Audit[[#This Row],[Candidate 7]], "")</f>
        <v/>
      </c>
      <c r="AL410" s="18" t="str">
        <f>IF(NOT(ISBLANK(Audit[[#This Row],[Audit Candidate 8]])), Audit[[#This Row],[Audit Candidate 8]]-Audit[[#This Row],[Candidate 8]], "")</f>
        <v/>
      </c>
      <c r="AM410" s="18" t="str">
        <f>IF(NOT(ISBLANK(Audit[[#This Row],[Audit Candidate 9]])), Audit[[#This Row],[Audit Candidate 9]]-Audit[[#This Row],[Candidate 9]], "")</f>
        <v/>
      </c>
      <c r="AN410" s="18" t="str">
        <f>IF(NOT(ISBLANK(Audit[[#This Row],[Audit Candidate 10]])), Audit[[#This Row],[Audit Candidate 10]]-Audit[[#This Row],[Candidate 10]], "")</f>
        <v/>
      </c>
      <c r="AO410" s="18" t="str">
        <f>IF(NOT(ISBLANK(Audit[[#This Row],[Audit Candidate 11]])), Audit[[#This Row],[Audit Candidate 11]]-Audit[[#This Row],[Candidate 11]], "")</f>
        <v/>
      </c>
      <c r="AP410" s="18" t="str">
        <f>IF(NOT(ISBLANK(Audit[[#This Row],[Audit Candidate 12]])), Audit[[#This Row],[Audit Candidate 12]]-Audit[[#This Row],[Candidate 12]], "")</f>
        <v/>
      </c>
      <c r="AQ410" s="18">
        <f>SUMIF(Audit[[#This Row],[Difference Winner]:[Difference Candidate 12]], "&gt;0")</f>
        <v>0</v>
      </c>
      <c r="AR410" s="18">
        <f>SUM(Audit[[#This Row],[Difference Winner]:[Difference Candidate 12]])</f>
        <v>0</v>
      </c>
      <c r="AS410" s="18">
        <f>IF(Audit[[#This Row],[Times p Drawn - With Replacement]]&gt;0, IF(Audit[[#This Row],[Canceled Differences]]&lt;0, Audit[[#This Row],[Max Differences]]+ABS(Audit[[#This Row],[Canceled Differences]]), Audit[[#This Row],[Max Differences]]), 0)</f>
        <v>0</v>
      </c>
      <c r="AT410" s="18">
        <f>'Sampling Data'!AB410</f>
        <v>3.1409994660300906E-4</v>
      </c>
      <c r="AU410" s="18">
        <f>IF(
      SUM(Audit[[#This Row],[Audit Losing Candidate]:[Audit Candidate 12]])
      &lt;&gt;0,
      (Audit[[#This Row],[Winning Candidate]]-Audit[[#This Row],[Losing Candidate]]-(Audit[[#This Row],[Audit Winning Candidate]]-Audit[[#This Row],[Audit Losing Candidate]]))/(Audit[[#Totals],[Winning Candidate]]-Audit[[#Totals],[Losing Candidate]]),
      0
)</f>
        <v>0</v>
      </c>
      <c r="AV4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8">
        <f>IF(Audit[[#This Row],[Max Relative Error (ep)]] = 0, 0, Audit[[#This Row],[Max Relative Error (ep)]]/Audit[[#This Row],[Error Bound (up) - Max. possible relative overstatement]])</f>
        <v>0</v>
      </c>
      <c r="BH4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0" s="18">
        <f t="shared" si="7"/>
        <v>1</v>
      </c>
      <c r="BJ410" s="18">
        <f>PRODUCT($BI$5:BI410)</f>
        <v>0.32656797278968008</v>
      </c>
      <c r="BK410" s="20">
        <f>1 - Audit[[#This Row],[K-M P Value]]</f>
        <v>0.67343202721031992</v>
      </c>
      <c r="BL410" s="18" t="str">
        <f>IF(Audit[[#This Row],[K-M P Value]]&gt;1-'General Info'!$B$12,"Continue", "Stop")</f>
        <v>Continue</v>
      </c>
      <c r="BM410" s="23" t="b">
        <f>IF(Audit[[#This Row],[Status - Continue or stop audit]] = "Continue", TRUE, IF(BL409 = "Continue", TRUE, FALSE))</f>
        <v>1</v>
      </c>
      <c r="BN410" s="23"/>
    </row>
    <row r="411" spans="1:66" ht="15" hidden="1" customHeight="1" x14ac:dyDescent="0.35">
      <c r="A411" s="18" t="str">
        <f>'Sampling Data'!AI411</f>
        <v/>
      </c>
      <c r="B411" s="18" t="str">
        <f>'Sampling Data'!A411</f>
        <v>6510 DELHI J   (AV)</v>
      </c>
      <c r="C411" s="18">
        <f>'Sampling Data'!B411</f>
        <v>5</v>
      </c>
      <c r="D411" s="18">
        <f>'Sampling Data'!C411</f>
        <v>2</v>
      </c>
      <c r="E411" s="19">
        <f>'Sampling Data'!D411</f>
        <v>0</v>
      </c>
      <c r="F411" s="19">
        <f>'Sampling Data'!E411</f>
        <v>0</v>
      </c>
      <c r="G411" s="19">
        <f>'Sampling Data'!F411</f>
        <v>0</v>
      </c>
      <c r="H411" s="19">
        <f>'Sampling Data'!G411</f>
        <v>0</v>
      </c>
      <c r="I411" s="19">
        <f>'Sampling Data'!H411</f>
        <v>0</v>
      </c>
      <c r="J411" s="19">
        <f>'Sampling Data'!I411</f>
        <v>0</v>
      </c>
      <c r="K411" s="19">
        <f>'Sampling Data'!J411</f>
        <v>0</v>
      </c>
      <c r="L411" s="19">
        <f>'Sampling Data'!K411</f>
        <v>0</v>
      </c>
      <c r="M411" s="19">
        <f>'Sampling Data'!L411</f>
        <v>0</v>
      </c>
      <c r="N411" s="19">
        <f>'Sampling Data'!M411</f>
        <v>0</v>
      </c>
      <c r="O411" s="18">
        <f>'Sampling Data'!N411</f>
        <v>0</v>
      </c>
      <c r="P411" s="18">
        <f>'Sampling Data'!O411</f>
        <v>0</v>
      </c>
      <c r="Q411" s="18">
        <f>'Sampling Data'!P411</f>
        <v>7</v>
      </c>
      <c r="R411" s="18">
        <f>'Sampling Data'!AJ411</f>
        <v>0</v>
      </c>
      <c r="S411" s="112"/>
      <c r="T411" s="112"/>
      <c r="U411" s="113"/>
      <c r="V411" s="113"/>
      <c r="W411" s="112"/>
      <c r="X411" s="112"/>
      <c r="Y411" s="112"/>
      <c r="Z411" s="112"/>
      <c r="AA411" s="15"/>
      <c r="AB411" s="15"/>
      <c r="AC411" s="15"/>
      <c r="AD411" s="15"/>
      <c r="AE411" s="114" t="str">
        <f>IF(NOT(ISBLANK(Audit[[#This Row],[Audit Winning Candidate]])), Audit[[#This Row],[Audit Winning Candidate]]-Audit[[#This Row],[Winning Candidate]], "")</f>
        <v/>
      </c>
      <c r="AF411" s="18" t="str">
        <f>IF(NOT(ISBLANK(Audit[[#This Row],[Audit Losing Candidate]])), Audit[[#This Row],[Audit Losing Candidate]]-Audit[[#This Row],[Losing Candidate]], "")</f>
        <v/>
      </c>
      <c r="AG411" s="18" t="str">
        <f>IF(NOT(ISBLANK(Audit[[#This Row],[Audit Candidate 3]])), Audit[[#This Row],[Audit Candidate 3]]-Audit[[#This Row],[Candidate 3]], "")</f>
        <v/>
      </c>
      <c r="AH411" s="18" t="str">
        <f>IF(NOT(ISBLANK(Audit[[#This Row],[Audit Candidate 4]])),Audit[[#This Row],[Audit Candidate 4]]-Audit[[#This Row],[Candidate 4]], "")</f>
        <v/>
      </c>
      <c r="AI411" s="18" t="str">
        <f>IF(NOT(ISBLANK(Audit[[#This Row],[Audit Candidate 5]])), Audit[[#This Row],[Audit Candidate 5]]-Audit[[#This Row],[Candidate 5]], "")</f>
        <v/>
      </c>
      <c r="AJ411" s="18" t="str">
        <f>IF(NOT(ISBLANK(Audit[[#This Row],[Audit Candidate 6]])), Audit[[#This Row],[Audit Candidate 6]]-Audit[[#This Row],[Candidate 6]], "")</f>
        <v/>
      </c>
      <c r="AK411" s="18" t="str">
        <f>IF(NOT(ISBLANK(Audit[[#This Row],[Audit Candidate 7]])), Audit[[#This Row],[Audit Candidate 7]]-Audit[[#This Row],[Candidate 7]], "")</f>
        <v/>
      </c>
      <c r="AL411" s="18" t="str">
        <f>IF(NOT(ISBLANK(Audit[[#This Row],[Audit Candidate 8]])), Audit[[#This Row],[Audit Candidate 8]]-Audit[[#This Row],[Candidate 8]], "")</f>
        <v/>
      </c>
      <c r="AM411" s="18" t="str">
        <f>IF(NOT(ISBLANK(Audit[[#This Row],[Audit Candidate 9]])), Audit[[#This Row],[Audit Candidate 9]]-Audit[[#This Row],[Candidate 9]], "")</f>
        <v/>
      </c>
      <c r="AN411" s="18" t="str">
        <f>IF(NOT(ISBLANK(Audit[[#This Row],[Audit Candidate 10]])), Audit[[#This Row],[Audit Candidate 10]]-Audit[[#This Row],[Candidate 10]], "")</f>
        <v/>
      </c>
      <c r="AO411" s="18" t="str">
        <f>IF(NOT(ISBLANK(Audit[[#This Row],[Audit Candidate 11]])), Audit[[#This Row],[Audit Candidate 11]]-Audit[[#This Row],[Candidate 11]], "")</f>
        <v/>
      </c>
      <c r="AP411" s="18" t="str">
        <f>IF(NOT(ISBLANK(Audit[[#This Row],[Audit Candidate 12]])), Audit[[#This Row],[Audit Candidate 12]]-Audit[[#This Row],[Candidate 12]], "")</f>
        <v/>
      </c>
      <c r="AQ411" s="18">
        <f>SUMIF(Audit[[#This Row],[Difference Winner]:[Difference Candidate 12]], "&gt;0")</f>
        <v>0</v>
      </c>
      <c r="AR411" s="18">
        <f>SUM(Audit[[#This Row],[Difference Winner]:[Difference Candidate 12]])</f>
        <v>0</v>
      </c>
      <c r="AS411" s="18">
        <f>IF(Audit[[#This Row],[Times p Drawn - With Replacement]]&gt;0, IF(Audit[[#This Row],[Canceled Differences]]&lt;0, Audit[[#This Row],[Max Differences]]+ABS(Audit[[#This Row],[Canceled Differences]]), Audit[[#This Row],[Max Differences]]), 0)</f>
        <v>0</v>
      </c>
      <c r="AT411" s="18">
        <f>'Sampling Data'!AB411</f>
        <v>3.1409994660300906E-4</v>
      </c>
      <c r="AU411" s="18">
        <f>IF(
      SUM(Audit[[#This Row],[Audit Losing Candidate]:[Audit Candidate 12]])
      &lt;&gt;0,
      (Audit[[#This Row],[Winning Candidate]]-Audit[[#This Row],[Losing Candidate]]-(Audit[[#This Row],[Audit Winning Candidate]]-Audit[[#This Row],[Audit Losing Candidate]]))/(Audit[[#Totals],[Winning Candidate]]-Audit[[#Totals],[Losing Candidate]]),
      0
)</f>
        <v>0</v>
      </c>
      <c r="AV4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8">
        <f>IF(Audit[[#This Row],[Max Relative Error (ep)]] = 0, 0, Audit[[#This Row],[Max Relative Error (ep)]]/Audit[[#This Row],[Error Bound (up) - Max. possible relative overstatement]])</f>
        <v>0</v>
      </c>
      <c r="BH4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1" s="18">
        <f t="shared" si="7"/>
        <v>1</v>
      </c>
      <c r="BJ411" s="18">
        <f>PRODUCT($BI$5:BI411)</f>
        <v>0.32656797278968008</v>
      </c>
      <c r="BK411" s="20">
        <f>1 - Audit[[#This Row],[K-M P Value]]</f>
        <v>0.67343202721031992</v>
      </c>
      <c r="BL411" s="18" t="str">
        <f>IF(Audit[[#This Row],[K-M P Value]]&gt;1-'General Info'!$B$12,"Continue", "Stop")</f>
        <v>Continue</v>
      </c>
      <c r="BM411" s="23" t="b">
        <f>IF(Audit[[#This Row],[Status - Continue or stop audit]] = "Continue", TRUE, IF(BL410 = "Continue", TRUE, FALSE))</f>
        <v>1</v>
      </c>
      <c r="BN411" s="23"/>
    </row>
    <row r="412" spans="1:66" ht="15" hidden="1" customHeight="1" x14ac:dyDescent="0.35">
      <c r="A412" s="18" t="str">
        <f>'Sampling Data'!AI412</f>
        <v/>
      </c>
      <c r="B412" s="18" t="str">
        <f>'Sampling Data'!A412</f>
        <v>6511 DELHI K   (AV)</v>
      </c>
      <c r="C412" s="18">
        <f>'Sampling Data'!B412</f>
        <v>9</v>
      </c>
      <c r="D412" s="18">
        <f>'Sampling Data'!C412</f>
        <v>2</v>
      </c>
      <c r="E412" s="19">
        <f>'Sampling Data'!D412</f>
        <v>0</v>
      </c>
      <c r="F412" s="19">
        <f>'Sampling Data'!E412</f>
        <v>0</v>
      </c>
      <c r="G412" s="19">
        <f>'Sampling Data'!F412</f>
        <v>0</v>
      </c>
      <c r="H412" s="19">
        <f>'Sampling Data'!G412</f>
        <v>0</v>
      </c>
      <c r="I412" s="19">
        <f>'Sampling Data'!H412</f>
        <v>0</v>
      </c>
      <c r="J412" s="19">
        <f>'Sampling Data'!I412</f>
        <v>0</v>
      </c>
      <c r="K412" s="19">
        <f>'Sampling Data'!J412</f>
        <v>0</v>
      </c>
      <c r="L412" s="19">
        <f>'Sampling Data'!K412</f>
        <v>0</v>
      </c>
      <c r="M412" s="19">
        <f>'Sampling Data'!L412</f>
        <v>0</v>
      </c>
      <c r="N412" s="19">
        <f>'Sampling Data'!M412</f>
        <v>0</v>
      </c>
      <c r="O412" s="18">
        <f>'Sampling Data'!N412</f>
        <v>0</v>
      </c>
      <c r="P412" s="18">
        <f>'Sampling Data'!O412</f>
        <v>1</v>
      </c>
      <c r="Q412" s="18">
        <f>'Sampling Data'!P412</f>
        <v>12</v>
      </c>
      <c r="R412" s="18">
        <f>'Sampling Data'!AJ412</f>
        <v>0</v>
      </c>
      <c r="S412" s="112"/>
      <c r="T412" s="112"/>
      <c r="U412" s="113"/>
      <c r="V412" s="113"/>
      <c r="W412" s="112"/>
      <c r="X412" s="112"/>
      <c r="Y412" s="112"/>
      <c r="Z412" s="112"/>
      <c r="AA412" s="15"/>
      <c r="AB412" s="15"/>
      <c r="AC412" s="15"/>
      <c r="AD412" s="15"/>
      <c r="AE412" s="114" t="str">
        <f>IF(NOT(ISBLANK(Audit[[#This Row],[Audit Winning Candidate]])), Audit[[#This Row],[Audit Winning Candidate]]-Audit[[#This Row],[Winning Candidate]], "")</f>
        <v/>
      </c>
      <c r="AF412" s="18" t="str">
        <f>IF(NOT(ISBLANK(Audit[[#This Row],[Audit Losing Candidate]])), Audit[[#This Row],[Audit Losing Candidate]]-Audit[[#This Row],[Losing Candidate]], "")</f>
        <v/>
      </c>
      <c r="AG412" s="18" t="str">
        <f>IF(NOT(ISBLANK(Audit[[#This Row],[Audit Candidate 3]])), Audit[[#This Row],[Audit Candidate 3]]-Audit[[#This Row],[Candidate 3]], "")</f>
        <v/>
      </c>
      <c r="AH412" s="18" t="str">
        <f>IF(NOT(ISBLANK(Audit[[#This Row],[Audit Candidate 4]])),Audit[[#This Row],[Audit Candidate 4]]-Audit[[#This Row],[Candidate 4]], "")</f>
        <v/>
      </c>
      <c r="AI412" s="18" t="str">
        <f>IF(NOT(ISBLANK(Audit[[#This Row],[Audit Candidate 5]])), Audit[[#This Row],[Audit Candidate 5]]-Audit[[#This Row],[Candidate 5]], "")</f>
        <v/>
      </c>
      <c r="AJ412" s="18" t="str">
        <f>IF(NOT(ISBLANK(Audit[[#This Row],[Audit Candidate 6]])), Audit[[#This Row],[Audit Candidate 6]]-Audit[[#This Row],[Candidate 6]], "")</f>
        <v/>
      </c>
      <c r="AK412" s="18" t="str">
        <f>IF(NOT(ISBLANK(Audit[[#This Row],[Audit Candidate 7]])), Audit[[#This Row],[Audit Candidate 7]]-Audit[[#This Row],[Candidate 7]], "")</f>
        <v/>
      </c>
      <c r="AL412" s="18" t="str">
        <f>IF(NOT(ISBLANK(Audit[[#This Row],[Audit Candidate 8]])), Audit[[#This Row],[Audit Candidate 8]]-Audit[[#This Row],[Candidate 8]], "")</f>
        <v/>
      </c>
      <c r="AM412" s="18" t="str">
        <f>IF(NOT(ISBLANK(Audit[[#This Row],[Audit Candidate 9]])), Audit[[#This Row],[Audit Candidate 9]]-Audit[[#This Row],[Candidate 9]], "")</f>
        <v/>
      </c>
      <c r="AN412" s="18" t="str">
        <f>IF(NOT(ISBLANK(Audit[[#This Row],[Audit Candidate 10]])), Audit[[#This Row],[Audit Candidate 10]]-Audit[[#This Row],[Candidate 10]], "")</f>
        <v/>
      </c>
      <c r="AO412" s="18" t="str">
        <f>IF(NOT(ISBLANK(Audit[[#This Row],[Audit Candidate 11]])), Audit[[#This Row],[Audit Candidate 11]]-Audit[[#This Row],[Candidate 11]], "")</f>
        <v/>
      </c>
      <c r="AP412" s="18" t="str">
        <f>IF(NOT(ISBLANK(Audit[[#This Row],[Audit Candidate 12]])), Audit[[#This Row],[Audit Candidate 12]]-Audit[[#This Row],[Candidate 12]], "")</f>
        <v/>
      </c>
      <c r="AQ412" s="18">
        <f>SUMIF(Audit[[#This Row],[Difference Winner]:[Difference Candidate 12]], "&gt;0")</f>
        <v>0</v>
      </c>
      <c r="AR412" s="18">
        <f>SUM(Audit[[#This Row],[Difference Winner]:[Difference Candidate 12]])</f>
        <v>0</v>
      </c>
      <c r="AS412" s="18">
        <f>IF(Audit[[#This Row],[Times p Drawn - With Replacement]]&gt;0, IF(Audit[[#This Row],[Canceled Differences]]&lt;0, Audit[[#This Row],[Max Differences]]+ABS(Audit[[#This Row],[Canceled Differences]]), Audit[[#This Row],[Max Differences]]), 0)</f>
        <v>0</v>
      </c>
      <c r="AT412" s="18">
        <f>'Sampling Data'!AB412</f>
        <v>5.9678989854571724E-4</v>
      </c>
      <c r="AU412" s="18">
        <f>IF(
      SUM(Audit[[#This Row],[Audit Losing Candidate]:[Audit Candidate 12]])
      &lt;&gt;0,
      (Audit[[#This Row],[Winning Candidate]]-Audit[[#This Row],[Losing Candidate]]-(Audit[[#This Row],[Audit Winning Candidate]]-Audit[[#This Row],[Audit Losing Candidate]]))/(Audit[[#Totals],[Winning Candidate]]-Audit[[#Totals],[Losing Candidate]]),
      0
)</f>
        <v>0</v>
      </c>
      <c r="AV4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8">
        <f>IF(Audit[[#This Row],[Max Relative Error (ep)]] = 0, 0, Audit[[#This Row],[Max Relative Error (ep)]]/Audit[[#This Row],[Error Bound (up) - Max. possible relative overstatement]])</f>
        <v>0</v>
      </c>
      <c r="BH4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2" s="18">
        <f t="shared" si="7"/>
        <v>1</v>
      </c>
      <c r="BJ412" s="18">
        <f>PRODUCT($BI$5:BI412)</f>
        <v>0.32656797278968008</v>
      </c>
      <c r="BK412" s="20">
        <f>1 - Audit[[#This Row],[K-M P Value]]</f>
        <v>0.67343202721031992</v>
      </c>
      <c r="BL412" s="18" t="str">
        <f>IF(Audit[[#This Row],[K-M P Value]]&gt;1-'General Info'!$B$12,"Continue", "Stop")</f>
        <v>Continue</v>
      </c>
      <c r="BM412" s="23" t="b">
        <f>IF(Audit[[#This Row],[Status - Continue or stop audit]] = "Continue", TRUE, IF(BL411 = "Continue", TRUE, FALSE))</f>
        <v>1</v>
      </c>
      <c r="BN412" s="23"/>
    </row>
    <row r="413" spans="1:66" ht="15" hidden="1" customHeight="1" x14ac:dyDescent="0.35">
      <c r="A413" s="18" t="str">
        <f>'Sampling Data'!AI413</f>
        <v/>
      </c>
      <c r="B413" s="18" t="str">
        <f>'Sampling Data'!A413</f>
        <v>6512 DELHI L   (AV)</v>
      </c>
      <c r="C413" s="18">
        <f>'Sampling Data'!B413</f>
        <v>11</v>
      </c>
      <c r="D413" s="18">
        <f>'Sampling Data'!C413</f>
        <v>1</v>
      </c>
      <c r="E413" s="19">
        <f>'Sampling Data'!D413</f>
        <v>0</v>
      </c>
      <c r="F413" s="19">
        <f>'Sampling Data'!E413</f>
        <v>0</v>
      </c>
      <c r="G413" s="19">
        <f>'Sampling Data'!F413</f>
        <v>0</v>
      </c>
      <c r="H413" s="19">
        <f>'Sampling Data'!G413</f>
        <v>0</v>
      </c>
      <c r="I413" s="19">
        <f>'Sampling Data'!H413</f>
        <v>0</v>
      </c>
      <c r="J413" s="19">
        <f>'Sampling Data'!I413</f>
        <v>0</v>
      </c>
      <c r="K413" s="19">
        <f>'Sampling Data'!J413</f>
        <v>0</v>
      </c>
      <c r="L413" s="19">
        <f>'Sampling Data'!K413</f>
        <v>0</v>
      </c>
      <c r="M413" s="19">
        <f>'Sampling Data'!L413</f>
        <v>0</v>
      </c>
      <c r="N413" s="19">
        <f>'Sampling Data'!M413</f>
        <v>0</v>
      </c>
      <c r="O413" s="18">
        <f>'Sampling Data'!N413</f>
        <v>0</v>
      </c>
      <c r="P413" s="18">
        <f>'Sampling Data'!O413</f>
        <v>2</v>
      </c>
      <c r="Q413" s="18">
        <f>'Sampling Data'!P413</f>
        <v>14</v>
      </c>
      <c r="R413" s="18">
        <f>'Sampling Data'!AJ413</f>
        <v>0</v>
      </c>
      <c r="S413" s="112"/>
      <c r="T413" s="112"/>
      <c r="U413" s="113"/>
      <c r="V413" s="113"/>
      <c r="W413" s="112"/>
      <c r="X413" s="112"/>
      <c r="Y413" s="112"/>
      <c r="Z413" s="112"/>
      <c r="AA413" s="15"/>
      <c r="AB413" s="15"/>
      <c r="AC413" s="15"/>
      <c r="AD413" s="15"/>
      <c r="AE413" s="114" t="str">
        <f>IF(NOT(ISBLANK(Audit[[#This Row],[Audit Winning Candidate]])), Audit[[#This Row],[Audit Winning Candidate]]-Audit[[#This Row],[Winning Candidate]], "")</f>
        <v/>
      </c>
      <c r="AF413" s="18" t="str">
        <f>IF(NOT(ISBLANK(Audit[[#This Row],[Audit Losing Candidate]])), Audit[[#This Row],[Audit Losing Candidate]]-Audit[[#This Row],[Losing Candidate]], "")</f>
        <v/>
      </c>
      <c r="AG413" s="18" t="str">
        <f>IF(NOT(ISBLANK(Audit[[#This Row],[Audit Candidate 3]])), Audit[[#This Row],[Audit Candidate 3]]-Audit[[#This Row],[Candidate 3]], "")</f>
        <v/>
      </c>
      <c r="AH413" s="18" t="str">
        <f>IF(NOT(ISBLANK(Audit[[#This Row],[Audit Candidate 4]])),Audit[[#This Row],[Audit Candidate 4]]-Audit[[#This Row],[Candidate 4]], "")</f>
        <v/>
      </c>
      <c r="AI413" s="18" t="str">
        <f>IF(NOT(ISBLANK(Audit[[#This Row],[Audit Candidate 5]])), Audit[[#This Row],[Audit Candidate 5]]-Audit[[#This Row],[Candidate 5]], "")</f>
        <v/>
      </c>
      <c r="AJ413" s="18" t="str">
        <f>IF(NOT(ISBLANK(Audit[[#This Row],[Audit Candidate 6]])), Audit[[#This Row],[Audit Candidate 6]]-Audit[[#This Row],[Candidate 6]], "")</f>
        <v/>
      </c>
      <c r="AK413" s="18" t="str">
        <f>IF(NOT(ISBLANK(Audit[[#This Row],[Audit Candidate 7]])), Audit[[#This Row],[Audit Candidate 7]]-Audit[[#This Row],[Candidate 7]], "")</f>
        <v/>
      </c>
      <c r="AL413" s="18" t="str">
        <f>IF(NOT(ISBLANK(Audit[[#This Row],[Audit Candidate 8]])), Audit[[#This Row],[Audit Candidate 8]]-Audit[[#This Row],[Candidate 8]], "")</f>
        <v/>
      </c>
      <c r="AM413" s="18" t="str">
        <f>IF(NOT(ISBLANK(Audit[[#This Row],[Audit Candidate 9]])), Audit[[#This Row],[Audit Candidate 9]]-Audit[[#This Row],[Candidate 9]], "")</f>
        <v/>
      </c>
      <c r="AN413" s="18" t="str">
        <f>IF(NOT(ISBLANK(Audit[[#This Row],[Audit Candidate 10]])), Audit[[#This Row],[Audit Candidate 10]]-Audit[[#This Row],[Candidate 10]], "")</f>
        <v/>
      </c>
      <c r="AO413" s="18" t="str">
        <f>IF(NOT(ISBLANK(Audit[[#This Row],[Audit Candidate 11]])), Audit[[#This Row],[Audit Candidate 11]]-Audit[[#This Row],[Candidate 11]], "")</f>
        <v/>
      </c>
      <c r="AP413" s="18" t="str">
        <f>IF(NOT(ISBLANK(Audit[[#This Row],[Audit Candidate 12]])), Audit[[#This Row],[Audit Candidate 12]]-Audit[[#This Row],[Candidate 12]], "")</f>
        <v/>
      </c>
      <c r="AQ413" s="18">
        <f>SUMIF(Audit[[#This Row],[Difference Winner]:[Difference Candidate 12]], "&gt;0")</f>
        <v>0</v>
      </c>
      <c r="AR413" s="18">
        <f>SUM(Audit[[#This Row],[Difference Winner]:[Difference Candidate 12]])</f>
        <v>0</v>
      </c>
      <c r="AS413" s="18">
        <f>IF(Audit[[#This Row],[Times p Drawn - With Replacement]]&gt;0, IF(Audit[[#This Row],[Canceled Differences]]&lt;0, Audit[[#This Row],[Max Differences]]+ABS(Audit[[#This Row],[Canceled Differences]]), Audit[[#This Row],[Max Differences]]), 0)</f>
        <v>0</v>
      </c>
      <c r="AT413" s="18">
        <f>'Sampling Data'!AB413</f>
        <v>7.5383987184722177E-4</v>
      </c>
      <c r="AU413" s="18">
        <f>IF(
      SUM(Audit[[#This Row],[Audit Losing Candidate]:[Audit Candidate 12]])
      &lt;&gt;0,
      (Audit[[#This Row],[Winning Candidate]]-Audit[[#This Row],[Losing Candidate]]-(Audit[[#This Row],[Audit Winning Candidate]]-Audit[[#This Row],[Audit Losing Candidate]]))/(Audit[[#Totals],[Winning Candidate]]-Audit[[#Totals],[Losing Candidate]]),
      0
)</f>
        <v>0</v>
      </c>
      <c r="AV4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8">
        <f>IF(Audit[[#This Row],[Max Relative Error (ep)]] = 0, 0, Audit[[#This Row],[Max Relative Error (ep)]]/Audit[[#This Row],[Error Bound (up) - Max. possible relative overstatement]])</f>
        <v>0</v>
      </c>
      <c r="BH4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3" s="18">
        <f t="shared" si="7"/>
        <v>1</v>
      </c>
      <c r="BJ413" s="18">
        <f>PRODUCT($BI$5:BI413)</f>
        <v>0.32656797278968008</v>
      </c>
      <c r="BK413" s="20">
        <f>1 - Audit[[#This Row],[K-M P Value]]</f>
        <v>0.67343202721031992</v>
      </c>
      <c r="BL413" s="18" t="str">
        <f>IF(Audit[[#This Row],[K-M P Value]]&gt;1-'General Info'!$B$12,"Continue", "Stop")</f>
        <v>Continue</v>
      </c>
      <c r="BM413" s="23" t="b">
        <f>IF(Audit[[#This Row],[Status - Continue or stop audit]] = "Continue", TRUE, IF(BL412 = "Continue", TRUE, FALSE))</f>
        <v>1</v>
      </c>
      <c r="BN413" s="23"/>
    </row>
    <row r="414" spans="1:66" ht="15" hidden="1" customHeight="1" x14ac:dyDescent="0.35">
      <c r="A414" s="18" t="str">
        <f>'Sampling Data'!AI414</f>
        <v/>
      </c>
      <c r="B414" s="18" t="str">
        <f>'Sampling Data'!A414</f>
        <v>6513 DELHI M   (AV)</v>
      </c>
      <c r="C414" s="18">
        <f>'Sampling Data'!B414</f>
        <v>11</v>
      </c>
      <c r="D414" s="18">
        <f>'Sampling Data'!C414</f>
        <v>3</v>
      </c>
      <c r="E414" s="19">
        <f>'Sampling Data'!D414</f>
        <v>0</v>
      </c>
      <c r="F414" s="19">
        <f>'Sampling Data'!E414</f>
        <v>0</v>
      </c>
      <c r="G414" s="19">
        <f>'Sampling Data'!F414</f>
        <v>0</v>
      </c>
      <c r="H414" s="19">
        <f>'Sampling Data'!G414</f>
        <v>0</v>
      </c>
      <c r="I414" s="19">
        <f>'Sampling Data'!H414</f>
        <v>0</v>
      </c>
      <c r="J414" s="19">
        <f>'Sampling Data'!I414</f>
        <v>0</v>
      </c>
      <c r="K414" s="19">
        <f>'Sampling Data'!J414</f>
        <v>0</v>
      </c>
      <c r="L414" s="19">
        <f>'Sampling Data'!K414</f>
        <v>0</v>
      </c>
      <c r="M414" s="19">
        <f>'Sampling Data'!L414</f>
        <v>0</v>
      </c>
      <c r="N414" s="19">
        <f>'Sampling Data'!M414</f>
        <v>0</v>
      </c>
      <c r="O414" s="18">
        <f>'Sampling Data'!N414</f>
        <v>0</v>
      </c>
      <c r="P414" s="18">
        <f>'Sampling Data'!O414</f>
        <v>1</v>
      </c>
      <c r="Q414" s="18">
        <f>'Sampling Data'!P414</f>
        <v>15</v>
      </c>
      <c r="R414" s="18">
        <f>'Sampling Data'!AJ414</f>
        <v>0</v>
      </c>
      <c r="S414" s="112"/>
      <c r="T414" s="112"/>
      <c r="U414" s="113"/>
      <c r="V414" s="113"/>
      <c r="W414" s="112"/>
      <c r="X414" s="112"/>
      <c r="Y414" s="112"/>
      <c r="Z414" s="112"/>
      <c r="AA414" s="15"/>
      <c r="AB414" s="15"/>
      <c r="AC414" s="15"/>
      <c r="AD414" s="15"/>
      <c r="AE414" s="114" t="str">
        <f>IF(NOT(ISBLANK(Audit[[#This Row],[Audit Winning Candidate]])), Audit[[#This Row],[Audit Winning Candidate]]-Audit[[#This Row],[Winning Candidate]], "")</f>
        <v/>
      </c>
      <c r="AF414" s="18" t="str">
        <f>IF(NOT(ISBLANK(Audit[[#This Row],[Audit Losing Candidate]])), Audit[[#This Row],[Audit Losing Candidate]]-Audit[[#This Row],[Losing Candidate]], "")</f>
        <v/>
      </c>
      <c r="AG414" s="18" t="str">
        <f>IF(NOT(ISBLANK(Audit[[#This Row],[Audit Candidate 3]])), Audit[[#This Row],[Audit Candidate 3]]-Audit[[#This Row],[Candidate 3]], "")</f>
        <v/>
      </c>
      <c r="AH414" s="18" t="str">
        <f>IF(NOT(ISBLANK(Audit[[#This Row],[Audit Candidate 4]])),Audit[[#This Row],[Audit Candidate 4]]-Audit[[#This Row],[Candidate 4]], "")</f>
        <v/>
      </c>
      <c r="AI414" s="18" t="str">
        <f>IF(NOT(ISBLANK(Audit[[#This Row],[Audit Candidate 5]])), Audit[[#This Row],[Audit Candidate 5]]-Audit[[#This Row],[Candidate 5]], "")</f>
        <v/>
      </c>
      <c r="AJ414" s="18" t="str">
        <f>IF(NOT(ISBLANK(Audit[[#This Row],[Audit Candidate 6]])), Audit[[#This Row],[Audit Candidate 6]]-Audit[[#This Row],[Candidate 6]], "")</f>
        <v/>
      </c>
      <c r="AK414" s="18" t="str">
        <f>IF(NOT(ISBLANK(Audit[[#This Row],[Audit Candidate 7]])), Audit[[#This Row],[Audit Candidate 7]]-Audit[[#This Row],[Candidate 7]], "")</f>
        <v/>
      </c>
      <c r="AL414" s="18" t="str">
        <f>IF(NOT(ISBLANK(Audit[[#This Row],[Audit Candidate 8]])), Audit[[#This Row],[Audit Candidate 8]]-Audit[[#This Row],[Candidate 8]], "")</f>
        <v/>
      </c>
      <c r="AM414" s="18" t="str">
        <f>IF(NOT(ISBLANK(Audit[[#This Row],[Audit Candidate 9]])), Audit[[#This Row],[Audit Candidate 9]]-Audit[[#This Row],[Candidate 9]], "")</f>
        <v/>
      </c>
      <c r="AN414" s="18" t="str">
        <f>IF(NOT(ISBLANK(Audit[[#This Row],[Audit Candidate 10]])), Audit[[#This Row],[Audit Candidate 10]]-Audit[[#This Row],[Candidate 10]], "")</f>
        <v/>
      </c>
      <c r="AO414" s="18" t="str">
        <f>IF(NOT(ISBLANK(Audit[[#This Row],[Audit Candidate 11]])), Audit[[#This Row],[Audit Candidate 11]]-Audit[[#This Row],[Candidate 11]], "")</f>
        <v/>
      </c>
      <c r="AP414" s="18" t="str">
        <f>IF(NOT(ISBLANK(Audit[[#This Row],[Audit Candidate 12]])), Audit[[#This Row],[Audit Candidate 12]]-Audit[[#This Row],[Candidate 12]], "")</f>
        <v/>
      </c>
      <c r="AQ414" s="18">
        <f>SUMIF(Audit[[#This Row],[Difference Winner]:[Difference Candidate 12]], "&gt;0")</f>
        <v>0</v>
      </c>
      <c r="AR414" s="18">
        <f>SUM(Audit[[#This Row],[Difference Winner]:[Difference Candidate 12]])</f>
        <v>0</v>
      </c>
      <c r="AS414" s="18">
        <f>IF(Audit[[#This Row],[Times p Drawn - With Replacement]]&gt;0, IF(Audit[[#This Row],[Canceled Differences]]&lt;0, Audit[[#This Row],[Max Differences]]+ABS(Audit[[#This Row],[Canceled Differences]]), Audit[[#This Row],[Max Differences]]), 0)</f>
        <v>0</v>
      </c>
      <c r="AT414" s="18">
        <f>'Sampling Data'!AB414</f>
        <v>7.2242987718692088E-4</v>
      </c>
      <c r="AU414" s="18">
        <f>IF(
      SUM(Audit[[#This Row],[Audit Losing Candidate]:[Audit Candidate 12]])
      &lt;&gt;0,
      (Audit[[#This Row],[Winning Candidate]]-Audit[[#This Row],[Losing Candidate]]-(Audit[[#This Row],[Audit Winning Candidate]]-Audit[[#This Row],[Audit Losing Candidate]]))/(Audit[[#Totals],[Winning Candidate]]-Audit[[#Totals],[Losing Candidate]]),
      0
)</f>
        <v>0</v>
      </c>
      <c r="AV4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8">
        <f>IF(Audit[[#This Row],[Max Relative Error (ep)]] = 0, 0, Audit[[#This Row],[Max Relative Error (ep)]]/Audit[[#This Row],[Error Bound (up) - Max. possible relative overstatement]])</f>
        <v>0</v>
      </c>
      <c r="BH4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4" s="18">
        <f t="shared" si="7"/>
        <v>1</v>
      </c>
      <c r="BJ414" s="18">
        <f>PRODUCT($BI$5:BI414)</f>
        <v>0.32656797278968008</v>
      </c>
      <c r="BK414" s="20">
        <f>1 - Audit[[#This Row],[K-M P Value]]</f>
        <v>0.67343202721031992</v>
      </c>
      <c r="BL414" s="18" t="str">
        <f>IF(Audit[[#This Row],[K-M P Value]]&gt;1-'General Info'!$B$12,"Continue", "Stop")</f>
        <v>Continue</v>
      </c>
      <c r="BM414" s="23" t="b">
        <f>IF(Audit[[#This Row],[Status - Continue or stop audit]] = "Continue", TRUE, IF(BL413 = "Continue", TRUE, FALSE))</f>
        <v>1</v>
      </c>
      <c r="BN414" s="23"/>
    </row>
    <row r="415" spans="1:66" ht="15" hidden="1" customHeight="1" x14ac:dyDescent="0.35">
      <c r="A415" s="18" t="str">
        <f>'Sampling Data'!AI415</f>
        <v/>
      </c>
      <c r="B415" s="18" t="str">
        <f>'Sampling Data'!A415</f>
        <v>6514 DELHI N   (AV)</v>
      </c>
      <c r="C415" s="18">
        <f>'Sampling Data'!B415</f>
        <v>8</v>
      </c>
      <c r="D415" s="18">
        <f>'Sampling Data'!C415</f>
        <v>0</v>
      </c>
      <c r="E415" s="19">
        <f>'Sampling Data'!D415</f>
        <v>0</v>
      </c>
      <c r="F415" s="19">
        <f>'Sampling Data'!E415</f>
        <v>0</v>
      </c>
      <c r="G415" s="19">
        <f>'Sampling Data'!F415</f>
        <v>0</v>
      </c>
      <c r="H415" s="19">
        <f>'Sampling Data'!G415</f>
        <v>0</v>
      </c>
      <c r="I415" s="19">
        <f>'Sampling Data'!H415</f>
        <v>0</v>
      </c>
      <c r="J415" s="19">
        <f>'Sampling Data'!I415</f>
        <v>0</v>
      </c>
      <c r="K415" s="19">
        <f>'Sampling Data'!J415</f>
        <v>0</v>
      </c>
      <c r="L415" s="19">
        <f>'Sampling Data'!K415</f>
        <v>0</v>
      </c>
      <c r="M415" s="19">
        <f>'Sampling Data'!L415</f>
        <v>0</v>
      </c>
      <c r="N415" s="19">
        <f>'Sampling Data'!M415</f>
        <v>0</v>
      </c>
      <c r="O415" s="18">
        <f>'Sampling Data'!N415</f>
        <v>0</v>
      </c>
      <c r="P415" s="18">
        <f>'Sampling Data'!O415</f>
        <v>0</v>
      </c>
      <c r="Q415" s="18">
        <f>'Sampling Data'!P415</f>
        <v>8</v>
      </c>
      <c r="R415" s="18">
        <f>'Sampling Data'!AJ415</f>
        <v>0</v>
      </c>
      <c r="S415" s="112"/>
      <c r="T415" s="112"/>
      <c r="U415" s="113"/>
      <c r="V415" s="113"/>
      <c r="W415" s="112"/>
      <c r="X415" s="112"/>
      <c r="Y415" s="112"/>
      <c r="Z415" s="112"/>
      <c r="AA415" s="15"/>
      <c r="AB415" s="15"/>
      <c r="AC415" s="15"/>
      <c r="AD415" s="15"/>
      <c r="AE415" s="114" t="str">
        <f>IF(NOT(ISBLANK(Audit[[#This Row],[Audit Winning Candidate]])), Audit[[#This Row],[Audit Winning Candidate]]-Audit[[#This Row],[Winning Candidate]], "")</f>
        <v/>
      </c>
      <c r="AF415" s="18" t="str">
        <f>IF(NOT(ISBLANK(Audit[[#This Row],[Audit Losing Candidate]])), Audit[[#This Row],[Audit Losing Candidate]]-Audit[[#This Row],[Losing Candidate]], "")</f>
        <v/>
      </c>
      <c r="AG415" s="18" t="str">
        <f>IF(NOT(ISBLANK(Audit[[#This Row],[Audit Candidate 3]])), Audit[[#This Row],[Audit Candidate 3]]-Audit[[#This Row],[Candidate 3]], "")</f>
        <v/>
      </c>
      <c r="AH415" s="18" t="str">
        <f>IF(NOT(ISBLANK(Audit[[#This Row],[Audit Candidate 4]])),Audit[[#This Row],[Audit Candidate 4]]-Audit[[#This Row],[Candidate 4]], "")</f>
        <v/>
      </c>
      <c r="AI415" s="18" t="str">
        <f>IF(NOT(ISBLANK(Audit[[#This Row],[Audit Candidate 5]])), Audit[[#This Row],[Audit Candidate 5]]-Audit[[#This Row],[Candidate 5]], "")</f>
        <v/>
      </c>
      <c r="AJ415" s="18" t="str">
        <f>IF(NOT(ISBLANK(Audit[[#This Row],[Audit Candidate 6]])), Audit[[#This Row],[Audit Candidate 6]]-Audit[[#This Row],[Candidate 6]], "")</f>
        <v/>
      </c>
      <c r="AK415" s="18" t="str">
        <f>IF(NOT(ISBLANK(Audit[[#This Row],[Audit Candidate 7]])), Audit[[#This Row],[Audit Candidate 7]]-Audit[[#This Row],[Candidate 7]], "")</f>
        <v/>
      </c>
      <c r="AL415" s="18" t="str">
        <f>IF(NOT(ISBLANK(Audit[[#This Row],[Audit Candidate 8]])), Audit[[#This Row],[Audit Candidate 8]]-Audit[[#This Row],[Candidate 8]], "")</f>
        <v/>
      </c>
      <c r="AM415" s="18" t="str">
        <f>IF(NOT(ISBLANK(Audit[[#This Row],[Audit Candidate 9]])), Audit[[#This Row],[Audit Candidate 9]]-Audit[[#This Row],[Candidate 9]], "")</f>
        <v/>
      </c>
      <c r="AN415" s="18" t="str">
        <f>IF(NOT(ISBLANK(Audit[[#This Row],[Audit Candidate 10]])), Audit[[#This Row],[Audit Candidate 10]]-Audit[[#This Row],[Candidate 10]], "")</f>
        <v/>
      </c>
      <c r="AO415" s="18" t="str">
        <f>IF(NOT(ISBLANK(Audit[[#This Row],[Audit Candidate 11]])), Audit[[#This Row],[Audit Candidate 11]]-Audit[[#This Row],[Candidate 11]], "")</f>
        <v/>
      </c>
      <c r="AP415" s="18" t="str">
        <f>IF(NOT(ISBLANK(Audit[[#This Row],[Audit Candidate 12]])), Audit[[#This Row],[Audit Candidate 12]]-Audit[[#This Row],[Candidate 12]], "")</f>
        <v/>
      </c>
      <c r="AQ415" s="18">
        <f>SUMIF(Audit[[#This Row],[Difference Winner]:[Difference Candidate 12]], "&gt;0")</f>
        <v>0</v>
      </c>
      <c r="AR415" s="18">
        <f>SUM(Audit[[#This Row],[Difference Winner]:[Difference Candidate 12]])</f>
        <v>0</v>
      </c>
      <c r="AS415" s="18">
        <f>IF(Audit[[#This Row],[Times p Drawn - With Replacement]]&gt;0, IF(Audit[[#This Row],[Canceled Differences]]&lt;0, Audit[[#This Row],[Max Differences]]+ABS(Audit[[#This Row],[Canceled Differences]]), Audit[[#This Row],[Max Differences]]), 0)</f>
        <v>0</v>
      </c>
      <c r="AT415" s="18">
        <f>'Sampling Data'!AB415</f>
        <v>5.0255991456481448E-4</v>
      </c>
      <c r="AU415" s="18">
        <f>IF(
      SUM(Audit[[#This Row],[Audit Losing Candidate]:[Audit Candidate 12]])
      &lt;&gt;0,
      (Audit[[#This Row],[Winning Candidate]]-Audit[[#This Row],[Losing Candidate]]-(Audit[[#This Row],[Audit Winning Candidate]]-Audit[[#This Row],[Audit Losing Candidate]]))/(Audit[[#Totals],[Winning Candidate]]-Audit[[#Totals],[Losing Candidate]]),
      0
)</f>
        <v>0</v>
      </c>
      <c r="AV4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8">
        <f>IF(Audit[[#This Row],[Max Relative Error (ep)]] = 0, 0, Audit[[#This Row],[Max Relative Error (ep)]]/Audit[[#This Row],[Error Bound (up) - Max. possible relative overstatement]])</f>
        <v>0</v>
      </c>
      <c r="BH4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5" s="18">
        <f t="shared" si="7"/>
        <v>1</v>
      </c>
      <c r="BJ415" s="18">
        <f>PRODUCT($BI$5:BI415)</f>
        <v>0.32656797278968008</v>
      </c>
      <c r="BK415" s="20">
        <f>1 - Audit[[#This Row],[K-M P Value]]</f>
        <v>0.67343202721031992</v>
      </c>
      <c r="BL415" s="18" t="str">
        <f>IF(Audit[[#This Row],[K-M P Value]]&gt;1-'General Info'!$B$12,"Continue", "Stop")</f>
        <v>Continue</v>
      </c>
      <c r="BM415" s="23" t="b">
        <f>IF(Audit[[#This Row],[Status - Continue or stop audit]] = "Continue", TRUE, IF(BL414 = "Continue", TRUE, FALSE))</f>
        <v>1</v>
      </c>
      <c r="BN415" s="23"/>
    </row>
    <row r="416" spans="1:66" ht="15" hidden="1" customHeight="1" x14ac:dyDescent="0.35">
      <c r="A416" s="18" t="str">
        <f>'Sampling Data'!AI416</f>
        <v/>
      </c>
      <c r="B416" s="18" t="str">
        <f>'Sampling Data'!A416</f>
        <v>6515 DELHI O   (AV)</v>
      </c>
      <c r="C416" s="18">
        <f>'Sampling Data'!B416</f>
        <v>17</v>
      </c>
      <c r="D416" s="18">
        <f>'Sampling Data'!C416</f>
        <v>0</v>
      </c>
      <c r="E416" s="19">
        <f>'Sampling Data'!D416</f>
        <v>0</v>
      </c>
      <c r="F416" s="19">
        <f>'Sampling Data'!E416</f>
        <v>0</v>
      </c>
      <c r="G416" s="19">
        <f>'Sampling Data'!F416</f>
        <v>0</v>
      </c>
      <c r="H416" s="19">
        <f>'Sampling Data'!G416</f>
        <v>0</v>
      </c>
      <c r="I416" s="19">
        <f>'Sampling Data'!H416</f>
        <v>0</v>
      </c>
      <c r="J416" s="19">
        <f>'Sampling Data'!I416</f>
        <v>0</v>
      </c>
      <c r="K416" s="19">
        <f>'Sampling Data'!J416</f>
        <v>0</v>
      </c>
      <c r="L416" s="19">
        <f>'Sampling Data'!K416</f>
        <v>0</v>
      </c>
      <c r="M416" s="19">
        <f>'Sampling Data'!L416</f>
        <v>0</v>
      </c>
      <c r="N416" s="19">
        <f>'Sampling Data'!M416</f>
        <v>0</v>
      </c>
      <c r="O416" s="18">
        <f>'Sampling Data'!N416</f>
        <v>0</v>
      </c>
      <c r="P416" s="18">
        <f>'Sampling Data'!O416</f>
        <v>1</v>
      </c>
      <c r="Q416" s="18">
        <f>'Sampling Data'!P416</f>
        <v>18</v>
      </c>
      <c r="R416" s="18">
        <f>'Sampling Data'!AJ416</f>
        <v>0</v>
      </c>
      <c r="S416" s="112"/>
      <c r="T416" s="112"/>
      <c r="U416" s="113"/>
      <c r="V416" s="113"/>
      <c r="W416" s="112"/>
      <c r="X416" s="112"/>
      <c r="Y416" s="112"/>
      <c r="Z416" s="112"/>
      <c r="AA416" s="15"/>
      <c r="AB416" s="15"/>
      <c r="AC416" s="15"/>
      <c r="AD416" s="15"/>
      <c r="AE416" s="114" t="str">
        <f>IF(NOT(ISBLANK(Audit[[#This Row],[Audit Winning Candidate]])), Audit[[#This Row],[Audit Winning Candidate]]-Audit[[#This Row],[Winning Candidate]], "")</f>
        <v/>
      </c>
      <c r="AF416" s="18" t="str">
        <f>IF(NOT(ISBLANK(Audit[[#This Row],[Audit Losing Candidate]])), Audit[[#This Row],[Audit Losing Candidate]]-Audit[[#This Row],[Losing Candidate]], "")</f>
        <v/>
      </c>
      <c r="AG416" s="18" t="str">
        <f>IF(NOT(ISBLANK(Audit[[#This Row],[Audit Candidate 3]])), Audit[[#This Row],[Audit Candidate 3]]-Audit[[#This Row],[Candidate 3]], "")</f>
        <v/>
      </c>
      <c r="AH416" s="18" t="str">
        <f>IF(NOT(ISBLANK(Audit[[#This Row],[Audit Candidate 4]])),Audit[[#This Row],[Audit Candidate 4]]-Audit[[#This Row],[Candidate 4]], "")</f>
        <v/>
      </c>
      <c r="AI416" s="18" t="str">
        <f>IF(NOT(ISBLANK(Audit[[#This Row],[Audit Candidate 5]])), Audit[[#This Row],[Audit Candidate 5]]-Audit[[#This Row],[Candidate 5]], "")</f>
        <v/>
      </c>
      <c r="AJ416" s="18" t="str">
        <f>IF(NOT(ISBLANK(Audit[[#This Row],[Audit Candidate 6]])), Audit[[#This Row],[Audit Candidate 6]]-Audit[[#This Row],[Candidate 6]], "")</f>
        <v/>
      </c>
      <c r="AK416" s="18" t="str">
        <f>IF(NOT(ISBLANK(Audit[[#This Row],[Audit Candidate 7]])), Audit[[#This Row],[Audit Candidate 7]]-Audit[[#This Row],[Candidate 7]], "")</f>
        <v/>
      </c>
      <c r="AL416" s="18" t="str">
        <f>IF(NOT(ISBLANK(Audit[[#This Row],[Audit Candidate 8]])), Audit[[#This Row],[Audit Candidate 8]]-Audit[[#This Row],[Candidate 8]], "")</f>
        <v/>
      </c>
      <c r="AM416" s="18" t="str">
        <f>IF(NOT(ISBLANK(Audit[[#This Row],[Audit Candidate 9]])), Audit[[#This Row],[Audit Candidate 9]]-Audit[[#This Row],[Candidate 9]], "")</f>
        <v/>
      </c>
      <c r="AN416" s="18" t="str">
        <f>IF(NOT(ISBLANK(Audit[[#This Row],[Audit Candidate 10]])), Audit[[#This Row],[Audit Candidate 10]]-Audit[[#This Row],[Candidate 10]], "")</f>
        <v/>
      </c>
      <c r="AO416" s="18" t="str">
        <f>IF(NOT(ISBLANK(Audit[[#This Row],[Audit Candidate 11]])), Audit[[#This Row],[Audit Candidate 11]]-Audit[[#This Row],[Candidate 11]], "")</f>
        <v/>
      </c>
      <c r="AP416" s="18" t="str">
        <f>IF(NOT(ISBLANK(Audit[[#This Row],[Audit Candidate 12]])), Audit[[#This Row],[Audit Candidate 12]]-Audit[[#This Row],[Candidate 12]], "")</f>
        <v/>
      </c>
      <c r="AQ416" s="18">
        <f>SUMIF(Audit[[#This Row],[Difference Winner]:[Difference Candidate 12]], "&gt;0")</f>
        <v>0</v>
      </c>
      <c r="AR416" s="18">
        <f>SUM(Audit[[#This Row],[Difference Winner]:[Difference Candidate 12]])</f>
        <v>0</v>
      </c>
      <c r="AS416" s="18">
        <f>IF(Audit[[#This Row],[Times p Drawn - With Replacement]]&gt;0, IF(Audit[[#This Row],[Canceled Differences]]&lt;0, Audit[[#This Row],[Max Differences]]+ABS(Audit[[#This Row],[Canceled Differences]]), Audit[[#This Row],[Max Differences]]), 0)</f>
        <v>0</v>
      </c>
      <c r="AT416" s="18">
        <f>'Sampling Data'!AB416</f>
        <v>1.0993498131105317E-3</v>
      </c>
      <c r="AU416" s="18">
        <f>IF(
      SUM(Audit[[#This Row],[Audit Losing Candidate]:[Audit Candidate 12]])
      &lt;&gt;0,
      (Audit[[#This Row],[Winning Candidate]]-Audit[[#This Row],[Losing Candidate]]-(Audit[[#This Row],[Audit Winning Candidate]]-Audit[[#This Row],[Audit Losing Candidate]]))/(Audit[[#Totals],[Winning Candidate]]-Audit[[#Totals],[Losing Candidate]]),
      0
)</f>
        <v>0</v>
      </c>
      <c r="AV4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8">
        <f>IF(Audit[[#This Row],[Max Relative Error (ep)]] = 0, 0, Audit[[#This Row],[Max Relative Error (ep)]]/Audit[[#This Row],[Error Bound (up) - Max. possible relative overstatement]])</f>
        <v>0</v>
      </c>
      <c r="BH4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6" s="18">
        <f t="shared" si="7"/>
        <v>1</v>
      </c>
      <c r="BJ416" s="18">
        <f>PRODUCT($BI$5:BI416)</f>
        <v>0.32656797278968008</v>
      </c>
      <c r="BK416" s="20">
        <f>1 - Audit[[#This Row],[K-M P Value]]</f>
        <v>0.67343202721031992</v>
      </c>
      <c r="BL416" s="18" t="str">
        <f>IF(Audit[[#This Row],[K-M P Value]]&gt;1-'General Info'!$B$12,"Continue", "Stop")</f>
        <v>Continue</v>
      </c>
      <c r="BM416" s="23" t="b">
        <f>IF(Audit[[#This Row],[Status - Continue or stop audit]] = "Continue", TRUE, IF(BL415 = "Continue", TRUE, FALSE))</f>
        <v>1</v>
      </c>
      <c r="BN416" s="23"/>
    </row>
    <row r="417" spans="1:66" ht="15" hidden="1" customHeight="1" x14ac:dyDescent="0.35">
      <c r="A417" s="18" t="str">
        <f>'Sampling Data'!AI417</f>
        <v/>
      </c>
      <c r="B417" s="18" t="str">
        <f>'Sampling Data'!A417</f>
        <v>6516 DELHI P   (AV)</v>
      </c>
      <c r="C417" s="18">
        <f>'Sampling Data'!B417</f>
        <v>9</v>
      </c>
      <c r="D417" s="18">
        <f>'Sampling Data'!C417</f>
        <v>2</v>
      </c>
      <c r="E417" s="19">
        <f>'Sampling Data'!D417</f>
        <v>0</v>
      </c>
      <c r="F417" s="19">
        <f>'Sampling Data'!E417</f>
        <v>0</v>
      </c>
      <c r="G417" s="19">
        <f>'Sampling Data'!F417</f>
        <v>0</v>
      </c>
      <c r="H417" s="19">
        <f>'Sampling Data'!G417</f>
        <v>0</v>
      </c>
      <c r="I417" s="19">
        <f>'Sampling Data'!H417</f>
        <v>0</v>
      </c>
      <c r="J417" s="19">
        <f>'Sampling Data'!I417</f>
        <v>0</v>
      </c>
      <c r="K417" s="19">
        <f>'Sampling Data'!J417</f>
        <v>0</v>
      </c>
      <c r="L417" s="19">
        <f>'Sampling Data'!K417</f>
        <v>0</v>
      </c>
      <c r="M417" s="19">
        <f>'Sampling Data'!L417</f>
        <v>0</v>
      </c>
      <c r="N417" s="19">
        <f>'Sampling Data'!M417</f>
        <v>0</v>
      </c>
      <c r="O417" s="18">
        <f>'Sampling Data'!N417</f>
        <v>0</v>
      </c>
      <c r="P417" s="18">
        <f>'Sampling Data'!O417</f>
        <v>0</v>
      </c>
      <c r="Q417" s="18">
        <f>'Sampling Data'!P417</f>
        <v>11</v>
      </c>
      <c r="R417" s="18">
        <f>'Sampling Data'!AJ417</f>
        <v>0</v>
      </c>
      <c r="S417" s="112"/>
      <c r="T417" s="112"/>
      <c r="U417" s="113"/>
      <c r="V417" s="113"/>
      <c r="W417" s="112"/>
      <c r="X417" s="112"/>
      <c r="Y417" s="112"/>
      <c r="Z417" s="112"/>
      <c r="AA417" s="15"/>
      <c r="AB417" s="15"/>
      <c r="AC417" s="15"/>
      <c r="AD417" s="15"/>
      <c r="AE417" s="114" t="str">
        <f>IF(NOT(ISBLANK(Audit[[#This Row],[Audit Winning Candidate]])), Audit[[#This Row],[Audit Winning Candidate]]-Audit[[#This Row],[Winning Candidate]], "")</f>
        <v/>
      </c>
      <c r="AF417" s="18" t="str">
        <f>IF(NOT(ISBLANK(Audit[[#This Row],[Audit Losing Candidate]])), Audit[[#This Row],[Audit Losing Candidate]]-Audit[[#This Row],[Losing Candidate]], "")</f>
        <v/>
      </c>
      <c r="AG417" s="18" t="str">
        <f>IF(NOT(ISBLANK(Audit[[#This Row],[Audit Candidate 3]])), Audit[[#This Row],[Audit Candidate 3]]-Audit[[#This Row],[Candidate 3]], "")</f>
        <v/>
      </c>
      <c r="AH417" s="18" t="str">
        <f>IF(NOT(ISBLANK(Audit[[#This Row],[Audit Candidate 4]])),Audit[[#This Row],[Audit Candidate 4]]-Audit[[#This Row],[Candidate 4]], "")</f>
        <v/>
      </c>
      <c r="AI417" s="18" t="str">
        <f>IF(NOT(ISBLANK(Audit[[#This Row],[Audit Candidate 5]])), Audit[[#This Row],[Audit Candidate 5]]-Audit[[#This Row],[Candidate 5]], "")</f>
        <v/>
      </c>
      <c r="AJ417" s="18" t="str">
        <f>IF(NOT(ISBLANK(Audit[[#This Row],[Audit Candidate 6]])), Audit[[#This Row],[Audit Candidate 6]]-Audit[[#This Row],[Candidate 6]], "")</f>
        <v/>
      </c>
      <c r="AK417" s="18" t="str">
        <f>IF(NOT(ISBLANK(Audit[[#This Row],[Audit Candidate 7]])), Audit[[#This Row],[Audit Candidate 7]]-Audit[[#This Row],[Candidate 7]], "")</f>
        <v/>
      </c>
      <c r="AL417" s="18" t="str">
        <f>IF(NOT(ISBLANK(Audit[[#This Row],[Audit Candidate 8]])), Audit[[#This Row],[Audit Candidate 8]]-Audit[[#This Row],[Candidate 8]], "")</f>
        <v/>
      </c>
      <c r="AM417" s="18" t="str">
        <f>IF(NOT(ISBLANK(Audit[[#This Row],[Audit Candidate 9]])), Audit[[#This Row],[Audit Candidate 9]]-Audit[[#This Row],[Candidate 9]], "")</f>
        <v/>
      </c>
      <c r="AN417" s="18" t="str">
        <f>IF(NOT(ISBLANK(Audit[[#This Row],[Audit Candidate 10]])), Audit[[#This Row],[Audit Candidate 10]]-Audit[[#This Row],[Candidate 10]], "")</f>
        <v/>
      </c>
      <c r="AO417" s="18" t="str">
        <f>IF(NOT(ISBLANK(Audit[[#This Row],[Audit Candidate 11]])), Audit[[#This Row],[Audit Candidate 11]]-Audit[[#This Row],[Candidate 11]], "")</f>
        <v/>
      </c>
      <c r="AP417" s="18" t="str">
        <f>IF(NOT(ISBLANK(Audit[[#This Row],[Audit Candidate 12]])), Audit[[#This Row],[Audit Candidate 12]]-Audit[[#This Row],[Candidate 12]], "")</f>
        <v/>
      </c>
      <c r="AQ417" s="18">
        <f>SUMIF(Audit[[#This Row],[Difference Winner]:[Difference Candidate 12]], "&gt;0")</f>
        <v>0</v>
      </c>
      <c r="AR417" s="18">
        <f>SUM(Audit[[#This Row],[Difference Winner]:[Difference Candidate 12]])</f>
        <v>0</v>
      </c>
      <c r="AS417" s="18">
        <f>IF(Audit[[#This Row],[Times p Drawn - With Replacement]]&gt;0, IF(Audit[[#This Row],[Canceled Differences]]&lt;0, Audit[[#This Row],[Max Differences]]+ABS(Audit[[#This Row],[Canceled Differences]]), Audit[[#This Row],[Max Differences]]), 0)</f>
        <v>0</v>
      </c>
      <c r="AT417" s="18">
        <f>'Sampling Data'!AB417</f>
        <v>5.6537990388541635E-4</v>
      </c>
      <c r="AU417" s="18">
        <f>IF(
      SUM(Audit[[#This Row],[Audit Losing Candidate]:[Audit Candidate 12]])
      &lt;&gt;0,
      (Audit[[#This Row],[Winning Candidate]]-Audit[[#This Row],[Losing Candidate]]-(Audit[[#This Row],[Audit Winning Candidate]]-Audit[[#This Row],[Audit Losing Candidate]]))/(Audit[[#Totals],[Winning Candidate]]-Audit[[#Totals],[Losing Candidate]]),
      0
)</f>
        <v>0</v>
      </c>
      <c r="AV4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8">
        <f>IF(Audit[[#This Row],[Max Relative Error (ep)]] = 0, 0, Audit[[#This Row],[Max Relative Error (ep)]]/Audit[[#This Row],[Error Bound (up) - Max. possible relative overstatement]])</f>
        <v>0</v>
      </c>
      <c r="BH4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7" s="18">
        <f t="shared" si="7"/>
        <v>1</v>
      </c>
      <c r="BJ417" s="18">
        <f>PRODUCT($BI$5:BI417)</f>
        <v>0.32656797278968008</v>
      </c>
      <c r="BK417" s="20">
        <f>1 - Audit[[#This Row],[K-M P Value]]</f>
        <v>0.67343202721031992</v>
      </c>
      <c r="BL417" s="18" t="str">
        <f>IF(Audit[[#This Row],[K-M P Value]]&gt;1-'General Info'!$B$12,"Continue", "Stop")</f>
        <v>Continue</v>
      </c>
      <c r="BM417" s="23" t="b">
        <f>IF(Audit[[#This Row],[Status - Continue or stop audit]] = "Continue", TRUE, IF(BL416 = "Continue", TRUE, FALSE))</f>
        <v>1</v>
      </c>
      <c r="BN417" s="23"/>
    </row>
    <row r="418" spans="1:66" ht="15" hidden="1" customHeight="1" x14ac:dyDescent="0.35">
      <c r="A418" s="18" t="str">
        <f>'Sampling Data'!AI418</f>
        <v/>
      </c>
      <c r="B418" s="18" t="str">
        <f>'Sampling Data'!A418</f>
        <v>6517 DELHI Q   (AV)</v>
      </c>
      <c r="C418" s="18">
        <f>'Sampling Data'!B418</f>
        <v>11</v>
      </c>
      <c r="D418" s="18">
        <f>'Sampling Data'!C418</f>
        <v>0</v>
      </c>
      <c r="E418" s="19">
        <f>'Sampling Data'!D418</f>
        <v>0</v>
      </c>
      <c r="F418" s="19">
        <f>'Sampling Data'!E418</f>
        <v>0</v>
      </c>
      <c r="G418" s="19">
        <f>'Sampling Data'!F418</f>
        <v>0</v>
      </c>
      <c r="H418" s="19">
        <f>'Sampling Data'!G418</f>
        <v>0</v>
      </c>
      <c r="I418" s="19">
        <f>'Sampling Data'!H418</f>
        <v>0</v>
      </c>
      <c r="J418" s="19">
        <f>'Sampling Data'!I418</f>
        <v>0</v>
      </c>
      <c r="K418" s="19">
        <f>'Sampling Data'!J418</f>
        <v>0</v>
      </c>
      <c r="L418" s="19">
        <f>'Sampling Data'!K418</f>
        <v>0</v>
      </c>
      <c r="M418" s="19">
        <f>'Sampling Data'!L418</f>
        <v>0</v>
      </c>
      <c r="N418" s="19">
        <f>'Sampling Data'!M418</f>
        <v>0</v>
      </c>
      <c r="O418" s="18">
        <f>'Sampling Data'!N418</f>
        <v>0</v>
      </c>
      <c r="P418" s="18">
        <f>'Sampling Data'!O418</f>
        <v>0</v>
      </c>
      <c r="Q418" s="18">
        <f>'Sampling Data'!P418</f>
        <v>11</v>
      </c>
      <c r="R418" s="18">
        <f>'Sampling Data'!AJ418</f>
        <v>0</v>
      </c>
      <c r="S418" s="112"/>
      <c r="T418" s="112"/>
      <c r="U418" s="113"/>
      <c r="V418" s="113"/>
      <c r="W418" s="112"/>
      <c r="X418" s="112"/>
      <c r="Y418" s="112"/>
      <c r="Z418" s="112"/>
      <c r="AA418" s="15"/>
      <c r="AB418" s="15"/>
      <c r="AC418" s="15"/>
      <c r="AD418" s="15"/>
      <c r="AE418" s="114" t="str">
        <f>IF(NOT(ISBLANK(Audit[[#This Row],[Audit Winning Candidate]])), Audit[[#This Row],[Audit Winning Candidate]]-Audit[[#This Row],[Winning Candidate]], "")</f>
        <v/>
      </c>
      <c r="AF418" s="18" t="str">
        <f>IF(NOT(ISBLANK(Audit[[#This Row],[Audit Losing Candidate]])), Audit[[#This Row],[Audit Losing Candidate]]-Audit[[#This Row],[Losing Candidate]], "")</f>
        <v/>
      </c>
      <c r="AG418" s="18" t="str">
        <f>IF(NOT(ISBLANK(Audit[[#This Row],[Audit Candidate 3]])), Audit[[#This Row],[Audit Candidate 3]]-Audit[[#This Row],[Candidate 3]], "")</f>
        <v/>
      </c>
      <c r="AH418" s="18" t="str">
        <f>IF(NOT(ISBLANK(Audit[[#This Row],[Audit Candidate 4]])),Audit[[#This Row],[Audit Candidate 4]]-Audit[[#This Row],[Candidate 4]], "")</f>
        <v/>
      </c>
      <c r="AI418" s="18" t="str">
        <f>IF(NOT(ISBLANK(Audit[[#This Row],[Audit Candidate 5]])), Audit[[#This Row],[Audit Candidate 5]]-Audit[[#This Row],[Candidate 5]], "")</f>
        <v/>
      </c>
      <c r="AJ418" s="18" t="str">
        <f>IF(NOT(ISBLANK(Audit[[#This Row],[Audit Candidate 6]])), Audit[[#This Row],[Audit Candidate 6]]-Audit[[#This Row],[Candidate 6]], "")</f>
        <v/>
      </c>
      <c r="AK418" s="18" t="str">
        <f>IF(NOT(ISBLANK(Audit[[#This Row],[Audit Candidate 7]])), Audit[[#This Row],[Audit Candidate 7]]-Audit[[#This Row],[Candidate 7]], "")</f>
        <v/>
      </c>
      <c r="AL418" s="18" t="str">
        <f>IF(NOT(ISBLANK(Audit[[#This Row],[Audit Candidate 8]])), Audit[[#This Row],[Audit Candidate 8]]-Audit[[#This Row],[Candidate 8]], "")</f>
        <v/>
      </c>
      <c r="AM418" s="18" t="str">
        <f>IF(NOT(ISBLANK(Audit[[#This Row],[Audit Candidate 9]])), Audit[[#This Row],[Audit Candidate 9]]-Audit[[#This Row],[Candidate 9]], "")</f>
        <v/>
      </c>
      <c r="AN418" s="18" t="str">
        <f>IF(NOT(ISBLANK(Audit[[#This Row],[Audit Candidate 10]])), Audit[[#This Row],[Audit Candidate 10]]-Audit[[#This Row],[Candidate 10]], "")</f>
        <v/>
      </c>
      <c r="AO418" s="18" t="str">
        <f>IF(NOT(ISBLANK(Audit[[#This Row],[Audit Candidate 11]])), Audit[[#This Row],[Audit Candidate 11]]-Audit[[#This Row],[Candidate 11]], "")</f>
        <v/>
      </c>
      <c r="AP418" s="18" t="str">
        <f>IF(NOT(ISBLANK(Audit[[#This Row],[Audit Candidate 12]])), Audit[[#This Row],[Audit Candidate 12]]-Audit[[#This Row],[Candidate 12]], "")</f>
        <v/>
      </c>
      <c r="AQ418" s="18">
        <f>SUMIF(Audit[[#This Row],[Difference Winner]:[Difference Candidate 12]], "&gt;0")</f>
        <v>0</v>
      </c>
      <c r="AR418" s="18">
        <f>SUM(Audit[[#This Row],[Difference Winner]:[Difference Candidate 12]])</f>
        <v>0</v>
      </c>
      <c r="AS418" s="18">
        <f>IF(Audit[[#This Row],[Times p Drawn - With Replacement]]&gt;0, IF(Audit[[#This Row],[Canceled Differences]]&lt;0, Audit[[#This Row],[Max Differences]]+ABS(Audit[[#This Row],[Canceled Differences]]), Audit[[#This Row],[Max Differences]]), 0)</f>
        <v>0</v>
      </c>
      <c r="AT418" s="18">
        <f>'Sampling Data'!AB418</f>
        <v>6.9101988252662E-4</v>
      </c>
      <c r="AU418" s="18">
        <f>IF(
      SUM(Audit[[#This Row],[Audit Losing Candidate]:[Audit Candidate 12]])
      &lt;&gt;0,
      (Audit[[#This Row],[Winning Candidate]]-Audit[[#This Row],[Losing Candidate]]-(Audit[[#This Row],[Audit Winning Candidate]]-Audit[[#This Row],[Audit Losing Candidate]]))/(Audit[[#Totals],[Winning Candidate]]-Audit[[#Totals],[Losing Candidate]]),
      0
)</f>
        <v>0</v>
      </c>
      <c r="AV4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8">
        <f>IF(Audit[[#This Row],[Max Relative Error (ep)]] = 0, 0, Audit[[#This Row],[Max Relative Error (ep)]]/Audit[[#This Row],[Error Bound (up) - Max. possible relative overstatement]])</f>
        <v>0</v>
      </c>
      <c r="BH4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8" s="18">
        <f t="shared" si="7"/>
        <v>1</v>
      </c>
      <c r="BJ418" s="18">
        <f>PRODUCT($BI$5:BI418)</f>
        <v>0.32656797278968008</v>
      </c>
      <c r="BK418" s="20">
        <f>1 - Audit[[#This Row],[K-M P Value]]</f>
        <v>0.67343202721031992</v>
      </c>
      <c r="BL418" s="18" t="str">
        <f>IF(Audit[[#This Row],[K-M P Value]]&gt;1-'General Info'!$B$12,"Continue", "Stop")</f>
        <v>Continue</v>
      </c>
      <c r="BM418" s="23" t="b">
        <f>IF(Audit[[#This Row],[Status - Continue or stop audit]] = "Continue", TRUE, IF(BL417 = "Continue", TRUE, FALSE))</f>
        <v>1</v>
      </c>
      <c r="BN418" s="23"/>
    </row>
    <row r="419" spans="1:66" ht="15" hidden="1" customHeight="1" x14ac:dyDescent="0.35">
      <c r="A419" s="18" t="str">
        <f>'Sampling Data'!AI419</f>
        <v/>
      </c>
      <c r="B419" s="18" t="str">
        <f>'Sampling Data'!A419</f>
        <v>6518 DELHI R   (AV)</v>
      </c>
      <c r="C419" s="18">
        <f>'Sampling Data'!B419</f>
        <v>18</v>
      </c>
      <c r="D419" s="18">
        <f>'Sampling Data'!C419</f>
        <v>1</v>
      </c>
      <c r="E419" s="19">
        <f>'Sampling Data'!D419</f>
        <v>0</v>
      </c>
      <c r="F419" s="19">
        <f>'Sampling Data'!E419</f>
        <v>0</v>
      </c>
      <c r="G419" s="19">
        <f>'Sampling Data'!F419</f>
        <v>0</v>
      </c>
      <c r="H419" s="19">
        <f>'Sampling Data'!G419</f>
        <v>0</v>
      </c>
      <c r="I419" s="19">
        <f>'Sampling Data'!H419</f>
        <v>0</v>
      </c>
      <c r="J419" s="19">
        <f>'Sampling Data'!I419</f>
        <v>0</v>
      </c>
      <c r="K419" s="19">
        <f>'Sampling Data'!J419</f>
        <v>0</v>
      </c>
      <c r="L419" s="19">
        <f>'Sampling Data'!K419</f>
        <v>0</v>
      </c>
      <c r="M419" s="19">
        <f>'Sampling Data'!L419</f>
        <v>0</v>
      </c>
      <c r="N419" s="19">
        <f>'Sampling Data'!M419</f>
        <v>0</v>
      </c>
      <c r="O419" s="18">
        <f>'Sampling Data'!N419</f>
        <v>0</v>
      </c>
      <c r="P419" s="18">
        <f>'Sampling Data'!O419</f>
        <v>1</v>
      </c>
      <c r="Q419" s="18">
        <f>'Sampling Data'!P419</f>
        <v>20</v>
      </c>
      <c r="R419" s="18">
        <f>'Sampling Data'!AJ419</f>
        <v>0</v>
      </c>
      <c r="S419" s="112"/>
      <c r="T419" s="112"/>
      <c r="U419" s="113"/>
      <c r="V419" s="113"/>
      <c r="W419" s="112"/>
      <c r="X419" s="112"/>
      <c r="Y419" s="112"/>
      <c r="Z419" s="112"/>
      <c r="AA419" s="15"/>
      <c r="AB419" s="15"/>
      <c r="AC419" s="15"/>
      <c r="AD419" s="15"/>
      <c r="AE419" s="114" t="str">
        <f>IF(NOT(ISBLANK(Audit[[#This Row],[Audit Winning Candidate]])), Audit[[#This Row],[Audit Winning Candidate]]-Audit[[#This Row],[Winning Candidate]], "")</f>
        <v/>
      </c>
      <c r="AF419" s="18" t="str">
        <f>IF(NOT(ISBLANK(Audit[[#This Row],[Audit Losing Candidate]])), Audit[[#This Row],[Audit Losing Candidate]]-Audit[[#This Row],[Losing Candidate]], "")</f>
        <v/>
      </c>
      <c r="AG419" s="18" t="str">
        <f>IF(NOT(ISBLANK(Audit[[#This Row],[Audit Candidate 3]])), Audit[[#This Row],[Audit Candidate 3]]-Audit[[#This Row],[Candidate 3]], "")</f>
        <v/>
      </c>
      <c r="AH419" s="18" t="str">
        <f>IF(NOT(ISBLANK(Audit[[#This Row],[Audit Candidate 4]])),Audit[[#This Row],[Audit Candidate 4]]-Audit[[#This Row],[Candidate 4]], "")</f>
        <v/>
      </c>
      <c r="AI419" s="18" t="str">
        <f>IF(NOT(ISBLANK(Audit[[#This Row],[Audit Candidate 5]])), Audit[[#This Row],[Audit Candidate 5]]-Audit[[#This Row],[Candidate 5]], "")</f>
        <v/>
      </c>
      <c r="AJ419" s="18" t="str">
        <f>IF(NOT(ISBLANK(Audit[[#This Row],[Audit Candidate 6]])), Audit[[#This Row],[Audit Candidate 6]]-Audit[[#This Row],[Candidate 6]], "")</f>
        <v/>
      </c>
      <c r="AK419" s="18" t="str">
        <f>IF(NOT(ISBLANK(Audit[[#This Row],[Audit Candidate 7]])), Audit[[#This Row],[Audit Candidate 7]]-Audit[[#This Row],[Candidate 7]], "")</f>
        <v/>
      </c>
      <c r="AL419" s="18" t="str">
        <f>IF(NOT(ISBLANK(Audit[[#This Row],[Audit Candidate 8]])), Audit[[#This Row],[Audit Candidate 8]]-Audit[[#This Row],[Candidate 8]], "")</f>
        <v/>
      </c>
      <c r="AM419" s="18" t="str">
        <f>IF(NOT(ISBLANK(Audit[[#This Row],[Audit Candidate 9]])), Audit[[#This Row],[Audit Candidate 9]]-Audit[[#This Row],[Candidate 9]], "")</f>
        <v/>
      </c>
      <c r="AN419" s="18" t="str">
        <f>IF(NOT(ISBLANK(Audit[[#This Row],[Audit Candidate 10]])), Audit[[#This Row],[Audit Candidate 10]]-Audit[[#This Row],[Candidate 10]], "")</f>
        <v/>
      </c>
      <c r="AO419" s="18" t="str">
        <f>IF(NOT(ISBLANK(Audit[[#This Row],[Audit Candidate 11]])), Audit[[#This Row],[Audit Candidate 11]]-Audit[[#This Row],[Candidate 11]], "")</f>
        <v/>
      </c>
      <c r="AP419" s="18" t="str">
        <f>IF(NOT(ISBLANK(Audit[[#This Row],[Audit Candidate 12]])), Audit[[#This Row],[Audit Candidate 12]]-Audit[[#This Row],[Candidate 12]], "")</f>
        <v/>
      </c>
      <c r="AQ419" s="18">
        <f>SUMIF(Audit[[#This Row],[Difference Winner]:[Difference Candidate 12]], "&gt;0")</f>
        <v>0</v>
      </c>
      <c r="AR419" s="18">
        <f>SUM(Audit[[#This Row],[Difference Winner]:[Difference Candidate 12]])</f>
        <v>0</v>
      </c>
      <c r="AS419" s="18">
        <f>IF(Audit[[#This Row],[Times p Drawn - With Replacement]]&gt;0, IF(Audit[[#This Row],[Canceled Differences]]&lt;0, Audit[[#This Row],[Max Differences]]+ABS(Audit[[#This Row],[Canceled Differences]]), Audit[[#This Row],[Max Differences]]), 0)</f>
        <v>0</v>
      </c>
      <c r="AT419" s="18">
        <f>'Sampling Data'!AB419</f>
        <v>1.1621698024311335E-3</v>
      </c>
      <c r="AU419" s="18">
        <f>IF(
      SUM(Audit[[#This Row],[Audit Losing Candidate]:[Audit Candidate 12]])
      &lt;&gt;0,
      (Audit[[#This Row],[Winning Candidate]]-Audit[[#This Row],[Losing Candidate]]-(Audit[[#This Row],[Audit Winning Candidate]]-Audit[[#This Row],[Audit Losing Candidate]]))/(Audit[[#Totals],[Winning Candidate]]-Audit[[#Totals],[Losing Candidate]]),
      0
)</f>
        <v>0</v>
      </c>
      <c r="AV4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8">
        <f>IF(Audit[[#This Row],[Max Relative Error (ep)]] = 0, 0, Audit[[#This Row],[Max Relative Error (ep)]]/Audit[[#This Row],[Error Bound (up) - Max. possible relative overstatement]])</f>
        <v>0</v>
      </c>
      <c r="BH4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19" s="18">
        <f t="shared" si="7"/>
        <v>1</v>
      </c>
      <c r="BJ419" s="18">
        <f>PRODUCT($BI$5:BI419)</f>
        <v>0.32656797278968008</v>
      </c>
      <c r="BK419" s="20">
        <f>1 - Audit[[#This Row],[K-M P Value]]</f>
        <v>0.67343202721031992</v>
      </c>
      <c r="BL419" s="18" t="str">
        <f>IF(Audit[[#This Row],[K-M P Value]]&gt;1-'General Info'!$B$12,"Continue", "Stop")</f>
        <v>Continue</v>
      </c>
      <c r="BM419" s="23" t="b">
        <f>IF(Audit[[#This Row],[Status - Continue or stop audit]] = "Continue", TRUE, IF(BL418 = "Continue", TRUE, FALSE))</f>
        <v>1</v>
      </c>
      <c r="BN419" s="23"/>
    </row>
    <row r="420" spans="1:66" ht="15" hidden="1" customHeight="1" x14ac:dyDescent="0.35">
      <c r="A420" s="18" t="str">
        <f>'Sampling Data'!AI420</f>
        <v/>
      </c>
      <c r="B420" s="18" t="str">
        <f>'Sampling Data'!A420</f>
        <v>6519 DELHI S   (AV)</v>
      </c>
      <c r="C420" s="18">
        <f>'Sampling Data'!B420</f>
        <v>16</v>
      </c>
      <c r="D420" s="18">
        <f>'Sampling Data'!C420</f>
        <v>0</v>
      </c>
      <c r="E420" s="19">
        <f>'Sampling Data'!D420</f>
        <v>0</v>
      </c>
      <c r="F420" s="19">
        <f>'Sampling Data'!E420</f>
        <v>0</v>
      </c>
      <c r="G420" s="19">
        <f>'Sampling Data'!F420</f>
        <v>0</v>
      </c>
      <c r="H420" s="19">
        <f>'Sampling Data'!G420</f>
        <v>0</v>
      </c>
      <c r="I420" s="19">
        <f>'Sampling Data'!H420</f>
        <v>0</v>
      </c>
      <c r="J420" s="19">
        <f>'Sampling Data'!I420</f>
        <v>0</v>
      </c>
      <c r="K420" s="19">
        <f>'Sampling Data'!J420</f>
        <v>0</v>
      </c>
      <c r="L420" s="19">
        <f>'Sampling Data'!K420</f>
        <v>0</v>
      </c>
      <c r="M420" s="19">
        <f>'Sampling Data'!L420</f>
        <v>0</v>
      </c>
      <c r="N420" s="19">
        <f>'Sampling Data'!M420</f>
        <v>0</v>
      </c>
      <c r="O420" s="18">
        <f>'Sampling Data'!N420</f>
        <v>0</v>
      </c>
      <c r="P420" s="18">
        <f>'Sampling Data'!O420</f>
        <v>0</v>
      </c>
      <c r="Q420" s="18">
        <f>'Sampling Data'!P420</f>
        <v>16</v>
      </c>
      <c r="R420" s="18">
        <f>'Sampling Data'!AJ420</f>
        <v>0</v>
      </c>
      <c r="S420" s="112"/>
      <c r="T420" s="112"/>
      <c r="U420" s="113"/>
      <c r="V420" s="113"/>
      <c r="W420" s="112"/>
      <c r="X420" s="112"/>
      <c r="Y420" s="112"/>
      <c r="Z420" s="112"/>
      <c r="AA420" s="15"/>
      <c r="AB420" s="15"/>
      <c r="AC420" s="15"/>
      <c r="AD420" s="15"/>
      <c r="AE420" s="114" t="str">
        <f>IF(NOT(ISBLANK(Audit[[#This Row],[Audit Winning Candidate]])), Audit[[#This Row],[Audit Winning Candidate]]-Audit[[#This Row],[Winning Candidate]], "")</f>
        <v/>
      </c>
      <c r="AF420" s="18" t="str">
        <f>IF(NOT(ISBLANK(Audit[[#This Row],[Audit Losing Candidate]])), Audit[[#This Row],[Audit Losing Candidate]]-Audit[[#This Row],[Losing Candidate]], "")</f>
        <v/>
      </c>
      <c r="AG420" s="18" t="str">
        <f>IF(NOT(ISBLANK(Audit[[#This Row],[Audit Candidate 3]])), Audit[[#This Row],[Audit Candidate 3]]-Audit[[#This Row],[Candidate 3]], "")</f>
        <v/>
      </c>
      <c r="AH420" s="18" t="str">
        <f>IF(NOT(ISBLANK(Audit[[#This Row],[Audit Candidate 4]])),Audit[[#This Row],[Audit Candidate 4]]-Audit[[#This Row],[Candidate 4]], "")</f>
        <v/>
      </c>
      <c r="AI420" s="18" t="str">
        <f>IF(NOT(ISBLANK(Audit[[#This Row],[Audit Candidate 5]])), Audit[[#This Row],[Audit Candidate 5]]-Audit[[#This Row],[Candidate 5]], "")</f>
        <v/>
      </c>
      <c r="AJ420" s="18" t="str">
        <f>IF(NOT(ISBLANK(Audit[[#This Row],[Audit Candidate 6]])), Audit[[#This Row],[Audit Candidate 6]]-Audit[[#This Row],[Candidate 6]], "")</f>
        <v/>
      </c>
      <c r="AK420" s="18" t="str">
        <f>IF(NOT(ISBLANK(Audit[[#This Row],[Audit Candidate 7]])), Audit[[#This Row],[Audit Candidate 7]]-Audit[[#This Row],[Candidate 7]], "")</f>
        <v/>
      </c>
      <c r="AL420" s="18" t="str">
        <f>IF(NOT(ISBLANK(Audit[[#This Row],[Audit Candidate 8]])), Audit[[#This Row],[Audit Candidate 8]]-Audit[[#This Row],[Candidate 8]], "")</f>
        <v/>
      </c>
      <c r="AM420" s="18" t="str">
        <f>IF(NOT(ISBLANK(Audit[[#This Row],[Audit Candidate 9]])), Audit[[#This Row],[Audit Candidate 9]]-Audit[[#This Row],[Candidate 9]], "")</f>
        <v/>
      </c>
      <c r="AN420" s="18" t="str">
        <f>IF(NOT(ISBLANK(Audit[[#This Row],[Audit Candidate 10]])), Audit[[#This Row],[Audit Candidate 10]]-Audit[[#This Row],[Candidate 10]], "")</f>
        <v/>
      </c>
      <c r="AO420" s="18" t="str">
        <f>IF(NOT(ISBLANK(Audit[[#This Row],[Audit Candidate 11]])), Audit[[#This Row],[Audit Candidate 11]]-Audit[[#This Row],[Candidate 11]], "")</f>
        <v/>
      </c>
      <c r="AP420" s="18" t="str">
        <f>IF(NOT(ISBLANK(Audit[[#This Row],[Audit Candidate 12]])), Audit[[#This Row],[Audit Candidate 12]]-Audit[[#This Row],[Candidate 12]], "")</f>
        <v/>
      </c>
      <c r="AQ420" s="18">
        <f>SUMIF(Audit[[#This Row],[Difference Winner]:[Difference Candidate 12]], "&gt;0")</f>
        <v>0</v>
      </c>
      <c r="AR420" s="18">
        <f>SUM(Audit[[#This Row],[Difference Winner]:[Difference Candidate 12]])</f>
        <v>0</v>
      </c>
      <c r="AS420" s="18">
        <f>IF(Audit[[#This Row],[Times p Drawn - With Replacement]]&gt;0, IF(Audit[[#This Row],[Canceled Differences]]&lt;0, Audit[[#This Row],[Max Differences]]+ABS(Audit[[#This Row],[Canceled Differences]]), Audit[[#This Row],[Max Differences]]), 0)</f>
        <v>0</v>
      </c>
      <c r="AT420" s="18">
        <f>'Sampling Data'!AB420</f>
        <v>1.005119829129629E-3</v>
      </c>
      <c r="AU420" s="18">
        <f>IF(
      SUM(Audit[[#This Row],[Audit Losing Candidate]:[Audit Candidate 12]])
      &lt;&gt;0,
      (Audit[[#This Row],[Winning Candidate]]-Audit[[#This Row],[Losing Candidate]]-(Audit[[#This Row],[Audit Winning Candidate]]-Audit[[#This Row],[Audit Losing Candidate]]))/(Audit[[#Totals],[Winning Candidate]]-Audit[[#Totals],[Losing Candidate]]),
      0
)</f>
        <v>0</v>
      </c>
      <c r="AV4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8">
        <f>IF(Audit[[#This Row],[Max Relative Error (ep)]] = 0, 0, Audit[[#This Row],[Max Relative Error (ep)]]/Audit[[#This Row],[Error Bound (up) - Max. possible relative overstatement]])</f>
        <v>0</v>
      </c>
      <c r="BH4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0" s="18">
        <f t="shared" si="7"/>
        <v>1</v>
      </c>
      <c r="BJ420" s="18">
        <f>PRODUCT($BI$5:BI420)</f>
        <v>0.32656797278968008</v>
      </c>
      <c r="BK420" s="20">
        <f>1 - Audit[[#This Row],[K-M P Value]]</f>
        <v>0.67343202721031992</v>
      </c>
      <c r="BL420" s="18" t="str">
        <f>IF(Audit[[#This Row],[K-M P Value]]&gt;1-'General Info'!$B$12,"Continue", "Stop")</f>
        <v>Continue</v>
      </c>
      <c r="BM420" s="23" t="b">
        <f>IF(Audit[[#This Row],[Status - Continue or stop audit]] = "Continue", TRUE, IF(BL419 = "Continue", TRUE, FALSE))</f>
        <v>1</v>
      </c>
      <c r="BN420" s="23"/>
    </row>
    <row r="421" spans="1:66" ht="15" hidden="1" customHeight="1" x14ac:dyDescent="0.35">
      <c r="A421" s="18" t="str">
        <f>'Sampling Data'!AI421</f>
        <v/>
      </c>
      <c r="B421" s="18" t="str">
        <f>'Sampling Data'!A421</f>
        <v>6701 ELMW A   (AV)</v>
      </c>
      <c r="C421" s="18">
        <f>'Sampling Data'!B421</f>
        <v>2</v>
      </c>
      <c r="D421" s="18">
        <f>'Sampling Data'!C421</f>
        <v>0</v>
      </c>
      <c r="E421" s="19">
        <f>'Sampling Data'!D421</f>
        <v>0</v>
      </c>
      <c r="F421" s="19">
        <f>'Sampling Data'!E421</f>
        <v>0</v>
      </c>
      <c r="G421" s="19">
        <f>'Sampling Data'!F421</f>
        <v>0</v>
      </c>
      <c r="H421" s="19">
        <f>'Sampling Data'!G421</f>
        <v>0</v>
      </c>
      <c r="I421" s="19">
        <f>'Sampling Data'!H421</f>
        <v>0</v>
      </c>
      <c r="J421" s="19">
        <f>'Sampling Data'!I421</f>
        <v>0</v>
      </c>
      <c r="K421" s="19">
        <f>'Sampling Data'!J421</f>
        <v>0</v>
      </c>
      <c r="L421" s="19">
        <f>'Sampling Data'!K421</f>
        <v>0</v>
      </c>
      <c r="M421" s="19">
        <f>'Sampling Data'!L421</f>
        <v>0</v>
      </c>
      <c r="N421" s="19">
        <f>'Sampling Data'!M421</f>
        <v>0</v>
      </c>
      <c r="O421" s="18">
        <f>'Sampling Data'!N421</f>
        <v>0</v>
      </c>
      <c r="P421" s="18">
        <f>'Sampling Data'!O421</f>
        <v>0</v>
      </c>
      <c r="Q421" s="18">
        <f>'Sampling Data'!P421</f>
        <v>2</v>
      </c>
      <c r="R421" s="18">
        <f>'Sampling Data'!AJ421</f>
        <v>0</v>
      </c>
      <c r="S421" s="112"/>
      <c r="T421" s="112"/>
      <c r="U421" s="113"/>
      <c r="V421" s="113"/>
      <c r="W421" s="112"/>
      <c r="X421" s="112"/>
      <c r="Y421" s="112"/>
      <c r="Z421" s="112"/>
      <c r="AA421" s="15"/>
      <c r="AB421" s="15"/>
      <c r="AC421" s="15"/>
      <c r="AD421" s="15"/>
      <c r="AE421" s="114" t="str">
        <f>IF(NOT(ISBLANK(Audit[[#This Row],[Audit Winning Candidate]])), Audit[[#This Row],[Audit Winning Candidate]]-Audit[[#This Row],[Winning Candidate]], "")</f>
        <v/>
      </c>
      <c r="AF421" s="18" t="str">
        <f>IF(NOT(ISBLANK(Audit[[#This Row],[Audit Losing Candidate]])), Audit[[#This Row],[Audit Losing Candidate]]-Audit[[#This Row],[Losing Candidate]], "")</f>
        <v/>
      </c>
      <c r="AG421" s="18" t="str">
        <f>IF(NOT(ISBLANK(Audit[[#This Row],[Audit Candidate 3]])), Audit[[#This Row],[Audit Candidate 3]]-Audit[[#This Row],[Candidate 3]], "")</f>
        <v/>
      </c>
      <c r="AH421" s="18" t="str">
        <f>IF(NOT(ISBLANK(Audit[[#This Row],[Audit Candidate 4]])),Audit[[#This Row],[Audit Candidate 4]]-Audit[[#This Row],[Candidate 4]], "")</f>
        <v/>
      </c>
      <c r="AI421" s="18" t="str">
        <f>IF(NOT(ISBLANK(Audit[[#This Row],[Audit Candidate 5]])), Audit[[#This Row],[Audit Candidate 5]]-Audit[[#This Row],[Candidate 5]], "")</f>
        <v/>
      </c>
      <c r="AJ421" s="18" t="str">
        <f>IF(NOT(ISBLANK(Audit[[#This Row],[Audit Candidate 6]])), Audit[[#This Row],[Audit Candidate 6]]-Audit[[#This Row],[Candidate 6]], "")</f>
        <v/>
      </c>
      <c r="AK421" s="18" t="str">
        <f>IF(NOT(ISBLANK(Audit[[#This Row],[Audit Candidate 7]])), Audit[[#This Row],[Audit Candidate 7]]-Audit[[#This Row],[Candidate 7]], "")</f>
        <v/>
      </c>
      <c r="AL421" s="18" t="str">
        <f>IF(NOT(ISBLANK(Audit[[#This Row],[Audit Candidate 8]])), Audit[[#This Row],[Audit Candidate 8]]-Audit[[#This Row],[Candidate 8]], "")</f>
        <v/>
      </c>
      <c r="AM421" s="18" t="str">
        <f>IF(NOT(ISBLANK(Audit[[#This Row],[Audit Candidate 9]])), Audit[[#This Row],[Audit Candidate 9]]-Audit[[#This Row],[Candidate 9]], "")</f>
        <v/>
      </c>
      <c r="AN421" s="18" t="str">
        <f>IF(NOT(ISBLANK(Audit[[#This Row],[Audit Candidate 10]])), Audit[[#This Row],[Audit Candidate 10]]-Audit[[#This Row],[Candidate 10]], "")</f>
        <v/>
      </c>
      <c r="AO421" s="18" t="str">
        <f>IF(NOT(ISBLANK(Audit[[#This Row],[Audit Candidate 11]])), Audit[[#This Row],[Audit Candidate 11]]-Audit[[#This Row],[Candidate 11]], "")</f>
        <v/>
      </c>
      <c r="AP421" s="18" t="str">
        <f>IF(NOT(ISBLANK(Audit[[#This Row],[Audit Candidate 12]])), Audit[[#This Row],[Audit Candidate 12]]-Audit[[#This Row],[Candidate 12]], "")</f>
        <v/>
      </c>
      <c r="AQ421" s="18">
        <f>SUMIF(Audit[[#This Row],[Difference Winner]:[Difference Candidate 12]], "&gt;0")</f>
        <v>0</v>
      </c>
      <c r="AR421" s="18">
        <f>SUM(Audit[[#This Row],[Difference Winner]:[Difference Candidate 12]])</f>
        <v>0</v>
      </c>
      <c r="AS421" s="18">
        <f>IF(Audit[[#This Row],[Times p Drawn - With Replacement]]&gt;0, IF(Audit[[#This Row],[Canceled Differences]]&lt;0, Audit[[#This Row],[Max Differences]]+ABS(Audit[[#This Row],[Canceled Differences]]), Audit[[#This Row],[Max Differences]]), 0)</f>
        <v>0</v>
      </c>
      <c r="AT421" s="18">
        <f>'Sampling Data'!AB421</f>
        <v>1.2563997864120362E-4</v>
      </c>
      <c r="AU421" s="18">
        <f>IF(
      SUM(Audit[[#This Row],[Audit Losing Candidate]:[Audit Candidate 12]])
      &lt;&gt;0,
      (Audit[[#This Row],[Winning Candidate]]-Audit[[#This Row],[Losing Candidate]]-(Audit[[#This Row],[Audit Winning Candidate]]-Audit[[#This Row],[Audit Losing Candidate]]))/(Audit[[#Totals],[Winning Candidate]]-Audit[[#Totals],[Losing Candidate]]),
      0
)</f>
        <v>0</v>
      </c>
      <c r="AV4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8">
        <f>IF(Audit[[#This Row],[Max Relative Error (ep)]] = 0, 0, Audit[[#This Row],[Max Relative Error (ep)]]/Audit[[#This Row],[Error Bound (up) - Max. possible relative overstatement]])</f>
        <v>0</v>
      </c>
      <c r="BH4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1" s="18">
        <f t="shared" si="7"/>
        <v>1</v>
      </c>
      <c r="BJ421" s="18">
        <f>PRODUCT($BI$5:BI421)</f>
        <v>0.32656797278968008</v>
      </c>
      <c r="BK421" s="20">
        <f>1 - Audit[[#This Row],[K-M P Value]]</f>
        <v>0.67343202721031992</v>
      </c>
      <c r="BL421" s="18" t="str">
        <f>IF(Audit[[#This Row],[K-M P Value]]&gt;1-'General Info'!$B$12,"Continue", "Stop")</f>
        <v>Continue</v>
      </c>
      <c r="BM421" s="23" t="b">
        <f>IF(Audit[[#This Row],[Status - Continue or stop audit]] = "Continue", TRUE, IF(BL420 = "Continue", TRUE, FALSE))</f>
        <v>1</v>
      </c>
      <c r="BN421" s="23"/>
    </row>
    <row r="422" spans="1:66" ht="15" hidden="1" customHeight="1" x14ac:dyDescent="0.35">
      <c r="A422" s="18" t="str">
        <f>'Sampling Data'!AI422</f>
        <v/>
      </c>
      <c r="B422" s="18" t="str">
        <f>'Sampling Data'!A422</f>
        <v>6801 EVEN A   (AV)</v>
      </c>
      <c r="C422" s="18">
        <f>'Sampling Data'!B422</f>
        <v>16</v>
      </c>
      <c r="D422" s="18">
        <f>'Sampling Data'!C422</f>
        <v>1</v>
      </c>
      <c r="E422" s="19">
        <f>'Sampling Data'!D422</f>
        <v>0</v>
      </c>
      <c r="F422" s="19">
        <f>'Sampling Data'!E422</f>
        <v>0</v>
      </c>
      <c r="G422" s="19">
        <f>'Sampling Data'!F422</f>
        <v>0</v>
      </c>
      <c r="H422" s="19">
        <f>'Sampling Data'!G422</f>
        <v>0</v>
      </c>
      <c r="I422" s="19">
        <f>'Sampling Data'!H422</f>
        <v>0</v>
      </c>
      <c r="J422" s="19">
        <f>'Sampling Data'!I422</f>
        <v>0</v>
      </c>
      <c r="K422" s="19">
        <f>'Sampling Data'!J422</f>
        <v>0</v>
      </c>
      <c r="L422" s="19">
        <f>'Sampling Data'!K422</f>
        <v>0</v>
      </c>
      <c r="M422" s="19">
        <f>'Sampling Data'!L422</f>
        <v>0</v>
      </c>
      <c r="N422" s="19">
        <f>'Sampling Data'!M422</f>
        <v>0</v>
      </c>
      <c r="O422" s="18">
        <f>'Sampling Data'!N422</f>
        <v>0</v>
      </c>
      <c r="P422" s="18">
        <f>'Sampling Data'!O422</f>
        <v>0</v>
      </c>
      <c r="Q422" s="18">
        <f>'Sampling Data'!P422</f>
        <v>17</v>
      </c>
      <c r="R422" s="18">
        <f>'Sampling Data'!AJ422</f>
        <v>0</v>
      </c>
      <c r="S422" s="112"/>
      <c r="T422" s="112"/>
      <c r="U422" s="113"/>
      <c r="V422" s="113"/>
      <c r="W422" s="112"/>
      <c r="X422" s="112"/>
      <c r="Y422" s="112"/>
      <c r="Z422" s="112"/>
      <c r="AA422" s="15"/>
      <c r="AB422" s="15"/>
      <c r="AC422" s="15"/>
      <c r="AD422" s="15"/>
      <c r="AE422" s="114" t="str">
        <f>IF(NOT(ISBLANK(Audit[[#This Row],[Audit Winning Candidate]])), Audit[[#This Row],[Audit Winning Candidate]]-Audit[[#This Row],[Winning Candidate]], "")</f>
        <v/>
      </c>
      <c r="AF422" s="18" t="str">
        <f>IF(NOT(ISBLANK(Audit[[#This Row],[Audit Losing Candidate]])), Audit[[#This Row],[Audit Losing Candidate]]-Audit[[#This Row],[Losing Candidate]], "")</f>
        <v/>
      </c>
      <c r="AG422" s="18" t="str">
        <f>IF(NOT(ISBLANK(Audit[[#This Row],[Audit Candidate 3]])), Audit[[#This Row],[Audit Candidate 3]]-Audit[[#This Row],[Candidate 3]], "")</f>
        <v/>
      </c>
      <c r="AH422" s="18" t="str">
        <f>IF(NOT(ISBLANK(Audit[[#This Row],[Audit Candidate 4]])),Audit[[#This Row],[Audit Candidate 4]]-Audit[[#This Row],[Candidate 4]], "")</f>
        <v/>
      </c>
      <c r="AI422" s="18" t="str">
        <f>IF(NOT(ISBLANK(Audit[[#This Row],[Audit Candidate 5]])), Audit[[#This Row],[Audit Candidate 5]]-Audit[[#This Row],[Candidate 5]], "")</f>
        <v/>
      </c>
      <c r="AJ422" s="18" t="str">
        <f>IF(NOT(ISBLANK(Audit[[#This Row],[Audit Candidate 6]])), Audit[[#This Row],[Audit Candidate 6]]-Audit[[#This Row],[Candidate 6]], "")</f>
        <v/>
      </c>
      <c r="AK422" s="18" t="str">
        <f>IF(NOT(ISBLANK(Audit[[#This Row],[Audit Candidate 7]])), Audit[[#This Row],[Audit Candidate 7]]-Audit[[#This Row],[Candidate 7]], "")</f>
        <v/>
      </c>
      <c r="AL422" s="18" t="str">
        <f>IF(NOT(ISBLANK(Audit[[#This Row],[Audit Candidate 8]])), Audit[[#This Row],[Audit Candidate 8]]-Audit[[#This Row],[Candidate 8]], "")</f>
        <v/>
      </c>
      <c r="AM422" s="18" t="str">
        <f>IF(NOT(ISBLANK(Audit[[#This Row],[Audit Candidate 9]])), Audit[[#This Row],[Audit Candidate 9]]-Audit[[#This Row],[Candidate 9]], "")</f>
        <v/>
      </c>
      <c r="AN422" s="18" t="str">
        <f>IF(NOT(ISBLANK(Audit[[#This Row],[Audit Candidate 10]])), Audit[[#This Row],[Audit Candidate 10]]-Audit[[#This Row],[Candidate 10]], "")</f>
        <v/>
      </c>
      <c r="AO422" s="18" t="str">
        <f>IF(NOT(ISBLANK(Audit[[#This Row],[Audit Candidate 11]])), Audit[[#This Row],[Audit Candidate 11]]-Audit[[#This Row],[Candidate 11]], "")</f>
        <v/>
      </c>
      <c r="AP422" s="18" t="str">
        <f>IF(NOT(ISBLANK(Audit[[#This Row],[Audit Candidate 12]])), Audit[[#This Row],[Audit Candidate 12]]-Audit[[#This Row],[Candidate 12]], "")</f>
        <v/>
      </c>
      <c r="AQ422" s="18">
        <f>SUMIF(Audit[[#This Row],[Difference Winner]:[Difference Candidate 12]], "&gt;0")</f>
        <v>0</v>
      </c>
      <c r="AR422" s="18">
        <f>SUM(Audit[[#This Row],[Difference Winner]:[Difference Candidate 12]])</f>
        <v>0</v>
      </c>
      <c r="AS422" s="18">
        <f>IF(Audit[[#This Row],[Times p Drawn - With Replacement]]&gt;0, IF(Audit[[#This Row],[Canceled Differences]]&lt;0, Audit[[#This Row],[Max Differences]]+ABS(Audit[[#This Row],[Canceled Differences]]), Audit[[#This Row],[Max Differences]]), 0)</f>
        <v>0</v>
      </c>
      <c r="AT422" s="18">
        <f>'Sampling Data'!AB422</f>
        <v>1.005119829129629E-3</v>
      </c>
      <c r="AU422" s="18">
        <f>IF(
      SUM(Audit[[#This Row],[Audit Losing Candidate]:[Audit Candidate 12]])
      &lt;&gt;0,
      (Audit[[#This Row],[Winning Candidate]]-Audit[[#This Row],[Losing Candidate]]-(Audit[[#This Row],[Audit Winning Candidate]]-Audit[[#This Row],[Audit Losing Candidate]]))/(Audit[[#Totals],[Winning Candidate]]-Audit[[#Totals],[Losing Candidate]]),
      0
)</f>
        <v>0</v>
      </c>
      <c r="AV4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8">
        <f>IF(Audit[[#This Row],[Max Relative Error (ep)]] = 0, 0, Audit[[#This Row],[Max Relative Error (ep)]]/Audit[[#This Row],[Error Bound (up) - Max. possible relative overstatement]])</f>
        <v>0</v>
      </c>
      <c r="BH4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2" s="18">
        <f t="shared" si="7"/>
        <v>1</v>
      </c>
      <c r="BJ422" s="18">
        <f>PRODUCT($BI$5:BI422)</f>
        <v>0.32656797278968008</v>
      </c>
      <c r="BK422" s="20">
        <f>1 - Audit[[#This Row],[K-M P Value]]</f>
        <v>0.67343202721031992</v>
      </c>
      <c r="BL422" s="18" t="str">
        <f>IF(Audit[[#This Row],[K-M P Value]]&gt;1-'General Info'!$B$12,"Continue", "Stop")</f>
        <v>Continue</v>
      </c>
      <c r="BM422" s="23" t="b">
        <f>IF(Audit[[#This Row],[Status - Continue or stop audit]] = "Continue", TRUE, IF(BL421 = "Continue", TRUE, FALSE))</f>
        <v>1</v>
      </c>
      <c r="BN422" s="23"/>
    </row>
    <row r="423" spans="1:66" ht="15" hidden="1" customHeight="1" x14ac:dyDescent="0.35">
      <c r="A423" s="18" t="str">
        <f>'Sampling Data'!AI423</f>
        <v/>
      </c>
      <c r="B423" s="18" t="str">
        <f>'Sampling Data'!A423</f>
        <v>6802 EVEN B   (AV)</v>
      </c>
      <c r="C423" s="18">
        <f>'Sampling Data'!B423</f>
        <v>5</v>
      </c>
      <c r="D423" s="18">
        <f>'Sampling Data'!C423</f>
        <v>3</v>
      </c>
      <c r="E423" s="19">
        <f>'Sampling Data'!D423</f>
        <v>0</v>
      </c>
      <c r="F423" s="19">
        <f>'Sampling Data'!E423</f>
        <v>0</v>
      </c>
      <c r="G423" s="19">
        <f>'Sampling Data'!F423</f>
        <v>0</v>
      </c>
      <c r="H423" s="19">
        <f>'Sampling Data'!G423</f>
        <v>0</v>
      </c>
      <c r="I423" s="19">
        <f>'Sampling Data'!H423</f>
        <v>0</v>
      </c>
      <c r="J423" s="19">
        <f>'Sampling Data'!I423</f>
        <v>0</v>
      </c>
      <c r="K423" s="19">
        <f>'Sampling Data'!J423</f>
        <v>0</v>
      </c>
      <c r="L423" s="19">
        <f>'Sampling Data'!K423</f>
        <v>0</v>
      </c>
      <c r="M423" s="19">
        <f>'Sampling Data'!L423</f>
        <v>0</v>
      </c>
      <c r="N423" s="19">
        <f>'Sampling Data'!M423</f>
        <v>0</v>
      </c>
      <c r="O423" s="18">
        <f>'Sampling Data'!N423</f>
        <v>0</v>
      </c>
      <c r="P423" s="18">
        <f>'Sampling Data'!O423</f>
        <v>0</v>
      </c>
      <c r="Q423" s="18">
        <f>'Sampling Data'!P423</f>
        <v>8</v>
      </c>
      <c r="R423" s="18">
        <f>'Sampling Data'!AJ423</f>
        <v>0</v>
      </c>
      <c r="S423" s="112"/>
      <c r="T423" s="112"/>
      <c r="U423" s="113"/>
      <c r="V423" s="113"/>
      <c r="W423" s="112"/>
      <c r="X423" s="112"/>
      <c r="Y423" s="112"/>
      <c r="Z423" s="112"/>
      <c r="AA423" s="15"/>
      <c r="AB423" s="15"/>
      <c r="AC423" s="15"/>
      <c r="AD423" s="15"/>
      <c r="AE423" s="114" t="str">
        <f>IF(NOT(ISBLANK(Audit[[#This Row],[Audit Winning Candidate]])), Audit[[#This Row],[Audit Winning Candidate]]-Audit[[#This Row],[Winning Candidate]], "")</f>
        <v/>
      </c>
      <c r="AF423" s="18" t="str">
        <f>IF(NOT(ISBLANK(Audit[[#This Row],[Audit Losing Candidate]])), Audit[[#This Row],[Audit Losing Candidate]]-Audit[[#This Row],[Losing Candidate]], "")</f>
        <v/>
      </c>
      <c r="AG423" s="18" t="str">
        <f>IF(NOT(ISBLANK(Audit[[#This Row],[Audit Candidate 3]])), Audit[[#This Row],[Audit Candidate 3]]-Audit[[#This Row],[Candidate 3]], "")</f>
        <v/>
      </c>
      <c r="AH423" s="18" t="str">
        <f>IF(NOT(ISBLANK(Audit[[#This Row],[Audit Candidate 4]])),Audit[[#This Row],[Audit Candidate 4]]-Audit[[#This Row],[Candidate 4]], "")</f>
        <v/>
      </c>
      <c r="AI423" s="18" t="str">
        <f>IF(NOT(ISBLANK(Audit[[#This Row],[Audit Candidate 5]])), Audit[[#This Row],[Audit Candidate 5]]-Audit[[#This Row],[Candidate 5]], "")</f>
        <v/>
      </c>
      <c r="AJ423" s="18" t="str">
        <f>IF(NOT(ISBLANK(Audit[[#This Row],[Audit Candidate 6]])), Audit[[#This Row],[Audit Candidate 6]]-Audit[[#This Row],[Candidate 6]], "")</f>
        <v/>
      </c>
      <c r="AK423" s="18" t="str">
        <f>IF(NOT(ISBLANK(Audit[[#This Row],[Audit Candidate 7]])), Audit[[#This Row],[Audit Candidate 7]]-Audit[[#This Row],[Candidate 7]], "")</f>
        <v/>
      </c>
      <c r="AL423" s="18" t="str">
        <f>IF(NOT(ISBLANK(Audit[[#This Row],[Audit Candidate 8]])), Audit[[#This Row],[Audit Candidate 8]]-Audit[[#This Row],[Candidate 8]], "")</f>
        <v/>
      </c>
      <c r="AM423" s="18" t="str">
        <f>IF(NOT(ISBLANK(Audit[[#This Row],[Audit Candidate 9]])), Audit[[#This Row],[Audit Candidate 9]]-Audit[[#This Row],[Candidate 9]], "")</f>
        <v/>
      </c>
      <c r="AN423" s="18" t="str">
        <f>IF(NOT(ISBLANK(Audit[[#This Row],[Audit Candidate 10]])), Audit[[#This Row],[Audit Candidate 10]]-Audit[[#This Row],[Candidate 10]], "")</f>
        <v/>
      </c>
      <c r="AO423" s="18" t="str">
        <f>IF(NOT(ISBLANK(Audit[[#This Row],[Audit Candidate 11]])), Audit[[#This Row],[Audit Candidate 11]]-Audit[[#This Row],[Candidate 11]], "")</f>
        <v/>
      </c>
      <c r="AP423" s="18" t="str">
        <f>IF(NOT(ISBLANK(Audit[[#This Row],[Audit Candidate 12]])), Audit[[#This Row],[Audit Candidate 12]]-Audit[[#This Row],[Candidate 12]], "")</f>
        <v/>
      </c>
      <c r="AQ423" s="18">
        <f>SUMIF(Audit[[#This Row],[Difference Winner]:[Difference Candidate 12]], "&gt;0")</f>
        <v>0</v>
      </c>
      <c r="AR423" s="18">
        <f>SUM(Audit[[#This Row],[Difference Winner]:[Difference Candidate 12]])</f>
        <v>0</v>
      </c>
      <c r="AS423" s="18">
        <f>IF(Audit[[#This Row],[Times p Drawn - With Replacement]]&gt;0, IF(Audit[[#This Row],[Canceled Differences]]&lt;0, Audit[[#This Row],[Max Differences]]+ABS(Audit[[#This Row],[Canceled Differences]]), Audit[[#This Row],[Max Differences]]), 0)</f>
        <v>0</v>
      </c>
      <c r="AT423" s="18">
        <f>'Sampling Data'!AB423</f>
        <v>3.1409994660300906E-4</v>
      </c>
      <c r="AU423" s="18">
        <f>IF(
      SUM(Audit[[#This Row],[Audit Losing Candidate]:[Audit Candidate 12]])
      &lt;&gt;0,
      (Audit[[#This Row],[Winning Candidate]]-Audit[[#This Row],[Losing Candidate]]-(Audit[[#This Row],[Audit Winning Candidate]]-Audit[[#This Row],[Audit Losing Candidate]]))/(Audit[[#Totals],[Winning Candidate]]-Audit[[#Totals],[Losing Candidate]]),
      0
)</f>
        <v>0</v>
      </c>
      <c r="AV4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8">
        <f>IF(Audit[[#This Row],[Max Relative Error (ep)]] = 0, 0, Audit[[#This Row],[Max Relative Error (ep)]]/Audit[[#This Row],[Error Bound (up) - Max. possible relative overstatement]])</f>
        <v>0</v>
      </c>
      <c r="BH4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3" s="18">
        <f t="shared" si="7"/>
        <v>1</v>
      </c>
      <c r="BJ423" s="18">
        <f>PRODUCT($BI$5:BI423)</f>
        <v>0.32656797278968008</v>
      </c>
      <c r="BK423" s="20">
        <f>1 - Audit[[#This Row],[K-M P Value]]</f>
        <v>0.67343202721031992</v>
      </c>
      <c r="BL423" s="18" t="str">
        <f>IF(Audit[[#This Row],[K-M P Value]]&gt;1-'General Info'!$B$12,"Continue", "Stop")</f>
        <v>Continue</v>
      </c>
      <c r="BM423" s="23" t="b">
        <f>IF(Audit[[#This Row],[Status - Continue or stop audit]] = "Continue", TRUE, IF(BL422 = "Continue", TRUE, FALSE))</f>
        <v>1</v>
      </c>
      <c r="BN423" s="23"/>
    </row>
    <row r="424" spans="1:66" ht="15" hidden="1" customHeight="1" x14ac:dyDescent="0.35">
      <c r="A424" s="18" t="str">
        <f>'Sampling Data'!AI424</f>
        <v/>
      </c>
      <c r="B424" s="18" t="str">
        <f>'Sampling Data'!A424</f>
        <v>6803 EVEN C   (AV)</v>
      </c>
      <c r="C424" s="18">
        <f>'Sampling Data'!B424</f>
        <v>2</v>
      </c>
      <c r="D424" s="18">
        <f>'Sampling Data'!C424</f>
        <v>0</v>
      </c>
      <c r="E424" s="19">
        <f>'Sampling Data'!D424</f>
        <v>0</v>
      </c>
      <c r="F424" s="19">
        <f>'Sampling Data'!E424</f>
        <v>0</v>
      </c>
      <c r="G424" s="19">
        <f>'Sampling Data'!F424</f>
        <v>0</v>
      </c>
      <c r="H424" s="19">
        <f>'Sampling Data'!G424</f>
        <v>0</v>
      </c>
      <c r="I424" s="19">
        <f>'Sampling Data'!H424</f>
        <v>0</v>
      </c>
      <c r="J424" s="19">
        <f>'Sampling Data'!I424</f>
        <v>0</v>
      </c>
      <c r="K424" s="19">
        <f>'Sampling Data'!J424</f>
        <v>0</v>
      </c>
      <c r="L424" s="19">
        <f>'Sampling Data'!K424</f>
        <v>0</v>
      </c>
      <c r="M424" s="19">
        <f>'Sampling Data'!L424</f>
        <v>0</v>
      </c>
      <c r="N424" s="19">
        <f>'Sampling Data'!M424</f>
        <v>0</v>
      </c>
      <c r="O424" s="18">
        <f>'Sampling Data'!N424</f>
        <v>0</v>
      </c>
      <c r="P424" s="18">
        <f>'Sampling Data'!O424</f>
        <v>0</v>
      </c>
      <c r="Q424" s="18">
        <f>'Sampling Data'!P424</f>
        <v>2</v>
      </c>
      <c r="R424" s="18">
        <f>'Sampling Data'!AJ424</f>
        <v>0</v>
      </c>
      <c r="S424" s="112"/>
      <c r="T424" s="112"/>
      <c r="U424" s="113"/>
      <c r="V424" s="113"/>
      <c r="W424" s="112"/>
      <c r="X424" s="112"/>
      <c r="Y424" s="112"/>
      <c r="Z424" s="112"/>
      <c r="AA424" s="15"/>
      <c r="AB424" s="15"/>
      <c r="AC424" s="15"/>
      <c r="AD424" s="15"/>
      <c r="AE424" s="114" t="str">
        <f>IF(NOT(ISBLANK(Audit[[#This Row],[Audit Winning Candidate]])), Audit[[#This Row],[Audit Winning Candidate]]-Audit[[#This Row],[Winning Candidate]], "")</f>
        <v/>
      </c>
      <c r="AF424" s="18" t="str">
        <f>IF(NOT(ISBLANK(Audit[[#This Row],[Audit Losing Candidate]])), Audit[[#This Row],[Audit Losing Candidate]]-Audit[[#This Row],[Losing Candidate]], "")</f>
        <v/>
      </c>
      <c r="AG424" s="18" t="str">
        <f>IF(NOT(ISBLANK(Audit[[#This Row],[Audit Candidate 3]])), Audit[[#This Row],[Audit Candidate 3]]-Audit[[#This Row],[Candidate 3]], "")</f>
        <v/>
      </c>
      <c r="AH424" s="18" t="str">
        <f>IF(NOT(ISBLANK(Audit[[#This Row],[Audit Candidate 4]])),Audit[[#This Row],[Audit Candidate 4]]-Audit[[#This Row],[Candidate 4]], "")</f>
        <v/>
      </c>
      <c r="AI424" s="18" t="str">
        <f>IF(NOT(ISBLANK(Audit[[#This Row],[Audit Candidate 5]])), Audit[[#This Row],[Audit Candidate 5]]-Audit[[#This Row],[Candidate 5]], "")</f>
        <v/>
      </c>
      <c r="AJ424" s="18" t="str">
        <f>IF(NOT(ISBLANK(Audit[[#This Row],[Audit Candidate 6]])), Audit[[#This Row],[Audit Candidate 6]]-Audit[[#This Row],[Candidate 6]], "")</f>
        <v/>
      </c>
      <c r="AK424" s="18" t="str">
        <f>IF(NOT(ISBLANK(Audit[[#This Row],[Audit Candidate 7]])), Audit[[#This Row],[Audit Candidate 7]]-Audit[[#This Row],[Candidate 7]], "")</f>
        <v/>
      </c>
      <c r="AL424" s="18" t="str">
        <f>IF(NOT(ISBLANK(Audit[[#This Row],[Audit Candidate 8]])), Audit[[#This Row],[Audit Candidate 8]]-Audit[[#This Row],[Candidate 8]], "")</f>
        <v/>
      </c>
      <c r="AM424" s="18" t="str">
        <f>IF(NOT(ISBLANK(Audit[[#This Row],[Audit Candidate 9]])), Audit[[#This Row],[Audit Candidate 9]]-Audit[[#This Row],[Candidate 9]], "")</f>
        <v/>
      </c>
      <c r="AN424" s="18" t="str">
        <f>IF(NOT(ISBLANK(Audit[[#This Row],[Audit Candidate 10]])), Audit[[#This Row],[Audit Candidate 10]]-Audit[[#This Row],[Candidate 10]], "")</f>
        <v/>
      </c>
      <c r="AO424" s="18" t="str">
        <f>IF(NOT(ISBLANK(Audit[[#This Row],[Audit Candidate 11]])), Audit[[#This Row],[Audit Candidate 11]]-Audit[[#This Row],[Candidate 11]], "")</f>
        <v/>
      </c>
      <c r="AP424" s="18" t="str">
        <f>IF(NOT(ISBLANK(Audit[[#This Row],[Audit Candidate 12]])), Audit[[#This Row],[Audit Candidate 12]]-Audit[[#This Row],[Candidate 12]], "")</f>
        <v/>
      </c>
      <c r="AQ424" s="18">
        <f>SUMIF(Audit[[#This Row],[Difference Winner]:[Difference Candidate 12]], "&gt;0")</f>
        <v>0</v>
      </c>
      <c r="AR424" s="18">
        <f>SUM(Audit[[#This Row],[Difference Winner]:[Difference Candidate 12]])</f>
        <v>0</v>
      </c>
      <c r="AS424" s="18">
        <f>IF(Audit[[#This Row],[Times p Drawn - With Replacement]]&gt;0, IF(Audit[[#This Row],[Canceled Differences]]&lt;0, Audit[[#This Row],[Max Differences]]+ABS(Audit[[#This Row],[Canceled Differences]]), Audit[[#This Row],[Max Differences]]), 0)</f>
        <v>0</v>
      </c>
      <c r="AT424" s="18">
        <f>'Sampling Data'!AB424</f>
        <v>1.2563997864120362E-4</v>
      </c>
      <c r="AU424" s="18">
        <f>IF(
      SUM(Audit[[#This Row],[Audit Losing Candidate]:[Audit Candidate 12]])
      &lt;&gt;0,
      (Audit[[#This Row],[Winning Candidate]]-Audit[[#This Row],[Losing Candidate]]-(Audit[[#This Row],[Audit Winning Candidate]]-Audit[[#This Row],[Audit Losing Candidate]]))/(Audit[[#Totals],[Winning Candidate]]-Audit[[#Totals],[Losing Candidate]]),
      0
)</f>
        <v>0</v>
      </c>
      <c r="AV4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8">
        <f>IF(Audit[[#This Row],[Max Relative Error (ep)]] = 0, 0, Audit[[#This Row],[Max Relative Error (ep)]]/Audit[[#This Row],[Error Bound (up) - Max. possible relative overstatement]])</f>
        <v>0</v>
      </c>
      <c r="BH4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4" s="18">
        <f t="shared" si="7"/>
        <v>1</v>
      </c>
      <c r="BJ424" s="18">
        <f>PRODUCT($BI$5:BI424)</f>
        <v>0.32656797278968008</v>
      </c>
      <c r="BK424" s="20">
        <f>1 - Audit[[#This Row],[K-M P Value]]</f>
        <v>0.67343202721031992</v>
      </c>
      <c r="BL424" s="18" t="str">
        <f>IF(Audit[[#This Row],[K-M P Value]]&gt;1-'General Info'!$B$12,"Continue", "Stop")</f>
        <v>Continue</v>
      </c>
      <c r="BM424" s="23" t="b">
        <f>IF(Audit[[#This Row],[Status - Continue or stop audit]] = "Continue", TRUE, IF(BL423 = "Continue", TRUE, FALSE))</f>
        <v>1</v>
      </c>
      <c r="BN424" s="23"/>
    </row>
    <row r="425" spans="1:66" ht="15" hidden="1" customHeight="1" x14ac:dyDescent="0.35">
      <c r="A425" s="18" t="str">
        <f>'Sampling Data'!AI425</f>
        <v/>
      </c>
      <c r="B425" s="18" t="str">
        <f>'Sampling Data'!A425</f>
        <v>6901 FAIRFX A   (AV)</v>
      </c>
      <c r="C425" s="18">
        <f>'Sampling Data'!B425</f>
        <v>4</v>
      </c>
      <c r="D425" s="18">
        <f>'Sampling Data'!C425</f>
        <v>1</v>
      </c>
      <c r="E425" s="19">
        <f>'Sampling Data'!D425</f>
        <v>0</v>
      </c>
      <c r="F425" s="19">
        <f>'Sampling Data'!E425</f>
        <v>0</v>
      </c>
      <c r="G425" s="19">
        <f>'Sampling Data'!F425</f>
        <v>0</v>
      </c>
      <c r="H425" s="19">
        <f>'Sampling Data'!G425</f>
        <v>0</v>
      </c>
      <c r="I425" s="19">
        <f>'Sampling Data'!H425</f>
        <v>0</v>
      </c>
      <c r="J425" s="19">
        <f>'Sampling Data'!I425</f>
        <v>0</v>
      </c>
      <c r="K425" s="19">
        <f>'Sampling Data'!J425</f>
        <v>0</v>
      </c>
      <c r="L425" s="19">
        <f>'Sampling Data'!K425</f>
        <v>0</v>
      </c>
      <c r="M425" s="19">
        <f>'Sampling Data'!L425</f>
        <v>0</v>
      </c>
      <c r="N425" s="19">
        <f>'Sampling Data'!M425</f>
        <v>0</v>
      </c>
      <c r="O425" s="18">
        <f>'Sampling Data'!N425</f>
        <v>0</v>
      </c>
      <c r="P425" s="18">
        <f>'Sampling Data'!O425</f>
        <v>0</v>
      </c>
      <c r="Q425" s="18">
        <f>'Sampling Data'!P425</f>
        <v>5</v>
      </c>
      <c r="R425" s="18">
        <f>'Sampling Data'!AJ425</f>
        <v>0</v>
      </c>
      <c r="S425" s="112"/>
      <c r="T425" s="112"/>
      <c r="U425" s="113"/>
      <c r="V425" s="113"/>
      <c r="W425" s="112"/>
      <c r="X425" s="112"/>
      <c r="Y425" s="112"/>
      <c r="Z425" s="112"/>
      <c r="AA425" s="15"/>
      <c r="AB425" s="15"/>
      <c r="AC425" s="15"/>
      <c r="AD425" s="15"/>
      <c r="AE425" s="114" t="str">
        <f>IF(NOT(ISBLANK(Audit[[#This Row],[Audit Winning Candidate]])), Audit[[#This Row],[Audit Winning Candidate]]-Audit[[#This Row],[Winning Candidate]], "")</f>
        <v/>
      </c>
      <c r="AF425" s="18" t="str">
        <f>IF(NOT(ISBLANK(Audit[[#This Row],[Audit Losing Candidate]])), Audit[[#This Row],[Audit Losing Candidate]]-Audit[[#This Row],[Losing Candidate]], "")</f>
        <v/>
      </c>
      <c r="AG425" s="18" t="str">
        <f>IF(NOT(ISBLANK(Audit[[#This Row],[Audit Candidate 3]])), Audit[[#This Row],[Audit Candidate 3]]-Audit[[#This Row],[Candidate 3]], "")</f>
        <v/>
      </c>
      <c r="AH425" s="18" t="str">
        <f>IF(NOT(ISBLANK(Audit[[#This Row],[Audit Candidate 4]])),Audit[[#This Row],[Audit Candidate 4]]-Audit[[#This Row],[Candidate 4]], "")</f>
        <v/>
      </c>
      <c r="AI425" s="18" t="str">
        <f>IF(NOT(ISBLANK(Audit[[#This Row],[Audit Candidate 5]])), Audit[[#This Row],[Audit Candidate 5]]-Audit[[#This Row],[Candidate 5]], "")</f>
        <v/>
      </c>
      <c r="AJ425" s="18" t="str">
        <f>IF(NOT(ISBLANK(Audit[[#This Row],[Audit Candidate 6]])), Audit[[#This Row],[Audit Candidate 6]]-Audit[[#This Row],[Candidate 6]], "")</f>
        <v/>
      </c>
      <c r="AK425" s="18" t="str">
        <f>IF(NOT(ISBLANK(Audit[[#This Row],[Audit Candidate 7]])), Audit[[#This Row],[Audit Candidate 7]]-Audit[[#This Row],[Candidate 7]], "")</f>
        <v/>
      </c>
      <c r="AL425" s="18" t="str">
        <f>IF(NOT(ISBLANK(Audit[[#This Row],[Audit Candidate 8]])), Audit[[#This Row],[Audit Candidate 8]]-Audit[[#This Row],[Candidate 8]], "")</f>
        <v/>
      </c>
      <c r="AM425" s="18" t="str">
        <f>IF(NOT(ISBLANK(Audit[[#This Row],[Audit Candidate 9]])), Audit[[#This Row],[Audit Candidate 9]]-Audit[[#This Row],[Candidate 9]], "")</f>
        <v/>
      </c>
      <c r="AN425" s="18" t="str">
        <f>IF(NOT(ISBLANK(Audit[[#This Row],[Audit Candidate 10]])), Audit[[#This Row],[Audit Candidate 10]]-Audit[[#This Row],[Candidate 10]], "")</f>
        <v/>
      </c>
      <c r="AO425" s="18" t="str">
        <f>IF(NOT(ISBLANK(Audit[[#This Row],[Audit Candidate 11]])), Audit[[#This Row],[Audit Candidate 11]]-Audit[[#This Row],[Candidate 11]], "")</f>
        <v/>
      </c>
      <c r="AP425" s="18" t="str">
        <f>IF(NOT(ISBLANK(Audit[[#This Row],[Audit Candidate 12]])), Audit[[#This Row],[Audit Candidate 12]]-Audit[[#This Row],[Candidate 12]], "")</f>
        <v/>
      </c>
      <c r="AQ425" s="18">
        <f>SUMIF(Audit[[#This Row],[Difference Winner]:[Difference Candidate 12]], "&gt;0")</f>
        <v>0</v>
      </c>
      <c r="AR425" s="18">
        <f>SUM(Audit[[#This Row],[Difference Winner]:[Difference Candidate 12]])</f>
        <v>0</v>
      </c>
      <c r="AS425" s="18">
        <f>IF(Audit[[#This Row],[Times p Drawn - With Replacement]]&gt;0, IF(Audit[[#This Row],[Canceled Differences]]&lt;0, Audit[[#This Row],[Max Differences]]+ABS(Audit[[#This Row],[Canceled Differences]]), Audit[[#This Row],[Max Differences]]), 0)</f>
        <v>0</v>
      </c>
      <c r="AT425" s="18">
        <f>'Sampling Data'!AB425</f>
        <v>2.5127995728240724E-4</v>
      </c>
      <c r="AU425" s="18">
        <f>IF(
      SUM(Audit[[#This Row],[Audit Losing Candidate]:[Audit Candidate 12]])
      &lt;&gt;0,
      (Audit[[#This Row],[Winning Candidate]]-Audit[[#This Row],[Losing Candidate]]-(Audit[[#This Row],[Audit Winning Candidate]]-Audit[[#This Row],[Audit Losing Candidate]]))/(Audit[[#Totals],[Winning Candidate]]-Audit[[#Totals],[Losing Candidate]]),
      0
)</f>
        <v>0</v>
      </c>
      <c r="AV4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8">
        <f>IF(Audit[[#This Row],[Max Relative Error (ep)]] = 0, 0, Audit[[#This Row],[Max Relative Error (ep)]]/Audit[[#This Row],[Error Bound (up) - Max. possible relative overstatement]])</f>
        <v>0</v>
      </c>
      <c r="BH4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5" s="18">
        <f t="shared" si="7"/>
        <v>1</v>
      </c>
      <c r="BJ425" s="18">
        <f>PRODUCT($BI$5:BI425)</f>
        <v>0.32656797278968008</v>
      </c>
      <c r="BK425" s="20">
        <f>1 - Audit[[#This Row],[K-M P Value]]</f>
        <v>0.67343202721031992</v>
      </c>
      <c r="BL425" s="18" t="str">
        <f>IF(Audit[[#This Row],[K-M P Value]]&gt;1-'General Info'!$B$12,"Continue", "Stop")</f>
        <v>Continue</v>
      </c>
      <c r="BM425" s="23" t="b">
        <f>IF(Audit[[#This Row],[Status - Continue or stop audit]] = "Continue", TRUE, IF(BL424 = "Continue", TRUE, FALSE))</f>
        <v>1</v>
      </c>
      <c r="BN425" s="23"/>
    </row>
    <row r="426" spans="1:66" ht="15" hidden="1" customHeight="1" x14ac:dyDescent="0.35">
      <c r="A426" s="18" t="str">
        <f>'Sampling Data'!AI426</f>
        <v/>
      </c>
      <c r="B426" s="18" t="str">
        <f>'Sampling Data'!A426</f>
        <v>7001 GLEN A   (AV)</v>
      </c>
      <c r="C426" s="18">
        <f>'Sampling Data'!B426</f>
        <v>16</v>
      </c>
      <c r="D426" s="18">
        <f>'Sampling Data'!C426</f>
        <v>3</v>
      </c>
      <c r="E426" s="19">
        <f>'Sampling Data'!D426</f>
        <v>0</v>
      </c>
      <c r="F426" s="19">
        <f>'Sampling Data'!E426</f>
        <v>0</v>
      </c>
      <c r="G426" s="19">
        <f>'Sampling Data'!F426</f>
        <v>0</v>
      </c>
      <c r="H426" s="19">
        <f>'Sampling Data'!G426</f>
        <v>0</v>
      </c>
      <c r="I426" s="19">
        <f>'Sampling Data'!H426</f>
        <v>0</v>
      </c>
      <c r="J426" s="19">
        <f>'Sampling Data'!I426</f>
        <v>0</v>
      </c>
      <c r="K426" s="19">
        <f>'Sampling Data'!J426</f>
        <v>0</v>
      </c>
      <c r="L426" s="19">
        <f>'Sampling Data'!K426</f>
        <v>0</v>
      </c>
      <c r="M426" s="19">
        <f>'Sampling Data'!L426</f>
        <v>0</v>
      </c>
      <c r="N426" s="19">
        <f>'Sampling Data'!M426</f>
        <v>0</v>
      </c>
      <c r="O426" s="18">
        <f>'Sampling Data'!N426</f>
        <v>0</v>
      </c>
      <c r="P426" s="18">
        <f>'Sampling Data'!O426</f>
        <v>1</v>
      </c>
      <c r="Q426" s="18">
        <f>'Sampling Data'!P426</f>
        <v>20</v>
      </c>
      <c r="R426" s="18">
        <f>'Sampling Data'!AJ426</f>
        <v>0</v>
      </c>
      <c r="S426" s="112"/>
      <c r="T426" s="112"/>
      <c r="U426" s="113"/>
      <c r="V426" s="113"/>
      <c r="W426" s="112"/>
      <c r="X426" s="112"/>
      <c r="Y426" s="112"/>
      <c r="Z426" s="112"/>
      <c r="AA426" s="15"/>
      <c r="AB426" s="15"/>
      <c r="AC426" s="15"/>
      <c r="AD426" s="15"/>
      <c r="AE426" s="114" t="str">
        <f>IF(NOT(ISBLANK(Audit[[#This Row],[Audit Winning Candidate]])), Audit[[#This Row],[Audit Winning Candidate]]-Audit[[#This Row],[Winning Candidate]], "")</f>
        <v/>
      </c>
      <c r="AF426" s="18" t="str">
        <f>IF(NOT(ISBLANK(Audit[[#This Row],[Audit Losing Candidate]])), Audit[[#This Row],[Audit Losing Candidate]]-Audit[[#This Row],[Losing Candidate]], "")</f>
        <v/>
      </c>
      <c r="AG426" s="18" t="str">
        <f>IF(NOT(ISBLANK(Audit[[#This Row],[Audit Candidate 3]])), Audit[[#This Row],[Audit Candidate 3]]-Audit[[#This Row],[Candidate 3]], "")</f>
        <v/>
      </c>
      <c r="AH426" s="18" t="str">
        <f>IF(NOT(ISBLANK(Audit[[#This Row],[Audit Candidate 4]])),Audit[[#This Row],[Audit Candidate 4]]-Audit[[#This Row],[Candidate 4]], "")</f>
        <v/>
      </c>
      <c r="AI426" s="18" t="str">
        <f>IF(NOT(ISBLANK(Audit[[#This Row],[Audit Candidate 5]])), Audit[[#This Row],[Audit Candidate 5]]-Audit[[#This Row],[Candidate 5]], "")</f>
        <v/>
      </c>
      <c r="AJ426" s="18" t="str">
        <f>IF(NOT(ISBLANK(Audit[[#This Row],[Audit Candidate 6]])), Audit[[#This Row],[Audit Candidate 6]]-Audit[[#This Row],[Candidate 6]], "")</f>
        <v/>
      </c>
      <c r="AK426" s="18" t="str">
        <f>IF(NOT(ISBLANK(Audit[[#This Row],[Audit Candidate 7]])), Audit[[#This Row],[Audit Candidate 7]]-Audit[[#This Row],[Candidate 7]], "")</f>
        <v/>
      </c>
      <c r="AL426" s="18" t="str">
        <f>IF(NOT(ISBLANK(Audit[[#This Row],[Audit Candidate 8]])), Audit[[#This Row],[Audit Candidate 8]]-Audit[[#This Row],[Candidate 8]], "")</f>
        <v/>
      </c>
      <c r="AM426" s="18" t="str">
        <f>IF(NOT(ISBLANK(Audit[[#This Row],[Audit Candidate 9]])), Audit[[#This Row],[Audit Candidate 9]]-Audit[[#This Row],[Candidate 9]], "")</f>
        <v/>
      </c>
      <c r="AN426" s="18" t="str">
        <f>IF(NOT(ISBLANK(Audit[[#This Row],[Audit Candidate 10]])), Audit[[#This Row],[Audit Candidate 10]]-Audit[[#This Row],[Candidate 10]], "")</f>
        <v/>
      </c>
      <c r="AO426" s="18" t="str">
        <f>IF(NOT(ISBLANK(Audit[[#This Row],[Audit Candidate 11]])), Audit[[#This Row],[Audit Candidate 11]]-Audit[[#This Row],[Candidate 11]], "")</f>
        <v/>
      </c>
      <c r="AP426" s="18" t="str">
        <f>IF(NOT(ISBLANK(Audit[[#This Row],[Audit Candidate 12]])), Audit[[#This Row],[Audit Candidate 12]]-Audit[[#This Row],[Candidate 12]], "")</f>
        <v/>
      </c>
      <c r="AQ426" s="18">
        <f>SUMIF(Audit[[#This Row],[Difference Winner]:[Difference Candidate 12]], "&gt;0")</f>
        <v>0</v>
      </c>
      <c r="AR426" s="18">
        <f>SUM(Audit[[#This Row],[Difference Winner]:[Difference Candidate 12]])</f>
        <v>0</v>
      </c>
      <c r="AS426" s="18">
        <f>IF(Audit[[#This Row],[Times p Drawn - With Replacement]]&gt;0, IF(Audit[[#This Row],[Canceled Differences]]&lt;0, Audit[[#This Row],[Max Differences]]+ABS(Audit[[#This Row],[Canceled Differences]]), Audit[[#This Row],[Max Differences]]), 0)</f>
        <v>0</v>
      </c>
      <c r="AT426" s="18">
        <f>'Sampling Data'!AB426</f>
        <v>1.0365298237899299E-3</v>
      </c>
      <c r="AU426" s="18">
        <f>IF(
      SUM(Audit[[#This Row],[Audit Losing Candidate]:[Audit Candidate 12]])
      &lt;&gt;0,
      (Audit[[#This Row],[Winning Candidate]]-Audit[[#This Row],[Losing Candidate]]-(Audit[[#This Row],[Audit Winning Candidate]]-Audit[[#This Row],[Audit Losing Candidate]]))/(Audit[[#Totals],[Winning Candidate]]-Audit[[#Totals],[Losing Candidate]]),
      0
)</f>
        <v>0</v>
      </c>
      <c r="AV4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8">
        <f>IF(Audit[[#This Row],[Max Relative Error (ep)]] = 0, 0, Audit[[#This Row],[Max Relative Error (ep)]]/Audit[[#This Row],[Error Bound (up) - Max. possible relative overstatement]])</f>
        <v>0</v>
      </c>
      <c r="BH4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6" s="18">
        <f t="shared" si="7"/>
        <v>1</v>
      </c>
      <c r="BJ426" s="18">
        <f>PRODUCT($BI$5:BI426)</f>
        <v>0.32656797278968008</v>
      </c>
      <c r="BK426" s="20">
        <f>1 - Audit[[#This Row],[K-M P Value]]</f>
        <v>0.67343202721031992</v>
      </c>
      <c r="BL426" s="18" t="str">
        <f>IF(Audit[[#This Row],[K-M P Value]]&gt;1-'General Info'!$B$12,"Continue", "Stop")</f>
        <v>Continue</v>
      </c>
      <c r="BM426" s="23" t="b">
        <f>IF(Audit[[#This Row],[Status - Continue or stop audit]] = "Continue", TRUE, IF(BL425 = "Continue", TRUE, FALSE))</f>
        <v>1</v>
      </c>
      <c r="BN426" s="23"/>
    </row>
    <row r="427" spans="1:66" ht="15" hidden="1" customHeight="1" x14ac:dyDescent="0.35">
      <c r="A427" s="18" t="str">
        <f>'Sampling Data'!AI427</f>
        <v/>
      </c>
      <c r="B427" s="18" t="str">
        <f>'Sampling Data'!A427</f>
        <v>7002 GLEN B   (AV)</v>
      </c>
      <c r="C427" s="18">
        <f>'Sampling Data'!B427</f>
        <v>8</v>
      </c>
      <c r="D427" s="18">
        <f>'Sampling Data'!C427</f>
        <v>1</v>
      </c>
      <c r="E427" s="19">
        <f>'Sampling Data'!D427</f>
        <v>0</v>
      </c>
      <c r="F427" s="19">
        <f>'Sampling Data'!E427</f>
        <v>0</v>
      </c>
      <c r="G427" s="19">
        <f>'Sampling Data'!F427</f>
        <v>0</v>
      </c>
      <c r="H427" s="19">
        <f>'Sampling Data'!G427</f>
        <v>0</v>
      </c>
      <c r="I427" s="19">
        <f>'Sampling Data'!H427</f>
        <v>0</v>
      </c>
      <c r="J427" s="19">
        <f>'Sampling Data'!I427</f>
        <v>0</v>
      </c>
      <c r="K427" s="19">
        <f>'Sampling Data'!J427</f>
        <v>0</v>
      </c>
      <c r="L427" s="19">
        <f>'Sampling Data'!K427</f>
        <v>0</v>
      </c>
      <c r="M427" s="19">
        <f>'Sampling Data'!L427</f>
        <v>0</v>
      </c>
      <c r="N427" s="19">
        <f>'Sampling Data'!M427</f>
        <v>0</v>
      </c>
      <c r="O427" s="18">
        <f>'Sampling Data'!N427</f>
        <v>0</v>
      </c>
      <c r="P427" s="18">
        <f>'Sampling Data'!O427</f>
        <v>0</v>
      </c>
      <c r="Q427" s="18">
        <f>'Sampling Data'!P427</f>
        <v>9</v>
      </c>
      <c r="R427" s="18">
        <f>'Sampling Data'!AJ427</f>
        <v>0</v>
      </c>
      <c r="S427" s="112"/>
      <c r="T427" s="112"/>
      <c r="U427" s="113"/>
      <c r="V427" s="113"/>
      <c r="W427" s="112"/>
      <c r="X427" s="112"/>
      <c r="Y427" s="112"/>
      <c r="Z427" s="112"/>
      <c r="AA427" s="15"/>
      <c r="AB427" s="15"/>
      <c r="AC427" s="15"/>
      <c r="AD427" s="15"/>
      <c r="AE427" s="114" t="str">
        <f>IF(NOT(ISBLANK(Audit[[#This Row],[Audit Winning Candidate]])), Audit[[#This Row],[Audit Winning Candidate]]-Audit[[#This Row],[Winning Candidate]], "")</f>
        <v/>
      </c>
      <c r="AF427" s="18" t="str">
        <f>IF(NOT(ISBLANK(Audit[[#This Row],[Audit Losing Candidate]])), Audit[[#This Row],[Audit Losing Candidate]]-Audit[[#This Row],[Losing Candidate]], "")</f>
        <v/>
      </c>
      <c r="AG427" s="18" t="str">
        <f>IF(NOT(ISBLANK(Audit[[#This Row],[Audit Candidate 3]])), Audit[[#This Row],[Audit Candidate 3]]-Audit[[#This Row],[Candidate 3]], "")</f>
        <v/>
      </c>
      <c r="AH427" s="18" t="str">
        <f>IF(NOT(ISBLANK(Audit[[#This Row],[Audit Candidate 4]])),Audit[[#This Row],[Audit Candidate 4]]-Audit[[#This Row],[Candidate 4]], "")</f>
        <v/>
      </c>
      <c r="AI427" s="18" t="str">
        <f>IF(NOT(ISBLANK(Audit[[#This Row],[Audit Candidate 5]])), Audit[[#This Row],[Audit Candidate 5]]-Audit[[#This Row],[Candidate 5]], "")</f>
        <v/>
      </c>
      <c r="AJ427" s="18" t="str">
        <f>IF(NOT(ISBLANK(Audit[[#This Row],[Audit Candidate 6]])), Audit[[#This Row],[Audit Candidate 6]]-Audit[[#This Row],[Candidate 6]], "")</f>
        <v/>
      </c>
      <c r="AK427" s="18" t="str">
        <f>IF(NOT(ISBLANK(Audit[[#This Row],[Audit Candidate 7]])), Audit[[#This Row],[Audit Candidate 7]]-Audit[[#This Row],[Candidate 7]], "")</f>
        <v/>
      </c>
      <c r="AL427" s="18" t="str">
        <f>IF(NOT(ISBLANK(Audit[[#This Row],[Audit Candidate 8]])), Audit[[#This Row],[Audit Candidate 8]]-Audit[[#This Row],[Candidate 8]], "")</f>
        <v/>
      </c>
      <c r="AM427" s="18" t="str">
        <f>IF(NOT(ISBLANK(Audit[[#This Row],[Audit Candidate 9]])), Audit[[#This Row],[Audit Candidate 9]]-Audit[[#This Row],[Candidate 9]], "")</f>
        <v/>
      </c>
      <c r="AN427" s="18" t="str">
        <f>IF(NOT(ISBLANK(Audit[[#This Row],[Audit Candidate 10]])), Audit[[#This Row],[Audit Candidate 10]]-Audit[[#This Row],[Candidate 10]], "")</f>
        <v/>
      </c>
      <c r="AO427" s="18" t="str">
        <f>IF(NOT(ISBLANK(Audit[[#This Row],[Audit Candidate 11]])), Audit[[#This Row],[Audit Candidate 11]]-Audit[[#This Row],[Candidate 11]], "")</f>
        <v/>
      </c>
      <c r="AP427" s="18" t="str">
        <f>IF(NOT(ISBLANK(Audit[[#This Row],[Audit Candidate 12]])), Audit[[#This Row],[Audit Candidate 12]]-Audit[[#This Row],[Candidate 12]], "")</f>
        <v/>
      </c>
      <c r="AQ427" s="18">
        <f>SUMIF(Audit[[#This Row],[Difference Winner]:[Difference Candidate 12]], "&gt;0")</f>
        <v>0</v>
      </c>
      <c r="AR427" s="18">
        <f>SUM(Audit[[#This Row],[Difference Winner]:[Difference Candidate 12]])</f>
        <v>0</v>
      </c>
      <c r="AS427" s="18">
        <f>IF(Audit[[#This Row],[Times p Drawn - With Replacement]]&gt;0, IF(Audit[[#This Row],[Canceled Differences]]&lt;0, Audit[[#This Row],[Max Differences]]+ABS(Audit[[#This Row],[Canceled Differences]]), Audit[[#This Row],[Max Differences]]), 0)</f>
        <v>0</v>
      </c>
      <c r="AT427" s="18">
        <f>'Sampling Data'!AB427</f>
        <v>5.0255991456481448E-4</v>
      </c>
      <c r="AU427" s="18">
        <f>IF(
      SUM(Audit[[#This Row],[Audit Losing Candidate]:[Audit Candidate 12]])
      &lt;&gt;0,
      (Audit[[#This Row],[Winning Candidate]]-Audit[[#This Row],[Losing Candidate]]-(Audit[[#This Row],[Audit Winning Candidate]]-Audit[[#This Row],[Audit Losing Candidate]]))/(Audit[[#Totals],[Winning Candidate]]-Audit[[#Totals],[Losing Candidate]]),
      0
)</f>
        <v>0</v>
      </c>
      <c r="AV4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8">
        <f>IF(Audit[[#This Row],[Max Relative Error (ep)]] = 0, 0, Audit[[#This Row],[Max Relative Error (ep)]]/Audit[[#This Row],[Error Bound (up) - Max. possible relative overstatement]])</f>
        <v>0</v>
      </c>
      <c r="BH4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7" s="18">
        <f t="shared" si="7"/>
        <v>1</v>
      </c>
      <c r="BJ427" s="18">
        <f>PRODUCT($BI$5:BI427)</f>
        <v>0.32656797278968008</v>
      </c>
      <c r="BK427" s="20">
        <f>1 - Audit[[#This Row],[K-M P Value]]</f>
        <v>0.67343202721031992</v>
      </c>
      <c r="BL427" s="18" t="str">
        <f>IF(Audit[[#This Row],[K-M P Value]]&gt;1-'General Info'!$B$12,"Continue", "Stop")</f>
        <v>Continue</v>
      </c>
      <c r="BM427" s="23" t="b">
        <f>IF(Audit[[#This Row],[Status - Continue or stop audit]] = "Continue", TRUE, IF(BL426 = "Continue", TRUE, FALSE))</f>
        <v>1</v>
      </c>
      <c r="BN427" s="23"/>
    </row>
    <row r="428" spans="1:66" ht="15" hidden="1" customHeight="1" x14ac:dyDescent="0.35">
      <c r="A428" s="18" t="str">
        <f>'Sampling Data'!AI428</f>
        <v/>
      </c>
      <c r="B428" s="18" t="str">
        <f>'Sampling Data'!A428</f>
        <v>7101 GOLF A   (AV)</v>
      </c>
      <c r="C428" s="18">
        <f>'Sampling Data'!B428</f>
        <v>3</v>
      </c>
      <c r="D428" s="18">
        <f>'Sampling Data'!C428</f>
        <v>0</v>
      </c>
      <c r="E428" s="19">
        <f>'Sampling Data'!D428</f>
        <v>0</v>
      </c>
      <c r="F428" s="19">
        <f>'Sampling Data'!E428</f>
        <v>0</v>
      </c>
      <c r="G428" s="19">
        <f>'Sampling Data'!F428</f>
        <v>0</v>
      </c>
      <c r="H428" s="19">
        <f>'Sampling Data'!G428</f>
        <v>0</v>
      </c>
      <c r="I428" s="19">
        <f>'Sampling Data'!H428</f>
        <v>0</v>
      </c>
      <c r="J428" s="19">
        <f>'Sampling Data'!I428</f>
        <v>0</v>
      </c>
      <c r="K428" s="19">
        <f>'Sampling Data'!J428</f>
        <v>0</v>
      </c>
      <c r="L428" s="19">
        <f>'Sampling Data'!K428</f>
        <v>0</v>
      </c>
      <c r="M428" s="19">
        <f>'Sampling Data'!L428</f>
        <v>0</v>
      </c>
      <c r="N428" s="19">
        <f>'Sampling Data'!M428</f>
        <v>0</v>
      </c>
      <c r="O428" s="18">
        <f>'Sampling Data'!N428</f>
        <v>0</v>
      </c>
      <c r="P428" s="18">
        <f>'Sampling Data'!O428</f>
        <v>0</v>
      </c>
      <c r="Q428" s="18">
        <f>'Sampling Data'!P428</f>
        <v>3</v>
      </c>
      <c r="R428" s="18">
        <f>'Sampling Data'!AJ428</f>
        <v>0</v>
      </c>
      <c r="S428" s="112"/>
      <c r="T428" s="112"/>
      <c r="U428" s="113"/>
      <c r="V428" s="113"/>
      <c r="W428" s="112"/>
      <c r="X428" s="112"/>
      <c r="Y428" s="112"/>
      <c r="Z428" s="112"/>
      <c r="AA428" s="15"/>
      <c r="AB428" s="15"/>
      <c r="AC428" s="15"/>
      <c r="AD428" s="15"/>
      <c r="AE428" s="114" t="str">
        <f>IF(NOT(ISBLANK(Audit[[#This Row],[Audit Winning Candidate]])), Audit[[#This Row],[Audit Winning Candidate]]-Audit[[#This Row],[Winning Candidate]], "")</f>
        <v/>
      </c>
      <c r="AF428" s="18" t="str">
        <f>IF(NOT(ISBLANK(Audit[[#This Row],[Audit Losing Candidate]])), Audit[[#This Row],[Audit Losing Candidate]]-Audit[[#This Row],[Losing Candidate]], "")</f>
        <v/>
      </c>
      <c r="AG428" s="18" t="str">
        <f>IF(NOT(ISBLANK(Audit[[#This Row],[Audit Candidate 3]])), Audit[[#This Row],[Audit Candidate 3]]-Audit[[#This Row],[Candidate 3]], "")</f>
        <v/>
      </c>
      <c r="AH428" s="18" t="str">
        <f>IF(NOT(ISBLANK(Audit[[#This Row],[Audit Candidate 4]])),Audit[[#This Row],[Audit Candidate 4]]-Audit[[#This Row],[Candidate 4]], "")</f>
        <v/>
      </c>
      <c r="AI428" s="18" t="str">
        <f>IF(NOT(ISBLANK(Audit[[#This Row],[Audit Candidate 5]])), Audit[[#This Row],[Audit Candidate 5]]-Audit[[#This Row],[Candidate 5]], "")</f>
        <v/>
      </c>
      <c r="AJ428" s="18" t="str">
        <f>IF(NOT(ISBLANK(Audit[[#This Row],[Audit Candidate 6]])), Audit[[#This Row],[Audit Candidate 6]]-Audit[[#This Row],[Candidate 6]], "")</f>
        <v/>
      </c>
      <c r="AK428" s="18" t="str">
        <f>IF(NOT(ISBLANK(Audit[[#This Row],[Audit Candidate 7]])), Audit[[#This Row],[Audit Candidate 7]]-Audit[[#This Row],[Candidate 7]], "")</f>
        <v/>
      </c>
      <c r="AL428" s="18" t="str">
        <f>IF(NOT(ISBLANK(Audit[[#This Row],[Audit Candidate 8]])), Audit[[#This Row],[Audit Candidate 8]]-Audit[[#This Row],[Candidate 8]], "")</f>
        <v/>
      </c>
      <c r="AM428" s="18" t="str">
        <f>IF(NOT(ISBLANK(Audit[[#This Row],[Audit Candidate 9]])), Audit[[#This Row],[Audit Candidate 9]]-Audit[[#This Row],[Candidate 9]], "")</f>
        <v/>
      </c>
      <c r="AN428" s="18" t="str">
        <f>IF(NOT(ISBLANK(Audit[[#This Row],[Audit Candidate 10]])), Audit[[#This Row],[Audit Candidate 10]]-Audit[[#This Row],[Candidate 10]], "")</f>
        <v/>
      </c>
      <c r="AO428" s="18" t="str">
        <f>IF(NOT(ISBLANK(Audit[[#This Row],[Audit Candidate 11]])), Audit[[#This Row],[Audit Candidate 11]]-Audit[[#This Row],[Candidate 11]], "")</f>
        <v/>
      </c>
      <c r="AP428" s="18" t="str">
        <f>IF(NOT(ISBLANK(Audit[[#This Row],[Audit Candidate 12]])), Audit[[#This Row],[Audit Candidate 12]]-Audit[[#This Row],[Candidate 12]], "")</f>
        <v/>
      </c>
      <c r="AQ428" s="18">
        <f>SUMIF(Audit[[#This Row],[Difference Winner]:[Difference Candidate 12]], "&gt;0")</f>
        <v>0</v>
      </c>
      <c r="AR428" s="18">
        <f>SUM(Audit[[#This Row],[Difference Winner]:[Difference Candidate 12]])</f>
        <v>0</v>
      </c>
      <c r="AS428" s="18">
        <f>IF(Audit[[#This Row],[Times p Drawn - With Replacement]]&gt;0, IF(Audit[[#This Row],[Canceled Differences]]&lt;0, Audit[[#This Row],[Max Differences]]+ABS(Audit[[#This Row],[Canceled Differences]]), Audit[[#This Row],[Max Differences]]), 0)</f>
        <v>0</v>
      </c>
      <c r="AT428" s="18">
        <f>'Sampling Data'!AB428</f>
        <v>1.8845996796180544E-4</v>
      </c>
      <c r="AU428" s="18">
        <f>IF(
      SUM(Audit[[#This Row],[Audit Losing Candidate]:[Audit Candidate 12]])
      &lt;&gt;0,
      (Audit[[#This Row],[Winning Candidate]]-Audit[[#This Row],[Losing Candidate]]-(Audit[[#This Row],[Audit Winning Candidate]]-Audit[[#This Row],[Audit Losing Candidate]]))/(Audit[[#Totals],[Winning Candidate]]-Audit[[#Totals],[Losing Candidate]]),
      0
)</f>
        <v>0</v>
      </c>
      <c r="AV4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8">
        <f>IF(Audit[[#This Row],[Max Relative Error (ep)]] = 0, 0, Audit[[#This Row],[Max Relative Error (ep)]]/Audit[[#This Row],[Error Bound (up) - Max. possible relative overstatement]])</f>
        <v>0</v>
      </c>
      <c r="BH4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8" s="18">
        <f t="shared" si="7"/>
        <v>1</v>
      </c>
      <c r="BJ428" s="18">
        <f>PRODUCT($BI$5:BI428)</f>
        <v>0.32656797278968008</v>
      </c>
      <c r="BK428" s="20">
        <f>1 - Audit[[#This Row],[K-M P Value]]</f>
        <v>0.67343202721031992</v>
      </c>
      <c r="BL428" s="18" t="str">
        <f>IF(Audit[[#This Row],[K-M P Value]]&gt;1-'General Info'!$B$12,"Continue", "Stop")</f>
        <v>Continue</v>
      </c>
      <c r="BM428" s="23" t="b">
        <f>IF(Audit[[#This Row],[Status - Continue or stop audit]] = "Continue", TRUE, IF(BL427 = "Continue", TRUE, FALSE))</f>
        <v>1</v>
      </c>
      <c r="BN428" s="23"/>
    </row>
    <row r="429" spans="1:66" ht="15" hidden="1" customHeight="1" x14ac:dyDescent="0.35">
      <c r="A429" s="18" t="str">
        <f>'Sampling Data'!AI429</f>
        <v/>
      </c>
      <c r="B429" s="18" t="str">
        <f>'Sampling Data'!A429</f>
        <v>7102 GOLF B   (AV)</v>
      </c>
      <c r="C429" s="18">
        <f>'Sampling Data'!B429</f>
        <v>2</v>
      </c>
      <c r="D429" s="18">
        <f>'Sampling Data'!C429</f>
        <v>0</v>
      </c>
      <c r="E429" s="19">
        <f>'Sampling Data'!D429</f>
        <v>0</v>
      </c>
      <c r="F429" s="19">
        <f>'Sampling Data'!E429</f>
        <v>0</v>
      </c>
      <c r="G429" s="19">
        <f>'Sampling Data'!F429</f>
        <v>0</v>
      </c>
      <c r="H429" s="19">
        <f>'Sampling Data'!G429</f>
        <v>0</v>
      </c>
      <c r="I429" s="19">
        <f>'Sampling Data'!H429</f>
        <v>0</v>
      </c>
      <c r="J429" s="19">
        <f>'Sampling Data'!I429</f>
        <v>0</v>
      </c>
      <c r="K429" s="19">
        <f>'Sampling Data'!J429</f>
        <v>0</v>
      </c>
      <c r="L429" s="19">
        <f>'Sampling Data'!K429</f>
        <v>0</v>
      </c>
      <c r="M429" s="19">
        <f>'Sampling Data'!L429</f>
        <v>0</v>
      </c>
      <c r="N429" s="19">
        <f>'Sampling Data'!M429</f>
        <v>0</v>
      </c>
      <c r="O429" s="18">
        <f>'Sampling Data'!N429</f>
        <v>0</v>
      </c>
      <c r="P429" s="18">
        <f>'Sampling Data'!O429</f>
        <v>0</v>
      </c>
      <c r="Q429" s="18">
        <f>'Sampling Data'!P429</f>
        <v>2</v>
      </c>
      <c r="R429" s="18">
        <f>'Sampling Data'!AJ429</f>
        <v>0</v>
      </c>
      <c r="S429" s="112"/>
      <c r="T429" s="112"/>
      <c r="U429" s="113"/>
      <c r="V429" s="113"/>
      <c r="W429" s="112"/>
      <c r="X429" s="112"/>
      <c r="Y429" s="112"/>
      <c r="Z429" s="112"/>
      <c r="AA429" s="15"/>
      <c r="AB429" s="15"/>
      <c r="AC429" s="15"/>
      <c r="AD429" s="15"/>
      <c r="AE429" s="114" t="str">
        <f>IF(NOT(ISBLANK(Audit[[#This Row],[Audit Winning Candidate]])), Audit[[#This Row],[Audit Winning Candidate]]-Audit[[#This Row],[Winning Candidate]], "")</f>
        <v/>
      </c>
      <c r="AF429" s="18" t="str">
        <f>IF(NOT(ISBLANK(Audit[[#This Row],[Audit Losing Candidate]])), Audit[[#This Row],[Audit Losing Candidate]]-Audit[[#This Row],[Losing Candidate]], "")</f>
        <v/>
      </c>
      <c r="AG429" s="18" t="str">
        <f>IF(NOT(ISBLANK(Audit[[#This Row],[Audit Candidate 3]])), Audit[[#This Row],[Audit Candidate 3]]-Audit[[#This Row],[Candidate 3]], "")</f>
        <v/>
      </c>
      <c r="AH429" s="18" t="str">
        <f>IF(NOT(ISBLANK(Audit[[#This Row],[Audit Candidate 4]])),Audit[[#This Row],[Audit Candidate 4]]-Audit[[#This Row],[Candidate 4]], "")</f>
        <v/>
      </c>
      <c r="AI429" s="18" t="str">
        <f>IF(NOT(ISBLANK(Audit[[#This Row],[Audit Candidate 5]])), Audit[[#This Row],[Audit Candidate 5]]-Audit[[#This Row],[Candidate 5]], "")</f>
        <v/>
      </c>
      <c r="AJ429" s="18" t="str">
        <f>IF(NOT(ISBLANK(Audit[[#This Row],[Audit Candidate 6]])), Audit[[#This Row],[Audit Candidate 6]]-Audit[[#This Row],[Candidate 6]], "")</f>
        <v/>
      </c>
      <c r="AK429" s="18" t="str">
        <f>IF(NOT(ISBLANK(Audit[[#This Row],[Audit Candidate 7]])), Audit[[#This Row],[Audit Candidate 7]]-Audit[[#This Row],[Candidate 7]], "")</f>
        <v/>
      </c>
      <c r="AL429" s="18" t="str">
        <f>IF(NOT(ISBLANK(Audit[[#This Row],[Audit Candidate 8]])), Audit[[#This Row],[Audit Candidate 8]]-Audit[[#This Row],[Candidate 8]], "")</f>
        <v/>
      </c>
      <c r="AM429" s="18" t="str">
        <f>IF(NOT(ISBLANK(Audit[[#This Row],[Audit Candidate 9]])), Audit[[#This Row],[Audit Candidate 9]]-Audit[[#This Row],[Candidate 9]], "")</f>
        <v/>
      </c>
      <c r="AN429" s="18" t="str">
        <f>IF(NOT(ISBLANK(Audit[[#This Row],[Audit Candidate 10]])), Audit[[#This Row],[Audit Candidate 10]]-Audit[[#This Row],[Candidate 10]], "")</f>
        <v/>
      </c>
      <c r="AO429" s="18" t="str">
        <f>IF(NOT(ISBLANK(Audit[[#This Row],[Audit Candidate 11]])), Audit[[#This Row],[Audit Candidate 11]]-Audit[[#This Row],[Candidate 11]], "")</f>
        <v/>
      </c>
      <c r="AP429" s="18" t="str">
        <f>IF(NOT(ISBLANK(Audit[[#This Row],[Audit Candidate 12]])), Audit[[#This Row],[Audit Candidate 12]]-Audit[[#This Row],[Candidate 12]], "")</f>
        <v/>
      </c>
      <c r="AQ429" s="18">
        <f>SUMIF(Audit[[#This Row],[Difference Winner]:[Difference Candidate 12]], "&gt;0")</f>
        <v>0</v>
      </c>
      <c r="AR429" s="18">
        <f>SUM(Audit[[#This Row],[Difference Winner]:[Difference Candidate 12]])</f>
        <v>0</v>
      </c>
      <c r="AS429" s="18">
        <f>IF(Audit[[#This Row],[Times p Drawn - With Replacement]]&gt;0, IF(Audit[[#This Row],[Canceled Differences]]&lt;0, Audit[[#This Row],[Max Differences]]+ABS(Audit[[#This Row],[Canceled Differences]]), Audit[[#This Row],[Max Differences]]), 0)</f>
        <v>0</v>
      </c>
      <c r="AT429" s="18">
        <f>'Sampling Data'!AB429</f>
        <v>1.2563997864120362E-4</v>
      </c>
      <c r="AU429" s="18">
        <f>IF(
      SUM(Audit[[#This Row],[Audit Losing Candidate]:[Audit Candidate 12]])
      &lt;&gt;0,
      (Audit[[#This Row],[Winning Candidate]]-Audit[[#This Row],[Losing Candidate]]-(Audit[[#This Row],[Audit Winning Candidate]]-Audit[[#This Row],[Audit Losing Candidate]]))/(Audit[[#Totals],[Winning Candidate]]-Audit[[#Totals],[Losing Candidate]]),
      0
)</f>
        <v>0</v>
      </c>
      <c r="AV4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8">
        <f>IF(Audit[[#This Row],[Max Relative Error (ep)]] = 0, 0, Audit[[#This Row],[Max Relative Error (ep)]]/Audit[[#This Row],[Error Bound (up) - Max. possible relative overstatement]])</f>
        <v>0</v>
      </c>
      <c r="BH4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29" s="18">
        <f t="shared" si="7"/>
        <v>1</v>
      </c>
      <c r="BJ429" s="18">
        <f>PRODUCT($BI$5:BI429)</f>
        <v>0.32656797278968008</v>
      </c>
      <c r="BK429" s="20">
        <f>1 - Audit[[#This Row],[K-M P Value]]</f>
        <v>0.67343202721031992</v>
      </c>
      <c r="BL429" s="18" t="str">
        <f>IF(Audit[[#This Row],[K-M P Value]]&gt;1-'General Info'!$B$12,"Continue", "Stop")</f>
        <v>Continue</v>
      </c>
      <c r="BM429" s="23" t="b">
        <f>IF(Audit[[#This Row],[Status - Continue or stop audit]] = "Continue", TRUE, IF(BL428 = "Continue", TRUE, FALSE))</f>
        <v>1</v>
      </c>
      <c r="BN429" s="23"/>
    </row>
    <row r="430" spans="1:66" ht="15" hidden="1" customHeight="1" x14ac:dyDescent="0.35">
      <c r="A430" s="18" t="str">
        <f>'Sampling Data'!AI430</f>
        <v/>
      </c>
      <c r="B430" s="18" t="str">
        <f>'Sampling Data'!A430</f>
        <v>7301 GREEN A   (AV)</v>
      </c>
      <c r="C430" s="18">
        <f>'Sampling Data'!B430</f>
        <v>13</v>
      </c>
      <c r="D430" s="18">
        <f>'Sampling Data'!C430</f>
        <v>0</v>
      </c>
      <c r="E430" s="19">
        <f>'Sampling Data'!D430</f>
        <v>0</v>
      </c>
      <c r="F430" s="19">
        <f>'Sampling Data'!E430</f>
        <v>0</v>
      </c>
      <c r="G430" s="19">
        <f>'Sampling Data'!F430</f>
        <v>0</v>
      </c>
      <c r="H430" s="19">
        <f>'Sampling Data'!G430</f>
        <v>0</v>
      </c>
      <c r="I430" s="19">
        <f>'Sampling Data'!H430</f>
        <v>0</v>
      </c>
      <c r="J430" s="19">
        <f>'Sampling Data'!I430</f>
        <v>0</v>
      </c>
      <c r="K430" s="19">
        <f>'Sampling Data'!J430</f>
        <v>0</v>
      </c>
      <c r="L430" s="19">
        <f>'Sampling Data'!K430</f>
        <v>0</v>
      </c>
      <c r="M430" s="19">
        <f>'Sampling Data'!L430</f>
        <v>0</v>
      </c>
      <c r="N430" s="19">
        <f>'Sampling Data'!M430</f>
        <v>0</v>
      </c>
      <c r="O430" s="18">
        <f>'Sampling Data'!N430</f>
        <v>0</v>
      </c>
      <c r="P430" s="18">
        <f>'Sampling Data'!O430</f>
        <v>0</v>
      </c>
      <c r="Q430" s="18">
        <f>'Sampling Data'!P430</f>
        <v>13</v>
      </c>
      <c r="R430" s="18">
        <f>'Sampling Data'!AJ430</f>
        <v>0</v>
      </c>
      <c r="S430" s="112"/>
      <c r="T430" s="112"/>
      <c r="U430" s="113"/>
      <c r="V430" s="113"/>
      <c r="W430" s="112"/>
      <c r="X430" s="112"/>
      <c r="Y430" s="112"/>
      <c r="Z430" s="112"/>
      <c r="AA430" s="15"/>
      <c r="AB430" s="15"/>
      <c r="AC430" s="15"/>
      <c r="AD430" s="15"/>
      <c r="AE430" s="114" t="str">
        <f>IF(NOT(ISBLANK(Audit[[#This Row],[Audit Winning Candidate]])), Audit[[#This Row],[Audit Winning Candidate]]-Audit[[#This Row],[Winning Candidate]], "")</f>
        <v/>
      </c>
      <c r="AF430" s="18" t="str">
        <f>IF(NOT(ISBLANK(Audit[[#This Row],[Audit Losing Candidate]])), Audit[[#This Row],[Audit Losing Candidate]]-Audit[[#This Row],[Losing Candidate]], "")</f>
        <v/>
      </c>
      <c r="AG430" s="18" t="str">
        <f>IF(NOT(ISBLANK(Audit[[#This Row],[Audit Candidate 3]])), Audit[[#This Row],[Audit Candidate 3]]-Audit[[#This Row],[Candidate 3]], "")</f>
        <v/>
      </c>
      <c r="AH430" s="18" t="str">
        <f>IF(NOT(ISBLANK(Audit[[#This Row],[Audit Candidate 4]])),Audit[[#This Row],[Audit Candidate 4]]-Audit[[#This Row],[Candidate 4]], "")</f>
        <v/>
      </c>
      <c r="AI430" s="18" t="str">
        <f>IF(NOT(ISBLANK(Audit[[#This Row],[Audit Candidate 5]])), Audit[[#This Row],[Audit Candidate 5]]-Audit[[#This Row],[Candidate 5]], "")</f>
        <v/>
      </c>
      <c r="AJ430" s="18" t="str">
        <f>IF(NOT(ISBLANK(Audit[[#This Row],[Audit Candidate 6]])), Audit[[#This Row],[Audit Candidate 6]]-Audit[[#This Row],[Candidate 6]], "")</f>
        <v/>
      </c>
      <c r="AK430" s="18" t="str">
        <f>IF(NOT(ISBLANK(Audit[[#This Row],[Audit Candidate 7]])), Audit[[#This Row],[Audit Candidate 7]]-Audit[[#This Row],[Candidate 7]], "")</f>
        <v/>
      </c>
      <c r="AL430" s="18" t="str">
        <f>IF(NOT(ISBLANK(Audit[[#This Row],[Audit Candidate 8]])), Audit[[#This Row],[Audit Candidate 8]]-Audit[[#This Row],[Candidate 8]], "")</f>
        <v/>
      </c>
      <c r="AM430" s="18" t="str">
        <f>IF(NOT(ISBLANK(Audit[[#This Row],[Audit Candidate 9]])), Audit[[#This Row],[Audit Candidate 9]]-Audit[[#This Row],[Candidate 9]], "")</f>
        <v/>
      </c>
      <c r="AN430" s="18" t="str">
        <f>IF(NOT(ISBLANK(Audit[[#This Row],[Audit Candidate 10]])), Audit[[#This Row],[Audit Candidate 10]]-Audit[[#This Row],[Candidate 10]], "")</f>
        <v/>
      </c>
      <c r="AO430" s="18" t="str">
        <f>IF(NOT(ISBLANK(Audit[[#This Row],[Audit Candidate 11]])), Audit[[#This Row],[Audit Candidate 11]]-Audit[[#This Row],[Candidate 11]], "")</f>
        <v/>
      </c>
      <c r="AP430" s="18" t="str">
        <f>IF(NOT(ISBLANK(Audit[[#This Row],[Audit Candidate 12]])), Audit[[#This Row],[Audit Candidate 12]]-Audit[[#This Row],[Candidate 12]], "")</f>
        <v/>
      </c>
      <c r="AQ430" s="18">
        <f>SUMIF(Audit[[#This Row],[Difference Winner]:[Difference Candidate 12]], "&gt;0")</f>
        <v>0</v>
      </c>
      <c r="AR430" s="18">
        <f>SUM(Audit[[#This Row],[Difference Winner]:[Difference Candidate 12]])</f>
        <v>0</v>
      </c>
      <c r="AS430" s="18">
        <f>IF(Audit[[#This Row],[Times p Drawn - With Replacement]]&gt;0, IF(Audit[[#This Row],[Canceled Differences]]&lt;0, Audit[[#This Row],[Max Differences]]+ABS(Audit[[#This Row],[Canceled Differences]]), Audit[[#This Row],[Max Differences]]), 0)</f>
        <v>0</v>
      </c>
      <c r="AT430" s="18">
        <f>'Sampling Data'!AB430</f>
        <v>8.1665986116782364E-4</v>
      </c>
      <c r="AU430" s="18">
        <f>IF(
      SUM(Audit[[#This Row],[Audit Losing Candidate]:[Audit Candidate 12]])
      &lt;&gt;0,
      (Audit[[#This Row],[Winning Candidate]]-Audit[[#This Row],[Losing Candidate]]-(Audit[[#This Row],[Audit Winning Candidate]]-Audit[[#This Row],[Audit Losing Candidate]]))/(Audit[[#Totals],[Winning Candidate]]-Audit[[#Totals],[Losing Candidate]]),
      0
)</f>
        <v>0</v>
      </c>
      <c r="AV4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8">
        <f>IF(Audit[[#This Row],[Max Relative Error (ep)]] = 0, 0, Audit[[#This Row],[Max Relative Error (ep)]]/Audit[[#This Row],[Error Bound (up) - Max. possible relative overstatement]])</f>
        <v>0</v>
      </c>
      <c r="BH4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0" s="18">
        <f t="shared" si="7"/>
        <v>1</v>
      </c>
      <c r="BJ430" s="18">
        <f>PRODUCT($BI$5:BI430)</f>
        <v>0.32656797278968008</v>
      </c>
      <c r="BK430" s="20">
        <f>1 - Audit[[#This Row],[K-M P Value]]</f>
        <v>0.67343202721031992</v>
      </c>
      <c r="BL430" s="18" t="str">
        <f>IF(Audit[[#This Row],[K-M P Value]]&gt;1-'General Info'!$B$12,"Continue", "Stop")</f>
        <v>Continue</v>
      </c>
      <c r="BM430" s="23" t="b">
        <f>IF(Audit[[#This Row],[Status - Continue or stop audit]] = "Continue", TRUE, IF(BL429 = "Continue", TRUE, FALSE))</f>
        <v>1</v>
      </c>
      <c r="BN430" s="23"/>
    </row>
    <row r="431" spans="1:66" ht="15" hidden="1" customHeight="1" x14ac:dyDescent="0.35">
      <c r="A431" s="18" t="str">
        <f>'Sampling Data'!AI431</f>
        <v/>
      </c>
      <c r="B431" s="18" t="str">
        <f>'Sampling Data'!A431</f>
        <v>7302 GREEN B   (AV)</v>
      </c>
      <c r="C431" s="18">
        <f>'Sampling Data'!B431</f>
        <v>10</v>
      </c>
      <c r="D431" s="18">
        <f>'Sampling Data'!C431</f>
        <v>2</v>
      </c>
      <c r="E431" s="19">
        <f>'Sampling Data'!D431</f>
        <v>0</v>
      </c>
      <c r="F431" s="19">
        <f>'Sampling Data'!E431</f>
        <v>0</v>
      </c>
      <c r="G431" s="19">
        <f>'Sampling Data'!F431</f>
        <v>0</v>
      </c>
      <c r="H431" s="19">
        <f>'Sampling Data'!G431</f>
        <v>0</v>
      </c>
      <c r="I431" s="19">
        <f>'Sampling Data'!H431</f>
        <v>0</v>
      </c>
      <c r="J431" s="19">
        <f>'Sampling Data'!I431</f>
        <v>0</v>
      </c>
      <c r="K431" s="19">
        <f>'Sampling Data'!J431</f>
        <v>0</v>
      </c>
      <c r="L431" s="19">
        <f>'Sampling Data'!K431</f>
        <v>0</v>
      </c>
      <c r="M431" s="19">
        <f>'Sampling Data'!L431</f>
        <v>0</v>
      </c>
      <c r="N431" s="19">
        <f>'Sampling Data'!M431</f>
        <v>0</v>
      </c>
      <c r="O431" s="18">
        <f>'Sampling Data'!N431</f>
        <v>0</v>
      </c>
      <c r="P431" s="18">
        <f>'Sampling Data'!O431</f>
        <v>1</v>
      </c>
      <c r="Q431" s="18">
        <f>'Sampling Data'!P431</f>
        <v>13</v>
      </c>
      <c r="R431" s="18">
        <f>'Sampling Data'!AJ431</f>
        <v>0</v>
      </c>
      <c r="S431" s="112"/>
      <c r="T431" s="112"/>
      <c r="U431" s="113"/>
      <c r="V431" s="113"/>
      <c r="W431" s="112"/>
      <c r="X431" s="112"/>
      <c r="Y431" s="112"/>
      <c r="Z431" s="112"/>
      <c r="AA431" s="15"/>
      <c r="AB431" s="15"/>
      <c r="AC431" s="15"/>
      <c r="AD431" s="15"/>
      <c r="AE431" s="114" t="str">
        <f>IF(NOT(ISBLANK(Audit[[#This Row],[Audit Winning Candidate]])), Audit[[#This Row],[Audit Winning Candidate]]-Audit[[#This Row],[Winning Candidate]], "")</f>
        <v/>
      </c>
      <c r="AF431" s="18" t="str">
        <f>IF(NOT(ISBLANK(Audit[[#This Row],[Audit Losing Candidate]])), Audit[[#This Row],[Audit Losing Candidate]]-Audit[[#This Row],[Losing Candidate]], "")</f>
        <v/>
      </c>
      <c r="AG431" s="18" t="str">
        <f>IF(NOT(ISBLANK(Audit[[#This Row],[Audit Candidate 3]])), Audit[[#This Row],[Audit Candidate 3]]-Audit[[#This Row],[Candidate 3]], "")</f>
        <v/>
      </c>
      <c r="AH431" s="18" t="str">
        <f>IF(NOT(ISBLANK(Audit[[#This Row],[Audit Candidate 4]])),Audit[[#This Row],[Audit Candidate 4]]-Audit[[#This Row],[Candidate 4]], "")</f>
        <v/>
      </c>
      <c r="AI431" s="18" t="str">
        <f>IF(NOT(ISBLANK(Audit[[#This Row],[Audit Candidate 5]])), Audit[[#This Row],[Audit Candidate 5]]-Audit[[#This Row],[Candidate 5]], "")</f>
        <v/>
      </c>
      <c r="AJ431" s="18" t="str">
        <f>IF(NOT(ISBLANK(Audit[[#This Row],[Audit Candidate 6]])), Audit[[#This Row],[Audit Candidate 6]]-Audit[[#This Row],[Candidate 6]], "")</f>
        <v/>
      </c>
      <c r="AK431" s="18" t="str">
        <f>IF(NOT(ISBLANK(Audit[[#This Row],[Audit Candidate 7]])), Audit[[#This Row],[Audit Candidate 7]]-Audit[[#This Row],[Candidate 7]], "")</f>
        <v/>
      </c>
      <c r="AL431" s="18" t="str">
        <f>IF(NOT(ISBLANK(Audit[[#This Row],[Audit Candidate 8]])), Audit[[#This Row],[Audit Candidate 8]]-Audit[[#This Row],[Candidate 8]], "")</f>
        <v/>
      </c>
      <c r="AM431" s="18" t="str">
        <f>IF(NOT(ISBLANK(Audit[[#This Row],[Audit Candidate 9]])), Audit[[#This Row],[Audit Candidate 9]]-Audit[[#This Row],[Candidate 9]], "")</f>
        <v/>
      </c>
      <c r="AN431" s="18" t="str">
        <f>IF(NOT(ISBLANK(Audit[[#This Row],[Audit Candidate 10]])), Audit[[#This Row],[Audit Candidate 10]]-Audit[[#This Row],[Candidate 10]], "")</f>
        <v/>
      </c>
      <c r="AO431" s="18" t="str">
        <f>IF(NOT(ISBLANK(Audit[[#This Row],[Audit Candidate 11]])), Audit[[#This Row],[Audit Candidate 11]]-Audit[[#This Row],[Candidate 11]], "")</f>
        <v/>
      </c>
      <c r="AP431" s="18" t="str">
        <f>IF(NOT(ISBLANK(Audit[[#This Row],[Audit Candidate 12]])), Audit[[#This Row],[Audit Candidate 12]]-Audit[[#This Row],[Candidate 12]], "")</f>
        <v/>
      </c>
      <c r="AQ431" s="18">
        <f>SUMIF(Audit[[#This Row],[Difference Winner]:[Difference Candidate 12]], "&gt;0")</f>
        <v>0</v>
      </c>
      <c r="AR431" s="18">
        <f>SUM(Audit[[#This Row],[Difference Winner]:[Difference Candidate 12]])</f>
        <v>0</v>
      </c>
      <c r="AS431" s="18">
        <f>IF(Audit[[#This Row],[Times p Drawn - With Replacement]]&gt;0, IF(Audit[[#This Row],[Canceled Differences]]&lt;0, Audit[[#This Row],[Max Differences]]+ABS(Audit[[#This Row],[Canceled Differences]]), Audit[[#This Row],[Max Differences]]), 0)</f>
        <v>0</v>
      </c>
      <c r="AT431" s="18">
        <f>'Sampling Data'!AB431</f>
        <v>6.5960988786631911E-4</v>
      </c>
      <c r="AU431" s="18">
        <f>IF(
      SUM(Audit[[#This Row],[Audit Losing Candidate]:[Audit Candidate 12]])
      &lt;&gt;0,
      (Audit[[#This Row],[Winning Candidate]]-Audit[[#This Row],[Losing Candidate]]-(Audit[[#This Row],[Audit Winning Candidate]]-Audit[[#This Row],[Audit Losing Candidate]]))/(Audit[[#Totals],[Winning Candidate]]-Audit[[#Totals],[Losing Candidate]]),
      0
)</f>
        <v>0</v>
      </c>
      <c r="AV4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8">
        <f>IF(Audit[[#This Row],[Max Relative Error (ep)]] = 0, 0, Audit[[#This Row],[Max Relative Error (ep)]]/Audit[[#This Row],[Error Bound (up) - Max. possible relative overstatement]])</f>
        <v>0</v>
      </c>
      <c r="BH4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1" s="18">
        <f t="shared" si="7"/>
        <v>1</v>
      </c>
      <c r="BJ431" s="18">
        <f>PRODUCT($BI$5:BI431)</f>
        <v>0.32656797278968008</v>
      </c>
      <c r="BK431" s="20">
        <f>1 - Audit[[#This Row],[K-M P Value]]</f>
        <v>0.67343202721031992</v>
      </c>
      <c r="BL431" s="18" t="str">
        <f>IF(Audit[[#This Row],[K-M P Value]]&gt;1-'General Info'!$B$12,"Continue", "Stop")</f>
        <v>Continue</v>
      </c>
      <c r="BM431" s="23" t="b">
        <f>IF(Audit[[#This Row],[Status - Continue or stop audit]] = "Continue", TRUE, IF(BL430 = "Continue", TRUE, FALSE))</f>
        <v>1</v>
      </c>
      <c r="BN431" s="23"/>
    </row>
    <row r="432" spans="1:66" ht="15" hidden="1" customHeight="1" x14ac:dyDescent="0.35">
      <c r="A432" s="18" t="str">
        <f>'Sampling Data'!AI432</f>
        <v/>
      </c>
      <c r="B432" s="18" t="str">
        <f>'Sampling Data'!A432</f>
        <v>7303 GREEN C   (AV)</v>
      </c>
      <c r="C432" s="18">
        <f>'Sampling Data'!B432</f>
        <v>5</v>
      </c>
      <c r="D432" s="18">
        <f>'Sampling Data'!C432</f>
        <v>1</v>
      </c>
      <c r="E432" s="19">
        <f>'Sampling Data'!D432</f>
        <v>0</v>
      </c>
      <c r="F432" s="19">
        <f>'Sampling Data'!E432</f>
        <v>0</v>
      </c>
      <c r="G432" s="19">
        <f>'Sampling Data'!F432</f>
        <v>0</v>
      </c>
      <c r="H432" s="19">
        <f>'Sampling Data'!G432</f>
        <v>0</v>
      </c>
      <c r="I432" s="19">
        <f>'Sampling Data'!H432</f>
        <v>0</v>
      </c>
      <c r="J432" s="19">
        <f>'Sampling Data'!I432</f>
        <v>0</v>
      </c>
      <c r="K432" s="19">
        <f>'Sampling Data'!J432</f>
        <v>0</v>
      </c>
      <c r="L432" s="19">
        <f>'Sampling Data'!K432</f>
        <v>0</v>
      </c>
      <c r="M432" s="19">
        <f>'Sampling Data'!L432</f>
        <v>0</v>
      </c>
      <c r="N432" s="19">
        <f>'Sampling Data'!M432</f>
        <v>0</v>
      </c>
      <c r="O432" s="18">
        <f>'Sampling Data'!N432</f>
        <v>0</v>
      </c>
      <c r="P432" s="18">
        <f>'Sampling Data'!O432</f>
        <v>1</v>
      </c>
      <c r="Q432" s="18">
        <f>'Sampling Data'!P432</f>
        <v>7</v>
      </c>
      <c r="R432" s="18">
        <f>'Sampling Data'!AJ432</f>
        <v>0</v>
      </c>
      <c r="S432" s="112"/>
      <c r="T432" s="112"/>
      <c r="U432" s="113"/>
      <c r="V432" s="113"/>
      <c r="W432" s="112"/>
      <c r="X432" s="112"/>
      <c r="Y432" s="112"/>
      <c r="Z432" s="112"/>
      <c r="AA432" s="15"/>
      <c r="AB432" s="15"/>
      <c r="AC432" s="15"/>
      <c r="AD432" s="15"/>
      <c r="AE432" s="114" t="str">
        <f>IF(NOT(ISBLANK(Audit[[#This Row],[Audit Winning Candidate]])), Audit[[#This Row],[Audit Winning Candidate]]-Audit[[#This Row],[Winning Candidate]], "")</f>
        <v/>
      </c>
      <c r="AF432" s="18" t="str">
        <f>IF(NOT(ISBLANK(Audit[[#This Row],[Audit Losing Candidate]])), Audit[[#This Row],[Audit Losing Candidate]]-Audit[[#This Row],[Losing Candidate]], "")</f>
        <v/>
      </c>
      <c r="AG432" s="18" t="str">
        <f>IF(NOT(ISBLANK(Audit[[#This Row],[Audit Candidate 3]])), Audit[[#This Row],[Audit Candidate 3]]-Audit[[#This Row],[Candidate 3]], "")</f>
        <v/>
      </c>
      <c r="AH432" s="18" t="str">
        <f>IF(NOT(ISBLANK(Audit[[#This Row],[Audit Candidate 4]])),Audit[[#This Row],[Audit Candidate 4]]-Audit[[#This Row],[Candidate 4]], "")</f>
        <v/>
      </c>
      <c r="AI432" s="18" t="str">
        <f>IF(NOT(ISBLANK(Audit[[#This Row],[Audit Candidate 5]])), Audit[[#This Row],[Audit Candidate 5]]-Audit[[#This Row],[Candidate 5]], "")</f>
        <v/>
      </c>
      <c r="AJ432" s="18" t="str">
        <f>IF(NOT(ISBLANK(Audit[[#This Row],[Audit Candidate 6]])), Audit[[#This Row],[Audit Candidate 6]]-Audit[[#This Row],[Candidate 6]], "")</f>
        <v/>
      </c>
      <c r="AK432" s="18" t="str">
        <f>IF(NOT(ISBLANK(Audit[[#This Row],[Audit Candidate 7]])), Audit[[#This Row],[Audit Candidate 7]]-Audit[[#This Row],[Candidate 7]], "")</f>
        <v/>
      </c>
      <c r="AL432" s="18" t="str">
        <f>IF(NOT(ISBLANK(Audit[[#This Row],[Audit Candidate 8]])), Audit[[#This Row],[Audit Candidate 8]]-Audit[[#This Row],[Candidate 8]], "")</f>
        <v/>
      </c>
      <c r="AM432" s="18" t="str">
        <f>IF(NOT(ISBLANK(Audit[[#This Row],[Audit Candidate 9]])), Audit[[#This Row],[Audit Candidate 9]]-Audit[[#This Row],[Candidate 9]], "")</f>
        <v/>
      </c>
      <c r="AN432" s="18" t="str">
        <f>IF(NOT(ISBLANK(Audit[[#This Row],[Audit Candidate 10]])), Audit[[#This Row],[Audit Candidate 10]]-Audit[[#This Row],[Candidate 10]], "")</f>
        <v/>
      </c>
      <c r="AO432" s="18" t="str">
        <f>IF(NOT(ISBLANK(Audit[[#This Row],[Audit Candidate 11]])), Audit[[#This Row],[Audit Candidate 11]]-Audit[[#This Row],[Candidate 11]], "")</f>
        <v/>
      </c>
      <c r="AP432" s="18" t="str">
        <f>IF(NOT(ISBLANK(Audit[[#This Row],[Audit Candidate 12]])), Audit[[#This Row],[Audit Candidate 12]]-Audit[[#This Row],[Candidate 12]], "")</f>
        <v/>
      </c>
      <c r="AQ432" s="18">
        <f>SUMIF(Audit[[#This Row],[Difference Winner]:[Difference Candidate 12]], "&gt;0")</f>
        <v>0</v>
      </c>
      <c r="AR432" s="18">
        <f>SUM(Audit[[#This Row],[Difference Winner]:[Difference Candidate 12]])</f>
        <v>0</v>
      </c>
      <c r="AS432" s="18">
        <f>IF(Audit[[#This Row],[Times p Drawn - With Replacement]]&gt;0, IF(Audit[[#This Row],[Canceled Differences]]&lt;0, Audit[[#This Row],[Max Differences]]+ABS(Audit[[#This Row],[Canceled Differences]]), Audit[[#This Row],[Max Differences]]), 0)</f>
        <v>0</v>
      </c>
      <c r="AT432" s="18">
        <f>'Sampling Data'!AB432</f>
        <v>3.4550994126331E-4</v>
      </c>
      <c r="AU432" s="18">
        <f>IF(
      SUM(Audit[[#This Row],[Audit Losing Candidate]:[Audit Candidate 12]])
      &lt;&gt;0,
      (Audit[[#This Row],[Winning Candidate]]-Audit[[#This Row],[Losing Candidate]]-(Audit[[#This Row],[Audit Winning Candidate]]-Audit[[#This Row],[Audit Losing Candidate]]))/(Audit[[#Totals],[Winning Candidate]]-Audit[[#Totals],[Losing Candidate]]),
      0
)</f>
        <v>0</v>
      </c>
      <c r="AV4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8">
        <f>IF(Audit[[#This Row],[Max Relative Error (ep)]] = 0, 0, Audit[[#This Row],[Max Relative Error (ep)]]/Audit[[#This Row],[Error Bound (up) - Max. possible relative overstatement]])</f>
        <v>0</v>
      </c>
      <c r="BH4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2" s="18">
        <f t="shared" si="7"/>
        <v>1</v>
      </c>
      <c r="BJ432" s="18">
        <f>PRODUCT($BI$5:BI432)</f>
        <v>0.32656797278968008</v>
      </c>
      <c r="BK432" s="20">
        <f>1 - Audit[[#This Row],[K-M P Value]]</f>
        <v>0.67343202721031992</v>
      </c>
      <c r="BL432" s="18" t="str">
        <f>IF(Audit[[#This Row],[K-M P Value]]&gt;1-'General Info'!$B$12,"Continue", "Stop")</f>
        <v>Continue</v>
      </c>
      <c r="BM432" s="23" t="b">
        <f>IF(Audit[[#This Row],[Status - Continue or stop audit]] = "Continue", TRUE, IF(BL431 = "Continue", TRUE, FALSE))</f>
        <v>1</v>
      </c>
      <c r="BN432" s="23"/>
    </row>
    <row r="433" spans="1:66" ht="15" hidden="1" customHeight="1" x14ac:dyDescent="0.35">
      <c r="A433" s="18" t="str">
        <f>'Sampling Data'!AI433</f>
        <v/>
      </c>
      <c r="B433" s="18" t="str">
        <f>'Sampling Data'!A433</f>
        <v>7304 GREEN D   (AV)</v>
      </c>
      <c r="C433" s="18">
        <f>'Sampling Data'!B433</f>
        <v>21</v>
      </c>
      <c r="D433" s="18">
        <f>'Sampling Data'!C433</f>
        <v>1</v>
      </c>
      <c r="E433" s="19">
        <f>'Sampling Data'!D433</f>
        <v>0</v>
      </c>
      <c r="F433" s="19">
        <f>'Sampling Data'!E433</f>
        <v>0</v>
      </c>
      <c r="G433" s="19">
        <f>'Sampling Data'!F433</f>
        <v>0</v>
      </c>
      <c r="H433" s="19">
        <f>'Sampling Data'!G433</f>
        <v>0</v>
      </c>
      <c r="I433" s="19">
        <f>'Sampling Data'!H433</f>
        <v>0</v>
      </c>
      <c r="J433" s="19">
        <f>'Sampling Data'!I433</f>
        <v>0</v>
      </c>
      <c r="K433" s="19">
        <f>'Sampling Data'!J433</f>
        <v>0</v>
      </c>
      <c r="L433" s="19">
        <f>'Sampling Data'!K433</f>
        <v>0</v>
      </c>
      <c r="M433" s="19">
        <f>'Sampling Data'!L433</f>
        <v>0</v>
      </c>
      <c r="N433" s="19">
        <f>'Sampling Data'!M433</f>
        <v>0</v>
      </c>
      <c r="O433" s="18">
        <f>'Sampling Data'!N433</f>
        <v>0</v>
      </c>
      <c r="P433" s="18">
        <f>'Sampling Data'!O433</f>
        <v>0</v>
      </c>
      <c r="Q433" s="18">
        <f>'Sampling Data'!P433</f>
        <v>22</v>
      </c>
      <c r="R433" s="18">
        <f>'Sampling Data'!AJ433</f>
        <v>0</v>
      </c>
      <c r="S433" s="112"/>
      <c r="T433" s="112"/>
      <c r="U433" s="113"/>
      <c r="V433" s="113"/>
      <c r="W433" s="112"/>
      <c r="X433" s="112"/>
      <c r="Y433" s="112"/>
      <c r="Z433" s="112"/>
      <c r="AA433" s="15"/>
      <c r="AB433" s="15"/>
      <c r="AC433" s="15"/>
      <c r="AD433" s="15"/>
      <c r="AE433" s="114" t="str">
        <f>IF(NOT(ISBLANK(Audit[[#This Row],[Audit Winning Candidate]])), Audit[[#This Row],[Audit Winning Candidate]]-Audit[[#This Row],[Winning Candidate]], "")</f>
        <v/>
      </c>
      <c r="AF433" s="18" t="str">
        <f>IF(NOT(ISBLANK(Audit[[#This Row],[Audit Losing Candidate]])), Audit[[#This Row],[Audit Losing Candidate]]-Audit[[#This Row],[Losing Candidate]], "")</f>
        <v/>
      </c>
      <c r="AG433" s="18" t="str">
        <f>IF(NOT(ISBLANK(Audit[[#This Row],[Audit Candidate 3]])), Audit[[#This Row],[Audit Candidate 3]]-Audit[[#This Row],[Candidate 3]], "")</f>
        <v/>
      </c>
      <c r="AH433" s="18" t="str">
        <f>IF(NOT(ISBLANK(Audit[[#This Row],[Audit Candidate 4]])),Audit[[#This Row],[Audit Candidate 4]]-Audit[[#This Row],[Candidate 4]], "")</f>
        <v/>
      </c>
      <c r="AI433" s="18" t="str">
        <f>IF(NOT(ISBLANK(Audit[[#This Row],[Audit Candidate 5]])), Audit[[#This Row],[Audit Candidate 5]]-Audit[[#This Row],[Candidate 5]], "")</f>
        <v/>
      </c>
      <c r="AJ433" s="18" t="str">
        <f>IF(NOT(ISBLANK(Audit[[#This Row],[Audit Candidate 6]])), Audit[[#This Row],[Audit Candidate 6]]-Audit[[#This Row],[Candidate 6]], "")</f>
        <v/>
      </c>
      <c r="AK433" s="18" t="str">
        <f>IF(NOT(ISBLANK(Audit[[#This Row],[Audit Candidate 7]])), Audit[[#This Row],[Audit Candidate 7]]-Audit[[#This Row],[Candidate 7]], "")</f>
        <v/>
      </c>
      <c r="AL433" s="18" t="str">
        <f>IF(NOT(ISBLANK(Audit[[#This Row],[Audit Candidate 8]])), Audit[[#This Row],[Audit Candidate 8]]-Audit[[#This Row],[Candidate 8]], "")</f>
        <v/>
      </c>
      <c r="AM433" s="18" t="str">
        <f>IF(NOT(ISBLANK(Audit[[#This Row],[Audit Candidate 9]])), Audit[[#This Row],[Audit Candidate 9]]-Audit[[#This Row],[Candidate 9]], "")</f>
        <v/>
      </c>
      <c r="AN433" s="18" t="str">
        <f>IF(NOT(ISBLANK(Audit[[#This Row],[Audit Candidate 10]])), Audit[[#This Row],[Audit Candidate 10]]-Audit[[#This Row],[Candidate 10]], "")</f>
        <v/>
      </c>
      <c r="AO433" s="18" t="str">
        <f>IF(NOT(ISBLANK(Audit[[#This Row],[Audit Candidate 11]])), Audit[[#This Row],[Audit Candidate 11]]-Audit[[#This Row],[Candidate 11]], "")</f>
        <v/>
      </c>
      <c r="AP433" s="18" t="str">
        <f>IF(NOT(ISBLANK(Audit[[#This Row],[Audit Candidate 12]])), Audit[[#This Row],[Audit Candidate 12]]-Audit[[#This Row],[Candidate 12]], "")</f>
        <v/>
      </c>
      <c r="AQ433" s="18">
        <f>SUMIF(Audit[[#This Row],[Difference Winner]:[Difference Candidate 12]], "&gt;0")</f>
        <v>0</v>
      </c>
      <c r="AR433" s="18">
        <f>SUM(Audit[[#This Row],[Difference Winner]:[Difference Candidate 12]])</f>
        <v>0</v>
      </c>
      <c r="AS433" s="18">
        <f>IF(Audit[[#This Row],[Times p Drawn - With Replacement]]&gt;0, IF(Audit[[#This Row],[Canceled Differences]]&lt;0, Audit[[#This Row],[Max Differences]]+ABS(Audit[[#This Row],[Canceled Differences]]), Audit[[#This Row],[Max Differences]]), 0)</f>
        <v>0</v>
      </c>
      <c r="AT433" s="18">
        <f>'Sampling Data'!AB433</f>
        <v>1.3192197757326382E-3</v>
      </c>
      <c r="AU433" s="18">
        <f>IF(
      SUM(Audit[[#This Row],[Audit Losing Candidate]:[Audit Candidate 12]])
      &lt;&gt;0,
      (Audit[[#This Row],[Winning Candidate]]-Audit[[#This Row],[Losing Candidate]]-(Audit[[#This Row],[Audit Winning Candidate]]-Audit[[#This Row],[Audit Losing Candidate]]))/(Audit[[#Totals],[Winning Candidate]]-Audit[[#Totals],[Losing Candidate]]),
      0
)</f>
        <v>0</v>
      </c>
      <c r="AV4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8">
        <f>IF(Audit[[#This Row],[Max Relative Error (ep)]] = 0, 0, Audit[[#This Row],[Max Relative Error (ep)]]/Audit[[#This Row],[Error Bound (up) - Max. possible relative overstatement]])</f>
        <v>0</v>
      </c>
      <c r="BH4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3" s="18">
        <f t="shared" si="7"/>
        <v>1</v>
      </c>
      <c r="BJ433" s="18">
        <f>PRODUCT($BI$5:BI433)</f>
        <v>0.32656797278968008</v>
      </c>
      <c r="BK433" s="20">
        <f>1 - Audit[[#This Row],[K-M P Value]]</f>
        <v>0.67343202721031992</v>
      </c>
      <c r="BL433" s="18" t="str">
        <f>IF(Audit[[#This Row],[K-M P Value]]&gt;1-'General Info'!$B$12,"Continue", "Stop")</f>
        <v>Continue</v>
      </c>
      <c r="BM433" s="23" t="b">
        <f>IF(Audit[[#This Row],[Status - Continue or stop audit]] = "Continue", TRUE, IF(BL432 = "Continue", TRUE, FALSE))</f>
        <v>1</v>
      </c>
      <c r="BN433" s="23"/>
    </row>
    <row r="434" spans="1:66" ht="15" hidden="1" customHeight="1" x14ac:dyDescent="0.35">
      <c r="A434" s="18" t="str">
        <f>'Sampling Data'!AI434</f>
        <v/>
      </c>
      <c r="B434" s="18" t="str">
        <f>'Sampling Data'!A434</f>
        <v>7305 GREEN E   (AV)</v>
      </c>
      <c r="C434" s="18">
        <f>'Sampling Data'!B434</f>
        <v>9</v>
      </c>
      <c r="D434" s="18">
        <f>'Sampling Data'!C434</f>
        <v>5</v>
      </c>
      <c r="E434" s="19">
        <f>'Sampling Data'!D434</f>
        <v>0</v>
      </c>
      <c r="F434" s="19">
        <f>'Sampling Data'!E434</f>
        <v>0</v>
      </c>
      <c r="G434" s="19">
        <f>'Sampling Data'!F434</f>
        <v>0</v>
      </c>
      <c r="H434" s="19">
        <f>'Sampling Data'!G434</f>
        <v>0</v>
      </c>
      <c r="I434" s="19">
        <f>'Sampling Data'!H434</f>
        <v>0</v>
      </c>
      <c r="J434" s="19">
        <f>'Sampling Data'!I434</f>
        <v>0</v>
      </c>
      <c r="K434" s="19">
        <f>'Sampling Data'!J434</f>
        <v>0</v>
      </c>
      <c r="L434" s="19">
        <f>'Sampling Data'!K434</f>
        <v>0</v>
      </c>
      <c r="M434" s="19">
        <f>'Sampling Data'!L434</f>
        <v>0</v>
      </c>
      <c r="N434" s="19">
        <f>'Sampling Data'!M434</f>
        <v>0</v>
      </c>
      <c r="O434" s="18">
        <f>'Sampling Data'!N434</f>
        <v>0</v>
      </c>
      <c r="P434" s="18">
        <f>'Sampling Data'!O434</f>
        <v>0</v>
      </c>
      <c r="Q434" s="18">
        <f>'Sampling Data'!P434</f>
        <v>14</v>
      </c>
      <c r="R434" s="18">
        <f>'Sampling Data'!AJ434</f>
        <v>0</v>
      </c>
      <c r="S434" s="112"/>
      <c r="T434" s="112"/>
      <c r="U434" s="113"/>
      <c r="V434" s="113"/>
      <c r="W434" s="112"/>
      <c r="X434" s="112"/>
      <c r="Y434" s="112"/>
      <c r="Z434" s="112"/>
      <c r="AA434" s="15"/>
      <c r="AB434" s="15"/>
      <c r="AC434" s="15"/>
      <c r="AD434" s="15"/>
      <c r="AE434" s="114" t="str">
        <f>IF(NOT(ISBLANK(Audit[[#This Row],[Audit Winning Candidate]])), Audit[[#This Row],[Audit Winning Candidate]]-Audit[[#This Row],[Winning Candidate]], "")</f>
        <v/>
      </c>
      <c r="AF434" s="18" t="str">
        <f>IF(NOT(ISBLANK(Audit[[#This Row],[Audit Losing Candidate]])), Audit[[#This Row],[Audit Losing Candidate]]-Audit[[#This Row],[Losing Candidate]], "")</f>
        <v/>
      </c>
      <c r="AG434" s="18" t="str">
        <f>IF(NOT(ISBLANK(Audit[[#This Row],[Audit Candidate 3]])), Audit[[#This Row],[Audit Candidate 3]]-Audit[[#This Row],[Candidate 3]], "")</f>
        <v/>
      </c>
      <c r="AH434" s="18" t="str">
        <f>IF(NOT(ISBLANK(Audit[[#This Row],[Audit Candidate 4]])),Audit[[#This Row],[Audit Candidate 4]]-Audit[[#This Row],[Candidate 4]], "")</f>
        <v/>
      </c>
      <c r="AI434" s="18" t="str">
        <f>IF(NOT(ISBLANK(Audit[[#This Row],[Audit Candidate 5]])), Audit[[#This Row],[Audit Candidate 5]]-Audit[[#This Row],[Candidate 5]], "")</f>
        <v/>
      </c>
      <c r="AJ434" s="18" t="str">
        <f>IF(NOT(ISBLANK(Audit[[#This Row],[Audit Candidate 6]])), Audit[[#This Row],[Audit Candidate 6]]-Audit[[#This Row],[Candidate 6]], "")</f>
        <v/>
      </c>
      <c r="AK434" s="18" t="str">
        <f>IF(NOT(ISBLANK(Audit[[#This Row],[Audit Candidate 7]])), Audit[[#This Row],[Audit Candidate 7]]-Audit[[#This Row],[Candidate 7]], "")</f>
        <v/>
      </c>
      <c r="AL434" s="18" t="str">
        <f>IF(NOT(ISBLANK(Audit[[#This Row],[Audit Candidate 8]])), Audit[[#This Row],[Audit Candidate 8]]-Audit[[#This Row],[Candidate 8]], "")</f>
        <v/>
      </c>
      <c r="AM434" s="18" t="str">
        <f>IF(NOT(ISBLANK(Audit[[#This Row],[Audit Candidate 9]])), Audit[[#This Row],[Audit Candidate 9]]-Audit[[#This Row],[Candidate 9]], "")</f>
        <v/>
      </c>
      <c r="AN434" s="18" t="str">
        <f>IF(NOT(ISBLANK(Audit[[#This Row],[Audit Candidate 10]])), Audit[[#This Row],[Audit Candidate 10]]-Audit[[#This Row],[Candidate 10]], "")</f>
        <v/>
      </c>
      <c r="AO434" s="18" t="str">
        <f>IF(NOT(ISBLANK(Audit[[#This Row],[Audit Candidate 11]])), Audit[[#This Row],[Audit Candidate 11]]-Audit[[#This Row],[Candidate 11]], "")</f>
        <v/>
      </c>
      <c r="AP434" s="18" t="str">
        <f>IF(NOT(ISBLANK(Audit[[#This Row],[Audit Candidate 12]])), Audit[[#This Row],[Audit Candidate 12]]-Audit[[#This Row],[Candidate 12]], "")</f>
        <v/>
      </c>
      <c r="AQ434" s="18">
        <f>SUMIF(Audit[[#This Row],[Difference Winner]:[Difference Candidate 12]], "&gt;0")</f>
        <v>0</v>
      </c>
      <c r="AR434" s="18">
        <f>SUM(Audit[[#This Row],[Difference Winner]:[Difference Candidate 12]])</f>
        <v>0</v>
      </c>
      <c r="AS434" s="18">
        <f>IF(Audit[[#This Row],[Times p Drawn - With Replacement]]&gt;0, IF(Audit[[#This Row],[Canceled Differences]]&lt;0, Audit[[#This Row],[Max Differences]]+ABS(Audit[[#This Row],[Canceled Differences]]), Audit[[#This Row],[Max Differences]]), 0)</f>
        <v>0</v>
      </c>
      <c r="AT434" s="18">
        <f>'Sampling Data'!AB434</f>
        <v>5.6537990388541635E-4</v>
      </c>
      <c r="AU434" s="18">
        <f>IF(
      SUM(Audit[[#This Row],[Audit Losing Candidate]:[Audit Candidate 12]])
      &lt;&gt;0,
      (Audit[[#This Row],[Winning Candidate]]-Audit[[#This Row],[Losing Candidate]]-(Audit[[#This Row],[Audit Winning Candidate]]-Audit[[#This Row],[Audit Losing Candidate]]))/(Audit[[#Totals],[Winning Candidate]]-Audit[[#Totals],[Losing Candidate]]),
      0
)</f>
        <v>0</v>
      </c>
      <c r="AV4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8">
        <f>IF(Audit[[#This Row],[Max Relative Error (ep)]] = 0, 0, Audit[[#This Row],[Max Relative Error (ep)]]/Audit[[#This Row],[Error Bound (up) - Max. possible relative overstatement]])</f>
        <v>0</v>
      </c>
      <c r="BH4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4" s="18">
        <f t="shared" si="7"/>
        <v>1</v>
      </c>
      <c r="BJ434" s="18">
        <f>PRODUCT($BI$5:BI434)</f>
        <v>0.32656797278968008</v>
      </c>
      <c r="BK434" s="20">
        <f>1 - Audit[[#This Row],[K-M P Value]]</f>
        <v>0.67343202721031992</v>
      </c>
      <c r="BL434" s="18" t="str">
        <f>IF(Audit[[#This Row],[K-M P Value]]&gt;1-'General Info'!$B$12,"Continue", "Stop")</f>
        <v>Continue</v>
      </c>
      <c r="BM434" s="23" t="b">
        <f>IF(Audit[[#This Row],[Status - Continue or stop audit]] = "Continue", TRUE, IF(BL433 = "Continue", TRUE, FALSE))</f>
        <v>1</v>
      </c>
      <c r="BN434" s="23"/>
    </row>
    <row r="435" spans="1:66" ht="15" hidden="1" customHeight="1" x14ac:dyDescent="0.35">
      <c r="A435" s="18" t="str">
        <f>'Sampling Data'!AI435</f>
        <v/>
      </c>
      <c r="B435" s="18" t="str">
        <f>'Sampling Data'!A435</f>
        <v>7306 GREEN F   (AV)</v>
      </c>
      <c r="C435" s="18">
        <f>'Sampling Data'!B435</f>
        <v>18</v>
      </c>
      <c r="D435" s="18">
        <f>'Sampling Data'!C435</f>
        <v>1</v>
      </c>
      <c r="E435" s="19">
        <f>'Sampling Data'!D435</f>
        <v>0</v>
      </c>
      <c r="F435" s="19">
        <f>'Sampling Data'!E435</f>
        <v>0</v>
      </c>
      <c r="G435" s="19">
        <f>'Sampling Data'!F435</f>
        <v>0</v>
      </c>
      <c r="H435" s="19">
        <f>'Sampling Data'!G435</f>
        <v>0</v>
      </c>
      <c r="I435" s="19">
        <f>'Sampling Data'!H435</f>
        <v>0</v>
      </c>
      <c r="J435" s="19">
        <f>'Sampling Data'!I435</f>
        <v>0</v>
      </c>
      <c r="K435" s="19">
        <f>'Sampling Data'!J435</f>
        <v>0</v>
      </c>
      <c r="L435" s="19">
        <f>'Sampling Data'!K435</f>
        <v>0</v>
      </c>
      <c r="M435" s="19">
        <f>'Sampling Data'!L435</f>
        <v>0</v>
      </c>
      <c r="N435" s="19">
        <f>'Sampling Data'!M435</f>
        <v>0</v>
      </c>
      <c r="O435" s="18">
        <f>'Sampling Data'!N435</f>
        <v>0</v>
      </c>
      <c r="P435" s="18">
        <f>'Sampling Data'!O435</f>
        <v>1</v>
      </c>
      <c r="Q435" s="18">
        <f>'Sampling Data'!P435</f>
        <v>20</v>
      </c>
      <c r="R435" s="18">
        <f>'Sampling Data'!AJ435</f>
        <v>0</v>
      </c>
      <c r="S435" s="112"/>
      <c r="T435" s="112"/>
      <c r="U435" s="113"/>
      <c r="V435" s="113"/>
      <c r="W435" s="112"/>
      <c r="X435" s="112"/>
      <c r="Y435" s="112"/>
      <c r="Z435" s="112"/>
      <c r="AA435" s="15"/>
      <c r="AB435" s="15"/>
      <c r="AC435" s="15"/>
      <c r="AD435" s="15"/>
      <c r="AE435" s="114" t="str">
        <f>IF(NOT(ISBLANK(Audit[[#This Row],[Audit Winning Candidate]])), Audit[[#This Row],[Audit Winning Candidate]]-Audit[[#This Row],[Winning Candidate]], "")</f>
        <v/>
      </c>
      <c r="AF435" s="18" t="str">
        <f>IF(NOT(ISBLANK(Audit[[#This Row],[Audit Losing Candidate]])), Audit[[#This Row],[Audit Losing Candidate]]-Audit[[#This Row],[Losing Candidate]], "")</f>
        <v/>
      </c>
      <c r="AG435" s="18" t="str">
        <f>IF(NOT(ISBLANK(Audit[[#This Row],[Audit Candidate 3]])), Audit[[#This Row],[Audit Candidate 3]]-Audit[[#This Row],[Candidate 3]], "")</f>
        <v/>
      </c>
      <c r="AH435" s="18" t="str">
        <f>IF(NOT(ISBLANK(Audit[[#This Row],[Audit Candidate 4]])),Audit[[#This Row],[Audit Candidate 4]]-Audit[[#This Row],[Candidate 4]], "")</f>
        <v/>
      </c>
      <c r="AI435" s="18" t="str">
        <f>IF(NOT(ISBLANK(Audit[[#This Row],[Audit Candidate 5]])), Audit[[#This Row],[Audit Candidate 5]]-Audit[[#This Row],[Candidate 5]], "")</f>
        <v/>
      </c>
      <c r="AJ435" s="18" t="str">
        <f>IF(NOT(ISBLANK(Audit[[#This Row],[Audit Candidate 6]])), Audit[[#This Row],[Audit Candidate 6]]-Audit[[#This Row],[Candidate 6]], "")</f>
        <v/>
      </c>
      <c r="AK435" s="18" t="str">
        <f>IF(NOT(ISBLANK(Audit[[#This Row],[Audit Candidate 7]])), Audit[[#This Row],[Audit Candidate 7]]-Audit[[#This Row],[Candidate 7]], "")</f>
        <v/>
      </c>
      <c r="AL435" s="18" t="str">
        <f>IF(NOT(ISBLANK(Audit[[#This Row],[Audit Candidate 8]])), Audit[[#This Row],[Audit Candidate 8]]-Audit[[#This Row],[Candidate 8]], "")</f>
        <v/>
      </c>
      <c r="AM435" s="18" t="str">
        <f>IF(NOT(ISBLANK(Audit[[#This Row],[Audit Candidate 9]])), Audit[[#This Row],[Audit Candidate 9]]-Audit[[#This Row],[Candidate 9]], "")</f>
        <v/>
      </c>
      <c r="AN435" s="18" t="str">
        <f>IF(NOT(ISBLANK(Audit[[#This Row],[Audit Candidate 10]])), Audit[[#This Row],[Audit Candidate 10]]-Audit[[#This Row],[Candidate 10]], "")</f>
        <v/>
      </c>
      <c r="AO435" s="18" t="str">
        <f>IF(NOT(ISBLANK(Audit[[#This Row],[Audit Candidate 11]])), Audit[[#This Row],[Audit Candidate 11]]-Audit[[#This Row],[Candidate 11]], "")</f>
        <v/>
      </c>
      <c r="AP435" s="18" t="str">
        <f>IF(NOT(ISBLANK(Audit[[#This Row],[Audit Candidate 12]])), Audit[[#This Row],[Audit Candidate 12]]-Audit[[#This Row],[Candidate 12]], "")</f>
        <v/>
      </c>
      <c r="AQ435" s="18">
        <f>SUMIF(Audit[[#This Row],[Difference Winner]:[Difference Candidate 12]], "&gt;0")</f>
        <v>0</v>
      </c>
      <c r="AR435" s="18">
        <f>SUM(Audit[[#This Row],[Difference Winner]:[Difference Candidate 12]])</f>
        <v>0</v>
      </c>
      <c r="AS435" s="18">
        <f>IF(Audit[[#This Row],[Times p Drawn - With Replacement]]&gt;0, IF(Audit[[#This Row],[Canceled Differences]]&lt;0, Audit[[#This Row],[Max Differences]]+ABS(Audit[[#This Row],[Canceled Differences]]), Audit[[#This Row],[Max Differences]]), 0)</f>
        <v>0</v>
      </c>
      <c r="AT435" s="18">
        <f>'Sampling Data'!AB435</f>
        <v>1.1621698024311335E-3</v>
      </c>
      <c r="AU435" s="18">
        <f>IF(
      SUM(Audit[[#This Row],[Audit Losing Candidate]:[Audit Candidate 12]])
      &lt;&gt;0,
      (Audit[[#This Row],[Winning Candidate]]-Audit[[#This Row],[Losing Candidate]]-(Audit[[#This Row],[Audit Winning Candidate]]-Audit[[#This Row],[Audit Losing Candidate]]))/(Audit[[#Totals],[Winning Candidate]]-Audit[[#Totals],[Losing Candidate]]),
      0
)</f>
        <v>0</v>
      </c>
      <c r="AV4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8">
        <f>IF(Audit[[#This Row],[Max Relative Error (ep)]] = 0, 0, Audit[[#This Row],[Max Relative Error (ep)]]/Audit[[#This Row],[Error Bound (up) - Max. possible relative overstatement]])</f>
        <v>0</v>
      </c>
      <c r="BH4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5" s="18">
        <f t="shared" si="7"/>
        <v>1</v>
      </c>
      <c r="BJ435" s="18">
        <f>PRODUCT($BI$5:BI435)</f>
        <v>0.32656797278968008</v>
      </c>
      <c r="BK435" s="20">
        <f>1 - Audit[[#This Row],[K-M P Value]]</f>
        <v>0.67343202721031992</v>
      </c>
      <c r="BL435" s="18" t="str">
        <f>IF(Audit[[#This Row],[K-M P Value]]&gt;1-'General Info'!$B$12,"Continue", "Stop")</f>
        <v>Continue</v>
      </c>
      <c r="BM435" s="23" t="b">
        <f>IF(Audit[[#This Row],[Status - Continue or stop audit]] = "Continue", TRUE, IF(BL434 = "Continue", TRUE, FALSE))</f>
        <v>1</v>
      </c>
      <c r="BN435" s="23"/>
    </row>
    <row r="436" spans="1:66" ht="15" hidden="1" customHeight="1" x14ac:dyDescent="0.35">
      <c r="A436" s="18" t="str">
        <f>'Sampling Data'!AI436</f>
        <v/>
      </c>
      <c r="B436" s="18" t="str">
        <f>'Sampling Data'!A436</f>
        <v>7307 GREEN G   (AV)</v>
      </c>
      <c r="C436" s="18">
        <f>'Sampling Data'!B436</f>
        <v>6</v>
      </c>
      <c r="D436" s="18">
        <f>'Sampling Data'!C436</f>
        <v>0</v>
      </c>
      <c r="E436" s="19">
        <f>'Sampling Data'!D436</f>
        <v>0</v>
      </c>
      <c r="F436" s="19">
        <f>'Sampling Data'!E436</f>
        <v>0</v>
      </c>
      <c r="G436" s="19">
        <f>'Sampling Data'!F436</f>
        <v>0</v>
      </c>
      <c r="H436" s="19">
        <f>'Sampling Data'!G436</f>
        <v>0</v>
      </c>
      <c r="I436" s="19">
        <f>'Sampling Data'!H436</f>
        <v>0</v>
      </c>
      <c r="J436" s="19">
        <f>'Sampling Data'!I436</f>
        <v>0</v>
      </c>
      <c r="K436" s="19">
        <f>'Sampling Data'!J436</f>
        <v>0</v>
      </c>
      <c r="L436" s="19">
        <f>'Sampling Data'!K436</f>
        <v>0</v>
      </c>
      <c r="M436" s="19">
        <f>'Sampling Data'!L436</f>
        <v>0</v>
      </c>
      <c r="N436" s="19">
        <f>'Sampling Data'!M436</f>
        <v>0</v>
      </c>
      <c r="O436" s="18">
        <f>'Sampling Data'!N436</f>
        <v>0</v>
      </c>
      <c r="P436" s="18">
        <f>'Sampling Data'!O436</f>
        <v>0</v>
      </c>
      <c r="Q436" s="18">
        <f>'Sampling Data'!P436</f>
        <v>6</v>
      </c>
      <c r="R436" s="18">
        <f>'Sampling Data'!AJ436</f>
        <v>0</v>
      </c>
      <c r="S436" s="112"/>
      <c r="T436" s="112"/>
      <c r="U436" s="113"/>
      <c r="V436" s="113"/>
      <c r="W436" s="112"/>
      <c r="X436" s="112"/>
      <c r="Y436" s="112"/>
      <c r="Z436" s="112"/>
      <c r="AA436" s="15"/>
      <c r="AB436" s="15"/>
      <c r="AC436" s="15"/>
      <c r="AD436" s="15"/>
      <c r="AE436" s="114" t="str">
        <f>IF(NOT(ISBLANK(Audit[[#This Row],[Audit Winning Candidate]])), Audit[[#This Row],[Audit Winning Candidate]]-Audit[[#This Row],[Winning Candidate]], "")</f>
        <v/>
      </c>
      <c r="AF436" s="18" t="str">
        <f>IF(NOT(ISBLANK(Audit[[#This Row],[Audit Losing Candidate]])), Audit[[#This Row],[Audit Losing Candidate]]-Audit[[#This Row],[Losing Candidate]], "")</f>
        <v/>
      </c>
      <c r="AG436" s="18" t="str">
        <f>IF(NOT(ISBLANK(Audit[[#This Row],[Audit Candidate 3]])), Audit[[#This Row],[Audit Candidate 3]]-Audit[[#This Row],[Candidate 3]], "")</f>
        <v/>
      </c>
      <c r="AH436" s="18" t="str">
        <f>IF(NOT(ISBLANK(Audit[[#This Row],[Audit Candidate 4]])),Audit[[#This Row],[Audit Candidate 4]]-Audit[[#This Row],[Candidate 4]], "")</f>
        <v/>
      </c>
      <c r="AI436" s="18" t="str">
        <f>IF(NOT(ISBLANK(Audit[[#This Row],[Audit Candidate 5]])), Audit[[#This Row],[Audit Candidate 5]]-Audit[[#This Row],[Candidate 5]], "")</f>
        <v/>
      </c>
      <c r="AJ436" s="18" t="str">
        <f>IF(NOT(ISBLANK(Audit[[#This Row],[Audit Candidate 6]])), Audit[[#This Row],[Audit Candidate 6]]-Audit[[#This Row],[Candidate 6]], "")</f>
        <v/>
      </c>
      <c r="AK436" s="18" t="str">
        <f>IF(NOT(ISBLANK(Audit[[#This Row],[Audit Candidate 7]])), Audit[[#This Row],[Audit Candidate 7]]-Audit[[#This Row],[Candidate 7]], "")</f>
        <v/>
      </c>
      <c r="AL436" s="18" t="str">
        <f>IF(NOT(ISBLANK(Audit[[#This Row],[Audit Candidate 8]])), Audit[[#This Row],[Audit Candidate 8]]-Audit[[#This Row],[Candidate 8]], "")</f>
        <v/>
      </c>
      <c r="AM436" s="18" t="str">
        <f>IF(NOT(ISBLANK(Audit[[#This Row],[Audit Candidate 9]])), Audit[[#This Row],[Audit Candidate 9]]-Audit[[#This Row],[Candidate 9]], "")</f>
        <v/>
      </c>
      <c r="AN436" s="18" t="str">
        <f>IF(NOT(ISBLANK(Audit[[#This Row],[Audit Candidate 10]])), Audit[[#This Row],[Audit Candidate 10]]-Audit[[#This Row],[Candidate 10]], "")</f>
        <v/>
      </c>
      <c r="AO436" s="18" t="str">
        <f>IF(NOT(ISBLANK(Audit[[#This Row],[Audit Candidate 11]])), Audit[[#This Row],[Audit Candidate 11]]-Audit[[#This Row],[Candidate 11]], "")</f>
        <v/>
      </c>
      <c r="AP436" s="18" t="str">
        <f>IF(NOT(ISBLANK(Audit[[#This Row],[Audit Candidate 12]])), Audit[[#This Row],[Audit Candidate 12]]-Audit[[#This Row],[Candidate 12]], "")</f>
        <v/>
      </c>
      <c r="AQ436" s="18">
        <f>SUMIF(Audit[[#This Row],[Difference Winner]:[Difference Candidate 12]], "&gt;0")</f>
        <v>0</v>
      </c>
      <c r="AR436" s="18">
        <f>SUM(Audit[[#This Row],[Difference Winner]:[Difference Candidate 12]])</f>
        <v>0</v>
      </c>
      <c r="AS436" s="18">
        <f>IF(Audit[[#This Row],[Times p Drawn - With Replacement]]&gt;0, IF(Audit[[#This Row],[Canceled Differences]]&lt;0, Audit[[#This Row],[Max Differences]]+ABS(Audit[[#This Row],[Canceled Differences]]), Audit[[#This Row],[Max Differences]]), 0)</f>
        <v>0</v>
      </c>
      <c r="AT436" s="18">
        <f>'Sampling Data'!AB436</f>
        <v>3.7691993592361088E-4</v>
      </c>
      <c r="AU436" s="18">
        <f>IF(
      SUM(Audit[[#This Row],[Audit Losing Candidate]:[Audit Candidate 12]])
      &lt;&gt;0,
      (Audit[[#This Row],[Winning Candidate]]-Audit[[#This Row],[Losing Candidate]]-(Audit[[#This Row],[Audit Winning Candidate]]-Audit[[#This Row],[Audit Losing Candidate]]))/(Audit[[#Totals],[Winning Candidate]]-Audit[[#Totals],[Losing Candidate]]),
      0
)</f>
        <v>0</v>
      </c>
      <c r="AV4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8">
        <f>IF(Audit[[#This Row],[Max Relative Error (ep)]] = 0, 0, Audit[[#This Row],[Max Relative Error (ep)]]/Audit[[#This Row],[Error Bound (up) - Max. possible relative overstatement]])</f>
        <v>0</v>
      </c>
      <c r="BH4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6" s="18">
        <f t="shared" si="7"/>
        <v>1</v>
      </c>
      <c r="BJ436" s="18">
        <f>PRODUCT($BI$5:BI436)</f>
        <v>0.32656797278968008</v>
      </c>
      <c r="BK436" s="20">
        <f>1 - Audit[[#This Row],[K-M P Value]]</f>
        <v>0.67343202721031992</v>
      </c>
      <c r="BL436" s="18" t="str">
        <f>IF(Audit[[#This Row],[K-M P Value]]&gt;1-'General Info'!$B$12,"Continue", "Stop")</f>
        <v>Continue</v>
      </c>
      <c r="BM436" s="23" t="b">
        <f>IF(Audit[[#This Row],[Status - Continue or stop audit]] = "Continue", TRUE, IF(BL435 = "Continue", TRUE, FALSE))</f>
        <v>1</v>
      </c>
      <c r="BN436" s="23"/>
    </row>
    <row r="437" spans="1:66" ht="15" hidden="1" customHeight="1" x14ac:dyDescent="0.35">
      <c r="A437" s="18" t="str">
        <f>'Sampling Data'!AI437</f>
        <v/>
      </c>
      <c r="B437" s="18" t="str">
        <f>'Sampling Data'!A437</f>
        <v>7308 GREEN H   (AV)</v>
      </c>
      <c r="C437" s="18">
        <f>'Sampling Data'!B437</f>
        <v>2</v>
      </c>
      <c r="D437" s="18">
        <f>'Sampling Data'!C437</f>
        <v>0</v>
      </c>
      <c r="E437" s="19">
        <f>'Sampling Data'!D437</f>
        <v>0</v>
      </c>
      <c r="F437" s="19">
        <f>'Sampling Data'!E437</f>
        <v>0</v>
      </c>
      <c r="G437" s="19">
        <f>'Sampling Data'!F437</f>
        <v>0</v>
      </c>
      <c r="H437" s="19">
        <f>'Sampling Data'!G437</f>
        <v>0</v>
      </c>
      <c r="I437" s="19">
        <f>'Sampling Data'!H437</f>
        <v>0</v>
      </c>
      <c r="J437" s="19">
        <f>'Sampling Data'!I437</f>
        <v>0</v>
      </c>
      <c r="K437" s="19">
        <f>'Sampling Data'!J437</f>
        <v>0</v>
      </c>
      <c r="L437" s="19">
        <f>'Sampling Data'!K437</f>
        <v>0</v>
      </c>
      <c r="M437" s="19">
        <f>'Sampling Data'!L437</f>
        <v>0</v>
      </c>
      <c r="N437" s="19">
        <f>'Sampling Data'!M437</f>
        <v>0</v>
      </c>
      <c r="O437" s="18">
        <f>'Sampling Data'!N437</f>
        <v>0</v>
      </c>
      <c r="P437" s="18">
        <f>'Sampling Data'!O437</f>
        <v>1</v>
      </c>
      <c r="Q437" s="18">
        <f>'Sampling Data'!P437</f>
        <v>3</v>
      </c>
      <c r="R437" s="18">
        <f>'Sampling Data'!AJ437</f>
        <v>0</v>
      </c>
      <c r="S437" s="112"/>
      <c r="T437" s="112"/>
      <c r="U437" s="113"/>
      <c r="V437" s="113"/>
      <c r="W437" s="112"/>
      <c r="X437" s="112"/>
      <c r="Y437" s="112"/>
      <c r="Z437" s="112"/>
      <c r="AA437" s="15"/>
      <c r="AB437" s="15"/>
      <c r="AC437" s="15"/>
      <c r="AD437" s="15"/>
      <c r="AE437" s="114" t="str">
        <f>IF(NOT(ISBLANK(Audit[[#This Row],[Audit Winning Candidate]])), Audit[[#This Row],[Audit Winning Candidate]]-Audit[[#This Row],[Winning Candidate]], "")</f>
        <v/>
      </c>
      <c r="AF437" s="18" t="str">
        <f>IF(NOT(ISBLANK(Audit[[#This Row],[Audit Losing Candidate]])), Audit[[#This Row],[Audit Losing Candidate]]-Audit[[#This Row],[Losing Candidate]], "")</f>
        <v/>
      </c>
      <c r="AG437" s="18" t="str">
        <f>IF(NOT(ISBLANK(Audit[[#This Row],[Audit Candidate 3]])), Audit[[#This Row],[Audit Candidate 3]]-Audit[[#This Row],[Candidate 3]], "")</f>
        <v/>
      </c>
      <c r="AH437" s="18" t="str">
        <f>IF(NOT(ISBLANK(Audit[[#This Row],[Audit Candidate 4]])),Audit[[#This Row],[Audit Candidate 4]]-Audit[[#This Row],[Candidate 4]], "")</f>
        <v/>
      </c>
      <c r="AI437" s="18" t="str">
        <f>IF(NOT(ISBLANK(Audit[[#This Row],[Audit Candidate 5]])), Audit[[#This Row],[Audit Candidate 5]]-Audit[[#This Row],[Candidate 5]], "")</f>
        <v/>
      </c>
      <c r="AJ437" s="18" t="str">
        <f>IF(NOT(ISBLANK(Audit[[#This Row],[Audit Candidate 6]])), Audit[[#This Row],[Audit Candidate 6]]-Audit[[#This Row],[Candidate 6]], "")</f>
        <v/>
      </c>
      <c r="AK437" s="18" t="str">
        <f>IF(NOT(ISBLANK(Audit[[#This Row],[Audit Candidate 7]])), Audit[[#This Row],[Audit Candidate 7]]-Audit[[#This Row],[Candidate 7]], "")</f>
        <v/>
      </c>
      <c r="AL437" s="18" t="str">
        <f>IF(NOT(ISBLANK(Audit[[#This Row],[Audit Candidate 8]])), Audit[[#This Row],[Audit Candidate 8]]-Audit[[#This Row],[Candidate 8]], "")</f>
        <v/>
      </c>
      <c r="AM437" s="18" t="str">
        <f>IF(NOT(ISBLANK(Audit[[#This Row],[Audit Candidate 9]])), Audit[[#This Row],[Audit Candidate 9]]-Audit[[#This Row],[Candidate 9]], "")</f>
        <v/>
      </c>
      <c r="AN437" s="18" t="str">
        <f>IF(NOT(ISBLANK(Audit[[#This Row],[Audit Candidate 10]])), Audit[[#This Row],[Audit Candidate 10]]-Audit[[#This Row],[Candidate 10]], "")</f>
        <v/>
      </c>
      <c r="AO437" s="18" t="str">
        <f>IF(NOT(ISBLANK(Audit[[#This Row],[Audit Candidate 11]])), Audit[[#This Row],[Audit Candidate 11]]-Audit[[#This Row],[Candidate 11]], "")</f>
        <v/>
      </c>
      <c r="AP437" s="18" t="str">
        <f>IF(NOT(ISBLANK(Audit[[#This Row],[Audit Candidate 12]])), Audit[[#This Row],[Audit Candidate 12]]-Audit[[#This Row],[Candidate 12]], "")</f>
        <v/>
      </c>
      <c r="AQ437" s="18">
        <f>SUMIF(Audit[[#This Row],[Difference Winner]:[Difference Candidate 12]], "&gt;0")</f>
        <v>0</v>
      </c>
      <c r="AR437" s="18">
        <f>SUM(Audit[[#This Row],[Difference Winner]:[Difference Candidate 12]])</f>
        <v>0</v>
      </c>
      <c r="AS437" s="18">
        <f>IF(Audit[[#This Row],[Times p Drawn - With Replacement]]&gt;0, IF(Audit[[#This Row],[Canceled Differences]]&lt;0, Audit[[#This Row],[Max Differences]]+ABS(Audit[[#This Row],[Canceled Differences]]), Audit[[#This Row],[Max Differences]]), 0)</f>
        <v>0</v>
      </c>
      <c r="AT437" s="18">
        <f>'Sampling Data'!AB437</f>
        <v>1.5704997330150453E-4</v>
      </c>
      <c r="AU437" s="18">
        <f>IF(
      SUM(Audit[[#This Row],[Audit Losing Candidate]:[Audit Candidate 12]])
      &lt;&gt;0,
      (Audit[[#This Row],[Winning Candidate]]-Audit[[#This Row],[Losing Candidate]]-(Audit[[#This Row],[Audit Winning Candidate]]-Audit[[#This Row],[Audit Losing Candidate]]))/(Audit[[#Totals],[Winning Candidate]]-Audit[[#Totals],[Losing Candidate]]),
      0
)</f>
        <v>0</v>
      </c>
      <c r="AV4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8">
        <f>IF(Audit[[#This Row],[Max Relative Error (ep)]] = 0, 0, Audit[[#This Row],[Max Relative Error (ep)]]/Audit[[#This Row],[Error Bound (up) - Max. possible relative overstatement]])</f>
        <v>0</v>
      </c>
      <c r="BH4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7" s="18">
        <f t="shared" si="7"/>
        <v>1</v>
      </c>
      <c r="BJ437" s="18">
        <f>PRODUCT($BI$5:BI437)</f>
        <v>0.32656797278968008</v>
      </c>
      <c r="BK437" s="20">
        <f>1 - Audit[[#This Row],[K-M P Value]]</f>
        <v>0.67343202721031992</v>
      </c>
      <c r="BL437" s="18" t="str">
        <f>IF(Audit[[#This Row],[K-M P Value]]&gt;1-'General Info'!$B$12,"Continue", "Stop")</f>
        <v>Continue</v>
      </c>
      <c r="BM437" s="23" t="b">
        <f>IF(Audit[[#This Row],[Status - Continue or stop audit]] = "Continue", TRUE, IF(BL436 = "Continue", TRUE, FALSE))</f>
        <v>1</v>
      </c>
      <c r="BN437" s="23"/>
    </row>
    <row r="438" spans="1:66" ht="15" hidden="1" customHeight="1" x14ac:dyDescent="0.35">
      <c r="A438" s="18" t="str">
        <f>'Sampling Data'!AI438</f>
        <v/>
      </c>
      <c r="B438" s="18" t="str">
        <f>'Sampling Data'!A438</f>
        <v>7309 GREEN I   (AV)</v>
      </c>
      <c r="C438" s="18">
        <f>'Sampling Data'!B438</f>
        <v>6</v>
      </c>
      <c r="D438" s="18">
        <f>'Sampling Data'!C438</f>
        <v>3</v>
      </c>
      <c r="E438" s="19">
        <f>'Sampling Data'!D438</f>
        <v>0</v>
      </c>
      <c r="F438" s="19">
        <f>'Sampling Data'!E438</f>
        <v>0</v>
      </c>
      <c r="G438" s="19">
        <f>'Sampling Data'!F438</f>
        <v>0</v>
      </c>
      <c r="H438" s="19">
        <f>'Sampling Data'!G438</f>
        <v>0</v>
      </c>
      <c r="I438" s="19">
        <f>'Sampling Data'!H438</f>
        <v>0</v>
      </c>
      <c r="J438" s="19">
        <f>'Sampling Data'!I438</f>
        <v>0</v>
      </c>
      <c r="K438" s="19">
        <f>'Sampling Data'!J438</f>
        <v>0</v>
      </c>
      <c r="L438" s="19">
        <f>'Sampling Data'!K438</f>
        <v>0</v>
      </c>
      <c r="M438" s="19">
        <f>'Sampling Data'!L438</f>
        <v>0</v>
      </c>
      <c r="N438" s="19">
        <f>'Sampling Data'!M438</f>
        <v>0</v>
      </c>
      <c r="O438" s="18">
        <f>'Sampling Data'!N438</f>
        <v>0</v>
      </c>
      <c r="P438" s="18">
        <f>'Sampling Data'!O438</f>
        <v>1</v>
      </c>
      <c r="Q438" s="18">
        <f>'Sampling Data'!P438</f>
        <v>10</v>
      </c>
      <c r="R438" s="18">
        <f>'Sampling Data'!AJ438</f>
        <v>0</v>
      </c>
      <c r="S438" s="112"/>
      <c r="T438" s="112"/>
      <c r="U438" s="113"/>
      <c r="V438" s="113"/>
      <c r="W438" s="112"/>
      <c r="X438" s="112"/>
      <c r="Y438" s="112"/>
      <c r="Z438" s="112"/>
      <c r="AA438" s="15"/>
      <c r="AB438" s="15"/>
      <c r="AC438" s="15"/>
      <c r="AD438" s="15"/>
      <c r="AE438" s="114" t="str">
        <f>IF(NOT(ISBLANK(Audit[[#This Row],[Audit Winning Candidate]])), Audit[[#This Row],[Audit Winning Candidate]]-Audit[[#This Row],[Winning Candidate]], "")</f>
        <v/>
      </c>
      <c r="AF438" s="18" t="str">
        <f>IF(NOT(ISBLANK(Audit[[#This Row],[Audit Losing Candidate]])), Audit[[#This Row],[Audit Losing Candidate]]-Audit[[#This Row],[Losing Candidate]], "")</f>
        <v/>
      </c>
      <c r="AG438" s="18" t="str">
        <f>IF(NOT(ISBLANK(Audit[[#This Row],[Audit Candidate 3]])), Audit[[#This Row],[Audit Candidate 3]]-Audit[[#This Row],[Candidate 3]], "")</f>
        <v/>
      </c>
      <c r="AH438" s="18" t="str">
        <f>IF(NOT(ISBLANK(Audit[[#This Row],[Audit Candidate 4]])),Audit[[#This Row],[Audit Candidate 4]]-Audit[[#This Row],[Candidate 4]], "")</f>
        <v/>
      </c>
      <c r="AI438" s="18" t="str">
        <f>IF(NOT(ISBLANK(Audit[[#This Row],[Audit Candidate 5]])), Audit[[#This Row],[Audit Candidate 5]]-Audit[[#This Row],[Candidate 5]], "")</f>
        <v/>
      </c>
      <c r="AJ438" s="18" t="str">
        <f>IF(NOT(ISBLANK(Audit[[#This Row],[Audit Candidate 6]])), Audit[[#This Row],[Audit Candidate 6]]-Audit[[#This Row],[Candidate 6]], "")</f>
        <v/>
      </c>
      <c r="AK438" s="18" t="str">
        <f>IF(NOT(ISBLANK(Audit[[#This Row],[Audit Candidate 7]])), Audit[[#This Row],[Audit Candidate 7]]-Audit[[#This Row],[Candidate 7]], "")</f>
        <v/>
      </c>
      <c r="AL438" s="18" t="str">
        <f>IF(NOT(ISBLANK(Audit[[#This Row],[Audit Candidate 8]])), Audit[[#This Row],[Audit Candidate 8]]-Audit[[#This Row],[Candidate 8]], "")</f>
        <v/>
      </c>
      <c r="AM438" s="18" t="str">
        <f>IF(NOT(ISBLANK(Audit[[#This Row],[Audit Candidate 9]])), Audit[[#This Row],[Audit Candidate 9]]-Audit[[#This Row],[Candidate 9]], "")</f>
        <v/>
      </c>
      <c r="AN438" s="18" t="str">
        <f>IF(NOT(ISBLANK(Audit[[#This Row],[Audit Candidate 10]])), Audit[[#This Row],[Audit Candidate 10]]-Audit[[#This Row],[Candidate 10]], "")</f>
        <v/>
      </c>
      <c r="AO438" s="18" t="str">
        <f>IF(NOT(ISBLANK(Audit[[#This Row],[Audit Candidate 11]])), Audit[[#This Row],[Audit Candidate 11]]-Audit[[#This Row],[Candidate 11]], "")</f>
        <v/>
      </c>
      <c r="AP438" s="18" t="str">
        <f>IF(NOT(ISBLANK(Audit[[#This Row],[Audit Candidate 12]])), Audit[[#This Row],[Audit Candidate 12]]-Audit[[#This Row],[Candidate 12]], "")</f>
        <v/>
      </c>
      <c r="AQ438" s="18">
        <f>SUMIF(Audit[[#This Row],[Difference Winner]:[Difference Candidate 12]], "&gt;0")</f>
        <v>0</v>
      </c>
      <c r="AR438" s="18">
        <f>SUM(Audit[[#This Row],[Difference Winner]:[Difference Candidate 12]])</f>
        <v>0</v>
      </c>
      <c r="AS438" s="18">
        <f>IF(Audit[[#This Row],[Times p Drawn - With Replacement]]&gt;0, IF(Audit[[#This Row],[Canceled Differences]]&lt;0, Audit[[#This Row],[Max Differences]]+ABS(Audit[[#This Row],[Canceled Differences]]), Audit[[#This Row],[Max Differences]]), 0)</f>
        <v>0</v>
      </c>
      <c r="AT438" s="18">
        <f>'Sampling Data'!AB438</f>
        <v>4.0832993058391182E-4</v>
      </c>
      <c r="AU438" s="18">
        <f>IF(
      SUM(Audit[[#This Row],[Audit Losing Candidate]:[Audit Candidate 12]])
      &lt;&gt;0,
      (Audit[[#This Row],[Winning Candidate]]-Audit[[#This Row],[Losing Candidate]]-(Audit[[#This Row],[Audit Winning Candidate]]-Audit[[#This Row],[Audit Losing Candidate]]))/(Audit[[#Totals],[Winning Candidate]]-Audit[[#Totals],[Losing Candidate]]),
      0
)</f>
        <v>0</v>
      </c>
      <c r="AV4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8">
        <f>IF(Audit[[#This Row],[Max Relative Error (ep)]] = 0, 0, Audit[[#This Row],[Max Relative Error (ep)]]/Audit[[#This Row],[Error Bound (up) - Max. possible relative overstatement]])</f>
        <v>0</v>
      </c>
      <c r="BH4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8" s="18">
        <f t="shared" si="7"/>
        <v>1</v>
      </c>
      <c r="BJ438" s="18">
        <f>PRODUCT($BI$5:BI438)</f>
        <v>0.32656797278968008</v>
      </c>
      <c r="BK438" s="20">
        <f>1 - Audit[[#This Row],[K-M P Value]]</f>
        <v>0.67343202721031992</v>
      </c>
      <c r="BL438" s="18" t="str">
        <f>IF(Audit[[#This Row],[K-M P Value]]&gt;1-'General Info'!$B$12,"Continue", "Stop")</f>
        <v>Continue</v>
      </c>
      <c r="BM438" s="23" t="b">
        <f>IF(Audit[[#This Row],[Status - Continue or stop audit]] = "Continue", TRUE, IF(BL437 = "Continue", TRUE, FALSE))</f>
        <v>1</v>
      </c>
      <c r="BN438" s="23"/>
    </row>
    <row r="439" spans="1:66" ht="15" hidden="1" customHeight="1" x14ac:dyDescent="0.35">
      <c r="A439" s="18" t="str">
        <f>'Sampling Data'!AI439</f>
        <v/>
      </c>
      <c r="B439" s="18" t="str">
        <f>'Sampling Data'!A439</f>
        <v>7310 GREEN J   (AV)</v>
      </c>
      <c r="C439" s="18">
        <f>'Sampling Data'!B439</f>
        <v>15</v>
      </c>
      <c r="D439" s="18">
        <f>'Sampling Data'!C439</f>
        <v>1</v>
      </c>
      <c r="E439" s="19">
        <f>'Sampling Data'!D439</f>
        <v>0</v>
      </c>
      <c r="F439" s="19">
        <f>'Sampling Data'!E439</f>
        <v>0</v>
      </c>
      <c r="G439" s="19">
        <f>'Sampling Data'!F439</f>
        <v>0</v>
      </c>
      <c r="H439" s="19">
        <f>'Sampling Data'!G439</f>
        <v>0</v>
      </c>
      <c r="I439" s="19">
        <f>'Sampling Data'!H439</f>
        <v>0</v>
      </c>
      <c r="J439" s="19">
        <f>'Sampling Data'!I439</f>
        <v>0</v>
      </c>
      <c r="K439" s="19">
        <f>'Sampling Data'!J439</f>
        <v>0</v>
      </c>
      <c r="L439" s="19">
        <f>'Sampling Data'!K439</f>
        <v>0</v>
      </c>
      <c r="M439" s="19">
        <f>'Sampling Data'!L439</f>
        <v>0</v>
      </c>
      <c r="N439" s="19">
        <f>'Sampling Data'!M439</f>
        <v>0</v>
      </c>
      <c r="O439" s="18">
        <f>'Sampling Data'!N439</f>
        <v>0</v>
      </c>
      <c r="P439" s="18">
        <f>'Sampling Data'!O439</f>
        <v>1</v>
      </c>
      <c r="Q439" s="18">
        <f>'Sampling Data'!P439</f>
        <v>17</v>
      </c>
      <c r="R439" s="18">
        <f>'Sampling Data'!AJ439</f>
        <v>0</v>
      </c>
      <c r="S439" s="112"/>
      <c r="T439" s="112"/>
      <c r="U439" s="113"/>
      <c r="V439" s="113"/>
      <c r="W439" s="112"/>
      <c r="X439" s="112"/>
      <c r="Y439" s="112"/>
      <c r="Z439" s="112"/>
      <c r="AA439" s="15"/>
      <c r="AB439" s="15"/>
      <c r="AC439" s="15"/>
      <c r="AD439" s="15"/>
      <c r="AE439" s="114" t="str">
        <f>IF(NOT(ISBLANK(Audit[[#This Row],[Audit Winning Candidate]])), Audit[[#This Row],[Audit Winning Candidate]]-Audit[[#This Row],[Winning Candidate]], "")</f>
        <v/>
      </c>
      <c r="AF439" s="18" t="str">
        <f>IF(NOT(ISBLANK(Audit[[#This Row],[Audit Losing Candidate]])), Audit[[#This Row],[Audit Losing Candidate]]-Audit[[#This Row],[Losing Candidate]], "")</f>
        <v/>
      </c>
      <c r="AG439" s="18" t="str">
        <f>IF(NOT(ISBLANK(Audit[[#This Row],[Audit Candidate 3]])), Audit[[#This Row],[Audit Candidate 3]]-Audit[[#This Row],[Candidate 3]], "")</f>
        <v/>
      </c>
      <c r="AH439" s="18" t="str">
        <f>IF(NOT(ISBLANK(Audit[[#This Row],[Audit Candidate 4]])),Audit[[#This Row],[Audit Candidate 4]]-Audit[[#This Row],[Candidate 4]], "")</f>
        <v/>
      </c>
      <c r="AI439" s="18" t="str">
        <f>IF(NOT(ISBLANK(Audit[[#This Row],[Audit Candidate 5]])), Audit[[#This Row],[Audit Candidate 5]]-Audit[[#This Row],[Candidate 5]], "")</f>
        <v/>
      </c>
      <c r="AJ439" s="18" t="str">
        <f>IF(NOT(ISBLANK(Audit[[#This Row],[Audit Candidate 6]])), Audit[[#This Row],[Audit Candidate 6]]-Audit[[#This Row],[Candidate 6]], "")</f>
        <v/>
      </c>
      <c r="AK439" s="18" t="str">
        <f>IF(NOT(ISBLANK(Audit[[#This Row],[Audit Candidate 7]])), Audit[[#This Row],[Audit Candidate 7]]-Audit[[#This Row],[Candidate 7]], "")</f>
        <v/>
      </c>
      <c r="AL439" s="18" t="str">
        <f>IF(NOT(ISBLANK(Audit[[#This Row],[Audit Candidate 8]])), Audit[[#This Row],[Audit Candidate 8]]-Audit[[#This Row],[Candidate 8]], "")</f>
        <v/>
      </c>
      <c r="AM439" s="18" t="str">
        <f>IF(NOT(ISBLANK(Audit[[#This Row],[Audit Candidate 9]])), Audit[[#This Row],[Audit Candidate 9]]-Audit[[#This Row],[Candidate 9]], "")</f>
        <v/>
      </c>
      <c r="AN439" s="18" t="str">
        <f>IF(NOT(ISBLANK(Audit[[#This Row],[Audit Candidate 10]])), Audit[[#This Row],[Audit Candidate 10]]-Audit[[#This Row],[Candidate 10]], "")</f>
        <v/>
      </c>
      <c r="AO439" s="18" t="str">
        <f>IF(NOT(ISBLANK(Audit[[#This Row],[Audit Candidate 11]])), Audit[[#This Row],[Audit Candidate 11]]-Audit[[#This Row],[Candidate 11]], "")</f>
        <v/>
      </c>
      <c r="AP439" s="18" t="str">
        <f>IF(NOT(ISBLANK(Audit[[#This Row],[Audit Candidate 12]])), Audit[[#This Row],[Audit Candidate 12]]-Audit[[#This Row],[Candidate 12]], "")</f>
        <v/>
      </c>
      <c r="AQ439" s="18">
        <f>SUMIF(Audit[[#This Row],[Difference Winner]:[Difference Candidate 12]], "&gt;0")</f>
        <v>0</v>
      </c>
      <c r="AR439" s="18">
        <f>SUM(Audit[[#This Row],[Difference Winner]:[Difference Candidate 12]])</f>
        <v>0</v>
      </c>
      <c r="AS439" s="18">
        <f>IF(Audit[[#This Row],[Times p Drawn - With Replacement]]&gt;0, IF(Audit[[#This Row],[Canceled Differences]]&lt;0, Audit[[#This Row],[Max Differences]]+ABS(Audit[[#This Row],[Canceled Differences]]), Audit[[#This Row],[Max Differences]]), 0)</f>
        <v>0</v>
      </c>
      <c r="AT439" s="18">
        <f>'Sampling Data'!AB439</f>
        <v>9.7370983446932818E-4</v>
      </c>
      <c r="AU439" s="18">
        <f>IF(
      SUM(Audit[[#This Row],[Audit Losing Candidate]:[Audit Candidate 12]])
      &lt;&gt;0,
      (Audit[[#This Row],[Winning Candidate]]-Audit[[#This Row],[Losing Candidate]]-(Audit[[#This Row],[Audit Winning Candidate]]-Audit[[#This Row],[Audit Losing Candidate]]))/(Audit[[#Totals],[Winning Candidate]]-Audit[[#Totals],[Losing Candidate]]),
      0
)</f>
        <v>0</v>
      </c>
      <c r="AV4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8">
        <f>IF(Audit[[#This Row],[Max Relative Error (ep)]] = 0, 0, Audit[[#This Row],[Max Relative Error (ep)]]/Audit[[#This Row],[Error Bound (up) - Max. possible relative overstatement]])</f>
        <v>0</v>
      </c>
      <c r="BH4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39" s="18">
        <f t="shared" si="7"/>
        <v>1</v>
      </c>
      <c r="BJ439" s="18">
        <f>PRODUCT($BI$5:BI439)</f>
        <v>0.32656797278968008</v>
      </c>
      <c r="BK439" s="20">
        <f>1 - Audit[[#This Row],[K-M P Value]]</f>
        <v>0.67343202721031992</v>
      </c>
      <c r="BL439" s="18" t="str">
        <f>IF(Audit[[#This Row],[K-M P Value]]&gt;1-'General Info'!$B$12,"Continue", "Stop")</f>
        <v>Continue</v>
      </c>
      <c r="BM439" s="23" t="b">
        <f>IF(Audit[[#This Row],[Status - Continue or stop audit]] = "Continue", TRUE, IF(BL438 = "Continue", TRUE, FALSE))</f>
        <v>1</v>
      </c>
      <c r="BN439" s="23"/>
    </row>
    <row r="440" spans="1:66" ht="15" hidden="1" customHeight="1" x14ac:dyDescent="0.35">
      <c r="A440" s="18" t="str">
        <f>'Sampling Data'!AI440</f>
        <v/>
      </c>
      <c r="B440" s="18" t="str">
        <f>'Sampling Data'!A440</f>
        <v>7311 GREEN K   (AV)</v>
      </c>
      <c r="C440" s="18">
        <f>'Sampling Data'!B440</f>
        <v>10</v>
      </c>
      <c r="D440" s="18">
        <f>'Sampling Data'!C440</f>
        <v>0</v>
      </c>
      <c r="E440" s="19">
        <f>'Sampling Data'!D440</f>
        <v>0</v>
      </c>
      <c r="F440" s="19">
        <f>'Sampling Data'!E440</f>
        <v>0</v>
      </c>
      <c r="G440" s="19">
        <f>'Sampling Data'!F440</f>
        <v>0</v>
      </c>
      <c r="H440" s="19">
        <f>'Sampling Data'!G440</f>
        <v>0</v>
      </c>
      <c r="I440" s="19">
        <f>'Sampling Data'!H440</f>
        <v>0</v>
      </c>
      <c r="J440" s="19">
        <f>'Sampling Data'!I440</f>
        <v>0</v>
      </c>
      <c r="K440" s="19">
        <f>'Sampling Data'!J440</f>
        <v>0</v>
      </c>
      <c r="L440" s="19">
        <f>'Sampling Data'!K440</f>
        <v>0</v>
      </c>
      <c r="M440" s="19">
        <f>'Sampling Data'!L440</f>
        <v>0</v>
      </c>
      <c r="N440" s="19">
        <f>'Sampling Data'!M440</f>
        <v>0</v>
      </c>
      <c r="O440" s="18">
        <f>'Sampling Data'!N440</f>
        <v>0</v>
      </c>
      <c r="P440" s="18">
        <f>'Sampling Data'!O440</f>
        <v>0</v>
      </c>
      <c r="Q440" s="18">
        <f>'Sampling Data'!P440</f>
        <v>10</v>
      </c>
      <c r="R440" s="18">
        <f>'Sampling Data'!AJ440</f>
        <v>0</v>
      </c>
      <c r="S440" s="112"/>
      <c r="T440" s="112"/>
      <c r="U440" s="113"/>
      <c r="V440" s="113"/>
      <c r="W440" s="112"/>
      <c r="X440" s="112"/>
      <c r="Y440" s="112"/>
      <c r="Z440" s="112"/>
      <c r="AA440" s="15"/>
      <c r="AB440" s="15"/>
      <c r="AC440" s="15"/>
      <c r="AD440" s="15"/>
      <c r="AE440" s="114" t="str">
        <f>IF(NOT(ISBLANK(Audit[[#This Row],[Audit Winning Candidate]])), Audit[[#This Row],[Audit Winning Candidate]]-Audit[[#This Row],[Winning Candidate]], "")</f>
        <v/>
      </c>
      <c r="AF440" s="18" t="str">
        <f>IF(NOT(ISBLANK(Audit[[#This Row],[Audit Losing Candidate]])), Audit[[#This Row],[Audit Losing Candidate]]-Audit[[#This Row],[Losing Candidate]], "")</f>
        <v/>
      </c>
      <c r="AG440" s="18" t="str">
        <f>IF(NOT(ISBLANK(Audit[[#This Row],[Audit Candidate 3]])), Audit[[#This Row],[Audit Candidate 3]]-Audit[[#This Row],[Candidate 3]], "")</f>
        <v/>
      </c>
      <c r="AH440" s="18" t="str">
        <f>IF(NOT(ISBLANK(Audit[[#This Row],[Audit Candidate 4]])),Audit[[#This Row],[Audit Candidate 4]]-Audit[[#This Row],[Candidate 4]], "")</f>
        <v/>
      </c>
      <c r="AI440" s="18" t="str">
        <f>IF(NOT(ISBLANK(Audit[[#This Row],[Audit Candidate 5]])), Audit[[#This Row],[Audit Candidate 5]]-Audit[[#This Row],[Candidate 5]], "")</f>
        <v/>
      </c>
      <c r="AJ440" s="18" t="str">
        <f>IF(NOT(ISBLANK(Audit[[#This Row],[Audit Candidate 6]])), Audit[[#This Row],[Audit Candidate 6]]-Audit[[#This Row],[Candidate 6]], "")</f>
        <v/>
      </c>
      <c r="AK440" s="18" t="str">
        <f>IF(NOT(ISBLANK(Audit[[#This Row],[Audit Candidate 7]])), Audit[[#This Row],[Audit Candidate 7]]-Audit[[#This Row],[Candidate 7]], "")</f>
        <v/>
      </c>
      <c r="AL440" s="18" t="str">
        <f>IF(NOT(ISBLANK(Audit[[#This Row],[Audit Candidate 8]])), Audit[[#This Row],[Audit Candidate 8]]-Audit[[#This Row],[Candidate 8]], "")</f>
        <v/>
      </c>
      <c r="AM440" s="18" t="str">
        <f>IF(NOT(ISBLANK(Audit[[#This Row],[Audit Candidate 9]])), Audit[[#This Row],[Audit Candidate 9]]-Audit[[#This Row],[Candidate 9]], "")</f>
        <v/>
      </c>
      <c r="AN440" s="18" t="str">
        <f>IF(NOT(ISBLANK(Audit[[#This Row],[Audit Candidate 10]])), Audit[[#This Row],[Audit Candidate 10]]-Audit[[#This Row],[Candidate 10]], "")</f>
        <v/>
      </c>
      <c r="AO440" s="18" t="str">
        <f>IF(NOT(ISBLANK(Audit[[#This Row],[Audit Candidate 11]])), Audit[[#This Row],[Audit Candidate 11]]-Audit[[#This Row],[Candidate 11]], "")</f>
        <v/>
      </c>
      <c r="AP440" s="18" t="str">
        <f>IF(NOT(ISBLANK(Audit[[#This Row],[Audit Candidate 12]])), Audit[[#This Row],[Audit Candidate 12]]-Audit[[#This Row],[Candidate 12]], "")</f>
        <v/>
      </c>
      <c r="AQ440" s="18">
        <f>SUMIF(Audit[[#This Row],[Difference Winner]:[Difference Candidate 12]], "&gt;0")</f>
        <v>0</v>
      </c>
      <c r="AR440" s="18">
        <f>SUM(Audit[[#This Row],[Difference Winner]:[Difference Candidate 12]])</f>
        <v>0</v>
      </c>
      <c r="AS440" s="18">
        <f>IF(Audit[[#This Row],[Times p Drawn - With Replacement]]&gt;0, IF(Audit[[#This Row],[Canceled Differences]]&lt;0, Audit[[#This Row],[Max Differences]]+ABS(Audit[[#This Row],[Canceled Differences]]), Audit[[#This Row],[Max Differences]]), 0)</f>
        <v>0</v>
      </c>
      <c r="AT440" s="18">
        <f>'Sampling Data'!AB440</f>
        <v>6.2819989320601812E-4</v>
      </c>
      <c r="AU440" s="18">
        <f>IF(
      SUM(Audit[[#This Row],[Audit Losing Candidate]:[Audit Candidate 12]])
      &lt;&gt;0,
      (Audit[[#This Row],[Winning Candidate]]-Audit[[#This Row],[Losing Candidate]]-(Audit[[#This Row],[Audit Winning Candidate]]-Audit[[#This Row],[Audit Losing Candidate]]))/(Audit[[#Totals],[Winning Candidate]]-Audit[[#Totals],[Losing Candidate]]),
      0
)</f>
        <v>0</v>
      </c>
      <c r="AV4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8">
        <f>IF(Audit[[#This Row],[Max Relative Error (ep)]] = 0, 0, Audit[[#This Row],[Max Relative Error (ep)]]/Audit[[#This Row],[Error Bound (up) - Max. possible relative overstatement]])</f>
        <v>0</v>
      </c>
      <c r="BH4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0" s="18">
        <f t="shared" si="7"/>
        <v>1</v>
      </c>
      <c r="BJ440" s="18">
        <f>PRODUCT($BI$5:BI440)</f>
        <v>0.32656797278968008</v>
      </c>
      <c r="BK440" s="20">
        <f>1 - Audit[[#This Row],[K-M P Value]]</f>
        <v>0.67343202721031992</v>
      </c>
      <c r="BL440" s="18" t="str">
        <f>IF(Audit[[#This Row],[K-M P Value]]&gt;1-'General Info'!$B$12,"Continue", "Stop")</f>
        <v>Continue</v>
      </c>
      <c r="BM440" s="23" t="b">
        <f>IF(Audit[[#This Row],[Status - Continue or stop audit]] = "Continue", TRUE, IF(BL439 = "Continue", TRUE, FALSE))</f>
        <v>1</v>
      </c>
      <c r="BN440" s="23"/>
    </row>
    <row r="441" spans="1:66" ht="15" hidden="1" customHeight="1" x14ac:dyDescent="0.35">
      <c r="A441" s="18" t="str">
        <f>'Sampling Data'!AI441</f>
        <v/>
      </c>
      <c r="B441" s="18" t="str">
        <f>'Sampling Data'!A441</f>
        <v>7312 GREEN L   (AV)</v>
      </c>
      <c r="C441" s="18">
        <f>'Sampling Data'!B441</f>
        <v>18</v>
      </c>
      <c r="D441" s="18">
        <f>'Sampling Data'!C441</f>
        <v>2</v>
      </c>
      <c r="E441" s="19">
        <f>'Sampling Data'!D441</f>
        <v>0</v>
      </c>
      <c r="F441" s="19">
        <f>'Sampling Data'!E441</f>
        <v>0</v>
      </c>
      <c r="G441" s="19">
        <f>'Sampling Data'!F441</f>
        <v>0</v>
      </c>
      <c r="H441" s="19">
        <f>'Sampling Data'!G441</f>
        <v>0</v>
      </c>
      <c r="I441" s="19">
        <f>'Sampling Data'!H441</f>
        <v>0</v>
      </c>
      <c r="J441" s="19">
        <f>'Sampling Data'!I441</f>
        <v>0</v>
      </c>
      <c r="K441" s="19">
        <f>'Sampling Data'!J441</f>
        <v>0</v>
      </c>
      <c r="L441" s="19">
        <f>'Sampling Data'!K441</f>
        <v>0</v>
      </c>
      <c r="M441" s="19">
        <f>'Sampling Data'!L441</f>
        <v>0</v>
      </c>
      <c r="N441" s="19">
        <f>'Sampling Data'!M441</f>
        <v>0</v>
      </c>
      <c r="O441" s="18">
        <f>'Sampling Data'!N441</f>
        <v>0</v>
      </c>
      <c r="P441" s="18">
        <f>'Sampling Data'!O441</f>
        <v>0</v>
      </c>
      <c r="Q441" s="18">
        <f>'Sampling Data'!P441</f>
        <v>20</v>
      </c>
      <c r="R441" s="18">
        <f>'Sampling Data'!AJ441</f>
        <v>0</v>
      </c>
      <c r="S441" s="112"/>
      <c r="T441" s="112"/>
      <c r="U441" s="113"/>
      <c r="V441" s="113"/>
      <c r="W441" s="112"/>
      <c r="X441" s="112"/>
      <c r="Y441" s="112"/>
      <c r="Z441" s="112"/>
      <c r="AA441" s="15"/>
      <c r="AB441" s="15"/>
      <c r="AC441" s="15"/>
      <c r="AD441" s="15"/>
      <c r="AE441" s="114" t="str">
        <f>IF(NOT(ISBLANK(Audit[[#This Row],[Audit Winning Candidate]])), Audit[[#This Row],[Audit Winning Candidate]]-Audit[[#This Row],[Winning Candidate]], "")</f>
        <v/>
      </c>
      <c r="AF441" s="18" t="str">
        <f>IF(NOT(ISBLANK(Audit[[#This Row],[Audit Losing Candidate]])), Audit[[#This Row],[Audit Losing Candidate]]-Audit[[#This Row],[Losing Candidate]], "")</f>
        <v/>
      </c>
      <c r="AG441" s="18" t="str">
        <f>IF(NOT(ISBLANK(Audit[[#This Row],[Audit Candidate 3]])), Audit[[#This Row],[Audit Candidate 3]]-Audit[[#This Row],[Candidate 3]], "")</f>
        <v/>
      </c>
      <c r="AH441" s="18" t="str">
        <f>IF(NOT(ISBLANK(Audit[[#This Row],[Audit Candidate 4]])),Audit[[#This Row],[Audit Candidate 4]]-Audit[[#This Row],[Candidate 4]], "")</f>
        <v/>
      </c>
      <c r="AI441" s="18" t="str">
        <f>IF(NOT(ISBLANK(Audit[[#This Row],[Audit Candidate 5]])), Audit[[#This Row],[Audit Candidate 5]]-Audit[[#This Row],[Candidate 5]], "")</f>
        <v/>
      </c>
      <c r="AJ441" s="18" t="str">
        <f>IF(NOT(ISBLANK(Audit[[#This Row],[Audit Candidate 6]])), Audit[[#This Row],[Audit Candidate 6]]-Audit[[#This Row],[Candidate 6]], "")</f>
        <v/>
      </c>
      <c r="AK441" s="18" t="str">
        <f>IF(NOT(ISBLANK(Audit[[#This Row],[Audit Candidate 7]])), Audit[[#This Row],[Audit Candidate 7]]-Audit[[#This Row],[Candidate 7]], "")</f>
        <v/>
      </c>
      <c r="AL441" s="18" t="str">
        <f>IF(NOT(ISBLANK(Audit[[#This Row],[Audit Candidate 8]])), Audit[[#This Row],[Audit Candidate 8]]-Audit[[#This Row],[Candidate 8]], "")</f>
        <v/>
      </c>
      <c r="AM441" s="18" t="str">
        <f>IF(NOT(ISBLANK(Audit[[#This Row],[Audit Candidate 9]])), Audit[[#This Row],[Audit Candidate 9]]-Audit[[#This Row],[Candidate 9]], "")</f>
        <v/>
      </c>
      <c r="AN441" s="18" t="str">
        <f>IF(NOT(ISBLANK(Audit[[#This Row],[Audit Candidate 10]])), Audit[[#This Row],[Audit Candidate 10]]-Audit[[#This Row],[Candidate 10]], "")</f>
        <v/>
      </c>
      <c r="AO441" s="18" t="str">
        <f>IF(NOT(ISBLANK(Audit[[#This Row],[Audit Candidate 11]])), Audit[[#This Row],[Audit Candidate 11]]-Audit[[#This Row],[Candidate 11]], "")</f>
        <v/>
      </c>
      <c r="AP441" s="18" t="str">
        <f>IF(NOT(ISBLANK(Audit[[#This Row],[Audit Candidate 12]])), Audit[[#This Row],[Audit Candidate 12]]-Audit[[#This Row],[Candidate 12]], "")</f>
        <v/>
      </c>
      <c r="AQ441" s="18">
        <f>SUMIF(Audit[[#This Row],[Difference Winner]:[Difference Candidate 12]], "&gt;0")</f>
        <v>0</v>
      </c>
      <c r="AR441" s="18">
        <f>SUM(Audit[[#This Row],[Difference Winner]:[Difference Candidate 12]])</f>
        <v>0</v>
      </c>
      <c r="AS441" s="18">
        <f>IF(Audit[[#This Row],[Times p Drawn - With Replacement]]&gt;0, IF(Audit[[#This Row],[Canceled Differences]]&lt;0, Audit[[#This Row],[Max Differences]]+ABS(Audit[[#This Row],[Canceled Differences]]), Audit[[#This Row],[Max Differences]]), 0)</f>
        <v>0</v>
      </c>
      <c r="AT441" s="18">
        <f>'Sampling Data'!AB441</f>
        <v>1.1307598077708327E-3</v>
      </c>
      <c r="AU441" s="18">
        <f>IF(
      SUM(Audit[[#This Row],[Audit Losing Candidate]:[Audit Candidate 12]])
      &lt;&gt;0,
      (Audit[[#This Row],[Winning Candidate]]-Audit[[#This Row],[Losing Candidate]]-(Audit[[#This Row],[Audit Winning Candidate]]-Audit[[#This Row],[Audit Losing Candidate]]))/(Audit[[#Totals],[Winning Candidate]]-Audit[[#Totals],[Losing Candidate]]),
      0
)</f>
        <v>0</v>
      </c>
      <c r="AV4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8">
        <f>IF(Audit[[#This Row],[Max Relative Error (ep)]] = 0, 0, Audit[[#This Row],[Max Relative Error (ep)]]/Audit[[#This Row],[Error Bound (up) - Max. possible relative overstatement]])</f>
        <v>0</v>
      </c>
      <c r="BH4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1" s="18">
        <f t="shared" si="7"/>
        <v>1</v>
      </c>
      <c r="BJ441" s="18">
        <f>PRODUCT($BI$5:BI441)</f>
        <v>0.32656797278968008</v>
      </c>
      <c r="BK441" s="20">
        <f>1 - Audit[[#This Row],[K-M P Value]]</f>
        <v>0.67343202721031992</v>
      </c>
      <c r="BL441" s="18" t="str">
        <f>IF(Audit[[#This Row],[K-M P Value]]&gt;1-'General Info'!$B$12,"Continue", "Stop")</f>
        <v>Continue</v>
      </c>
      <c r="BM441" s="23" t="b">
        <f>IF(Audit[[#This Row],[Status - Continue or stop audit]] = "Continue", TRUE, IF(BL440 = "Continue", TRUE, FALSE))</f>
        <v>1</v>
      </c>
      <c r="BN441" s="23"/>
    </row>
    <row r="442" spans="1:66" ht="15" hidden="1" customHeight="1" x14ac:dyDescent="0.35">
      <c r="A442" s="18" t="str">
        <f>'Sampling Data'!AI442</f>
        <v/>
      </c>
      <c r="B442" s="18" t="str">
        <f>'Sampling Data'!A442</f>
        <v>7313 GREEN M   (AV)</v>
      </c>
      <c r="C442" s="18">
        <f>'Sampling Data'!B442</f>
        <v>12</v>
      </c>
      <c r="D442" s="18">
        <f>'Sampling Data'!C442</f>
        <v>0</v>
      </c>
      <c r="E442" s="19">
        <f>'Sampling Data'!D442</f>
        <v>0</v>
      </c>
      <c r="F442" s="19">
        <f>'Sampling Data'!E442</f>
        <v>0</v>
      </c>
      <c r="G442" s="19">
        <f>'Sampling Data'!F442</f>
        <v>0</v>
      </c>
      <c r="H442" s="19">
        <f>'Sampling Data'!G442</f>
        <v>0</v>
      </c>
      <c r="I442" s="19">
        <f>'Sampling Data'!H442</f>
        <v>0</v>
      </c>
      <c r="J442" s="19">
        <f>'Sampling Data'!I442</f>
        <v>0</v>
      </c>
      <c r="K442" s="19">
        <f>'Sampling Data'!J442</f>
        <v>0</v>
      </c>
      <c r="L442" s="19">
        <f>'Sampling Data'!K442</f>
        <v>0</v>
      </c>
      <c r="M442" s="19">
        <f>'Sampling Data'!L442</f>
        <v>0</v>
      </c>
      <c r="N442" s="19">
        <f>'Sampling Data'!M442</f>
        <v>0</v>
      </c>
      <c r="O442" s="18">
        <f>'Sampling Data'!N442</f>
        <v>0</v>
      </c>
      <c r="P442" s="18">
        <f>'Sampling Data'!O442</f>
        <v>1</v>
      </c>
      <c r="Q442" s="18">
        <f>'Sampling Data'!P442</f>
        <v>13</v>
      </c>
      <c r="R442" s="18">
        <f>'Sampling Data'!AJ442</f>
        <v>0</v>
      </c>
      <c r="S442" s="112"/>
      <c r="T442" s="112"/>
      <c r="U442" s="113"/>
      <c r="V442" s="113"/>
      <c r="W442" s="112"/>
      <c r="X442" s="112"/>
      <c r="Y442" s="112"/>
      <c r="Z442" s="112"/>
      <c r="AA442" s="15"/>
      <c r="AB442" s="15"/>
      <c r="AC442" s="15"/>
      <c r="AD442" s="15"/>
      <c r="AE442" s="114" t="str">
        <f>IF(NOT(ISBLANK(Audit[[#This Row],[Audit Winning Candidate]])), Audit[[#This Row],[Audit Winning Candidate]]-Audit[[#This Row],[Winning Candidate]], "")</f>
        <v/>
      </c>
      <c r="AF442" s="18" t="str">
        <f>IF(NOT(ISBLANK(Audit[[#This Row],[Audit Losing Candidate]])), Audit[[#This Row],[Audit Losing Candidate]]-Audit[[#This Row],[Losing Candidate]], "")</f>
        <v/>
      </c>
      <c r="AG442" s="18" t="str">
        <f>IF(NOT(ISBLANK(Audit[[#This Row],[Audit Candidate 3]])), Audit[[#This Row],[Audit Candidate 3]]-Audit[[#This Row],[Candidate 3]], "")</f>
        <v/>
      </c>
      <c r="AH442" s="18" t="str">
        <f>IF(NOT(ISBLANK(Audit[[#This Row],[Audit Candidate 4]])),Audit[[#This Row],[Audit Candidate 4]]-Audit[[#This Row],[Candidate 4]], "")</f>
        <v/>
      </c>
      <c r="AI442" s="18" t="str">
        <f>IF(NOT(ISBLANK(Audit[[#This Row],[Audit Candidate 5]])), Audit[[#This Row],[Audit Candidate 5]]-Audit[[#This Row],[Candidate 5]], "")</f>
        <v/>
      </c>
      <c r="AJ442" s="18" t="str">
        <f>IF(NOT(ISBLANK(Audit[[#This Row],[Audit Candidate 6]])), Audit[[#This Row],[Audit Candidate 6]]-Audit[[#This Row],[Candidate 6]], "")</f>
        <v/>
      </c>
      <c r="AK442" s="18" t="str">
        <f>IF(NOT(ISBLANK(Audit[[#This Row],[Audit Candidate 7]])), Audit[[#This Row],[Audit Candidate 7]]-Audit[[#This Row],[Candidate 7]], "")</f>
        <v/>
      </c>
      <c r="AL442" s="18" t="str">
        <f>IF(NOT(ISBLANK(Audit[[#This Row],[Audit Candidate 8]])), Audit[[#This Row],[Audit Candidate 8]]-Audit[[#This Row],[Candidate 8]], "")</f>
        <v/>
      </c>
      <c r="AM442" s="18" t="str">
        <f>IF(NOT(ISBLANK(Audit[[#This Row],[Audit Candidate 9]])), Audit[[#This Row],[Audit Candidate 9]]-Audit[[#This Row],[Candidate 9]], "")</f>
        <v/>
      </c>
      <c r="AN442" s="18" t="str">
        <f>IF(NOT(ISBLANK(Audit[[#This Row],[Audit Candidate 10]])), Audit[[#This Row],[Audit Candidate 10]]-Audit[[#This Row],[Candidate 10]], "")</f>
        <v/>
      </c>
      <c r="AO442" s="18" t="str">
        <f>IF(NOT(ISBLANK(Audit[[#This Row],[Audit Candidate 11]])), Audit[[#This Row],[Audit Candidate 11]]-Audit[[#This Row],[Candidate 11]], "")</f>
        <v/>
      </c>
      <c r="AP442" s="18" t="str">
        <f>IF(NOT(ISBLANK(Audit[[#This Row],[Audit Candidate 12]])), Audit[[#This Row],[Audit Candidate 12]]-Audit[[#This Row],[Candidate 12]], "")</f>
        <v/>
      </c>
      <c r="AQ442" s="18">
        <f>SUMIF(Audit[[#This Row],[Difference Winner]:[Difference Candidate 12]], "&gt;0")</f>
        <v>0</v>
      </c>
      <c r="AR442" s="18">
        <f>SUM(Audit[[#This Row],[Difference Winner]:[Difference Candidate 12]])</f>
        <v>0</v>
      </c>
      <c r="AS442" s="18">
        <f>IF(Audit[[#This Row],[Times p Drawn - With Replacement]]&gt;0, IF(Audit[[#This Row],[Canceled Differences]]&lt;0, Audit[[#This Row],[Max Differences]]+ABS(Audit[[#This Row],[Canceled Differences]]), Audit[[#This Row],[Max Differences]]), 0)</f>
        <v>0</v>
      </c>
      <c r="AT442" s="18">
        <f>'Sampling Data'!AB442</f>
        <v>7.8524986650752265E-4</v>
      </c>
      <c r="AU442" s="18">
        <f>IF(
      SUM(Audit[[#This Row],[Audit Losing Candidate]:[Audit Candidate 12]])
      &lt;&gt;0,
      (Audit[[#This Row],[Winning Candidate]]-Audit[[#This Row],[Losing Candidate]]-(Audit[[#This Row],[Audit Winning Candidate]]-Audit[[#This Row],[Audit Losing Candidate]]))/(Audit[[#Totals],[Winning Candidate]]-Audit[[#Totals],[Losing Candidate]]),
      0
)</f>
        <v>0</v>
      </c>
      <c r="AV4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8">
        <f>IF(Audit[[#This Row],[Max Relative Error (ep)]] = 0, 0, Audit[[#This Row],[Max Relative Error (ep)]]/Audit[[#This Row],[Error Bound (up) - Max. possible relative overstatement]])</f>
        <v>0</v>
      </c>
      <c r="BH4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2" s="18">
        <f t="shared" si="7"/>
        <v>1</v>
      </c>
      <c r="BJ442" s="18">
        <f>PRODUCT($BI$5:BI442)</f>
        <v>0.32656797278968008</v>
      </c>
      <c r="BK442" s="20">
        <f>1 - Audit[[#This Row],[K-M P Value]]</f>
        <v>0.67343202721031992</v>
      </c>
      <c r="BL442" s="18" t="str">
        <f>IF(Audit[[#This Row],[K-M P Value]]&gt;1-'General Info'!$B$12,"Continue", "Stop")</f>
        <v>Continue</v>
      </c>
      <c r="BM442" s="23" t="b">
        <f>IF(Audit[[#This Row],[Status - Continue or stop audit]] = "Continue", TRUE, IF(BL441 = "Continue", TRUE, FALSE))</f>
        <v>1</v>
      </c>
      <c r="BN442" s="23"/>
    </row>
    <row r="443" spans="1:66" ht="15" hidden="1" customHeight="1" x14ac:dyDescent="0.35">
      <c r="A443" s="18" t="str">
        <f>'Sampling Data'!AI443</f>
        <v/>
      </c>
      <c r="B443" s="18" t="str">
        <f>'Sampling Data'!A443</f>
        <v>7314 GREEN N   (AV)</v>
      </c>
      <c r="C443" s="18">
        <f>'Sampling Data'!B443</f>
        <v>3</v>
      </c>
      <c r="D443" s="18">
        <f>'Sampling Data'!C443</f>
        <v>0</v>
      </c>
      <c r="E443" s="19">
        <f>'Sampling Data'!D443</f>
        <v>0</v>
      </c>
      <c r="F443" s="19">
        <f>'Sampling Data'!E443</f>
        <v>0</v>
      </c>
      <c r="G443" s="19">
        <f>'Sampling Data'!F443</f>
        <v>0</v>
      </c>
      <c r="H443" s="19">
        <f>'Sampling Data'!G443</f>
        <v>0</v>
      </c>
      <c r="I443" s="19">
        <f>'Sampling Data'!H443</f>
        <v>0</v>
      </c>
      <c r="J443" s="19">
        <f>'Sampling Data'!I443</f>
        <v>0</v>
      </c>
      <c r="K443" s="19">
        <f>'Sampling Data'!J443</f>
        <v>0</v>
      </c>
      <c r="L443" s="19">
        <f>'Sampling Data'!K443</f>
        <v>0</v>
      </c>
      <c r="M443" s="19">
        <f>'Sampling Data'!L443</f>
        <v>0</v>
      </c>
      <c r="N443" s="19">
        <f>'Sampling Data'!M443</f>
        <v>0</v>
      </c>
      <c r="O443" s="18">
        <f>'Sampling Data'!N443</f>
        <v>0</v>
      </c>
      <c r="P443" s="18">
        <f>'Sampling Data'!O443</f>
        <v>0</v>
      </c>
      <c r="Q443" s="18">
        <f>'Sampling Data'!P443</f>
        <v>3</v>
      </c>
      <c r="R443" s="18">
        <f>'Sampling Data'!AJ443</f>
        <v>0</v>
      </c>
      <c r="S443" s="112"/>
      <c r="T443" s="112"/>
      <c r="U443" s="113"/>
      <c r="V443" s="113"/>
      <c r="W443" s="112"/>
      <c r="X443" s="112"/>
      <c r="Y443" s="112"/>
      <c r="Z443" s="112"/>
      <c r="AA443" s="15"/>
      <c r="AB443" s="15"/>
      <c r="AC443" s="15"/>
      <c r="AD443" s="15"/>
      <c r="AE443" s="114" t="str">
        <f>IF(NOT(ISBLANK(Audit[[#This Row],[Audit Winning Candidate]])), Audit[[#This Row],[Audit Winning Candidate]]-Audit[[#This Row],[Winning Candidate]], "")</f>
        <v/>
      </c>
      <c r="AF443" s="18" t="str">
        <f>IF(NOT(ISBLANK(Audit[[#This Row],[Audit Losing Candidate]])), Audit[[#This Row],[Audit Losing Candidate]]-Audit[[#This Row],[Losing Candidate]], "")</f>
        <v/>
      </c>
      <c r="AG443" s="18" t="str">
        <f>IF(NOT(ISBLANK(Audit[[#This Row],[Audit Candidate 3]])), Audit[[#This Row],[Audit Candidate 3]]-Audit[[#This Row],[Candidate 3]], "")</f>
        <v/>
      </c>
      <c r="AH443" s="18" t="str">
        <f>IF(NOT(ISBLANK(Audit[[#This Row],[Audit Candidate 4]])),Audit[[#This Row],[Audit Candidate 4]]-Audit[[#This Row],[Candidate 4]], "")</f>
        <v/>
      </c>
      <c r="AI443" s="18" t="str">
        <f>IF(NOT(ISBLANK(Audit[[#This Row],[Audit Candidate 5]])), Audit[[#This Row],[Audit Candidate 5]]-Audit[[#This Row],[Candidate 5]], "")</f>
        <v/>
      </c>
      <c r="AJ443" s="18" t="str">
        <f>IF(NOT(ISBLANK(Audit[[#This Row],[Audit Candidate 6]])), Audit[[#This Row],[Audit Candidate 6]]-Audit[[#This Row],[Candidate 6]], "")</f>
        <v/>
      </c>
      <c r="AK443" s="18" t="str">
        <f>IF(NOT(ISBLANK(Audit[[#This Row],[Audit Candidate 7]])), Audit[[#This Row],[Audit Candidate 7]]-Audit[[#This Row],[Candidate 7]], "")</f>
        <v/>
      </c>
      <c r="AL443" s="18" t="str">
        <f>IF(NOT(ISBLANK(Audit[[#This Row],[Audit Candidate 8]])), Audit[[#This Row],[Audit Candidate 8]]-Audit[[#This Row],[Candidate 8]], "")</f>
        <v/>
      </c>
      <c r="AM443" s="18" t="str">
        <f>IF(NOT(ISBLANK(Audit[[#This Row],[Audit Candidate 9]])), Audit[[#This Row],[Audit Candidate 9]]-Audit[[#This Row],[Candidate 9]], "")</f>
        <v/>
      </c>
      <c r="AN443" s="18" t="str">
        <f>IF(NOT(ISBLANK(Audit[[#This Row],[Audit Candidate 10]])), Audit[[#This Row],[Audit Candidate 10]]-Audit[[#This Row],[Candidate 10]], "")</f>
        <v/>
      </c>
      <c r="AO443" s="18" t="str">
        <f>IF(NOT(ISBLANK(Audit[[#This Row],[Audit Candidate 11]])), Audit[[#This Row],[Audit Candidate 11]]-Audit[[#This Row],[Candidate 11]], "")</f>
        <v/>
      </c>
      <c r="AP443" s="18" t="str">
        <f>IF(NOT(ISBLANK(Audit[[#This Row],[Audit Candidate 12]])), Audit[[#This Row],[Audit Candidate 12]]-Audit[[#This Row],[Candidate 12]], "")</f>
        <v/>
      </c>
      <c r="AQ443" s="18">
        <f>SUMIF(Audit[[#This Row],[Difference Winner]:[Difference Candidate 12]], "&gt;0")</f>
        <v>0</v>
      </c>
      <c r="AR443" s="18">
        <f>SUM(Audit[[#This Row],[Difference Winner]:[Difference Candidate 12]])</f>
        <v>0</v>
      </c>
      <c r="AS443" s="18">
        <f>IF(Audit[[#This Row],[Times p Drawn - With Replacement]]&gt;0, IF(Audit[[#This Row],[Canceled Differences]]&lt;0, Audit[[#This Row],[Max Differences]]+ABS(Audit[[#This Row],[Canceled Differences]]), Audit[[#This Row],[Max Differences]]), 0)</f>
        <v>0</v>
      </c>
      <c r="AT443" s="18">
        <f>'Sampling Data'!AB443</f>
        <v>1.8845996796180544E-4</v>
      </c>
      <c r="AU443" s="18">
        <f>IF(
      SUM(Audit[[#This Row],[Audit Losing Candidate]:[Audit Candidate 12]])
      &lt;&gt;0,
      (Audit[[#This Row],[Winning Candidate]]-Audit[[#This Row],[Losing Candidate]]-(Audit[[#This Row],[Audit Winning Candidate]]-Audit[[#This Row],[Audit Losing Candidate]]))/(Audit[[#Totals],[Winning Candidate]]-Audit[[#Totals],[Losing Candidate]]),
      0
)</f>
        <v>0</v>
      </c>
      <c r="AV4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8">
        <f>IF(Audit[[#This Row],[Max Relative Error (ep)]] = 0, 0, Audit[[#This Row],[Max Relative Error (ep)]]/Audit[[#This Row],[Error Bound (up) - Max. possible relative overstatement]])</f>
        <v>0</v>
      </c>
      <c r="BH4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3" s="18">
        <f t="shared" si="7"/>
        <v>1</v>
      </c>
      <c r="BJ443" s="18">
        <f>PRODUCT($BI$5:BI443)</f>
        <v>0.32656797278968008</v>
      </c>
      <c r="BK443" s="20">
        <f>1 - Audit[[#This Row],[K-M P Value]]</f>
        <v>0.67343202721031992</v>
      </c>
      <c r="BL443" s="18" t="str">
        <f>IF(Audit[[#This Row],[K-M P Value]]&gt;1-'General Info'!$B$12,"Continue", "Stop")</f>
        <v>Continue</v>
      </c>
      <c r="BM443" s="23" t="b">
        <f>IF(Audit[[#This Row],[Status - Continue or stop audit]] = "Continue", TRUE, IF(BL442 = "Continue", TRUE, FALSE))</f>
        <v>1</v>
      </c>
      <c r="BN443" s="23"/>
    </row>
    <row r="444" spans="1:66" ht="15" hidden="1" customHeight="1" x14ac:dyDescent="0.35">
      <c r="A444" s="18" t="str">
        <f>'Sampling Data'!AI444</f>
        <v/>
      </c>
      <c r="B444" s="18" t="str">
        <f>'Sampling Data'!A444</f>
        <v>7315 GREEN O   (AV)</v>
      </c>
      <c r="C444" s="18">
        <f>'Sampling Data'!B444</f>
        <v>8</v>
      </c>
      <c r="D444" s="18">
        <f>'Sampling Data'!C444</f>
        <v>0</v>
      </c>
      <c r="E444" s="19">
        <f>'Sampling Data'!D444</f>
        <v>0</v>
      </c>
      <c r="F444" s="19">
        <f>'Sampling Data'!E444</f>
        <v>0</v>
      </c>
      <c r="G444" s="19">
        <f>'Sampling Data'!F444</f>
        <v>0</v>
      </c>
      <c r="H444" s="19">
        <f>'Sampling Data'!G444</f>
        <v>0</v>
      </c>
      <c r="I444" s="19">
        <f>'Sampling Data'!H444</f>
        <v>0</v>
      </c>
      <c r="J444" s="19">
        <f>'Sampling Data'!I444</f>
        <v>0</v>
      </c>
      <c r="K444" s="19">
        <f>'Sampling Data'!J444</f>
        <v>0</v>
      </c>
      <c r="L444" s="19">
        <f>'Sampling Data'!K444</f>
        <v>0</v>
      </c>
      <c r="M444" s="19">
        <f>'Sampling Data'!L444</f>
        <v>0</v>
      </c>
      <c r="N444" s="19">
        <f>'Sampling Data'!M444</f>
        <v>0</v>
      </c>
      <c r="O444" s="18">
        <f>'Sampling Data'!N444</f>
        <v>0</v>
      </c>
      <c r="P444" s="18">
        <f>'Sampling Data'!O444</f>
        <v>0</v>
      </c>
      <c r="Q444" s="18">
        <f>'Sampling Data'!P444</f>
        <v>8</v>
      </c>
      <c r="R444" s="18">
        <f>'Sampling Data'!AJ444</f>
        <v>0</v>
      </c>
      <c r="S444" s="112"/>
      <c r="T444" s="112"/>
      <c r="U444" s="113"/>
      <c r="V444" s="113"/>
      <c r="W444" s="112"/>
      <c r="X444" s="112"/>
      <c r="Y444" s="112"/>
      <c r="Z444" s="112"/>
      <c r="AA444" s="15"/>
      <c r="AB444" s="15"/>
      <c r="AC444" s="15"/>
      <c r="AD444" s="15"/>
      <c r="AE444" s="114" t="str">
        <f>IF(NOT(ISBLANK(Audit[[#This Row],[Audit Winning Candidate]])), Audit[[#This Row],[Audit Winning Candidate]]-Audit[[#This Row],[Winning Candidate]], "")</f>
        <v/>
      </c>
      <c r="AF444" s="18" t="str">
        <f>IF(NOT(ISBLANK(Audit[[#This Row],[Audit Losing Candidate]])), Audit[[#This Row],[Audit Losing Candidate]]-Audit[[#This Row],[Losing Candidate]], "")</f>
        <v/>
      </c>
      <c r="AG444" s="18" t="str">
        <f>IF(NOT(ISBLANK(Audit[[#This Row],[Audit Candidate 3]])), Audit[[#This Row],[Audit Candidate 3]]-Audit[[#This Row],[Candidate 3]], "")</f>
        <v/>
      </c>
      <c r="AH444" s="18" t="str">
        <f>IF(NOT(ISBLANK(Audit[[#This Row],[Audit Candidate 4]])),Audit[[#This Row],[Audit Candidate 4]]-Audit[[#This Row],[Candidate 4]], "")</f>
        <v/>
      </c>
      <c r="AI444" s="18" t="str">
        <f>IF(NOT(ISBLANK(Audit[[#This Row],[Audit Candidate 5]])), Audit[[#This Row],[Audit Candidate 5]]-Audit[[#This Row],[Candidate 5]], "")</f>
        <v/>
      </c>
      <c r="AJ444" s="18" t="str">
        <f>IF(NOT(ISBLANK(Audit[[#This Row],[Audit Candidate 6]])), Audit[[#This Row],[Audit Candidate 6]]-Audit[[#This Row],[Candidate 6]], "")</f>
        <v/>
      </c>
      <c r="AK444" s="18" t="str">
        <f>IF(NOT(ISBLANK(Audit[[#This Row],[Audit Candidate 7]])), Audit[[#This Row],[Audit Candidate 7]]-Audit[[#This Row],[Candidate 7]], "")</f>
        <v/>
      </c>
      <c r="AL444" s="18" t="str">
        <f>IF(NOT(ISBLANK(Audit[[#This Row],[Audit Candidate 8]])), Audit[[#This Row],[Audit Candidate 8]]-Audit[[#This Row],[Candidate 8]], "")</f>
        <v/>
      </c>
      <c r="AM444" s="18" t="str">
        <f>IF(NOT(ISBLANK(Audit[[#This Row],[Audit Candidate 9]])), Audit[[#This Row],[Audit Candidate 9]]-Audit[[#This Row],[Candidate 9]], "")</f>
        <v/>
      </c>
      <c r="AN444" s="18" t="str">
        <f>IF(NOT(ISBLANK(Audit[[#This Row],[Audit Candidate 10]])), Audit[[#This Row],[Audit Candidate 10]]-Audit[[#This Row],[Candidate 10]], "")</f>
        <v/>
      </c>
      <c r="AO444" s="18" t="str">
        <f>IF(NOT(ISBLANK(Audit[[#This Row],[Audit Candidate 11]])), Audit[[#This Row],[Audit Candidate 11]]-Audit[[#This Row],[Candidate 11]], "")</f>
        <v/>
      </c>
      <c r="AP444" s="18" t="str">
        <f>IF(NOT(ISBLANK(Audit[[#This Row],[Audit Candidate 12]])), Audit[[#This Row],[Audit Candidate 12]]-Audit[[#This Row],[Candidate 12]], "")</f>
        <v/>
      </c>
      <c r="AQ444" s="18">
        <f>SUMIF(Audit[[#This Row],[Difference Winner]:[Difference Candidate 12]], "&gt;0")</f>
        <v>0</v>
      </c>
      <c r="AR444" s="18">
        <f>SUM(Audit[[#This Row],[Difference Winner]:[Difference Candidate 12]])</f>
        <v>0</v>
      </c>
      <c r="AS444" s="18">
        <f>IF(Audit[[#This Row],[Times p Drawn - With Replacement]]&gt;0, IF(Audit[[#This Row],[Canceled Differences]]&lt;0, Audit[[#This Row],[Max Differences]]+ABS(Audit[[#This Row],[Canceled Differences]]), Audit[[#This Row],[Max Differences]]), 0)</f>
        <v>0</v>
      </c>
      <c r="AT444" s="18">
        <f>'Sampling Data'!AB444</f>
        <v>5.0255991456481448E-4</v>
      </c>
      <c r="AU444" s="18">
        <f>IF(
      SUM(Audit[[#This Row],[Audit Losing Candidate]:[Audit Candidate 12]])
      &lt;&gt;0,
      (Audit[[#This Row],[Winning Candidate]]-Audit[[#This Row],[Losing Candidate]]-(Audit[[#This Row],[Audit Winning Candidate]]-Audit[[#This Row],[Audit Losing Candidate]]))/(Audit[[#Totals],[Winning Candidate]]-Audit[[#Totals],[Losing Candidate]]),
      0
)</f>
        <v>0</v>
      </c>
      <c r="AV4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8">
        <f>IF(Audit[[#This Row],[Max Relative Error (ep)]] = 0, 0, Audit[[#This Row],[Max Relative Error (ep)]]/Audit[[#This Row],[Error Bound (up) - Max. possible relative overstatement]])</f>
        <v>0</v>
      </c>
      <c r="BH4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4" s="18">
        <f t="shared" si="7"/>
        <v>1</v>
      </c>
      <c r="BJ444" s="18">
        <f>PRODUCT($BI$5:BI444)</f>
        <v>0.32656797278968008</v>
      </c>
      <c r="BK444" s="20">
        <f>1 - Audit[[#This Row],[K-M P Value]]</f>
        <v>0.67343202721031992</v>
      </c>
      <c r="BL444" s="18" t="str">
        <f>IF(Audit[[#This Row],[K-M P Value]]&gt;1-'General Info'!$B$12,"Continue", "Stop")</f>
        <v>Continue</v>
      </c>
      <c r="BM444" s="23" t="b">
        <f>IF(Audit[[#This Row],[Status - Continue or stop audit]] = "Continue", TRUE, IF(BL443 = "Continue", TRUE, FALSE))</f>
        <v>1</v>
      </c>
      <c r="BN444" s="23"/>
    </row>
    <row r="445" spans="1:66" ht="15" hidden="1" customHeight="1" x14ac:dyDescent="0.35">
      <c r="A445" s="18" t="str">
        <f>'Sampling Data'!AI445</f>
        <v/>
      </c>
      <c r="B445" s="18" t="str">
        <f>'Sampling Data'!A445</f>
        <v>7316 GREEN P   (AV)</v>
      </c>
      <c r="C445" s="18">
        <f>'Sampling Data'!B445</f>
        <v>12</v>
      </c>
      <c r="D445" s="18">
        <f>'Sampling Data'!C445</f>
        <v>0</v>
      </c>
      <c r="E445" s="19">
        <f>'Sampling Data'!D445</f>
        <v>0</v>
      </c>
      <c r="F445" s="19">
        <f>'Sampling Data'!E445</f>
        <v>0</v>
      </c>
      <c r="G445" s="19">
        <f>'Sampling Data'!F445</f>
        <v>0</v>
      </c>
      <c r="H445" s="19">
        <f>'Sampling Data'!G445</f>
        <v>0</v>
      </c>
      <c r="I445" s="19">
        <f>'Sampling Data'!H445</f>
        <v>0</v>
      </c>
      <c r="J445" s="19">
        <f>'Sampling Data'!I445</f>
        <v>0</v>
      </c>
      <c r="K445" s="19">
        <f>'Sampling Data'!J445</f>
        <v>0</v>
      </c>
      <c r="L445" s="19">
        <f>'Sampling Data'!K445</f>
        <v>0</v>
      </c>
      <c r="M445" s="19">
        <f>'Sampling Data'!L445</f>
        <v>0</v>
      </c>
      <c r="N445" s="19">
        <f>'Sampling Data'!M445</f>
        <v>0</v>
      </c>
      <c r="O445" s="18">
        <f>'Sampling Data'!N445</f>
        <v>0</v>
      </c>
      <c r="P445" s="18">
        <f>'Sampling Data'!O445</f>
        <v>2</v>
      </c>
      <c r="Q445" s="18">
        <f>'Sampling Data'!P445</f>
        <v>14</v>
      </c>
      <c r="R445" s="18">
        <f>'Sampling Data'!AJ445</f>
        <v>0</v>
      </c>
      <c r="S445" s="112"/>
      <c r="T445" s="112"/>
      <c r="U445" s="113"/>
      <c r="V445" s="113"/>
      <c r="W445" s="112"/>
      <c r="X445" s="112"/>
      <c r="Y445" s="112"/>
      <c r="Z445" s="112"/>
      <c r="AA445" s="15"/>
      <c r="AB445" s="15"/>
      <c r="AC445" s="15"/>
      <c r="AD445" s="15"/>
      <c r="AE445" s="114" t="str">
        <f>IF(NOT(ISBLANK(Audit[[#This Row],[Audit Winning Candidate]])), Audit[[#This Row],[Audit Winning Candidate]]-Audit[[#This Row],[Winning Candidate]], "")</f>
        <v/>
      </c>
      <c r="AF445" s="18" t="str">
        <f>IF(NOT(ISBLANK(Audit[[#This Row],[Audit Losing Candidate]])), Audit[[#This Row],[Audit Losing Candidate]]-Audit[[#This Row],[Losing Candidate]], "")</f>
        <v/>
      </c>
      <c r="AG445" s="18" t="str">
        <f>IF(NOT(ISBLANK(Audit[[#This Row],[Audit Candidate 3]])), Audit[[#This Row],[Audit Candidate 3]]-Audit[[#This Row],[Candidate 3]], "")</f>
        <v/>
      </c>
      <c r="AH445" s="18" t="str">
        <f>IF(NOT(ISBLANK(Audit[[#This Row],[Audit Candidate 4]])),Audit[[#This Row],[Audit Candidate 4]]-Audit[[#This Row],[Candidate 4]], "")</f>
        <v/>
      </c>
      <c r="AI445" s="18" t="str">
        <f>IF(NOT(ISBLANK(Audit[[#This Row],[Audit Candidate 5]])), Audit[[#This Row],[Audit Candidate 5]]-Audit[[#This Row],[Candidate 5]], "")</f>
        <v/>
      </c>
      <c r="AJ445" s="18" t="str">
        <f>IF(NOT(ISBLANK(Audit[[#This Row],[Audit Candidate 6]])), Audit[[#This Row],[Audit Candidate 6]]-Audit[[#This Row],[Candidate 6]], "")</f>
        <v/>
      </c>
      <c r="AK445" s="18" t="str">
        <f>IF(NOT(ISBLANK(Audit[[#This Row],[Audit Candidate 7]])), Audit[[#This Row],[Audit Candidate 7]]-Audit[[#This Row],[Candidate 7]], "")</f>
        <v/>
      </c>
      <c r="AL445" s="18" t="str">
        <f>IF(NOT(ISBLANK(Audit[[#This Row],[Audit Candidate 8]])), Audit[[#This Row],[Audit Candidate 8]]-Audit[[#This Row],[Candidate 8]], "")</f>
        <v/>
      </c>
      <c r="AM445" s="18" t="str">
        <f>IF(NOT(ISBLANK(Audit[[#This Row],[Audit Candidate 9]])), Audit[[#This Row],[Audit Candidate 9]]-Audit[[#This Row],[Candidate 9]], "")</f>
        <v/>
      </c>
      <c r="AN445" s="18" t="str">
        <f>IF(NOT(ISBLANK(Audit[[#This Row],[Audit Candidate 10]])), Audit[[#This Row],[Audit Candidate 10]]-Audit[[#This Row],[Candidate 10]], "")</f>
        <v/>
      </c>
      <c r="AO445" s="18" t="str">
        <f>IF(NOT(ISBLANK(Audit[[#This Row],[Audit Candidate 11]])), Audit[[#This Row],[Audit Candidate 11]]-Audit[[#This Row],[Candidate 11]], "")</f>
        <v/>
      </c>
      <c r="AP445" s="18" t="str">
        <f>IF(NOT(ISBLANK(Audit[[#This Row],[Audit Candidate 12]])), Audit[[#This Row],[Audit Candidate 12]]-Audit[[#This Row],[Candidate 12]], "")</f>
        <v/>
      </c>
      <c r="AQ445" s="18">
        <f>SUMIF(Audit[[#This Row],[Difference Winner]:[Difference Candidate 12]], "&gt;0")</f>
        <v>0</v>
      </c>
      <c r="AR445" s="18">
        <f>SUM(Audit[[#This Row],[Difference Winner]:[Difference Candidate 12]])</f>
        <v>0</v>
      </c>
      <c r="AS445" s="18">
        <f>IF(Audit[[#This Row],[Times p Drawn - With Replacement]]&gt;0, IF(Audit[[#This Row],[Canceled Differences]]&lt;0, Audit[[#This Row],[Max Differences]]+ABS(Audit[[#This Row],[Canceled Differences]]), Audit[[#This Row],[Max Differences]]), 0)</f>
        <v>0</v>
      </c>
      <c r="AT445" s="18">
        <f>'Sampling Data'!AB445</f>
        <v>8.1665986116782364E-4</v>
      </c>
      <c r="AU445" s="18">
        <f>IF(
      SUM(Audit[[#This Row],[Audit Losing Candidate]:[Audit Candidate 12]])
      &lt;&gt;0,
      (Audit[[#This Row],[Winning Candidate]]-Audit[[#This Row],[Losing Candidate]]-(Audit[[#This Row],[Audit Winning Candidate]]-Audit[[#This Row],[Audit Losing Candidate]]))/(Audit[[#Totals],[Winning Candidate]]-Audit[[#Totals],[Losing Candidate]]),
      0
)</f>
        <v>0</v>
      </c>
      <c r="AV4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8">
        <f>IF(Audit[[#This Row],[Max Relative Error (ep)]] = 0, 0, Audit[[#This Row],[Max Relative Error (ep)]]/Audit[[#This Row],[Error Bound (up) - Max. possible relative overstatement]])</f>
        <v>0</v>
      </c>
      <c r="BH4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5" s="18">
        <f t="shared" si="7"/>
        <v>1</v>
      </c>
      <c r="BJ445" s="18">
        <f>PRODUCT($BI$5:BI445)</f>
        <v>0.32656797278968008</v>
      </c>
      <c r="BK445" s="20">
        <f>1 - Audit[[#This Row],[K-M P Value]]</f>
        <v>0.67343202721031992</v>
      </c>
      <c r="BL445" s="18" t="str">
        <f>IF(Audit[[#This Row],[K-M P Value]]&gt;1-'General Info'!$B$12,"Continue", "Stop")</f>
        <v>Continue</v>
      </c>
      <c r="BM445" s="23" t="b">
        <f>IF(Audit[[#This Row],[Status - Continue or stop audit]] = "Continue", TRUE, IF(BL444 = "Continue", TRUE, FALSE))</f>
        <v>1</v>
      </c>
      <c r="BN445" s="23"/>
    </row>
    <row r="446" spans="1:66" ht="15" hidden="1" customHeight="1" x14ac:dyDescent="0.35">
      <c r="A446" s="18" t="str">
        <f>'Sampling Data'!AI446</f>
        <v/>
      </c>
      <c r="B446" s="18" t="str">
        <f>'Sampling Data'!A446</f>
        <v>7317 GREEN Q   (AV)</v>
      </c>
      <c r="C446" s="18">
        <f>'Sampling Data'!B446</f>
        <v>6</v>
      </c>
      <c r="D446" s="18">
        <f>'Sampling Data'!C446</f>
        <v>0</v>
      </c>
      <c r="E446" s="19">
        <f>'Sampling Data'!D446</f>
        <v>0</v>
      </c>
      <c r="F446" s="19">
        <f>'Sampling Data'!E446</f>
        <v>0</v>
      </c>
      <c r="G446" s="19">
        <f>'Sampling Data'!F446</f>
        <v>0</v>
      </c>
      <c r="H446" s="19">
        <f>'Sampling Data'!G446</f>
        <v>0</v>
      </c>
      <c r="I446" s="19">
        <f>'Sampling Data'!H446</f>
        <v>0</v>
      </c>
      <c r="J446" s="19">
        <f>'Sampling Data'!I446</f>
        <v>0</v>
      </c>
      <c r="K446" s="19">
        <f>'Sampling Data'!J446</f>
        <v>0</v>
      </c>
      <c r="L446" s="19">
        <f>'Sampling Data'!K446</f>
        <v>0</v>
      </c>
      <c r="M446" s="19">
        <f>'Sampling Data'!L446</f>
        <v>0</v>
      </c>
      <c r="N446" s="19">
        <f>'Sampling Data'!M446</f>
        <v>0</v>
      </c>
      <c r="O446" s="18">
        <f>'Sampling Data'!N446</f>
        <v>0</v>
      </c>
      <c r="P446" s="18">
        <f>'Sampling Data'!O446</f>
        <v>0</v>
      </c>
      <c r="Q446" s="18">
        <f>'Sampling Data'!P446</f>
        <v>6</v>
      </c>
      <c r="R446" s="18">
        <f>'Sampling Data'!AJ446</f>
        <v>0</v>
      </c>
      <c r="S446" s="112"/>
      <c r="T446" s="112"/>
      <c r="U446" s="113"/>
      <c r="V446" s="113"/>
      <c r="W446" s="112"/>
      <c r="X446" s="112"/>
      <c r="Y446" s="112"/>
      <c r="Z446" s="112"/>
      <c r="AA446" s="15"/>
      <c r="AB446" s="15"/>
      <c r="AC446" s="15"/>
      <c r="AD446" s="15"/>
      <c r="AE446" s="114" t="str">
        <f>IF(NOT(ISBLANK(Audit[[#This Row],[Audit Winning Candidate]])), Audit[[#This Row],[Audit Winning Candidate]]-Audit[[#This Row],[Winning Candidate]], "")</f>
        <v/>
      </c>
      <c r="AF446" s="18" t="str">
        <f>IF(NOT(ISBLANK(Audit[[#This Row],[Audit Losing Candidate]])), Audit[[#This Row],[Audit Losing Candidate]]-Audit[[#This Row],[Losing Candidate]], "")</f>
        <v/>
      </c>
      <c r="AG446" s="18" t="str">
        <f>IF(NOT(ISBLANK(Audit[[#This Row],[Audit Candidate 3]])), Audit[[#This Row],[Audit Candidate 3]]-Audit[[#This Row],[Candidate 3]], "")</f>
        <v/>
      </c>
      <c r="AH446" s="18" t="str">
        <f>IF(NOT(ISBLANK(Audit[[#This Row],[Audit Candidate 4]])),Audit[[#This Row],[Audit Candidate 4]]-Audit[[#This Row],[Candidate 4]], "")</f>
        <v/>
      </c>
      <c r="AI446" s="18" t="str">
        <f>IF(NOT(ISBLANK(Audit[[#This Row],[Audit Candidate 5]])), Audit[[#This Row],[Audit Candidate 5]]-Audit[[#This Row],[Candidate 5]], "")</f>
        <v/>
      </c>
      <c r="AJ446" s="18" t="str">
        <f>IF(NOT(ISBLANK(Audit[[#This Row],[Audit Candidate 6]])), Audit[[#This Row],[Audit Candidate 6]]-Audit[[#This Row],[Candidate 6]], "")</f>
        <v/>
      </c>
      <c r="AK446" s="18" t="str">
        <f>IF(NOT(ISBLANK(Audit[[#This Row],[Audit Candidate 7]])), Audit[[#This Row],[Audit Candidate 7]]-Audit[[#This Row],[Candidate 7]], "")</f>
        <v/>
      </c>
      <c r="AL446" s="18" t="str">
        <f>IF(NOT(ISBLANK(Audit[[#This Row],[Audit Candidate 8]])), Audit[[#This Row],[Audit Candidate 8]]-Audit[[#This Row],[Candidate 8]], "")</f>
        <v/>
      </c>
      <c r="AM446" s="18" t="str">
        <f>IF(NOT(ISBLANK(Audit[[#This Row],[Audit Candidate 9]])), Audit[[#This Row],[Audit Candidate 9]]-Audit[[#This Row],[Candidate 9]], "")</f>
        <v/>
      </c>
      <c r="AN446" s="18" t="str">
        <f>IF(NOT(ISBLANK(Audit[[#This Row],[Audit Candidate 10]])), Audit[[#This Row],[Audit Candidate 10]]-Audit[[#This Row],[Candidate 10]], "")</f>
        <v/>
      </c>
      <c r="AO446" s="18" t="str">
        <f>IF(NOT(ISBLANK(Audit[[#This Row],[Audit Candidate 11]])), Audit[[#This Row],[Audit Candidate 11]]-Audit[[#This Row],[Candidate 11]], "")</f>
        <v/>
      </c>
      <c r="AP446" s="18" t="str">
        <f>IF(NOT(ISBLANK(Audit[[#This Row],[Audit Candidate 12]])), Audit[[#This Row],[Audit Candidate 12]]-Audit[[#This Row],[Candidate 12]], "")</f>
        <v/>
      </c>
      <c r="AQ446" s="18">
        <f>SUMIF(Audit[[#This Row],[Difference Winner]:[Difference Candidate 12]], "&gt;0")</f>
        <v>0</v>
      </c>
      <c r="AR446" s="18">
        <f>SUM(Audit[[#This Row],[Difference Winner]:[Difference Candidate 12]])</f>
        <v>0</v>
      </c>
      <c r="AS446" s="18">
        <f>IF(Audit[[#This Row],[Times p Drawn - With Replacement]]&gt;0, IF(Audit[[#This Row],[Canceled Differences]]&lt;0, Audit[[#This Row],[Max Differences]]+ABS(Audit[[#This Row],[Canceled Differences]]), Audit[[#This Row],[Max Differences]]), 0)</f>
        <v>0</v>
      </c>
      <c r="AT446" s="18">
        <f>'Sampling Data'!AB446</f>
        <v>3.7691993592361088E-4</v>
      </c>
      <c r="AU446" s="18">
        <f>IF(
      SUM(Audit[[#This Row],[Audit Losing Candidate]:[Audit Candidate 12]])
      &lt;&gt;0,
      (Audit[[#This Row],[Winning Candidate]]-Audit[[#This Row],[Losing Candidate]]-(Audit[[#This Row],[Audit Winning Candidate]]-Audit[[#This Row],[Audit Losing Candidate]]))/(Audit[[#Totals],[Winning Candidate]]-Audit[[#Totals],[Losing Candidate]]),
      0
)</f>
        <v>0</v>
      </c>
      <c r="AV4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8">
        <f>IF(Audit[[#This Row],[Max Relative Error (ep)]] = 0, 0, Audit[[#This Row],[Max Relative Error (ep)]]/Audit[[#This Row],[Error Bound (up) - Max. possible relative overstatement]])</f>
        <v>0</v>
      </c>
      <c r="BH4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6" s="18">
        <f t="shared" si="7"/>
        <v>1</v>
      </c>
      <c r="BJ446" s="18">
        <f>PRODUCT($BI$5:BI446)</f>
        <v>0.32656797278968008</v>
      </c>
      <c r="BK446" s="20">
        <f>1 - Audit[[#This Row],[K-M P Value]]</f>
        <v>0.67343202721031992</v>
      </c>
      <c r="BL446" s="18" t="str">
        <f>IF(Audit[[#This Row],[K-M P Value]]&gt;1-'General Info'!$B$12,"Continue", "Stop")</f>
        <v>Continue</v>
      </c>
      <c r="BM446" s="23" t="b">
        <f>IF(Audit[[#This Row],[Status - Continue or stop audit]] = "Continue", TRUE, IF(BL445 = "Continue", TRUE, FALSE))</f>
        <v>1</v>
      </c>
      <c r="BN446" s="23"/>
    </row>
    <row r="447" spans="1:66" ht="15" hidden="1" customHeight="1" x14ac:dyDescent="0.35">
      <c r="A447" s="18" t="str">
        <f>'Sampling Data'!AI447</f>
        <v/>
      </c>
      <c r="B447" s="18" t="str">
        <f>'Sampling Data'!A447</f>
        <v>7318 GREEN R   (AV)</v>
      </c>
      <c r="C447" s="18">
        <f>'Sampling Data'!B447</f>
        <v>13</v>
      </c>
      <c r="D447" s="18">
        <f>'Sampling Data'!C447</f>
        <v>0</v>
      </c>
      <c r="E447" s="19">
        <f>'Sampling Data'!D447</f>
        <v>0</v>
      </c>
      <c r="F447" s="19">
        <f>'Sampling Data'!E447</f>
        <v>0</v>
      </c>
      <c r="G447" s="19">
        <f>'Sampling Data'!F447</f>
        <v>0</v>
      </c>
      <c r="H447" s="19">
        <f>'Sampling Data'!G447</f>
        <v>0</v>
      </c>
      <c r="I447" s="19">
        <f>'Sampling Data'!H447</f>
        <v>0</v>
      </c>
      <c r="J447" s="19">
        <f>'Sampling Data'!I447</f>
        <v>0</v>
      </c>
      <c r="K447" s="19">
        <f>'Sampling Data'!J447</f>
        <v>0</v>
      </c>
      <c r="L447" s="19">
        <f>'Sampling Data'!K447</f>
        <v>0</v>
      </c>
      <c r="M447" s="19">
        <f>'Sampling Data'!L447</f>
        <v>0</v>
      </c>
      <c r="N447" s="19">
        <f>'Sampling Data'!M447</f>
        <v>0</v>
      </c>
      <c r="O447" s="18">
        <f>'Sampling Data'!N447</f>
        <v>0</v>
      </c>
      <c r="P447" s="18">
        <f>'Sampling Data'!O447</f>
        <v>0</v>
      </c>
      <c r="Q447" s="18">
        <f>'Sampling Data'!P447</f>
        <v>13</v>
      </c>
      <c r="R447" s="18">
        <f>'Sampling Data'!AJ447</f>
        <v>0</v>
      </c>
      <c r="S447" s="112"/>
      <c r="T447" s="112"/>
      <c r="U447" s="113"/>
      <c r="V447" s="113"/>
      <c r="W447" s="112"/>
      <c r="X447" s="112"/>
      <c r="Y447" s="112"/>
      <c r="Z447" s="112"/>
      <c r="AA447" s="15"/>
      <c r="AB447" s="15"/>
      <c r="AC447" s="15"/>
      <c r="AD447" s="15"/>
      <c r="AE447" s="114" t="str">
        <f>IF(NOT(ISBLANK(Audit[[#This Row],[Audit Winning Candidate]])), Audit[[#This Row],[Audit Winning Candidate]]-Audit[[#This Row],[Winning Candidate]], "")</f>
        <v/>
      </c>
      <c r="AF447" s="18" t="str">
        <f>IF(NOT(ISBLANK(Audit[[#This Row],[Audit Losing Candidate]])), Audit[[#This Row],[Audit Losing Candidate]]-Audit[[#This Row],[Losing Candidate]], "")</f>
        <v/>
      </c>
      <c r="AG447" s="18" t="str">
        <f>IF(NOT(ISBLANK(Audit[[#This Row],[Audit Candidate 3]])), Audit[[#This Row],[Audit Candidate 3]]-Audit[[#This Row],[Candidate 3]], "")</f>
        <v/>
      </c>
      <c r="AH447" s="18" t="str">
        <f>IF(NOT(ISBLANK(Audit[[#This Row],[Audit Candidate 4]])),Audit[[#This Row],[Audit Candidate 4]]-Audit[[#This Row],[Candidate 4]], "")</f>
        <v/>
      </c>
      <c r="AI447" s="18" t="str">
        <f>IF(NOT(ISBLANK(Audit[[#This Row],[Audit Candidate 5]])), Audit[[#This Row],[Audit Candidate 5]]-Audit[[#This Row],[Candidate 5]], "")</f>
        <v/>
      </c>
      <c r="AJ447" s="18" t="str">
        <f>IF(NOT(ISBLANK(Audit[[#This Row],[Audit Candidate 6]])), Audit[[#This Row],[Audit Candidate 6]]-Audit[[#This Row],[Candidate 6]], "")</f>
        <v/>
      </c>
      <c r="AK447" s="18" t="str">
        <f>IF(NOT(ISBLANK(Audit[[#This Row],[Audit Candidate 7]])), Audit[[#This Row],[Audit Candidate 7]]-Audit[[#This Row],[Candidate 7]], "")</f>
        <v/>
      </c>
      <c r="AL447" s="18" t="str">
        <f>IF(NOT(ISBLANK(Audit[[#This Row],[Audit Candidate 8]])), Audit[[#This Row],[Audit Candidate 8]]-Audit[[#This Row],[Candidate 8]], "")</f>
        <v/>
      </c>
      <c r="AM447" s="18" t="str">
        <f>IF(NOT(ISBLANK(Audit[[#This Row],[Audit Candidate 9]])), Audit[[#This Row],[Audit Candidate 9]]-Audit[[#This Row],[Candidate 9]], "")</f>
        <v/>
      </c>
      <c r="AN447" s="18" t="str">
        <f>IF(NOT(ISBLANK(Audit[[#This Row],[Audit Candidate 10]])), Audit[[#This Row],[Audit Candidate 10]]-Audit[[#This Row],[Candidate 10]], "")</f>
        <v/>
      </c>
      <c r="AO447" s="18" t="str">
        <f>IF(NOT(ISBLANK(Audit[[#This Row],[Audit Candidate 11]])), Audit[[#This Row],[Audit Candidate 11]]-Audit[[#This Row],[Candidate 11]], "")</f>
        <v/>
      </c>
      <c r="AP447" s="18" t="str">
        <f>IF(NOT(ISBLANK(Audit[[#This Row],[Audit Candidate 12]])), Audit[[#This Row],[Audit Candidate 12]]-Audit[[#This Row],[Candidate 12]], "")</f>
        <v/>
      </c>
      <c r="AQ447" s="18">
        <f>SUMIF(Audit[[#This Row],[Difference Winner]:[Difference Candidate 12]], "&gt;0")</f>
        <v>0</v>
      </c>
      <c r="AR447" s="18">
        <f>SUM(Audit[[#This Row],[Difference Winner]:[Difference Candidate 12]])</f>
        <v>0</v>
      </c>
      <c r="AS447" s="18">
        <f>IF(Audit[[#This Row],[Times p Drawn - With Replacement]]&gt;0, IF(Audit[[#This Row],[Canceled Differences]]&lt;0, Audit[[#This Row],[Max Differences]]+ABS(Audit[[#This Row],[Canceled Differences]]), Audit[[#This Row],[Max Differences]]), 0)</f>
        <v>0</v>
      </c>
      <c r="AT447" s="18">
        <f>'Sampling Data'!AB447</f>
        <v>8.1665986116782364E-4</v>
      </c>
      <c r="AU447" s="18">
        <f>IF(
      SUM(Audit[[#This Row],[Audit Losing Candidate]:[Audit Candidate 12]])
      &lt;&gt;0,
      (Audit[[#This Row],[Winning Candidate]]-Audit[[#This Row],[Losing Candidate]]-(Audit[[#This Row],[Audit Winning Candidate]]-Audit[[#This Row],[Audit Losing Candidate]]))/(Audit[[#Totals],[Winning Candidate]]-Audit[[#Totals],[Losing Candidate]]),
      0
)</f>
        <v>0</v>
      </c>
      <c r="AV4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8">
        <f>IF(Audit[[#This Row],[Max Relative Error (ep)]] = 0, 0, Audit[[#This Row],[Max Relative Error (ep)]]/Audit[[#This Row],[Error Bound (up) - Max. possible relative overstatement]])</f>
        <v>0</v>
      </c>
      <c r="BH4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7" s="18">
        <f t="shared" si="7"/>
        <v>1</v>
      </c>
      <c r="BJ447" s="18">
        <f>PRODUCT($BI$5:BI447)</f>
        <v>0.32656797278968008</v>
      </c>
      <c r="BK447" s="20">
        <f>1 - Audit[[#This Row],[K-M P Value]]</f>
        <v>0.67343202721031992</v>
      </c>
      <c r="BL447" s="18" t="str">
        <f>IF(Audit[[#This Row],[K-M P Value]]&gt;1-'General Info'!$B$12,"Continue", "Stop")</f>
        <v>Continue</v>
      </c>
      <c r="BM447" s="23" t="b">
        <f>IF(Audit[[#This Row],[Status - Continue or stop audit]] = "Continue", TRUE, IF(BL446 = "Continue", TRUE, FALSE))</f>
        <v>1</v>
      </c>
      <c r="BN447" s="23"/>
    </row>
    <row r="448" spans="1:66" ht="15" hidden="1" customHeight="1" x14ac:dyDescent="0.35">
      <c r="A448" s="18" t="str">
        <f>'Sampling Data'!AI448</f>
        <v/>
      </c>
      <c r="B448" s="18" t="str">
        <f>'Sampling Data'!A448</f>
        <v>7319 GREEN S   (AV)</v>
      </c>
      <c r="C448" s="18">
        <f>'Sampling Data'!B448</f>
        <v>5</v>
      </c>
      <c r="D448" s="18">
        <f>'Sampling Data'!C448</f>
        <v>1</v>
      </c>
      <c r="E448" s="19">
        <f>'Sampling Data'!D448</f>
        <v>0</v>
      </c>
      <c r="F448" s="19">
        <f>'Sampling Data'!E448</f>
        <v>0</v>
      </c>
      <c r="G448" s="19">
        <f>'Sampling Data'!F448</f>
        <v>0</v>
      </c>
      <c r="H448" s="19">
        <f>'Sampling Data'!G448</f>
        <v>0</v>
      </c>
      <c r="I448" s="19">
        <f>'Sampling Data'!H448</f>
        <v>0</v>
      </c>
      <c r="J448" s="19">
        <f>'Sampling Data'!I448</f>
        <v>0</v>
      </c>
      <c r="K448" s="19">
        <f>'Sampling Data'!J448</f>
        <v>0</v>
      </c>
      <c r="L448" s="19">
        <f>'Sampling Data'!K448</f>
        <v>0</v>
      </c>
      <c r="M448" s="19">
        <f>'Sampling Data'!L448</f>
        <v>0</v>
      </c>
      <c r="N448" s="19">
        <f>'Sampling Data'!M448</f>
        <v>0</v>
      </c>
      <c r="O448" s="18">
        <f>'Sampling Data'!N448</f>
        <v>0</v>
      </c>
      <c r="P448" s="18">
        <f>'Sampling Data'!O448</f>
        <v>0</v>
      </c>
      <c r="Q448" s="18">
        <f>'Sampling Data'!P448</f>
        <v>6</v>
      </c>
      <c r="R448" s="18">
        <f>'Sampling Data'!AJ448</f>
        <v>0</v>
      </c>
      <c r="S448" s="112"/>
      <c r="T448" s="112"/>
      <c r="U448" s="113"/>
      <c r="V448" s="113"/>
      <c r="W448" s="112"/>
      <c r="X448" s="112"/>
      <c r="Y448" s="112"/>
      <c r="Z448" s="112"/>
      <c r="AA448" s="15"/>
      <c r="AB448" s="15"/>
      <c r="AC448" s="15"/>
      <c r="AD448" s="15"/>
      <c r="AE448" s="114" t="str">
        <f>IF(NOT(ISBLANK(Audit[[#This Row],[Audit Winning Candidate]])), Audit[[#This Row],[Audit Winning Candidate]]-Audit[[#This Row],[Winning Candidate]], "")</f>
        <v/>
      </c>
      <c r="AF448" s="18" t="str">
        <f>IF(NOT(ISBLANK(Audit[[#This Row],[Audit Losing Candidate]])), Audit[[#This Row],[Audit Losing Candidate]]-Audit[[#This Row],[Losing Candidate]], "")</f>
        <v/>
      </c>
      <c r="AG448" s="18" t="str">
        <f>IF(NOT(ISBLANK(Audit[[#This Row],[Audit Candidate 3]])), Audit[[#This Row],[Audit Candidate 3]]-Audit[[#This Row],[Candidate 3]], "")</f>
        <v/>
      </c>
      <c r="AH448" s="18" t="str">
        <f>IF(NOT(ISBLANK(Audit[[#This Row],[Audit Candidate 4]])),Audit[[#This Row],[Audit Candidate 4]]-Audit[[#This Row],[Candidate 4]], "")</f>
        <v/>
      </c>
      <c r="AI448" s="18" t="str">
        <f>IF(NOT(ISBLANK(Audit[[#This Row],[Audit Candidate 5]])), Audit[[#This Row],[Audit Candidate 5]]-Audit[[#This Row],[Candidate 5]], "")</f>
        <v/>
      </c>
      <c r="AJ448" s="18" t="str">
        <f>IF(NOT(ISBLANK(Audit[[#This Row],[Audit Candidate 6]])), Audit[[#This Row],[Audit Candidate 6]]-Audit[[#This Row],[Candidate 6]], "")</f>
        <v/>
      </c>
      <c r="AK448" s="18" t="str">
        <f>IF(NOT(ISBLANK(Audit[[#This Row],[Audit Candidate 7]])), Audit[[#This Row],[Audit Candidate 7]]-Audit[[#This Row],[Candidate 7]], "")</f>
        <v/>
      </c>
      <c r="AL448" s="18" t="str">
        <f>IF(NOT(ISBLANK(Audit[[#This Row],[Audit Candidate 8]])), Audit[[#This Row],[Audit Candidate 8]]-Audit[[#This Row],[Candidate 8]], "")</f>
        <v/>
      </c>
      <c r="AM448" s="18" t="str">
        <f>IF(NOT(ISBLANK(Audit[[#This Row],[Audit Candidate 9]])), Audit[[#This Row],[Audit Candidate 9]]-Audit[[#This Row],[Candidate 9]], "")</f>
        <v/>
      </c>
      <c r="AN448" s="18" t="str">
        <f>IF(NOT(ISBLANK(Audit[[#This Row],[Audit Candidate 10]])), Audit[[#This Row],[Audit Candidate 10]]-Audit[[#This Row],[Candidate 10]], "")</f>
        <v/>
      </c>
      <c r="AO448" s="18" t="str">
        <f>IF(NOT(ISBLANK(Audit[[#This Row],[Audit Candidate 11]])), Audit[[#This Row],[Audit Candidate 11]]-Audit[[#This Row],[Candidate 11]], "")</f>
        <v/>
      </c>
      <c r="AP448" s="18" t="str">
        <f>IF(NOT(ISBLANK(Audit[[#This Row],[Audit Candidate 12]])), Audit[[#This Row],[Audit Candidate 12]]-Audit[[#This Row],[Candidate 12]], "")</f>
        <v/>
      </c>
      <c r="AQ448" s="18">
        <f>SUMIF(Audit[[#This Row],[Difference Winner]:[Difference Candidate 12]], "&gt;0")</f>
        <v>0</v>
      </c>
      <c r="AR448" s="18">
        <f>SUM(Audit[[#This Row],[Difference Winner]:[Difference Candidate 12]])</f>
        <v>0</v>
      </c>
      <c r="AS448" s="18">
        <f>IF(Audit[[#This Row],[Times p Drawn - With Replacement]]&gt;0, IF(Audit[[#This Row],[Canceled Differences]]&lt;0, Audit[[#This Row],[Max Differences]]+ABS(Audit[[#This Row],[Canceled Differences]]), Audit[[#This Row],[Max Differences]]), 0)</f>
        <v>0</v>
      </c>
      <c r="AT448" s="18">
        <f>'Sampling Data'!AB448</f>
        <v>3.1409994660300906E-4</v>
      </c>
      <c r="AU448" s="18">
        <f>IF(
      SUM(Audit[[#This Row],[Audit Losing Candidate]:[Audit Candidate 12]])
      &lt;&gt;0,
      (Audit[[#This Row],[Winning Candidate]]-Audit[[#This Row],[Losing Candidate]]-(Audit[[#This Row],[Audit Winning Candidate]]-Audit[[#This Row],[Audit Losing Candidate]]))/(Audit[[#Totals],[Winning Candidate]]-Audit[[#Totals],[Losing Candidate]]),
      0
)</f>
        <v>0</v>
      </c>
      <c r="AV4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8">
        <f>IF(Audit[[#This Row],[Max Relative Error (ep)]] = 0, 0, Audit[[#This Row],[Max Relative Error (ep)]]/Audit[[#This Row],[Error Bound (up) - Max. possible relative overstatement]])</f>
        <v>0</v>
      </c>
      <c r="BH4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8" s="18">
        <f t="shared" si="7"/>
        <v>1</v>
      </c>
      <c r="BJ448" s="18">
        <f>PRODUCT($BI$5:BI448)</f>
        <v>0.32656797278968008</v>
      </c>
      <c r="BK448" s="20">
        <f>1 - Audit[[#This Row],[K-M P Value]]</f>
        <v>0.67343202721031992</v>
      </c>
      <c r="BL448" s="18" t="str">
        <f>IF(Audit[[#This Row],[K-M P Value]]&gt;1-'General Info'!$B$12,"Continue", "Stop")</f>
        <v>Continue</v>
      </c>
      <c r="BM448" s="23" t="b">
        <f>IF(Audit[[#This Row],[Status - Continue or stop audit]] = "Continue", TRUE, IF(BL447 = "Continue", TRUE, FALSE))</f>
        <v>1</v>
      </c>
      <c r="BN448" s="23"/>
    </row>
    <row r="449" spans="1:66" ht="15" hidden="1" customHeight="1" x14ac:dyDescent="0.35">
      <c r="A449" s="18" t="str">
        <f>'Sampling Data'!AI449</f>
        <v/>
      </c>
      <c r="B449" s="18" t="str">
        <f>'Sampling Data'!A449</f>
        <v>7320 GREEN T   (AV)</v>
      </c>
      <c r="C449" s="18">
        <f>'Sampling Data'!B449</f>
        <v>3</v>
      </c>
      <c r="D449" s="18">
        <f>'Sampling Data'!C449</f>
        <v>1</v>
      </c>
      <c r="E449" s="19">
        <f>'Sampling Data'!D449</f>
        <v>0</v>
      </c>
      <c r="F449" s="19">
        <f>'Sampling Data'!E449</f>
        <v>0</v>
      </c>
      <c r="G449" s="19">
        <f>'Sampling Data'!F449</f>
        <v>0</v>
      </c>
      <c r="H449" s="19">
        <f>'Sampling Data'!G449</f>
        <v>0</v>
      </c>
      <c r="I449" s="19">
        <f>'Sampling Data'!H449</f>
        <v>0</v>
      </c>
      <c r="J449" s="19">
        <f>'Sampling Data'!I449</f>
        <v>0</v>
      </c>
      <c r="K449" s="19">
        <f>'Sampling Data'!J449</f>
        <v>0</v>
      </c>
      <c r="L449" s="19">
        <f>'Sampling Data'!K449</f>
        <v>0</v>
      </c>
      <c r="M449" s="19">
        <f>'Sampling Data'!L449</f>
        <v>0</v>
      </c>
      <c r="N449" s="19">
        <f>'Sampling Data'!M449</f>
        <v>0</v>
      </c>
      <c r="O449" s="18">
        <f>'Sampling Data'!N449</f>
        <v>0</v>
      </c>
      <c r="P449" s="18">
        <f>'Sampling Data'!O449</f>
        <v>0</v>
      </c>
      <c r="Q449" s="18">
        <f>'Sampling Data'!P449</f>
        <v>4</v>
      </c>
      <c r="R449" s="18">
        <f>'Sampling Data'!AJ449</f>
        <v>0</v>
      </c>
      <c r="S449" s="112"/>
      <c r="T449" s="112"/>
      <c r="U449" s="113"/>
      <c r="V449" s="113"/>
      <c r="W449" s="112"/>
      <c r="X449" s="112"/>
      <c r="Y449" s="112"/>
      <c r="Z449" s="112"/>
      <c r="AA449" s="15"/>
      <c r="AB449" s="15"/>
      <c r="AC449" s="15"/>
      <c r="AD449" s="15"/>
      <c r="AE449" s="114" t="str">
        <f>IF(NOT(ISBLANK(Audit[[#This Row],[Audit Winning Candidate]])), Audit[[#This Row],[Audit Winning Candidate]]-Audit[[#This Row],[Winning Candidate]], "")</f>
        <v/>
      </c>
      <c r="AF449" s="18" t="str">
        <f>IF(NOT(ISBLANK(Audit[[#This Row],[Audit Losing Candidate]])), Audit[[#This Row],[Audit Losing Candidate]]-Audit[[#This Row],[Losing Candidate]], "")</f>
        <v/>
      </c>
      <c r="AG449" s="18" t="str">
        <f>IF(NOT(ISBLANK(Audit[[#This Row],[Audit Candidate 3]])), Audit[[#This Row],[Audit Candidate 3]]-Audit[[#This Row],[Candidate 3]], "")</f>
        <v/>
      </c>
      <c r="AH449" s="18" t="str">
        <f>IF(NOT(ISBLANK(Audit[[#This Row],[Audit Candidate 4]])),Audit[[#This Row],[Audit Candidate 4]]-Audit[[#This Row],[Candidate 4]], "")</f>
        <v/>
      </c>
      <c r="AI449" s="18" t="str">
        <f>IF(NOT(ISBLANK(Audit[[#This Row],[Audit Candidate 5]])), Audit[[#This Row],[Audit Candidate 5]]-Audit[[#This Row],[Candidate 5]], "")</f>
        <v/>
      </c>
      <c r="AJ449" s="18" t="str">
        <f>IF(NOT(ISBLANK(Audit[[#This Row],[Audit Candidate 6]])), Audit[[#This Row],[Audit Candidate 6]]-Audit[[#This Row],[Candidate 6]], "")</f>
        <v/>
      </c>
      <c r="AK449" s="18" t="str">
        <f>IF(NOT(ISBLANK(Audit[[#This Row],[Audit Candidate 7]])), Audit[[#This Row],[Audit Candidate 7]]-Audit[[#This Row],[Candidate 7]], "")</f>
        <v/>
      </c>
      <c r="AL449" s="18" t="str">
        <f>IF(NOT(ISBLANK(Audit[[#This Row],[Audit Candidate 8]])), Audit[[#This Row],[Audit Candidate 8]]-Audit[[#This Row],[Candidate 8]], "")</f>
        <v/>
      </c>
      <c r="AM449" s="18" t="str">
        <f>IF(NOT(ISBLANK(Audit[[#This Row],[Audit Candidate 9]])), Audit[[#This Row],[Audit Candidate 9]]-Audit[[#This Row],[Candidate 9]], "")</f>
        <v/>
      </c>
      <c r="AN449" s="18" t="str">
        <f>IF(NOT(ISBLANK(Audit[[#This Row],[Audit Candidate 10]])), Audit[[#This Row],[Audit Candidate 10]]-Audit[[#This Row],[Candidate 10]], "")</f>
        <v/>
      </c>
      <c r="AO449" s="18" t="str">
        <f>IF(NOT(ISBLANK(Audit[[#This Row],[Audit Candidate 11]])), Audit[[#This Row],[Audit Candidate 11]]-Audit[[#This Row],[Candidate 11]], "")</f>
        <v/>
      </c>
      <c r="AP449" s="18" t="str">
        <f>IF(NOT(ISBLANK(Audit[[#This Row],[Audit Candidate 12]])), Audit[[#This Row],[Audit Candidate 12]]-Audit[[#This Row],[Candidate 12]], "")</f>
        <v/>
      </c>
      <c r="AQ449" s="18">
        <f>SUMIF(Audit[[#This Row],[Difference Winner]:[Difference Candidate 12]], "&gt;0")</f>
        <v>0</v>
      </c>
      <c r="AR449" s="18">
        <f>SUM(Audit[[#This Row],[Difference Winner]:[Difference Candidate 12]])</f>
        <v>0</v>
      </c>
      <c r="AS449" s="18">
        <f>IF(Audit[[#This Row],[Times p Drawn - With Replacement]]&gt;0, IF(Audit[[#This Row],[Canceled Differences]]&lt;0, Audit[[#This Row],[Max Differences]]+ABS(Audit[[#This Row],[Canceled Differences]]), Audit[[#This Row],[Max Differences]]), 0)</f>
        <v>0</v>
      </c>
      <c r="AT449" s="18">
        <f>'Sampling Data'!AB449</f>
        <v>1.8845996796180544E-4</v>
      </c>
      <c r="AU449" s="18">
        <f>IF(
      SUM(Audit[[#This Row],[Audit Losing Candidate]:[Audit Candidate 12]])
      &lt;&gt;0,
      (Audit[[#This Row],[Winning Candidate]]-Audit[[#This Row],[Losing Candidate]]-(Audit[[#This Row],[Audit Winning Candidate]]-Audit[[#This Row],[Audit Losing Candidate]]))/(Audit[[#Totals],[Winning Candidate]]-Audit[[#Totals],[Losing Candidate]]),
      0
)</f>
        <v>0</v>
      </c>
      <c r="AV4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8">
        <f>IF(Audit[[#This Row],[Max Relative Error (ep)]] = 0, 0, Audit[[#This Row],[Max Relative Error (ep)]]/Audit[[#This Row],[Error Bound (up) - Max. possible relative overstatement]])</f>
        <v>0</v>
      </c>
      <c r="BH4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49" s="18">
        <f t="shared" si="7"/>
        <v>1</v>
      </c>
      <c r="BJ449" s="18">
        <f>PRODUCT($BI$5:BI449)</f>
        <v>0.32656797278968008</v>
      </c>
      <c r="BK449" s="20">
        <f>1 - Audit[[#This Row],[K-M P Value]]</f>
        <v>0.67343202721031992</v>
      </c>
      <c r="BL449" s="18" t="str">
        <f>IF(Audit[[#This Row],[K-M P Value]]&gt;1-'General Info'!$B$12,"Continue", "Stop")</f>
        <v>Continue</v>
      </c>
      <c r="BM449" s="23" t="b">
        <f>IF(Audit[[#This Row],[Status - Continue or stop audit]] = "Continue", TRUE, IF(BL448 = "Continue", TRUE, FALSE))</f>
        <v>1</v>
      </c>
      <c r="BN449" s="23"/>
    </row>
    <row r="450" spans="1:66" ht="15" hidden="1" customHeight="1" x14ac:dyDescent="0.35">
      <c r="A450" s="18" t="str">
        <f>'Sampling Data'!AI450</f>
        <v/>
      </c>
      <c r="B450" s="18" t="str">
        <f>'Sampling Data'!A450</f>
        <v>7321 GREEN U   (AV)</v>
      </c>
      <c r="C450" s="18">
        <f>'Sampling Data'!B450</f>
        <v>7</v>
      </c>
      <c r="D450" s="18">
        <f>'Sampling Data'!C450</f>
        <v>1</v>
      </c>
      <c r="E450" s="19">
        <f>'Sampling Data'!D450</f>
        <v>0</v>
      </c>
      <c r="F450" s="19">
        <f>'Sampling Data'!E450</f>
        <v>0</v>
      </c>
      <c r="G450" s="19">
        <f>'Sampling Data'!F450</f>
        <v>0</v>
      </c>
      <c r="H450" s="19">
        <f>'Sampling Data'!G450</f>
        <v>0</v>
      </c>
      <c r="I450" s="19">
        <f>'Sampling Data'!H450</f>
        <v>0</v>
      </c>
      <c r="J450" s="19">
        <f>'Sampling Data'!I450</f>
        <v>0</v>
      </c>
      <c r="K450" s="19">
        <f>'Sampling Data'!J450</f>
        <v>0</v>
      </c>
      <c r="L450" s="19">
        <f>'Sampling Data'!K450</f>
        <v>0</v>
      </c>
      <c r="M450" s="19">
        <f>'Sampling Data'!L450</f>
        <v>0</v>
      </c>
      <c r="N450" s="19">
        <f>'Sampling Data'!M450</f>
        <v>0</v>
      </c>
      <c r="O450" s="18">
        <f>'Sampling Data'!N450</f>
        <v>0</v>
      </c>
      <c r="P450" s="18">
        <f>'Sampling Data'!O450</f>
        <v>0</v>
      </c>
      <c r="Q450" s="18">
        <f>'Sampling Data'!P450</f>
        <v>8</v>
      </c>
      <c r="R450" s="18">
        <f>'Sampling Data'!AJ450</f>
        <v>0</v>
      </c>
      <c r="S450" s="112"/>
      <c r="T450" s="112"/>
      <c r="U450" s="113"/>
      <c r="V450" s="113"/>
      <c r="W450" s="112"/>
      <c r="X450" s="112"/>
      <c r="Y450" s="112"/>
      <c r="Z450" s="112"/>
      <c r="AA450" s="15"/>
      <c r="AB450" s="15"/>
      <c r="AC450" s="15"/>
      <c r="AD450" s="15"/>
      <c r="AE450" s="114" t="str">
        <f>IF(NOT(ISBLANK(Audit[[#This Row],[Audit Winning Candidate]])), Audit[[#This Row],[Audit Winning Candidate]]-Audit[[#This Row],[Winning Candidate]], "")</f>
        <v/>
      </c>
      <c r="AF450" s="18" t="str">
        <f>IF(NOT(ISBLANK(Audit[[#This Row],[Audit Losing Candidate]])), Audit[[#This Row],[Audit Losing Candidate]]-Audit[[#This Row],[Losing Candidate]], "")</f>
        <v/>
      </c>
      <c r="AG450" s="18" t="str">
        <f>IF(NOT(ISBLANK(Audit[[#This Row],[Audit Candidate 3]])), Audit[[#This Row],[Audit Candidate 3]]-Audit[[#This Row],[Candidate 3]], "")</f>
        <v/>
      </c>
      <c r="AH450" s="18" t="str">
        <f>IF(NOT(ISBLANK(Audit[[#This Row],[Audit Candidate 4]])),Audit[[#This Row],[Audit Candidate 4]]-Audit[[#This Row],[Candidate 4]], "")</f>
        <v/>
      </c>
      <c r="AI450" s="18" t="str">
        <f>IF(NOT(ISBLANK(Audit[[#This Row],[Audit Candidate 5]])), Audit[[#This Row],[Audit Candidate 5]]-Audit[[#This Row],[Candidate 5]], "")</f>
        <v/>
      </c>
      <c r="AJ450" s="18" t="str">
        <f>IF(NOT(ISBLANK(Audit[[#This Row],[Audit Candidate 6]])), Audit[[#This Row],[Audit Candidate 6]]-Audit[[#This Row],[Candidate 6]], "")</f>
        <v/>
      </c>
      <c r="AK450" s="18" t="str">
        <f>IF(NOT(ISBLANK(Audit[[#This Row],[Audit Candidate 7]])), Audit[[#This Row],[Audit Candidate 7]]-Audit[[#This Row],[Candidate 7]], "")</f>
        <v/>
      </c>
      <c r="AL450" s="18" t="str">
        <f>IF(NOT(ISBLANK(Audit[[#This Row],[Audit Candidate 8]])), Audit[[#This Row],[Audit Candidate 8]]-Audit[[#This Row],[Candidate 8]], "")</f>
        <v/>
      </c>
      <c r="AM450" s="18" t="str">
        <f>IF(NOT(ISBLANK(Audit[[#This Row],[Audit Candidate 9]])), Audit[[#This Row],[Audit Candidate 9]]-Audit[[#This Row],[Candidate 9]], "")</f>
        <v/>
      </c>
      <c r="AN450" s="18" t="str">
        <f>IF(NOT(ISBLANK(Audit[[#This Row],[Audit Candidate 10]])), Audit[[#This Row],[Audit Candidate 10]]-Audit[[#This Row],[Candidate 10]], "")</f>
        <v/>
      </c>
      <c r="AO450" s="18" t="str">
        <f>IF(NOT(ISBLANK(Audit[[#This Row],[Audit Candidate 11]])), Audit[[#This Row],[Audit Candidate 11]]-Audit[[#This Row],[Candidate 11]], "")</f>
        <v/>
      </c>
      <c r="AP450" s="18" t="str">
        <f>IF(NOT(ISBLANK(Audit[[#This Row],[Audit Candidate 12]])), Audit[[#This Row],[Audit Candidate 12]]-Audit[[#This Row],[Candidate 12]], "")</f>
        <v/>
      </c>
      <c r="AQ450" s="18">
        <f>SUMIF(Audit[[#This Row],[Difference Winner]:[Difference Candidate 12]], "&gt;0")</f>
        <v>0</v>
      </c>
      <c r="AR450" s="18">
        <f>SUM(Audit[[#This Row],[Difference Winner]:[Difference Candidate 12]])</f>
        <v>0</v>
      </c>
      <c r="AS450" s="18">
        <f>IF(Audit[[#This Row],[Times p Drawn - With Replacement]]&gt;0, IF(Audit[[#This Row],[Canceled Differences]]&lt;0, Audit[[#This Row],[Max Differences]]+ABS(Audit[[#This Row],[Canceled Differences]]), Audit[[#This Row],[Max Differences]]), 0)</f>
        <v>0</v>
      </c>
      <c r="AT450" s="18">
        <f>'Sampling Data'!AB450</f>
        <v>4.3973992524421271E-4</v>
      </c>
      <c r="AU450" s="18">
        <f>IF(
      SUM(Audit[[#This Row],[Audit Losing Candidate]:[Audit Candidate 12]])
      &lt;&gt;0,
      (Audit[[#This Row],[Winning Candidate]]-Audit[[#This Row],[Losing Candidate]]-(Audit[[#This Row],[Audit Winning Candidate]]-Audit[[#This Row],[Audit Losing Candidate]]))/(Audit[[#Totals],[Winning Candidate]]-Audit[[#Totals],[Losing Candidate]]),
      0
)</f>
        <v>0</v>
      </c>
      <c r="AV4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8">
        <f>IF(Audit[[#This Row],[Max Relative Error (ep)]] = 0, 0, Audit[[#This Row],[Max Relative Error (ep)]]/Audit[[#This Row],[Error Bound (up) - Max. possible relative overstatement]])</f>
        <v>0</v>
      </c>
      <c r="BH4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0" s="18">
        <f t="shared" si="7"/>
        <v>1</v>
      </c>
      <c r="BJ450" s="18">
        <f>PRODUCT($BI$5:BI450)</f>
        <v>0.32656797278968008</v>
      </c>
      <c r="BK450" s="20">
        <f>1 - Audit[[#This Row],[K-M P Value]]</f>
        <v>0.67343202721031992</v>
      </c>
      <c r="BL450" s="18" t="str">
        <f>IF(Audit[[#This Row],[K-M P Value]]&gt;1-'General Info'!$B$12,"Continue", "Stop")</f>
        <v>Continue</v>
      </c>
      <c r="BM450" s="23" t="b">
        <f>IF(Audit[[#This Row],[Status - Continue or stop audit]] = "Continue", TRUE, IF(BL449 = "Continue", TRUE, FALSE))</f>
        <v>1</v>
      </c>
      <c r="BN450" s="23"/>
    </row>
    <row r="451" spans="1:66" ht="15" hidden="1" customHeight="1" x14ac:dyDescent="0.35">
      <c r="A451" s="18" t="str">
        <f>'Sampling Data'!AI451</f>
        <v/>
      </c>
      <c r="B451" s="18" t="str">
        <f>'Sampling Data'!A451</f>
        <v>7322 GREEN V   (AV)</v>
      </c>
      <c r="C451" s="18">
        <f>'Sampling Data'!B451</f>
        <v>12</v>
      </c>
      <c r="D451" s="18">
        <f>'Sampling Data'!C451</f>
        <v>0</v>
      </c>
      <c r="E451" s="19">
        <f>'Sampling Data'!D451</f>
        <v>0</v>
      </c>
      <c r="F451" s="19">
        <f>'Sampling Data'!E451</f>
        <v>0</v>
      </c>
      <c r="G451" s="19">
        <f>'Sampling Data'!F451</f>
        <v>0</v>
      </c>
      <c r="H451" s="19">
        <f>'Sampling Data'!G451</f>
        <v>0</v>
      </c>
      <c r="I451" s="19">
        <f>'Sampling Data'!H451</f>
        <v>0</v>
      </c>
      <c r="J451" s="19">
        <f>'Sampling Data'!I451</f>
        <v>0</v>
      </c>
      <c r="K451" s="19">
        <f>'Sampling Data'!J451</f>
        <v>0</v>
      </c>
      <c r="L451" s="19">
        <f>'Sampling Data'!K451</f>
        <v>0</v>
      </c>
      <c r="M451" s="19">
        <f>'Sampling Data'!L451</f>
        <v>0</v>
      </c>
      <c r="N451" s="19">
        <f>'Sampling Data'!M451</f>
        <v>0</v>
      </c>
      <c r="O451" s="18">
        <f>'Sampling Data'!N451</f>
        <v>0</v>
      </c>
      <c r="P451" s="18">
        <f>'Sampling Data'!O451</f>
        <v>0</v>
      </c>
      <c r="Q451" s="18">
        <f>'Sampling Data'!P451</f>
        <v>12</v>
      </c>
      <c r="R451" s="18">
        <f>'Sampling Data'!AJ451</f>
        <v>0</v>
      </c>
      <c r="S451" s="112"/>
      <c r="T451" s="112"/>
      <c r="U451" s="113"/>
      <c r="V451" s="113"/>
      <c r="W451" s="112"/>
      <c r="X451" s="112"/>
      <c r="Y451" s="112"/>
      <c r="Z451" s="112"/>
      <c r="AA451" s="15"/>
      <c r="AB451" s="15"/>
      <c r="AC451" s="15"/>
      <c r="AD451" s="15"/>
      <c r="AE451" s="114" t="str">
        <f>IF(NOT(ISBLANK(Audit[[#This Row],[Audit Winning Candidate]])), Audit[[#This Row],[Audit Winning Candidate]]-Audit[[#This Row],[Winning Candidate]], "")</f>
        <v/>
      </c>
      <c r="AF451" s="18" t="str">
        <f>IF(NOT(ISBLANK(Audit[[#This Row],[Audit Losing Candidate]])), Audit[[#This Row],[Audit Losing Candidate]]-Audit[[#This Row],[Losing Candidate]], "")</f>
        <v/>
      </c>
      <c r="AG451" s="18" t="str">
        <f>IF(NOT(ISBLANK(Audit[[#This Row],[Audit Candidate 3]])), Audit[[#This Row],[Audit Candidate 3]]-Audit[[#This Row],[Candidate 3]], "")</f>
        <v/>
      </c>
      <c r="AH451" s="18" t="str">
        <f>IF(NOT(ISBLANK(Audit[[#This Row],[Audit Candidate 4]])),Audit[[#This Row],[Audit Candidate 4]]-Audit[[#This Row],[Candidate 4]], "")</f>
        <v/>
      </c>
      <c r="AI451" s="18" t="str">
        <f>IF(NOT(ISBLANK(Audit[[#This Row],[Audit Candidate 5]])), Audit[[#This Row],[Audit Candidate 5]]-Audit[[#This Row],[Candidate 5]], "")</f>
        <v/>
      </c>
      <c r="AJ451" s="18" t="str">
        <f>IF(NOT(ISBLANK(Audit[[#This Row],[Audit Candidate 6]])), Audit[[#This Row],[Audit Candidate 6]]-Audit[[#This Row],[Candidate 6]], "")</f>
        <v/>
      </c>
      <c r="AK451" s="18" t="str">
        <f>IF(NOT(ISBLANK(Audit[[#This Row],[Audit Candidate 7]])), Audit[[#This Row],[Audit Candidate 7]]-Audit[[#This Row],[Candidate 7]], "")</f>
        <v/>
      </c>
      <c r="AL451" s="18" t="str">
        <f>IF(NOT(ISBLANK(Audit[[#This Row],[Audit Candidate 8]])), Audit[[#This Row],[Audit Candidate 8]]-Audit[[#This Row],[Candidate 8]], "")</f>
        <v/>
      </c>
      <c r="AM451" s="18" t="str">
        <f>IF(NOT(ISBLANK(Audit[[#This Row],[Audit Candidate 9]])), Audit[[#This Row],[Audit Candidate 9]]-Audit[[#This Row],[Candidate 9]], "")</f>
        <v/>
      </c>
      <c r="AN451" s="18" t="str">
        <f>IF(NOT(ISBLANK(Audit[[#This Row],[Audit Candidate 10]])), Audit[[#This Row],[Audit Candidate 10]]-Audit[[#This Row],[Candidate 10]], "")</f>
        <v/>
      </c>
      <c r="AO451" s="18" t="str">
        <f>IF(NOT(ISBLANK(Audit[[#This Row],[Audit Candidate 11]])), Audit[[#This Row],[Audit Candidate 11]]-Audit[[#This Row],[Candidate 11]], "")</f>
        <v/>
      </c>
      <c r="AP451" s="18" t="str">
        <f>IF(NOT(ISBLANK(Audit[[#This Row],[Audit Candidate 12]])), Audit[[#This Row],[Audit Candidate 12]]-Audit[[#This Row],[Candidate 12]], "")</f>
        <v/>
      </c>
      <c r="AQ451" s="18">
        <f>SUMIF(Audit[[#This Row],[Difference Winner]:[Difference Candidate 12]], "&gt;0")</f>
        <v>0</v>
      </c>
      <c r="AR451" s="18">
        <f>SUM(Audit[[#This Row],[Difference Winner]:[Difference Candidate 12]])</f>
        <v>0</v>
      </c>
      <c r="AS451" s="18">
        <f>IF(Audit[[#This Row],[Times p Drawn - With Replacement]]&gt;0, IF(Audit[[#This Row],[Canceled Differences]]&lt;0, Audit[[#This Row],[Max Differences]]+ABS(Audit[[#This Row],[Canceled Differences]]), Audit[[#This Row],[Max Differences]]), 0)</f>
        <v>0</v>
      </c>
      <c r="AT451" s="18">
        <f>'Sampling Data'!AB451</f>
        <v>7.5383987184722177E-4</v>
      </c>
      <c r="AU451" s="18">
        <f>IF(
      SUM(Audit[[#This Row],[Audit Losing Candidate]:[Audit Candidate 12]])
      &lt;&gt;0,
      (Audit[[#This Row],[Winning Candidate]]-Audit[[#This Row],[Losing Candidate]]-(Audit[[#This Row],[Audit Winning Candidate]]-Audit[[#This Row],[Audit Losing Candidate]]))/(Audit[[#Totals],[Winning Candidate]]-Audit[[#Totals],[Losing Candidate]]),
      0
)</f>
        <v>0</v>
      </c>
      <c r="AV4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8">
        <f>IF(Audit[[#This Row],[Max Relative Error (ep)]] = 0, 0, Audit[[#This Row],[Max Relative Error (ep)]]/Audit[[#This Row],[Error Bound (up) - Max. possible relative overstatement]])</f>
        <v>0</v>
      </c>
      <c r="BH4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1" s="18">
        <f t="shared" si="7"/>
        <v>1</v>
      </c>
      <c r="BJ451" s="18">
        <f>PRODUCT($BI$5:BI451)</f>
        <v>0.32656797278968008</v>
      </c>
      <c r="BK451" s="20">
        <f>1 - Audit[[#This Row],[K-M P Value]]</f>
        <v>0.67343202721031992</v>
      </c>
      <c r="BL451" s="18" t="str">
        <f>IF(Audit[[#This Row],[K-M P Value]]&gt;1-'General Info'!$B$12,"Continue", "Stop")</f>
        <v>Continue</v>
      </c>
      <c r="BM451" s="23" t="b">
        <f>IF(Audit[[#This Row],[Status - Continue or stop audit]] = "Continue", TRUE, IF(BL450 = "Continue", TRUE, FALSE))</f>
        <v>1</v>
      </c>
      <c r="BN451" s="23"/>
    </row>
    <row r="452" spans="1:66" ht="15" hidden="1" customHeight="1" x14ac:dyDescent="0.35">
      <c r="A452" s="18" t="str">
        <f>'Sampling Data'!AI452</f>
        <v/>
      </c>
      <c r="B452" s="18" t="str">
        <f>'Sampling Data'!A452</f>
        <v>7323 GREEN W   (AV)</v>
      </c>
      <c r="C452" s="18">
        <f>'Sampling Data'!B452</f>
        <v>18</v>
      </c>
      <c r="D452" s="18">
        <f>'Sampling Data'!C452</f>
        <v>0</v>
      </c>
      <c r="E452" s="19">
        <f>'Sampling Data'!D452</f>
        <v>0</v>
      </c>
      <c r="F452" s="19">
        <f>'Sampling Data'!E452</f>
        <v>0</v>
      </c>
      <c r="G452" s="19">
        <f>'Sampling Data'!F452</f>
        <v>0</v>
      </c>
      <c r="H452" s="19">
        <f>'Sampling Data'!G452</f>
        <v>0</v>
      </c>
      <c r="I452" s="19">
        <f>'Sampling Data'!H452</f>
        <v>0</v>
      </c>
      <c r="J452" s="19">
        <f>'Sampling Data'!I452</f>
        <v>0</v>
      </c>
      <c r="K452" s="19">
        <f>'Sampling Data'!J452</f>
        <v>0</v>
      </c>
      <c r="L452" s="19">
        <f>'Sampling Data'!K452</f>
        <v>0</v>
      </c>
      <c r="M452" s="19">
        <f>'Sampling Data'!L452</f>
        <v>0</v>
      </c>
      <c r="N452" s="19">
        <f>'Sampling Data'!M452</f>
        <v>0</v>
      </c>
      <c r="O452" s="18">
        <f>'Sampling Data'!N452</f>
        <v>0</v>
      </c>
      <c r="P452" s="18">
        <f>'Sampling Data'!O452</f>
        <v>1</v>
      </c>
      <c r="Q452" s="18">
        <f>'Sampling Data'!P452</f>
        <v>19</v>
      </c>
      <c r="R452" s="18">
        <f>'Sampling Data'!AJ452</f>
        <v>0</v>
      </c>
      <c r="S452" s="112"/>
      <c r="T452" s="112"/>
      <c r="U452" s="113"/>
      <c r="V452" s="113"/>
      <c r="W452" s="112"/>
      <c r="X452" s="112"/>
      <c r="Y452" s="112"/>
      <c r="Z452" s="112"/>
      <c r="AA452" s="15"/>
      <c r="AB452" s="15"/>
      <c r="AC452" s="15"/>
      <c r="AD452" s="15"/>
      <c r="AE452" s="114" t="str">
        <f>IF(NOT(ISBLANK(Audit[[#This Row],[Audit Winning Candidate]])), Audit[[#This Row],[Audit Winning Candidate]]-Audit[[#This Row],[Winning Candidate]], "")</f>
        <v/>
      </c>
      <c r="AF452" s="18" t="str">
        <f>IF(NOT(ISBLANK(Audit[[#This Row],[Audit Losing Candidate]])), Audit[[#This Row],[Audit Losing Candidate]]-Audit[[#This Row],[Losing Candidate]], "")</f>
        <v/>
      </c>
      <c r="AG452" s="18" t="str">
        <f>IF(NOT(ISBLANK(Audit[[#This Row],[Audit Candidate 3]])), Audit[[#This Row],[Audit Candidate 3]]-Audit[[#This Row],[Candidate 3]], "")</f>
        <v/>
      </c>
      <c r="AH452" s="18" t="str">
        <f>IF(NOT(ISBLANK(Audit[[#This Row],[Audit Candidate 4]])),Audit[[#This Row],[Audit Candidate 4]]-Audit[[#This Row],[Candidate 4]], "")</f>
        <v/>
      </c>
      <c r="AI452" s="18" t="str">
        <f>IF(NOT(ISBLANK(Audit[[#This Row],[Audit Candidate 5]])), Audit[[#This Row],[Audit Candidate 5]]-Audit[[#This Row],[Candidate 5]], "")</f>
        <v/>
      </c>
      <c r="AJ452" s="18" t="str">
        <f>IF(NOT(ISBLANK(Audit[[#This Row],[Audit Candidate 6]])), Audit[[#This Row],[Audit Candidate 6]]-Audit[[#This Row],[Candidate 6]], "")</f>
        <v/>
      </c>
      <c r="AK452" s="18" t="str">
        <f>IF(NOT(ISBLANK(Audit[[#This Row],[Audit Candidate 7]])), Audit[[#This Row],[Audit Candidate 7]]-Audit[[#This Row],[Candidate 7]], "")</f>
        <v/>
      </c>
      <c r="AL452" s="18" t="str">
        <f>IF(NOT(ISBLANK(Audit[[#This Row],[Audit Candidate 8]])), Audit[[#This Row],[Audit Candidate 8]]-Audit[[#This Row],[Candidate 8]], "")</f>
        <v/>
      </c>
      <c r="AM452" s="18" t="str">
        <f>IF(NOT(ISBLANK(Audit[[#This Row],[Audit Candidate 9]])), Audit[[#This Row],[Audit Candidate 9]]-Audit[[#This Row],[Candidate 9]], "")</f>
        <v/>
      </c>
      <c r="AN452" s="18" t="str">
        <f>IF(NOT(ISBLANK(Audit[[#This Row],[Audit Candidate 10]])), Audit[[#This Row],[Audit Candidate 10]]-Audit[[#This Row],[Candidate 10]], "")</f>
        <v/>
      </c>
      <c r="AO452" s="18" t="str">
        <f>IF(NOT(ISBLANK(Audit[[#This Row],[Audit Candidate 11]])), Audit[[#This Row],[Audit Candidate 11]]-Audit[[#This Row],[Candidate 11]], "")</f>
        <v/>
      </c>
      <c r="AP452" s="18" t="str">
        <f>IF(NOT(ISBLANK(Audit[[#This Row],[Audit Candidate 12]])), Audit[[#This Row],[Audit Candidate 12]]-Audit[[#This Row],[Candidate 12]], "")</f>
        <v/>
      </c>
      <c r="AQ452" s="18">
        <f>SUMIF(Audit[[#This Row],[Difference Winner]:[Difference Candidate 12]], "&gt;0")</f>
        <v>0</v>
      </c>
      <c r="AR452" s="18">
        <f>SUM(Audit[[#This Row],[Difference Winner]:[Difference Candidate 12]])</f>
        <v>0</v>
      </c>
      <c r="AS452" s="18">
        <f>IF(Audit[[#This Row],[Times p Drawn - With Replacement]]&gt;0, IF(Audit[[#This Row],[Canceled Differences]]&lt;0, Audit[[#This Row],[Max Differences]]+ABS(Audit[[#This Row],[Canceled Differences]]), Audit[[#This Row],[Max Differences]]), 0)</f>
        <v>0</v>
      </c>
      <c r="AT452" s="18">
        <f>'Sampling Data'!AB452</f>
        <v>1.1621698024311335E-3</v>
      </c>
      <c r="AU452" s="18">
        <f>IF(
      SUM(Audit[[#This Row],[Audit Losing Candidate]:[Audit Candidate 12]])
      &lt;&gt;0,
      (Audit[[#This Row],[Winning Candidate]]-Audit[[#This Row],[Losing Candidate]]-(Audit[[#This Row],[Audit Winning Candidate]]-Audit[[#This Row],[Audit Losing Candidate]]))/(Audit[[#Totals],[Winning Candidate]]-Audit[[#Totals],[Losing Candidate]]),
      0
)</f>
        <v>0</v>
      </c>
      <c r="AV4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8">
        <f>IF(Audit[[#This Row],[Max Relative Error (ep)]] = 0, 0, Audit[[#This Row],[Max Relative Error (ep)]]/Audit[[#This Row],[Error Bound (up) - Max. possible relative overstatement]])</f>
        <v>0</v>
      </c>
      <c r="BH4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2" s="18">
        <f t="shared" si="7"/>
        <v>1</v>
      </c>
      <c r="BJ452" s="18">
        <f>PRODUCT($BI$5:BI452)</f>
        <v>0.32656797278968008</v>
      </c>
      <c r="BK452" s="20">
        <f>1 - Audit[[#This Row],[K-M P Value]]</f>
        <v>0.67343202721031992</v>
      </c>
      <c r="BL452" s="18" t="str">
        <f>IF(Audit[[#This Row],[K-M P Value]]&gt;1-'General Info'!$B$12,"Continue", "Stop")</f>
        <v>Continue</v>
      </c>
      <c r="BM452" s="23" t="b">
        <f>IF(Audit[[#This Row],[Status - Continue or stop audit]] = "Continue", TRUE, IF(BL451 = "Continue", TRUE, FALSE))</f>
        <v>1</v>
      </c>
      <c r="BN452" s="23"/>
    </row>
    <row r="453" spans="1:66" ht="15" hidden="1" customHeight="1" x14ac:dyDescent="0.35">
      <c r="A453" s="18" t="str">
        <f>'Sampling Data'!AI453</f>
        <v/>
      </c>
      <c r="B453" s="18" t="str">
        <f>'Sampling Data'!A453</f>
        <v>7324 GREEN X   (AV)</v>
      </c>
      <c r="C453" s="18">
        <f>'Sampling Data'!B453</f>
        <v>32</v>
      </c>
      <c r="D453" s="18">
        <f>'Sampling Data'!C453</f>
        <v>3</v>
      </c>
      <c r="E453" s="19">
        <f>'Sampling Data'!D453</f>
        <v>0</v>
      </c>
      <c r="F453" s="19">
        <f>'Sampling Data'!E453</f>
        <v>0</v>
      </c>
      <c r="G453" s="19">
        <f>'Sampling Data'!F453</f>
        <v>0</v>
      </c>
      <c r="H453" s="19">
        <f>'Sampling Data'!G453</f>
        <v>0</v>
      </c>
      <c r="I453" s="19">
        <f>'Sampling Data'!H453</f>
        <v>0</v>
      </c>
      <c r="J453" s="19">
        <f>'Sampling Data'!I453</f>
        <v>0</v>
      </c>
      <c r="K453" s="19">
        <f>'Sampling Data'!J453</f>
        <v>0</v>
      </c>
      <c r="L453" s="19">
        <f>'Sampling Data'!K453</f>
        <v>0</v>
      </c>
      <c r="M453" s="19">
        <f>'Sampling Data'!L453</f>
        <v>0</v>
      </c>
      <c r="N453" s="19">
        <f>'Sampling Data'!M453</f>
        <v>0</v>
      </c>
      <c r="O453" s="18">
        <f>'Sampling Data'!N453</f>
        <v>0</v>
      </c>
      <c r="P453" s="18">
        <f>'Sampling Data'!O453</f>
        <v>0</v>
      </c>
      <c r="Q453" s="18">
        <f>'Sampling Data'!P453</f>
        <v>35</v>
      </c>
      <c r="R453" s="18">
        <f>'Sampling Data'!AJ453</f>
        <v>0</v>
      </c>
      <c r="S453" s="112"/>
      <c r="T453" s="112"/>
      <c r="U453" s="113"/>
      <c r="V453" s="113"/>
      <c r="W453" s="112"/>
      <c r="X453" s="112"/>
      <c r="Y453" s="112"/>
      <c r="Z453" s="112"/>
      <c r="AA453" s="15"/>
      <c r="AB453" s="15"/>
      <c r="AC453" s="15"/>
      <c r="AD453" s="15"/>
      <c r="AE453" s="114" t="str">
        <f>IF(NOT(ISBLANK(Audit[[#This Row],[Audit Winning Candidate]])), Audit[[#This Row],[Audit Winning Candidate]]-Audit[[#This Row],[Winning Candidate]], "")</f>
        <v/>
      </c>
      <c r="AF453" s="18" t="str">
        <f>IF(NOT(ISBLANK(Audit[[#This Row],[Audit Losing Candidate]])), Audit[[#This Row],[Audit Losing Candidate]]-Audit[[#This Row],[Losing Candidate]], "")</f>
        <v/>
      </c>
      <c r="AG453" s="18" t="str">
        <f>IF(NOT(ISBLANK(Audit[[#This Row],[Audit Candidate 3]])), Audit[[#This Row],[Audit Candidate 3]]-Audit[[#This Row],[Candidate 3]], "")</f>
        <v/>
      </c>
      <c r="AH453" s="18" t="str">
        <f>IF(NOT(ISBLANK(Audit[[#This Row],[Audit Candidate 4]])),Audit[[#This Row],[Audit Candidate 4]]-Audit[[#This Row],[Candidate 4]], "")</f>
        <v/>
      </c>
      <c r="AI453" s="18" t="str">
        <f>IF(NOT(ISBLANK(Audit[[#This Row],[Audit Candidate 5]])), Audit[[#This Row],[Audit Candidate 5]]-Audit[[#This Row],[Candidate 5]], "")</f>
        <v/>
      </c>
      <c r="AJ453" s="18" t="str">
        <f>IF(NOT(ISBLANK(Audit[[#This Row],[Audit Candidate 6]])), Audit[[#This Row],[Audit Candidate 6]]-Audit[[#This Row],[Candidate 6]], "")</f>
        <v/>
      </c>
      <c r="AK453" s="18" t="str">
        <f>IF(NOT(ISBLANK(Audit[[#This Row],[Audit Candidate 7]])), Audit[[#This Row],[Audit Candidate 7]]-Audit[[#This Row],[Candidate 7]], "")</f>
        <v/>
      </c>
      <c r="AL453" s="18" t="str">
        <f>IF(NOT(ISBLANK(Audit[[#This Row],[Audit Candidate 8]])), Audit[[#This Row],[Audit Candidate 8]]-Audit[[#This Row],[Candidate 8]], "")</f>
        <v/>
      </c>
      <c r="AM453" s="18" t="str">
        <f>IF(NOT(ISBLANK(Audit[[#This Row],[Audit Candidate 9]])), Audit[[#This Row],[Audit Candidate 9]]-Audit[[#This Row],[Candidate 9]], "")</f>
        <v/>
      </c>
      <c r="AN453" s="18" t="str">
        <f>IF(NOT(ISBLANK(Audit[[#This Row],[Audit Candidate 10]])), Audit[[#This Row],[Audit Candidate 10]]-Audit[[#This Row],[Candidate 10]], "")</f>
        <v/>
      </c>
      <c r="AO453" s="18" t="str">
        <f>IF(NOT(ISBLANK(Audit[[#This Row],[Audit Candidate 11]])), Audit[[#This Row],[Audit Candidate 11]]-Audit[[#This Row],[Candidate 11]], "")</f>
        <v/>
      </c>
      <c r="AP453" s="18" t="str">
        <f>IF(NOT(ISBLANK(Audit[[#This Row],[Audit Candidate 12]])), Audit[[#This Row],[Audit Candidate 12]]-Audit[[#This Row],[Candidate 12]], "")</f>
        <v/>
      </c>
      <c r="AQ453" s="18">
        <f>SUMIF(Audit[[#This Row],[Difference Winner]:[Difference Candidate 12]], "&gt;0")</f>
        <v>0</v>
      </c>
      <c r="AR453" s="18">
        <f>SUM(Audit[[#This Row],[Difference Winner]:[Difference Candidate 12]])</f>
        <v>0</v>
      </c>
      <c r="AS453" s="18">
        <f>IF(Audit[[#This Row],[Times p Drawn - With Replacement]]&gt;0, IF(Audit[[#This Row],[Canceled Differences]]&lt;0, Audit[[#This Row],[Max Differences]]+ABS(Audit[[#This Row],[Canceled Differences]]), Audit[[#This Row],[Max Differences]]), 0)</f>
        <v>0</v>
      </c>
      <c r="AT453" s="18">
        <f>'Sampling Data'!AB453</f>
        <v>2.0102396582592579E-3</v>
      </c>
      <c r="AU453" s="18">
        <f>IF(
      SUM(Audit[[#This Row],[Audit Losing Candidate]:[Audit Candidate 12]])
      &lt;&gt;0,
      (Audit[[#This Row],[Winning Candidate]]-Audit[[#This Row],[Losing Candidate]]-(Audit[[#This Row],[Audit Winning Candidate]]-Audit[[#This Row],[Audit Losing Candidate]]))/(Audit[[#Totals],[Winning Candidate]]-Audit[[#Totals],[Losing Candidate]]),
      0
)</f>
        <v>0</v>
      </c>
      <c r="AV4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8">
        <f>IF(Audit[[#This Row],[Max Relative Error (ep)]] = 0, 0, Audit[[#This Row],[Max Relative Error (ep)]]/Audit[[#This Row],[Error Bound (up) - Max. possible relative overstatement]])</f>
        <v>0</v>
      </c>
      <c r="BH4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3" s="18">
        <f t="shared" si="7"/>
        <v>1</v>
      </c>
      <c r="BJ453" s="18">
        <f>PRODUCT($BI$5:BI453)</f>
        <v>0.32656797278968008</v>
      </c>
      <c r="BK453" s="20">
        <f>1 - Audit[[#This Row],[K-M P Value]]</f>
        <v>0.67343202721031992</v>
      </c>
      <c r="BL453" s="18" t="str">
        <f>IF(Audit[[#This Row],[K-M P Value]]&gt;1-'General Info'!$B$12,"Continue", "Stop")</f>
        <v>Continue</v>
      </c>
      <c r="BM453" s="23" t="b">
        <f>IF(Audit[[#This Row],[Status - Continue or stop audit]] = "Continue", TRUE, IF(BL452 = "Continue", TRUE, FALSE))</f>
        <v>1</v>
      </c>
      <c r="BN453" s="23"/>
    </row>
    <row r="454" spans="1:66" ht="15" hidden="1" customHeight="1" x14ac:dyDescent="0.35">
      <c r="A454" s="18" t="str">
        <f>'Sampling Data'!AI454</f>
        <v/>
      </c>
      <c r="B454" s="18" t="str">
        <f>'Sampling Data'!A454</f>
        <v>7325 GREEN Y   (AV)</v>
      </c>
      <c r="C454" s="18">
        <f>'Sampling Data'!B454</f>
        <v>18</v>
      </c>
      <c r="D454" s="18">
        <f>'Sampling Data'!C454</f>
        <v>0</v>
      </c>
      <c r="E454" s="19">
        <f>'Sampling Data'!D454</f>
        <v>0</v>
      </c>
      <c r="F454" s="19">
        <f>'Sampling Data'!E454</f>
        <v>0</v>
      </c>
      <c r="G454" s="19">
        <f>'Sampling Data'!F454</f>
        <v>0</v>
      </c>
      <c r="H454" s="19">
        <f>'Sampling Data'!G454</f>
        <v>0</v>
      </c>
      <c r="I454" s="19">
        <f>'Sampling Data'!H454</f>
        <v>0</v>
      </c>
      <c r="J454" s="19">
        <f>'Sampling Data'!I454</f>
        <v>0</v>
      </c>
      <c r="K454" s="19">
        <f>'Sampling Data'!J454</f>
        <v>0</v>
      </c>
      <c r="L454" s="19">
        <f>'Sampling Data'!K454</f>
        <v>0</v>
      </c>
      <c r="M454" s="19">
        <f>'Sampling Data'!L454</f>
        <v>0</v>
      </c>
      <c r="N454" s="19">
        <f>'Sampling Data'!M454</f>
        <v>0</v>
      </c>
      <c r="O454" s="18">
        <f>'Sampling Data'!N454</f>
        <v>0</v>
      </c>
      <c r="P454" s="18">
        <f>'Sampling Data'!O454</f>
        <v>1</v>
      </c>
      <c r="Q454" s="18">
        <f>'Sampling Data'!P454</f>
        <v>19</v>
      </c>
      <c r="R454" s="18">
        <f>'Sampling Data'!AJ454</f>
        <v>0</v>
      </c>
      <c r="S454" s="112"/>
      <c r="T454" s="112"/>
      <c r="U454" s="113"/>
      <c r="V454" s="113"/>
      <c r="W454" s="112"/>
      <c r="X454" s="112"/>
      <c r="Y454" s="112"/>
      <c r="Z454" s="112"/>
      <c r="AA454" s="15"/>
      <c r="AB454" s="15"/>
      <c r="AC454" s="15"/>
      <c r="AD454" s="15"/>
      <c r="AE454" s="114" t="str">
        <f>IF(NOT(ISBLANK(Audit[[#This Row],[Audit Winning Candidate]])), Audit[[#This Row],[Audit Winning Candidate]]-Audit[[#This Row],[Winning Candidate]], "")</f>
        <v/>
      </c>
      <c r="AF454" s="18" t="str">
        <f>IF(NOT(ISBLANK(Audit[[#This Row],[Audit Losing Candidate]])), Audit[[#This Row],[Audit Losing Candidate]]-Audit[[#This Row],[Losing Candidate]], "")</f>
        <v/>
      </c>
      <c r="AG454" s="18" t="str">
        <f>IF(NOT(ISBLANK(Audit[[#This Row],[Audit Candidate 3]])), Audit[[#This Row],[Audit Candidate 3]]-Audit[[#This Row],[Candidate 3]], "")</f>
        <v/>
      </c>
      <c r="AH454" s="18" t="str">
        <f>IF(NOT(ISBLANK(Audit[[#This Row],[Audit Candidate 4]])),Audit[[#This Row],[Audit Candidate 4]]-Audit[[#This Row],[Candidate 4]], "")</f>
        <v/>
      </c>
      <c r="AI454" s="18" t="str">
        <f>IF(NOT(ISBLANK(Audit[[#This Row],[Audit Candidate 5]])), Audit[[#This Row],[Audit Candidate 5]]-Audit[[#This Row],[Candidate 5]], "")</f>
        <v/>
      </c>
      <c r="AJ454" s="18" t="str">
        <f>IF(NOT(ISBLANK(Audit[[#This Row],[Audit Candidate 6]])), Audit[[#This Row],[Audit Candidate 6]]-Audit[[#This Row],[Candidate 6]], "")</f>
        <v/>
      </c>
      <c r="AK454" s="18" t="str">
        <f>IF(NOT(ISBLANK(Audit[[#This Row],[Audit Candidate 7]])), Audit[[#This Row],[Audit Candidate 7]]-Audit[[#This Row],[Candidate 7]], "")</f>
        <v/>
      </c>
      <c r="AL454" s="18" t="str">
        <f>IF(NOT(ISBLANK(Audit[[#This Row],[Audit Candidate 8]])), Audit[[#This Row],[Audit Candidate 8]]-Audit[[#This Row],[Candidate 8]], "")</f>
        <v/>
      </c>
      <c r="AM454" s="18" t="str">
        <f>IF(NOT(ISBLANK(Audit[[#This Row],[Audit Candidate 9]])), Audit[[#This Row],[Audit Candidate 9]]-Audit[[#This Row],[Candidate 9]], "")</f>
        <v/>
      </c>
      <c r="AN454" s="18" t="str">
        <f>IF(NOT(ISBLANK(Audit[[#This Row],[Audit Candidate 10]])), Audit[[#This Row],[Audit Candidate 10]]-Audit[[#This Row],[Candidate 10]], "")</f>
        <v/>
      </c>
      <c r="AO454" s="18" t="str">
        <f>IF(NOT(ISBLANK(Audit[[#This Row],[Audit Candidate 11]])), Audit[[#This Row],[Audit Candidate 11]]-Audit[[#This Row],[Candidate 11]], "")</f>
        <v/>
      </c>
      <c r="AP454" s="18" t="str">
        <f>IF(NOT(ISBLANK(Audit[[#This Row],[Audit Candidate 12]])), Audit[[#This Row],[Audit Candidate 12]]-Audit[[#This Row],[Candidate 12]], "")</f>
        <v/>
      </c>
      <c r="AQ454" s="18">
        <f>SUMIF(Audit[[#This Row],[Difference Winner]:[Difference Candidate 12]], "&gt;0")</f>
        <v>0</v>
      </c>
      <c r="AR454" s="18">
        <f>SUM(Audit[[#This Row],[Difference Winner]:[Difference Candidate 12]])</f>
        <v>0</v>
      </c>
      <c r="AS454" s="18">
        <f>IF(Audit[[#This Row],[Times p Drawn - With Replacement]]&gt;0, IF(Audit[[#This Row],[Canceled Differences]]&lt;0, Audit[[#This Row],[Max Differences]]+ABS(Audit[[#This Row],[Canceled Differences]]), Audit[[#This Row],[Max Differences]]), 0)</f>
        <v>0</v>
      </c>
      <c r="AT454" s="18">
        <f>'Sampling Data'!AB454</f>
        <v>1.1621698024311335E-3</v>
      </c>
      <c r="AU454" s="18">
        <f>IF(
      SUM(Audit[[#This Row],[Audit Losing Candidate]:[Audit Candidate 12]])
      &lt;&gt;0,
      (Audit[[#This Row],[Winning Candidate]]-Audit[[#This Row],[Losing Candidate]]-(Audit[[#This Row],[Audit Winning Candidate]]-Audit[[#This Row],[Audit Losing Candidate]]))/(Audit[[#Totals],[Winning Candidate]]-Audit[[#Totals],[Losing Candidate]]),
      0
)</f>
        <v>0</v>
      </c>
      <c r="AV4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8">
        <f>IF(Audit[[#This Row],[Max Relative Error (ep)]] = 0, 0, Audit[[#This Row],[Max Relative Error (ep)]]/Audit[[#This Row],[Error Bound (up) - Max. possible relative overstatement]])</f>
        <v>0</v>
      </c>
      <c r="BH4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4" s="18">
        <f t="shared" si="7"/>
        <v>1</v>
      </c>
      <c r="BJ454" s="18">
        <f>PRODUCT($BI$5:BI454)</f>
        <v>0.32656797278968008</v>
      </c>
      <c r="BK454" s="20">
        <f>1 - Audit[[#This Row],[K-M P Value]]</f>
        <v>0.67343202721031992</v>
      </c>
      <c r="BL454" s="18" t="str">
        <f>IF(Audit[[#This Row],[K-M P Value]]&gt;1-'General Info'!$B$12,"Continue", "Stop")</f>
        <v>Continue</v>
      </c>
      <c r="BM454" s="23" t="b">
        <f>IF(Audit[[#This Row],[Status - Continue or stop audit]] = "Continue", TRUE, IF(BL453 = "Continue", TRUE, FALSE))</f>
        <v>1</v>
      </c>
      <c r="BN454" s="23"/>
    </row>
    <row r="455" spans="1:66" ht="15" hidden="1" customHeight="1" x14ac:dyDescent="0.35">
      <c r="A455" s="18" t="str">
        <f>'Sampling Data'!AI455</f>
        <v/>
      </c>
      <c r="B455" s="18" t="str">
        <f>'Sampling Data'!A455</f>
        <v>7326 GREEN Z   (AV)</v>
      </c>
      <c r="C455" s="18">
        <f>'Sampling Data'!B455</f>
        <v>10</v>
      </c>
      <c r="D455" s="18">
        <f>'Sampling Data'!C455</f>
        <v>0</v>
      </c>
      <c r="E455" s="19">
        <f>'Sampling Data'!D455</f>
        <v>0</v>
      </c>
      <c r="F455" s="19">
        <f>'Sampling Data'!E455</f>
        <v>0</v>
      </c>
      <c r="G455" s="19">
        <f>'Sampling Data'!F455</f>
        <v>0</v>
      </c>
      <c r="H455" s="19">
        <f>'Sampling Data'!G455</f>
        <v>0</v>
      </c>
      <c r="I455" s="19">
        <f>'Sampling Data'!H455</f>
        <v>0</v>
      </c>
      <c r="J455" s="19">
        <f>'Sampling Data'!I455</f>
        <v>0</v>
      </c>
      <c r="K455" s="19">
        <f>'Sampling Data'!J455</f>
        <v>0</v>
      </c>
      <c r="L455" s="19">
        <f>'Sampling Data'!K455</f>
        <v>0</v>
      </c>
      <c r="M455" s="19">
        <f>'Sampling Data'!L455</f>
        <v>0</v>
      </c>
      <c r="N455" s="19">
        <f>'Sampling Data'!M455</f>
        <v>0</v>
      </c>
      <c r="O455" s="18">
        <f>'Sampling Data'!N455</f>
        <v>0</v>
      </c>
      <c r="P455" s="18">
        <f>'Sampling Data'!O455</f>
        <v>0</v>
      </c>
      <c r="Q455" s="18">
        <f>'Sampling Data'!P455</f>
        <v>10</v>
      </c>
      <c r="R455" s="18">
        <f>'Sampling Data'!AJ455</f>
        <v>0</v>
      </c>
      <c r="S455" s="112"/>
      <c r="T455" s="112"/>
      <c r="U455" s="113"/>
      <c r="V455" s="113"/>
      <c r="W455" s="112"/>
      <c r="X455" s="112"/>
      <c r="Y455" s="112"/>
      <c r="Z455" s="112"/>
      <c r="AA455" s="15"/>
      <c r="AB455" s="15"/>
      <c r="AC455" s="15"/>
      <c r="AD455" s="15"/>
      <c r="AE455" s="114" t="str">
        <f>IF(NOT(ISBLANK(Audit[[#This Row],[Audit Winning Candidate]])), Audit[[#This Row],[Audit Winning Candidate]]-Audit[[#This Row],[Winning Candidate]], "")</f>
        <v/>
      </c>
      <c r="AF455" s="18" t="str">
        <f>IF(NOT(ISBLANK(Audit[[#This Row],[Audit Losing Candidate]])), Audit[[#This Row],[Audit Losing Candidate]]-Audit[[#This Row],[Losing Candidate]], "")</f>
        <v/>
      </c>
      <c r="AG455" s="18" t="str">
        <f>IF(NOT(ISBLANK(Audit[[#This Row],[Audit Candidate 3]])), Audit[[#This Row],[Audit Candidate 3]]-Audit[[#This Row],[Candidate 3]], "")</f>
        <v/>
      </c>
      <c r="AH455" s="18" t="str">
        <f>IF(NOT(ISBLANK(Audit[[#This Row],[Audit Candidate 4]])),Audit[[#This Row],[Audit Candidate 4]]-Audit[[#This Row],[Candidate 4]], "")</f>
        <v/>
      </c>
      <c r="AI455" s="18" t="str">
        <f>IF(NOT(ISBLANK(Audit[[#This Row],[Audit Candidate 5]])), Audit[[#This Row],[Audit Candidate 5]]-Audit[[#This Row],[Candidate 5]], "")</f>
        <v/>
      </c>
      <c r="AJ455" s="18" t="str">
        <f>IF(NOT(ISBLANK(Audit[[#This Row],[Audit Candidate 6]])), Audit[[#This Row],[Audit Candidate 6]]-Audit[[#This Row],[Candidate 6]], "")</f>
        <v/>
      </c>
      <c r="AK455" s="18" t="str">
        <f>IF(NOT(ISBLANK(Audit[[#This Row],[Audit Candidate 7]])), Audit[[#This Row],[Audit Candidate 7]]-Audit[[#This Row],[Candidate 7]], "")</f>
        <v/>
      </c>
      <c r="AL455" s="18" t="str">
        <f>IF(NOT(ISBLANK(Audit[[#This Row],[Audit Candidate 8]])), Audit[[#This Row],[Audit Candidate 8]]-Audit[[#This Row],[Candidate 8]], "")</f>
        <v/>
      </c>
      <c r="AM455" s="18" t="str">
        <f>IF(NOT(ISBLANK(Audit[[#This Row],[Audit Candidate 9]])), Audit[[#This Row],[Audit Candidate 9]]-Audit[[#This Row],[Candidate 9]], "")</f>
        <v/>
      </c>
      <c r="AN455" s="18" t="str">
        <f>IF(NOT(ISBLANK(Audit[[#This Row],[Audit Candidate 10]])), Audit[[#This Row],[Audit Candidate 10]]-Audit[[#This Row],[Candidate 10]], "")</f>
        <v/>
      </c>
      <c r="AO455" s="18" t="str">
        <f>IF(NOT(ISBLANK(Audit[[#This Row],[Audit Candidate 11]])), Audit[[#This Row],[Audit Candidate 11]]-Audit[[#This Row],[Candidate 11]], "")</f>
        <v/>
      </c>
      <c r="AP455" s="18" t="str">
        <f>IF(NOT(ISBLANK(Audit[[#This Row],[Audit Candidate 12]])), Audit[[#This Row],[Audit Candidate 12]]-Audit[[#This Row],[Candidate 12]], "")</f>
        <v/>
      </c>
      <c r="AQ455" s="18">
        <f>SUMIF(Audit[[#This Row],[Difference Winner]:[Difference Candidate 12]], "&gt;0")</f>
        <v>0</v>
      </c>
      <c r="AR455" s="18">
        <f>SUM(Audit[[#This Row],[Difference Winner]:[Difference Candidate 12]])</f>
        <v>0</v>
      </c>
      <c r="AS455" s="18">
        <f>IF(Audit[[#This Row],[Times p Drawn - With Replacement]]&gt;0, IF(Audit[[#This Row],[Canceled Differences]]&lt;0, Audit[[#This Row],[Max Differences]]+ABS(Audit[[#This Row],[Canceled Differences]]), Audit[[#This Row],[Max Differences]]), 0)</f>
        <v>0</v>
      </c>
      <c r="AT455" s="18">
        <f>'Sampling Data'!AB455</f>
        <v>6.2819989320601812E-4</v>
      </c>
      <c r="AU455" s="18">
        <f>IF(
      SUM(Audit[[#This Row],[Audit Losing Candidate]:[Audit Candidate 12]])
      &lt;&gt;0,
      (Audit[[#This Row],[Winning Candidate]]-Audit[[#This Row],[Losing Candidate]]-(Audit[[#This Row],[Audit Winning Candidate]]-Audit[[#This Row],[Audit Losing Candidate]]))/(Audit[[#Totals],[Winning Candidate]]-Audit[[#Totals],[Losing Candidate]]),
      0
)</f>
        <v>0</v>
      </c>
      <c r="AV4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8">
        <f>IF(Audit[[#This Row],[Max Relative Error (ep)]] = 0, 0, Audit[[#This Row],[Max Relative Error (ep)]]/Audit[[#This Row],[Error Bound (up) - Max. possible relative overstatement]])</f>
        <v>0</v>
      </c>
      <c r="BH4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5" s="18">
        <f t="shared" si="7"/>
        <v>1</v>
      </c>
      <c r="BJ455" s="18">
        <f>PRODUCT($BI$5:BI455)</f>
        <v>0.32656797278968008</v>
      </c>
      <c r="BK455" s="20">
        <f>1 - Audit[[#This Row],[K-M P Value]]</f>
        <v>0.67343202721031992</v>
      </c>
      <c r="BL455" s="18" t="str">
        <f>IF(Audit[[#This Row],[K-M P Value]]&gt;1-'General Info'!$B$12,"Continue", "Stop")</f>
        <v>Continue</v>
      </c>
      <c r="BM455" s="23" t="b">
        <f>IF(Audit[[#This Row],[Status - Continue or stop audit]] = "Continue", TRUE, IF(BL454 = "Continue", TRUE, FALSE))</f>
        <v>1</v>
      </c>
      <c r="BN455" s="23"/>
    </row>
    <row r="456" spans="1:66" ht="15" hidden="1" customHeight="1" x14ac:dyDescent="0.35">
      <c r="A456" s="18" t="str">
        <f>'Sampling Data'!AI456</f>
        <v/>
      </c>
      <c r="B456" s="18" t="str">
        <f>'Sampling Data'!A456</f>
        <v>7327 GREEN AA   (AV)</v>
      </c>
      <c r="C456" s="18">
        <f>'Sampling Data'!B456</f>
        <v>6</v>
      </c>
      <c r="D456" s="18">
        <f>'Sampling Data'!C456</f>
        <v>1</v>
      </c>
      <c r="E456" s="19">
        <f>'Sampling Data'!D456</f>
        <v>0</v>
      </c>
      <c r="F456" s="19">
        <f>'Sampling Data'!E456</f>
        <v>0</v>
      </c>
      <c r="G456" s="19">
        <f>'Sampling Data'!F456</f>
        <v>0</v>
      </c>
      <c r="H456" s="19">
        <f>'Sampling Data'!G456</f>
        <v>0</v>
      </c>
      <c r="I456" s="19">
        <f>'Sampling Data'!H456</f>
        <v>0</v>
      </c>
      <c r="J456" s="19">
        <f>'Sampling Data'!I456</f>
        <v>0</v>
      </c>
      <c r="K456" s="19">
        <f>'Sampling Data'!J456</f>
        <v>0</v>
      </c>
      <c r="L456" s="19">
        <f>'Sampling Data'!K456</f>
        <v>0</v>
      </c>
      <c r="M456" s="19">
        <f>'Sampling Data'!L456</f>
        <v>0</v>
      </c>
      <c r="N456" s="19">
        <f>'Sampling Data'!M456</f>
        <v>0</v>
      </c>
      <c r="O456" s="18">
        <f>'Sampling Data'!N456</f>
        <v>0</v>
      </c>
      <c r="P456" s="18">
        <f>'Sampling Data'!O456</f>
        <v>0</v>
      </c>
      <c r="Q456" s="18">
        <f>'Sampling Data'!P456</f>
        <v>7</v>
      </c>
      <c r="R456" s="18">
        <f>'Sampling Data'!AJ456</f>
        <v>0</v>
      </c>
      <c r="S456" s="112"/>
      <c r="T456" s="112"/>
      <c r="U456" s="113"/>
      <c r="V456" s="113"/>
      <c r="W456" s="112"/>
      <c r="X456" s="112"/>
      <c r="Y456" s="112"/>
      <c r="Z456" s="112"/>
      <c r="AA456" s="15"/>
      <c r="AB456" s="15"/>
      <c r="AC456" s="15"/>
      <c r="AD456" s="15"/>
      <c r="AE456" s="114" t="str">
        <f>IF(NOT(ISBLANK(Audit[[#This Row],[Audit Winning Candidate]])), Audit[[#This Row],[Audit Winning Candidate]]-Audit[[#This Row],[Winning Candidate]], "")</f>
        <v/>
      </c>
      <c r="AF456" s="18" t="str">
        <f>IF(NOT(ISBLANK(Audit[[#This Row],[Audit Losing Candidate]])), Audit[[#This Row],[Audit Losing Candidate]]-Audit[[#This Row],[Losing Candidate]], "")</f>
        <v/>
      </c>
      <c r="AG456" s="18" t="str">
        <f>IF(NOT(ISBLANK(Audit[[#This Row],[Audit Candidate 3]])), Audit[[#This Row],[Audit Candidate 3]]-Audit[[#This Row],[Candidate 3]], "")</f>
        <v/>
      </c>
      <c r="AH456" s="18" t="str">
        <f>IF(NOT(ISBLANK(Audit[[#This Row],[Audit Candidate 4]])),Audit[[#This Row],[Audit Candidate 4]]-Audit[[#This Row],[Candidate 4]], "")</f>
        <v/>
      </c>
      <c r="AI456" s="18" t="str">
        <f>IF(NOT(ISBLANK(Audit[[#This Row],[Audit Candidate 5]])), Audit[[#This Row],[Audit Candidate 5]]-Audit[[#This Row],[Candidate 5]], "")</f>
        <v/>
      </c>
      <c r="AJ456" s="18" t="str">
        <f>IF(NOT(ISBLANK(Audit[[#This Row],[Audit Candidate 6]])), Audit[[#This Row],[Audit Candidate 6]]-Audit[[#This Row],[Candidate 6]], "")</f>
        <v/>
      </c>
      <c r="AK456" s="18" t="str">
        <f>IF(NOT(ISBLANK(Audit[[#This Row],[Audit Candidate 7]])), Audit[[#This Row],[Audit Candidate 7]]-Audit[[#This Row],[Candidate 7]], "")</f>
        <v/>
      </c>
      <c r="AL456" s="18" t="str">
        <f>IF(NOT(ISBLANK(Audit[[#This Row],[Audit Candidate 8]])), Audit[[#This Row],[Audit Candidate 8]]-Audit[[#This Row],[Candidate 8]], "")</f>
        <v/>
      </c>
      <c r="AM456" s="18" t="str">
        <f>IF(NOT(ISBLANK(Audit[[#This Row],[Audit Candidate 9]])), Audit[[#This Row],[Audit Candidate 9]]-Audit[[#This Row],[Candidate 9]], "")</f>
        <v/>
      </c>
      <c r="AN456" s="18" t="str">
        <f>IF(NOT(ISBLANK(Audit[[#This Row],[Audit Candidate 10]])), Audit[[#This Row],[Audit Candidate 10]]-Audit[[#This Row],[Candidate 10]], "")</f>
        <v/>
      </c>
      <c r="AO456" s="18" t="str">
        <f>IF(NOT(ISBLANK(Audit[[#This Row],[Audit Candidate 11]])), Audit[[#This Row],[Audit Candidate 11]]-Audit[[#This Row],[Candidate 11]], "")</f>
        <v/>
      </c>
      <c r="AP456" s="18" t="str">
        <f>IF(NOT(ISBLANK(Audit[[#This Row],[Audit Candidate 12]])), Audit[[#This Row],[Audit Candidate 12]]-Audit[[#This Row],[Candidate 12]], "")</f>
        <v/>
      </c>
      <c r="AQ456" s="18">
        <f>SUMIF(Audit[[#This Row],[Difference Winner]:[Difference Candidate 12]], "&gt;0")</f>
        <v>0</v>
      </c>
      <c r="AR456" s="18">
        <f>SUM(Audit[[#This Row],[Difference Winner]:[Difference Candidate 12]])</f>
        <v>0</v>
      </c>
      <c r="AS456" s="18">
        <f>IF(Audit[[#This Row],[Times p Drawn - With Replacement]]&gt;0, IF(Audit[[#This Row],[Canceled Differences]]&lt;0, Audit[[#This Row],[Max Differences]]+ABS(Audit[[#This Row],[Canceled Differences]]), Audit[[#This Row],[Max Differences]]), 0)</f>
        <v>0</v>
      </c>
      <c r="AT456" s="18">
        <f>'Sampling Data'!AB456</f>
        <v>3.7691993592361088E-4</v>
      </c>
      <c r="AU456" s="18">
        <f>IF(
      SUM(Audit[[#This Row],[Audit Losing Candidate]:[Audit Candidate 12]])
      &lt;&gt;0,
      (Audit[[#This Row],[Winning Candidate]]-Audit[[#This Row],[Losing Candidate]]-(Audit[[#This Row],[Audit Winning Candidate]]-Audit[[#This Row],[Audit Losing Candidate]]))/(Audit[[#Totals],[Winning Candidate]]-Audit[[#Totals],[Losing Candidate]]),
      0
)</f>
        <v>0</v>
      </c>
      <c r="AV4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8">
        <f>IF(Audit[[#This Row],[Max Relative Error (ep)]] = 0, 0, Audit[[#This Row],[Max Relative Error (ep)]]/Audit[[#This Row],[Error Bound (up) - Max. possible relative overstatement]])</f>
        <v>0</v>
      </c>
      <c r="BH4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6" s="18">
        <f t="shared" si="7"/>
        <v>1</v>
      </c>
      <c r="BJ456" s="18">
        <f>PRODUCT($BI$5:BI456)</f>
        <v>0.32656797278968008</v>
      </c>
      <c r="BK456" s="20">
        <f>1 - Audit[[#This Row],[K-M P Value]]</f>
        <v>0.67343202721031992</v>
      </c>
      <c r="BL456" s="18" t="str">
        <f>IF(Audit[[#This Row],[K-M P Value]]&gt;1-'General Info'!$B$12,"Continue", "Stop")</f>
        <v>Continue</v>
      </c>
      <c r="BM456" s="23" t="b">
        <f>IF(Audit[[#This Row],[Status - Continue or stop audit]] = "Continue", TRUE, IF(BL455 = "Continue", TRUE, FALSE))</f>
        <v>1</v>
      </c>
      <c r="BN456" s="23"/>
    </row>
    <row r="457" spans="1:66" ht="15" hidden="1" customHeight="1" x14ac:dyDescent="0.35">
      <c r="A457" s="18" t="str">
        <f>'Sampling Data'!AI457</f>
        <v/>
      </c>
      <c r="B457" s="18" t="str">
        <f>'Sampling Data'!A457</f>
        <v>7328 GREEN BB   (AV)</v>
      </c>
      <c r="C457" s="18">
        <f>'Sampling Data'!B457</f>
        <v>4</v>
      </c>
      <c r="D457" s="18">
        <f>'Sampling Data'!C457</f>
        <v>1</v>
      </c>
      <c r="E457" s="19">
        <f>'Sampling Data'!D457</f>
        <v>0</v>
      </c>
      <c r="F457" s="19">
        <f>'Sampling Data'!E457</f>
        <v>0</v>
      </c>
      <c r="G457" s="19">
        <f>'Sampling Data'!F457</f>
        <v>0</v>
      </c>
      <c r="H457" s="19">
        <f>'Sampling Data'!G457</f>
        <v>0</v>
      </c>
      <c r="I457" s="19">
        <f>'Sampling Data'!H457</f>
        <v>0</v>
      </c>
      <c r="J457" s="19">
        <f>'Sampling Data'!I457</f>
        <v>0</v>
      </c>
      <c r="K457" s="19">
        <f>'Sampling Data'!J457</f>
        <v>0</v>
      </c>
      <c r="L457" s="19">
        <f>'Sampling Data'!K457</f>
        <v>0</v>
      </c>
      <c r="M457" s="19">
        <f>'Sampling Data'!L457</f>
        <v>0</v>
      </c>
      <c r="N457" s="19">
        <f>'Sampling Data'!M457</f>
        <v>0</v>
      </c>
      <c r="O457" s="18">
        <f>'Sampling Data'!N457</f>
        <v>0</v>
      </c>
      <c r="P457" s="18">
        <f>'Sampling Data'!O457</f>
        <v>0</v>
      </c>
      <c r="Q457" s="18">
        <f>'Sampling Data'!P457</f>
        <v>5</v>
      </c>
      <c r="R457" s="18">
        <f>'Sampling Data'!AJ457</f>
        <v>0</v>
      </c>
      <c r="S457" s="112"/>
      <c r="T457" s="112"/>
      <c r="U457" s="113"/>
      <c r="V457" s="113"/>
      <c r="W457" s="112"/>
      <c r="X457" s="112"/>
      <c r="Y457" s="112"/>
      <c r="Z457" s="112"/>
      <c r="AA457" s="15"/>
      <c r="AB457" s="15"/>
      <c r="AC457" s="15"/>
      <c r="AD457" s="15"/>
      <c r="AE457" s="114" t="str">
        <f>IF(NOT(ISBLANK(Audit[[#This Row],[Audit Winning Candidate]])), Audit[[#This Row],[Audit Winning Candidate]]-Audit[[#This Row],[Winning Candidate]], "")</f>
        <v/>
      </c>
      <c r="AF457" s="18" t="str">
        <f>IF(NOT(ISBLANK(Audit[[#This Row],[Audit Losing Candidate]])), Audit[[#This Row],[Audit Losing Candidate]]-Audit[[#This Row],[Losing Candidate]], "")</f>
        <v/>
      </c>
      <c r="AG457" s="18" t="str">
        <f>IF(NOT(ISBLANK(Audit[[#This Row],[Audit Candidate 3]])), Audit[[#This Row],[Audit Candidate 3]]-Audit[[#This Row],[Candidate 3]], "")</f>
        <v/>
      </c>
      <c r="AH457" s="18" t="str">
        <f>IF(NOT(ISBLANK(Audit[[#This Row],[Audit Candidate 4]])),Audit[[#This Row],[Audit Candidate 4]]-Audit[[#This Row],[Candidate 4]], "")</f>
        <v/>
      </c>
      <c r="AI457" s="18" t="str">
        <f>IF(NOT(ISBLANK(Audit[[#This Row],[Audit Candidate 5]])), Audit[[#This Row],[Audit Candidate 5]]-Audit[[#This Row],[Candidate 5]], "")</f>
        <v/>
      </c>
      <c r="AJ457" s="18" t="str">
        <f>IF(NOT(ISBLANK(Audit[[#This Row],[Audit Candidate 6]])), Audit[[#This Row],[Audit Candidate 6]]-Audit[[#This Row],[Candidate 6]], "")</f>
        <v/>
      </c>
      <c r="AK457" s="18" t="str">
        <f>IF(NOT(ISBLANK(Audit[[#This Row],[Audit Candidate 7]])), Audit[[#This Row],[Audit Candidate 7]]-Audit[[#This Row],[Candidate 7]], "")</f>
        <v/>
      </c>
      <c r="AL457" s="18" t="str">
        <f>IF(NOT(ISBLANK(Audit[[#This Row],[Audit Candidate 8]])), Audit[[#This Row],[Audit Candidate 8]]-Audit[[#This Row],[Candidate 8]], "")</f>
        <v/>
      </c>
      <c r="AM457" s="18" t="str">
        <f>IF(NOT(ISBLANK(Audit[[#This Row],[Audit Candidate 9]])), Audit[[#This Row],[Audit Candidate 9]]-Audit[[#This Row],[Candidate 9]], "")</f>
        <v/>
      </c>
      <c r="AN457" s="18" t="str">
        <f>IF(NOT(ISBLANK(Audit[[#This Row],[Audit Candidate 10]])), Audit[[#This Row],[Audit Candidate 10]]-Audit[[#This Row],[Candidate 10]], "")</f>
        <v/>
      </c>
      <c r="AO457" s="18" t="str">
        <f>IF(NOT(ISBLANK(Audit[[#This Row],[Audit Candidate 11]])), Audit[[#This Row],[Audit Candidate 11]]-Audit[[#This Row],[Candidate 11]], "")</f>
        <v/>
      </c>
      <c r="AP457" s="18" t="str">
        <f>IF(NOT(ISBLANK(Audit[[#This Row],[Audit Candidate 12]])), Audit[[#This Row],[Audit Candidate 12]]-Audit[[#This Row],[Candidate 12]], "")</f>
        <v/>
      </c>
      <c r="AQ457" s="18">
        <f>SUMIF(Audit[[#This Row],[Difference Winner]:[Difference Candidate 12]], "&gt;0")</f>
        <v>0</v>
      </c>
      <c r="AR457" s="18">
        <f>SUM(Audit[[#This Row],[Difference Winner]:[Difference Candidate 12]])</f>
        <v>0</v>
      </c>
      <c r="AS457" s="18">
        <f>IF(Audit[[#This Row],[Times p Drawn - With Replacement]]&gt;0, IF(Audit[[#This Row],[Canceled Differences]]&lt;0, Audit[[#This Row],[Max Differences]]+ABS(Audit[[#This Row],[Canceled Differences]]), Audit[[#This Row],[Max Differences]]), 0)</f>
        <v>0</v>
      </c>
      <c r="AT457" s="18">
        <f>'Sampling Data'!AB457</f>
        <v>2.5127995728240724E-4</v>
      </c>
      <c r="AU457" s="18">
        <f>IF(
      SUM(Audit[[#This Row],[Audit Losing Candidate]:[Audit Candidate 12]])
      &lt;&gt;0,
      (Audit[[#This Row],[Winning Candidate]]-Audit[[#This Row],[Losing Candidate]]-(Audit[[#This Row],[Audit Winning Candidate]]-Audit[[#This Row],[Audit Losing Candidate]]))/(Audit[[#Totals],[Winning Candidate]]-Audit[[#Totals],[Losing Candidate]]),
      0
)</f>
        <v>0</v>
      </c>
      <c r="AV4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8">
        <f>IF(Audit[[#This Row],[Max Relative Error (ep)]] = 0, 0, Audit[[#This Row],[Max Relative Error (ep)]]/Audit[[#This Row],[Error Bound (up) - Max. possible relative overstatement]])</f>
        <v>0</v>
      </c>
      <c r="BH4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7" s="18">
        <f t="shared" si="7"/>
        <v>1</v>
      </c>
      <c r="BJ457" s="18">
        <f>PRODUCT($BI$5:BI457)</f>
        <v>0.32656797278968008</v>
      </c>
      <c r="BK457" s="20">
        <f>1 - Audit[[#This Row],[K-M P Value]]</f>
        <v>0.67343202721031992</v>
      </c>
      <c r="BL457" s="18" t="str">
        <f>IF(Audit[[#This Row],[K-M P Value]]&gt;1-'General Info'!$B$12,"Continue", "Stop")</f>
        <v>Continue</v>
      </c>
      <c r="BM457" s="23" t="b">
        <f>IF(Audit[[#This Row],[Status - Continue or stop audit]] = "Continue", TRUE, IF(BL456 = "Continue", TRUE, FALSE))</f>
        <v>1</v>
      </c>
      <c r="BN457" s="23"/>
    </row>
    <row r="458" spans="1:66" ht="15" hidden="1" customHeight="1" x14ac:dyDescent="0.35">
      <c r="A458" s="18" t="str">
        <f>'Sampling Data'!AI458</f>
        <v/>
      </c>
      <c r="B458" s="18" t="str">
        <f>'Sampling Data'!A458</f>
        <v>7329 GREEN CC   (AV)</v>
      </c>
      <c r="C458" s="18">
        <f>'Sampling Data'!B458</f>
        <v>9</v>
      </c>
      <c r="D458" s="18">
        <f>'Sampling Data'!C458</f>
        <v>1</v>
      </c>
      <c r="E458" s="19">
        <f>'Sampling Data'!D458</f>
        <v>0</v>
      </c>
      <c r="F458" s="19">
        <f>'Sampling Data'!E458</f>
        <v>0</v>
      </c>
      <c r="G458" s="19">
        <f>'Sampling Data'!F458</f>
        <v>0</v>
      </c>
      <c r="H458" s="19">
        <f>'Sampling Data'!G458</f>
        <v>0</v>
      </c>
      <c r="I458" s="19">
        <f>'Sampling Data'!H458</f>
        <v>0</v>
      </c>
      <c r="J458" s="19">
        <f>'Sampling Data'!I458</f>
        <v>0</v>
      </c>
      <c r="K458" s="19">
        <f>'Sampling Data'!J458</f>
        <v>0</v>
      </c>
      <c r="L458" s="19">
        <f>'Sampling Data'!K458</f>
        <v>0</v>
      </c>
      <c r="M458" s="19">
        <f>'Sampling Data'!L458</f>
        <v>0</v>
      </c>
      <c r="N458" s="19">
        <f>'Sampling Data'!M458</f>
        <v>0</v>
      </c>
      <c r="O458" s="18">
        <f>'Sampling Data'!N458</f>
        <v>0</v>
      </c>
      <c r="P458" s="18">
        <f>'Sampling Data'!O458</f>
        <v>0</v>
      </c>
      <c r="Q458" s="18">
        <f>'Sampling Data'!P458</f>
        <v>10</v>
      </c>
      <c r="R458" s="18">
        <f>'Sampling Data'!AJ458</f>
        <v>0</v>
      </c>
      <c r="S458" s="112"/>
      <c r="T458" s="112"/>
      <c r="U458" s="113"/>
      <c r="V458" s="113"/>
      <c r="W458" s="112"/>
      <c r="X458" s="112"/>
      <c r="Y458" s="112"/>
      <c r="Z458" s="112"/>
      <c r="AA458" s="15"/>
      <c r="AB458" s="15"/>
      <c r="AC458" s="15"/>
      <c r="AD458" s="15"/>
      <c r="AE458" s="114" t="str">
        <f>IF(NOT(ISBLANK(Audit[[#This Row],[Audit Winning Candidate]])), Audit[[#This Row],[Audit Winning Candidate]]-Audit[[#This Row],[Winning Candidate]], "")</f>
        <v/>
      </c>
      <c r="AF458" s="18" t="str">
        <f>IF(NOT(ISBLANK(Audit[[#This Row],[Audit Losing Candidate]])), Audit[[#This Row],[Audit Losing Candidate]]-Audit[[#This Row],[Losing Candidate]], "")</f>
        <v/>
      </c>
      <c r="AG458" s="18" t="str">
        <f>IF(NOT(ISBLANK(Audit[[#This Row],[Audit Candidate 3]])), Audit[[#This Row],[Audit Candidate 3]]-Audit[[#This Row],[Candidate 3]], "")</f>
        <v/>
      </c>
      <c r="AH458" s="18" t="str">
        <f>IF(NOT(ISBLANK(Audit[[#This Row],[Audit Candidate 4]])),Audit[[#This Row],[Audit Candidate 4]]-Audit[[#This Row],[Candidate 4]], "")</f>
        <v/>
      </c>
      <c r="AI458" s="18" t="str">
        <f>IF(NOT(ISBLANK(Audit[[#This Row],[Audit Candidate 5]])), Audit[[#This Row],[Audit Candidate 5]]-Audit[[#This Row],[Candidate 5]], "")</f>
        <v/>
      </c>
      <c r="AJ458" s="18" t="str">
        <f>IF(NOT(ISBLANK(Audit[[#This Row],[Audit Candidate 6]])), Audit[[#This Row],[Audit Candidate 6]]-Audit[[#This Row],[Candidate 6]], "")</f>
        <v/>
      </c>
      <c r="AK458" s="18" t="str">
        <f>IF(NOT(ISBLANK(Audit[[#This Row],[Audit Candidate 7]])), Audit[[#This Row],[Audit Candidate 7]]-Audit[[#This Row],[Candidate 7]], "")</f>
        <v/>
      </c>
      <c r="AL458" s="18" t="str">
        <f>IF(NOT(ISBLANK(Audit[[#This Row],[Audit Candidate 8]])), Audit[[#This Row],[Audit Candidate 8]]-Audit[[#This Row],[Candidate 8]], "")</f>
        <v/>
      </c>
      <c r="AM458" s="18" t="str">
        <f>IF(NOT(ISBLANK(Audit[[#This Row],[Audit Candidate 9]])), Audit[[#This Row],[Audit Candidate 9]]-Audit[[#This Row],[Candidate 9]], "")</f>
        <v/>
      </c>
      <c r="AN458" s="18" t="str">
        <f>IF(NOT(ISBLANK(Audit[[#This Row],[Audit Candidate 10]])), Audit[[#This Row],[Audit Candidate 10]]-Audit[[#This Row],[Candidate 10]], "")</f>
        <v/>
      </c>
      <c r="AO458" s="18" t="str">
        <f>IF(NOT(ISBLANK(Audit[[#This Row],[Audit Candidate 11]])), Audit[[#This Row],[Audit Candidate 11]]-Audit[[#This Row],[Candidate 11]], "")</f>
        <v/>
      </c>
      <c r="AP458" s="18" t="str">
        <f>IF(NOT(ISBLANK(Audit[[#This Row],[Audit Candidate 12]])), Audit[[#This Row],[Audit Candidate 12]]-Audit[[#This Row],[Candidate 12]], "")</f>
        <v/>
      </c>
      <c r="AQ458" s="18">
        <f>SUMIF(Audit[[#This Row],[Difference Winner]:[Difference Candidate 12]], "&gt;0")</f>
        <v>0</v>
      </c>
      <c r="AR458" s="18">
        <f>SUM(Audit[[#This Row],[Difference Winner]:[Difference Candidate 12]])</f>
        <v>0</v>
      </c>
      <c r="AS458" s="18">
        <f>IF(Audit[[#This Row],[Times p Drawn - With Replacement]]&gt;0, IF(Audit[[#This Row],[Canceled Differences]]&lt;0, Audit[[#This Row],[Max Differences]]+ABS(Audit[[#This Row],[Canceled Differences]]), Audit[[#This Row],[Max Differences]]), 0)</f>
        <v>0</v>
      </c>
      <c r="AT458" s="18">
        <f>'Sampling Data'!AB458</f>
        <v>5.6537990388541635E-4</v>
      </c>
      <c r="AU458" s="18">
        <f>IF(
      SUM(Audit[[#This Row],[Audit Losing Candidate]:[Audit Candidate 12]])
      &lt;&gt;0,
      (Audit[[#This Row],[Winning Candidate]]-Audit[[#This Row],[Losing Candidate]]-(Audit[[#This Row],[Audit Winning Candidate]]-Audit[[#This Row],[Audit Losing Candidate]]))/(Audit[[#Totals],[Winning Candidate]]-Audit[[#Totals],[Losing Candidate]]),
      0
)</f>
        <v>0</v>
      </c>
      <c r="AV4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8">
        <f>IF(Audit[[#This Row],[Max Relative Error (ep)]] = 0, 0, Audit[[#This Row],[Max Relative Error (ep)]]/Audit[[#This Row],[Error Bound (up) - Max. possible relative overstatement]])</f>
        <v>0</v>
      </c>
      <c r="BH4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8" s="18">
        <f t="shared" si="7"/>
        <v>1</v>
      </c>
      <c r="BJ458" s="18">
        <f>PRODUCT($BI$5:BI458)</f>
        <v>0.32656797278968008</v>
      </c>
      <c r="BK458" s="20">
        <f>1 - Audit[[#This Row],[K-M P Value]]</f>
        <v>0.67343202721031992</v>
      </c>
      <c r="BL458" s="18" t="str">
        <f>IF(Audit[[#This Row],[K-M P Value]]&gt;1-'General Info'!$B$12,"Continue", "Stop")</f>
        <v>Continue</v>
      </c>
      <c r="BM458" s="23" t="b">
        <f>IF(Audit[[#This Row],[Status - Continue or stop audit]] = "Continue", TRUE, IF(BL457 = "Continue", TRUE, FALSE))</f>
        <v>1</v>
      </c>
      <c r="BN458" s="23"/>
    </row>
    <row r="459" spans="1:66" ht="15" hidden="1" customHeight="1" x14ac:dyDescent="0.35">
      <c r="A459" s="18" t="str">
        <f>'Sampling Data'!AI459</f>
        <v/>
      </c>
      <c r="B459" s="18" t="str">
        <f>'Sampling Data'!A459</f>
        <v>7330 GREEN DD   (AV)</v>
      </c>
      <c r="C459" s="18">
        <f>'Sampling Data'!B459</f>
        <v>15</v>
      </c>
      <c r="D459" s="18">
        <f>'Sampling Data'!C459</f>
        <v>5</v>
      </c>
      <c r="E459" s="19">
        <f>'Sampling Data'!D459</f>
        <v>0</v>
      </c>
      <c r="F459" s="19">
        <f>'Sampling Data'!E459</f>
        <v>0</v>
      </c>
      <c r="G459" s="19">
        <f>'Sampling Data'!F459</f>
        <v>0</v>
      </c>
      <c r="H459" s="19">
        <f>'Sampling Data'!G459</f>
        <v>0</v>
      </c>
      <c r="I459" s="19">
        <f>'Sampling Data'!H459</f>
        <v>0</v>
      </c>
      <c r="J459" s="19">
        <f>'Sampling Data'!I459</f>
        <v>0</v>
      </c>
      <c r="K459" s="19">
        <f>'Sampling Data'!J459</f>
        <v>0</v>
      </c>
      <c r="L459" s="19">
        <f>'Sampling Data'!K459</f>
        <v>0</v>
      </c>
      <c r="M459" s="19">
        <f>'Sampling Data'!L459</f>
        <v>0</v>
      </c>
      <c r="N459" s="19">
        <f>'Sampling Data'!M459</f>
        <v>0</v>
      </c>
      <c r="O459" s="18">
        <f>'Sampling Data'!N459</f>
        <v>0</v>
      </c>
      <c r="P459" s="18">
        <f>'Sampling Data'!O459</f>
        <v>1</v>
      </c>
      <c r="Q459" s="18">
        <f>'Sampling Data'!P459</f>
        <v>21</v>
      </c>
      <c r="R459" s="18">
        <f>'Sampling Data'!AJ459</f>
        <v>0</v>
      </c>
      <c r="S459" s="112"/>
      <c r="T459" s="112"/>
      <c r="U459" s="113"/>
      <c r="V459" s="113"/>
      <c r="W459" s="112"/>
      <c r="X459" s="112"/>
      <c r="Y459" s="112"/>
      <c r="Z459" s="112"/>
      <c r="AA459" s="15"/>
      <c r="AB459" s="15"/>
      <c r="AC459" s="15"/>
      <c r="AD459" s="15"/>
      <c r="AE459" s="114" t="str">
        <f>IF(NOT(ISBLANK(Audit[[#This Row],[Audit Winning Candidate]])), Audit[[#This Row],[Audit Winning Candidate]]-Audit[[#This Row],[Winning Candidate]], "")</f>
        <v/>
      </c>
      <c r="AF459" s="18" t="str">
        <f>IF(NOT(ISBLANK(Audit[[#This Row],[Audit Losing Candidate]])), Audit[[#This Row],[Audit Losing Candidate]]-Audit[[#This Row],[Losing Candidate]], "")</f>
        <v/>
      </c>
      <c r="AG459" s="18" t="str">
        <f>IF(NOT(ISBLANK(Audit[[#This Row],[Audit Candidate 3]])), Audit[[#This Row],[Audit Candidate 3]]-Audit[[#This Row],[Candidate 3]], "")</f>
        <v/>
      </c>
      <c r="AH459" s="18" t="str">
        <f>IF(NOT(ISBLANK(Audit[[#This Row],[Audit Candidate 4]])),Audit[[#This Row],[Audit Candidate 4]]-Audit[[#This Row],[Candidate 4]], "")</f>
        <v/>
      </c>
      <c r="AI459" s="18" t="str">
        <f>IF(NOT(ISBLANK(Audit[[#This Row],[Audit Candidate 5]])), Audit[[#This Row],[Audit Candidate 5]]-Audit[[#This Row],[Candidate 5]], "")</f>
        <v/>
      </c>
      <c r="AJ459" s="18" t="str">
        <f>IF(NOT(ISBLANK(Audit[[#This Row],[Audit Candidate 6]])), Audit[[#This Row],[Audit Candidate 6]]-Audit[[#This Row],[Candidate 6]], "")</f>
        <v/>
      </c>
      <c r="AK459" s="18" t="str">
        <f>IF(NOT(ISBLANK(Audit[[#This Row],[Audit Candidate 7]])), Audit[[#This Row],[Audit Candidate 7]]-Audit[[#This Row],[Candidate 7]], "")</f>
        <v/>
      </c>
      <c r="AL459" s="18" t="str">
        <f>IF(NOT(ISBLANK(Audit[[#This Row],[Audit Candidate 8]])), Audit[[#This Row],[Audit Candidate 8]]-Audit[[#This Row],[Candidate 8]], "")</f>
        <v/>
      </c>
      <c r="AM459" s="18" t="str">
        <f>IF(NOT(ISBLANK(Audit[[#This Row],[Audit Candidate 9]])), Audit[[#This Row],[Audit Candidate 9]]-Audit[[#This Row],[Candidate 9]], "")</f>
        <v/>
      </c>
      <c r="AN459" s="18" t="str">
        <f>IF(NOT(ISBLANK(Audit[[#This Row],[Audit Candidate 10]])), Audit[[#This Row],[Audit Candidate 10]]-Audit[[#This Row],[Candidate 10]], "")</f>
        <v/>
      </c>
      <c r="AO459" s="18" t="str">
        <f>IF(NOT(ISBLANK(Audit[[#This Row],[Audit Candidate 11]])), Audit[[#This Row],[Audit Candidate 11]]-Audit[[#This Row],[Candidate 11]], "")</f>
        <v/>
      </c>
      <c r="AP459" s="18" t="str">
        <f>IF(NOT(ISBLANK(Audit[[#This Row],[Audit Candidate 12]])), Audit[[#This Row],[Audit Candidate 12]]-Audit[[#This Row],[Candidate 12]], "")</f>
        <v/>
      </c>
      <c r="AQ459" s="18">
        <f>SUMIF(Audit[[#This Row],[Difference Winner]:[Difference Candidate 12]], "&gt;0")</f>
        <v>0</v>
      </c>
      <c r="AR459" s="18">
        <f>SUM(Audit[[#This Row],[Difference Winner]:[Difference Candidate 12]])</f>
        <v>0</v>
      </c>
      <c r="AS459" s="18">
        <f>IF(Audit[[#This Row],[Times p Drawn - With Replacement]]&gt;0, IF(Audit[[#This Row],[Canceled Differences]]&lt;0, Audit[[#This Row],[Max Differences]]+ABS(Audit[[#This Row],[Canceled Differences]]), Audit[[#This Row],[Max Differences]]), 0)</f>
        <v>0</v>
      </c>
      <c r="AT459" s="18">
        <f>'Sampling Data'!AB459</f>
        <v>9.7370983446932818E-4</v>
      </c>
      <c r="AU459" s="18">
        <f>IF(
      SUM(Audit[[#This Row],[Audit Losing Candidate]:[Audit Candidate 12]])
      &lt;&gt;0,
      (Audit[[#This Row],[Winning Candidate]]-Audit[[#This Row],[Losing Candidate]]-(Audit[[#This Row],[Audit Winning Candidate]]-Audit[[#This Row],[Audit Losing Candidate]]))/(Audit[[#Totals],[Winning Candidate]]-Audit[[#Totals],[Losing Candidate]]),
      0
)</f>
        <v>0</v>
      </c>
      <c r="AV4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8">
        <f>IF(Audit[[#This Row],[Max Relative Error (ep)]] = 0, 0, Audit[[#This Row],[Max Relative Error (ep)]]/Audit[[#This Row],[Error Bound (up) - Max. possible relative overstatement]])</f>
        <v>0</v>
      </c>
      <c r="BH4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59" s="18">
        <f t="shared" si="7"/>
        <v>1</v>
      </c>
      <c r="BJ459" s="18">
        <f>PRODUCT($BI$5:BI459)</f>
        <v>0.32656797278968008</v>
      </c>
      <c r="BK459" s="20">
        <f>1 - Audit[[#This Row],[K-M P Value]]</f>
        <v>0.67343202721031992</v>
      </c>
      <c r="BL459" s="18" t="str">
        <f>IF(Audit[[#This Row],[K-M P Value]]&gt;1-'General Info'!$B$12,"Continue", "Stop")</f>
        <v>Continue</v>
      </c>
      <c r="BM459" s="23" t="b">
        <f>IF(Audit[[#This Row],[Status - Continue or stop audit]] = "Continue", TRUE, IF(BL458 = "Continue", TRUE, FALSE))</f>
        <v>1</v>
      </c>
      <c r="BN459" s="23"/>
    </row>
    <row r="460" spans="1:66" ht="15" hidden="1" customHeight="1" x14ac:dyDescent="0.35">
      <c r="A460" s="18" t="str">
        <f>'Sampling Data'!AI460</f>
        <v/>
      </c>
      <c r="B460" s="18" t="str">
        <f>'Sampling Data'!A460</f>
        <v>7331 GREEN EE   (AV)</v>
      </c>
      <c r="C460" s="18">
        <f>'Sampling Data'!B460</f>
        <v>5</v>
      </c>
      <c r="D460" s="18">
        <f>'Sampling Data'!C460</f>
        <v>6</v>
      </c>
      <c r="E460" s="19">
        <f>'Sampling Data'!D460</f>
        <v>0</v>
      </c>
      <c r="F460" s="19">
        <f>'Sampling Data'!E460</f>
        <v>0</v>
      </c>
      <c r="G460" s="19">
        <f>'Sampling Data'!F460</f>
        <v>0</v>
      </c>
      <c r="H460" s="19">
        <f>'Sampling Data'!G460</f>
        <v>0</v>
      </c>
      <c r="I460" s="19">
        <f>'Sampling Data'!H460</f>
        <v>0</v>
      </c>
      <c r="J460" s="19">
        <f>'Sampling Data'!I460</f>
        <v>0</v>
      </c>
      <c r="K460" s="19">
        <f>'Sampling Data'!J460</f>
        <v>0</v>
      </c>
      <c r="L460" s="19">
        <f>'Sampling Data'!K460</f>
        <v>0</v>
      </c>
      <c r="M460" s="19">
        <f>'Sampling Data'!L460</f>
        <v>0</v>
      </c>
      <c r="N460" s="19">
        <f>'Sampling Data'!M460</f>
        <v>0</v>
      </c>
      <c r="O460" s="18">
        <f>'Sampling Data'!N460</f>
        <v>0</v>
      </c>
      <c r="P460" s="18">
        <f>'Sampling Data'!O460</f>
        <v>1</v>
      </c>
      <c r="Q460" s="18">
        <f>'Sampling Data'!P460</f>
        <v>12</v>
      </c>
      <c r="R460" s="18">
        <f>'Sampling Data'!AJ460</f>
        <v>0</v>
      </c>
      <c r="S460" s="112"/>
      <c r="T460" s="112"/>
      <c r="U460" s="113"/>
      <c r="V460" s="113"/>
      <c r="W460" s="112"/>
      <c r="X460" s="112"/>
      <c r="Y460" s="112"/>
      <c r="Z460" s="112"/>
      <c r="AA460" s="15"/>
      <c r="AB460" s="15"/>
      <c r="AC460" s="15"/>
      <c r="AD460" s="15"/>
      <c r="AE460" s="114" t="str">
        <f>IF(NOT(ISBLANK(Audit[[#This Row],[Audit Winning Candidate]])), Audit[[#This Row],[Audit Winning Candidate]]-Audit[[#This Row],[Winning Candidate]], "")</f>
        <v/>
      </c>
      <c r="AF460" s="18" t="str">
        <f>IF(NOT(ISBLANK(Audit[[#This Row],[Audit Losing Candidate]])), Audit[[#This Row],[Audit Losing Candidate]]-Audit[[#This Row],[Losing Candidate]], "")</f>
        <v/>
      </c>
      <c r="AG460" s="18" t="str">
        <f>IF(NOT(ISBLANK(Audit[[#This Row],[Audit Candidate 3]])), Audit[[#This Row],[Audit Candidate 3]]-Audit[[#This Row],[Candidate 3]], "")</f>
        <v/>
      </c>
      <c r="AH460" s="18" t="str">
        <f>IF(NOT(ISBLANK(Audit[[#This Row],[Audit Candidate 4]])),Audit[[#This Row],[Audit Candidate 4]]-Audit[[#This Row],[Candidate 4]], "")</f>
        <v/>
      </c>
      <c r="AI460" s="18" t="str">
        <f>IF(NOT(ISBLANK(Audit[[#This Row],[Audit Candidate 5]])), Audit[[#This Row],[Audit Candidate 5]]-Audit[[#This Row],[Candidate 5]], "")</f>
        <v/>
      </c>
      <c r="AJ460" s="18" t="str">
        <f>IF(NOT(ISBLANK(Audit[[#This Row],[Audit Candidate 6]])), Audit[[#This Row],[Audit Candidate 6]]-Audit[[#This Row],[Candidate 6]], "")</f>
        <v/>
      </c>
      <c r="AK460" s="18" t="str">
        <f>IF(NOT(ISBLANK(Audit[[#This Row],[Audit Candidate 7]])), Audit[[#This Row],[Audit Candidate 7]]-Audit[[#This Row],[Candidate 7]], "")</f>
        <v/>
      </c>
      <c r="AL460" s="18" t="str">
        <f>IF(NOT(ISBLANK(Audit[[#This Row],[Audit Candidate 8]])), Audit[[#This Row],[Audit Candidate 8]]-Audit[[#This Row],[Candidate 8]], "")</f>
        <v/>
      </c>
      <c r="AM460" s="18" t="str">
        <f>IF(NOT(ISBLANK(Audit[[#This Row],[Audit Candidate 9]])), Audit[[#This Row],[Audit Candidate 9]]-Audit[[#This Row],[Candidate 9]], "")</f>
        <v/>
      </c>
      <c r="AN460" s="18" t="str">
        <f>IF(NOT(ISBLANK(Audit[[#This Row],[Audit Candidate 10]])), Audit[[#This Row],[Audit Candidate 10]]-Audit[[#This Row],[Candidate 10]], "")</f>
        <v/>
      </c>
      <c r="AO460" s="18" t="str">
        <f>IF(NOT(ISBLANK(Audit[[#This Row],[Audit Candidate 11]])), Audit[[#This Row],[Audit Candidate 11]]-Audit[[#This Row],[Candidate 11]], "")</f>
        <v/>
      </c>
      <c r="AP460" s="18" t="str">
        <f>IF(NOT(ISBLANK(Audit[[#This Row],[Audit Candidate 12]])), Audit[[#This Row],[Audit Candidate 12]]-Audit[[#This Row],[Candidate 12]], "")</f>
        <v/>
      </c>
      <c r="AQ460" s="18">
        <f>SUMIF(Audit[[#This Row],[Difference Winner]:[Difference Candidate 12]], "&gt;0")</f>
        <v>0</v>
      </c>
      <c r="AR460" s="18">
        <f>SUM(Audit[[#This Row],[Difference Winner]:[Difference Candidate 12]])</f>
        <v>0</v>
      </c>
      <c r="AS460" s="18">
        <f>IF(Audit[[#This Row],[Times p Drawn - With Replacement]]&gt;0, IF(Audit[[#This Row],[Canceled Differences]]&lt;0, Audit[[#This Row],[Max Differences]]+ABS(Audit[[#This Row],[Canceled Differences]]), Audit[[#This Row],[Max Differences]]), 0)</f>
        <v>0</v>
      </c>
      <c r="AT460" s="18">
        <f>'Sampling Data'!AB460</f>
        <v>3.4550994126331E-4</v>
      </c>
      <c r="AU460" s="18">
        <f>IF(
      SUM(Audit[[#This Row],[Audit Losing Candidate]:[Audit Candidate 12]])
      &lt;&gt;0,
      (Audit[[#This Row],[Winning Candidate]]-Audit[[#This Row],[Losing Candidate]]-(Audit[[#This Row],[Audit Winning Candidate]]-Audit[[#This Row],[Audit Losing Candidate]]))/(Audit[[#Totals],[Winning Candidate]]-Audit[[#Totals],[Losing Candidate]]),
      0
)</f>
        <v>0</v>
      </c>
      <c r="AV4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8">
        <f>IF(Audit[[#This Row],[Max Relative Error (ep)]] = 0, 0, Audit[[#This Row],[Max Relative Error (ep)]]/Audit[[#This Row],[Error Bound (up) - Max. possible relative overstatement]])</f>
        <v>0</v>
      </c>
      <c r="BH4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0" s="18">
        <f t="shared" si="7"/>
        <v>1</v>
      </c>
      <c r="BJ460" s="18">
        <f>PRODUCT($BI$5:BI460)</f>
        <v>0.32656797278968008</v>
      </c>
      <c r="BK460" s="20">
        <f>1 - Audit[[#This Row],[K-M P Value]]</f>
        <v>0.67343202721031992</v>
      </c>
      <c r="BL460" s="18" t="str">
        <f>IF(Audit[[#This Row],[K-M P Value]]&gt;1-'General Info'!$B$12,"Continue", "Stop")</f>
        <v>Continue</v>
      </c>
      <c r="BM460" s="23" t="b">
        <f>IF(Audit[[#This Row],[Status - Continue or stop audit]] = "Continue", TRUE, IF(BL459 = "Continue", TRUE, FALSE))</f>
        <v>1</v>
      </c>
      <c r="BN460" s="23"/>
    </row>
    <row r="461" spans="1:66" ht="15" hidden="1" customHeight="1" x14ac:dyDescent="0.35">
      <c r="A461" s="18" t="str">
        <f>'Sampling Data'!AI461</f>
        <v/>
      </c>
      <c r="B461" s="18" t="str">
        <f>'Sampling Data'!A461</f>
        <v>7332 GREEN FF   (AV)</v>
      </c>
      <c r="C461" s="18">
        <f>'Sampling Data'!B461</f>
        <v>15</v>
      </c>
      <c r="D461" s="18">
        <f>'Sampling Data'!C461</f>
        <v>0</v>
      </c>
      <c r="E461" s="19">
        <f>'Sampling Data'!D461</f>
        <v>0</v>
      </c>
      <c r="F461" s="19">
        <f>'Sampling Data'!E461</f>
        <v>0</v>
      </c>
      <c r="G461" s="19">
        <f>'Sampling Data'!F461</f>
        <v>0</v>
      </c>
      <c r="H461" s="19">
        <f>'Sampling Data'!G461</f>
        <v>0</v>
      </c>
      <c r="I461" s="19">
        <f>'Sampling Data'!H461</f>
        <v>0</v>
      </c>
      <c r="J461" s="19">
        <f>'Sampling Data'!I461</f>
        <v>0</v>
      </c>
      <c r="K461" s="19">
        <f>'Sampling Data'!J461</f>
        <v>0</v>
      </c>
      <c r="L461" s="19">
        <f>'Sampling Data'!K461</f>
        <v>0</v>
      </c>
      <c r="M461" s="19">
        <f>'Sampling Data'!L461</f>
        <v>0</v>
      </c>
      <c r="N461" s="19">
        <f>'Sampling Data'!M461</f>
        <v>0</v>
      </c>
      <c r="O461" s="18">
        <f>'Sampling Data'!N461</f>
        <v>0</v>
      </c>
      <c r="P461" s="18">
        <f>'Sampling Data'!O461</f>
        <v>0</v>
      </c>
      <c r="Q461" s="18">
        <f>'Sampling Data'!P461</f>
        <v>15</v>
      </c>
      <c r="R461" s="18">
        <f>'Sampling Data'!AJ461</f>
        <v>0</v>
      </c>
      <c r="S461" s="112"/>
      <c r="T461" s="112"/>
      <c r="U461" s="113"/>
      <c r="V461" s="113"/>
      <c r="W461" s="112"/>
      <c r="X461" s="112"/>
      <c r="Y461" s="112"/>
      <c r="Z461" s="112"/>
      <c r="AA461" s="15"/>
      <c r="AB461" s="15"/>
      <c r="AC461" s="15"/>
      <c r="AD461" s="15"/>
      <c r="AE461" s="114" t="str">
        <f>IF(NOT(ISBLANK(Audit[[#This Row],[Audit Winning Candidate]])), Audit[[#This Row],[Audit Winning Candidate]]-Audit[[#This Row],[Winning Candidate]], "")</f>
        <v/>
      </c>
      <c r="AF461" s="18" t="str">
        <f>IF(NOT(ISBLANK(Audit[[#This Row],[Audit Losing Candidate]])), Audit[[#This Row],[Audit Losing Candidate]]-Audit[[#This Row],[Losing Candidate]], "")</f>
        <v/>
      </c>
      <c r="AG461" s="18" t="str">
        <f>IF(NOT(ISBLANK(Audit[[#This Row],[Audit Candidate 3]])), Audit[[#This Row],[Audit Candidate 3]]-Audit[[#This Row],[Candidate 3]], "")</f>
        <v/>
      </c>
      <c r="AH461" s="18" t="str">
        <f>IF(NOT(ISBLANK(Audit[[#This Row],[Audit Candidate 4]])),Audit[[#This Row],[Audit Candidate 4]]-Audit[[#This Row],[Candidate 4]], "")</f>
        <v/>
      </c>
      <c r="AI461" s="18" t="str">
        <f>IF(NOT(ISBLANK(Audit[[#This Row],[Audit Candidate 5]])), Audit[[#This Row],[Audit Candidate 5]]-Audit[[#This Row],[Candidate 5]], "")</f>
        <v/>
      </c>
      <c r="AJ461" s="18" t="str">
        <f>IF(NOT(ISBLANK(Audit[[#This Row],[Audit Candidate 6]])), Audit[[#This Row],[Audit Candidate 6]]-Audit[[#This Row],[Candidate 6]], "")</f>
        <v/>
      </c>
      <c r="AK461" s="18" t="str">
        <f>IF(NOT(ISBLANK(Audit[[#This Row],[Audit Candidate 7]])), Audit[[#This Row],[Audit Candidate 7]]-Audit[[#This Row],[Candidate 7]], "")</f>
        <v/>
      </c>
      <c r="AL461" s="18" t="str">
        <f>IF(NOT(ISBLANK(Audit[[#This Row],[Audit Candidate 8]])), Audit[[#This Row],[Audit Candidate 8]]-Audit[[#This Row],[Candidate 8]], "")</f>
        <v/>
      </c>
      <c r="AM461" s="18" t="str">
        <f>IF(NOT(ISBLANK(Audit[[#This Row],[Audit Candidate 9]])), Audit[[#This Row],[Audit Candidate 9]]-Audit[[#This Row],[Candidate 9]], "")</f>
        <v/>
      </c>
      <c r="AN461" s="18" t="str">
        <f>IF(NOT(ISBLANK(Audit[[#This Row],[Audit Candidate 10]])), Audit[[#This Row],[Audit Candidate 10]]-Audit[[#This Row],[Candidate 10]], "")</f>
        <v/>
      </c>
      <c r="AO461" s="18" t="str">
        <f>IF(NOT(ISBLANK(Audit[[#This Row],[Audit Candidate 11]])), Audit[[#This Row],[Audit Candidate 11]]-Audit[[#This Row],[Candidate 11]], "")</f>
        <v/>
      </c>
      <c r="AP461" s="18" t="str">
        <f>IF(NOT(ISBLANK(Audit[[#This Row],[Audit Candidate 12]])), Audit[[#This Row],[Audit Candidate 12]]-Audit[[#This Row],[Candidate 12]], "")</f>
        <v/>
      </c>
      <c r="AQ461" s="18">
        <f>SUMIF(Audit[[#This Row],[Difference Winner]:[Difference Candidate 12]], "&gt;0")</f>
        <v>0</v>
      </c>
      <c r="AR461" s="18">
        <f>SUM(Audit[[#This Row],[Difference Winner]:[Difference Candidate 12]])</f>
        <v>0</v>
      </c>
      <c r="AS461" s="18">
        <f>IF(Audit[[#This Row],[Times p Drawn - With Replacement]]&gt;0, IF(Audit[[#This Row],[Canceled Differences]]&lt;0, Audit[[#This Row],[Max Differences]]+ABS(Audit[[#This Row],[Canceled Differences]]), Audit[[#This Row],[Max Differences]]), 0)</f>
        <v>0</v>
      </c>
      <c r="AT461" s="18">
        <f>'Sampling Data'!AB461</f>
        <v>9.4229983980902718E-4</v>
      </c>
      <c r="AU461" s="18">
        <f>IF(
      SUM(Audit[[#This Row],[Audit Losing Candidate]:[Audit Candidate 12]])
      &lt;&gt;0,
      (Audit[[#This Row],[Winning Candidate]]-Audit[[#This Row],[Losing Candidate]]-(Audit[[#This Row],[Audit Winning Candidate]]-Audit[[#This Row],[Audit Losing Candidate]]))/(Audit[[#Totals],[Winning Candidate]]-Audit[[#Totals],[Losing Candidate]]),
      0
)</f>
        <v>0</v>
      </c>
      <c r="AV4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8">
        <f>IF(Audit[[#This Row],[Max Relative Error (ep)]] = 0, 0, Audit[[#This Row],[Max Relative Error (ep)]]/Audit[[#This Row],[Error Bound (up) - Max. possible relative overstatement]])</f>
        <v>0</v>
      </c>
      <c r="BH4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1" s="18">
        <f t="shared" si="7"/>
        <v>1</v>
      </c>
      <c r="BJ461" s="18">
        <f>PRODUCT($BI$5:BI461)</f>
        <v>0.32656797278968008</v>
      </c>
      <c r="BK461" s="20">
        <f>1 - Audit[[#This Row],[K-M P Value]]</f>
        <v>0.67343202721031992</v>
      </c>
      <c r="BL461" s="18" t="str">
        <f>IF(Audit[[#This Row],[K-M P Value]]&gt;1-'General Info'!$B$12,"Continue", "Stop")</f>
        <v>Continue</v>
      </c>
      <c r="BM461" s="23" t="b">
        <f>IF(Audit[[#This Row],[Status - Continue or stop audit]] = "Continue", TRUE, IF(BL460 = "Continue", TRUE, FALSE))</f>
        <v>1</v>
      </c>
      <c r="BN461" s="23"/>
    </row>
    <row r="462" spans="1:66" ht="15" hidden="1" customHeight="1" x14ac:dyDescent="0.35">
      <c r="A462" s="18" t="str">
        <f>'Sampling Data'!AI462</f>
        <v/>
      </c>
      <c r="B462" s="18" t="str">
        <f>'Sampling Data'!A462</f>
        <v>7333 GREEN GG   (AV)</v>
      </c>
      <c r="C462" s="18">
        <f>'Sampling Data'!B462</f>
        <v>8</v>
      </c>
      <c r="D462" s="18">
        <f>'Sampling Data'!C462</f>
        <v>0</v>
      </c>
      <c r="E462" s="19">
        <f>'Sampling Data'!D462</f>
        <v>0</v>
      </c>
      <c r="F462" s="19">
        <f>'Sampling Data'!E462</f>
        <v>0</v>
      </c>
      <c r="G462" s="19">
        <f>'Sampling Data'!F462</f>
        <v>0</v>
      </c>
      <c r="H462" s="19">
        <f>'Sampling Data'!G462</f>
        <v>0</v>
      </c>
      <c r="I462" s="19">
        <f>'Sampling Data'!H462</f>
        <v>0</v>
      </c>
      <c r="J462" s="19">
        <f>'Sampling Data'!I462</f>
        <v>0</v>
      </c>
      <c r="K462" s="19">
        <f>'Sampling Data'!J462</f>
        <v>0</v>
      </c>
      <c r="L462" s="19">
        <f>'Sampling Data'!K462</f>
        <v>0</v>
      </c>
      <c r="M462" s="19">
        <f>'Sampling Data'!L462</f>
        <v>0</v>
      </c>
      <c r="N462" s="19">
        <f>'Sampling Data'!M462</f>
        <v>0</v>
      </c>
      <c r="O462" s="18">
        <f>'Sampling Data'!N462</f>
        <v>0</v>
      </c>
      <c r="P462" s="18">
        <f>'Sampling Data'!O462</f>
        <v>0</v>
      </c>
      <c r="Q462" s="18">
        <f>'Sampling Data'!P462</f>
        <v>8</v>
      </c>
      <c r="R462" s="18">
        <f>'Sampling Data'!AJ462</f>
        <v>0</v>
      </c>
      <c r="S462" s="112"/>
      <c r="T462" s="112"/>
      <c r="U462" s="113"/>
      <c r="V462" s="113"/>
      <c r="W462" s="112"/>
      <c r="X462" s="112"/>
      <c r="Y462" s="112"/>
      <c r="Z462" s="112"/>
      <c r="AA462" s="15"/>
      <c r="AB462" s="15"/>
      <c r="AC462" s="15"/>
      <c r="AD462" s="15"/>
      <c r="AE462" s="114" t="str">
        <f>IF(NOT(ISBLANK(Audit[[#This Row],[Audit Winning Candidate]])), Audit[[#This Row],[Audit Winning Candidate]]-Audit[[#This Row],[Winning Candidate]], "")</f>
        <v/>
      </c>
      <c r="AF462" s="18" t="str">
        <f>IF(NOT(ISBLANK(Audit[[#This Row],[Audit Losing Candidate]])), Audit[[#This Row],[Audit Losing Candidate]]-Audit[[#This Row],[Losing Candidate]], "")</f>
        <v/>
      </c>
      <c r="AG462" s="18" t="str">
        <f>IF(NOT(ISBLANK(Audit[[#This Row],[Audit Candidate 3]])), Audit[[#This Row],[Audit Candidate 3]]-Audit[[#This Row],[Candidate 3]], "")</f>
        <v/>
      </c>
      <c r="AH462" s="18" t="str">
        <f>IF(NOT(ISBLANK(Audit[[#This Row],[Audit Candidate 4]])),Audit[[#This Row],[Audit Candidate 4]]-Audit[[#This Row],[Candidate 4]], "")</f>
        <v/>
      </c>
      <c r="AI462" s="18" t="str">
        <f>IF(NOT(ISBLANK(Audit[[#This Row],[Audit Candidate 5]])), Audit[[#This Row],[Audit Candidate 5]]-Audit[[#This Row],[Candidate 5]], "")</f>
        <v/>
      </c>
      <c r="AJ462" s="18" t="str">
        <f>IF(NOT(ISBLANK(Audit[[#This Row],[Audit Candidate 6]])), Audit[[#This Row],[Audit Candidate 6]]-Audit[[#This Row],[Candidate 6]], "")</f>
        <v/>
      </c>
      <c r="AK462" s="18" t="str">
        <f>IF(NOT(ISBLANK(Audit[[#This Row],[Audit Candidate 7]])), Audit[[#This Row],[Audit Candidate 7]]-Audit[[#This Row],[Candidate 7]], "")</f>
        <v/>
      </c>
      <c r="AL462" s="18" t="str">
        <f>IF(NOT(ISBLANK(Audit[[#This Row],[Audit Candidate 8]])), Audit[[#This Row],[Audit Candidate 8]]-Audit[[#This Row],[Candidate 8]], "")</f>
        <v/>
      </c>
      <c r="AM462" s="18" t="str">
        <f>IF(NOT(ISBLANK(Audit[[#This Row],[Audit Candidate 9]])), Audit[[#This Row],[Audit Candidate 9]]-Audit[[#This Row],[Candidate 9]], "")</f>
        <v/>
      </c>
      <c r="AN462" s="18" t="str">
        <f>IF(NOT(ISBLANK(Audit[[#This Row],[Audit Candidate 10]])), Audit[[#This Row],[Audit Candidate 10]]-Audit[[#This Row],[Candidate 10]], "")</f>
        <v/>
      </c>
      <c r="AO462" s="18" t="str">
        <f>IF(NOT(ISBLANK(Audit[[#This Row],[Audit Candidate 11]])), Audit[[#This Row],[Audit Candidate 11]]-Audit[[#This Row],[Candidate 11]], "")</f>
        <v/>
      </c>
      <c r="AP462" s="18" t="str">
        <f>IF(NOT(ISBLANK(Audit[[#This Row],[Audit Candidate 12]])), Audit[[#This Row],[Audit Candidate 12]]-Audit[[#This Row],[Candidate 12]], "")</f>
        <v/>
      </c>
      <c r="AQ462" s="18">
        <f>SUMIF(Audit[[#This Row],[Difference Winner]:[Difference Candidate 12]], "&gt;0")</f>
        <v>0</v>
      </c>
      <c r="AR462" s="18">
        <f>SUM(Audit[[#This Row],[Difference Winner]:[Difference Candidate 12]])</f>
        <v>0</v>
      </c>
      <c r="AS462" s="18">
        <f>IF(Audit[[#This Row],[Times p Drawn - With Replacement]]&gt;0, IF(Audit[[#This Row],[Canceled Differences]]&lt;0, Audit[[#This Row],[Max Differences]]+ABS(Audit[[#This Row],[Canceled Differences]]), Audit[[#This Row],[Max Differences]]), 0)</f>
        <v>0</v>
      </c>
      <c r="AT462" s="18">
        <f>'Sampling Data'!AB462</f>
        <v>5.0255991456481448E-4</v>
      </c>
      <c r="AU462" s="18">
        <f>IF(
      SUM(Audit[[#This Row],[Audit Losing Candidate]:[Audit Candidate 12]])
      &lt;&gt;0,
      (Audit[[#This Row],[Winning Candidate]]-Audit[[#This Row],[Losing Candidate]]-(Audit[[#This Row],[Audit Winning Candidate]]-Audit[[#This Row],[Audit Losing Candidate]]))/(Audit[[#Totals],[Winning Candidate]]-Audit[[#Totals],[Losing Candidate]]),
      0
)</f>
        <v>0</v>
      </c>
      <c r="AV4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8">
        <f>IF(Audit[[#This Row],[Max Relative Error (ep)]] = 0, 0, Audit[[#This Row],[Max Relative Error (ep)]]/Audit[[#This Row],[Error Bound (up) - Max. possible relative overstatement]])</f>
        <v>0</v>
      </c>
      <c r="BH4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2" s="18">
        <f t="shared" si="7"/>
        <v>1</v>
      </c>
      <c r="BJ462" s="18">
        <f>PRODUCT($BI$5:BI462)</f>
        <v>0.32656797278968008</v>
      </c>
      <c r="BK462" s="20">
        <f>1 - Audit[[#This Row],[K-M P Value]]</f>
        <v>0.67343202721031992</v>
      </c>
      <c r="BL462" s="18" t="str">
        <f>IF(Audit[[#This Row],[K-M P Value]]&gt;1-'General Info'!$B$12,"Continue", "Stop")</f>
        <v>Continue</v>
      </c>
      <c r="BM462" s="23" t="b">
        <f>IF(Audit[[#This Row],[Status - Continue or stop audit]] = "Continue", TRUE, IF(BL461 = "Continue", TRUE, FALSE))</f>
        <v>1</v>
      </c>
      <c r="BN462" s="23"/>
    </row>
    <row r="463" spans="1:66" ht="15" hidden="1" customHeight="1" x14ac:dyDescent="0.35">
      <c r="A463" s="18" t="str">
        <f>'Sampling Data'!AI463</f>
        <v/>
      </c>
      <c r="B463" s="18" t="str">
        <f>'Sampling Data'!A463</f>
        <v>7334 GREEN HH   (AV)</v>
      </c>
      <c r="C463" s="18">
        <f>'Sampling Data'!B463</f>
        <v>14</v>
      </c>
      <c r="D463" s="18">
        <f>'Sampling Data'!C463</f>
        <v>1</v>
      </c>
      <c r="E463" s="19">
        <f>'Sampling Data'!D463</f>
        <v>0</v>
      </c>
      <c r="F463" s="19">
        <f>'Sampling Data'!E463</f>
        <v>0</v>
      </c>
      <c r="G463" s="19">
        <f>'Sampling Data'!F463</f>
        <v>0</v>
      </c>
      <c r="H463" s="19">
        <f>'Sampling Data'!G463</f>
        <v>0</v>
      </c>
      <c r="I463" s="19">
        <f>'Sampling Data'!H463</f>
        <v>0</v>
      </c>
      <c r="J463" s="19">
        <f>'Sampling Data'!I463</f>
        <v>0</v>
      </c>
      <c r="K463" s="19">
        <f>'Sampling Data'!J463</f>
        <v>0</v>
      </c>
      <c r="L463" s="19">
        <f>'Sampling Data'!K463</f>
        <v>0</v>
      </c>
      <c r="M463" s="19">
        <f>'Sampling Data'!L463</f>
        <v>0</v>
      </c>
      <c r="N463" s="19">
        <f>'Sampling Data'!M463</f>
        <v>0</v>
      </c>
      <c r="O463" s="18">
        <f>'Sampling Data'!N463</f>
        <v>0</v>
      </c>
      <c r="P463" s="18">
        <f>'Sampling Data'!O463</f>
        <v>0</v>
      </c>
      <c r="Q463" s="18">
        <f>'Sampling Data'!P463</f>
        <v>15</v>
      </c>
      <c r="R463" s="18">
        <f>'Sampling Data'!AJ463</f>
        <v>0</v>
      </c>
      <c r="S463" s="112"/>
      <c r="T463" s="112"/>
      <c r="U463" s="113"/>
      <c r="V463" s="113"/>
      <c r="W463" s="112"/>
      <c r="X463" s="112"/>
      <c r="Y463" s="112"/>
      <c r="Z463" s="112"/>
      <c r="AA463" s="15"/>
      <c r="AB463" s="15"/>
      <c r="AC463" s="15"/>
      <c r="AD463" s="15"/>
      <c r="AE463" s="114" t="str">
        <f>IF(NOT(ISBLANK(Audit[[#This Row],[Audit Winning Candidate]])), Audit[[#This Row],[Audit Winning Candidate]]-Audit[[#This Row],[Winning Candidate]], "")</f>
        <v/>
      </c>
      <c r="AF463" s="18" t="str">
        <f>IF(NOT(ISBLANK(Audit[[#This Row],[Audit Losing Candidate]])), Audit[[#This Row],[Audit Losing Candidate]]-Audit[[#This Row],[Losing Candidate]], "")</f>
        <v/>
      </c>
      <c r="AG463" s="18" t="str">
        <f>IF(NOT(ISBLANK(Audit[[#This Row],[Audit Candidate 3]])), Audit[[#This Row],[Audit Candidate 3]]-Audit[[#This Row],[Candidate 3]], "")</f>
        <v/>
      </c>
      <c r="AH463" s="18" t="str">
        <f>IF(NOT(ISBLANK(Audit[[#This Row],[Audit Candidate 4]])),Audit[[#This Row],[Audit Candidate 4]]-Audit[[#This Row],[Candidate 4]], "")</f>
        <v/>
      </c>
      <c r="AI463" s="18" t="str">
        <f>IF(NOT(ISBLANK(Audit[[#This Row],[Audit Candidate 5]])), Audit[[#This Row],[Audit Candidate 5]]-Audit[[#This Row],[Candidate 5]], "")</f>
        <v/>
      </c>
      <c r="AJ463" s="18" t="str">
        <f>IF(NOT(ISBLANK(Audit[[#This Row],[Audit Candidate 6]])), Audit[[#This Row],[Audit Candidate 6]]-Audit[[#This Row],[Candidate 6]], "")</f>
        <v/>
      </c>
      <c r="AK463" s="18" t="str">
        <f>IF(NOT(ISBLANK(Audit[[#This Row],[Audit Candidate 7]])), Audit[[#This Row],[Audit Candidate 7]]-Audit[[#This Row],[Candidate 7]], "")</f>
        <v/>
      </c>
      <c r="AL463" s="18" t="str">
        <f>IF(NOT(ISBLANK(Audit[[#This Row],[Audit Candidate 8]])), Audit[[#This Row],[Audit Candidate 8]]-Audit[[#This Row],[Candidate 8]], "")</f>
        <v/>
      </c>
      <c r="AM463" s="18" t="str">
        <f>IF(NOT(ISBLANK(Audit[[#This Row],[Audit Candidate 9]])), Audit[[#This Row],[Audit Candidate 9]]-Audit[[#This Row],[Candidate 9]], "")</f>
        <v/>
      </c>
      <c r="AN463" s="18" t="str">
        <f>IF(NOT(ISBLANK(Audit[[#This Row],[Audit Candidate 10]])), Audit[[#This Row],[Audit Candidate 10]]-Audit[[#This Row],[Candidate 10]], "")</f>
        <v/>
      </c>
      <c r="AO463" s="18" t="str">
        <f>IF(NOT(ISBLANK(Audit[[#This Row],[Audit Candidate 11]])), Audit[[#This Row],[Audit Candidate 11]]-Audit[[#This Row],[Candidate 11]], "")</f>
        <v/>
      </c>
      <c r="AP463" s="18" t="str">
        <f>IF(NOT(ISBLANK(Audit[[#This Row],[Audit Candidate 12]])), Audit[[#This Row],[Audit Candidate 12]]-Audit[[#This Row],[Candidate 12]], "")</f>
        <v/>
      </c>
      <c r="AQ463" s="18">
        <f>SUMIF(Audit[[#This Row],[Difference Winner]:[Difference Candidate 12]], "&gt;0")</f>
        <v>0</v>
      </c>
      <c r="AR463" s="18">
        <f>SUM(Audit[[#This Row],[Difference Winner]:[Difference Candidate 12]])</f>
        <v>0</v>
      </c>
      <c r="AS463" s="18">
        <f>IF(Audit[[#This Row],[Times p Drawn - With Replacement]]&gt;0, IF(Audit[[#This Row],[Canceled Differences]]&lt;0, Audit[[#This Row],[Max Differences]]+ABS(Audit[[#This Row],[Canceled Differences]]), Audit[[#This Row],[Max Differences]]), 0)</f>
        <v>0</v>
      </c>
      <c r="AT463" s="18">
        <f>'Sampling Data'!AB463</f>
        <v>8.7947985048842541E-4</v>
      </c>
      <c r="AU463" s="18">
        <f>IF(
      SUM(Audit[[#This Row],[Audit Losing Candidate]:[Audit Candidate 12]])
      &lt;&gt;0,
      (Audit[[#This Row],[Winning Candidate]]-Audit[[#This Row],[Losing Candidate]]-(Audit[[#This Row],[Audit Winning Candidate]]-Audit[[#This Row],[Audit Losing Candidate]]))/(Audit[[#Totals],[Winning Candidate]]-Audit[[#Totals],[Losing Candidate]]),
      0
)</f>
        <v>0</v>
      </c>
      <c r="AV4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8">
        <f>IF(Audit[[#This Row],[Max Relative Error (ep)]] = 0, 0, Audit[[#This Row],[Max Relative Error (ep)]]/Audit[[#This Row],[Error Bound (up) - Max. possible relative overstatement]])</f>
        <v>0</v>
      </c>
      <c r="BH4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3" s="18">
        <f t="shared" ref="BI463:BI526" si="8">IF(ISERR(POWER(BH463,R463)), 0, POWER(BH463,R463))</f>
        <v>1</v>
      </c>
      <c r="BJ463" s="18">
        <f>PRODUCT($BI$5:BI463)</f>
        <v>0.32656797278968008</v>
      </c>
      <c r="BK463" s="20">
        <f>1 - Audit[[#This Row],[K-M P Value]]</f>
        <v>0.67343202721031992</v>
      </c>
      <c r="BL463" s="18" t="str">
        <f>IF(Audit[[#This Row],[K-M P Value]]&gt;1-'General Info'!$B$12,"Continue", "Stop")</f>
        <v>Continue</v>
      </c>
      <c r="BM463" s="23" t="b">
        <f>IF(Audit[[#This Row],[Status - Continue or stop audit]] = "Continue", TRUE, IF(BL462 = "Continue", TRUE, FALSE))</f>
        <v>1</v>
      </c>
      <c r="BN463" s="23"/>
    </row>
    <row r="464" spans="1:66" ht="15" hidden="1" customHeight="1" x14ac:dyDescent="0.35">
      <c r="A464" s="18" t="str">
        <f>'Sampling Data'!AI464</f>
        <v/>
      </c>
      <c r="B464" s="18" t="str">
        <f>'Sampling Data'!A464</f>
        <v>7335 GREEN II   (AV)</v>
      </c>
      <c r="C464" s="18">
        <f>'Sampling Data'!B464</f>
        <v>5</v>
      </c>
      <c r="D464" s="18">
        <f>'Sampling Data'!C464</f>
        <v>1</v>
      </c>
      <c r="E464" s="19">
        <f>'Sampling Data'!D464</f>
        <v>0</v>
      </c>
      <c r="F464" s="19">
        <f>'Sampling Data'!E464</f>
        <v>0</v>
      </c>
      <c r="G464" s="19">
        <f>'Sampling Data'!F464</f>
        <v>0</v>
      </c>
      <c r="H464" s="19">
        <f>'Sampling Data'!G464</f>
        <v>0</v>
      </c>
      <c r="I464" s="19">
        <f>'Sampling Data'!H464</f>
        <v>0</v>
      </c>
      <c r="J464" s="19">
        <f>'Sampling Data'!I464</f>
        <v>0</v>
      </c>
      <c r="K464" s="19">
        <f>'Sampling Data'!J464</f>
        <v>0</v>
      </c>
      <c r="L464" s="19">
        <f>'Sampling Data'!K464</f>
        <v>0</v>
      </c>
      <c r="M464" s="19">
        <f>'Sampling Data'!L464</f>
        <v>0</v>
      </c>
      <c r="N464" s="19">
        <f>'Sampling Data'!M464</f>
        <v>0</v>
      </c>
      <c r="O464" s="18">
        <f>'Sampling Data'!N464</f>
        <v>0</v>
      </c>
      <c r="P464" s="18">
        <f>'Sampling Data'!O464</f>
        <v>0</v>
      </c>
      <c r="Q464" s="18">
        <f>'Sampling Data'!P464</f>
        <v>6</v>
      </c>
      <c r="R464" s="18">
        <f>'Sampling Data'!AJ464</f>
        <v>0</v>
      </c>
      <c r="S464" s="112"/>
      <c r="T464" s="112"/>
      <c r="U464" s="113"/>
      <c r="V464" s="113"/>
      <c r="W464" s="112"/>
      <c r="X464" s="112"/>
      <c r="Y464" s="112"/>
      <c r="Z464" s="112"/>
      <c r="AA464" s="15"/>
      <c r="AB464" s="15"/>
      <c r="AC464" s="15"/>
      <c r="AD464" s="15"/>
      <c r="AE464" s="114" t="str">
        <f>IF(NOT(ISBLANK(Audit[[#This Row],[Audit Winning Candidate]])), Audit[[#This Row],[Audit Winning Candidate]]-Audit[[#This Row],[Winning Candidate]], "")</f>
        <v/>
      </c>
      <c r="AF464" s="18" t="str">
        <f>IF(NOT(ISBLANK(Audit[[#This Row],[Audit Losing Candidate]])), Audit[[#This Row],[Audit Losing Candidate]]-Audit[[#This Row],[Losing Candidate]], "")</f>
        <v/>
      </c>
      <c r="AG464" s="18" t="str">
        <f>IF(NOT(ISBLANK(Audit[[#This Row],[Audit Candidate 3]])), Audit[[#This Row],[Audit Candidate 3]]-Audit[[#This Row],[Candidate 3]], "")</f>
        <v/>
      </c>
      <c r="AH464" s="18" t="str">
        <f>IF(NOT(ISBLANK(Audit[[#This Row],[Audit Candidate 4]])),Audit[[#This Row],[Audit Candidate 4]]-Audit[[#This Row],[Candidate 4]], "")</f>
        <v/>
      </c>
      <c r="AI464" s="18" t="str">
        <f>IF(NOT(ISBLANK(Audit[[#This Row],[Audit Candidate 5]])), Audit[[#This Row],[Audit Candidate 5]]-Audit[[#This Row],[Candidate 5]], "")</f>
        <v/>
      </c>
      <c r="AJ464" s="18" t="str">
        <f>IF(NOT(ISBLANK(Audit[[#This Row],[Audit Candidate 6]])), Audit[[#This Row],[Audit Candidate 6]]-Audit[[#This Row],[Candidate 6]], "")</f>
        <v/>
      </c>
      <c r="AK464" s="18" t="str">
        <f>IF(NOT(ISBLANK(Audit[[#This Row],[Audit Candidate 7]])), Audit[[#This Row],[Audit Candidate 7]]-Audit[[#This Row],[Candidate 7]], "")</f>
        <v/>
      </c>
      <c r="AL464" s="18" t="str">
        <f>IF(NOT(ISBLANK(Audit[[#This Row],[Audit Candidate 8]])), Audit[[#This Row],[Audit Candidate 8]]-Audit[[#This Row],[Candidate 8]], "")</f>
        <v/>
      </c>
      <c r="AM464" s="18" t="str">
        <f>IF(NOT(ISBLANK(Audit[[#This Row],[Audit Candidate 9]])), Audit[[#This Row],[Audit Candidate 9]]-Audit[[#This Row],[Candidate 9]], "")</f>
        <v/>
      </c>
      <c r="AN464" s="18" t="str">
        <f>IF(NOT(ISBLANK(Audit[[#This Row],[Audit Candidate 10]])), Audit[[#This Row],[Audit Candidate 10]]-Audit[[#This Row],[Candidate 10]], "")</f>
        <v/>
      </c>
      <c r="AO464" s="18" t="str">
        <f>IF(NOT(ISBLANK(Audit[[#This Row],[Audit Candidate 11]])), Audit[[#This Row],[Audit Candidate 11]]-Audit[[#This Row],[Candidate 11]], "")</f>
        <v/>
      </c>
      <c r="AP464" s="18" t="str">
        <f>IF(NOT(ISBLANK(Audit[[#This Row],[Audit Candidate 12]])), Audit[[#This Row],[Audit Candidate 12]]-Audit[[#This Row],[Candidate 12]], "")</f>
        <v/>
      </c>
      <c r="AQ464" s="18">
        <f>SUMIF(Audit[[#This Row],[Difference Winner]:[Difference Candidate 12]], "&gt;0")</f>
        <v>0</v>
      </c>
      <c r="AR464" s="18">
        <f>SUM(Audit[[#This Row],[Difference Winner]:[Difference Candidate 12]])</f>
        <v>0</v>
      </c>
      <c r="AS464" s="18">
        <f>IF(Audit[[#This Row],[Times p Drawn - With Replacement]]&gt;0, IF(Audit[[#This Row],[Canceled Differences]]&lt;0, Audit[[#This Row],[Max Differences]]+ABS(Audit[[#This Row],[Canceled Differences]]), Audit[[#This Row],[Max Differences]]), 0)</f>
        <v>0</v>
      </c>
      <c r="AT464" s="18">
        <f>'Sampling Data'!AB464</f>
        <v>3.1409994660300906E-4</v>
      </c>
      <c r="AU464" s="18">
        <f>IF(
      SUM(Audit[[#This Row],[Audit Losing Candidate]:[Audit Candidate 12]])
      &lt;&gt;0,
      (Audit[[#This Row],[Winning Candidate]]-Audit[[#This Row],[Losing Candidate]]-(Audit[[#This Row],[Audit Winning Candidate]]-Audit[[#This Row],[Audit Losing Candidate]]))/(Audit[[#Totals],[Winning Candidate]]-Audit[[#Totals],[Losing Candidate]]),
      0
)</f>
        <v>0</v>
      </c>
      <c r="AV4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8">
        <f>IF(Audit[[#This Row],[Max Relative Error (ep)]] = 0, 0, Audit[[#This Row],[Max Relative Error (ep)]]/Audit[[#This Row],[Error Bound (up) - Max. possible relative overstatement]])</f>
        <v>0</v>
      </c>
      <c r="BH4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4" s="18">
        <f t="shared" si="8"/>
        <v>1</v>
      </c>
      <c r="BJ464" s="18">
        <f>PRODUCT($BI$5:BI464)</f>
        <v>0.32656797278968008</v>
      </c>
      <c r="BK464" s="20">
        <f>1 - Audit[[#This Row],[K-M P Value]]</f>
        <v>0.67343202721031992</v>
      </c>
      <c r="BL464" s="18" t="str">
        <f>IF(Audit[[#This Row],[K-M P Value]]&gt;1-'General Info'!$B$12,"Continue", "Stop")</f>
        <v>Continue</v>
      </c>
      <c r="BM464" s="23" t="b">
        <f>IF(Audit[[#This Row],[Status - Continue or stop audit]] = "Continue", TRUE, IF(BL463 = "Continue", TRUE, FALSE))</f>
        <v>1</v>
      </c>
      <c r="BN464" s="23"/>
    </row>
    <row r="465" spans="1:66" ht="15" hidden="1" customHeight="1" x14ac:dyDescent="0.35">
      <c r="A465" s="18" t="str">
        <f>'Sampling Data'!AI465</f>
        <v/>
      </c>
      <c r="B465" s="18" t="str">
        <f>'Sampling Data'!A465</f>
        <v>7336 GREEN JJ   (AV)</v>
      </c>
      <c r="C465" s="18">
        <f>'Sampling Data'!B465</f>
        <v>13</v>
      </c>
      <c r="D465" s="18">
        <f>'Sampling Data'!C465</f>
        <v>0</v>
      </c>
      <c r="E465" s="19">
        <f>'Sampling Data'!D465</f>
        <v>0</v>
      </c>
      <c r="F465" s="19">
        <f>'Sampling Data'!E465</f>
        <v>0</v>
      </c>
      <c r="G465" s="19">
        <f>'Sampling Data'!F465</f>
        <v>0</v>
      </c>
      <c r="H465" s="19">
        <f>'Sampling Data'!G465</f>
        <v>0</v>
      </c>
      <c r="I465" s="19">
        <f>'Sampling Data'!H465</f>
        <v>0</v>
      </c>
      <c r="J465" s="19">
        <f>'Sampling Data'!I465</f>
        <v>0</v>
      </c>
      <c r="K465" s="19">
        <f>'Sampling Data'!J465</f>
        <v>0</v>
      </c>
      <c r="L465" s="19">
        <f>'Sampling Data'!K465</f>
        <v>0</v>
      </c>
      <c r="M465" s="19">
        <f>'Sampling Data'!L465</f>
        <v>0</v>
      </c>
      <c r="N465" s="19">
        <f>'Sampling Data'!M465</f>
        <v>0</v>
      </c>
      <c r="O465" s="18">
        <f>'Sampling Data'!N465</f>
        <v>0</v>
      </c>
      <c r="P465" s="18">
        <f>'Sampling Data'!O465</f>
        <v>0</v>
      </c>
      <c r="Q465" s="18">
        <f>'Sampling Data'!P465</f>
        <v>13</v>
      </c>
      <c r="R465" s="18">
        <f>'Sampling Data'!AJ465</f>
        <v>0</v>
      </c>
      <c r="S465" s="112"/>
      <c r="T465" s="112"/>
      <c r="U465" s="113"/>
      <c r="V465" s="113"/>
      <c r="W465" s="112"/>
      <c r="X465" s="112"/>
      <c r="Y465" s="112"/>
      <c r="Z465" s="112"/>
      <c r="AA465" s="15"/>
      <c r="AB465" s="15"/>
      <c r="AC465" s="15"/>
      <c r="AD465" s="15"/>
      <c r="AE465" s="114" t="str">
        <f>IF(NOT(ISBLANK(Audit[[#This Row],[Audit Winning Candidate]])), Audit[[#This Row],[Audit Winning Candidate]]-Audit[[#This Row],[Winning Candidate]], "")</f>
        <v/>
      </c>
      <c r="AF465" s="18" t="str">
        <f>IF(NOT(ISBLANK(Audit[[#This Row],[Audit Losing Candidate]])), Audit[[#This Row],[Audit Losing Candidate]]-Audit[[#This Row],[Losing Candidate]], "")</f>
        <v/>
      </c>
      <c r="AG465" s="18" t="str">
        <f>IF(NOT(ISBLANK(Audit[[#This Row],[Audit Candidate 3]])), Audit[[#This Row],[Audit Candidate 3]]-Audit[[#This Row],[Candidate 3]], "")</f>
        <v/>
      </c>
      <c r="AH465" s="18" t="str">
        <f>IF(NOT(ISBLANK(Audit[[#This Row],[Audit Candidate 4]])),Audit[[#This Row],[Audit Candidate 4]]-Audit[[#This Row],[Candidate 4]], "")</f>
        <v/>
      </c>
      <c r="AI465" s="18" t="str">
        <f>IF(NOT(ISBLANK(Audit[[#This Row],[Audit Candidate 5]])), Audit[[#This Row],[Audit Candidate 5]]-Audit[[#This Row],[Candidate 5]], "")</f>
        <v/>
      </c>
      <c r="AJ465" s="18" t="str">
        <f>IF(NOT(ISBLANK(Audit[[#This Row],[Audit Candidate 6]])), Audit[[#This Row],[Audit Candidate 6]]-Audit[[#This Row],[Candidate 6]], "")</f>
        <v/>
      </c>
      <c r="AK465" s="18" t="str">
        <f>IF(NOT(ISBLANK(Audit[[#This Row],[Audit Candidate 7]])), Audit[[#This Row],[Audit Candidate 7]]-Audit[[#This Row],[Candidate 7]], "")</f>
        <v/>
      </c>
      <c r="AL465" s="18" t="str">
        <f>IF(NOT(ISBLANK(Audit[[#This Row],[Audit Candidate 8]])), Audit[[#This Row],[Audit Candidate 8]]-Audit[[#This Row],[Candidate 8]], "")</f>
        <v/>
      </c>
      <c r="AM465" s="18" t="str">
        <f>IF(NOT(ISBLANK(Audit[[#This Row],[Audit Candidate 9]])), Audit[[#This Row],[Audit Candidate 9]]-Audit[[#This Row],[Candidate 9]], "")</f>
        <v/>
      </c>
      <c r="AN465" s="18" t="str">
        <f>IF(NOT(ISBLANK(Audit[[#This Row],[Audit Candidate 10]])), Audit[[#This Row],[Audit Candidate 10]]-Audit[[#This Row],[Candidate 10]], "")</f>
        <v/>
      </c>
      <c r="AO465" s="18" t="str">
        <f>IF(NOT(ISBLANK(Audit[[#This Row],[Audit Candidate 11]])), Audit[[#This Row],[Audit Candidate 11]]-Audit[[#This Row],[Candidate 11]], "")</f>
        <v/>
      </c>
      <c r="AP465" s="18" t="str">
        <f>IF(NOT(ISBLANK(Audit[[#This Row],[Audit Candidate 12]])), Audit[[#This Row],[Audit Candidate 12]]-Audit[[#This Row],[Candidate 12]], "")</f>
        <v/>
      </c>
      <c r="AQ465" s="18">
        <f>SUMIF(Audit[[#This Row],[Difference Winner]:[Difference Candidate 12]], "&gt;0")</f>
        <v>0</v>
      </c>
      <c r="AR465" s="18">
        <f>SUM(Audit[[#This Row],[Difference Winner]:[Difference Candidate 12]])</f>
        <v>0</v>
      </c>
      <c r="AS465" s="18">
        <f>IF(Audit[[#This Row],[Times p Drawn - With Replacement]]&gt;0, IF(Audit[[#This Row],[Canceled Differences]]&lt;0, Audit[[#This Row],[Max Differences]]+ABS(Audit[[#This Row],[Canceled Differences]]), Audit[[#This Row],[Max Differences]]), 0)</f>
        <v>0</v>
      </c>
      <c r="AT465" s="18">
        <f>'Sampling Data'!AB465</f>
        <v>8.1665986116782364E-4</v>
      </c>
      <c r="AU465" s="18">
        <f>IF(
      SUM(Audit[[#This Row],[Audit Losing Candidate]:[Audit Candidate 12]])
      &lt;&gt;0,
      (Audit[[#This Row],[Winning Candidate]]-Audit[[#This Row],[Losing Candidate]]-(Audit[[#This Row],[Audit Winning Candidate]]-Audit[[#This Row],[Audit Losing Candidate]]))/(Audit[[#Totals],[Winning Candidate]]-Audit[[#Totals],[Losing Candidate]]),
      0
)</f>
        <v>0</v>
      </c>
      <c r="AV4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8">
        <f>IF(Audit[[#This Row],[Max Relative Error (ep)]] = 0, 0, Audit[[#This Row],[Max Relative Error (ep)]]/Audit[[#This Row],[Error Bound (up) - Max. possible relative overstatement]])</f>
        <v>0</v>
      </c>
      <c r="BH4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5" s="18">
        <f t="shared" si="8"/>
        <v>1</v>
      </c>
      <c r="BJ465" s="18">
        <f>PRODUCT($BI$5:BI465)</f>
        <v>0.32656797278968008</v>
      </c>
      <c r="BK465" s="20">
        <f>1 - Audit[[#This Row],[K-M P Value]]</f>
        <v>0.67343202721031992</v>
      </c>
      <c r="BL465" s="18" t="str">
        <f>IF(Audit[[#This Row],[K-M P Value]]&gt;1-'General Info'!$B$12,"Continue", "Stop")</f>
        <v>Continue</v>
      </c>
      <c r="BM465" s="23" t="b">
        <f>IF(Audit[[#This Row],[Status - Continue or stop audit]] = "Continue", TRUE, IF(BL464 = "Continue", TRUE, FALSE))</f>
        <v>1</v>
      </c>
      <c r="BN465" s="23"/>
    </row>
    <row r="466" spans="1:66" ht="15" hidden="1" customHeight="1" x14ac:dyDescent="0.35">
      <c r="A466" s="18" t="str">
        <f>'Sampling Data'!AI466</f>
        <v/>
      </c>
      <c r="B466" s="18" t="str">
        <f>'Sampling Data'!A466</f>
        <v>7337 GREEN KK   (AV)</v>
      </c>
      <c r="C466" s="18">
        <f>'Sampling Data'!B466</f>
        <v>6</v>
      </c>
      <c r="D466" s="18">
        <f>'Sampling Data'!C466</f>
        <v>1</v>
      </c>
      <c r="E466" s="19">
        <f>'Sampling Data'!D466</f>
        <v>0</v>
      </c>
      <c r="F466" s="19">
        <f>'Sampling Data'!E466</f>
        <v>0</v>
      </c>
      <c r="G466" s="19">
        <f>'Sampling Data'!F466</f>
        <v>0</v>
      </c>
      <c r="H466" s="19">
        <f>'Sampling Data'!G466</f>
        <v>0</v>
      </c>
      <c r="I466" s="19">
        <f>'Sampling Data'!H466</f>
        <v>0</v>
      </c>
      <c r="J466" s="19">
        <f>'Sampling Data'!I466</f>
        <v>0</v>
      </c>
      <c r="K466" s="19">
        <f>'Sampling Data'!J466</f>
        <v>0</v>
      </c>
      <c r="L466" s="19">
        <f>'Sampling Data'!K466</f>
        <v>0</v>
      </c>
      <c r="M466" s="19">
        <f>'Sampling Data'!L466</f>
        <v>0</v>
      </c>
      <c r="N466" s="19">
        <f>'Sampling Data'!M466</f>
        <v>0</v>
      </c>
      <c r="O466" s="18">
        <f>'Sampling Data'!N466</f>
        <v>0</v>
      </c>
      <c r="P466" s="18">
        <f>'Sampling Data'!O466</f>
        <v>0</v>
      </c>
      <c r="Q466" s="18">
        <f>'Sampling Data'!P466</f>
        <v>7</v>
      </c>
      <c r="R466" s="18">
        <f>'Sampling Data'!AJ466</f>
        <v>0</v>
      </c>
      <c r="S466" s="112"/>
      <c r="T466" s="112"/>
      <c r="U466" s="113"/>
      <c r="V466" s="113"/>
      <c r="W466" s="112"/>
      <c r="X466" s="112"/>
      <c r="Y466" s="112"/>
      <c r="Z466" s="112"/>
      <c r="AA466" s="15"/>
      <c r="AB466" s="15"/>
      <c r="AC466" s="15"/>
      <c r="AD466" s="15"/>
      <c r="AE466" s="114" t="str">
        <f>IF(NOT(ISBLANK(Audit[[#This Row],[Audit Winning Candidate]])), Audit[[#This Row],[Audit Winning Candidate]]-Audit[[#This Row],[Winning Candidate]], "")</f>
        <v/>
      </c>
      <c r="AF466" s="18" t="str">
        <f>IF(NOT(ISBLANK(Audit[[#This Row],[Audit Losing Candidate]])), Audit[[#This Row],[Audit Losing Candidate]]-Audit[[#This Row],[Losing Candidate]], "")</f>
        <v/>
      </c>
      <c r="AG466" s="18" t="str">
        <f>IF(NOT(ISBLANK(Audit[[#This Row],[Audit Candidate 3]])), Audit[[#This Row],[Audit Candidate 3]]-Audit[[#This Row],[Candidate 3]], "")</f>
        <v/>
      </c>
      <c r="AH466" s="18" t="str">
        <f>IF(NOT(ISBLANK(Audit[[#This Row],[Audit Candidate 4]])),Audit[[#This Row],[Audit Candidate 4]]-Audit[[#This Row],[Candidate 4]], "")</f>
        <v/>
      </c>
      <c r="AI466" s="18" t="str">
        <f>IF(NOT(ISBLANK(Audit[[#This Row],[Audit Candidate 5]])), Audit[[#This Row],[Audit Candidate 5]]-Audit[[#This Row],[Candidate 5]], "")</f>
        <v/>
      </c>
      <c r="AJ466" s="18" t="str">
        <f>IF(NOT(ISBLANK(Audit[[#This Row],[Audit Candidate 6]])), Audit[[#This Row],[Audit Candidate 6]]-Audit[[#This Row],[Candidate 6]], "")</f>
        <v/>
      </c>
      <c r="AK466" s="18" t="str">
        <f>IF(NOT(ISBLANK(Audit[[#This Row],[Audit Candidate 7]])), Audit[[#This Row],[Audit Candidate 7]]-Audit[[#This Row],[Candidate 7]], "")</f>
        <v/>
      </c>
      <c r="AL466" s="18" t="str">
        <f>IF(NOT(ISBLANK(Audit[[#This Row],[Audit Candidate 8]])), Audit[[#This Row],[Audit Candidate 8]]-Audit[[#This Row],[Candidate 8]], "")</f>
        <v/>
      </c>
      <c r="AM466" s="18" t="str">
        <f>IF(NOT(ISBLANK(Audit[[#This Row],[Audit Candidate 9]])), Audit[[#This Row],[Audit Candidate 9]]-Audit[[#This Row],[Candidate 9]], "")</f>
        <v/>
      </c>
      <c r="AN466" s="18" t="str">
        <f>IF(NOT(ISBLANK(Audit[[#This Row],[Audit Candidate 10]])), Audit[[#This Row],[Audit Candidate 10]]-Audit[[#This Row],[Candidate 10]], "")</f>
        <v/>
      </c>
      <c r="AO466" s="18" t="str">
        <f>IF(NOT(ISBLANK(Audit[[#This Row],[Audit Candidate 11]])), Audit[[#This Row],[Audit Candidate 11]]-Audit[[#This Row],[Candidate 11]], "")</f>
        <v/>
      </c>
      <c r="AP466" s="18" t="str">
        <f>IF(NOT(ISBLANK(Audit[[#This Row],[Audit Candidate 12]])), Audit[[#This Row],[Audit Candidate 12]]-Audit[[#This Row],[Candidate 12]], "")</f>
        <v/>
      </c>
      <c r="AQ466" s="18">
        <f>SUMIF(Audit[[#This Row],[Difference Winner]:[Difference Candidate 12]], "&gt;0")</f>
        <v>0</v>
      </c>
      <c r="AR466" s="18">
        <f>SUM(Audit[[#This Row],[Difference Winner]:[Difference Candidate 12]])</f>
        <v>0</v>
      </c>
      <c r="AS466" s="18">
        <f>IF(Audit[[#This Row],[Times p Drawn - With Replacement]]&gt;0, IF(Audit[[#This Row],[Canceled Differences]]&lt;0, Audit[[#This Row],[Max Differences]]+ABS(Audit[[#This Row],[Canceled Differences]]), Audit[[#This Row],[Max Differences]]), 0)</f>
        <v>0</v>
      </c>
      <c r="AT466" s="18">
        <f>'Sampling Data'!AB466</f>
        <v>3.7691993592361088E-4</v>
      </c>
      <c r="AU466" s="18">
        <f>IF(
      SUM(Audit[[#This Row],[Audit Losing Candidate]:[Audit Candidate 12]])
      &lt;&gt;0,
      (Audit[[#This Row],[Winning Candidate]]-Audit[[#This Row],[Losing Candidate]]-(Audit[[#This Row],[Audit Winning Candidate]]-Audit[[#This Row],[Audit Losing Candidate]]))/(Audit[[#Totals],[Winning Candidate]]-Audit[[#Totals],[Losing Candidate]]),
      0
)</f>
        <v>0</v>
      </c>
      <c r="AV4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8">
        <f>IF(Audit[[#This Row],[Max Relative Error (ep)]] = 0, 0, Audit[[#This Row],[Max Relative Error (ep)]]/Audit[[#This Row],[Error Bound (up) - Max. possible relative overstatement]])</f>
        <v>0</v>
      </c>
      <c r="BH4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6" s="18">
        <f t="shared" si="8"/>
        <v>1</v>
      </c>
      <c r="BJ466" s="18">
        <f>PRODUCT($BI$5:BI466)</f>
        <v>0.32656797278968008</v>
      </c>
      <c r="BK466" s="20">
        <f>1 - Audit[[#This Row],[K-M P Value]]</f>
        <v>0.67343202721031992</v>
      </c>
      <c r="BL466" s="18" t="str">
        <f>IF(Audit[[#This Row],[K-M P Value]]&gt;1-'General Info'!$B$12,"Continue", "Stop")</f>
        <v>Continue</v>
      </c>
      <c r="BM466" s="23" t="b">
        <f>IF(Audit[[#This Row],[Status - Continue or stop audit]] = "Continue", TRUE, IF(BL465 = "Continue", TRUE, FALSE))</f>
        <v>1</v>
      </c>
      <c r="BN466" s="23"/>
    </row>
    <row r="467" spans="1:66" ht="15" hidden="1" customHeight="1" x14ac:dyDescent="0.35">
      <c r="A467" s="18" t="str">
        <f>'Sampling Data'!AI467</f>
        <v/>
      </c>
      <c r="B467" s="18" t="str">
        <f>'Sampling Data'!A467</f>
        <v>7338 GREEN LL   (AV)</v>
      </c>
      <c r="C467" s="18">
        <f>'Sampling Data'!B467</f>
        <v>10</v>
      </c>
      <c r="D467" s="18">
        <f>'Sampling Data'!C467</f>
        <v>0</v>
      </c>
      <c r="E467" s="19">
        <f>'Sampling Data'!D467</f>
        <v>0</v>
      </c>
      <c r="F467" s="19">
        <f>'Sampling Data'!E467</f>
        <v>0</v>
      </c>
      <c r="G467" s="19">
        <f>'Sampling Data'!F467</f>
        <v>0</v>
      </c>
      <c r="H467" s="19">
        <f>'Sampling Data'!G467</f>
        <v>0</v>
      </c>
      <c r="I467" s="19">
        <f>'Sampling Data'!H467</f>
        <v>0</v>
      </c>
      <c r="J467" s="19">
        <f>'Sampling Data'!I467</f>
        <v>0</v>
      </c>
      <c r="K467" s="19">
        <f>'Sampling Data'!J467</f>
        <v>0</v>
      </c>
      <c r="L467" s="19">
        <f>'Sampling Data'!K467</f>
        <v>0</v>
      </c>
      <c r="M467" s="19">
        <f>'Sampling Data'!L467</f>
        <v>0</v>
      </c>
      <c r="N467" s="19">
        <f>'Sampling Data'!M467</f>
        <v>0</v>
      </c>
      <c r="O467" s="18">
        <f>'Sampling Data'!N467</f>
        <v>0</v>
      </c>
      <c r="P467" s="18">
        <f>'Sampling Data'!O467</f>
        <v>1</v>
      </c>
      <c r="Q467" s="18">
        <f>'Sampling Data'!P467</f>
        <v>11</v>
      </c>
      <c r="R467" s="18">
        <f>'Sampling Data'!AJ467</f>
        <v>0</v>
      </c>
      <c r="S467" s="112"/>
      <c r="T467" s="112"/>
      <c r="U467" s="113"/>
      <c r="V467" s="113"/>
      <c r="W467" s="112"/>
      <c r="X467" s="112"/>
      <c r="Y467" s="112"/>
      <c r="Z467" s="112"/>
      <c r="AA467" s="15"/>
      <c r="AB467" s="15"/>
      <c r="AC467" s="15"/>
      <c r="AD467" s="15"/>
      <c r="AE467" s="114" t="str">
        <f>IF(NOT(ISBLANK(Audit[[#This Row],[Audit Winning Candidate]])), Audit[[#This Row],[Audit Winning Candidate]]-Audit[[#This Row],[Winning Candidate]], "")</f>
        <v/>
      </c>
      <c r="AF467" s="18" t="str">
        <f>IF(NOT(ISBLANK(Audit[[#This Row],[Audit Losing Candidate]])), Audit[[#This Row],[Audit Losing Candidate]]-Audit[[#This Row],[Losing Candidate]], "")</f>
        <v/>
      </c>
      <c r="AG467" s="18" t="str">
        <f>IF(NOT(ISBLANK(Audit[[#This Row],[Audit Candidate 3]])), Audit[[#This Row],[Audit Candidate 3]]-Audit[[#This Row],[Candidate 3]], "")</f>
        <v/>
      </c>
      <c r="AH467" s="18" t="str">
        <f>IF(NOT(ISBLANK(Audit[[#This Row],[Audit Candidate 4]])),Audit[[#This Row],[Audit Candidate 4]]-Audit[[#This Row],[Candidate 4]], "")</f>
        <v/>
      </c>
      <c r="AI467" s="18" t="str">
        <f>IF(NOT(ISBLANK(Audit[[#This Row],[Audit Candidate 5]])), Audit[[#This Row],[Audit Candidate 5]]-Audit[[#This Row],[Candidate 5]], "")</f>
        <v/>
      </c>
      <c r="AJ467" s="18" t="str">
        <f>IF(NOT(ISBLANK(Audit[[#This Row],[Audit Candidate 6]])), Audit[[#This Row],[Audit Candidate 6]]-Audit[[#This Row],[Candidate 6]], "")</f>
        <v/>
      </c>
      <c r="AK467" s="18" t="str">
        <f>IF(NOT(ISBLANK(Audit[[#This Row],[Audit Candidate 7]])), Audit[[#This Row],[Audit Candidate 7]]-Audit[[#This Row],[Candidate 7]], "")</f>
        <v/>
      </c>
      <c r="AL467" s="18" t="str">
        <f>IF(NOT(ISBLANK(Audit[[#This Row],[Audit Candidate 8]])), Audit[[#This Row],[Audit Candidate 8]]-Audit[[#This Row],[Candidate 8]], "")</f>
        <v/>
      </c>
      <c r="AM467" s="18" t="str">
        <f>IF(NOT(ISBLANK(Audit[[#This Row],[Audit Candidate 9]])), Audit[[#This Row],[Audit Candidate 9]]-Audit[[#This Row],[Candidate 9]], "")</f>
        <v/>
      </c>
      <c r="AN467" s="18" t="str">
        <f>IF(NOT(ISBLANK(Audit[[#This Row],[Audit Candidate 10]])), Audit[[#This Row],[Audit Candidate 10]]-Audit[[#This Row],[Candidate 10]], "")</f>
        <v/>
      </c>
      <c r="AO467" s="18" t="str">
        <f>IF(NOT(ISBLANK(Audit[[#This Row],[Audit Candidate 11]])), Audit[[#This Row],[Audit Candidate 11]]-Audit[[#This Row],[Candidate 11]], "")</f>
        <v/>
      </c>
      <c r="AP467" s="18" t="str">
        <f>IF(NOT(ISBLANK(Audit[[#This Row],[Audit Candidate 12]])), Audit[[#This Row],[Audit Candidate 12]]-Audit[[#This Row],[Candidate 12]], "")</f>
        <v/>
      </c>
      <c r="AQ467" s="18">
        <f>SUMIF(Audit[[#This Row],[Difference Winner]:[Difference Candidate 12]], "&gt;0")</f>
        <v>0</v>
      </c>
      <c r="AR467" s="18">
        <f>SUM(Audit[[#This Row],[Difference Winner]:[Difference Candidate 12]])</f>
        <v>0</v>
      </c>
      <c r="AS467" s="18">
        <f>IF(Audit[[#This Row],[Times p Drawn - With Replacement]]&gt;0, IF(Audit[[#This Row],[Canceled Differences]]&lt;0, Audit[[#This Row],[Max Differences]]+ABS(Audit[[#This Row],[Canceled Differences]]), Audit[[#This Row],[Max Differences]]), 0)</f>
        <v>0</v>
      </c>
      <c r="AT467" s="18">
        <f>'Sampling Data'!AB467</f>
        <v>6.5960988786631911E-4</v>
      </c>
      <c r="AU467" s="18">
        <f>IF(
      SUM(Audit[[#This Row],[Audit Losing Candidate]:[Audit Candidate 12]])
      &lt;&gt;0,
      (Audit[[#This Row],[Winning Candidate]]-Audit[[#This Row],[Losing Candidate]]-(Audit[[#This Row],[Audit Winning Candidate]]-Audit[[#This Row],[Audit Losing Candidate]]))/(Audit[[#Totals],[Winning Candidate]]-Audit[[#Totals],[Losing Candidate]]),
      0
)</f>
        <v>0</v>
      </c>
      <c r="AV4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8">
        <f>IF(Audit[[#This Row],[Max Relative Error (ep)]] = 0, 0, Audit[[#This Row],[Max Relative Error (ep)]]/Audit[[#This Row],[Error Bound (up) - Max. possible relative overstatement]])</f>
        <v>0</v>
      </c>
      <c r="BH4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7" s="18">
        <f t="shared" si="8"/>
        <v>1</v>
      </c>
      <c r="BJ467" s="18">
        <f>PRODUCT($BI$5:BI467)</f>
        <v>0.32656797278968008</v>
      </c>
      <c r="BK467" s="20">
        <f>1 - Audit[[#This Row],[K-M P Value]]</f>
        <v>0.67343202721031992</v>
      </c>
      <c r="BL467" s="18" t="str">
        <f>IF(Audit[[#This Row],[K-M P Value]]&gt;1-'General Info'!$B$12,"Continue", "Stop")</f>
        <v>Continue</v>
      </c>
      <c r="BM467" s="23" t="b">
        <f>IF(Audit[[#This Row],[Status - Continue or stop audit]] = "Continue", TRUE, IF(BL466 = "Continue", TRUE, FALSE))</f>
        <v>1</v>
      </c>
      <c r="BN467" s="23"/>
    </row>
    <row r="468" spans="1:66" ht="15" hidden="1" customHeight="1" x14ac:dyDescent="0.35">
      <c r="A468" s="18" t="str">
        <f>'Sampling Data'!AI468</f>
        <v/>
      </c>
      <c r="B468" s="18" t="str">
        <f>'Sampling Data'!A468</f>
        <v>7339 GREEN MM   (AV)</v>
      </c>
      <c r="C468" s="18">
        <f>'Sampling Data'!B468</f>
        <v>12</v>
      </c>
      <c r="D468" s="18">
        <f>'Sampling Data'!C468</f>
        <v>1</v>
      </c>
      <c r="E468" s="19">
        <f>'Sampling Data'!D468</f>
        <v>0</v>
      </c>
      <c r="F468" s="19">
        <f>'Sampling Data'!E468</f>
        <v>0</v>
      </c>
      <c r="G468" s="19">
        <f>'Sampling Data'!F468</f>
        <v>0</v>
      </c>
      <c r="H468" s="19">
        <f>'Sampling Data'!G468</f>
        <v>0</v>
      </c>
      <c r="I468" s="19">
        <f>'Sampling Data'!H468</f>
        <v>0</v>
      </c>
      <c r="J468" s="19">
        <f>'Sampling Data'!I468</f>
        <v>0</v>
      </c>
      <c r="K468" s="19">
        <f>'Sampling Data'!J468</f>
        <v>0</v>
      </c>
      <c r="L468" s="19">
        <f>'Sampling Data'!K468</f>
        <v>0</v>
      </c>
      <c r="M468" s="19">
        <f>'Sampling Data'!L468</f>
        <v>0</v>
      </c>
      <c r="N468" s="19">
        <f>'Sampling Data'!M468</f>
        <v>0</v>
      </c>
      <c r="O468" s="18">
        <f>'Sampling Data'!N468</f>
        <v>0</v>
      </c>
      <c r="P468" s="18">
        <f>'Sampling Data'!O468</f>
        <v>0</v>
      </c>
      <c r="Q468" s="18">
        <f>'Sampling Data'!P468</f>
        <v>13</v>
      </c>
      <c r="R468" s="18">
        <f>'Sampling Data'!AJ468</f>
        <v>0</v>
      </c>
      <c r="S468" s="112"/>
      <c r="T468" s="112"/>
      <c r="U468" s="113"/>
      <c r="V468" s="113"/>
      <c r="W468" s="112"/>
      <c r="X468" s="112"/>
      <c r="Y468" s="112"/>
      <c r="Z468" s="112"/>
      <c r="AA468" s="15"/>
      <c r="AB468" s="15"/>
      <c r="AC468" s="15"/>
      <c r="AD468" s="15"/>
      <c r="AE468" s="114" t="str">
        <f>IF(NOT(ISBLANK(Audit[[#This Row],[Audit Winning Candidate]])), Audit[[#This Row],[Audit Winning Candidate]]-Audit[[#This Row],[Winning Candidate]], "")</f>
        <v/>
      </c>
      <c r="AF468" s="18" t="str">
        <f>IF(NOT(ISBLANK(Audit[[#This Row],[Audit Losing Candidate]])), Audit[[#This Row],[Audit Losing Candidate]]-Audit[[#This Row],[Losing Candidate]], "")</f>
        <v/>
      </c>
      <c r="AG468" s="18" t="str">
        <f>IF(NOT(ISBLANK(Audit[[#This Row],[Audit Candidate 3]])), Audit[[#This Row],[Audit Candidate 3]]-Audit[[#This Row],[Candidate 3]], "")</f>
        <v/>
      </c>
      <c r="AH468" s="18" t="str">
        <f>IF(NOT(ISBLANK(Audit[[#This Row],[Audit Candidate 4]])),Audit[[#This Row],[Audit Candidate 4]]-Audit[[#This Row],[Candidate 4]], "")</f>
        <v/>
      </c>
      <c r="AI468" s="18" t="str">
        <f>IF(NOT(ISBLANK(Audit[[#This Row],[Audit Candidate 5]])), Audit[[#This Row],[Audit Candidate 5]]-Audit[[#This Row],[Candidate 5]], "")</f>
        <v/>
      </c>
      <c r="AJ468" s="18" t="str">
        <f>IF(NOT(ISBLANK(Audit[[#This Row],[Audit Candidate 6]])), Audit[[#This Row],[Audit Candidate 6]]-Audit[[#This Row],[Candidate 6]], "")</f>
        <v/>
      </c>
      <c r="AK468" s="18" t="str">
        <f>IF(NOT(ISBLANK(Audit[[#This Row],[Audit Candidate 7]])), Audit[[#This Row],[Audit Candidate 7]]-Audit[[#This Row],[Candidate 7]], "")</f>
        <v/>
      </c>
      <c r="AL468" s="18" t="str">
        <f>IF(NOT(ISBLANK(Audit[[#This Row],[Audit Candidate 8]])), Audit[[#This Row],[Audit Candidate 8]]-Audit[[#This Row],[Candidate 8]], "")</f>
        <v/>
      </c>
      <c r="AM468" s="18" t="str">
        <f>IF(NOT(ISBLANK(Audit[[#This Row],[Audit Candidate 9]])), Audit[[#This Row],[Audit Candidate 9]]-Audit[[#This Row],[Candidate 9]], "")</f>
        <v/>
      </c>
      <c r="AN468" s="18" t="str">
        <f>IF(NOT(ISBLANK(Audit[[#This Row],[Audit Candidate 10]])), Audit[[#This Row],[Audit Candidate 10]]-Audit[[#This Row],[Candidate 10]], "")</f>
        <v/>
      </c>
      <c r="AO468" s="18" t="str">
        <f>IF(NOT(ISBLANK(Audit[[#This Row],[Audit Candidate 11]])), Audit[[#This Row],[Audit Candidate 11]]-Audit[[#This Row],[Candidate 11]], "")</f>
        <v/>
      </c>
      <c r="AP468" s="18" t="str">
        <f>IF(NOT(ISBLANK(Audit[[#This Row],[Audit Candidate 12]])), Audit[[#This Row],[Audit Candidate 12]]-Audit[[#This Row],[Candidate 12]], "")</f>
        <v/>
      </c>
      <c r="AQ468" s="18">
        <f>SUMIF(Audit[[#This Row],[Difference Winner]:[Difference Candidate 12]], "&gt;0")</f>
        <v>0</v>
      </c>
      <c r="AR468" s="18">
        <f>SUM(Audit[[#This Row],[Difference Winner]:[Difference Candidate 12]])</f>
        <v>0</v>
      </c>
      <c r="AS468" s="18">
        <f>IF(Audit[[#This Row],[Times p Drawn - With Replacement]]&gt;0, IF(Audit[[#This Row],[Canceled Differences]]&lt;0, Audit[[#This Row],[Max Differences]]+ABS(Audit[[#This Row],[Canceled Differences]]), Audit[[#This Row],[Max Differences]]), 0)</f>
        <v>0</v>
      </c>
      <c r="AT468" s="18">
        <f>'Sampling Data'!AB468</f>
        <v>7.5383987184722177E-4</v>
      </c>
      <c r="AU468" s="18">
        <f>IF(
      SUM(Audit[[#This Row],[Audit Losing Candidate]:[Audit Candidate 12]])
      &lt;&gt;0,
      (Audit[[#This Row],[Winning Candidate]]-Audit[[#This Row],[Losing Candidate]]-(Audit[[#This Row],[Audit Winning Candidate]]-Audit[[#This Row],[Audit Losing Candidate]]))/(Audit[[#Totals],[Winning Candidate]]-Audit[[#Totals],[Losing Candidate]]),
      0
)</f>
        <v>0</v>
      </c>
      <c r="AV4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8">
        <f>IF(Audit[[#This Row],[Max Relative Error (ep)]] = 0, 0, Audit[[#This Row],[Max Relative Error (ep)]]/Audit[[#This Row],[Error Bound (up) - Max. possible relative overstatement]])</f>
        <v>0</v>
      </c>
      <c r="BH4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8" s="18">
        <f t="shared" si="8"/>
        <v>1</v>
      </c>
      <c r="BJ468" s="18">
        <f>PRODUCT($BI$5:BI468)</f>
        <v>0.32656797278968008</v>
      </c>
      <c r="BK468" s="20">
        <f>1 - Audit[[#This Row],[K-M P Value]]</f>
        <v>0.67343202721031992</v>
      </c>
      <c r="BL468" s="18" t="str">
        <f>IF(Audit[[#This Row],[K-M P Value]]&gt;1-'General Info'!$B$12,"Continue", "Stop")</f>
        <v>Continue</v>
      </c>
      <c r="BM468" s="23" t="b">
        <f>IF(Audit[[#This Row],[Status - Continue or stop audit]] = "Continue", TRUE, IF(BL467 = "Continue", TRUE, FALSE))</f>
        <v>1</v>
      </c>
      <c r="BN468" s="23"/>
    </row>
    <row r="469" spans="1:66" ht="15" hidden="1" customHeight="1" x14ac:dyDescent="0.35">
      <c r="A469" s="18" t="str">
        <f>'Sampling Data'!AI469</f>
        <v/>
      </c>
      <c r="B469" s="18" t="str">
        <f>'Sampling Data'!A469</f>
        <v>7340 GREEN NN   (AV)</v>
      </c>
      <c r="C469" s="18">
        <f>'Sampling Data'!B469</f>
        <v>6</v>
      </c>
      <c r="D469" s="18">
        <f>'Sampling Data'!C469</f>
        <v>0</v>
      </c>
      <c r="E469" s="19">
        <f>'Sampling Data'!D469</f>
        <v>0</v>
      </c>
      <c r="F469" s="19">
        <f>'Sampling Data'!E469</f>
        <v>0</v>
      </c>
      <c r="G469" s="19">
        <f>'Sampling Data'!F469</f>
        <v>0</v>
      </c>
      <c r="H469" s="19">
        <f>'Sampling Data'!G469</f>
        <v>0</v>
      </c>
      <c r="I469" s="19">
        <f>'Sampling Data'!H469</f>
        <v>0</v>
      </c>
      <c r="J469" s="19">
        <f>'Sampling Data'!I469</f>
        <v>0</v>
      </c>
      <c r="K469" s="19">
        <f>'Sampling Data'!J469</f>
        <v>0</v>
      </c>
      <c r="L469" s="19">
        <f>'Sampling Data'!K469</f>
        <v>0</v>
      </c>
      <c r="M469" s="19">
        <f>'Sampling Data'!L469</f>
        <v>0</v>
      </c>
      <c r="N469" s="19">
        <f>'Sampling Data'!M469</f>
        <v>0</v>
      </c>
      <c r="O469" s="18">
        <f>'Sampling Data'!N469</f>
        <v>0</v>
      </c>
      <c r="P469" s="18">
        <f>'Sampling Data'!O469</f>
        <v>0</v>
      </c>
      <c r="Q469" s="18">
        <f>'Sampling Data'!P469</f>
        <v>6</v>
      </c>
      <c r="R469" s="18">
        <f>'Sampling Data'!AJ469</f>
        <v>0</v>
      </c>
      <c r="S469" s="112"/>
      <c r="T469" s="112"/>
      <c r="U469" s="113"/>
      <c r="V469" s="113"/>
      <c r="W469" s="112"/>
      <c r="X469" s="112"/>
      <c r="Y469" s="112"/>
      <c r="Z469" s="112"/>
      <c r="AA469" s="15"/>
      <c r="AB469" s="15"/>
      <c r="AC469" s="15"/>
      <c r="AD469" s="15"/>
      <c r="AE469" s="114" t="str">
        <f>IF(NOT(ISBLANK(Audit[[#This Row],[Audit Winning Candidate]])), Audit[[#This Row],[Audit Winning Candidate]]-Audit[[#This Row],[Winning Candidate]], "")</f>
        <v/>
      </c>
      <c r="AF469" s="18" t="str">
        <f>IF(NOT(ISBLANK(Audit[[#This Row],[Audit Losing Candidate]])), Audit[[#This Row],[Audit Losing Candidate]]-Audit[[#This Row],[Losing Candidate]], "")</f>
        <v/>
      </c>
      <c r="AG469" s="18" t="str">
        <f>IF(NOT(ISBLANK(Audit[[#This Row],[Audit Candidate 3]])), Audit[[#This Row],[Audit Candidate 3]]-Audit[[#This Row],[Candidate 3]], "")</f>
        <v/>
      </c>
      <c r="AH469" s="18" t="str">
        <f>IF(NOT(ISBLANK(Audit[[#This Row],[Audit Candidate 4]])),Audit[[#This Row],[Audit Candidate 4]]-Audit[[#This Row],[Candidate 4]], "")</f>
        <v/>
      </c>
      <c r="AI469" s="18" t="str">
        <f>IF(NOT(ISBLANK(Audit[[#This Row],[Audit Candidate 5]])), Audit[[#This Row],[Audit Candidate 5]]-Audit[[#This Row],[Candidate 5]], "")</f>
        <v/>
      </c>
      <c r="AJ469" s="18" t="str">
        <f>IF(NOT(ISBLANK(Audit[[#This Row],[Audit Candidate 6]])), Audit[[#This Row],[Audit Candidate 6]]-Audit[[#This Row],[Candidate 6]], "")</f>
        <v/>
      </c>
      <c r="AK469" s="18" t="str">
        <f>IF(NOT(ISBLANK(Audit[[#This Row],[Audit Candidate 7]])), Audit[[#This Row],[Audit Candidate 7]]-Audit[[#This Row],[Candidate 7]], "")</f>
        <v/>
      </c>
      <c r="AL469" s="18" t="str">
        <f>IF(NOT(ISBLANK(Audit[[#This Row],[Audit Candidate 8]])), Audit[[#This Row],[Audit Candidate 8]]-Audit[[#This Row],[Candidate 8]], "")</f>
        <v/>
      </c>
      <c r="AM469" s="18" t="str">
        <f>IF(NOT(ISBLANK(Audit[[#This Row],[Audit Candidate 9]])), Audit[[#This Row],[Audit Candidate 9]]-Audit[[#This Row],[Candidate 9]], "")</f>
        <v/>
      </c>
      <c r="AN469" s="18" t="str">
        <f>IF(NOT(ISBLANK(Audit[[#This Row],[Audit Candidate 10]])), Audit[[#This Row],[Audit Candidate 10]]-Audit[[#This Row],[Candidate 10]], "")</f>
        <v/>
      </c>
      <c r="AO469" s="18" t="str">
        <f>IF(NOT(ISBLANK(Audit[[#This Row],[Audit Candidate 11]])), Audit[[#This Row],[Audit Candidate 11]]-Audit[[#This Row],[Candidate 11]], "")</f>
        <v/>
      </c>
      <c r="AP469" s="18" t="str">
        <f>IF(NOT(ISBLANK(Audit[[#This Row],[Audit Candidate 12]])), Audit[[#This Row],[Audit Candidate 12]]-Audit[[#This Row],[Candidate 12]], "")</f>
        <v/>
      </c>
      <c r="AQ469" s="18">
        <f>SUMIF(Audit[[#This Row],[Difference Winner]:[Difference Candidate 12]], "&gt;0")</f>
        <v>0</v>
      </c>
      <c r="AR469" s="18">
        <f>SUM(Audit[[#This Row],[Difference Winner]:[Difference Candidate 12]])</f>
        <v>0</v>
      </c>
      <c r="AS469" s="18">
        <f>IF(Audit[[#This Row],[Times p Drawn - With Replacement]]&gt;0, IF(Audit[[#This Row],[Canceled Differences]]&lt;0, Audit[[#This Row],[Max Differences]]+ABS(Audit[[#This Row],[Canceled Differences]]), Audit[[#This Row],[Max Differences]]), 0)</f>
        <v>0</v>
      </c>
      <c r="AT469" s="18">
        <f>'Sampling Data'!AB469</f>
        <v>3.7691993592361088E-4</v>
      </c>
      <c r="AU469" s="18">
        <f>IF(
      SUM(Audit[[#This Row],[Audit Losing Candidate]:[Audit Candidate 12]])
      &lt;&gt;0,
      (Audit[[#This Row],[Winning Candidate]]-Audit[[#This Row],[Losing Candidate]]-(Audit[[#This Row],[Audit Winning Candidate]]-Audit[[#This Row],[Audit Losing Candidate]]))/(Audit[[#Totals],[Winning Candidate]]-Audit[[#Totals],[Losing Candidate]]),
      0
)</f>
        <v>0</v>
      </c>
      <c r="AV4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8">
        <f>IF(Audit[[#This Row],[Max Relative Error (ep)]] = 0, 0, Audit[[#This Row],[Max Relative Error (ep)]]/Audit[[#This Row],[Error Bound (up) - Max. possible relative overstatement]])</f>
        <v>0</v>
      </c>
      <c r="BH4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69" s="18">
        <f t="shared" si="8"/>
        <v>1</v>
      </c>
      <c r="BJ469" s="18">
        <f>PRODUCT($BI$5:BI469)</f>
        <v>0.32656797278968008</v>
      </c>
      <c r="BK469" s="20">
        <f>1 - Audit[[#This Row],[K-M P Value]]</f>
        <v>0.67343202721031992</v>
      </c>
      <c r="BL469" s="18" t="str">
        <f>IF(Audit[[#This Row],[K-M P Value]]&gt;1-'General Info'!$B$12,"Continue", "Stop")</f>
        <v>Continue</v>
      </c>
      <c r="BM469" s="23" t="b">
        <f>IF(Audit[[#This Row],[Status - Continue or stop audit]] = "Continue", TRUE, IF(BL468 = "Continue", TRUE, FALSE))</f>
        <v>1</v>
      </c>
      <c r="BN469" s="23"/>
    </row>
    <row r="470" spans="1:66" ht="15" hidden="1" customHeight="1" x14ac:dyDescent="0.35">
      <c r="A470" s="18" t="str">
        <f>'Sampling Data'!AI470</f>
        <v/>
      </c>
      <c r="B470" s="18" t="str">
        <f>'Sampling Data'!A470</f>
        <v>7341 GREEN OO   (AV)</v>
      </c>
      <c r="C470" s="18">
        <f>'Sampling Data'!B470</f>
        <v>7</v>
      </c>
      <c r="D470" s="18">
        <f>'Sampling Data'!C470</f>
        <v>0</v>
      </c>
      <c r="E470" s="19">
        <f>'Sampling Data'!D470</f>
        <v>0</v>
      </c>
      <c r="F470" s="19">
        <f>'Sampling Data'!E470</f>
        <v>0</v>
      </c>
      <c r="G470" s="19">
        <f>'Sampling Data'!F470</f>
        <v>0</v>
      </c>
      <c r="H470" s="19">
        <f>'Sampling Data'!G470</f>
        <v>0</v>
      </c>
      <c r="I470" s="19">
        <f>'Sampling Data'!H470</f>
        <v>0</v>
      </c>
      <c r="J470" s="19">
        <f>'Sampling Data'!I470</f>
        <v>0</v>
      </c>
      <c r="K470" s="19">
        <f>'Sampling Data'!J470</f>
        <v>0</v>
      </c>
      <c r="L470" s="19">
        <f>'Sampling Data'!K470</f>
        <v>0</v>
      </c>
      <c r="M470" s="19">
        <f>'Sampling Data'!L470</f>
        <v>0</v>
      </c>
      <c r="N470" s="19">
        <f>'Sampling Data'!M470</f>
        <v>0</v>
      </c>
      <c r="O470" s="18">
        <f>'Sampling Data'!N470</f>
        <v>0</v>
      </c>
      <c r="P470" s="18">
        <f>'Sampling Data'!O470</f>
        <v>0</v>
      </c>
      <c r="Q470" s="18">
        <f>'Sampling Data'!P470</f>
        <v>7</v>
      </c>
      <c r="R470" s="18">
        <f>'Sampling Data'!AJ470</f>
        <v>0</v>
      </c>
      <c r="S470" s="112"/>
      <c r="T470" s="112"/>
      <c r="U470" s="113"/>
      <c r="V470" s="113"/>
      <c r="W470" s="112"/>
      <c r="X470" s="112"/>
      <c r="Y470" s="112"/>
      <c r="Z470" s="112"/>
      <c r="AA470" s="15"/>
      <c r="AB470" s="15"/>
      <c r="AC470" s="15"/>
      <c r="AD470" s="15"/>
      <c r="AE470" s="114" t="str">
        <f>IF(NOT(ISBLANK(Audit[[#This Row],[Audit Winning Candidate]])), Audit[[#This Row],[Audit Winning Candidate]]-Audit[[#This Row],[Winning Candidate]], "")</f>
        <v/>
      </c>
      <c r="AF470" s="18" t="str">
        <f>IF(NOT(ISBLANK(Audit[[#This Row],[Audit Losing Candidate]])), Audit[[#This Row],[Audit Losing Candidate]]-Audit[[#This Row],[Losing Candidate]], "")</f>
        <v/>
      </c>
      <c r="AG470" s="18" t="str">
        <f>IF(NOT(ISBLANK(Audit[[#This Row],[Audit Candidate 3]])), Audit[[#This Row],[Audit Candidate 3]]-Audit[[#This Row],[Candidate 3]], "")</f>
        <v/>
      </c>
      <c r="AH470" s="18" t="str">
        <f>IF(NOT(ISBLANK(Audit[[#This Row],[Audit Candidate 4]])),Audit[[#This Row],[Audit Candidate 4]]-Audit[[#This Row],[Candidate 4]], "")</f>
        <v/>
      </c>
      <c r="AI470" s="18" t="str">
        <f>IF(NOT(ISBLANK(Audit[[#This Row],[Audit Candidate 5]])), Audit[[#This Row],[Audit Candidate 5]]-Audit[[#This Row],[Candidate 5]], "")</f>
        <v/>
      </c>
      <c r="AJ470" s="18" t="str">
        <f>IF(NOT(ISBLANK(Audit[[#This Row],[Audit Candidate 6]])), Audit[[#This Row],[Audit Candidate 6]]-Audit[[#This Row],[Candidate 6]], "")</f>
        <v/>
      </c>
      <c r="AK470" s="18" t="str">
        <f>IF(NOT(ISBLANK(Audit[[#This Row],[Audit Candidate 7]])), Audit[[#This Row],[Audit Candidate 7]]-Audit[[#This Row],[Candidate 7]], "")</f>
        <v/>
      </c>
      <c r="AL470" s="18" t="str">
        <f>IF(NOT(ISBLANK(Audit[[#This Row],[Audit Candidate 8]])), Audit[[#This Row],[Audit Candidate 8]]-Audit[[#This Row],[Candidate 8]], "")</f>
        <v/>
      </c>
      <c r="AM470" s="18" t="str">
        <f>IF(NOT(ISBLANK(Audit[[#This Row],[Audit Candidate 9]])), Audit[[#This Row],[Audit Candidate 9]]-Audit[[#This Row],[Candidate 9]], "")</f>
        <v/>
      </c>
      <c r="AN470" s="18" t="str">
        <f>IF(NOT(ISBLANK(Audit[[#This Row],[Audit Candidate 10]])), Audit[[#This Row],[Audit Candidate 10]]-Audit[[#This Row],[Candidate 10]], "")</f>
        <v/>
      </c>
      <c r="AO470" s="18" t="str">
        <f>IF(NOT(ISBLANK(Audit[[#This Row],[Audit Candidate 11]])), Audit[[#This Row],[Audit Candidate 11]]-Audit[[#This Row],[Candidate 11]], "")</f>
        <v/>
      </c>
      <c r="AP470" s="18" t="str">
        <f>IF(NOT(ISBLANK(Audit[[#This Row],[Audit Candidate 12]])), Audit[[#This Row],[Audit Candidate 12]]-Audit[[#This Row],[Candidate 12]], "")</f>
        <v/>
      </c>
      <c r="AQ470" s="18">
        <f>SUMIF(Audit[[#This Row],[Difference Winner]:[Difference Candidate 12]], "&gt;0")</f>
        <v>0</v>
      </c>
      <c r="AR470" s="18">
        <f>SUM(Audit[[#This Row],[Difference Winner]:[Difference Candidate 12]])</f>
        <v>0</v>
      </c>
      <c r="AS470" s="18">
        <f>IF(Audit[[#This Row],[Times p Drawn - With Replacement]]&gt;0, IF(Audit[[#This Row],[Canceled Differences]]&lt;0, Audit[[#This Row],[Max Differences]]+ABS(Audit[[#This Row],[Canceled Differences]]), Audit[[#This Row],[Max Differences]]), 0)</f>
        <v>0</v>
      </c>
      <c r="AT470" s="18">
        <f>'Sampling Data'!AB470</f>
        <v>4.3973992524421271E-4</v>
      </c>
      <c r="AU470" s="18">
        <f>IF(
      SUM(Audit[[#This Row],[Audit Losing Candidate]:[Audit Candidate 12]])
      &lt;&gt;0,
      (Audit[[#This Row],[Winning Candidate]]-Audit[[#This Row],[Losing Candidate]]-(Audit[[#This Row],[Audit Winning Candidate]]-Audit[[#This Row],[Audit Losing Candidate]]))/(Audit[[#Totals],[Winning Candidate]]-Audit[[#Totals],[Losing Candidate]]),
      0
)</f>
        <v>0</v>
      </c>
      <c r="AV4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8">
        <f>IF(Audit[[#This Row],[Max Relative Error (ep)]] = 0, 0, Audit[[#This Row],[Max Relative Error (ep)]]/Audit[[#This Row],[Error Bound (up) - Max. possible relative overstatement]])</f>
        <v>0</v>
      </c>
      <c r="BH4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0" s="18">
        <f t="shared" si="8"/>
        <v>1</v>
      </c>
      <c r="BJ470" s="18">
        <f>PRODUCT($BI$5:BI470)</f>
        <v>0.32656797278968008</v>
      </c>
      <c r="BK470" s="20">
        <f>1 - Audit[[#This Row],[K-M P Value]]</f>
        <v>0.67343202721031992</v>
      </c>
      <c r="BL470" s="18" t="str">
        <f>IF(Audit[[#This Row],[K-M P Value]]&gt;1-'General Info'!$B$12,"Continue", "Stop")</f>
        <v>Continue</v>
      </c>
      <c r="BM470" s="23" t="b">
        <f>IF(Audit[[#This Row],[Status - Continue or stop audit]] = "Continue", TRUE, IF(BL469 = "Continue", TRUE, FALSE))</f>
        <v>1</v>
      </c>
      <c r="BN470" s="23"/>
    </row>
    <row r="471" spans="1:66" ht="15" hidden="1" customHeight="1" x14ac:dyDescent="0.35">
      <c r="A471" s="18" t="str">
        <f>'Sampling Data'!AI471</f>
        <v/>
      </c>
      <c r="B471" s="18" t="str">
        <f>'Sampling Data'!A471</f>
        <v>7342 GREEN PP   (AV)</v>
      </c>
      <c r="C471" s="18">
        <f>'Sampling Data'!B471</f>
        <v>18</v>
      </c>
      <c r="D471" s="18">
        <f>'Sampling Data'!C471</f>
        <v>0</v>
      </c>
      <c r="E471" s="19">
        <f>'Sampling Data'!D471</f>
        <v>0</v>
      </c>
      <c r="F471" s="19">
        <f>'Sampling Data'!E471</f>
        <v>0</v>
      </c>
      <c r="G471" s="19">
        <f>'Sampling Data'!F471</f>
        <v>0</v>
      </c>
      <c r="H471" s="19">
        <f>'Sampling Data'!G471</f>
        <v>0</v>
      </c>
      <c r="I471" s="19">
        <f>'Sampling Data'!H471</f>
        <v>0</v>
      </c>
      <c r="J471" s="19">
        <f>'Sampling Data'!I471</f>
        <v>0</v>
      </c>
      <c r="K471" s="19">
        <f>'Sampling Data'!J471</f>
        <v>0</v>
      </c>
      <c r="L471" s="19">
        <f>'Sampling Data'!K471</f>
        <v>0</v>
      </c>
      <c r="M471" s="19">
        <f>'Sampling Data'!L471</f>
        <v>0</v>
      </c>
      <c r="N471" s="19">
        <f>'Sampling Data'!M471</f>
        <v>0</v>
      </c>
      <c r="O471" s="18">
        <f>'Sampling Data'!N471</f>
        <v>0</v>
      </c>
      <c r="P471" s="18">
        <f>'Sampling Data'!O471</f>
        <v>0</v>
      </c>
      <c r="Q471" s="18">
        <f>'Sampling Data'!P471</f>
        <v>18</v>
      </c>
      <c r="R471" s="18">
        <f>'Sampling Data'!AJ471</f>
        <v>0</v>
      </c>
      <c r="S471" s="112"/>
      <c r="T471" s="112"/>
      <c r="U471" s="113"/>
      <c r="V471" s="113"/>
      <c r="W471" s="112"/>
      <c r="X471" s="112"/>
      <c r="Y471" s="112"/>
      <c r="Z471" s="112"/>
      <c r="AA471" s="15"/>
      <c r="AB471" s="15"/>
      <c r="AC471" s="15"/>
      <c r="AD471" s="15"/>
      <c r="AE471" s="114" t="str">
        <f>IF(NOT(ISBLANK(Audit[[#This Row],[Audit Winning Candidate]])), Audit[[#This Row],[Audit Winning Candidate]]-Audit[[#This Row],[Winning Candidate]], "")</f>
        <v/>
      </c>
      <c r="AF471" s="18" t="str">
        <f>IF(NOT(ISBLANK(Audit[[#This Row],[Audit Losing Candidate]])), Audit[[#This Row],[Audit Losing Candidate]]-Audit[[#This Row],[Losing Candidate]], "")</f>
        <v/>
      </c>
      <c r="AG471" s="18" t="str">
        <f>IF(NOT(ISBLANK(Audit[[#This Row],[Audit Candidate 3]])), Audit[[#This Row],[Audit Candidate 3]]-Audit[[#This Row],[Candidate 3]], "")</f>
        <v/>
      </c>
      <c r="AH471" s="18" t="str">
        <f>IF(NOT(ISBLANK(Audit[[#This Row],[Audit Candidate 4]])),Audit[[#This Row],[Audit Candidate 4]]-Audit[[#This Row],[Candidate 4]], "")</f>
        <v/>
      </c>
      <c r="AI471" s="18" t="str">
        <f>IF(NOT(ISBLANK(Audit[[#This Row],[Audit Candidate 5]])), Audit[[#This Row],[Audit Candidate 5]]-Audit[[#This Row],[Candidate 5]], "")</f>
        <v/>
      </c>
      <c r="AJ471" s="18" t="str">
        <f>IF(NOT(ISBLANK(Audit[[#This Row],[Audit Candidate 6]])), Audit[[#This Row],[Audit Candidate 6]]-Audit[[#This Row],[Candidate 6]], "")</f>
        <v/>
      </c>
      <c r="AK471" s="18" t="str">
        <f>IF(NOT(ISBLANK(Audit[[#This Row],[Audit Candidate 7]])), Audit[[#This Row],[Audit Candidate 7]]-Audit[[#This Row],[Candidate 7]], "")</f>
        <v/>
      </c>
      <c r="AL471" s="18" t="str">
        <f>IF(NOT(ISBLANK(Audit[[#This Row],[Audit Candidate 8]])), Audit[[#This Row],[Audit Candidate 8]]-Audit[[#This Row],[Candidate 8]], "")</f>
        <v/>
      </c>
      <c r="AM471" s="18" t="str">
        <f>IF(NOT(ISBLANK(Audit[[#This Row],[Audit Candidate 9]])), Audit[[#This Row],[Audit Candidate 9]]-Audit[[#This Row],[Candidate 9]], "")</f>
        <v/>
      </c>
      <c r="AN471" s="18" t="str">
        <f>IF(NOT(ISBLANK(Audit[[#This Row],[Audit Candidate 10]])), Audit[[#This Row],[Audit Candidate 10]]-Audit[[#This Row],[Candidate 10]], "")</f>
        <v/>
      </c>
      <c r="AO471" s="18" t="str">
        <f>IF(NOT(ISBLANK(Audit[[#This Row],[Audit Candidate 11]])), Audit[[#This Row],[Audit Candidate 11]]-Audit[[#This Row],[Candidate 11]], "")</f>
        <v/>
      </c>
      <c r="AP471" s="18" t="str">
        <f>IF(NOT(ISBLANK(Audit[[#This Row],[Audit Candidate 12]])), Audit[[#This Row],[Audit Candidate 12]]-Audit[[#This Row],[Candidate 12]], "")</f>
        <v/>
      </c>
      <c r="AQ471" s="18">
        <f>SUMIF(Audit[[#This Row],[Difference Winner]:[Difference Candidate 12]], "&gt;0")</f>
        <v>0</v>
      </c>
      <c r="AR471" s="18">
        <f>SUM(Audit[[#This Row],[Difference Winner]:[Difference Candidate 12]])</f>
        <v>0</v>
      </c>
      <c r="AS471" s="18">
        <f>IF(Audit[[#This Row],[Times p Drawn - With Replacement]]&gt;0, IF(Audit[[#This Row],[Canceled Differences]]&lt;0, Audit[[#This Row],[Max Differences]]+ABS(Audit[[#This Row],[Canceled Differences]]), Audit[[#This Row],[Max Differences]]), 0)</f>
        <v>0</v>
      </c>
      <c r="AT471" s="18">
        <f>'Sampling Data'!AB471</f>
        <v>1.1307598077708327E-3</v>
      </c>
      <c r="AU471" s="18">
        <f>IF(
      SUM(Audit[[#This Row],[Audit Losing Candidate]:[Audit Candidate 12]])
      &lt;&gt;0,
      (Audit[[#This Row],[Winning Candidate]]-Audit[[#This Row],[Losing Candidate]]-(Audit[[#This Row],[Audit Winning Candidate]]-Audit[[#This Row],[Audit Losing Candidate]]))/(Audit[[#Totals],[Winning Candidate]]-Audit[[#Totals],[Losing Candidate]]),
      0
)</f>
        <v>0</v>
      </c>
      <c r="AV4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8">
        <f>IF(Audit[[#This Row],[Max Relative Error (ep)]] = 0, 0, Audit[[#This Row],[Max Relative Error (ep)]]/Audit[[#This Row],[Error Bound (up) - Max. possible relative overstatement]])</f>
        <v>0</v>
      </c>
      <c r="BH4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1" s="18">
        <f t="shared" si="8"/>
        <v>1</v>
      </c>
      <c r="BJ471" s="18">
        <f>PRODUCT($BI$5:BI471)</f>
        <v>0.32656797278968008</v>
      </c>
      <c r="BK471" s="20">
        <f>1 - Audit[[#This Row],[K-M P Value]]</f>
        <v>0.67343202721031992</v>
      </c>
      <c r="BL471" s="18" t="str">
        <f>IF(Audit[[#This Row],[K-M P Value]]&gt;1-'General Info'!$B$12,"Continue", "Stop")</f>
        <v>Continue</v>
      </c>
      <c r="BM471" s="23" t="b">
        <f>IF(Audit[[#This Row],[Status - Continue or stop audit]] = "Continue", TRUE, IF(BL470 = "Continue", TRUE, FALSE))</f>
        <v>1</v>
      </c>
      <c r="BN471" s="23"/>
    </row>
    <row r="472" spans="1:66" ht="15" hidden="1" customHeight="1" x14ac:dyDescent="0.35">
      <c r="A472" s="18" t="str">
        <f>'Sampling Data'!AI472</f>
        <v/>
      </c>
      <c r="B472" s="18" t="str">
        <f>'Sampling Data'!A472</f>
        <v>7343 GREEN QQ   (AV)</v>
      </c>
      <c r="C472" s="18">
        <f>'Sampling Data'!B472</f>
        <v>21</v>
      </c>
      <c r="D472" s="18">
        <f>'Sampling Data'!C472</f>
        <v>5</v>
      </c>
      <c r="E472" s="19">
        <f>'Sampling Data'!D472</f>
        <v>0</v>
      </c>
      <c r="F472" s="19">
        <f>'Sampling Data'!E472</f>
        <v>0</v>
      </c>
      <c r="G472" s="19">
        <f>'Sampling Data'!F472</f>
        <v>0</v>
      </c>
      <c r="H472" s="19">
        <f>'Sampling Data'!G472</f>
        <v>0</v>
      </c>
      <c r="I472" s="19">
        <f>'Sampling Data'!H472</f>
        <v>0</v>
      </c>
      <c r="J472" s="19">
        <f>'Sampling Data'!I472</f>
        <v>0</v>
      </c>
      <c r="K472" s="19">
        <f>'Sampling Data'!J472</f>
        <v>0</v>
      </c>
      <c r="L472" s="19">
        <f>'Sampling Data'!K472</f>
        <v>0</v>
      </c>
      <c r="M472" s="19">
        <f>'Sampling Data'!L472</f>
        <v>0</v>
      </c>
      <c r="N472" s="19">
        <f>'Sampling Data'!M472</f>
        <v>0</v>
      </c>
      <c r="O472" s="18">
        <f>'Sampling Data'!N472</f>
        <v>0</v>
      </c>
      <c r="P472" s="18">
        <f>'Sampling Data'!O472</f>
        <v>0</v>
      </c>
      <c r="Q472" s="18">
        <f>'Sampling Data'!P472</f>
        <v>26</v>
      </c>
      <c r="R472" s="18">
        <f>'Sampling Data'!AJ472</f>
        <v>0</v>
      </c>
      <c r="S472" s="112"/>
      <c r="T472" s="112"/>
      <c r="U472" s="113"/>
      <c r="V472" s="113"/>
      <c r="W472" s="112"/>
      <c r="X472" s="112"/>
      <c r="Y472" s="112"/>
      <c r="Z472" s="112"/>
      <c r="AA472" s="15"/>
      <c r="AB472" s="15"/>
      <c r="AC472" s="15"/>
      <c r="AD472" s="15"/>
      <c r="AE472" s="114" t="str">
        <f>IF(NOT(ISBLANK(Audit[[#This Row],[Audit Winning Candidate]])), Audit[[#This Row],[Audit Winning Candidate]]-Audit[[#This Row],[Winning Candidate]], "")</f>
        <v/>
      </c>
      <c r="AF472" s="18" t="str">
        <f>IF(NOT(ISBLANK(Audit[[#This Row],[Audit Losing Candidate]])), Audit[[#This Row],[Audit Losing Candidate]]-Audit[[#This Row],[Losing Candidate]], "")</f>
        <v/>
      </c>
      <c r="AG472" s="18" t="str">
        <f>IF(NOT(ISBLANK(Audit[[#This Row],[Audit Candidate 3]])), Audit[[#This Row],[Audit Candidate 3]]-Audit[[#This Row],[Candidate 3]], "")</f>
        <v/>
      </c>
      <c r="AH472" s="18" t="str">
        <f>IF(NOT(ISBLANK(Audit[[#This Row],[Audit Candidate 4]])),Audit[[#This Row],[Audit Candidate 4]]-Audit[[#This Row],[Candidate 4]], "")</f>
        <v/>
      </c>
      <c r="AI472" s="18" t="str">
        <f>IF(NOT(ISBLANK(Audit[[#This Row],[Audit Candidate 5]])), Audit[[#This Row],[Audit Candidate 5]]-Audit[[#This Row],[Candidate 5]], "")</f>
        <v/>
      </c>
      <c r="AJ472" s="18" t="str">
        <f>IF(NOT(ISBLANK(Audit[[#This Row],[Audit Candidate 6]])), Audit[[#This Row],[Audit Candidate 6]]-Audit[[#This Row],[Candidate 6]], "")</f>
        <v/>
      </c>
      <c r="AK472" s="18" t="str">
        <f>IF(NOT(ISBLANK(Audit[[#This Row],[Audit Candidate 7]])), Audit[[#This Row],[Audit Candidate 7]]-Audit[[#This Row],[Candidate 7]], "")</f>
        <v/>
      </c>
      <c r="AL472" s="18" t="str">
        <f>IF(NOT(ISBLANK(Audit[[#This Row],[Audit Candidate 8]])), Audit[[#This Row],[Audit Candidate 8]]-Audit[[#This Row],[Candidate 8]], "")</f>
        <v/>
      </c>
      <c r="AM472" s="18" t="str">
        <f>IF(NOT(ISBLANK(Audit[[#This Row],[Audit Candidate 9]])), Audit[[#This Row],[Audit Candidate 9]]-Audit[[#This Row],[Candidate 9]], "")</f>
        <v/>
      </c>
      <c r="AN472" s="18" t="str">
        <f>IF(NOT(ISBLANK(Audit[[#This Row],[Audit Candidate 10]])), Audit[[#This Row],[Audit Candidate 10]]-Audit[[#This Row],[Candidate 10]], "")</f>
        <v/>
      </c>
      <c r="AO472" s="18" t="str">
        <f>IF(NOT(ISBLANK(Audit[[#This Row],[Audit Candidate 11]])), Audit[[#This Row],[Audit Candidate 11]]-Audit[[#This Row],[Candidate 11]], "")</f>
        <v/>
      </c>
      <c r="AP472" s="18" t="str">
        <f>IF(NOT(ISBLANK(Audit[[#This Row],[Audit Candidate 12]])), Audit[[#This Row],[Audit Candidate 12]]-Audit[[#This Row],[Candidate 12]], "")</f>
        <v/>
      </c>
      <c r="AQ472" s="18">
        <f>SUMIF(Audit[[#This Row],[Difference Winner]:[Difference Candidate 12]], "&gt;0")</f>
        <v>0</v>
      </c>
      <c r="AR472" s="18">
        <f>SUM(Audit[[#This Row],[Difference Winner]:[Difference Candidate 12]])</f>
        <v>0</v>
      </c>
      <c r="AS472" s="18">
        <f>IF(Audit[[#This Row],[Times p Drawn - With Replacement]]&gt;0, IF(Audit[[#This Row],[Canceled Differences]]&lt;0, Audit[[#This Row],[Max Differences]]+ABS(Audit[[#This Row],[Canceled Differences]]), Audit[[#This Row],[Max Differences]]), 0)</f>
        <v>0</v>
      </c>
      <c r="AT472" s="18">
        <f>'Sampling Data'!AB472</f>
        <v>1.3192197757326382E-3</v>
      </c>
      <c r="AU472" s="18">
        <f>IF(
      SUM(Audit[[#This Row],[Audit Losing Candidate]:[Audit Candidate 12]])
      &lt;&gt;0,
      (Audit[[#This Row],[Winning Candidate]]-Audit[[#This Row],[Losing Candidate]]-(Audit[[#This Row],[Audit Winning Candidate]]-Audit[[#This Row],[Audit Losing Candidate]]))/(Audit[[#Totals],[Winning Candidate]]-Audit[[#Totals],[Losing Candidate]]),
      0
)</f>
        <v>0</v>
      </c>
      <c r="AV4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8">
        <f>IF(Audit[[#This Row],[Max Relative Error (ep)]] = 0, 0, Audit[[#This Row],[Max Relative Error (ep)]]/Audit[[#This Row],[Error Bound (up) - Max. possible relative overstatement]])</f>
        <v>0</v>
      </c>
      <c r="BH4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2" s="18">
        <f t="shared" si="8"/>
        <v>1</v>
      </c>
      <c r="BJ472" s="18">
        <f>PRODUCT($BI$5:BI472)</f>
        <v>0.32656797278968008</v>
      </c>
      <c r="BK472" s="20">
        <f>1 - Audit[[#This Row],[K-M P Value]]</f>
        <v>0.67343202721031992</v>
      </c>
      <c r="BL472" s="18" t="str">
        <f>IF(Audit[[#This Row],[K-M P Value]]&gt;1-'General Info'!$B$12,"Continue", "Stop")</f>
        <v>Continue</v>
      </c>
      <c r="BM472" s="23" t="b">
        <f>IF(Audit[[#This Row],[Status - Continue or stop audit]] = "Continue", TRUE, IF(BL471 = "Continue", TRUE, FALSE))</f>
        <v>1</v>
      </c>
      <c r="BN472" s="23"/>
    </row>
    <row r="473" spans="1:66" ht="15" hidden="1" customHeight="1" x14ac:dyDescent="0.35">
      <c r="A473" s="18" t="str">
        <f>'Sampling Data'!AI473</f>
        <v/>
      </c>
      <c r="B473" s="18" t="str">
        <f>'Sampling Data'!A473</f>
        <v>7401 GR HL A   (AV)</v>
      </c>
      <c r="C473" s="18">
        <f>'Sampling Data'!B473</f>
        <v>3</v>
      </c>
      <c r="D473" s="18">
        <f>'Sampling Data'!C473</f>
        <v>0</v>
      </c>
      <c r="E473" s="19">
        <f>'Sampling Data'!D473</f>
        <v>0</v>
      </c>
      <c r="F473" s="19">
        <f>'Sampling Data'!E473</f>
        <v>0</v>
      </c>
      <c r="G473" s="19">
        <f>'Sampling Data'!F473</f>
        <v>0</v>
      </c>
      <c r="H473" s="19">
        <f>'Sampling Data'!G473</f>
        <v>0</v>
      </c>
      <c r="I473" s="19">
        <f>'Sampling Data'!H473</f>
        <v>0</v>
      </c>
      <c r="J473" s="19">
        <f>'Sampling Data'!I473</f>
        <v>0</v>
      </c>
      <c r="K473" s="19">
        <f>'Sampling Data'!J473</f>
        <v>0</v>
      </c>
      <c r="L473" s="19">
        <f>'Sampling Data'!K473</f>
        <v>0</v>
      </c>
      <c r="M473" s="19">
        <f>'Sampling Data'!L473</f>
        <v>0</v>
      </c>
      <c r="N473" s="19">
        <f>'Sampling Data'!M473</f>
        <v>0</v>
      </c>
      <c r="O473" s="18">
        <f>'Sampling Data'!N473</f>
        <v>0</v>
      </c>
      <c r="P473" s="18">
        <f>'Sampling Data'!O473</f>
        <v>0</v>
      </c>
      <c r="Q473" s="18">
        <f>'Sampling Data'!P473</f>
        <v>3</v>
      </c>
      <c r="R473" s="18">
        <f>'Sampling Data'!AJ473</f>
        <v>0</v>
      </c>
      <c r="S473" s="112"/>
      <c r="T473" s="112"/>
      <c r="U473" s="113"/>
      <c r="V473" s="113"/>
      <c r="W473" s="112"/>
      <c r="X473" s="112"/>
      <c r="Y473" s="112"/>
      <c r="Z473" s="112"/>
      <c r="AA473" s="15"/>
      <c r="AB473" s="15"/>
      <c r="AC473" s="15"/>
      <c r="AD473" s="15"/>
      <c r="AE473" s="114" t="str">
        <f>IF(NOT(ISBLANK(Audit[[#This Row],[Audit Winning Candidate]])), Audit[[#This Row],[Audit Winning Candidate]]-Audit[[#This Row],[Winning Candidate]], "")</f>
        <v/>
      </c>
      <c r="AF473" s="18" t="str">
        <f>IF(NOT(ISBLANK(Audit[[#This Row],[Audit Losing Candidate]])), Audit[[#This Row],[Audit Losing Candidate]]-Audit[[#This Row],[Losing Candidate]], "")</f>
        <v/>
      </c>
      <c r="AG473" s="18" t="str">
        <f>IF(NOT(ISBLANK(Audit[[#This Row],[Audit Candidate 3]])), Audit[[#This Row],[Audit Candidate 3]]-Audit[[#This Row],[Candidate 3]], "")</f>
        <v/>
      </c>
      <c r="AH473" s="18" t="str">
        <f>IF(NOT(ISBLANK(Audit[[#This Row],[Audit Candidate 4]])),Audit[[#This Row],[Audit Candidate 4]]-Audit[[#This Row],[Candidate 4]], "")</f>
        <v/>
      </c>
      <c r="AI473" s="18" t="str">
        <f>IF(NOT(ISBLANK(Audit[[#This Row],[Audit Candidate 5]])), Audit[[#This Row],[Audit Candidate 5]]-Audit[[#This Row],[Candidate 5]], "")</f>
        <v/>
      </c>
      <c r="AJ473" s="18" t="str">
        <f>IF(NOT(ISBLANK(Audit[[#This Row],[Audit Candidate 6]])), Audit[[#This Row],[Audit Candidate 6]]-Audit[[#This Row],[Candidate 6]], "")</f>
        <v/>
      </c>
      <c r="AK473" s="18" t="str">
        <f>IF(NOT(ISBLANK(Audit[[#This Row],[Audit Candidate 7]])), Audit[[#This Row],[Audit Candidate 7]]-Audit[[#This Row],[Candidate 7]], "")</f>
        <v/>
      </c>
      <c r="AL473" s="18" t="str">
        <f>IF(NOT(ISBLANK(Audit[[#This Row],[Audit Candidate 8]])), Audit[[#This Row],[Audit Candidate 8]]-Audit[[#This Row],[Candidate 8]], "")</f>
        <v/>
      </c>
      <c r="AM473" s="18" t="str">
        <f>IF(NOT(ISBLANK(Audit[[#This Row],[Audit Candidate 9]])), Audit[[#This Row],[Audit Candidate 9]]-Audit[[#This Row],[Candidate 9]], "")</f>
        <v/>
      </c>
      <c r="AN473" s="18" t="str">
        <f>IF(NOT(ISBLANK(Audit[[#This Row],[Audit Candidate 10]])), Audit[[#This Row],[Audit Candidate 10]]-Audit[[#This Row],[Candidate 10]], "")</f>
        <v/>
      </c>
      <c r="AO473" s="18" t="str">
        <f>IF(NOT(ISBLANK(Audit[[#This Row],[Audit Candidate 11]])), Audit[[#This Row],[Audit Candidate 11]]-Audit[[#This Row],[Candidate 11]], "")</f>
        <v/>
      </c>
      <c r="AP473" s="18" t="str">
        <f>IF(NOT(ISBLANK(Audit[[#This Row],[Audit Candidate 12]])), Audit[[#This Row],[Audit Candidate 12]]-Audit[[#This Row],[Candidate 12]], "")</f>
        <v/>
      </c>
      <c r="AQ473" s="18">
        <f>SUMIF(Audit[[#This Row],[Difference Winner]:[Difference Candidate 12]], "&gt;0")</f>
        <v>0</v>
      </c>
      <c r="AR473" s="18">
        <f>SUM(Audit[[#This Row],[Difference Winner]:[Difference Candidate 12]])</f>
        <v>0</v>
      </c>
      <c r="AS473" s="18">
        <f>IF(Audit[[#This Row],[Times p Drawn - With Replacement]]&gt;0, IF(Audit[[#This Row],[Canceled Differences]]&lt;0, Audit[[#This Row],[Max Differences]]+ABS(Audit[[#This Row],[Canceled Differences]]), Audit[[#This Row],[Max Differences]]), 0)</f>
        <v>0</v>
      </c>
      <c r="AT473" s="18">
        <f>'Sampling Data'!AB473</f>
        <v>1.8845996796180544E-4</v>
      </c>
      <c r="AU473" s="18">
        <f>IF(
      SUM(Audit[[#This Row],[Audit Losing Candidate]:[Audit Candidate 12]])
      &lt;&gt;0,
      (Audit[[#This Row],[Winning Candidate]]-Audit[[#This Row],[Losing Candidate]]-(Audit[[#This Row],[Audit Winning Candidate]]-Audit[[#This Row],[Audit Losing Candidate]]))/(Audit[[#Totals],[Winning Candidate]]-Audit[[#Totals],[Losing Candidate]]),
      0
)</f>
        <v>0</v>
      </c>
      <c r="AV4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8">
        <f>IF(Audit[[#This Row],[Max Relative Error (ep)]] = 0, 0, Audit[[#This Row],[Max Relative Error (ep)]]/Audit[[#This Row],[Error Bound (up) - Max. possible relative overstatement]])</f>
        <v>0</v>
      </c>
      <c r="BH4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3" s="18">
        <f t="shared" si="8"/>
        <v>1</v>
      </c>
      <c r="BJ473" s="18">
        <f>PRODUCT($BI$5:BI473)</f>
        <v>0.32656797278968008</v>
      </c>
      <c r="BK473" s="20">
        <f>1 - Audit[[#This Row],[K-M P Value]]</f>
        <v>0.67343202721031992</v>
      </c>
      <c r="BL473" s="18" t="str">
        <f>IF(Audit[[#This Row],[K-M P Value]]&gt;1-'General Info'!$B$12,"Continue", "Stop")</f>
        <v>Continue</v>
      </c>
      <c r="BM473" s="23" t="b">
        <f>IF(Audit[[#This Row],[Status - Continue or stop audit]] = "Continue", TRUE, IF(BL472 = "Continue", TRUE, FALSE))</f>
        <v>1</v>
      </c>
      <c r="BN473" s="23"/>
    </row>
    <row r="474" spans="1:66" ht="15" hidden="1" customHeight="1" x14ac:dyDescent="0.35">
      <c r="A474" s="18" t="str">
        <f>'Sampling Data'!AI474</f>
        <v/>
      </c>
      <c r="B474" s="18" t="str">
        <f>'Sampling Data'!A474</f>
        <v>7402 GR HL B   (AV)</v>
      </c>
      <c r="C474" s="18">
        <f>'Sampling Data'!B474</f>
        <v>3</v>
      </c>
      <c r="D474" s="18">
        <f>'Sampling Data'!C474</f>
        <v>1</v>
      </c>
      <c r="E474" s="19">
        <f>'Sampling Data'!D474</f>
        <v>0</v>
      </c>
      <c r="F474" s="19">
        <f>'Sampling Data'!E474</f>
        <v>0</v>
      </c>
      <c r="G474" s="19">
        <f>'Sampling Data'!F474</f>
        <v>0</v>
      </c>
      <c r="H474" s="19">
        <f>'Sampling Data'!G474</f>
        <v>0</v>
      </c>
      <c r="I474" s="19">
        <f>'Sampling Data'!H474</f>
        <v>0</v>
      </c>
      <c r="J474" s="19">
        <f>'Sampling Data'!I474</f>
        <v>0</v>
      </c>
      <c r="K474" s="19">
        <f>'Sampling Data'!J474</f>
        <v>0</v>
      </c>
      <c r="L474" s="19">
        <f>'Sampling Data'!K474</f>
        <v>0</v>
      </c>
      <c r="M474" s="19">
        <f>'Sampling Data'!L474</f>
        <v>0</v>
      </c>
      <c r="N474" s="19">
        <f>'Sampling Data'!M474</f>
        <v>0</v>
      </c>
      <c r="O474" s="18">
        <f>'Sampling Data'!N474</f>
        <v>0</v>
      </c>
      <c r="P474" s="18">
        <f>'Sampling Data'!O474</f>
        <v>0</v>
      </c>
      <c r="Q474" s="18">
        <f>'Sampling Data'!P474</f>
        <v>4</v>
      </c>
      <c r="R474" s="18">
        <f>'Sampling Data'!AJ474</f>
        <v>0</v>
      </c>
      <c r="S474" s="112"/>
      <c r="T474" s="112"/>
      <c r="U474" s="113"/>
      <c r="V474" s="113"/>
      <c r="W474" s="112"/>
      <c r="X474" s="112"/>
      <c r="Y474" s="112"/>
      <c r="Z474" s="112"/>
      <c r="AA474" s="15"/>
      <c r="AB474" s="15"/>
      <c r="AC474" s="15"/>
      <c r="AD474" s="15"/>
      <c r="AE474" s="114" t="str">
        <f>IF(NOT(ISBLANK(Audit[[#This Row],[Audit Winning Candidate]])), Audit[[#This Row],[Audit Winning Candidate]]-Audit[[#This Row],[Winning Candidate]], "")</f>
        <v/>
      </c>
      <c r="AF474" s="18" t="str">
        <f>IF(NOT(ISBLANK(Audit[[#This Row],[Audit Losing Candidate]])), Audit[[#This Row],[Audit Losing Candidate]]-Audit[[#This Row],[Losing Candidate]], "")</f>
        <v/>
      </c>
      <c r="AG474" s="18" t="str">
        <f>IF(NOT(ISBLANK(Audit[[#This Row],[Audit Candidate 3]])), Audit[[#This Row],[Audit Candidate 3]]-Audit[[#This Row],[Candidate 3]], "")</f>
        <v/>
      </c>
      <c r="AH474" s="18" t="str">
        <f>IF(NOT(ISBLANK(Audit[[#This Row],[Audit Candidate 4]])),Audit[[#This Row],[Audit Candidate 4]]-Audit[[#This Row],[Candidate 4]], "")</f>
        <v/>
      </c>
      <c r="AI474" s="18" t="str">
        <f>IF(NOT(ISBLANK(Audit[[#This Row],[Audit Candidate 5]])), Audit[[#This Row],[Audit Candidate 5]]-Audit[[#This Row],[Candidate 5]], "")</f>
        <v/>
      </c>
      <c r="AJ474" s="18" t="str">
        <f>IF(NOT(ISBLANK(Audit[[#This Row],[Audit Candidate 6]])), Audit[[#This Row],[Audit Candidate 6]]-Audit[[#This Row],[Candidate 6]], "")</f>
        <v/>
      </c>
      <c r="AK474" s="18" t="str">
        <f>IF(NOT(ISBLANK(Audit[[#This Row],[Audit Candidate 7]])), Audit[[#This Row],[Audit Candidate 7]]-Audit[[#This Row],[Candidate 7]], "")</f>
        <v/>
      </c>
      <c r="AL474" s="18" t="str">
        <f>IF(NOT(ISBLANK(Audit[[#This Row],[Audit Candidate 8]])), Audit[[#This Row],[Audit Candidate 8]]-Audit[[#This Row],[Candidate 8]], "")</f>
        <v/>
      </c>
      <c r="AM474" s="18" t="str">
        <f>IF(NOT(ISBLANK(Audit[[#This Row],[Audit Candidate 9]])), Audit[[#This Row],[Audit Candidate 9]]-Audit[[#This Row],[Candidate 9]], "")</f>
        <v/>
      </c>
      <c r="AN474" s="18" t="str">
        <f>IF(NOT(ISBLANK(Audit[[#This Row],[Audit Candidate 10]])), Audit[[#This Row],[Audit Candidate 10]]-Audit[[#This Row],[Candidate 10]], "")</f>
        <v/>
      </c>
      <c r="AO474" s="18" t="str">
        <f>IF(NOT(ISBLANK(Audit[[#This Row],[Audit Candidate 11]])), Audit[[#This Row],[Audit Candidate 11]]-Audit[[#This Row],[Candidate 11]], "")</f>
        <v/>
      </c>
      <c r="AP474" s="18" t="str">
        <f>IF(NOT(ISBLANK(Audit[[#This Row],[Audit Candidate 12]])), Audit[[#This Row],[Audit Candidate 12]]-Audit[[#This Row],[Candidate 12]], "")</f>
        <v/>
      </c>
      <c r="AQ474" s="18">
        <f>SUMIF(Audit[[#This Row],[Difference Winner]:[Difference Candidate 12]], "&gt;0")</f>
        <v>0</v>
      </c>
      <c r="AR474" s="18">
        <f>SUM(Audit[[#This Row],[Difference Winner]:[Difference Candidate 12]])</f>
        <v>0</v>
      </c>
      <c r="AS474" s="18">
        <f>IF(Audit[[#This Row],[Times p Drawn - With Replacement]]&gt;0, IF(Audit[[#This Row],[Canceled Differences]]&lt;0, Audit[[#This Row],[Max Differences]]+ABS(Audit[[#This Row],[Canceled Differences]]), Audit[[#This Row],[Max Differences]]), 0)</f>
        <v>0</v>
      </c>
      <c r="AT474" s="18">
        <f>'Sampling Data'!AB474</f>
        <v>1.8845996796180544E-4</v>
      </c>
      <c r="AU474" s="18">
        <f>IF(
      SUM(Audit[[#This Row],[Audit Losing Candidate]:[Audit Candidate 12]])
      &lt;&gt;0,
      (Audit[[#This Row],[Winning Candidate]]-Audit[[#This Row],[Losing Candidate]]-(Audit[[#This Row],[Audit Winning Candidate]]-Audit[[#This Row],[Audit Losing Candidate]]))/(Audit[[#Totals],[Winning Candidate]]-Audit[[#Totals],[Losing Candidate]]),
      0
)</f>
        <v>0</v>
      </c>
      <c r="AV4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8">
        <f>IF(Audit[[#This Row],[Max Relative Error (ep)]] = 0, 0, Audit[[#This Row],[Max Relative Error (ep)]]/Audit[[#This Row],[Error Bound (up) - Max. possible relative overstatement]])</f>
        <v>0</v>
      </c>
      <c r="BH4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4" s="18">
        <f t="shared" si="8"/>
        <v>1</v>
      </c>
      <c r="BJ474" s="18">
        <f>PRODUCT($BI$5:BI474)</f>
        <v>0.32656797278968008</v>
      </c>
      <c r="BK474" s="20">
        <f>1 - Audit[[#This Row],[K-M P Value]]</f>
        <v>0.67343202721031992</v>
      </c>
      <c r="BL474" s="18" t="str">
        <f>IF(Audit[[#This Row],[K-M P Value]]&gt;1-'General Info'!$B$12,"Continue", "Stop")</f>
        <v>Continue</v>
      </c>
      <c r="BM474" s="23" t="b">
        <f>IF(Audit[[#This Row],[Status - Continue or stop audit]] = "Continue", TRUE, IF(BL473 = "Continue", TRUE, FALSE))</f>
        <v>1</v>
      </c>
      <c r="BN474" s="23"/>
    </row>
    <row r="475" spans="1:66" ht="15" hidden="1" customHeight="1" x14ac:dyDescent="0.35">
      <c r="A475" s="18" t="str">
        <f>'Sampling Data'!AI475</f>
        <v/>
      </c>
      <c r="B475" s="18" t="str">
        <f>'Sampling Data'!A475</f>
        <v>7403 GR HL C   (AV)</v>
      </c>
      <c r="C475" s="18">
        <f>'Sampling Data'!B475</f>
        <v>3</v>
      </c>
      <c r="D475" s="18">
        <f>'Sampling Data'!C475</f>
        <v>0</v>
      </c>
      <c r="E475" s="19">
        <f>'Sampling Data'!D475</f>
        <v>0</v>
      </c>
      <c r="F475" s="19">
        <f>'Sampling Data'!E475</f>
        <v>0</v>
      </c>
      <c r="G475" s="19">
        <f>'Sampling Data'!F475</f>
        <v>0</v>
      </c>
      <c r="H475" s="19">
        <f>'Sampling Data'!G475</f>
        <v>0</v>
      </c>
      <c r="I475" s="19">
        <f>'Sampling Data'!H475</f>
        <v>0</v>
      </c>
      <c r="J475" s="19">
        <f>'Sampling Data'!I475</f>
        <v>0</v>
      </c>
      <c r="K475" s="19">
        <f>'Sampling Data'!J475</f>
        <v>0</v>
      </c>
      <c r="L475" s="19">
        <f>'Sampling Data'!K475</f>
        <v>0</v>
      </c>
      <c r="M475" s="19">
        <f>'Sampling Data'!L475</f>
        <v>0</v>
      </c>
      <c r="N475" s="19">
        <f>'Sampling Data'!M475</f>
        <v>0</v>
      </c>
      <c r="O475" s="18">
        <f>'Sampling Data'!N475</f>
        <v>0</v>
      </c>
      <c r="P475" s="18">
        <f>'Sampling Data'!O475</f>
        <v>0</v>
      </c>
      <c r="Q475" s="18">
        <f>'Sampling Data'!P475</f>
        <v>3</v>
      </c>
      <c r="R475" s="18">
        <f>'Sampling Data'!AJ475</f>
        <v>0</v>
      </c>
      <c r="S475" s="112"/>
      <c r="T475" s="112"/>
      <c r="U475" s="113"/>
      <c r="V475" s="113"/>
      <c r="W475" s="112"/>
      <c r="X475" s="112"/>
      <c r="Y475" s="112"/>
      <c r="Z475" s="112"/>
      <c r="AA475" s="15"/>
      <c r="AB475" s="15"/>
      <c r="AC475" s="15"/>
      <c r="AD475" s="15"/>
      <c r="AE475" s="114" t="str">
        <f>IF(NOT(ISBLANK(Audit[[#This Row],[Audit Winning Candidate]])), Audit[[#This Row],[Audit Winning Candidate]]-Audit[[#This Row],[Winning Candidate]], "")</f>
        <v/>
      </c>
      <c r="AF475" s="18" t="str">
        <f>IF(NOT(ISBLANK(Audit[[#This Row],[Audit Losing Candidate]])), Audit[[#This Row],[Audit Losing Candidate]]-Audit[[#This Row],[Losing Candidate]], "")</f>
        <v/>
      </c>
      <c r="AG475" s="18" t="str">
        <f>IF(NOT(ISBLANK(Audit[[#This Row],[Audit Candidate 3]])), Audit[[#This Row],[Audit Candidate 3]]-Audit[[#This Row],[Candidate 3]], "")</f>
        <v/>
      </c>
      <c r="AH475" s="18" t="str">
        <f>IF(NOT(ISBLANK(Audit[[#This Row],[Audit Candidate 4]])),Audit[[#This Row],[Audit Candidate 4]]-Audit[[#This Row],[Candidate 4]], "")</f>
        <v/>
      </c>
      <c r="AI475" s="18" t="str">
        <f>IF(NOT(ISBLANK(Audit[[#This Row],[Audit Candidate 5]])), Audit[[#This Row],[Audit Candidate 5]]-Audit[[#This Row],[Candidate 5]], "")</f>
        <v/>
      </c>
      <c r="AJ475" s="18" t="str">
        <f>IF(NOT(ISBLANK(Audit[[#This Row],[Audit Candidate 6]])), Audit[[#This Row],[Audit Candidate 6]]-Audit[[#This Row],[Candidate 6]], "")</f>
        <v/>
      </c>
      <c r="AK475" s="18" t="str">
        <f>IF(NOT(ISBLANK(Audit[[#This Row],[Audit Candidate 7]])), Audit[[#This Row],[Audit Candidate 7]]-Audit[[#This Row],[Candidate 7]], "")</f>
        <v/>
      </c>
      <c r="AL475" s="18" t="str">
        <f>IF(NOT(ISBLANK(Audit[[#This Row],[Audit Candidate 8]])), Audit[[#This Row],[Audit Candidate 8]]-Audit[[#This Row],[Candidate 8]], "")</f>
        <v/>
      </c>
      <c r="AM475" s="18" t="str">
        <f>IF(NOT(ISBLANK(Audit[[#This Row],[Audit Candidate 9]])), Audit[[#This Row],[Audit Candidate 9]]-Audit[[#This Row],[Candidate 9]], "")</f>
        <v/>
      </c>
      <c r="AN475" s="18" t="str">
        <f>IF(NOT(ISBLANK(Audit[[#This Row],[Audit Candidate 10]])), Audit[[#This Row],[Audit Candidate 10]]-Audit[[#This Row],[Candidate 10]], "")</f>
        <v/>
      </c>
      <c r="AO475" s="18" t="str">
        <f>IF(NOT(ISBLANK(Audit[[#This Row],[Audit Candidate 11]])), Audit[[#This Row],[Audit Candidate 11]]-Audit[[#This Row],[Candidate 11]], "")</f>
        <v/>
      </c>
      <c r="AP475" s="18" t="str">
        <f>IF(NOT(ISBLANK(Audit[[#This Row],[Audit Candidate 12]])), Audit[[#This Row],[Audit Candidate 12]]-Audit[[#This Row],[Candidate 12]], "")</f>
        <v/>
      </c>
      <c r="AQ475" s="18">
        <f>SUMIF(Audit[[#This Row],[Difference Winner]:[Difference Candidate 12]], "&gt;0")</f>
        <v>0</v>
      </c>
      <c r="AR475" s="18">
        <f>SUM(Audit[[#This Row],[Difference Winner]:[Difference Candidate 12]])</f>
        <v>0</v>
      </c>
      <c r="AS475" s="18">
        <f>IF(Audit[[#This Row],[Times p Drawn - With Replacement]]&gt;0, IF(Audit[[#This Row],[Canceled Differences]]&lt;0, Audit[[#This Row],[Max Differences]]+ABS(Audit[[#This Row],[Canceled Differences]]), Audit[[#This Row],[Max Differences]]), 0)</f>
        <v>0</v>
      </c>
      <c r="AT475" s="18">
        <f>'Sampling Data'!AB475</f>
        <v>1.8845996796180544E-4</v>
      </c>
      <c r="AU475" s="18">
        <f>IF(
      SUM(Audit[[#This Row],[Audit Losing Candidate]:[Audit Candidate 12]])
      &lt;&gt;0,
      (Audit[[#This Row],[Winning Candidate]]-Audit[[#This Row],[Losing Candidate]]-(Audit[[#This Row],[Audit Winning Candidate]]-Audit[[#This Row],[Audit Losing Candidate]]))/(Audit[[#Totals],[Winning Candidate]]-Audit[[#Totals],[Losing Candidate]]),
      0
)</f>
        <v>0</v>
      </c>
      <c r="AV4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8">
        <f>IF(Audit[[#This Row],[Max Relative Error (ep)]] = 0, 0, Audit[[#This Row],[Max Relative Error (ep)]]/Audit[[#This Row],[Error Bound (up) - Max. possible relative overstatement]])</f>
        <v>0</v>
      </c>
      <c r="BH4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5" s="18">
        <f t="shared" si="8"/>
        <v>1</v>
      </c>
      <c r="BJ475" s="18">
        <f>PRODUCT($BI$5:BI475)</f>
        <v>0.32656797278968008</v>
      </c>
      <c r="BK475" s="20">
        <f>1 - Audit[[#This Row],[K-M P Value]]</f>
        <v>0.67343202721031992</v>
      </c>
      <c r="BL475" s="18" t="str">
        <f>IF(Audit[[#This Row],[K-M P Value]]&gt;1-'General Info'!$B$12,"Continue", "Stop")</f>
        <v>Continue</v>
      </c>
      <c r="BM475" s="23" t="b">
        <f>IF(Audit[[#This Row],[Status - Continue or stop audit]] = "Continue", TRUE, IF(BL474 = "Continue", TRUE, FALSE))</f>
        <v>1</v>
      </c>
      <c r="BN475" s="23"/>
    </row>
    <row r="476" spans="1:66" ht="15" hidden="1" customHeight="1" x14ac:dyDescent="0.35">
      <c r="A476" s="18" t="str">
        <f>'Sampling Data'!AI476</f>
        <v/>
      </c>
      <c r="B476" s="18" t="str">
        <f>'Sampling Data'!A476</f>
        <v>7601 HARR AA   (AV)</v>
      </c>
      <c r="C476" s="18">
        <f>'Sampling Data'!B476</f>
        <v>20</v>
      </c>
      <c r="D476" s="18">
        <f>'Sampling Data'!C476</f>
        <v>1</v>
      </c>
      <c r="E476" s="19">
        <f>'Sampling Data'!D476</f>
        <v>0</v>
      </c>
      <c r="F476" s="19">
        <f>'Sampling Data'!E476</f>
        <v>0</v>
      </c>
      <c r="G476" s="19">
        <f>'Sampling Data'!F476</f>
        <v>0</v>
      </c>
      <c r="H476" s="19">
        <f>'Sampling Data'!G476</f>
        <v>0</v>
      </c>
      <c r="I476" s="19">
        <f>'Sampling Data'!H476</f>
        <v>0</v>
      </c>
      <c r="J476" s="19">
        <f>'Sampling Data'!I476</f>
        <v>0</v>
      </c>
      <c r="K476" s="19">
        <f>'Sampling Data'!J476</f>
        <v>0</v>
      </c>
      <c r="L476" s="19">
        <f>'Sampling Data'!K476</f>
        <v>0</v>
      </c>
      <c r="M476" s="19">
        <f>'Sampling Data'!L476</f>
        <v>0</v>
      </c>
      <c r="N476" s="19">
        <f>'Sampling Data'!M476</f>
        <v>0</v>
      </c>
      <c r="O476" s="18">
        <f>'Sampling Data'!N476</f>
        <v>0</v>
      </c>
      <c r="P476" s="18">
        <f>'Sampling Data'!O476</f>
        <v>0</v>
      </c>
      <c r="Q476" s="18">
        <f>'Sampling Data'!P476</f>
        <v>21</v>
      </c>
      <c r="R476" s="18">
        <f>'Sampling Data'!AJ476</f>
        <v>0</v>
      </c>
      <c r="S476" s="112"/>
      <c r="T476" s="112"/>
      <c r="U476" s="113"/>
      <c r="V476" s="113"/>
      <c r="W476" s="112"/>
      <c r="X476" s="112"/>
      <c r="Y476" s="112"/>
      <c r="Z476" s="112"/>
      <c r="AA476" s="15"/>
      <c r="AB476" s="15"/>
      <c r="AC476" s="15"/>
      <c r="AD476" s="15"/>
      <c r="AE476" s="114" t="str">
        <f>IF(NOT(ISBLANK(Audit[[#This Row],[Audit Winning Candidate]])), Audit[[#This Row],[Audit Winning Candidate]]-Audit[[#This Row],[Winning Candidate]], "")</f>
        <v/>
      </c>
      <c r="AF476" s="18" t="str">
        <f>IF(NOT(ISBLANK(Audit[[#This Row],[Audit Losing Candidate]])), Audit[[#This Row],[Audit Losing Candidate]]-Audit[[#This Row],[Losing Candidate]], "")</f>
        <v/>
      </c>
      <c r="AG476" s="18" t="str">
        <f>IF(NOT(ISBLANK(Audit[[#This Row],[Audit Candidate 3]])), Audit[[#This Row],[Audit Candidate 3]]-Audit[[#This Row],[Candidate 3]], "")</f>
        <v/>
      </c>
      <c r="AH476" s="18" t="str">
        <f>IF(NOT(ISBLANK(Audit[[#This Row],[Audit Candidate 4]])),Audit[[#This Row],[Audit Candidate 4]]-Audit[[#This Row],[Candidate 4]], "")</f>
        <v/>
      </c>
      <c r="AI476" s="18" t="str">
        <f>IF(NOT(ISBLANK(Audit[[#This Row],[Audit Candidate 5]])), Audit[[#This Row],[Audit Candidate 5]]-Audit[[#This Row],[Candidate 5]], "")</f>
        <v/>
      </c>
      <c r="AJ476" s="18" t="str">
        <f>IF(NOT(ISBLANK(Audit[[#This Row],[Audit Candidate 6]])), Audit[[#This Row],[Audit Candidate 6]]-Audit[[#This Row],[Candidate 6]], "")</f>
        <v/>
      </c>
      <c r="AK476" s="18" t="str">
        <f>IF(NOT(ISBLANK(Audit[[#This Row],[Audit Candidate 7]])), Audit[[#This Row],[Audit Candidate 7]]-Audit[[#This Row],[Candidate 7]], "")</f>
        <v/>
      </c>
      <c r="AL476" s="18" t="str">
        <f>IF(NOT(ISBLANK(Audit[[#This Row],[Audit Candidate 8]])), Audit[[#This Row],[Audit Candidate 8]]-Audit[[#This Row],[Candidate 8]], "")</f>
        <v/>
      </c>
      <c r="AM476" s="18" t="str">
        <f>IF(NOT(ISBLANK(Audit[[#This Row],[Audit Candidate 9]])), Audit[[#This Row],[Audit Candidate 9]]-Audit[[#This Row],[Candidate 9]], "")</f>
        <v/>
      </c>
      <c r="AN476" s="18" t="str">
        <f>IF(NOT(ISBLANK(Audit[[#This Row],[Audit Candidate 10]])), Audit[[#This Row],[Audit Candidate 10]]-Audit[[#This Row],[Candidate 10]], "")</f>
        <v/>
      </c>
      <c r="AO476" s="18" t="str">
        <f>IF(NOT(ISBLANK(Audit[[#This Row],[Audit Candidate 11]])), Audit[[#This Row],[Audit Candidate 11]]-Audit[[#This Row],[Candidate 11]], "")</f>
        <v/>
      </c>
      <c r="AP476" s="18" t="str">
        <f>IF(NOT(ISBLANK(Audit[[#This Row],[Audit Candidate 12]])), Audit[[#This Row],[Audit Candidate 12]]-Audit[[#This Row],[Candidate 12]], "")</f>
        <v/>
      </c>
      <c r="AQ476" s="18">
        <f>SUMIF(Audit[[#This Row],[Difference Winner]:[Difference Candidate 12]], "&gt;0")</f>
        <v>0</v>
      </c>
      <c r="AR476" s="18">
        <f>SUM(Audit[[#This Row],[Difference Winner]:[Difference Candidate 12]])</f>
        <v>0</v>
      </c>
      <c r="AS476" s="18">
        <f>IF(Audit[[#This Row],[Times p Drawn - With Replacement]]&gt;0, IF(Audit[[#This Row],[Canceled Differences]]&lt;0, Audit[[#This Row],[Max Differences]]+ABS(Audit[[#This Row],[Canceled Differences]]), Audit[[#This Row],[Max Differences]]), 0)</f>
        <v>0</v>
      </c>
      <c r="AT476" s="18">
        <f>'Sampling Data'!AB476</f>
        <v>1.2563997864120362E-3</v>
      </c>
      <c r="AU476" s="18">
        <f>IF(
      SUM(Audit[[#This Row],[Audit Losing Candidate]:[Audit Candidate 12]])
      &lt;&gt;0,
      (Audit[[#This Row],[Winning Candidate]]-Audit[[#This Row],[Losing Candidate]]-(Audit[[#This Row],[Audit Winning Candidate]]-Audit[[#This Row],[Audit Losing Candidate]]))/(Audit[[#Totals],[Winning Candidate]]-Audit[[#Totals],[Losing Candidate]]),
      0
)</f>
        <v>0</v>
      </c>
      <c r="AV4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8">
        <f>IF(Audit[[#This Row],[Max Relative Error (ep)]] = 0, 0, Audit[[#This Row],[Max Relative Error (ep)]]/Audit[[#This Row],[Error Bound (up) - Max. possible relative overstatement]])</f>
        <v>0</v>
      </c>
      <c r="BH4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6" s="18">
        <f t="shared" si="8"/>
        <v>1</v>
      </c>
      <c r="BJ476" s="18">
        <f>PRODUCT($BI$5:BI476)</f>
        <v>0.32656797278968008</v>
      </c>
      <c r="BK476" s="20">
        <f>1 - Audit[[#This Row],[K-M P Value]]</f>
        <v>0.67343202721031992</v>
      </c>
      <c r="BL476" s="18" t="str">
        <f>IF(Audit[[#This Row],[K-M P Value]]&gt;1-'General Info'!$B$12,"Continue", "Stop")</f>
        <v>Continue</v>
      </c>
      <c r="BM476" s="23" t="b">
        <f>IF(Audit[[#This Row],[Status - Continue or stop audit]] = "Continue", TRUE, IF(BL475 = "Continue", TRUE, FALSE))</f>
        <v>1</v>
      </c>
      <c r="BN476" s="23"/>
    </row>
    <row r="477" spans="1:66" ht="15" hidden="1" customHeight="1" x14ac:dyDescent="0.35">
      <c r="A477" s="18" t="str">
        <f>'Sampling Data'!AI477</f>
        <v/>
      </c>
      <c r="B477" s="18" t="str">
        <f>'Sampling Data'!A477</f>
        <v>7602 HARR BB   (AV)</v>
      </c>
      <c r="C477" s="18">
        <f>'Sampling Data'!B477</f>
        <v>18</v>
      </c>
      <c r="D477" s="18">
        <f>'Sampling Data'!C477</f>
        <v>1</v>
      </c>
      <c r="E477" s="19">
        <f>'Sampling Data'!D477</f>
        <v>0</v>
      </c>
      <c r="F477" s="19">
        <f>'Sampling Data'!E477</f>
        <v>0</v>
      </c>
      <c r="G477" s="19">
        <f>'Sampling Data'!F477</f>
        <v>0</v>
      </c>
      <c r="H477" s="19">
        <f>'Sampling Data'!G477</f>
        <v>0</v>
      </c>
      <c r="I477" s="19">
        <f>'Sampling Data'!H477</f>
        <v>0</v>
      </c>
      <c r="J477" s="19">
        <f>'Sampling Data'!I477</f>
        <v>0</v>
      </c>
      <c r="K477" s="19">
        <f>'Sampling Data'!J477</f>
        <v>0</v>
      </c>
      <c r="L477" s="19">
        <f>'Sampling Data'!K477</f>
        <v>0</v>
      </c>
      <c r="M477" s="19">
        <f>'Sampling Data'!L477</f>
        <v>0</v>
      </c>
      <c r="N477" s="19">
        <f>'Sampling Data'!M477</f>
        <v>0</v>
      </c>
      <c r="O477" s="18">
        <f>'Sampling Data'!N477</f>
        <v>0</v>
      </c>
      <c r="P477" s="18">
        <f>'Sampling Data'!O477</f>
        <v>1</v>
      </c>
      <c r="Q477" s="18">
        <f>'Sampling Data'!P477</f>
        <v>20</v>
      </c>
      <c r="R477" s="18">
        <f>'Sampling Data'!AJ477</f>
        <v>0</v>
      </c>
      <c r="S477" s="112"/>
      <c r="T477" s="112"/>
      <c r="U477" s="113"/>
      <c r="V477" s="113"/>
      <c r="W477" s="112"/>
      <c r="X477" s="112"/>
      <c r="Y477" s="112"/>
      <c r="Z477" s="112"/>
      <c r="AA477" s="15"/>
      <c r="AB477" s="15"/>
      <c r="AC477" s="15"/>
      <c r="AD477" s="15"/>
      <c r="AE477" s="114" t="str">
        <f>IF(NOT(ISBLANK(Audit[[#This Row],[Audit Winning Candidate]])), Audit[[#This Row],[Audit Winning Candidate]]-Audit[[#This Row],[Winning Candidate]], "")</f>
        <v/>
      </c>
      <c r="AF477" s="18" t="str">
        <f>IF(NOT(ISBLANK(Audit[[#This Row],[Audit Losing Candidate]])), Audit[[#This Row],[Audit Losing Candidate]]-Audit[[#This Row],[Losing Candidate]], "")</f>
        <v/>
      </c>
      <c r="AG477" s="18" t="str">
        <f>IF(NOT(ISBLANK(Audit[[#This Row],[Audit Candidate 3]])), Audit[[#This Row],[Audit Candidate 3]]-Audit[[#This Row],[Candidate 3]], "")</f>
        <v/>
      </c>
      <c r="AH477" s="18" t="str">
        <f>IF(NOT(ISBLANK(Audit[[#This Row],[Audit Candidate 4]])),Audit[[#This Row],[Audit Candidate 4]]-Audit[[#This Row],[Candidate 4]], "")</f>
        <v/>
      </c>
      <c r="AI477" s="18" t="str">
        <f>IF(NOT(ISBLANK(Audit[[#This Row],[Audit Candidate 5]])), Audit[[#This Row],[Audit Candidate 5]]-Audit[[#This Row],[Candidate 5]], "")</f>
        <v/>
      </c>
      <c r="AJ477" s="18" t="str">
        <f>IF(NOT(ISBLANK(Audit[[#This Row],[Audit Candidate 6]])), Audit[[#This Row],[Audit Candidate 6]]-Audit[[#This Row],[Candidate 6]], "")</f>
        <v/>
      </c>
      <c r="AK477" s="18" t="str">
        <f>IF(NOT(ISBLANK(Audit[[#This Row],[Audit Candidate 7]])), Audit[[#This Row],[Audit Candidate 7]]-Audit[[#This Row],[Candidate 7]], "")</f>
        <v/>
      </c>
      <c r="AL477" s="18" t="str">
        <f>IF(NOT(ISBLANK(Audit[[#This Row],[Audit Candidate 8]])), Audit[[#This Row],[Audit Candidate 8]]-Audit[[#This Row],[Candidate 8]], "")</f>
        <v/>
      </c>
      <c r="AM477" s="18" t="str">
        <f>IF(NOT(ISBLANK(Audit[[#This Row],[Audit Candidate 9]])), Audit[[#This Row],[Audit Candidate 9]]-Audit[[#This Row],[Candidate 9]], "")</f>
        <v/>
      </c>
      <c r="AN477" s="18" t="str">
        <f>IF(NOT(ISBLANK(Audit[[#This Row],[Audit Candidate 10]])), Audit[[#This Row],[Audit Candidate 10]]-Audit[[#This Row],[Candidate 10]], "")</f>
        <v/>
      </c>
      <c r="AO477" s="18" t="str">
        <f>IF(NOT(ISBLANK(Audit[[#This Row],[Audit Candidate 11]])), Audit[[#This Row],[Audit Candidate 11]]-Audit[[#This Row],[Candidate 11]], "")</f>
        <v/>
      </c>
      <c r="AP477" s="18" t="str">
        <f>IF(NOT(ISBLANK(Audit[[#This Row],[Audit Candidate 12]])), Audit[[#This Row],[Audit Candidate 12]]-Audit[[#This Row],[Candidate 12]], "")</f>
        <v/>
      </c>
      <c r="AQ477" s="18">
        <f>SUMIF(Audit[[#This Row],[Difference Winner]:[Difference Candidate 12]], "&gt;0")</f>
        <v>0</v>
      </c>
      <c r="AR477" s="18">
        <f>SUM(Audit[[#This Row],[Difference Winner]:[Difference Candidate 12]])</f>
        <v>0</v>
      </c>
      <c r="AS477" s="18">
        <f>IF(Audit[[#This Row],[Times p Drawn - With Replacement]]&gt;0, IF(Audit[[#This Row],[Canceled Differences]]&lt;0, Audit[[#This Row],[Max Differences]]+ABS(Audit[[#This Row],[Canceled Differences]]), Audit[[#This Row],[Max Differences]]), 0)</f>
        <v>0</v>
      </c>
      <c r="AT477" s="18">
        <f>'Sampling Data'!AB477</f>
        <v>1.1621698024311335E-3</v>
      </c>
      <c r="AU477" s="18">
        <f>IF(
      SUM(Audit[[#This Row],[Audit Losing Candidate]:[Audit Candidate 12]])
      &lt;&gt;0,
      (Audit[[#This Row],[Winning Candidate]]-Audit[[#This Row],[Losing Candidate]]-(Audit[[#This Row],[Audit Winning Candidate]]-Audit[[#This Row],[Audit Losing Candidate]]))/(Audit[[#Totals],[Winning Candidate]]-Audit[[#Totals],[Losing Candidate]]),
      0
)</f>
        <v>0</v>
      </c>
      <c r="AV4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8">
        <f>IF(Audit[[#This Row],[Max Relative Error (ep)]] = 0, 0, Audit[[#This Row],[Max Relative Error (ep)]]/Audit[[#This Row],[Error Bound (up) - Max. possible relative overstatement]])</f>
        <v>0</v>
      </c>
      <c r="BH4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7" s="18">
        <f t="shared" si="8"/>
        <v>1</v>
      </c>
      <c r="BJ477" s="18">
        <f>PRODUCT($BI$5:BI477)</f>
        <v>0.32656797278968008</v>
      </c>
      <c r="BK477" s="20">
        <f>1 - Audit[[#This Row],[K-M P Value]]</f>
        <v>0.67343202721031992</v>
      </c>
      <c r="BL477" s="18" t="str">
        <f>IF(Audit[[#This Row],[K-M P Value]]&gt;1-'General Info'!$B$12,"Continue", "Stop")</f>
        <v>Continue</v>
      </c>
      <c r="BM477" s="23" t="b">
        <f>IF(Audit[[#This Row],[Status - Continue or stop audit]] = "Continue", TRUE, IF(BL476 = "Continue", TRUE, FALSE))</f>
        <v>1</v>
      </c>
      <c r="BN477" s="23"/>
    </row>
    <row r="478" spans="1:66" ht="15" hidden="1" customHeight="1" x14ac:dyDescent="0.35">
      <c r="A478" s="18" t="str">
        <f>'Sampling Data'!AI478</f>
        <v/>
      </c>
      <c r="B478" s="18" t="str">
        <f>'Sampling Data'!A478</f>
        <v>7603 HARR CC   (AV)</v>
      </c>
      <c r="C478" s="18">
        <f>'Sampling Data'!B478</f>
        <v>4</v>
      </c>
      <c r="D478" s="18">
        <f>'Sampling Data'!C478</f>
        <v>0</v>
      </c>
      <c r="E478" s="19">
        <f>'Sampling Data'!D478</f>
        <v>0</v>
      </c>
      <c r="F478" s="19">
        <f>'Sampling Data'!E478</f>
        <v>0</v>
      </c>
      <c r="G478" s="19">
        <f>'Sampling Data'!F478</f>
        <v>0</v>
      </c>
      <c r="H478" s="19">
        <f>'Sampling Data'!G478</f>
        <v>0</v>
      </c>
      <c r="I478" s="19">
        <f>'Sampling Data'!H478</f>
        <v>0</v>
      </c>
      <c r="J478" s="19">
        <f>'Sampling Data'!I478</f>
        <v>0</v>
      </c>
      <c r="K478" s="19">
        <f>'Sampling Data'!J478</f>
        <v>0</v>
      </c>
      <c r="L478" s="19">
        <f>'Sampling Data'!K478</f>
        <v>0</v>
      </c>
      <c r="M478" s="19">
        <f>'Sampling Data'!L478</f>
        <v>0</v>
      </c>
      <c r="N478" s="19">
        <f>'Sampling Data'!M478</f>
        <v>0</v>
      </c>
      <c r="O478" s="18">
        <f>'Sampling Data'!N478</f>
        <v>0</v>
      </c>
      <c r="P478" s="18">
        <f>'Sampling Data'!O478</f>
        <v>0</v>
      </c>
      <c r="Q478" s="18">
        <f>'Sampling Data'!P478</f>
        <v>4</v>
      </c>
      <c r="R478" s="18">
        <f>'Sampling Data'!AJ478</f>
        <v>0</v>
      </c>
      <c r="S478" s="112"/>
      <c r="T478" s="112"/>
      <c r="U478" s="113"/>
      <c r="V478" s="113"/>
      <c r="W478" s="112"/>
      <c r="X478" s="112"/>
      <c r="Y478" s="112"/>
      <c r="Z478" s="112"/>
      <c r="AA478" s="15"/>
      <c r="AB478" s="15"/>
      <c r="AC478" s="15"/>
      <c r="AD478" s="15"/>
      <c r="AE478" s="114" t="str">
        <f>IF(NOT(ISBLANK(Audit[[#This Row],[Audit Winning Candidate]])), Audit[[#This Row],[Audit Winning Candidate]]-Audit[[#This Row],[Winning Candidate]], "")</f>
        <v/>
      </c>
      <c r="AF478" s="18" t="str">
        <f>IF(NOT(ISBLANK(Audit[[#This Row],[Audit Losing Candidate]])), Audit[[#This Row],[Audit Losing Candidate]]-Audit[[#This Row],[Losing Candidate]], "")</f>
        <v/>
      </c>
      <c r="AG478" s="18" t="str">
        <f>IF(NOT(ISBLANK(Audit[[#This Row],[Audit Candidate 3]])), Audit[[#This Row],[Audit Candidate 3]]-Audit[[#This Row],[Candidate 3]], "")</f>
        <v/>
      </c>
      <c r="AH478" s="18" t="str">
        <f>IF(NOT(ISBLANK(Audit[[#This Row],[Audit Candidate 4]])),Audit[[#This Row],[Audit Candidate 4]]-Audit[[#This Row],[Candidate 4]], "")</f>
        <v/>
      </c>
      <c r="AI478" s="18" t="str">
        <f>IF(NOT(ISBLANK(Audit[[#This Row],[Audit Candidate 5]])), Audit[[#This Row],[Audit Candidate 5]]-Audit[[#This Row],[Candidate 5]], "")</f>
        <v/>
      </c>
      <c r="AJ478" s="18" t="str">
        <f>IF(NOT(ISBLANK(Audit[[#This Row],[Audit Candidate 6]])), Audit[[#This Row],[Audit Candidate 6]]-Audit[[#This Row],[Candidate 6]], "")</f>
        <v/>
      </c>
      <c r="AK478" s="18" t="str">
        <f>IF(NOT(ISBLANK(Audit[[#This Row],[Audit Candidate 7]])), Audit[[#This Row],[Audit Candidate 7]]-Audit[[#This Row],[Candidate 7]], "")</f>
        <v/>
      </c>
      <c r="AL478" s="18" t="str">
        <f>IF(NOT(ISBLANK(Audit[[#This Row],[Audit Candidate 8]])), Audit[[#This Row],[Audit Candidate 8]]-Audit[[#This Row],[Candidate 8]], "")</f>
        <v/>
      </c>
      <c r="AM478" s="18" t="str">
        <f>IF(NOT(ISBLANK(Audit[[#This Row],[Audit Candidate 9]])), Audit[[#This Row],[Audit Candidate 9]]-Audit[[#This Row],[Candidate 9]], "")</f>
        <v/>
      </c>
      <c r="AN478" s="18" t="str">
        <f>IF(NOT(ISBLANK(Audit[[#This Row],[Audit Candidate 10]])), Audit[[#This Row],[Audit Candidate 10]]-Audit[[#This Row],[Candidate 10]], "")</f>
        <v/>
      </c>
      <c r="AO478" s="18" t="str">
        <f>IF(NOT(ISBLANK(Audit[[#This Row],[Audit Candidate 11]])), Audit[[#This Row],[Audit Candidate 11]]-Audit[[#This Row],[Candidate 11]], "")</f>
        <v/>
      </c>
      <c r="AP478" s="18" t="str">
        <f>IF(NOT(ISBLANK(Audit[[#This Row],[Audit Candidate 12]])), Audit[[#This Row],[Audit Candidate 12]]-Audit[[#This Row],[Candidate 12]], "")</f>
        <v/>
      </c>
      <c r="AQ478" s="18">
        <f>SUMIF(Audit[[#This Row],[Difference Winner]:[Difference Candidate 12]], "&gt;0")</f>
        <v>0</v>
      </c>
      <c r="AR478" s="18">
        <f>SUM(Audit[[#This Row],[Difference Winner]:[Difference Candidate 12]])</f>
        <v>0</v>
      </c>
      <c r="AS478" s="18">
        <f>IF(Audit[[#This Row],[Times p Drawn - With Replacement]]&gt;0, IF(Audit[[#This Row],[Canceled Differences]]&lt;0, Audit[[#This Row],[Max Differences]]+ABS(Audit[[#This Row],[Canceled Differences]]), Audit[[#This Row],[Max Differences]]), 0)</f>
        <v>0</v>
      </c>
      <c r="AT478" s="18">
        <f>'Sampling Data'!AB478</f>
        <v>2.5127995728240724E-4</v>
      </c>
      <c r="AU478" s="18">
        <f>IF(
      SUM(Audit[[#This Row],[Audit Losing Candidate]:[Audit Candidate 12]])
      &lt;&gt;0,
      (Audit[[#This Row],[Winning Candidate]]-Audit[[#This Row],[Losing Candidate]]-(Audit[[#This Row],[Audit Winning Candidate]]-Audit[[#This Row],[Audit Losing Candidate]]))/(Audit[[#Totals],[Winning Candidate]]-Audit[[#Totals],[Losing Candidate]]),
      0
)</f>
        <v>0</v>
      </c>
      <c r="AV4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8">
        <f>IF(Audit[[#This Row],[Max Relative Error (ep)]] = 0, 0, Audit[[#This Row],[Max Relative Error (ep)]]/Audit[[#This Row],[Error Bound (up) - Max. possible relative overstatement]])</f>
        <v>0</v>
      </c>
      <c r="BH4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8" s="18">
        <f t="shared" si="8"/>
        <v>1</v>
      </c>
      <c r="BJ478" s="18">
        <f>PRODUCT($BI$5:BI478)</f>
        <v>0.32656797278968008</v>
      </c>
      <c r="BK478" s="20">
        <f>1 - Audit[[#This Row],[K-M P Value]]</f>
        <v>0.67343202721031992</v>
      </c>
      <c r="BL478" s="18" t="str">
        <f>IF(Audit[[#This Row],[K-M P Value]]&gt;1-'General Info'!$B$12,"Continue", "Stop")</f>
        <v>Continue</v>
      </c>
      <c r="BM478" s="23" t="b">
        <f>IF(Audit[[#This Row],[Status - Continue or stop audit]] = "Continue", TRUE, IF(BL477 = "Continue", TRUE, FALSE))</f>
        <v>1</v>
      </c>
      <c r="BN478" s="23"/>
    </row>
    <row r="479" spans="1:66" ht="15" hidden="1" customHeight="1" x14ac:dyDescent="0.35">
      <c r="A479" s="18" t="str">
        <f>'Sampling Data'!AI479</f>
        <v/>
      </c>
      <c r="B479" s="18" t="str">
        <f>'Sampling Data'!A479</f>
        <v>7701 LIN HT A   (AV)</v>
      </c>
      <c r="C479" s="18">
        <f>'Sampling Data'!B479</f>
        <v>0</v>
      </c>
      <c r="D479" s="18">
        <f>'Sampling Data'!C479</f>
        <v>0</v>
      </c>
      <c r="E479" s="19">
        <f>'Sampling Data'!D479</f>
        <v>0</v>
      </c>
      <c r="F479" s="19">
        <f>'Sampling Data'!E479</f>
        <v>0</v>
      </c>
      <c r="G479" s="19">
        <f>'Sampling Data'!F479</f>
        <v>0</v>
      </c>
      <c r="H479" s="19">
        <f>'Sampling Data'!G479</f>
        <v>0</v>
      </c>
      <c r="I479" s="19">
        <f>'Sampling Data'!H479</f>
        <v>0</v>
      </c>
      <c r="J479" s="19">
        <f>'Sampling Data'!I479</f>
        <v>0</v>
      </c>
      <c r="K479" s="19">
        <f>'Sampling Data'!J479</f>
        <v>0</v>
      </c>
      <c r="L479" s="19">
        <f>'Sampling Data'!K479</f>
        <v>0</v>
      </c>
      <c r="M479" s="19">
        <f>'Sampling Data'!L479</f>
        <v>0</v>
      </c>
      <c r="N479" s="19">
        <f>'Sampling Data'!M479</f>
        <v>0</v>
      </c>
      <c r="O479" s="18">
        <f>'Sampling Data'!N479</f>
        <v>0</v>
      </c>
      <c r="P479" s="18">
        <f>'Sampling Data'!O479</f>
        <v>0</v>
      </c>
      <c r="Q479" s="18">
        <f>'Sampling Data'!P479</f>
        <v>0</v>
      </c>
      <c r="R479" s="18">
        <f>'Sampling Data'!AJ479</f>
        <v>0</v>
      </c>
      <c r="S479" s="112"/>
      <c r="T479" s="112"/>
      <c r="U479" s="113"/>
      <c r="V479" s="113"/>
      <c r="W479" s="112"/>
      <c r="X479" s="112"/>
      <c r="Y479" s="112"/>
      <c r="Z479" s="112"/>
      <c r="AA479" s="15"/>
      <c r="AB479" s="15"/>
      <c r="AC479" s="15"/>
      <c r="AD479" s="15"/>
      <c r="AE479" s="114" t="str">
        <f>IF(NOT(ISBLANK(Audit[[#This Row],[Audit Winning Candidate]])), Audit[[#This Row],[Audit Winning Candidate]]-Audit[[#This Row],[Winning Candidate]], "")</f>
        <v/>
      </c>
      <c r="AF479" s="18" t="str">
        <f>IF(NOT(ISBLANK(Audit[[#This Row],[Audit Losing Candidate]])), Audit[[#This Row],[Audit Losing Candidate]]-Audit[[#This Row],[Losing Candidate]], "")</f>
        <v/>
      </c>
      <c r="AG479" s="18" t="str">
        <f>IF(NOT(ISBLANK(Audit[[#This Row],[Audit Candidate 3]])), Audit[[#This Row],[Audit Candidate 3]]-Audit[[#This Row],[Candidate 3]], "")</f>
        <v/>
      </c>
      <c r="AH479" s="18" t="str">
        <f>IF(NOT(ISBLANK(Audit[[#This Row],[Audit Candidate 4]])),Audit[[#This Row],[Audit Candidate 4]]-Audit[[#This Row],[Candidate 4]], "")</f>
        <v/>
      </c>
      <c r="AI479" s="18" t="str">
        <f>IF(NOT(ISBLANK(Audit[[#This Row],[Audit Candidate 5]])), Audit[[#This Row],[Audit Candidate 5]]-Audit[[#This Row],[Candidate 5]], "")</f>
        <v/>
      </c>
      <c r="AJ479" s="18" t="str">
        <f>IF(NOT(ISBLANK(Audit[[#This Row],[Audit Candidate 6]])), Audit[[#This Row],[Audit Candidate 6]]-Audit[[#This Row],[Candidate 6]], "")</f>
        <v/>
      </c>
      <c r="AK479" s="18" t="str">
        <f>IF(NOT(ISBLANK(Audit[[#This Row],[Audit Candidate 7]])), Audit[[#This Row],[Audit Candidate 7]]-Audit[[#This Row],[Candidate 7]], "")</f>
        <v/>
      </c>
      <c r="AL479" s="18" t="str">
        <f>IF(NOT(ISBLANK(Audit[[#This Row],[Audit Candidate 8]])), Audit[[#This Row],[Audit Candidate 8]]-Audit[[#This Row],[Candidate 8]], "")</f>
        <v/>
      </c>
      <c r="AM479" s="18" t="str">
        <f>IF(NOT(ISBLANK(Audit[[#This Row],[Audit Candidate 9]])), Audit[[#This Row],[Audit Candidate 9]]-Audit[[#This Row],[Candidate 9]], "")</f>
        <v/>
      </c>
      <c r="AN479" s="18" t="str">
        <f>IF(NOT(ISBLANK(Audit[[#This Row],[Audit Candidate 10]])), Audit[[#This Row],[Audit Candidate 10]]-Audit[[#This Row],[Candidate 10]], "")</f>
        <v/>
      </c>
      <c r="AO479" s="18" t="str">
        <f>IF(NOT(ISBLANK(Audit[[#This Row],[Audit Candidate 11]])), Audit[[#This Row],[Audit Candidate 11]]-Audit[[#This Row],[Candidate 11]], "")</f>
        <v/>
      </c>
      <c r="AP479" s="18" t="str">
        <f>IF(NOT(ISBLANK(Audit[[#This Row],[Audit Candidate 12]])), Audit[[#This Row],[Audit Candidate 12]]-Audit[[#This Row],[Candidate 12]], "")</f>
        <v/>
      </c>
      <c r="AQ479" s="18">
        <f>SUMIF(Audit[[#This Row],[Difference Winner]:[Difference Candidate 12]], "&gt;0")</f>
        <v>0</v>
      </c>
      <c r="AR479" s="18">
        <f>SUM(Audit[[#This Row],[Difference Winner]:[Difference Candidate 12]])</f>
        <v>0</v>
      </c>
      <c r="AS479" s="18">
        <f>IF(Audit[[#This Row],[Times p Drawn - With Replacement]]&gt;0, IF(Audit[[#This Row],[Canceled Differences]]&lt;0, Audit[[#This Row],[Max Differences]]+ABS(Audit[[#This Row],[Canceled Differences]]), Audit[[#This Row],[Max Differences]]), 0)</f>
        <v>0</v>
      </c>
      <c r="AT479" s="18">
        <f>'Sampling Data'!AB479</f>
        <v>0</v>
      </c>
      <c r="AU479" s="18">
        <f>IF(
      SUM(Audit[[#This Row],[Audit Losing Candidate]:[Audit Candidate 12]])
      &lt;&gt;0,
      (Audit[[#This Row],[Winning Candidate]]-Audit[[#This Row],[Losing Candidate]]-(Audit[[#This Row],[Audit Winning Candidate]]-Audit[[#This Row],[Audit Losing Candidate]]))/(Audit[[#Totals],[Winning Candidate]]-Audit[[#Totals],[Losing Candidate]]),
      0
)</f>
        <v>0</v>
      </c>
      <c r="AV4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8">
        <f>IF(Audit[[#This Row],[Max Relative Error (ep)]] = 0, 0, Audit[[#This Row],[Max Relative Error (ep)]]/Audit[[#This Row],[Error Bound (up) - Max. possible relative overstatement]])</f>
        <v>0</v>
      </c>
      <c r="BH4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79" s="18">
        <f t="shared" si="8"/>
        <v>1</v>
      </c>
      <c r="BJ479" s="18">
        <f>PRODUCT($BI$5:BI479)</f>
        <v>0.32656797278968008</v>
      </c>
      <c r="BK479" s="20">
        <f>1 - Audit[[#This Row],[K-M P Value]]</f>
        <v>0.67343202721031992</v>
      </c>
      <c r="BL479" s="18" t="str">
        <f>IF(Audit[[#This Row],[K-M P Value]]&gt;1-'General Info'!$B$12,"Continue", "Stop")</f>
        <v>Continue</v>
      </c>
      <c r="BM479" s="23" t="b">
        <f>IF(Audit[[#This Row],[Status - Continue or stop audit]] = "Continue", TRUE, IF(BL478 = "Continue", TRUE, FALSE))</f>
        <v>1</v>
      </c>
      <c r="BN479" s="23"/>
    </row>
    <row r="480" spans="1:66" ht="15" hidden="1" customHeight="1" x14ac:dyDescent="0.35">
      <c r="A480" s="18" t="str">
        <f>'Sampling Data'!AI480</f>
        <v/>
      </c>
      <c r="B480" s="18" t="str">
        <f>'Sampling Data'!A480</f>
        <v>7702 LIN HT B   (AV)</v>
      </c>
      <c r="C480" s="18">
        <f>'Sampling Data'!B480</f>
        <v>0</v>
      </c>
      <c r="D480" s="18">
        <f>'Sampling Data'!C480</f>
        <v>1</v>
      </c>
      <c r="E480" s="19">
        <f>'Sampling Data'!D480</f>
        <v>0</v>
      </c>
      <c r="F480" s="19">
        <f>'Sampling Data'!E480</f>
        <v>0</v>
      </c>
      <c r="G480" s="19">
        <f>'Sampling Data'!F480</f>
        <v>0</v>
      </c>
      <c r="H480" s="19">
        <f>'Sampling Data'!G480</f>
        <v>0</v>
      </c>
      <c r="I480" s="19">
        <f>'Sampling Data'!H480</f>
        <v>0</v>
      </c>
      <c r="J480" s="19">
        <f>'Sampling Data'!I480</f>
        <v>0</v>
      </c>
      <c r="K480" s="19">
        <f>'Sampling Data'!J480</f>
        <v>0</v>
      </c>
      <c r="L480" s="19">
        <f>'Sampling Data'!K480</f>
        <v>0</v>
      </c>
      <c r="M480" s="19">
        <f>'Sampling Data'!L480</f>
        <v>0</v>
      </c>
      <c r="N480" s="19">
        <f>'Sampling Data'!M480</f>
        <v>0</v>
      </c>
      <c r="O480" s="18">
        <f>'Sampling Data'!N480</f>
        <v>0</v>
      </c>
      <c r="P480" s="18">
        <f>'Sampling Data'!O480</f>
        <v>0</v>
      </c>
      <c r="Q480" s="18">
        <f>'Sampling Data'!P480</f>
        <v>1</v>
      </c>
      <c r="R480" s="18">
        <f>'Sampling Data'!AJ480</f>
        <v>0</v>
      </c>
      <c r="S480" s="112"/>
      <c r="T480" s="112"/>
      <c r="U480" s="113"/>
      <c r="V480" s="113"/>
      <c r="W480" s="112"/>
      <c r="X480" s="112"/>
      <c r="Y480" s="112"/>
      <c r="Z480" s="112"/>
      <c r="AA480" s="15"/>
      <c r="AB480" s="15"/>
      <c r="AC480" s="15"/>
      <c r="AD480" s="15"/>
      <c r="AE480" s="114" t="str">
        <f>IF(NOT(ISBLANK(Audit[[#This Row],[Audit Winning Candidate]])), Audit[[#This Row],[Audit Winning Candidate]]-Audit[[#This Row],[Winning Candidate]], "")</f>
        <v/>
      </c>
      <c r="AF480" s="18" t="str">
        <f>IF(NOT(ISBLANK(Audit[[#This Row],[Audit Losing Candidate]])), Audit[[#This Row],[Audit Losing Candidate]]-Audit[[#This Row],[Losing Candidate]], "")</f>
        <v/>
      </c>
      <c r="AG480" s="18" t="str">
        <f>IF(NOT(ISBLANK(Audit[[#This Row],[Audit Candidate 3]])), Audit[[#This Row],[Audit Candidate 3]]-Audit[[#This Row],[Candidate 3]], "")</f>
        <v/>
      </c>
      <c r="AH480" s="18" t="str">
        <f>IF(NOT(ISBLANK(Audit[[#This Row],[Audit Candidate 4]])),Audit[[#This Row],[Audit Candidate 4]]-Audit[[#This Row],[Candidate 4]], "")</f>
        <v/>
      </c>
      <c r="AI480" s="18" t="str">
        <f>IF(NOT(ISBLANK(Audit[[#This Row],[Audit Candidate 5]])), Audit[[#This Row],[Audit Candidate 5]]-Audit[[#This Row],[Candidate 5]], "")</f>
        <v/>
      </c>
      <c r="AJ480" s="18" t="str">
        <f>IF(NOT(ISBLANK(Audit[[#This Row],[Audit Candidate 6]])), Audit[[#This Row],[Audit Candidate 6]]-Audit[[#This Row],[Candidate 6]], "")</f>
        <v/>
      </c>
      <c r="AK480" s="18" t="str">
        <f>IF(NOT(ISBLANK(Audit[[#This Row],[Audit Candidate 7]])), Audit[[#This Row],[Audit Candidate 7]]-Audit[[#This Row],[Candidate 7]], "")</f>
        <v/>
      </c>
      <c r="AL480" s="18" t="str">
        <f>IF(NOT(ISBLANK(Audit[[#This Row],[Audit Candidate 8]])), Audit[[#This Row],[Audit Candidate 8]]-Audit[[#This Row],[Candidate 8]], "")</f>
        <v/>
      </c>
      <c r="AM480" s="18" t="str">
        <f>IF(NOT(ISBLANK(Audit[[#This Row],[Audit Candidate 9]])), Audit[[#This Row],[Audit Candidate 9]]-Audit[[#This Row],[Candidate 9]], "")</f>
        <v/>
      </c>
      <c r="AN480" s="18" t="str">
        <f>IF(NOT(ISBLANK(Audit[[#This Row],[Audit Candidate 10]])), Audit[[#This Row],[Audit Candidate 10]]-Audit[[#This Row],[Candidate 10]], "")</f>
        <v/>
      </c>
      <c r="AO480" s="18" t="str">
        <f>IF(NOT(ISBLANK(Audit[[#This Row],[Audit Candidate 11]])), Audit[[#This Row],[Audit Candidate 11]]-Audit[[#This Row],[Candidate 11]], "")</f>
        <v/>
      </c>
      <c r="AP480" s="18" t="str">
        <f>IF(NOT(ISBLANK(Audit[[#This Row],[Audit Candidate 12]])), Audit[[#This Row],[Audit Candidate 12]]-Audit[[#This Row],[Candidate 12]], "")</f>
        <v/>
      </c>
      <c r="AQ480" s="18">
        <f>SUMIF(Audit[[#This Row],[Difference Winner]:[Difference Candidate 12]], "&gt;0")</f>
        <v>0</v>
      </c>
      <c r="AR480" s="18">
        <f>SUM(Audit[[#This Row],[Difference Winner]:[Difference Candidate 12]])</f>
        <v>0</v>
      </c>
      <c r="AS480" s="18">
        <f>IF(Audit[[#This Row],[Times p Drawn - With Replacement]]&gt;0, IF(Audit[[#This Row],[Canceled Differences]]&lt;0, Audit[[#This Row],[Max Differences]]+ABS(Audit[[#This Row],[Canceled Differences]]), Audit[[#This Row],[Max Differences]]), 0)</f>
        <v>0</v>
      </c>
      <c r="AT480" s="18">
        <f>'Sampling Data'!AB480</f>
        <v>0</v>
      </c>
      <c r="AU480" s="18">
        <f>IF(
      SUM(Audit[[#This Row],[Audit Losing Candidate]:[Audit Candidate 12]])
      &lt;&gt;0,
      (Audit[[#This Row],[Winning Candidate]]-Audit[[#This Row],[Losing Candidate]]-(Audit[[#This Row],[Audit Winning Candidate]]-Audit[[#This Row],[Audit Losing Candidate]]))/(Audit[[#Totals],[Winning Candidate]]-Audit[[#Totals],[Losing Candidate]]),
      0
)</f>
        <v>0</v>
      </c>
      <c r="AV4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8">
        <f>IF(Audit[[#This Row],[Max Relative Error (ep)]] = 0, 0, Audit[[#This Row],[Max Relative Error (ep)]]/Audit[[#This Row],[Error Bound (up) - Max. possible relative overstatement]])</f>
        <v>0</v>
      </c>
      <c r="BH4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0" s="18">
        <f t="shared" si="8"/>
        <v>1</v>
      </c>
      <c r="BJ480" s="18">
        <f>PRODUCT($BI$5:BI480)</f>
        <v>0.32656797278968008</v>
      </c>
      <c r="BK480" s="20">
        <f>1 - Audit[[#This Row],[K-M P Value]]</f>
        <v>0.67343202721031992</v>
      </c>
      <c r="BL480" s="18" t="str">
        <f>IF(Audit[[#This Row],[K-M P Value]]&gt;1-'General Info'!$B$12,"Continue", "Stop")</f>
        <v>Continue</v>
      </c>
      <c r="BM480" s="23" t="b">
        <f>IF(Audit[[#This Row],[Status - Continue or stop audit]] = "Continue", TRUE, IF(BL479 = "Continue", TRUE, FALSE))</f>
        <v>1</v>
      </c>
      <c r="BN480" s="23"/>
    </row>
    <row r="481" spans="1:66" ht="15" hidden="1" customHeight="1" x14ac:dyDescent="0.35">
      <c r="A481" s="18" t="str">
        <f>'Sampling Data'!AI481</f>
        <v/>
      </c>
      <c r="B481" s="18" t="str">
        <f>'Sampling Data'!A481</f>
        <v>7901 LOCK A   (AV)</v>
      </c>
      <c r="C481" s="18">
        <f>'Sampling Data'!B481</f>
        <v>1</v>
      </c>
      <c r="D481" s="18">
        <f>'Sampling Data'!C481</f>
        <v>0</v>
      </c>
      <c r="E481" s="19">
        <f>'Sampling Data'!D481</f>
        <v>0</v>
      </c>
      <c r="F481" s="19">
        <f>'Sampling Data'!E481</f>
        <v>0</v>
      </c>
      <c r="G481" s="19">
        <f>'Sampling Data'!F481</f>
        <v>0</v>
      </c>
      <c r="H481" s="19">
        <f>'Sampling Data'!G481</f>
        <v>0</v>
      </c>
      <c r="I481" s="19">
        <f>'Sampling Data'!H481</f>
        <v>0</v>
      </c>
      <c r="J481" s="19">
        <f>'Sampling Data'!I481</f>
        <v>0</v>
      </c>
      <c r="K481" s="19">
        <f>'Sampling Data'!J481</f>
        <v>0</v>
      </c>
      <c r="L481" s="19">
        <f>'Sampling Data'!K481</f>
        <v>0</v>
      </c>
      <c r="M481" s="19">
        <f>'Sampling Data'!L481</f>
        <v>0</v>
      </c>
      <c r="N481" s="19">
        <f>'Sampling Data'!M481</f>
        <v>0</v>
      </c>
      <c r="O481" s="18">
        <f>'Sampling Data'!N481</f>
        <v>0</v>
      </c>
      <c r="P481" s="18">
        <f>'Sampling Data'!O481</f>
        <v>0</v>
      </c>
      <c r="Q481" s="18">
        <f>'Sampling Data'!P481</f>
        <v>1</v>
      </c>
      <c r="R481" s="18">
        <f>'Sampling Data'!AJ481</f>
        <v>0</v>
      </c>
      <c r="S481" s="112"/>
      <c r="T481" s="112"/>
      <c r="U481" s="113"/>
      <c r="V481" s="113"/>
      <c r="W481" s="112"/>
      <c r="X481" s="112"/>
      <c r="Y481" s="112"/>
      <c r="Z481" s="112"/>
      <c r="AA481" s="15"/>
      <c r="AB481" s="15"/>
      <c r="AC481" s="15"/>
      <c r="AD481" s="15"/>
      <c r="AE481" s="114" t="str">
        <f>IF(NOT(ISBLANK(Audit[[#This Row],[Audit Winning Candidate]])), Audit[[#This Row],[Audit Winning Candidate]]-Audit[[#This Row],[Winning Candidate]], "")</f>
        <v/>
      </c>
      <c r="AF481" s="18" t="str">
        <f>IF(NOT(ISBLANK(Audit[[#This Row],[Audit Losing Candidate]])), Audit[[#This Row],[Audit Losing Candidate]]-Audit[[#This Row],[Losing Candidate]], "")</f>
        <v/>
      </c>
      <c r="AG481" s="18" t="str">
        <f>IF(NOT(ISBLANK(Audit[[#This Row],[Audit Candidate 3]])), Audit[[#This Row],[Audit Candidate 3]]-Audit[[#This Row],[Candidate 3]], "")</f>
        <v/>
      </c>
      <c r="AH481" s="18" t="str">
        <f>IF(NOT(ISBLANK(Audit[[#This Row],[Audit Candidate 4]])),Audit[[#This Row],[Audit Candidate 4]]-Audit[[#This Row],[Candidate 4]], "")</f>
        <v/>
      </c>
      <c r="AI481" s="18" t="str">
        <f>IF(NOT(ISBLANK(Audit[[#This Row],[Audit Candidate 5]])), Audit[[#This Row],[Audit Candidate 5]]-Audit[[#This Row],[Candidate 5]], "")</f>
        <v/>
      </c>
      <c r="AJ481" s="18" t="str">
        <f>IF(NOT(ISBLANK(Audit[[#This Row],[Audit Candidate 6]])), Audit[[#This Row],[Audit Candidate 6]]-Audit[[#This Row],[Candidate 6]], "")</f>
        <v/>
      </c>
      <c r="AK481" s="18" t="str">
        <f>IF(NOT(ISBLANK(Audit[[#This Row],[Audit Candidate 7]])), Audit[[#This Row],[Audit Candidate 7]]-Audit[[#This Row],[Candidate 7]], "")</f>
        <v/>
      </c>
      <c r="AL481" s="18" t="str">
        <f>IF(NOT(ISBLANK(Audit[[#This Row],[Audit Candidate 8]])), Audit[[#This Row],[Audit Candidate 8]]-Audit[[#This Row],[Candidate 8]], "")</f>
        <v/>
      </c>
      <c r="AM481" s="18" t="str">
        <f>IF(NOT(ISBLANK(Audit[[#This Row],[Audit Candidate 9]])), Audit[[#This Row],[Audit Candidate 9]]-Audit[[#This Row],[Candidate 9]], "")</f>
        <v/>
      </c>
      <c r="AN481" s="18" t="str">
        <f>IF(NOT(ISBLANK(Audit[[#This Row],[Audit Candidate 10]])), Audit[[#This Row],[Audit Candidate 10]]-Audit[[#This Row],[Candidate 10]], "")</f>
        <v/>
      </c>
      <c r="AO481" s="18" t="str">
        <f>IF(NOT(ISBLANK(Audit[[#This Row],[Audit Candidate 11]])), Audit[[#This Row],[Audit Candidate 11]]-Audit[[#This Row],[Candidate 11]], "")</f>
        <v/>
      </c>
      <c r="AP481" s="18" t="str">
        <f>IF(NOT(ISBLANK(Audit[[#This Row],[Audit Candidate 12]])), Audit[[#This Row],[Audit Candidate 12]]-Audit[[#This Row],[Candidate 12]], "")</f>
        <v/>
      </c>
      <c r="AQ481" s="18">
        <f>SUMIF(Audit[[#This Row],[Difference Winner]:[Difference Candidate 12]], "&gt;0")</f>
        <v>0</v>
      </c>
      <c r="AR481" s="18">
        <f>SUM(Audit[[#This Row],[Difference Winner]:[Difference Candidate 12]])</f>
        <v>0</v>
      </c>
      <c r="AS481" s="18">
        <f>IF(Audit[[#This Row],[Times p Drawn - With Replacement]]&gt;0, IF(Audit[[#This Row],[Canceled Differences]]&lt;0, Audit[[#This Row],[Max Differences]]+ABS(Audit[[#This Row],[Canceled Differences]]), Audit[[#This Row],[Max Differences]]), 0)</f>
        <v>0</v>
      </c>
      <c r="AT481" s="18">
        <f>'Sampling Data'!AB481</f>
        <v>6.2819989320601809E-5</v>
      </c>
      <c r="AU481" s="18">
        <f>IF(
      SUM(Audit[[#This Row],[Audit Losing Candidate]:[Audit Candidate 12]])
      &lt;&gt;0,
      (Audit[[#This Row],[Winning Candidate]]-Audit[[#This Row],[Losing Candidate]]-(Audit[[#This Row],[Audit Winning Candidate]]-Audit[[#This Row],[Audit Losing Candidate]]))/(Audit[[#Totals],[Winning Candidate]]-Audit[[#Totals],[Losing Candidate]]),
      0
)</f>
        <v>0</v>
      </c>
      <c r="AV4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8">
        <f>IF(Audit[[#This Row],[Max Relative Error (ep)]] = 0, 0, Audit[[#This Row],[Max Relative Error (ep)]]/Audit[[#This Row],[Error Bound (up) - Max. possible relative overstatement]])</f>
        <v>0</v>
      </c>
      <c r="BH4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1" s="18">
        <f t="shared" si="8"/>
        <v>1</v>
      </c>
      <c r="BJ481" s="18">
        <f>PRODUCT($BI$5:BI481)</f>
        <v>0.32656797278968008</v>
      </c>
      <c r="BK481" s="20">
        <f>1 - Audit[[#This Row],[K-M P Value]]</f>
        <v>0.67343202721031992</v>
      </c>
      <c r="BL481" s="18" t="str">
        <f>IF(Audit[[#This Row],[K-M P Value]]&gt;1-'General Info'!$B$12,"Continue", "Stop")</f>
        <v>Continue</v>
      </c>
      <c r="BM481" s="23" t="b">
        <f>IF(Audit[[#This Row],[Status - Continue or stop audit]] = "Continue", TRUE, IF(BL480 = "Continue", TRUE, FALSE))</f>
        <v>1</v>
      </c>
      <c r="BN481" s="23"/>
    </row>
    <row r="482" spans="1:66" ht="15" hidden="1" customHeight="1" x14ac:dyDescent="0.35">
      <c r="A482" s="18" t="str">
        <f>'Sampling Data'!AI482</f>
        <v/>
      </c>
      <c r="B482" s="18" t="str">
        <f>'Sampling Data'!A482</f>
        <v>7902 LOCK B   (AV)</v>
      </c>
      <c r="C482" s="18">
        <f>'Sampling Data'!B482</f>
        <v>8</v>
      </c>
      <c r="D482" s="18">
        <f>'Sampling Data'!C482</f>
        <v>1</v>
      </c>
      <c r="E482" s="19">
        <f>'Sampling Data'!D482</f>
        <v>0</v>
      </c>
      <c r="F482" s="19">
        <f>'Sampling Data'!E482</f>
        <v>0</v>
      </c>
      <c r="G482" s="19">
        <f>'Sampling Data'!F482</f>
        <v>0</v>
      </c>
      <c r="H482" s="19">
        <f>'Sampling Data'!G482</f>
        <v>0</v>
      </c>
      <c r="I482" s="19">
        <f>'Sampling Data'!H482</f>
        <v>0</v>
      </c>
      <c r="J482" s="19">
        <f>'Sampling Data'!I482</f>
        <v>0</v>
      </c>
      <c r="K482" s="19">
        <f>'Sampling Data'!J482</f>
        <v>0</v>
      </c>
      <c r="L482" s="19">
        <f>'Sampling Data'!K482</f>
        <v>0</v>
      </c>
      <c r="M482" s="19">
        <f>'Sampling Data'!L482</f>
        <v>0</v>
      </c>
      <c r="N482" s="19">
        <f>'Sampling Data'!M482</f>
        <v>0</v>
      </c>
      <c r="O482" s="18">
        <f>'Sampling Data'!N482</f>
        <v>0</v>
      </c>
      <c r="P482" s="18">
        <f>'Sampling Data'!O482</f>
        <v>0</v>
      </c>
      <c r="Q482" s="18">
        <f>'Sampling Data'!P482</f>
        <v>9</v>
      </c>
      <c r="R482" s="18">
        <f>'Sampling Data'!AJ482</f>
        <v>0</v>
      </c>
      <c r="S482" s="112"/>
      <c r="T482" s="112"/>
      <c r="U482" s="113"/>
      <c r="V482" s="113"/>
      <c r="W482" s="112"/>
      <c r="X482" s="112"/>
      <c r="Y482" s="112"/>
      <c r="Z482" s="112"/>
      <c r="AA482" s="15"/>
      <c r="AB482" s="15"/>
      <c r="AC482" s="15"/>
      <c r="AD482" s="15"/>
      <c r="AE482" s="114" t="str">
        <f>IF(NOT(ISBLANK(Audit[[#This Row],[Audit Winning Candidate]])), Audit[[#This Row],[Audit Winning Candidate]]-Audit[[#This Row],[Winning Candidate]], "")</f>
        <v/>
      </c>
      <c r="AF482" s="18" t="str">
        <f>IF(NOT(ISBLANK(Audit[[#This Row],[Audit Losing Candidate]])), Audit[[#This Row],[Audit Losing Candidate]]-Audit[[#This Row],[Losing Candidate]], "")</f>
        <v/>
      </c>
      <c r="AG482" s="18" t="str">
        <f>IF(NOT(ISBLANK(Audit[[#This Row],[Audit Candidate 3]])), Audit[[#This Row],[Audit Candidate 3]]-Audit[[#This Row],[Candidate 3]], "")</f>
        <v/>
      </c>
      <c r="AH482" s="18" t="str">
        <f>IF(NOT(ISBLANK(Audit[[#This Row],[Audit Candidate 4]])),Audit[[#This Row],[Audit Candidate 4]]-Audit[[#This Row],[Candidate 4]], "")</f>
        <v/>
      </c>
      <c r="AI482" s="18" t="str">
        <f>IF(NOT(ISBLANK(Audit[[#This Row],[Audit Candidate 5]])), Audit[[#This Row],[Audit Candidate 5]]-Audit[[#This Row],[Candidate 5]], "")</f>
        <v/>
      </c>
      <c r="AJ482" s="18" t="str">
        <f>IF(NOT(ISBLANK(Audit[[#This Row],[Audit Candidate 6]])), Audit[[#This Row],[Audit Candidate 6]]-Audit[[#This Row],[Candidate 6]], "")</f>
        <v/>
      </c>
      <c r="AK482" s="18" t="str">
        <f>IF(NOT(ISBLANK(Audit[[#This Row],[Audit Candidate 7]])), Audit[[#This Row],[Audit Candidate 7]]-Audit[[#This Row],[Candidate 7]], "")</f>
        <v/>
      </c>
      <c r="AL482" s="18" t="str">
        <f>IF(NOT(ISBLANK(Audit[[#This Row],[Audit Candidate 8]])), Audit[[#This Row],[Audit Candidate 8]]-Audit[[#This Row],[Candidate 8]], "")</f>
        <v/>
      </c>
      <c r="AM482" s="18" t="str">
        <f>IF(NOT(ISBLANK(Audit[[#This Row],[Audit Candidate 9]])), Audit[[#This Row],[Audit Candidate 9]]-Audit[[#This Row],[Candidate 9]], "")</f>
        <v/>
      </c>
      <c r="AN482" s="18" t="str">
        <f>IF(NOT(ISBLANK(Audit[[#This Row],[Audit Candidate 10]])), Audit[[#This Row],[Audit Candidate 10]]-Audit[[#This Row],[Candidate 10]], "")</f>
        <v/>
      </c>
      <c r="AO482" s="18" t="str">
        <f>IF(NOT(ISBLANK(Audit[[#This Row],[Audit Candidate 11]])), Audit[[#This Row],[Audit Candidate 11]]-Audit[[#This Row],[Candidate 11]], "")</f>
        <v/>
      </c>
      <c r="AP482" s="18" t="str">
        <f>IF(NOT(ISBLANK(Audit[[#This Row],[Audit Candidate 12]])), Audit[[#This Row],[Audit Candidate 12]]-Audit[[#This Row],[Candidate 12]], "")</f>
        <v/>
      </c>
      <c r="AQ482" s="18">
        <f>SUMIF(Audit[[#This Row],[Difference Winner]:[Difference Candidate 12]], "&gt;0")</f>
        <v>0</v>
      </c>
      <c r="AR482" s="18">
        <f>SUM(Audit[[#This Row],[Difference Winner]:[Difference Candidate 12]])</f>
        <v>0</v>
      </c>
      <c r="AS482" s="18">
        <f>IF(Audit[[#This Row],[Times p Drawn - With Replacement]]&gt;0, IF(Audit[[#This Row],[Canceled Differences]]&lt;0, Audit[[#This Row],[Max Differences]]+ABS(Audit[[#This Row],[Canceled Differences]]), Audit[[#This Row],[Max Differences]]), 0)</f>
        <v>0</v>
      </c>
      <c r="AT482" s="18">
        <f>'Sampling Data'!AB482</f>
        <v>5.0255991456481448E-4</v>
      </c>
      <c r="AU482" s="18">
        <f>IF(
      SUM(Audit[[#This Row],[Audit Losing Candidate]:[Audit Candidate 12]])
      &lt;&gt;0,
      (Audit[[#This Row],[Winning Candidate]]-Audit[[#This Row],[Losing Candidate]]-(Audit[[#This Row],[Audit Winning Candidate]]-Audit[[#This Row],[Audit Losing Candidate]]))/(Audit[[#Totals],[Winning Candidate]]-Audit[[#Totals],[Losing Candidate]]),
      0
)</f>
        <v>0</v>
      </c>
      <c r="AV4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8">
        <f>IF(Audit[[#This Row],[Max Relative Error (ep)]] = 0, 0, Audit[[#This Row],[Max Relative Error (ep)]]/Audit[[#This Row],[Error Bound (up) - Max. possible relative overstatement]])</f>
        <v>0</v>
      </c>
      <c r="BH4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2" s="18">
        <f t="shared" si="8"/>
        <v>1</v>
      </c>
      <c r="BJ482" s="18">
        <f>PRODUCT($BI$5:BI482)</f>
        <v>0.32656797278968008</v>
      </c>
      <c r="BK482" s="20">
        <f>1 - Audit[[#This Row],[K-M P Value]]</f>
        <v>0.67343202721031992</v>
      </c>
      <c r="BL482" s="18" t="str">
        <f>IF(Audit[[#This Row],[K-M P Value]]&gt;1-'General Info'!$B$12,"Continue", "Stop")</f>
        <v>Continue</v>
      </c>
      <c r="BM482" s="23" t="b">
        <f>IF(Audit[[#This Row],[Status - Continue or stop audit]] = "Continue", TRUE, IF(BL481 = "Continue", TRUE, FALSE))</f>
        <v>1</v>
      </c>
      <c r="BN482" s="23"/>
    </row>
    <row r="483" spans="1:66" ht="15" hidden="1" customHeight="1" x14ac:dyDescent="0.35">
      <c r="A483" s="18" t="str">
        <f>'Sampling Data'!AI483</f>
        <v/>
      </c>
      <c r="B483" s="18" t="str">
        <f>'Sampling Data'!A483</f>
        <v>8001 MARMT A   (AV)</v>
      </c>
      <c r="C483" s="18">
        <f>'Sampling Data'!B483</f>
        <v>7</v>
      </c>
      <c r="D483" s="18">
        <f>'Sampling Data'!C483</f>
        <v>2</v>
      </c>
      <c r="E483" s="19">
        <f>'Sampling Data'!D483</f>
        <v>0</v>
      </c>
      <c r="F483" s="19">
        <f>'Sampling Data'!E483</f>
        <v>0</v>
      </c>
      <c r="G483" s="19">
        <f>'Sampling Data'!F483</f>
        <v>0</v>
      </c>
      <c r="H483" s="19">
        <f>'Sampling Data'!G483</f>
        <v>0</v>
      </c>
      <c r="I483" s="19">
        <f>'Sampling Data'!H483</f>
        <v>0</v>
      </c>
      <c r="J483" s="19">
        <f>'Sampling Data'!I483</f>
        <v>0</v>
      </c>
      <c r="K483" s="19">
        <f>'Sampling Data'!J483</f>
        <v>0</v>
      </c>
      <c r="L483" s="19">
        <f>'Sampling Data'!K483</f>
        <v>0</v>
      </c>
      <c r="M483" s="19">
        <f>'Sampling Data'!L483</f>
        <v>0</v>
      </c>
      <c r="N483" s="19">
        <f>'Sampling Data'!M483</f>
        <v>0</v>
      </c>
      <c r="O483" s="18">
        <f>'Sampling Data'!N483</f>
        <v>0</v>
      </c>
      <c r="P483" s="18">
        <f>'Sampling Data'!O483</f>
        <v>0</v>
      </c>
      <c r="Q483" s="18">
        <f>'Sampling Data'!P483</f>
        <v>9</v>
      </c>
      <c r="R483" s="18">
        <f>'Sampling Data'!AJ483</f>
        <v>0</v>
      </c>
      <c r="S483" s="112"/>
      <c r="T483" s="112"/>
      <c r="U483" s="113"/>
      <c r="V483" s="113"/>
      <c r="W483" s="112"/>
      <c r="X483" s="112"/>
      <c r="Y483" s="112"/>
      <c r="Z483" s="112"/>
      <c r="AA483" s="15"/>
      <c r="AB483" s="15"/>
      <c r="AC483" s="15"/>
      <c r="AD483" s="15"/>
      <c r="AE483" s="114" t="str">
        <f>IF(NOT(ISBLANK(Audit[[#This Row],[Audit Winning Candidate]])), Audit[[#This Row],[Audit Winning Candidate]]-Audit[[#This Row],[Winning Candidate]], "")</f>
        <v/>
      </c>
      <c r="AF483" s="18" t="str">
        <f>IF(NOT(ISBLANK(Audit[[#This Row],[Audit Losing Candidate]])), Audit[[#This Row],[Audit Losing Candidate]]-Audit[[#This Row],[Losing Candidate]], "")</f>
        <v/>
      </c>
      <c r="AG483" s="18" t="str">
        <f>IF(NOT(ISBLANK(Audit[[#This Row],[Audit Candidate 3]])), Audit[[#This Row],[Audit Candidate 3]]-Audit[[#This Row],[Candidate 3]], "")</f>
        <v/>
      </c>
      <c r="AH483" s="18" t="str">
        <f>IF(NOT(ISBLANK(Audit[[#This Row],[Audit Candidate 4]])),Audit[[#This Row],[Audit Candidate 4]]-Audit[[#This Row],[Candidate 4]], "")</f>
        <v/>
      </c>
      <c r="AI483" s="18" t="str">
        <f>IF(NOT(ISBLANK(Audit[[#This Row],[Audit Candidate 5]])), Audit[[#This Row],[Audit Candidate 5]]-Audit[[#This Row],[Candidate 5]], "")</f>
        <v/>
      </c>
      <c r="AJ483" s="18" t="str">
        <f>IF(NOT(ISBLANK(Audit[[#This Row],[Audit Candidate 6]])), Audit[[#This Row],[Audit Candidate 6]]-Audit[[#This Row],[Candidate 6]], "")</f>
        <v/>
      </c>
      <c r="AK483" s="18" t="str">
        <f>IF(NOT(ISBLANK(Audit[[#This Row],[Audit Candidate 7]])), Audit[[#This Row],[Audit Candidate 7]]-Audit[[#This Row],[Candidate 7]], "")</f>
        <v/>
      </c>
      <c r="AL483" s="18" t="str">
        <f>IF(NOT(ISBLANK(Audit[[#This Row],[Audit Candidate 8]])), Audit[[#This Row],[Audit Candidate 8]]-Audit[[#This Row],[Candidate 8]], "")</f>
        <v/>
      </c>
      <c r="AM483" s="18" t="str">
        <f>IF(NOT(ISBLANK(Audit[[#This Row],[Audit Candidate 9]])), Audit[[#This Row],[Audit Candidate 9]]-Audit[[#This Row],[Candidate 9]], "")</f>
        <v/>
      </c>
      <c r="AN483" s="18" t="str">
        <f>IF(NOT(ISBLANK(Audit[[#This Row],[Audit Candidate 10]])), Audit[[#This Row],[Audit Candidate 10]]-Audit[[#This Row],[Candidate 10]], "")</f>
        <v/>
      </c>
      <c r="AO483" s="18" t="str">
        <f>IF(NOT(ISBLANK(Audit[[#This Row],[Audit Candidate 11]])), Audit[[#This Row],[Audit Candidate 11]]-Audit[[#This Row],[Candidate 11]], "")</f>
        <v/>
      </c>
      <c r="AP483" s="18" t="str">
        <f>IF(NOT(ISBLANK(Audit[[#This Row],[Audit Candidate 12]])), Audit[[#This Row],[Audit Candidate 12]]-Audit[[#This Row],[Candidate 12]], "")</f>
        <v/>
      </c>
      <c r="AQ483" s="18">
        <f>SUMIF(Audit[[#This Row],[Difference Winner]:[Difference Candidate 12]], "&gt;0")</f>
        <v>0</v>
      </c>
      <c r="AR483" s="18">
        <f>SUM(Audit[[#This Row],[Difference Winner]:[Difference Candidate 12]])</f>
        <v>0</v>
      </c>
      <c r="AS483" s="18">
        <f>IF(Audit[[#This Row],[Times p Drawn - With Replacement]]&gt;0, IF(Audit[[#This Row],[Canceled Differences]]&lt;0, Audit[[#This Row],[Max Differences]]+ABS(Audit[[#This Row],[Canceled Differences]]), Audit[[#This Row],[Max Differences]]), 0)</f>
        <v>0</v>
      </c>
      <c r="AT483" s="18">
        <f>'Sampling Data'!AB483</f>
        <v>4.3973992524421271E-4</v>
      </c>
      <c r="AU483" s="18">
        <f>IF(
      SUM(Audit[[#This Row],[Audit Losing Candidate]:[Audit Candidate 12]])
      &lt;&gt;0,
      (Audit[[#This Row],[Winning Candidate]]-Audit[[#This Row],[Losing Candidate]]-(Audit[[#This Row],[Audit Winning Candidate]]-Audit[[#This Row],[Audit Losing Candidate]]))/(Audit[[#Totals],[Winning Candidate]]-Audit[[#Totals],[Losing Candidate]]),
      0
)</f>
        <v>0</v>
      </c>
      <c r="AV4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8">
        <f>IF(Audit[[#This Row],[Max Relative Error (ep)]] = 0, 0, Audit[[#This Row],[Max Relative Error (ep)]]/Audit[[#This Row],[Error Bound (up) - Max. possible relative overstatement]])</f>
        <v>0</v>
      </c>
      <c r="BH4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3" s="18">
        <f t="shared" si="8"/>
        <v>1</v>
      </c>
      <c r="BJ483" s="18">
        <f>PRODUCT($BI$5:BI483)</f>
        <v>0.32656797278968008</v>
      </c>
      <c r="BK483" s="20">
        <f>1 - Audit[[#This Row],[K-M P Value]]</f>
        <v>0.67343202721031992</v>
      </c>
      <c r="BL483" s="18" t="str">
        <f>IF(Audit[[#This Row],[K-M P Value]]&gt;1-'General Info'!$B$12,"Continue", "Stop")</f>
        <v>Continue</v>
      </c>
      <c r="BM483" s="23" t="b">
        <f>IF(Audit[[#This Row],[Status - Continue or stop audit]] = "Continue", TRUE, IF(BL482 = "Continue", TRUE, FALSE))</f>
        <v>1</v>
      </c>
      <c r="BN483" s="23"/>
    </row>
    <row r="484" spans="1:66" ht="15" hidden="1" customHeight="1" x14ac:dyDescent="0.35">
      <c r="A484" s="18" t="str">
        <f>'Sampling Data'!AI484</f>
        <v/>
      </c>
      <c r="B484" s="18" t="str">
        <f>'Sampling Data'!A484</f>
        <v>8002 MARMT B   (AV)</v>
      </c>
      <c r="C484" s="18">
        <f>'Sampling Data'!B484</f>
        <v>13</v>
      </c>
      <c r="D484" s="18">
        <f>'Sampling Data'!C484</f>
        <v>0</v>
      </c>
      <c r="E484" s="19">
        <f>'Sampling Data'!D484</f>
        <v>0</v>
      </c>
      <c r="F484" s="19">
        <f>'Sampling Data'!E484</f>
        <v>0</v>
      </c>
      <c r="G484" s="19">
        <f>'Sampling Data'!F484</f>
        <v>0</v>
      </c>
      <c r="H484" s="19">
        <f>'Sampling Data'!G484</f>
        <v>0</v>
      </c>
      <c r="I484" s="19">
        <f>'Sampling Data'!H484</f>
        <v>0</v>
      </c>
      <c r="J484" s="19">
        <f>'Sampling Data'!I484</f>
        <v>0</v>
      </c>
      <c r="K484" s="19">
        <f>'Sampling Data'!J484</f>
        <v>0</v>
      </c>
      <c r="L484" s="19">
        <f>'Sampling Data'!K484</f>
        <v>0</v>
      </c>
      <c r="M484" s="19">
        <f>'Sampling Data'!L484</f>
        <v>0</v>
      </c>
      <c r="N484" s="19">
        <f>'Sampling Data'!M484</f>
        <v>0</v>
      </c>
      <c r="O484" s="18">
        <f>'Sampling Data'!N484</f>
        <v>0</v>
      </c>
      <c r="P484" s="18">
        <f>'Sampling Data'!O484</f>
        <v>2</v>
      </c>
      <c r="Q484" s="18">
        <f>'Sampling Data'!P484</f>
        <v>15</v>
      </c>
      <c r="R484" s="18">
        <f>'Sampling Data'!AJ484</f>
        <v>0</v>
      </c>
      <c r="S484" s="112"/>
      <c r="T484" s="112"/>
      <c r="U484" s="113"/>
      <c r="V484" s="113"/>
      <c r="W484" s="112"/>
      <c r="X484" s="112"/>
      <c r="Y484" s="112"/>
      <c r="Z484" s="112"/>
      <c r="AA484" s="15"/>
      <c r="AB484" s="15"/>
      <c r="AC484" s="15"/>
      <c r="AD484" s="15"/>
      <c r="AE484" s="114" t="str">
        <f>IF(NOT(ISBLANK(Audit[[#This Row],[Audit Winning Candidate]])), Audit[[#This Row],[Audit Winning Candidate]]-Audit[[#This Row],[Winning Candidate]], "")</f>
        <v/>
      </c>
      <c r="AF484" s="18" t="str">
        <f>IF(NOT(ISBLANK(Audit[[#This Row],[Audit Losing Candidate]])), Audit[[#This Row],[Audit Losing Candidate]]-Audit[[#This Row],[Losing Candidate]], "")</f>
        <v/>
      </c>
      <c r="AG484" s="18" t="str">
        <f>IF(NOT(ISBLANK(Audit[[#This Row],[Audit Candidate 3]])), Audit[[#This Row],[Audit Candidate 3]]-Audit[[#This Row],[Candidate 3]], "")</f>
        <v/>
      </c>
      <c r="AH484" s="18" t="str">
        <f>IF(NOT(ISBLANK(Audit[[#This Row],[Audit Candidate 4]])),Audit[[#This Row],[Audit Candidate 4]]-Audit[[#This Row],[Candidate 4]], "")</f>
        <v/>
      </c>
      <c r="AI484" s="18" t="str">
        <f>IF(NOT(ISBLANK(Audit[[#This Row],[Audit Candidate 5]])), Audit[[#This Row],[Audit Candidate 5]]-Audit[[#This Row],[Candidate 5]], "")</f>
        <v/>
      </c>
      <c r="AJ484" s="18" t="str">
        <f>IF(NOT(ISBLANK(Audit[[#This Row],[Audit Candidate 6]])), Audit[[#This Row],[Audit Candidate 6]]-Audit[[#This Row],[Candidate 6]], "")</f>
        <v/>
      </c>
      <c r="AK484" s="18" t="str">
        <f>IF(NOT(ISBLANK(Audit[[#This Row],[Audit Candidate 7]])), Audit[[#This Row],[Audit Candidate 7]]-Audit[[#This Row],[Candidate 7]], "")</f>
        <v/>
      </c>
      <c r="AL484" s="18" t="str">
        <f>IF(NOT(ISBLANK(Audit[[#This Row],[Audit Candidate 8]])), Audit[[#This Row],[Audit Candidate 8]]-Audit[[#This Row],[Candidate 8]], "")</f>
        <v/>
      </c>
      <c r="AM484" s="18" t="str">
        <f>IF(NOT(ISBLANK(Audit[[#This Row],[Audit Candidate 9]])), Audit[[#This Row],[Audit Candidate 9]]-Audit[[#This Row],[Candidate 9]], "")</f>
        <v/>
      </c>
      <c r="AN484" s="18" t="str">
        <f>IF(NOT(ISBLANK(Audit[[#This Row],[Audit Candidate 10]])), Audit[[#This Row],[Audit Candidate 10]]-Audit[[#This Row],[Candidate 10]], "")</f>
        <v/>
      </c>
      <c r="AO484" s="18" t="str">
        <f>IF(NOT(ISBLANK(Audit[[#This Row],[Audit Candidate 11]])), Audit[[#This Row],[Audit Candidate 11]]-Audit[[#This Row],[Candidate 11]], "")</f>
        <v/>
      </c>
      <c r="AP484" s="18" t="str">
        <f>IF(NOT(ISBLANK(Audit[[#This Row],[Audit Candidate 12]])), Audit[[#This Row],[Audit Candidate 12]]-Audit[[#This Row],[Candidate 12]], "")</f>
        <v/>
      </c>
      <c r="AQ484" s="18">
        <f>SUMIF(Audit[[#This Row],[Difference Winner]:[Difference Candidate 12]], "&gt;0")</f>
        <v>0</v>
      </c>
      <c r="AR484" s="18">
        <f>SUM(Audit[[#This Row],[Difference Winner]:[Difference Candidate 12]])</f>
        <v>0</v>
      </c>
      <c r="AS484" s="18">
        <f>IF(Audit[[#This Row],[Times p Drawn - With Replacement]]&gt;0, IF(Audit[[#This Row],[Canceled Differences]]&lt;0, Audit[[#This Row],[Max Differences]]+ABS(Audit[[#This Row],[Canceled Differences]]), Audit[[#This Row],[Max Differences]]), 0)</f>
        <v>0</v>
      </c>
      <c r="AT484" s="18">
        <f>'Sampling Data'!AB484</f>
        <v>8.7947985048842541E-4</v>
      </c>
      <c r="AU484" s="18">
        <f>IF(
      SUM(Audit[[#This Row],[Audit Losing Candidate]:[Audit Candidate 12]])
      &lt;&gt;0,
      (Audit[[#This Row],[Winning Candidate]]-Audit[[#This Row],[Losing Candidate]]-(Audit[[#This Row],[Audit Winning Candidate]]-Audit[[#This Row],[Audit Losing Candidate]]))/(Audit[[#Totals],[Winning Candidate]]-Audit[[#Totals],[Losing Candidate]]),
      0
)</f>
        <v>0</v>
      </c>
      <c r="AV4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8">
        <f>IF(Audit[[#This Row],[Max Relative Error (ep)]] = 0, 0, Audit[[#This Row],[Max Relative Error (ep)]]/Audit[[#This Row],[Error Bound (up) - Max. possible relative overstatement]])</f>
        <v>0</v>
      </c>
      <c r="BH4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4" s="18">
        <f t="shared" si="8"/>
        <v>1</v>
      </c>
      <c r="BJ484" s="18">
        <f>PRODUCT($BI$5:BI484)</f>
        <v>0.32656797278968008</v>
      </c>
      <c r="BK484" s="20">
        <f>1 - Audit[[#This Row],[K-M P Value]]</f>
        <v>0.67343202721031992</v>
      </c>
      <c r="BL484" s="18" t="str">
        <f>IF(Audit[[#This Row],[K-M P Value]]&gt;1-'General Info'!$B$12,"Continue", "Stop")</f>
        <v>Continue</v>
      </c>
      <c r="BM484" s="23" t="b">
        <f>IF(Audit[[#This Row],[Status - Continue or stop audit]] = "Continue", TRUE, IF(BL483 = "Continue", TRUE, FALSE))</f>
        <v>1</v>
      </c>
      <c r="BN484" s="23"/>
    </row>
    <row r="485" spans="1:66" ht="15" hidden="1" customHeight="1" x14ac:dyDescent="0.35">
      <c r="A485" s="18" t="str">
        <f>'Sampling Data'!AI485</f>
        <v/>
      </c>
      <c r="B485" s="18" t="str">
        <f>'Sampling Data'!A485</f>
        <v>8211 ADDY A   (AV)</v>
      </c>
      <c r="C485" s="18">
        <f>'Sampling Data'!B485</f>
        <v>4</v>
      </c>
      <c r="D485" s="18">
        <f>'Sampling Data'!C485</f>
        <v>0</v>
      </c>
      <c r="E485" s="19">
        <f>'Sampling Data'!D485</f>
        <v>0</v>
      </c>
      <c r="F485" s="19">
        <f>'Sampling Data'!E485</f>
        <v>0</v>
      </c>
      <c r="G485" s="19">
        <f>'Sampling Data'!F485</f>
        <v>0</v>
      </c>
      <c r="H485" s="19">
        <f>'Sampling Data'!G485</f>
        <v>0</v>
      </c>
      <c r="I485" s="19">
        <f>'Sampling Data'!H485</f>
        <v>0</v>
      </c>
      <c r="J485" s="19">
        <f>'Sampling Data'!I485</f>
        <v>0</v>
      </c>
      <c r="K485" s="19">
        <f>'Sampling Data'!J485</f>
        <v>0</v>
      </c>
      <c r="L485" s="19">
        <f>'Sampling Data'!K485</f>
        <v>0</v>
      </c>
      <c r="M485" s="19">
        <f>'Sampling Data'!L485</f>
        <v>0</v>
      </c>
      <c r="N485" s="19">
        <f>'Sampling Data'!M485</f>
        <v>0</v>
      </c>
      <c r="O485" s="18">
        <f>'Sampling Data'!N485</f>
        <v>0</v>
      </c>
      <c r="P485" s="18">
        <f>'Sampling Data'!O485</f>
        <v>0</v>
      </c>
      <c r="Q485" s="18">
        <f>'Sampling Data'!P485</f>
        <v>4</v>
      </c>
      <c r="R485" s="18">
        <f>'Sampling Data'!AJ485</f>
        <v>0</v>
      </c>
      <c r="S485" s="112"/>
      <c r="T485" s="112"/>
      <c r="U485" s="113"/>
      <c r="V485" s="113"/>
      <c r="W485" s="112"/>
      <c r="X485" s="112"/>
      <c r="Y485" s="112"/>
      <c r="Z485" s="112"/>
      <c r="AA485" s="15"/>
      <c r="AB485" s="15"/>
      <c r="AC485" s="15"/>
      <c r="AD485" s="15"/>
      <c r="AE485" s="114" t="str">
        <f>IF(NOT(ISBLANK(Audit[[#This Row],[Audit Winning Candidate]])), Audit[[#This Row],[Audit Winning Candidate]]-Audit[[#This Row],[Winning Candidate]], "")</f>
        <v/>
      </c>
      <c r="AF485" s="18" t="str">
        <f>IF(NOT(ISBLANK(Audit[[#This Row],[Audit Losing Candidate]])), Audit[[#This Row],[Audit Losing Candidate]]-Audit[[#This Row],[Losing Candidate]], "")</f>
        <v/>
      </c>
      <c r="AG485" s="18" t="str">
        <f>IF(NOT(ISBLANK(Audit[[#This Row],[Audit Candidate 3]])), Audit[[#This Row],[Audit Candidate 3]]-Audit[[#This Row],[Candidate 3]], "")</f>
        <v/>
      </c>
      <c r="AH485" s="18" t="str">
        <f>IF(NOT(ISBLANK(Audit[[#This Row],[Audit Candidate 4]])),Audit[[#This Row],[Audit Candidate 4]]-Audit[[#This Row],[Candidate 4]], "")</f>
        <v/>
      </c>
      <c r="AI485" s="18" t="str">
        <f>IF(NOT(ISBLANK(Audit[[#This Row],[Audit Candidate 5]])), Audit[[#This Row],[Audit Candidate 5]]-Audit[[#This Row],[Candidate 5]], "")</f>
        <v/>
      </c>
      <c r="AJ485" s="18" t="str">
        <f>IF(NOT(ISBLANK(Audit[[#This Row],[Audit Candidate 6]])), Audit[[#This Row],[Audit Candidate 6]]-Audit[[#This Row],[Candidate 6]], "")</f>
        <v/>
      </c>
      <c r="AK485" s="18" t="str">
        <f>IF(NOT(ISBLANK(Audit[[#This Row],[Audit Candidate 7]])), Audit[[#This Row],[Audit Candidate 7]]-Audit[[#This Row],[Candidate 7]], "")</f>
        <v/>
      </c>
      <c r="AL485" s="18" t="str">
        <f>IF(NOT(ISBLANK(Audit[[#This Row],[Audit Candidate 8]])), Audit[[#This Row],[Audit Candidate 8]]-Audit[[#This Row],[Candidate 8]], "")</f>
        <v/>
      </c>
      <c r="AM485" s="18" t="str">
        <f>IF(NOT(ISBLANK(Audit[[#This Row],[Audit Candidate 9]])), Audit[[#This Row],[Audit Candidate 9]]-Audit[[#This Row],[Candidate 9]], "")</f>
        <v/>
      </c>
      <c r="AN485" s="18" t="str">
        <f>IF(NOT(ISBLANK(Audit[[#This Row],[Audit Candidate 10]])), Audit[[#This Row],[Audit Candidate 10]]-Audit[[#This Row],[Candidate 10]], "")</f>
        <v/>
      </c>
      <c r="AO485" s="18" t="str">
        <f>IF(NOT(ISBLANK(Audit[[#This Row],[Audit Candidate 11]])), Audit[[#This Row],[Audit Candidate 11]]-Audit[[#This Row],[Candidate 11]], "")</f>
        <v/>
      </c>
      <c r="AP485" s="18" t="str">
        <f>IF(NOT(ISBLANK(Audit[[#This Row],[Audit Candidate 12]])), Audit[[#This Row],[Audit Candidate 12]]-Audit[[#This Row],[Candidate 12]], "")</f>
        <v/>
      </c>
      <c r="AQ485" s="18">
        <f>SUMIF(Audit[[#This Row],[Difference Winner]:[Difference Candidate 12]], "&gt;0")</f>
        <v>0</v>
      </c>
      <c r="AR485" s="18">
        <f>SUM(Audit[[#This Row],[Difference Winner]:[Difference Candidate 12]])</f>
        <v>0</v>
      </c>
      <c r="AS485" s="18">
        <f>IF(Audit[[#This Row],[Times p Drawn - With Replacement]]&gt;0, IF(Audit[[#This Row],[Canceled Differences]]&lt;0, Audit[[#This Row],[Max Differences]]+ABS(Audit[[#This Row],[Canceled Differences]]), Audit[[#This Row],[Max Differences]]), 0)</f>
        <v>0</v>
      </c>
      <c r="AT485" s="18">
        <f>'Sampling Data'!AB485</f>
        <v>2.5127995728240724E-4</v>
      </c>
      <c r="AU485" s="18">
        <f>IF(
      SUM(Audit[[#This Row],[Audit Losing Candidate]:[Audit Candidate 12]])
      &lt;&gt;0,
      (Audit[[#This Row],[Winning Candidate]]-Audit[[#This Row],[Losing Candidate]]-(Audit[[#This Row],[Audit Winning Candidate]]-Audit[[#This Row],[Audit Losing Candidate]]))/(Audit[[#Totals],[Winning Candidate]]-Audit[[#Totals],[Losing Candidate]]),
      0
)</f>
        <v>0</v>
      </c>
      <c r="AV4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8">
        <f>IF(Audit[[#This Row],[Max Relative Error (ep)]] = 0, 0, Audit[[#This Row],[Max Relative Error (ep)]]/Audit[[#This Row],[Error Bound (up) - Max. possible relative overstatement]])</f>
        <v>0</v>
      </c>
      <c r="BH4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5" s="18">
        <f t="shared" si="8"/>
        <v>1</v>
      </c>
      <c r="BJ485" s="18">
        <f>PRODUCT($BI$5:BI485)</f>
        <v>0.32656797278968008</v>
      </c>
      <c r="BK485" s="20">
        <f>1 - Audit[[#This Row],[K-M P Value]]</f>
        <v>0.67343202721031992</v>
      </c>
      <c r="BL485" s="18" t="str">
        <f>IF(Audit[[#This Row],[K-M P Value]]&gt;1-'General Info'!$B$12,"Continue", "Stop")</f>
        <v>Continue</v>
      </c>
      <c r="BM485" s="23" t="b">
        <f>IF(Audit[[#This Row],[Status - Continue or stop audit]] = "Continue", TRUE, IF(BL484 = "Continue", TRUE, FALSE))</f>
        <v>1</v>
      </c>
      <c r="BN485" s="23"/>
    </row>
    <row r="486" spans="1:66" ht="15" hidden="1" customHeight="1" x14ac:dyDescent="0.35">
      <c r="A486" s="18" t="str">
        <f>'Sampling Data'!AI486</f>
        <v/>
      </c>
      <c r="B486" s="18" t="str">
        <f>'Sampling Data'!A486</f>
        <v>8221 CLEVE A   (AV)</v>
      </c>
      <c r="C486" s="18">
        <f>'Sampling Data'!B486</f>
        <v>3</v>
      </c>
      <c r="D486" s="18">
        <f>'Sampling Data'!C486</f>
        <v>0</v>
      </c>
      <c r="E486" s="19">
        <f>'Sampling Data'!D486</f>
        <v>0</v>
      </c>
      <c r="F486" s="19">
        <f>'Sampling Data'!E486</f>
        <v>0</v>
      </c>
      <c r="G486" s="19">
        <f>'Sampling Data'!F486</f>
        <v>0</v>
      </c>
      <c r="H486" s="19">
        <f>'Sampling Data'!G486</f>
        <v>0</v>
      </c>
      <c r="I486" s="19">
        <f>'Sampling Data'!H486</f>
        <v>0</v>
      </c>
      <c r="J486" s="19">
        <f>'Sampling Data'!I486</f>
        <v>0</v>
      </c>
      <c r="K486" s="19">
        <f>'Sampling Data'!J486</f>
        <v>0</v>
      </c>
      <c r="L486" s="19">
        <f>'Sampling Data'!K486</f>
        <v>0</v>
      </c>
      <c r="M486" s="19">
        <f>'Sampling Data'!L486</f>
        <v>0</v>
      </c>
      <c r="N486" s="19">
        <f>'Sampling Data'!M486</f>
        <v>0</v>
      </c>
      <c r="O486" s="18">
        <f>'Sampling Data'!N486</f>
        <v>0</v>
      </c>
      <c r="P486" s="18">
        <f>'Sampling Data'!O486</f>
        <v>0</v>
      </c>
      <c r="Q486" s="18">
        <f>'Sampling Data'!P486</f>
        <v>3</v>
      </c>
      <c r="R486" s="18">
        <f>'Sampling Data'!AJ486</f>
        <v>0</v>
      </c>
      <c r="S486" s="112"/>
      <c r="T486" s="112"/>
      <c r="U486" s="113"/>
      <c r="V486" s="113"/>
      <c r="W486" s="112"/>
      <c r="X486" s="112"/>
      <c r="Y486" s="112"/>
      <c r="Z486" s="112"/>
      <c r="AA486" s="15"/>
      <c r="AB486" s="15"/>
      <c r="AC486" s="15"/>
      <c r="AD486" s="15"/>
      <c r="AE486" s="114" t="str">
        <f>IF(NOT(ISBLANK(Audit[[#This Row],[Audit Winning Candidate]])), Audit[[#This Row],[Audit Winning Candidate]]-Audit[[#This Row],[Winning Candidate]], "")</f>
        <v/>
      </c>
      <c r="AF486" s="18" t="str">
        <f>IF(NOT(ISBLANK(Audit[[#This Row],[Audit Losing Candidate]])), Audit[[#This Row],[Audit Losing Candidate]]-Audit[[#This Row],[Losing Candidate]], "")</f>
        <v/>
      </c>
      <c r="AG486" s="18" t="str">
        <f>IF(NOT(ISBLANK(Audit[[#This Row],[Audit Candidate 3]])), Audit[[#This Row],[Audit Candidate 3]]-Audit[[#This Row],[Candidate 3]], "")</f>
        <v/>
      </c>
      <c r="AH486" s="18" t="str">
        <f>IF(NOT(ISBLANK(Audit[[#This Row],[Audit Candidate 4]])),Audit[[#This Row],[Audit Candidate 4]]-Audit[[#This Row],[Candidate 4]], "")</f>
        <v/>
      </c>
      <c r="AI486" s="18" t="str">
        <f>IF(NOT(ISBLANK(Audit[[#This Row],[Audit Candidate 5]])), Audit[[#This Row],[Audit Candidate 5]]-Audit[[#This Row],[Candidate 5]], "")</f>
        <v/>
      </c>
      <c r="AJ486" s="18" t="str">
        <f>IF(NOT(ISBLANK(Audit[[#This Row],[Audit Candidate 6]])), Audit[[#This Row],[Audit Candidate 6]]-Audit[[#This Row],[Candidate 6]], "")</f>
        <v/>
      </c>
      <c r="AK486" s="18" t="str">
        <f>IF(NOT(ISBLANK(Audit[[#This Row],[Audit Candidate 7]])), Audit[[#This Row],[Audit Candidate 7]]-Audit[[#This Row],[Candidate 7]], "")</f>
        <v/>
      </c>
      <c r="AL486" s="18" t="str">
        <f>IF(NOT(ISBLANK(Audit[[#This Row],[Audit Candidate 8]])), Audit[[#This Row],[Audit Candidate 8]]-Audit[[#This Row],[Candidate 8]], "")</f>
        <v/>
      </c>
      <c r="AM486" s="18" t="str">
        <f>IF(NOT(ISBLANK(Audit[[#This Row],[Audit Candidate 9]])), Audit[[#This Row],[Audit Candidate 9]]-Audit[[#This Row],[Candidate 9]], "")</f>
        <v/>
      </c>
      <c r="AN486" s="18" t="str">
        <f>IF(NOT(ISBLANK(Audit[[#This Row],[Audit Candidate 10]])), Audit[[#This Row],[Audit Candidate 10]]-Audit[[#This Row],[Candidate 10]], "")</f>
        <v/>
      </c>
      <c r="AO486" s="18" t="str">
        <f>IF(NOT(ISBLANK(Audit[[#This Row],[Audit Candidate 11]])), Audit[[#This Row],[Audit Candidate 11]]-Audit[[#This Row],[Candidate 11]], "")</f>
        <v/>
      </c>
      <c r="AP486" s="18" t="str">
        <f>IF(NOT(ISBLANK(Audit[[#This Row],[Audit Candidate 12]])), Audit[[#This Row],[Audit Candidate 12]]-Audit[[#This Row],[Candidate 12]], "")</f>
        <v/>
      </c>
      <c r="AQ486" s="18">
        <f>SUMIF(Audit[[#This Row],[Difference Winner]:[Difference Candidate 12]], "&gt;0")</f>
        <v>0</v>
      </c>
      <c r="AR486" s="18">
        <f>SUM(Audit[[#This Row],[Difference Winner]:[Difference Candidate 12]])</f>
        <v>0</v>
      </c>
      <c r="AS486" s="18">
        <f>IF(Audit[[#This Row],[Times p Drawn - With Replacement]]&gt;0, IF(Audit[[#This Row],[Canceled Differences]]&lt;0, Audit[[#This Row],[Max Differences]]+ABS(Audit[[#This Row],[Canceled Differences]]), Audit[[#This Row],[Max Differences]]), 0)</f>
        <v>0</v>
      </c>
      <c r="AT486" s="18">
        <f>'Sampling Data'!AB486</f>
        <v>1.8845996796180544E-4</v>
      </c>
      <c r="AU486" s="18">
        <f>IF(
      SUM(Audit[[#This Row],[Audit Losing Candidate]:[Audit Candidate 12]])
      &lt;&gt;0,
      (Audit[[#This Row],[Winning Candidate]]-Audit[[#This Row],[Losing Candidate]]-(Audit[[#This Row],[Audit Winning Candidate]]-Audit[[#This Row],[Audit Losing Candidate]]))/(Audit[[#Totals],[Winning Candidate]]-Audit[[#Totals],[Losing Candidate]]),
      0
)</f>
        <v>0</v>
      </c>
      <c r="AV4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8">
        <f>IF(Audit[[#This Row],[Max Relative Error (ep)]] = 0, 0, Audit[[#This Row],[Max Relative Error (ep)]]/Audit[[#This Row],[Error Bound (up) - Max. possible relative overstatement]])</f>
        <v>0</v>
      </c>
      <c r="BH4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6" s="18">
        <f t="shared" si="8"/>
        <v>1</v>
      </c>
      <c r="BJ486" s="18">
        <f>PRODUCT($BI$5:BI486)</f>
        <v>0.32656797278968008</v>
      </c>
      <c r="BK486" s="20">
        <f>1 - Audit[[#This Row],[K-M P Value]]</f>
        <v>0.67343202721031992</v>
      </c>
      <c r="BL486" s="18" t="str">
        <f>IF(Audit[[#This Row],[K-M P Value]]&gt;1-'General Info'!$B$12,"Continue", "Stop")</f>
        <v>Continue</v>
      </c>
      <c r="BM486" s="23" t="b">
        <f>IF(Audit[[#This Row],[Status - Continue or stop audit]] = "Continue", TRUE, IF(BL485 = "Continue", TRUE, FALSE))</f>
        <v>1</v>
      </c>
      <c r="BN486" s="23"/>
    </row>
    <row r="487" spans="1:66" ht="15" hidden="1" customHeight="1" x14ac:dyDescent="0.35">
      <c r="A487" s="18" t="str">
        <f>'Sampling Data'!AI487</f>
        <v/>
      </c>
      <c r="B487" s="18" t="str">
        <f>'Sampling Data'!A487</f>
        <v>8222 CLEVE B   (AV)</v>
      </c>
      <c r="C487" s="18">
        <f>'Sampling Data'!B487</f>
        <v>13</v>
      </c>
      <c r="D487" s="18">
        <f>'Sampling Data'!C487</f>
        <v>1</v>
      </c>
      <c r="E487" s="19">
        <f>'Sampling Data'!D487</f>
        <v>0</v>
      </c>
      <c r="F487" s="19">
        <f>'Sampling Data'!E487</f>
        <v>0</v>
      </c>
      <c r="G487" s="19">
        <f>'Sampling Data'!F487</f>
        <v>0</v>
      </c>
      <c r="H487" s="19">
        <f>'Sampling Data'!G487</f>
        <v>0</v>
      </c>
      <c r="I487" s="19">
        <f>'Sampling Data'!H487</f>
        <v>0</v>
      </c>
      <c r="J487" s="19">
        <f>'Sampling Data'!I487</f>
        <v>0</v>
      </c>
      <c r="K487" s="19">
        <f>'Sampling Data'!J487</f>
        <v>0</v>
      </c>
      <c r="L487" s="19">
        <f>'Sampling Data'!K487</f>
        <v>0</v>
      </c>
      <c r="M487" s="19">
        <f>'Sampling Data'!L487</f>
        <v>0</v>
      </c>
      <c r="N487" s="19">
        <f>'Sampling Data'!M487</f>
        <v>0</v>
      </c>
      <c r="O487" s="18">
        <f>'Sampling Data'!N487</f>
        <v>0</v>
      </c>
      <c r="P487" s="18">
        <f>'Sampling Data'!O487</f>
        <v>0</v>
      </c>
      <c r="Q487" s="18">
        <f>'Sampling Data'!P487</f>
        <v>14</v>
      </c>
      <c r="R487" s="18">
        <f>'Sampling Data'!AJ487</f>
        <v>0</v>
      </c>
      <c r="S487" s="112"/>
      <c r="T487" s="112"/>
      <c r="U487" s="113"/>
      <c r="V487" s="113"/>
      <c r="W487" s="112"/>
      <c r="X487" s="112"/>
      <c r="Y487" s="112"/>
      <c r="Z487" s="112"/>
      <c r="AA487" s="15"/>
      <c r="AB487" s="15"/>
      <c r="AC487" s="15"/>
      <c r="AD487" s="15"/>
      <c r="AE487" s="114" t="str">
        <f>IF(NOT(ISBLANK(Audit[[#This Row],[Audit Winning Candidate]])), Audit[[#This Row],[Audit Winning Candidate]]-Audit[[#This Row],[Winning Candidate]], "")</f>
        <v/>
      </c>
      <c r="AF487" s="18" t="str">
        <f>IF(NOT(ISBLANK(Audit[[#This Row],[Audit Losing Candidate]])), Audit[[#This Row],[Audit Losing Candidate]]-Audit[[#This Row],[Losing Candidate]], "")</f>
        <v/>
      </c>
      <c r="AG487" s="18" t="str">
        <f>IF(NOT(ISBLANK(Audit[[#This Row],[Audit Candidate 3]])), Audit[[#This Row],[Audit Candidate 3]]-Audit[[#This Row],[Candidate 3]], "")</f>
        <v/>
      </c>
      <c r="AH487" s="18" t="str">
        <f>IF(NOT(ISBLANK(Audit[[#This Row],[Audit Candidate 4]])),Audit[[#This Row],[Audit Candidate 4]]-Audit[[#This Row],[Candidate 4]], "")</f>
        <v/>
      </c>
      <c r="AI487" s="18" t="str">
        <f>IF(NOT(ISBLANK(Audit[[#This Row],[Audit Candidate 5]])), Audit[[#This Row],[Audit Candidate 5]]-Audit[[#This Row],[Candidate 5]], "")</f>
        <v/>
      </c>
      <c r="AJ487" s="18" t="str">
        <f>IF(NOT(ISBLANK(Audit[[#This Row],[Audit Candidate 6]])), Audit[[#This Row],[Audit Candidate 6]]-Audit[[#This Row],[Candidate 6]], "")</f>
        <v/>
      </c>
      <c r="AK487" s="18" t="str">
        <f>IF(NOT(ISBLANK(Audit[[#This Row],[Audit Candidate 7]])), Audit[[#This Row],[Audit Candidate 7]]-Audit[[#This Row],[Candidate 7]], "")</f>
        <v/>
      </c>
      <c r="AL487" s="18" t="str">
        <f>IF(NOT(ISBLANK(Audit[[#This Row],[Audit Candidate 8]])), Audit[[#This Row],[Audit Candidate 8]]-Audit[[#This Row],[Candidate 8]], "")</f>
        <v/>
      </c>
      <c r="AM487" s="18" t="str">
        <f>IF(NOT(ISBLANK(Audit[[#This Row],[Audit Candidate 9]])), Audit[[#This Row],[Audit Candidate 9]]-Audit[[#This Row],[Candidate 9]], "")</f>
        <v/>
      </c>
      <c r="AN487" s="18" t="str">
        <f>IF(NOT(ISBLANK(Audit[[#This Row],[Audit Candidate 10]])), Audit[[#This Row],[Audit Candidate 10]]-Audit[[#This Row],[Candidate 10]], "")</f>
        <v/>
      </c>
      <c r="AO487" s="18" t="str">
        <f>IF(NOT(ISBLANK(Audit[[#This Row],[Audit Candidate 11]])), Audit[[#This Row],[Audit Candidate 11]]-Audit[[#This Row],[Candidate 11]], "")</f>
        <v/>
      </c>
      <c r="AP487" s="18" t="str">
        <f>IF(NOT(ISBLANK(Audit[[#This Row],[Audit Candidate 12]])), Audit[[#This Row],[Audit Candidate 12]]-Audit[[#This Row],[Candidate 12]], "")</f>
        <v/>
      </c>
      <c r="AQ487" s="18">
        <f>SUMIF(Audit[[#This Row],[Difference Winner]:[Difference Candidate 12]], "&gt;0")</f>
        <v>0</v>
      </c>
      <c r="AR487" s="18">
        <f>SUM(Audit[[#This Row],[Difference Winner]:[Difference Candidate 12]])</f>
        <v>0</v>
      </c>
      <c r="AS487" s="18">
        <f>IF(Audit[[#This Row],[Times p Drawn - With Replacement]]&gt;0, IF(Audit[[#This Row],[Canceled Differences]]&lt;0, Audit[[#This Row],[Max Differences]]+ABS(Audit[[#This Row],[Canceled Differences]]), Audit[[#This Row],[Max Differences]]), 0)</f>
        <v>0</v>
      </c>
      <c r="AT487" s="18">
        <f>'Sampling Data'!AB487</f>
        <v>8.1665986116782364E-4</v>
      </c>
      <c r="AU487" s="18">
        <f>IF(
      SUM(Audit[[#This Row],[Audit Losing Candidate]:[Audit Candidate 12]])
      &lt;&gt;0,
      (Audit[[#This Row],[Winning Candidate]]-Audit[[#This Row],[Losing Candidate]]-(Audit[[#This Row],[Audit Winning Candidate]]-Audit[[#This Row],[Audit Losing Candidate]]))/(Audit[[#Totals],[Winning Candidate]]-Audit[[#Totals],[Losing Candidate]]),
      0
)</f>
        <v>0</v>
      </c>
      <c r="AV4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8">
        <f>IF(Audit[[#This Row],[Max Relative Error (ep)]] = 0, 0, Audit[[#This Row],[Max Relative Error (ep)]]/Audit[[#This Row],[Error Bound (up) - Max. possible relative overstatement]])</f>
        <v>0</v>
      </c>
      <c r="BH4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7" s="18">
        <f t="shared" si="8"/>
        <v>1</v>
      </c>
      <c r="BJ487" s="18">
        <f>PRODUCT($BI$5:BI487)</f>
        <v>0.32656797278968008</v>
      </c>
      <c r="BK487" s="20">
        <f>1 - Audit[[#This Row],[K-M P Value]]</f>
        <v>0.67343202721031992</v>
      </c>
      <c r="BL487" s="18" t="str">
        <f>IF(Audit[[#This Row],[K-M P Value]]&gt;1-'General Info'!$B$12,"Continue", "Stop")</f>
        <v>Continue</v>
      </c>
      <c r="BM487" s="23" t="b">
        <f>IF(Audit[[#This Row],[Status - Continue or stop audit]] = "Continue", TRUE, IF(BL486 = "Continue", TRUE, FALSE))</f>
        <v>1</v>
      </c>
      <c r="BN487" s="23"/>
    </row>
    <row r="488" spans="1:66" ht="15" hidden="1" customHeight="1" x14ac:dyDescent="0.35">
      <c r="A488" s="18" t="str">
        <f>'Sampling Data'!AI488</f>
        <v/>
      </c>
      <c r="B488" s="18" t="str">
        <f>'Sampling Data'!A488</f>
        <v>8231 NO BEND A   (AV)</v>
      </c>
      <c r="C488" s="18">
        <f>'Sampling Data'!B488</f>
        <v>21</v>
      </c>
      <c r="D488" s="18">
        <f>'Sampling Data'!C488</f>
        <v>0</v>
      </c>
      <c r="E488" s="19">
        <f>'Sampling Data'!D488</f>
        <v>0</v>
      </c>
      <c r="F488" s="19">
        <f>'Sampling Data'!E488</f>
        <v>0</v>
      </c>
      <c r="G488" s="19">
        <f>'Sampling Data'!F488</f>
        <v>0</v>
      </c>
      <c r="H488" s="19">
        <f>'Sampling Data'!G488</f>
        <v>0</v>
      </c>
      <c r="I488" s="19">
        <f>'Sampling Data'!H488</f>
        <v>0</v>
      </c>
      <c r="J488" s="19">
        <f>'Sampling Data'!I488</f>
        <v>0</v>
      </c>
      <c r="K488" s="19">
        <f>'Sampling Data'!J488</f>
        <v>0</v>
      </c>
      <c r="L488" s="19">
        <f>'Sampling Data'!K488</f>
        <v>0</v>
      </c>
      <c r="M488" s="19">
        <f>'Sampling Data'!L488</f>
        <v>0</v>
      </c>
      <c r="N488" s="19">
        <f>'Sampling Data'!M488</f>
        <v>0</v>
      </c>
      <c r="O488" s="18">
        <f>'Sampling Data'!N488</f>
        <v>0</v>
      </c>
      <c r="P488" s="18">
        <f>'Sampling Data'!O488</f>
        <v>0</v>
      </c>
      <c r="Q488" s="18">
        <f>'Sampling Data'!P488</f>
        <v>21</v>
      </c>
      <c r="R488" s="18">
        <f>'Sampling Data'!AJ488</f>
        <v>0</v>
      </c>
      <c r="S488" s="112"/>
      <c r="T488" s="112"/>
      <c r="U488" s="113"/>
      <c r="V488" s="113"/>
      <c r="W488" s="112"/>
      <c r="X488" s="112"/>
      <c r="Y488" s="112"/>
      <c r="Z488" s="112"/>
      <c r="AA488" s="15"/>
      <c r="AB488" s="15"/>
      <c r="AC488" s="15"/>
      <c r="AD488" s="15"/>
      <c r="AE488" s="114" t="str">
        <f>IF(NOT(ISBLANK(Audit[[#This Row],[Audit Winning Candidate]])), Audit[[#This Row],[Audit Winning Candidate]]-Audit[[#This Row],[Winning Candidate]], "")</f>
        <v/>
      </c>
      <c r="AF488" s="18" t="str">
        <f>IF(NOT(ISBLANK(Audit[[#This Row],[Audit Losing Candidate]])), Audit[[#This Row],[Audit Losing Candidate]]-Audit[[#This Row],[Losing Candidate]], "")</f>
        <v/>
      </c>
      <c r="AG488" s="18" t="str">
        <f>IF(NOT(ISBLANK(Audit[[#This Row],[Audit Candidate 3]])), Audit[[#This Row],[Audit Candidate 3]]-Audit[[#This Row],[Candidate 3]], "")</f>
        <v/>
      </c>
      <c r="AH488" s="18" t="str">
        <f>IF(NOT(ISBLANK(Audit[[#This Row],[Audit Candidate 4]])),Audit[[#This Row],[Audit Candidate 4]]-Audit[[#This Row],[Candidate 4]], "")</f>
        <v/>
      </c>
      <c r="AI488" s="18" t="str">
        <f>IF(NOT(ISBLANK(Audit[[#This Row],[Audit Candidate 5]])), Audit[[#This Row],[Audit Candidate 5]]-Audit[[#This Row],[Candidate 5]], "")</f>
        <v/>
      </c>
      <c r="AJ488" s="18" t="str">
        <f>IF(NOT(ISBLANK(Audit[[#This Row],[Audit Candidate 6]])), Audit[[#This Row],[Audit Candidate 6]]-Audit[[#This Row],[Candidate 6]], "")</f>
        <v/>
      </c>
      <c r="AK488" s="18" t="str">
        <f>IF(NOT(ISBLANK(Audit[[#This Row],[Audit Candidate 7]])), Audit[[#This Row],[Audit Candidate 7]]-Audit[[#This Row],[Candidate 7]], "")</f>
        <v/>
      </c>
      <c r="AL488" s="18" t="str">
        <f>IF(NOT(ISBLANK(Audit[[#This Row],[Audit Candidate 8]])), Audit[[#This Row],[Audit Candidate 8]]-Audit[[#This Row],[Candidate 8]], "")</f>
        <v/>
      </c>
      <c r="AM488" s="18" t="str">
        <f>IF(NOT(ISBLANK(Audit[[#This Row],[Audit Candidate 9]])), Audit[[#This Row],[Audit Candidate 9]]-Audit[[#This Row],[Candidate 9]], "")</f>
        <v/>
      </c>
      <c r="AN488" s="18" t="str">
        <f>IF(NOT(ISBLANK(Audit[[#This Row],[Audit Candidate 10]])), Audit[[#This Row],[Audit Candidate 10]]-Audit[[#This Row],[Candidate 10]], "")</f>
        <v/>
      </c>
      <c r="AO488" s="18" t="str">
        <f>IF(NOT(ISBLANK(Audit[[#This Row],[Audit Candidate 11]])), Audit[[#This Row],[Audit Candidate 11]]-Audit[[#This Row],[Candidate 11]], "")</f>
        <v/>
      </c>
      <c r="AP488" s="18" t="str">
        <f>IF(NOT(ISBLANK(Audit[[#This Row],[Audit Candidate 12]])), Audit[[#This Row],[Audit Candidate 12]]-Audit[[#This Row],[Candidate 12]], "")</f>
        <v/>
      </c>
      <c r="AQ488" s="18">
        <f>SUMIF(Audit[[#This Row],[Difference Winner]:[Difference Candidate 12]], "&gt;0")</f>
        <v>0</v>
      </c>
      <c r="AR488" s="18">
        <f>SUM(Audit[[#This Row],[Difference Winner]:[Difference Candidate 12]])</f>
        <v>0</v>
      </c>
      <c r="AS488" s="18">
        <f>IF(Audit[[#This Row],[Times p Drawn - With Replacement]]&gt;0, IF(Audit[[#This Row],[Canceled Differences]]&lt;0, Audit[[#This Row],[Max Differences]]+ABS(Audit[[#This Row],[Canceled Differences]]), Audit[[#This Row],[Max Differences]]), 0)</f>
        <v>0</v>
      </c>
      <c r="AT488" s="18">
        <f>'Sampling Data'!AB488</f>
        <v>1.3192197757326382E-3</v>
      </c>
      <c r="AU488" s="18">
        <f>IF(
      SUM(Audit[[#This Row],[Audit Losing Candidate]:[Audit Candidate 12]])
      &lt;&gt;0,
      (Audit[[#This Row],[Winning Candidate]]-Audit[[#This Row],[Losing Candidate]]-(Audit[[#This Row],[Audit Winning Candidate]]-Audit[[#This Row],[Audit Losing Candidate]]))/(Audit[[#Totals],[Winning Candidate]]-Audit[[#Totals],[Losing Candidate]]),
      0
)</f>
        <v>0</v>
      </c>
      <c r="AV4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8">
        <f>IF(Audit[[#This Row],[Max Relative Error (ep)]] = 0, 0, Audit[[#This Row],[Max Relative Error (ep)]]/Audit[[#This Row],[Error Bound (up) - Max. possible relative overstatement]])</f>
        <v>0</v>
      </c>
      <c r="BH4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8" s="18">
        <f t="shared" si="8"/>
        <v>1</v>
      </c>
      <c r="BJ488" s="18">
        <f>PRODUCT($BI$5:BI488)</f>
        <v>0.32656797278968008</v>
      </c>
      <c r="BK488" s="20">
        <f>1 - Audit[[#This Row],[K-M P Value]]</f>
        <v>0.67343202721031992</v>
      </c>
      <c r="BL488" s="18" t="str">
        <f>IF(Audit[[#This Row],[K-M P Value]]&gt;1-'General Info'!$B$12,"Continue", "Stop")</f>
        <v>Continue</v>
      </c>
      <c r="BM488" s="23" t="b">
        <f>IF(Audit[[#This Row],[Status - Continue or stop audit]] = "Continue", TRUE, IF(BL487 = "Continue", TRUE, FALSE))</f>
        <v>1</v>
      </c>
      <c r="BN488" s="23"/>
    </row>
    <row r="489" spans="1:66" ht="15" hidden="1" customHeight="1" x14ac:dyDescent="0.35">
      <c r="A489" s="18" t="str">
        <f>'Sampling Data'!AI489</f>
        <v/>
      </c>
      <c r="B489" s="18" t="str">
        <f>'Sampling Data'!A489</f>
        <v>8301 MIAMI A   (AV)</v>
      </c>
      <c r="C489" s="18">
        <f>'Sampling Data'!B489</f>
        <v>19</v>
      </c>
      <c r="D489" s="18">
        <f>'Sampling Data'!C489</f>
        <v>2</v>
      </c>
      <c r="E489" s="19">
        <f>'Sampling Data'!D489</f>
        <v>0</v>
      </c>
      <c r="F489" s="19">
        <f>'Sampling Data'!E489</f>
        <v>0</v>
      </c>
      <c r="G489" s="19">
        <f>'Sampling Data'!F489</f>
        <v>0</v>
      </c>
      <c r="H489" s="19">
        <f>'Sampling Data'!G489</f>
        <v>0</v>
      </c>
      <c r="I489" s="19">
        <f>'Sampling Data'!H489</f>
        <v>0</v>
      </c>
      <c r="J489" s="19">
        <f>'Sampling Data'!I489</f>
        <v>0</v>
      </c>
      <c r="K489" s="19">
        <f>'Sampling Data'!J489</f>
        <v>0</v>
      </c>
      <c r="L489" s="19">
        <f>'Sampling Data'!K489</f>
        <v>0</v>
      </c>
      <c r="M489" s="19">
        <f>'Sampling Data'!L489</f>
        <v>0</v>
      </c>
      <c r="N489" s="19">
        <f>'Sampling Data'!M489</f>
        <v>0</v>
      </c>
      <c r="O489" s="18">
        <f>'Sampling Data'!N489</f>
        <v>0</v>
      </c>
      <c r="P489" s="18">
        <f>'Sampling Data'!O489</f>
        <v>0</v>
      </c>
      <c r="Q489" s="18">
        <f>'Sampling Data'!P489</f>
        <v>21</v>
      </c>
      <c r="R489" s="18">
        <f>'Sampling Data'!AJ489</f>
        <v>0</v>
      </c>
      <c r="S489" s="112"/>
      <c r="T489" s="112"/>
      <c r="U489" s="113"/>
      <c r="V489" s="113"/>
      <c r="W489" s="112"/>
      <c r="X489" s="112"/>
      <c r="Y489" s="112"/>
      <c r="Z489" s="112"/>
      <c r="AA489" s="15"/>
      <c r="AB489" s="15"/>
      <c r="AC489" s="15"/>
      <c r="AD489" s="15"/>
      <c r="AE489" s="114" t="str">
        <f>IF(NOT(ISBLANK(Audit[[#This Row],[Audit Winning Candidate]])), Audit[[#This Row],[Audit Winning Candidate]]-Audit[[#This Row],[Winning Candidate]], "")</f>
        <v/>
      </c>
      <c r="AF489" s="18" t="str">
        <f>IF(NOT(ISBLANK(Audit[[#This Row],[Audit Losing Candidate]])), Audit[[#This Row],[Audit Losing Candidate]]-Audit[[#This Row],[Losing Candidate]], "")</f>
        <v/>
      </c>
      <c r="AG489" s="18" t="str">
        <f>IF(NOT(ISBLANK(Audit[[#This Row],[Audit Candidate 3]])), Audit[[#This Row],[Audit Candidate 3]]-Audit[[#This Row],[Candidate 3]], "")</f>
        <v/>
      </c>
      <c r="AH489" s="18" t="str">
        <f>IF(NOT(ISBLANK(Audit[[#This Row],[Audit Candidate 4]])),Audit[[#This Row],[Audit Candidate 4]]-Audit[[#This Row],[Candidate 4]], "")</f>
        <v/>
      </c>
      <c r="AI489" s="18" t="str">
        <f>IF(NOT(ISBLANK(Audit[[#This Row],[Audit Candidate 5]])), Audit[[#This Row],[Audit Candidate 5]]-Audit[[#This Row],[Candidate 5]], "")</f>
        <v/>
      </c>
      <c r="AJ489" s="18" t="str">
        <f>IF(NOT(ISBLANK(Audit[[#This Row],[Audit Candidate 6]])), Audit[[#This Row],[Audit Candidate 6]]-Audit[[#This Row],[Candidate 6]], "")</f>
        <v/>
      </c>
      <c r="AK489" s="18" t="str">
        <f>IF(NOT(ISBLANK(Audit[[#This Row],[Audit Candidate 7]])), Audit[[#This Row],[Audit Candidate 7]]-Audit[[#This Row],[Candidate 7]], "")</f>
        <v/>
      </c>
      <c r="AL489" s="18" t="str">
        <f>IF(NOT(ISBLANK(Audit[[#This Row],[Audit Candidate 8]])), Audit[[#This Row],[Audit Candidate 8]]-Audit[[#This Row],[Candidate 8]], "")</f>
        <v/>
      </c>
      <c r="AM489" s="18" t="str">
        <f>IF(NOT(ISBLANK(Audit[[#This Row],[Audit Candidate 9]])), Audit[[#This Row],[Audit Candidate 9]]-Audit[[#This Row],[Candidate 9]], "")</f>
        <v/>
      </c>
      <c r="AN489" s="18" t="str">
        <f>IF(NOT(ISBLANK(Audit[[#This Row],[Audit Candidate 10]])), Audit[[#This Row],[Audit Candidate 10]]-Audit[[#This Row],[Candidate 10]], "")</f>
        <v/>
      </c>
      <c r="AO489" s="18" t="str">
        <f>IF(NOT(ISBLANK(Audit[[#This Row],[Audit Candidate 11]])), Audit[[#This Row],[Audit Candidate 11]]-Audit[[#This Row],[Candidate 11]], "")</f>
        <v/>
      </c>
      <c r="AP489" s="18" t="str">
        <f>IF(NOT(ISBLANK(Audit[[#This Row],[Audit Candidate 12]])), Audit[[#This Row],[Audit Candidate 12]]-Audit[[#This Row],[Candidate 12]], "")</f>
        <v/>
      </c>
      <c r="AQ489" s="18">
        <f>SUMIF(Audit[[#This Row],[Difference Winner]:[Difference Candidate 12]], "&gt;0")</f>
        <v>0</v>
      </c>
      <c r="AR489" s="18">
        <f>SUM(Audit[[#This Row],[Difference Winner]:[Difference Candidate 12]])</f>
        <v>0</v>
      </c>
      <c r="AS489" s="18">
        <f>IF(Audit[[#This Row],[Times p Drawn - With Replacement]]&gt;0, IF(Audit[[#This Row],[Canceled Differences]]&lt;0, Audit[[#This Row],[Max Differences]]+ABS(Audit[[#This Row],[Canceled Differences]]), Audit[[#This Row],[Max Differences]]), 0)</f>
        <v>0</v>
      </c>
      <c r="AT489" s="18">
        <f>'Sampling Data'!AB489</f>
        <v>1.1935797970914345E-3</v>
      </c>
      <c r="AU489" s="18">
        <f>IF(
      SUM(Audit[[#This Row],[Audit Losing Candidate]:[Audit Candidate 12]])
      &lt;&gt;0,
      (Audit[[#This Row],[Winning Candidate]]-Audit[[#This Row],[Losing Candidate]]-(Audit[[#This Row],[Audit Winning Candidate]]-Audit[[#This Row],[Audit Losing Candidate]]))/(Audit[[#Totals],[Winning Candidate]]-Audit[[#Totals],[Losing Candidate]]),
      0
)</f>
        <v>0</v>
      </c>
      <c r="AV4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8">
        <f>IF(Audit[[#This Row],[Max Relative Error (ep)]] = 0, 0, Audit[[#This Row],[Max Relative Error (ep)]]/Audit[[#This Row],[Error Bound (up) - Max. possible relative overstatement]])</f>
        <v>0</v>
      </c>
      <c r="BH4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89" s="18">
        <f t="shared" si="8"/>
        <v>1</v>
      </c>
      <c r="BJ489" s="18">
        <f>PRODUCT($BI$5:BI489)</f>
        <v>0.32656797278968008</v>
      </c>
      <c r="BK489" s="20">
        <f>1 - Audit[[#This Row],[K-M P Value]]</f>
        <v>0.67343202721031992</v>
      </c>
      <c r="BL489" s="18" t="str">
        <f>IF(Audit[[#This Row],[K-M P Value]]&gt;1-'General Info'!$B$12,"Continue", "Stop")</f>
        <v>Continue</v>
      </c>
      <c r="BM489" s="23" t="b">
        <f>IF(Audit[[#This Row],[Status - Continue or stop audit]] = "Continue", TRUE, IF(BL488 = "Continue", TRUE, FALSE))</f>
        <v>1</v>
      </c>
      <c r="BN489" s="23"/>
    </row>
    <row r="490" spans="1:66" ht="15" hidden="1" customHeight="1" x14ac:dyDescent="0.35">
      <c r="A490" s="18" t="str">
        <f>'Sampling Data'!AI490</f>
        <v/>
      </c>
      <c r="B490" s="18" t="str">
        <f>'Sampling Data'!A490</f>
        <v>8302 MIAMI B   (AV)</v>
      </c>
      <c r="C490" s="18">
        <f>'Sampling Data'!B490</f>
        <v>5</v>
      </c>
      <c r="D490" s="18">
        <f>'Sampling Data'!C490</f>
        <v>2</v>
      </c>
      <c r="E490" s="19">
        <f>'Sampling Data'!D490</f>
        <v>0</v>
      </c>
      <c r="F490" s="19">
        <f>'Sampling Data'!E490</f>
        <v>0</v>
      </c>
      <c r="G490" s="19">
        <f>'Sampling Data'!F490</f>
        <v>0</v>
      </c>
      <c r="H490" s="19">
        <f>'Sampling Data'!G490</f>
        <v>0</v>
      </c>
      <c r="I490" s="19">
        <f>'Sampling Data'!H490</f>
        <v>0</v>
      </c>
      <c r="J490" s="19">
        <f>'Sampling Data'!I490</f>
        <v>0</v>
      </c>
      <c r="K490" s="19">
        <f>'Sampling Data'!J490</f>
        <v>0</v>
      </c>
      <c r="L490" s="19">
        <f>'Sampling Data'!K490</f>
        <v>0</v>
      </c>
      <c r="M490" s="19">
        <f>'Sampling Data'!L490</f>
        <v>0</v>
      </c>
      <c r="N490" s="19">
        <f>'Sampling Data'!M490</f>
        <v>0</v>
      </c>
      <c r="O490" s="18">
        <f>'Sampling Data'!N490</f>
        <v>0</v>
      </c>
      <c r="P490" s="18">
        <f>'Sampling Data'!O490</f>
        <v>1</v>
      </c>
      <c r="Q490" s="18">
        <f>'Sampling Data'!P490</f>
        <v>8</v>
      </c>
      <c r="R490" s="18">
        <f>'Sampling Data'!AJ490</f>
        <v>0</v>
      </c>
      <c r="S490" s="112"/>
      <c r="T490" s="112"/>
      <c r="U490" s="113"/>
      <c r="V490" s="113"/>
      <c r="W490" s="112"/>
      <c r="X490" s="112"/>
      <c r="Y490" s="112"/>
      <c r="Z490" s="112"/>
      <c r="AA490" s="15"/>
      <c r="AB490" s="15"/>
      <c r="AC490" s="15"/>
      <c r="AD490" s="15"/>
      <c r="AE490" s="114" t="str">
        <f>IF(NOT(ISBLANK(Audit[[#This Row],[Audit Winning Candidate]])), Audit[[#This Row],[Audit Winning Candidate]]-Audit[[#This Row],[Winning Candidate]], "")</f>
        <v/>
      </c>
      <c r="AF490" s="18" t="str">
        <f>IF(NOT(ISBLANK(Audit[[#This Row],[Audit Losing Candidate]])), Audit[[#This Row],[Audit Losing Candidate]]-Audit[[#This Row],[Losing Candidate]], "")</f>
        <v/>
      </c>
      <c r="AG490" s="18" t="str">
        <f>IF(NOT(ISBLANK(Audit[[#This Row],[Audit Candidate 3]])), Audit[[#This Row],[Audit Candidate 3]]-Audit[[#This Row],[Candidate 3]], "")</f>
        <v/>
      </c>
      <c r="AH490" s="18" t="str">
        <f>IF(NOT(ISBLANK(Audit[[#This Row],[Audit Candidate 4]])),Audit[[#This Row],[Audit Candidate 4]]-Audit[[#This Row],[Candidate 4]], "")</f>
        <v/>
      </c>
      <c r="AI490" s="18" t="str">
        <f>IF(NOT(ISBLANK(Audit[[#This Row],[Audit Candidate 5]])), Audit[[#This Row],[Audit Candidate 5]]-Audit[[#This Row],[Candidate 5]], "")</f>
        <v/>
      </c>
      <c r="AJ490" s="18" t="str">
        <f>IF(NOT(ISBLANK(Audit[[#This Row],[Audit Candidate 6]])), Audit[[#This Row],[Audit Candidate 6]]-Audit[[#This Row],[Candidate 6]], "")</f>
        <v/>
      </c>
      <c r="AK490" s="18" t="str">
        <f>IF(NOT(ISBLANK(Audit[[#This Row],[Audit Candidate 7]])), Audit[[#This Row],[Audit Candidate 7]]-Audit[[#This Row],[Candidate 7]], "")</f>
        <v/>
      </c>
      <c r="AL490" s="18" t="str">
        <f>IF(NOT(ISBLANK(Audit[[#This Row],[Audit Candidate 8]])), Audit[[#This Row],[Audit Candidate 8]]-Audit[[#This Row],[Candidate 8]], "")</f>
        <v/>
      </c>
      <c r="AM490" s="18" t="str">
        <f>IF(NOT(ISBLANK(Audit[[#This Row],[Audit Candidate 9]])), Audit[[#This Row],[Audit Candidate 9]]-Audit[[#This Row],[Candidate 9]], "")</f>
        <v/>
      </c>
      <c r="AN490" s="18" t="str">
        <f>IF(NOT(ISBLANK(Audit[[#This Row],[Audit Candidate 10]])), Audit[[#This Row],[Audit Candidate 10]]-Audit[[#This Row],[Candidate 10]], "")</f>
        <v/>
      </c>
      <c r="AO490" s="18" t="str">
        <f>IF(NOT(ISBLANK(Audit[[#This Row],[Audit Candidate 11]])), Audit[[#This Row],[Audit Candidate 11]]-Audit[[#This Row],[Candidate 11]], "")</f>
        <v/>
      </c>
      <c r="AP490" s="18" t="str">
        <f>IF(NOT(ISBLANK(Audit[[#This Row],[Audit Candidate 12]])), Audit[[#This Row],[Audit Candidate 12]]-Audit[[#This Row],[Candidate 12]], "")</f>
        <v/>
      </c>
      <c r="AQ490" s="18">
        <f>SUMIF(Audit[[#This Row],[Difference Winner]:[Difference Candidate 12]], "&gt;0")</f>
        <v>0</v>
      </c>
      <c r="AR490" s="18">
        <f>SUM(Audit[[#This Row],[Difference Winner]:[Difference Candidate 12]])</f>
        <v>0</v>
      </c>
      <c r="AS490" s="18">
        <f>IF(Audit[[#This Row],[Times p Drawn - With Replacement]]&gt;0, IF(Audit[[#This Row],[Canceled Differences]]&lt;0, Audit[[#This Row],[Max Differences]]+ABS(Audit[[#This Row],[Canceled Differences]]), Audit[[#This Row],[Max Differences]]), 0)</f>
        <v>0</v>
      </c>
      <c r="AT490" s="18">
        <f>'Sampling Data'!AB490</f>
        <v>3.4550994126331E-4</v>
      </c>
      <c r="AU490" s="18">
        <f>IF(
      SUM(Audit[[#This Row],[Audit Losing Candidate]:[Audit Candidate 12]])
      &lt;&gt;0,
      (Audit[[#This Row],[Winning Candidate]]-Audit[[#This Row],[Losing Candidate]]-(Audit[[#This Row],[Audit Winning Candidate]]-Audit[[#This Row],[Audit Losing Candidate]]))/(Audit[[#Totals],[Winning Candidate]]-Audit[[#Totals],[Losing Candidate]]),
      0
)</f>
        <v>0</v>
      </c>
      <c r="AV4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8">
        <f>IF(Audit[[#This Row],[Max Relative Error (ep)]] = 0, 0, Audit[[#This Row],[Max Relative Error (ep)]]/Audit[[#This Row],[Error Bound (up) - Max. possible relative overstatement]])</f>
        <v>0</v>
      </c>
      <c r="BH4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0" s="18">
        <f t="shared" si="8"/>
        <v>1</v>
      </c>
      <c r="BJ490" s="18">
        <f>PRODUCT($BI$5:BI490)</f>
        <v>0.32656797278968008</v>
      </c>
      <c r="BK490" s="20">
        <f>1 - Audit[[#This Row],[K-M P Value]]</f>
        <v>0.67343202721031992</v>
      </c>
      <c r="BL490" s="18" t="str">
        <f>IF(Audit[[#This Row],[K-M P Value]]&gt;1-'General Info'!$B$12,"Continue", "Stop")</f>
        <v>Continue</v>
      </c>
      <c r="BM490" s="23" t="b">
        <f>IF(Audit[[#This Row],[Status - Continue or stop audit]] = "Continue", TRUE, IF(BL489 = "Continue", TRUE, FALSE))</f>
        <v>1</v>
      </c>
      <c r="BN490" s="23"/>
    </row>
    <row r="491" spans="1:66" ht="15" hidden="1" customHeight="1" x14ac:dyDescent="0.35">
      <c r="A491" s="18" t="str">
        <f>'Sampling Data'!AI491</f>
        <v/>
      </c>
      <c r="B491" s="18" t="str">
        <f>'Sampling Data'!A491</f>
        <v>8303 MIAMI C   (AV)</v>
      </c>
      <c r="C491" s="18">
        <f>'Sampling Data'!B491</f>
        <v>12</v>
      </c>
      <c r="D491" s="18">
        <f>'Sampling Data'!C491</f>
        <v>0</v>
      </c>
      <c r="E491" s="19">
        <f>'Sampling Data'!D491</f>
        <v>0</v>
      </c>
      <c r="F491" s="19">
        <f>'Sampling Data'!E491</f>
        <v>0</v>
      </c>
      <c r="G491" s="19">
        <f>'Sampling Data'!F491</f>
        <v>0</v>
      </c>
      <c r="H491" s="19">
        <f>'Sampling Data'!G491</f>
        <v>0</v>
      </c>
      <c r="I491" s="19">
        <f>'Sampling Data'!H491</f>
        <v>0</v>
      </c>
      <c r="J491" s="19">
        <f>'Sampling Data'!I491</f>
        <v>0</v>
      </c>
      <c r="K491" s="19">
        <f>'Sampling Data'!J491</f>
        <v>0</v>
      </c>
      <c r="L491" s="19">
        <f>'Sampling Data'!K491</f>
        <v>0</v>
      </c>
      <c r="M491" s="19">
        <f>'Sampling Data'!L491</f>
        <v>0</v>
      </c>
      <c r="N491" s="19">
        <f>'Sampling Data'!M491</f>
        <v>0</v>
      </c>
      <c r="O491" s="18">
        <f>'Sampling Data'!N491</f>
        <v>0</v>
      </c>
      <c r="P491" s="18">
        <f>'Sampling Data'!O491</f>
        <v>0</v>
      </c>
      <c r="Q491" s="18">
        <f>'Sampling Data'!P491</f>
        <v>12</v>
      </c>
      <c r="R491" s="18">
        <f>'Sampling Data'!AJ491</f>
        <v>0</v>
      </c>
      <c r="S491" s="112"/>
      <c r="T491" s="112"/>
      <c r="U491" s="113"/>
      <c r="V491" s="113"/>
      <c r="W491" s="112"/>
      <c r="X491" s="112"/>
      <c r="Y491" s="112"/>
      <c r="Z491" s="112"/>
      <c r="AA491" s="15"/>
      <c r="AB491" s="15"/>
      <c r="AC491" s="15"/>
      <c r="AD491" s="15"/>
      <c r="AE491" s="114" t="str">
        <f>IF(NOT(ISBLANK(Audit[[#This Row],[Audit Winning Candidate]])), Audit[[#This Row],[Audit Winning Candidate]]-Audit[[#This Row],[Winning Candidate]], "")</f>
        <v/>
      </c>
      <c r="AF491" s="18" t="str">
        <f>IF(NOT(ISBLANK(Audit[[#This Row],[Audit Losing Candidate]])), Audit[[#This Row],[Audit Losing Candidate]]-Audit[[#This Row],[Losing Candidate]], "")</f>
        <v/>
      </c>
      <c r="AG491" s="18" t="str">
        <f>IF(NOT(ISBLANK(Audit[[#This Row],[Audit Candidate 3]])), Audit[[#This Row],[Audit Candidate 3]]-Audit[[#This Row],[Candidate 3]], "")</f>
        <v/>
      </c>
      <c r="AH491" s="18" t="str">
        <f>IF(NOT(ISBLANK(Audit[[#This Row],[Audit Candidate 4]])),Audit[[#This Row],[Audit Candidate 4]]-Audit[[#This Row],[Candidate 4]], "")</f>
        <v/>
      </c>
      <c r="AI491" s="18" t="str">
        <f>IF(NOT(ISBLANK(Audit[[#This Row],[Audit Candidate 5]])), Audit[[#This Row],[Audit Candidate 5]]-Audit[[#This Row],[Candidate 5]], "")</f>
        <v/>
      </c>
      <c r="AJ491" s="18" t="str">
        <f>IF(NOT(ISBLANK(Audit[[#This Row],[Audit Candidate 6]])), Audit[[#This Row],[Audit Candidate 6]]-Audit[[#This Row],[Candidate 6]], "")</f>
        <v/>
      </c>
      <c r="AK491" s="18" t="str">
        <f>IF(NOT(ISBLANK(Audit[[#This Row],[Audit Candidate 7]])), Audit[[#This Row],[Audit Candidate 7]]-Audit[[#This Row],[Candidate 7]], "")</f>
        <v/>
      </c>
      <c r="AL491" s="18" t="str">
        <f>IF(NOT(ISBLANK(Audit[[#This Row],[Audit Candidate 8]])), Audit[[#This Row],[Audit Candidate 8]]-Audit[[#This Row],[Candidate 8]], "")</f>
        <v/>
      </c>
      <c r="AM491" s="18" t="str">
        <f>IF(NOT(ISBLANK(Audit[[#This Row],[Audit Candidate 9]])), Audit[[#This Row],[Audit Candidate 9]]-Audit[[#This Row],[Candidate 9]], "")</f>
        <v/>
      </c>
      <c r="AN491" s="18" t="str">
        <f>IF(NOT(ISBLANK(Audit[[#This Row],[Audit Candidate 10]])), Audit[[#This Row],[Audit Candidate 10]]-Audit[[#This Row],[Candidate 10]], "")</f>
        <v/>
      </c>
      <c r="AO491" s="18" t="str">
        <f>IF(NOT(ISBLANK(Audit[[#This Row],[Audit Candidate 11]])), Audit[[#This Row],[Audit Candidate 11]]-Audit[[#This Row],[Candidate 11]], "")</f>
        <v/>
      </c>
      <c r="AP491" s="18" t="str">
        <f>IF(NOT(ISBLANK(Audit[[#This Row],[Audit Candidate 12]])), Audit[[#This Row],[Audit Candidate 12]]-Audit[[#This Row],[Candidate 12]], "")</f>
        <v/>
      </c>
      <c r="AQ491" s="18">
        <f>SUMIF(Audit[[#This Row],[Difference Winner]:[Difference Candidate 12]], "&gt;0")</f>
        <v>0</v>
      </c>
      <c r="AR491" s="18">
        <f>SUM(Audit[[#This Row],[Difference Winner]:[Difference Candidate 12]])</f>
        <v>0</v>
      </c>
      <c r="AS491" s="18">
        <f>IF(Audit[[#This Row],[Times p Drawn - With Replacement]]&gt;0, IF(Audit[[#This Row],[Canceled Differences]]&lt;0, Audit[[#This Row],[Max Differences]]+ABS(Audit[[#This Row],[Canceled Differences]]), Audit[[#This Row],[Max Differences]]), 0)</f>
        <v>0</v>
      </c>
      <c r="AT491" s="18">
        <f>'Sampling Data'!AB491</f>
        <v>7.5383987184722177E-4</v>
      </c>
      <c r="AU491" s="18">
        <f>IF(
      SUM(Audit[[#This Row],[Audit Losing Candidate]:[Audit Candidate 12]])
      &lt;&gt;0,
      (Audit[[#This Row],[Winning Candidate]]-Audit[[#This Row],[Losing Candidate]]-(Audit[[#This Row],[Audit Winning Candidate]]-Audit[[#This Row],[Audit Losing Candidate]]))/(Audit[[#Totals],[Winning Candidate]]-Audit[[#Totals],[Losing Candidate]]),
      0
)</f>
        <v>0</v>
      </c>
      <c r="AV4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8">
        <f>IF(Audit[[#This Row],[Max Relative Error (ep)]] = 0, 0, Audit[[#This Row],[Max Relative Error (ep)]]/Audit[[#This Row],[Error Bound (up) - Max. possible relative overstatement]])</f>
        <v>0</v>
      </c>
      <c r="BH4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1" s="18">
        <f t="shared" si="8"/>
        <v>1</v>
      </c>
      <c r="BJ491" s="18">
        <f>PRODUCT($BI$5:BI491)</f>
        <v>0.32656797278968008</v>
      </c>
      <c r="BK491" s="20">
        <f>1 - Audit[[#This Row],[K-M P Value]]</f>
        <v>0.67343202721031992</v>
      </c>
      <c r="BL491" s="18" t="str">
        <f>IF(Audit[[#This Row],[K-M P Value]]&gt;1-'General Info'!$B$12,"Continue", "Stop")</f>
        <v>Continue</v>
      </c>
      <c r="BM491" s="23" t="b">
        <f>IF(Audit[[#This Row],[Status - Continue or stop audit]] = "Continue", TRUE, IF(BL490 = "Continue", TRUE, FALSE))</f>
        <v>1</v>
      </c>
      <c r="BN491" s="23"/>
    </row>
    <row r="492" spans="1:66" ht="15" hidden="1" customHeight="1" x14ac:dyDescent="0.35">
      <c r="A492" s="18" t="str">
        <f>'Sampling Data'!AI492</f>
        <v/>
      </c>
      <c r="B492" s="18" t="str">
        <f>'Sampling Data'!A492</f>
        <v>8304 MIAMI D   (AV)</v>
      </c>
      <c r="C492" s="18">
        <f>'Sampling Data'!B492</f>
        <v>29</v>
      </c>
      <c r="D492" s="18">
        <f>'Sampling Data'!C492</f>
        <v>0</v>
      </c>
      <c r="E492" s="19">
        <f>'Sampling Data'!D492</f>
        <v>0</v>
      </c>
      <c r="F492" s="19">
        <f>'Sampling Data'!E492</f>
        <v>0</v>
      </c>
      <c r="G492" s="19">
        <f>'Sampling Data'!F492</f>
        <v>0</v>
      </c>
      <c r="H492" s="19">
        <f>'Sampling Data'!G492</f>
        <v>0</v>
      </c>
      <c r="I492" s="19">
        <f>'Sampling Data'!H492</f>
        <v>0</v>
      </c>
      <c r="J492" s="19">
        <f>'Sampling Data'!I492</f>
        <v>0</v>
      </c>
      <c r="K492" s="19">
        <f>'Sampling Data'!J492</f>
        <v>0</v>
      </c>
      <c r="L492" s="19">
        <f>'Sampling Data'!K492</f>
        <v>0</v>
      </c>
      <c r="M492" s="19">
        <f>'Sampling Data'!L492</f>
        <v>0</v>
      </c>
      <c r="N492" s="19">
        <f>'Sampling Data'!M492</f>
        <v>0</v>
      </c>
      <c r="O492" s="18">
        <f>'Sampling Data'!N492</f>
        <v>0</v>
      </c>
      <c r="P492" s="18">
        <f>'Sampling Data'!O492</f>
        <v>0</v>
      </c>
      <c r="Q492" s="18">
        <f>'Sampling Data'!P492</f>
        <v>29</v>
      </c>
      <c r="R492" s="18">
        <f>'Sampling Data'!AJ492</f>
        <v>0</v>
      </c>
      <c r="S492" s="112"/>
      <c r="T492" s="112"/>
      <c r="U492" s="113"/>
      <c r="V492" s="113"/>
      <c r="W492" s="112"/>
      <c r="X492" s="112"/>
      <c r="Y492" s="112"/>
      <c r="Z492" s="112"/>
      <c r="AA492" s="15"/>
      <c r="AB492" s="15"/>
      <c r="AC492" s="15"/>
      <c r="AD492" s="15"/>
      <c r="AE492" s="114" t="str">
        <f>IF(NOT(ISBLANK(Audit[[#This Row],[Audit Winning Candidate]])), Audit[[#This Row],[Audit Winning Candidate]]-Audit[[#This Row],[Winning Candidate]], "")</f>
        <v/>
      </c>
      <c r="AF492" s="18" t="str">
        <f>IF(NOT(ISBLANK(Audit[[#This Row],[Audit Losing Candidate]])), Audit[[#This Row],[Audit Losing Candidate]]-Audit[[#This Row],[Losing Candidate]], "")</f>
        <v/>
      </c>
      <c r="AG492" s="18" t="str">
        <f>IF(NOT(ISBLANK(Audit[[#This Row],[Audit Candidate 3]])), Audit[[#This Row],[Audit Candidate 3]]-Audit[[#This Row],[Candidate 3]], "")</f>
        <v/>
      </c>
      <c r="AH492" s="18" t="str">
        <f>IF(NOT(ISBLANK(Audit[[#This Row],[Audit Candidate 4]])),Audit[[#This Row],[Audit Candidate 4]]-Audit[[#This Row],[Candidate 4]], "")</f>
        <v/>
      </c>
      <c r="AI492" s="18" t="str">
        <f>IF(NOT(ISBLANK(Audit[[#This Row],[Audit Candidate 5]])), Audit[[#This Row],[Audit Candidate 5]]-Audit[[#This Row],[Candidate 5]], "")</f>
        <v/>
      </c>
      <c r="AJ492" s="18" t="str">
        <f>IF(NOT(ISBLANK(Audit[[#This Row],[Audit Candidate 6]])), Audit[[#This Row],[Audit Candidate 6]]-Audit[[#This Row],[Candidate 6]], "")</f>
        <v/>
      </c>
      <c r="AK492" s="18" t="str">
        <f>IF(NOT(ISBLANK(Audit[[#This Row],[Audit Candidate 7]])), Audit[[#This Row],[Audit Candidate 7]]-Audit[[#This Row],[Candidate 7]], "")</f>
        <v/>
      </c>
      <c r="AL492" s="18" t="str">
        <f>IF(NOT(ISBLANK(Audit[[#This Row],[Audit Candidate 8]])), Audit[[#This Row],[Audit Candidate 8]]-Audit[[#This Row],[Candidate 8]], "")</f>
        <v/>
      </c>
      <c r="AM492" s="18" t="str">
        <f>IF(NOT(ISBLANK(Audit[[#This Row],[Audit Candidate 9]])), Audit[[#This Row],[Audit Candidate 9]]-Audit[[#This Row],[Candidate 9]], "")</f>
        <v/>
      </c>
      <c r="AN492" s="18" t="str">
        <f>IF(NOT(ISBLANK(Audit[[#This Row],[Audit Candidate 10]])), Audit[[#This Row],[Audit Candidate 10]]-Audit[[#This Row],[Candidate 10]], "")</f>
        <v/>
      </c>
      <c r="AO492" s="18" t="str">
        <f>IF(NOT(ISBLANK(Audit[[#This Row],[Audit Candidate 11]])), Audit[[#This Row],[Audit Candidate 11]]-Audit[[#This Row],[Candidate 11]], "")</f>
        <v/>
      </c>
      <c r="AP492" s="18" t="str">
        <f>IF(NOT(ISBLANK(Audit[[#This Row],[Audit Candidate 12]])), Audit[[#This Row],[Audit Candidate 12]]-Audit[[#This Row],[Candidate 12]], "")</f>
        <v/>
      </c>
      <c r="AQ492" s="18">
        <f>SUMIF(Audit[[#This Row],[Difference Winner]:[Difference Candidate 12]], "&gt;0")</f>
        <v>0</v>
      </c>
      <c r="AR492" s="18">
        <f>SUM(Audit[[#This Row],[Difference Winner]:[Difference Candidate 12]])</f>
        <v>0</v>
      </c>
      <c r="AS492" s="18">
        <f>IF(Audit[[#This Row],[Times p Drawn - With Replacement]]&gt;0, IF(Audit[[#This Row],[Canceled Differences]]&lt;0, Audit[[#This Row],[Max Differences]]+ABS(Audit[[#This Row],[Canceled Differences]]), Audit[[#This Row],[Max Differences]]), 0)</f>
        <v>0</v>
      </c>
      <c r="AT492" s="18">
        <f>'Sampling Data'!AB492</f>
        <v>1.8217796902974526E-3</v>
      </c>
      <c r="AU492" s="18">
        <f>IF(
      SUM(Audit[[#This Row],[Audit Losing Candidate]:[Audit Candidate 12]])
      &lt;&gt;0,
      (Audit[[#This Row],[Winning Candidate]]-Audit[[#This Row],[Losing Candidate]]-(Audit[[#This Row],[Audit Winning Candidate]]-Audit[[#This Row],[Audit Losing Candidate]]))/(Audit[[#Totals],[Winning Candidate]]-Audit[[#Totals],[Losing Candidate]]),
      0
)</f>
        <v>0</v>
      </c>
      <c r="AV4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8">
        <f>IF(Audit[[#This Row],[Max Relative Error (ep)]] = 0, 0, Audit[[#This Row],[Max Relative Error (ep)]]/Audit[[#This Row],[Error Bound (up) - Max. possible relative overstatement]])</f>
        <v>0</v>
      </c>
      <c r="BH4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2" s="18">
        <f t="shared" si="8"/>
        <v>1</v>
      </c>
      <c r="BJ492" s="18">
        <f>PRODUCT($BI$5:BI492)</f>
        <v>0.32656797278968008</v>
      </c>
      <c r="BK492" s="20">
        <f>1 - Audit[[#This Row],[K-M P Value]]</f>
        <v>0.67343202721031992</v>
      </c>
      <c r="BL492" s="18" t="str">
        <f>IF(Audit[[#This Row],[K-M P Value]]&gt;1-'General Info'!$B$12,"Continue", "Stop")</f>
        <v>Continue</v>
      </c>
      <c r="BM492" s="23" t="b">
        <f>IF(Audit[[#This Row],[Status - Continue or stop audit]] = "Continue", TRUE, IF(BL491 = "Continue", TRUE, FALSE))</f>
        <v>1</v>
      </c>
      <c r="BN492" s="23"/>
    </row>
    <row r="493" spans="1:66" ht="15" hidden="1" customHeight="1" x14ac:dyDescent="0.35">
      <c r="A493" s="18" t="str">
        <f>'Sampling Data'!AI493</f>
        <v/>
      </c>
      <c r="B493" s="18" t="str">
        <f>'Sampling Data'!A493</f>
        <v>8305 MIAMI E   (AV)</v>
      </c>
      <c r="C493" s="18">
        <f>'Sampling Data'!B493</f>
        <v>15</v>
      </c>
      <c r="D493" s="18">
        <f>'Sampling Data'!C493</f>
        <v>2</v>
      </c>
      <c r="E493" s="19">
        <f>'Sampling Data'!D493</f>
        <v>0</v>
      </c>
      <c r="F493" s="19">
        <f>'Sampling Data'!E493</f>
        <v>0</v>
      </c>
      <c r="G493" s="19">
        <f>'Sampling Data'!F493</f>
        <v>0</v>
      </c>
      <c r="H493" s="19">
        <f>'Sampling Data'!G493</f>
        <v>0</v>
      </c>
      <c r="I493" s="19">
        <f>'Sampling Data'!H493</f>
        <v>0</v>
      </c>
      <c r="J493" s="19">
        <f>'Sampling Data'!I493</f>
        <v>0</v>
      </c>
      <c r="K493" s="19">
        <f>'Sampling Data'!J493</f>
        <v>0</v>
      </c>
      <c r="L493" s="19">
        <f>'Sampling Data'!K493</f>
        <v>0</v>
      </c>
      <c r="M493" s="19">
        <f>'Sampling Data'!L493</f>
        <v>0</v>
      </c>
      <c r="N493" s="19">
        <f>'Sampling Data'!M493</f>
        <v>0</v>
      </c>
      <c r="O493" s="18">
        <f>'Sampling Data'!N493</f>
        <v>0</v>
      </c>
      <c r="P493" s="18">
        <f>'Sampling Data'!O493</f>
        <v>0</v>
      </c>
      <c r="Q493" s="18">
        <f>'Sampling Data'!P493</f>
        <v>17</v>
      </c>
      <c r="R493" s="18">
        <f>'Sampling Data'!AJ493</f>
        <v>0</v>
      </c>
      <c r="S493" s="112"/>
      <c r="T493" s="112"/>
      <c r="U493" s="113"/>
      <c r="V493" s="113"/>
      <c r="W493" s="112"/>
      <c r="X493" s="112"/>
      <c r="Y493" s="112"/>
      <c r="Z493" s="112"/>
      <c r="AA493" s="15"/>
      <c r="AB493" s="15"/>
      <c r="AC493" s="15"/>
      <c r="AD493" s="15"/>
      <c r="AE493" s="114" t="str">
        <f>IF(NOT(ISBLANK(Audit[[#This Row],[Audit Winning Candidate]])), Audit[[#This Row],[Audit Winning Candidate]]-Audit[[#This Row],[Winning Candidate]], "")</f>
        <v/>
      </c>
      <c r="AF493" s="18" t="str">
        <f>IF(NOT(ISBLANK(Audit[[#This Row],[Audit Losing Candidate]])), Audit[[#This Row],[Audit Losing Candidate]]-Audit[[#This Row],[Losing Candidate]], "")</f>
        <v/>
      </c>
      <c r="AG493" s="18" t="str">
        <f>IF(NOT(ISBLANK(Audit[[#This Row],[Audit Candidate 3]])), Audit[[#This Row],[Audit Candidate 3]]-Audit[[#This Row],[Candidate 3]], "")</f>
        <v/>
      </c>
      <c r="AH493" s="18" t="str">
        <f>IF(NOT(ISBLANK(Audit[[#This Row],[Audit Candidate 4]])),Audit[[#This Row],[Audit Candidate 4]]-Audit[[#This Row],[Candidate 4]], "")</f>
        <v/>
      </c>
      <c r="AI493" s="18" t="str">
        <f>IF(NOT(ISBLANK(Audit[[#This Row],[Audit Candidate 5]])), Audit[[#This Row],[Audit Candidate 5]]-Audit[[#This Row],[Candidate 5]], "")</f>
        <v/>
      </c>
      <c r="AJ493" s="18" t="str">
        <f>IF(NOT(ISBLANK(Audit[[#This Row],[Audit Candidate 6]])), Audit[[#This Row],[Audit Candidate 6]]-Audit[[#This Row],[Candidate 6]], "")</f>
        <v/>
      </c>
      <c r="AK493" s="18" t="str">
        <f>IF(NOT(ISBLANK(Audit[[#This Row],[Audit Candidate 7]])), Audit[[#This Row],[Audit Candidate 7]]-Audit[[#This Row],[Candidate 7]], "")</f>
        <v/>
      </c>
      <c r="AL493" s="18" t="str">
        <f>IF(NOT(ISBLANK(Audit[[#This Row],[Audit Candidate 8]])), Audit[[#This Row],[Audit Candidate 8]]-Audit[[#This Row],[Candidate 8]], "")</f>
        <v/>
      </c>
      <c r="AM493" s="18" t="str">
        <f>IF(NOT(ISBLANK(Audit[[#This Row],[Audit Candidate 9]])), Audit[[#This Row],[Audit Candidate 9]]-Audit[[#This Row],[Candidate 9]], "")</f>
        <v/>
      </c>
      <c r="AN493" s="18" t="str">
        <f>IF(NOT(ISBLANK(Audit[[#This Row],[Audit Candidate 10]])), Audit[[#This Row],[Audit Candidate 10]]-Audit[[#This Row],[Candidate 10]], "")</f>
        <v/>
      </c>
      <c r="AO493" s="18" t="str">
        <f>IF(NOT(ISBLANK(Audit[[#This Row],[Audit Candidate 11]])), Audit[[#This Row],[Audit Candidate 11]]-Audit[[#This Row],[Candidate 11]], "")</f>
        <v/>
      </c>
      <c r="AP493" s="18" t="str">
        <f>IF(NOT(ISBLANK(Audit[[#This Row],[Audit Candidate 12]])), Audit[[#This Row],[Audit Candidate 12]]-Audit[[#This Row],[Candidate 12]], "")</f>
        <v/>
      </c>
      <c r="AQ493" s="18">
        <f>SUMIF(Audit[[#This Row],[Difference Winner]:[Difference Candidate 12]], "&gt;0")</f>
        <v>0</v>
      </c>
      <c r="AR493" s="18">
        <f>SUM(Audit[[#This Row],[Difference Winner]:[Difference Candidate 12]])</f>
        <v>0</v>
      </c>
      <c r="AS493" s="18">
        <f>IF(Audit[[#This Row],[Times p Drawn - With Replacement]]&gt;0, IF(Audit[[#This Row],[Canceled Differences]]&lt;0, Audit[[#This Row],[Max Differences]]+ABS(Audit[[#This Row],[Canceled Differences]]), Audit[[#This Row],[Max Differences]]), 0)</f>
        <v>0</v>
      </c>
      <c r="AT493" s="18">
        <f>'Sampling Data'!AB493</f>
        <v>9.4229983980902718E-4</v>
      </c>
      <c r="AU493" s="18">
        <f>IF(
      SUM(Audit[[#This Row],[Audit Losing Candidate]:[Audit Candidate 12]])
      &lt;&gt;0,
      (Audit[[#This Row],[Winning Candidate]]-Audit[[#This Row],[Losing Candidate]]-(Audit[[#This Row],[Audit Winning Candidate]]-Audit[[#This Row],[Audit Losing Candidate]]))/(Audit[[#Totals],[Winning Candidate]]-Audit[[#Totals],[Losing Candidate]]),
      0
)</f>
        <v>0</v>
      </c>
      <c r="AV4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8">
        <f>IF(Audit[[#This Row],[Max Relative Error (ep)]] = 0, 0, Audit[[#This Row],[Max Relative Error (ep)]]/Audit[[#This Row],[Error Bound (up) - Max. possible relative overstatement]])</f>
        <v>0</v>
      </c>
      <c r="BH4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3" s="18">
        <f t="shared" si="8"/>
        <v>1</v>
      </c>
      <c r="BJ493" s="18">
        <f>PRODUCT($BI$5:BI493)</f>
        <v>0.32656797278968008</v>
      </c>
      <c r="BK493" s="20">
        <f>1 - Audit[[#This Row],[K-M P Value]]</f>
        <v>0.67343202721031992</v>
      </c>
      <c r="BL493" s="18" t="str">
        <f>IF(Audit[[#This Row],[K-M P Value]]&gt;1-'General Info'!$B$12,"Continue", "Stop")</f>
        <v>Continue</v>
      </c>
      <c r="BM493" s="23" t="b">
        <f>IF(Audit[[#This Row],[Status - Continue or stop audit]] = "Continue", TRUE, IF(BL492 = "Continue", TRUE, FALSE))</f>
        <v>1</v>
      </c>
      <c r="BN493" s="23"/>
    </row>
    <row r="494" spans="1:66" ht="15" hidden="1" customHeight="1" x14ac:dyDescent="0.35">
      <c r="A494" s="18" t="str">
        <f>'Sampling Data'!AI494</f>
        <v/>
      </c>
      <c r="B494" s="18" t="str">
        <f>'Sampling Data'!A494</f>
        <v>8306 MIAMI F   (AV)</v>
      </c>
      <c r="C494" s="18">
        <f>'Sampling Data'!B494</f>
        <v>2</v>
      </c>
      <c r="D494" s="18">
        <f>'Sampling Data'!C494</f>
        <v>0</v>
      </c>
      <c r="E494" s="19">
        <f>'Sampling Data'!D494</f>
        <v>0</v>
      </c>
      <c r="F494" s="19">
        <f>'Sampling Data'!E494</f>
        <v>0</v>
      </c>
      <c r="G494" s="19">
        <f>'Sampling Data'!F494</f>
        <v>0</v>
      </c>
      <c r="H494" s="19">
        <f>'Sampling Data'!G494</f>
        <v>0</v>
      </c>
      <c r="I494" s="19">
        <f>'Sampling Data'!H494</f>
        <v>0</v>
      </c>
      <c r="J494" s="19">
        <f>'Sampling Data'!I494</f>
        <v>0</v>
      </c>
      <c r="K494" s="19">
        <f>'Sampling Data'!J494</f>
        <v>0</v>
      </c>
      <c r="L494" s="19">
        <f>'Sampling Data'!K494</f>
        <v>0</v>
      </c>
      <c r="M494" s="19">
        <f>'Sampling Data'!L494</f>
        <v>0</v>
      </c>
      <c r="N494" s="19">
        <f>'Sampling Data'!M494</f>
        <v>0</v>
      </c>
      <c r="O494" s="18">
        <f>'Sampling Data'!N494</f>
        <v>0</v>
      </c>
      <c r="P494" s="18">
        <f>'Sampling Data'!O494</f>
        <v>0</v>
      </c>
      <c r="Q494" s="18">
        <f>'Sampling Data'!P494</f>
        <v>2</v>
      </c>
      <c r="R494" s="18">
        <f>'Sampling Data'!AJ494</f>
        <v>0</v>
      </c>
      <c r="S494" s="112"/>
      <c r="T494" s="112"/>
      <c r="U494" s="113"/>
      <c r="V494" s="113"/>
      <c r="W494" s="112"/>
      <c r="X494" s="112"/>
      <c r="Y494" s="112"/>
      <c r="Z494" s="112"/>
      <c r="AA494" s="15"/>
      <c r="AB494" s="15"/>
      <c r="AC494" s="15"/>
      <c r="AD494" s="15"/>
      <c r="AE494" s="114" t="str">
        <f>IF(NOT(ISBLANK(Audit[[#This Row],[Audit Winning Candidate]])), Audit[[#This Row],[Audit Winning Candidate]]-Audit[[#This Row],[Winning Candidate]], "")</f>
        <v/>
      </c>
      <c r="AF494" s="18" t="str">
        <f>IF(NOT(ISBLANK(Audit[[#This Row],[Audit Losing Candidate]])), Audit[[#This Row],[Audit Losing Candidate]]-Audit[[#This Row],[Losing Candidate]], "")</f>
        <v/>
      </c>
      <c r="AG494" s="18" t="str">
        <f>IF(NOT(ISBLANK(Audit[[#This Row],[Audit Candidate 3]])), Audit[[#This Row],[Audit Candidate 3]]-Audit[[#This Row],[Candidate 3]], "")</f>
        <v/>
      </c>
      <c r="AH494" s="18" t="str">
        <f>IF(NOT(ISBLANK(Audit[[#This Row],[Audit Candidate 4]])),Audit[[#This Row],[Audit Candidate 4]]-Audit[[#This Row],[Candidate 4]], "")</f>
        <v/>
      </c>
      <c r="AI494" s="18" t="str">
        <f>IF(NOT(ISBLANK(Audit[[#This Row],[Audit Candidate 5]])), Audit[[#This Row],[Audit Candidate 5]]-Audit[[#This Row],[Candidate 5]], "")</f>
        <v/>
      </c>
      <c r="AJ494" s="18" t="str">
        <f>IF(NOT(ISBLANK(Audit[[#This Row],[Audit Candidate 6]])), Audit[[#This Row],[Audit Candidate 6]]-Audit[[#This Row],[Candidate 6]], "")</f>
        <v/>
      </c>
      <c r="AK494" s="18" t="str">
        <f>IF(NOT(ISBLANK(Audit[[#This Row],[Audit Candidate 7]])), Audit[[#This Row],[Audit Candidate 7]]-Audit[[#This Row],[Candidate 7]], "")</f>
        <v/>
      </c>
      <c r="AL494" s="18" t="str">
        <f>IF(NOT(ISBLANK(Audit[[#This Row],[Audit Candidate 8]])), Audit[[#This Row],[Audit Candidate 8]]-Audit[[#This Row],[Candidate 8]], "")</f>
        <v/>
      </c>
      <c r="AM494" s="18" t="str">
        <f>IF(NOT(ISBLANK(Audit[[#This Row],[Audit Candidate 9]])), Audit[[#This Row],[Audit Candidate 9]]-Audit[[#This Row],[Candidate 9]], "")</f>
        <v/>
      </c>
      <c r="AN494" s="18" t="str">
        <f>IF(NOT(ISBLANK(Audit[[#This Row],[Audit Candidate 10]])), Audit[[#This Row],[Audit Candidate 10]]-Audit[[#This Row],[Candidate 10]], "")</f>
        <v/>
      </c>
      <c r="AO494" s="18" t="str">
        <f>IF(NOT(ISBLANK(Audit[[#This Row],[Audit Candidate 11]])), Audit[[#This Row],[Audit Candidate 11]]-Audit[[#This Row],[Candidate 11]], "")</f>
        <v/>
      </c>
      <c r="AP494" s="18" t="str">
        <f>IF(NOT(ISBLANK(Audit[[#This Row],[Audit Candidate 12]])), Audit[[#This Row],[Audit Candidate 12]]-Audit[[#This Row],[Candidate 12]], "")</f>
        <v/>
      </c>
      <c r="AQ494" s="18">
        <f>SUMIF(Audit[[#This Row],[Difference Winner]:[Difference Candidate 12]], "&gt;0")</f>
        <v>0</v>
      </c>
      <c r="AR494" s="18">
        <f>SUM(Audit[[#This Row],[Difference Winner]:[Difference Candidate 12]])</f>
        <v>0</v>
      </c>
      <c r="AS494" s="18">
        <f>IF(Audit[[#This Row],[Times p Drawn - With Replacement]]&gt;0, IF(Audit[[#This Row],[Canceled Differences]]&lt;0, Audit[[#This Row],[Max Differences]]+ABS(Audit[[#This Row],[Canceled Differences]]), Audit[[#This Row],[Max Differences]]), 0)</f>
        <v>0</v>
      </c>
      <c r="AT494" s="18">
        <f>'Sampling Data'!AB494</f>
        <v>1.2563997864120362E-4</v>
      </c>
      <c r="AU494" s="18">
        <f>IF(
      SUM(Audit[[#This Row],[Audit Losing Candidate]:[Audit Candidate 12]])
      &lt;&gt;0,
      (Audit[[#This Row],[Winning Candidate]]-Audit[[#This Row],[Losing Candidate]]-(Audit[[#This Row],[Audit Winning Candidate]]-Audit[[#This Row],[Audit Losing Candidate]]))/(Audit[[#Totals],[Winning Candidate]]-Audit[[#Totals],[Losing Candidate]]),
      0
)</f>
        <v>0</v>
      </c>
      <c r="AV4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8">
        <f>IF(Audit[[#This Row],[Max Relative Error (ep)]] = 0, 0, Audit[[#This Row],[Max Relative Error (ep)]]/Audit[[#This Row],[Error Bound (up) - Max. possible relative overstatement]])</f>
        <v>0</v>
      </c>
      <c r="BH4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4" s="18">
        <f t="shared" si="8"/>
        <v>1</v>
      </c>
      <c r="BJ494" s="18">
        <f>PRODUCT($BI$5:BI494)</f>
        <v>0.32656797278968008</v>
      </c>
      <c r="BK494" s="20">
        <f>1 - Audit[[#This Row],[K-M P Value]]</f>
        <v>0.67343202721031992</v>
      </c>
      <c r="BL494" s="18" t="str">
        <f>IF(Audit[[#This Row],[K-M P Value]]&gt;1-'General Info'!$B$12,"Continue", "Stop")</f>
        <v>Continue</v>
      </c>
      <c r="BM494" s="23" t="b">
        <f>IF(Audit[[#This Row],[Status - Continue or stop audit]] = "Continue", TRUE, IF(BL493 = "Continue", TRUE, FALSE))</f>
        <v>1</v>
      </c>
      <c r="BN494" s="23"/>
    </row>
    <row r="495" spans="1:66" ht="15" hidden="1" customHeight="1" x14ac:dyDescent="0.35">
      <c r="A495" s="18" t="str">
        <f>'Sampling Data'!AI495</f>
        <v/>
      </c>
      <c r="B495" s="18" t="str">
        <f>'Sampling Data'!A495</f>
        <v>8307 MIAMI G   (AV)</v>
      </c>
      <c r="C495" s="18">
        <f>'Sampling Data'!B495</f>
        <v>23</v>
      </c>
      <c r="D495" s="18">
        <f>'Sampling Data'!C495</f>
        <v>2</v>
      </c>
      <c r="E495" s="19">
        <f>'Sampling Data'!D495</f>
        <v>0</v>
      </c>
      <c r="F495" s="19">
        <f>'Sampling Data'!E495</f>
        <v>0</v>
      </c>
      <c r="G495" s="19">
        <f>'Sampling Data'!F495</f>
        <v>0</v>
      </c>
      <c r="H495" s="19">
        <f>'Sampling Data'!G495</f>
        <v>0</v>
      </c>
      <c r="I495" s="19">
        <f>'Sampling Data'!H495</f>
        <v>0</v>
      </c>
      <c r="J495" s="19">
        <f>'Sampling Data'!I495</f>
        <v>0</v>
      </c>
      <c r="K495" s="19">
        <f>'Sampling Data'!J495</f>
        <v>0</v>
      </c>
      <c r="L495" s="19">
        <f>'Sampling Data'!K495</f>
        <v>0</v>
      </c>
      <c r="M495" s="19">
        <f>'Sampling Data'!L495</f>
        <v>0</v>
      </c>
      <c r="N495" s="19">
        <f>'Sampling Data'!M495</f>
        <v>0</v>
      </c>
      <c r="O495" s="18">
        <f>'Sampling Data'!N495</f>
        <v>0</v>
      </c>
      <c r="P495" s="18">
        <f>'Sampling Data'!O495</f>
        <v>3</v>
      </c>
      <c r="Q495" s="18">
        <f>'Sampling Data'!P495</f>
        <v>28</v>
      </c>
      <c r="R495" s="18">
        <f>'Sampling Data'!AJ495</f>
        <v>0</v>
      </c>
      <c r="S495" s="112"/>
      <c r="T495" s="112"/>
      <c r="U495" s="113"/>
      <c r="V495" s="113"/>
      <c r="W495" s="112"/>
      <c r="X495" s="112"/>
      <c r="Y495" s="112"/>
      <c r="Z495" s="112"/>
      <c r="AA495" s="15"/>
      <c r="AB495" s="15"/>
      <c r="AC495" s="15"/>
      <c r="AD495" s="15"/>
      <c r="AE495" s="114" t="str">
        <f>IF(NOT(ISBLANK(Audit[[#This Row],[Audit Winning Candidate]])), Audit[[#This Row],[Audit Winning Candidate]]-Audit[[#This Row],[Winning Candidate]], "")</f>
        <v/>
      </c>
      <c r="AF495" s="18" t="str">
        <f>IF(NOT(ISBLANK(Audit[[#This Row],[Audit Losing Candidate]])), Audit[[#This Row],[Audit Losing Candidate]]-Audit[[#This Row],[Losing Candidate]], "")</f>
        <v/>
      </c>
      <c r="AG495" s="18" t="str">
        <f>IF(NOT(ISBLANK(Audit[[#This Row],[Audit Candidate 3]])), Audit[[#This Row],[Audit Candidate 3]]-Audit[[#This Row],[Candidate 3]], "")</f>
        <v/>
      </c>
      <c r="AH495" s="18" t="str">
        <f>IF(NOT(ISBLANK(Audit[[#This Row],[Audit Candidate 4]])),Audit[[#This Row],[Audit Candidate 4]]-Audit[[#This Row],[Candidate 4]], "")</f>
        <v/>
      </c>
      <c r="AI495" s="18" t="str">
        <f>IF(NOT(ISBLANK(Audit[[#This Row],[Audit Candidate 5]])), Audit[[#This Row],[Audit Candidate 5]]-Audit[[#This Row],[Candidate 5]], "")</f>
        <v/>
      </c>
      <c r="AJ495" s="18" t="str">
        <f>IF(NOT(ISBLANK(Audit[[#This Row],[Audit Candidate 6]])), Audit[[#This Row],[Audit Candidate 6]]-Audit[[#This Row],[Candidate 6]], "")</f>
        <v/>
      </c>
      <c r="AK495" s="18" t="str">
        <f>IF(NOT(ISBLANK(Audit[[#This Row],[Audit Candidate 7]])), Audit[[#This Row],[Audit Candidate 7]]-Audit[[#This Row],[Candidate 7]], "")</f>
        <v/>
      </c>
      <c r="AL495" s="18" t="str">
        <f>IF(NOT(ISBLANK(Audit[[#This Row],[Audit Candidate 8]])), Audit[[#This Row],[Audit Candidate 8]]-Audit[[#This Row],[Candidate 8]], "")</f>
        <v/>
      </c>
      <c r="AM495" s="18" t="str">
        <f>IF(NOT(ISBLANK(Audit[[#This Row],[Audit Candidate 9]])), Audit[[#This Row],[Audit Candidate 9]]-Audit[[#This Row],[Candidate 9]], "")</f>
        <v/>
      </c>
      <c r="AN495" s="18" t="str">
        <f>IF(NOT(ISBLANK(Audit[[#This Row],[Audit Candidate 10]])), Audit[[#This Row],[Audit Candidate 10]]-Audit[[#This Row],[Candidate 10]], "")</f>
        <v/>
      </c>
      <c r="AO495" s="18" t="str">
        <f>IF(NOT(ISBLANK(Audit[[#This Row],[Audit Candidate 11]])), Audit[[#This Row],[Audit Candidate 11]]-Audit[[#This Row],[Candidate 11]], "")</f>
        <v/>
      </c>
      <c r="AP495" s="18" t="str">
        <f>IF(NOT(ISBLANK(Audit[[#This Row],[Audit Candidate 12]])), Audit[[#This Row],[Audit Candidate 12]]-Audit[[#This Row],[Candidate 12]], "")</f>
        <v/>
      </c>
      <c r="AQ495" s="18">
        <f>SUMIF(Audit[[#This Row],[Difference Winner]:[Difference Candidate 12]], "&gt;0")</f>
        <v>0</v>
      </c>
      <c r="AR495" s="18">
        <f>SUM(Audit[[#This Row],[Difference Winner]:[Difference Candidate 12]])</f>
        <v>0</v>
      </c>
      <c r="AS495" s="18">
        <f>IF(Audit[[#This Row],[Times p Drawn - With Replacement]]&gt;0, IF(Audit[[#This Row],[Canceled Differences]]&lt;0, Audit[[#This Row],[Max Differences]]+ABS(Audit[[#This Row],[Canceled Differences]]), Audit[[#This Row],[Max Differences]]), 0)</f>
        <v>0</v>
      </c>
      <c r="AT495" s="18">
        <f>'Sampling Data'!AB495</f>
        <v>1.5390897383547445E-3</v>
      </c>
      <c r="AU495" s="18">
        <f>IF(
      SUM(Audit[[#This Row],[Audit Losing Candidate]:[Audit Candidate 12]])
      &lt;&gt;0,
      (Audit[[#This Row],[Winning Candidate]]-Audit[[#This Row],[Losing Candidate]]-(Audit[[#This Row],[Audit Winning Candidate]]-Audit[[#This Row],[Audit Losing Candidate]]))/(Audit[[#Totals],[Winning Candidate]]-Audit[[#Totals],[Losing Candidate]]),
      0
)</f>
        <v>0</v>
      </c>
      <c r="AV4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8">
        <f>IF(Audit[[#This Row],[Max Relative Error (ep)]] = 0, 0, Audit[[#This Row],[Max Relative Error (ep)]]/Audit[[#This Row],[Error Bound (up) - Max. possible relative overstatement]])</f>
        <v>0</v>
      </c>
      <c r="BH4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5" s="18">
        <f t="shared" si="8"/>
        <v>1</v>
      </c>
      <c r="BJ495" s="18">
        <f>PRODUCT($BI$5:BI495)</f>
        <v>0.32656797278968008</v>
      </c>
      <c r="BK495" s="20">
        <f>1 - Audit[[#This Row],[K-M P Value]]</f>
        <v>0.67343202721031992</v>
      </c>
      <c r="BL495" s="18" t="str">
        <f>IF(Audit[[#This Row],[K-M P Value]]&gt;1-'General Info'!$B$12,"Continue", "Stop")</f>
        <v>Continue</v>
      </c>
      <c r="BM495" s="23" t="b">
        <f>IF(Audit[[#This Row],[Status - Continue or stop audit]] = "Continue", TRUE, IF(BL494 = "Continue", TRUE, FALSE))</f>
        <v>1</v>
      </c>
      <c r="BN495" s="23"/>
    </row>
    <row r="496" spans="1:66" ht="15" hidden="1" customHeight="1" x14ac:dyDescent="0.35">
      <c r="A496" s="18" t="str">
        <f>'Sampling Data'!AI496</f>
        <v/>
      </c>
      <c r="B496" s="18" t="str">
        <f>'Sampling Data'!A496</f>
        <v>8308 MIAMI H   (AV)</v>
      </c>
      <c r="C496" s="18">
        <f>'Sampling Data'!B496</f>
        <v>3</v>
      </c>
      <c r="D496" s="18">
        <f>'Sampling Data'!C496</f>
        <v>0</v>
      </c>
      <c r="E496" s="19">
        <f>'Sampling Data'!D496</f>
        <v>0</v>
      </c>
      <c r="F496" s="19">
        <f>'Sampling Data'!E496</f>
        <v>0</v>
      </c>
      <c r="G496" s="19">
        <f>'Sampling Data'!F496</f>
        <v>0</v>
      </c>
      <c r="H496" s="19">
        <f>'Sampling Data'!G496</f>
        <v>0</v>
      </c>
      <c r="I496" s="19">
        <f>'Sampling Data'!H496</f>
        <v>0</v>
      </c>
      <c r="J496" s="19">
        <f>'Sampling Data'!I496</f>
        <v>0</v>
      </c>
      <c r="K496" s="19">
        <f>'Sampling Data'!J496</f>
        <v>0</v>
      </c>
      <c r="L496" s="19">
        <f>'Sampling Data'!K496</f>
        <v>0</v>
      </c>
      <c r="M496" s="19">
        <f>'Sampling Data'!L496</f>
        <v>0</v>
      </c>
      <c r="N496" s="19">
        <f>'Sampling Data'!M496</f>
        <v>0</v>
      </c>
      <c r="O496" s="18">
        <f>'Sampling Data'!N496</f>
        <v>0</v>
      </c>
      <c r="P496" s="18">
        <f>'Sampling Data'!O496</f>
        <v>0</v>
      </c>
      <c r="Q496" s="18">
        <f>'Sampling Data'!P496</f>
        <v>3</v>
      </c>
      <c r="R496" s="18">
        <f>'Sampling Data'!AJ496</f>
        <v>0</v>
      </c>
      <c r="S496" s="112"/>
      <c r="T496" s="112"/>
      <c r="U496" s="113"/>
      <c r="V496" s="113"/>
      <c r="W496" s="112"/>
      <c r="X496" s="112"/>
      <c r="Y496" s="112"/>
      <c r="Z496" s="112"/>
      <c r="AA496" s="15"/>
      <c r="AB496" s="15"/>
      <c r="AC496" s="15"/>
      <c r="AD496" s="15"/>
      <c r="AE496" s="114" t="str">
        <f>IF(NOT(ISBLANK(Audit[[#This Row],[Audit Winning Candidate]])), Audit[[#This Row],[Audit Winning Candidate]]-Audit[[#This Row],[Winning Candidate]], "")</f>
        <v/>
      </c>
      <c r="AF496" s="18" t="str">
        <f>IF(NOT(ISBLANK(Audit[[#This Row],[Audit Losing Candidate]])), Audit[[#This Row],[Audit Losing Candidate]]-Audit[[#This Row],[Losing Candidate]], "")</f>
        <v/>
      </c>
      <c r="AG496" s="18" t="str">
        <f>IF(NOT(ISBLANK(Audit[[#This Row],[Audit Candidate 3]])), Audit[[#This Row],[Audit Candidate 3]]-Audit[[#This Row],[Candidate 3]], "")</f>
        <v/>
      </c>
      <c r="AH496" s="18" t="str">
        <f>IF(NOT(ISBLANK(Audit[[#This Row],[Audit Candidate 4]])),Audit[[#This Row],[Audit Candidate 4]]-Audit[[#This Row],[Candidate 4]], "")</f>
        <v/>
      </c>
      <c r="AI496" s="18" t="str">
        <f>IF(NOT(ISBLANK(Audit[[#This Row],[Audit Candidate 5]])), Audit[[#This Row],[Audit Candidate 5]]-Audit[[#This Row],[Candidate 5]], "")</f>
        <v/>
      </c>
      <c r="AJ496" s="18" t="str">
        <f>IF(NOT(ISBLANK(Audit[[#This Row],[Audit Candidate 6]])), Audit[[#This Row],[Audit Candidate 6]]-Audit[[#This Row],[Candidate 6]], "")</f>
        <v/>
      </c>
      <c r="AK496" s="18" t="str">
        <f>IF(NOT(ISBLANK(Audit[[#This Row],[Audit Candidate 7]])), Audit[[#This Row],[Audit Candidate 7]]-Audit[[#This Row],[Candidate 7]], "")</f>
        <v/>
      </c>
      <c r="AL496" s="18" t="str">
        <f>IF(NOT(ISBLANK(Audit[[#This Row],[Audit Candidate 8]])), Audit[[#This Row],[Audit Candidate 8]]-Audit[[#This Row],[Candidate 8]], "")</f>
        <v/>
      </c>
      <c r="AM496" s="18" t="str">
        <f>IF(NOT(ISBLANK(Audit[[#This Row],[Audit Candidate 9]])), Audit[[#This Row],[Audit Candidate 9]]-Audit[[#This Row],[Candidate 9]], "")</f>
        <v/>
      </c>
      <c r="AN496" s="18" t="str">
        <f>IF(NOT(ISBLANK(Audit[[#This Row],[Audit Candidate 10]])), Audit[[#This Row],[Audit Candidate 10]]-Audit[[#This Row],[Candidate 10]], "")</f>
        <v/>
      </c>
      <c r="AO496" s="18" t="str">
        <f>IF(NOT(ISBLANK(Audit[[#This Row],[Audit Candidate 11]])), Audit[[#This Row],[Audit Candidate 11]]-Audit[[#This Row],[Candidate 11]], "")</f>
        <v/>
      </c>
      <c r="AP496" s="18" t="str">
        <f>IF(NOT(ISBLANK(Audit[[#This Row],[Audit Candidate 12]])), Audit[[#This Row],[Audit Candidate 12]]-Audit[[#This Row],[Candidate 12]], "")</f>
        <v/>
      </c>
      <c r="AQ496" s="18">
        <f>SUMIF(Audit[[#This Row],[Difference Winner]:[Difference Candidate 12]], "&gt;0")</f>
        <v>0</v>
      </c>
      <c r="AR496" s="18">
        <f>SUM(Audit[[#This Row],[Difference Winner]:[Difference Candidate 12]])</f>
        <v>0</v>
      </c>
      <c r="AS496" s="18">
        <f>IF(Audit[[#This Row],[Times p Drawn - With Replacement]]&gt;0, IF(Audit[[#This Row],[Canceled Differences]]&lt;0, Audit[[#This Row],[Max Differences]]+ABS(Audit[[#This Row],[Canceled Differences]]), Audit[[#This Row],[Max Differences]]), 0)</f>
        <v>0</v>
      </c>
      <c r="AT496" s="18">
        <f>'Sampling Data'!AB496</f>
        <v>1.8845996796180544E-4</v>
      </c>
      <c r="AU496" s="18">
        <f>IF(
      SUM(Audit[[#This Row],[Audit Losing Candidate]:[Audit Candidate 12]])
      &lt;&gt;0,
      (Audit[[#This Row],[Winning Candidate]]-Audit[[#This Row],[Losing Candidate]]-(Audit[[#This Row],[Audit Winning Candidate]]-Audit[[#This Row],[Audit Losing Candidate]]))/(Audit[[#Totals],[Winning Candidate]]-Audit[[#Totals],[Losing Candidate]]),
      0
)</f>
        <v>0</v>
      </c>
      <c r="AV4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8">
        <f>IF(Audit[[#This Row],[Max Relative Error (ep)]] = 0, 0, Audit[[#This Row],[Max Relative Error (ep)]]/Audit[[#This Row],[Error Bound (up) - Max. possible relative overstatement]])</f>
        <v>0</v>
      </c>
      <c r="BH4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6" s="18">
        <f t="shared" si="8"/>
        <v>1</v>
      </c>
      <c r="BJ496" s="18">
        <f>PRODUCT($BI$5:BI496)</f>
        <v>0.32656797278968008</v>
      </c>
      <c r="BK496" s="20">
        <f>1 - Audit[[#This Row],[K-M P Value]]</f>
        <v>0.67343202721031992</v>
      </c>
      <c r="BL496" s="18" t="str">
        <f>IF(Audit[[#This Row],[K-M P Value]]&gt;1-'General Info'!$B$12,"Continue", "Stop")</f>
        <v>Continue</v>
      </c>
      <c r="BM496" s="23" t="b">
        <f>IF(Audit[[#This Row],[Status - Continue or stop audit]] = "Continue", TRUE, IF(BL495 = "Continue", TRUE, FALSE))</f>
        <v>1</v>
      </c>
      <c r="BN496" s="23"/>
    </row>
    <row r="497" spans="1:66" ht="15" hidden="1" customHeight="1" x14ac:dyDescent="0.35">
      <c r="A497" s="18" t="str">
        <f>'Sampling Data'!AI497</f>
        <v/>
      </c>
      <c r="B497" s="18" t="str">
        <f>'Sampling Data'!A497</f>
        <v>8309 MIAMI I   (AV)</v>
      </c>
      <c r="C497" s="18">
        <f>'Sampling Data'!B497</f>
        <v>15</v>
      </c>
      <c r="D497" s="18">
        <f>'Sampling Data'!C497</f>
        <v>0</v>
      </c>
      <c r="E497" s="19">
        <f>'Sampling Data'!D497</f>
        <v>0</v>
      </c>
      <c r="F497" s="19">
        <f>'Sampling Data'!E497</f>
        <v>0</v>
      </c>
      <c r="G497" s="19">
        <f>'Sampling Data'!F497</f>
        <v>0</v>
      </c>
      <c r="H497" s="19">
        <f>'Sampling Data'!G497</f>
        <v>0</v>
      </c>
      <c r="I497" s="19">
        <f>'Sampling Data'!H497</f>
        <v>0</v>
      </c>
      <c r="J497" s="19">
        <f>'Sampling Data'!I497</f>
        <v>0</v>
      </c>
      <c r="K497" s="19">
        <f>'Sampling Data'!J497</f>
        <v>0</v>
      </c>
      <c r="L497" s="19">
        <f>'Sampling Data'!K497</f>
        <v>0</v>
      </c>
      <c r="M497" s="19">
        <f>'Sampling Data'!L497</f>
        <v>0</v>
      </c>
      <c r="N497" s="19">
        <f>'Sampling Data'!M497</f>
        <v>0</v>
      </c>
      <c r="O497" s="18">
        <f>'Sampling Data'!N497</f>
        <v>0</v>
      </c>
      <c r="P497" s="18">
        <f>'Sampling Data'!O497</f>
        <v>0</v>
      </c>
      <c r="Q497" s="18">
        <f>'Sampling Data'!P497</f>
        <v>15</v>
      </c>
      <c r="R497" s="18">
        <f>'Sampling Data'!AJ497</f>
        <v>0</v>
      </c>
      <c r="S497" s="112"/>
      <c r="T497" s="112"/>
      <c r="U497" s="113"/>
      <c r="V497" s="113"/>
      <c r="W497" s="112"/>
      <c r="X497" s="112"/>
      <c r="Y497" s="112"/>
      <c r="Z497" s="112"/>
      <c r="AA497" s="15"/>
      <c r="AB497" s="15"/>
      <c r="AC497" s="15"/>
      <c r="AD497" s="15"/>
      <c r="AE497" s="114" t="str">
        <f>IF(NOT(ISBLANK(Audit[[#This Row],[Audit Winning Candidate]])), Audit[[#This Row],[Audit Winning Candidate]]-Audit[[#This Row],[Winning Candidate]], "")</f>
        <v/>
      </c>
      <c r="AF497" s="18" t="str">
        <f>IF(NOT(ISBLANK(Audit[[#This Row],[Audit Losing Candidate]])), Audit[[#This Row],[Audit Losing Candidate]]-Audit[[#This Row],[Losing Candidate]], "")</f>
        <v/>
      </c>
      <c r="AG497" s="18" t="str">
        <f>IF(NOT(ISBLANK(Audit[[#This Row],[Audit Candidate 3]])), Audit[[#This Row],[Audit Candidate 3]]-Audit[[#This Row],[Candidate 3]], "")</f>
        <v/>
      </c>
      <c r="AH497" s="18" t="str">
        <f>IF(NOT(ISBLANK(Audit[[#This Row],[Audit Candidate 4]])),Audit[[#This Row],[Audit Candidate 4]]-Audit[[#This Row],[Candidate 4]], "")</f>
        <v/>
      </c>
      <c r="AI497" s="18" t="str">
        <f>IF(NOT(ISBLANK(Audit[[#This Row],[Audit Candidate 5]])), Audit[[#This Row],[Audit Candidate 5]]-Audit[[#This Row],[Candidate 5]], "")</f>
        <v/>
      </c>
      <c r="AJ497" s="18" t="str">
        <f>IF(NOT(ISBLANK(Audit[[#This Row],[Audit Candidate 6]])), Audit[[#This Row],[Audit Candidate 6]]-Audit[[#This Row],[Candidate 6]], "")</f>
        <v/>
      </c>
      <c r="AK497" s="18" t="str">
        <f>IF(NOT(ISBLANK(Audit[[#This Row],[Audit Candidate 7]])), Audit[[#This Row],[Audit Candidate 7]]-Audit[[#This Row],[Candidate 7]], "")</f>
        <v/>
      </c>
      <c r="AL497" s="18" t="str">
        <f>IF(NOT(ISBLANK(Audit[[#This Row],[Audit Candidate 8]])), Audit[[#This Row],[Audit Candidate 8]]-Audit[[#This Row],[Candidate 8]], "")</f>
        <v/>
      </c>
      <c r="AM497" s="18" t="str">
        <f>IF(NOT(ISBLANK(Audit[[#This Row],[Audit Candidate 9]])), Audit[[#This Row],[Audit Candidate 9]]-Audit[[#This Row],[Candidate 9]], "")</f>
        <v/>
      </c>
      <c r="AN497" s="18" t="str">
        <f>IF(NOT(ISBLANK(Audit[[#This Row],[Audit Candidate 10]])), Audit[[#This Row],[Audit Candidate 10]]-Audit[[#This Row],[Candidate 10]], "")</f>
        <v/>
      </c>
      <c r="AO497" s="18" t="str">
        <f>IF(NOT(ISBLANK(Audit[[#This Row],[Audit Candidate 11]])), Audit[[#This Row],[Audit Candidate 11]]-Audit[[#This Row],[Candidate 11]], "")</f>
        <v/>
      </c>
      <c r="AP497" s="18" t="str">
        <f>IF(NOT(ISBLANK(Audit[[#This Row],[Audit Candidate 12]])), Audit[[#This Row],[Audit Candidate 12]]-Audit[[#This Row],[Candidate 12]], "")</f>
        <v/>
      </c>
      <c r="AQ497" s="18">
        <f>SUMIF(Audit[[#This Row],[Difference Winner]:[Difference Candidate 12]], "&gt;0")</f>
        <v>0</v>
      </c>
      <c r="AR497" s="18">
        <f>SUM(Audit[[#This Row],[Difference Winner]:[Difference Candidate 12]])</f>
        <v>0</v>
      </c>
      <c r="AS497" s="18">
        <f>IF(Audit[[#This Row],[Times p Drawn - With Replacement]]&gt;0, IF(Audit[[#This Row],[Canceled Differences]]&lt;0, Audit[[#This Row],[Max Differences]]+ABS(Audit[[#This Row],[Canceled Differences]]), Audit[[#This Row],[Max Differences]]), 0)</f>
        <v>0</v>
      </c>
      <c r="AT497" s="18">
        <f>'Sampling Data'!AB497</f>
        <v>9.4229983980902718E-4</v>
      </c>
      <c r="AU497" s="18">
        <f>IF(
      SUM(Audit[[#This Row],[Audit Losing Candidate]:[Audit Candidate 12]])
      &lt;&gt;0,
      (Audit[[#This Row],[Winning Candidate]]-Audit[[#This Row],[Losing Candidate]]-(Audit[[#This Row],[Audit Winning Candidate]]-Audit[[#This Row],[Audit Losing Candidate]]))/(Audit[[#Totals],[Winning Candidate]]-Audit[[#Totals],[Losing Candidate]]),
      0
)</f>
        <v>0</v>
      </c>
      <c r="AV4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8">
        <f>IF(Audit[[#This Row],[Max Relative Error (ep)]] = 0, 0, Audit[[#This Row],[Max Relative Error (ep)]]/Audit[[#This Row],[Error Bound (up) - Max. possible relative overstatement]])</f>
        <v>0</v>
      </c>
      <c r="BH4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7" s="18">
        <f t="shared" si="8"/>
        <v>1</v>
      </c>
      <c r="BJ497" s="18">
        <f>PRODUCT($BI$5:BI497)</f>
        <v>0.32656797278968008</v>
      </c>
      <c r="BK497" s="20">
        <f>1 - Audit[[#This Row],[K-M P Value]]</f>
        <v>0.67343202721031992</v>
      </c>
      <c r="BL497" s="18" t="str">
        <f>IF(Audit[[#This Row],[K-M P Value]]&gt;1-'General Info'!$B$12,"Continue", "Stop")</f>
        <v>Continue</v>
      </c>
      <c r="BM497" s="23" t="b">
        <f>IF(Audit[[#This Row],[Status - Continue or stop audit]] = "Continue", TRUE, IF(BL496 = "Continue", TRUE, FALSE))</f>
        <v>1</v>
      </c>
      <c r="BN497" s="23"/>
    </row>
    <row r="498" spans="1:66" ht="15" hidden="1" customHeight="1" x14ac:dyDescent="0.35">
      <c r="A498" s="18" t="str">
        <f>'Sampling Data'!AI498</f>
        <v/>
      </c>
      <c r="B498" s="18" t="str">
        <f>'Sampling Data'!A498</f>
        <v>8401 NEWT A   (AV)</v>
      </c>
      <c r="C498" s="18">
        <f>'Sampling Data'!B498</f>
        <v>6</v>
      </c>
      <c r="D498" s="18">
        <f>'Sampling Data'!C498</f>
        <v>0</v>
      </c>
      <c r="E498" s="19">
        <f>'Sampling Data'!D498</f>
        <v>0</v>
      </c>
      <c r="F498" s="19">
        <f>'Sampling Data'!E498</f>
        <v>0</v>
      </c>
      <c r="G498" s="19">
        <f>'Sampling Data'!F498</f>
        <v>0</v>
      </c>
      <c r="H498" s="19">
        <f>'Sampling Data'!G498</f>
        <v>0</v>
      </c>
      <c r="I498" s="19">
        <f>'Sampling Data'!H498</f>
        <v>0</v>
      </c>
      <c r="J498" s="19">
        <f>'Sampling Data'!I498</f>
        <v>0</v>
      </c>
      <c r="K498" s="19">
        <f>'Sampling Data'!J498</f>
        <v>0</v>
      </c>
      <c r="L498" s="19">
        <f>'Sampling Data'!K498</f>
        <v>0</v>
      </c>
      <c r="M498" s="19">
        <f>'Sampling Data'!L498</f>
        <v>0</v>
      </c>
      <c r="N498" s="19">
        <f>'Sampling Data'!M498</f>
        <v>0</v>
      </c>
      <c r="O498" s="18">
        <f>'Sampling Data'!N498</f>
        <v>0</v>
      </c>
      <c r="P498" s="18">
        <f>'Sampling Data'!O498</f>
        <v>0</v>
      </c>
      <c r="Q498" s="18">
        <f>'Sampling Data'!P498</f>
        <v>6</v>
      </c>
      <c r="R498" s="18">
        <f>'Sampling Data'!AJ498</f>
        <v>0</v>
      </c>
      <c r="S498" s="112"/>
      <c r="T498" s="112"/>
      <c r="U498" s="113"/>
      <c r="V498" s="113"/>
      <c r="W498" s="112"/>
      <c r="X498" s="112"/>
      <c r="Y498" s="112"/>
      <c r="Z498" s="112"/>
      <c r="AA498" s="15"/>
      <c r="AB498" s="15"/>
      <c r="AC498" s="15"/>
      <c r="AD498" s="15"/>
      <c r="AE498" s="114" t="str">
        <f>IF(NOT(ISBLANK(Audit[[#This Row],[Audit Winning Candidate]])), Audit[[#This Row],[Audit Winning Candidate]]-Audit[[#This Row],[Winning Candidate]], "")</f>
        <v/>
      </c>
      <c r="AF498" s="18" t="str">
        <f>IF(NOT(ISBLANK(Audit[[#This Row],[Audit Losing Candidate]])), Audit[[#This Row],[Audit Losing Candidate]]-Audit[[#This Row],[Losing Candidate]], "")</f>
        <v/>
      </c>
      <c r="AG498" s="18" t="str">
        <f>IF(NOT(ISBLANK(Audit[[#This Row],[Audit Candidate 3]])), Audit[[#This Row],[Audit Candidate 3]]-Audit[[#This Row],[Candidate 3]], "")</f>
        <v/>
      </c>
      <c r="AH498" s="18" t="str">
        <f>IF(NOT(ISBLANK(Audit[[#This Row],[Audit Candidate 4]])),Audit[[#This Row],[Audit Candidate 4]]-Audit[[#This Row],[Candidate 4]], "")</f>
        <v/>
      </c>
      <c r="AI498" s="18" t="str">
        <f>IF(NOT(ISBLANK(Audit[[#This Row],[Audit Candidate 5]])), Audit[[#This Row],[Audit Candidate 5]]-Audit[[#This Row],[Candidate 5]], "")</f>
        <v/>
      </c>
      <c r="AJ498" s="18" t="str">
        <f>IF(NOT(ISBLANK(Audit[[#This Row],[Audit Candidate 6]])), Audit[[#This Row],[Audit Candidate 6]]-Audit[[#This Row],[Candidate 6]], "")</f>
        <v/>
      </c>
      <c r="AK498" s="18" t="str">
        <f>IF(NOT(ISBLANK(Audit[[#This Row],[Audit Candidate 7]])), Audit[[#This Row],[Audit Candidate 7]]-Audit[[#This Row],[Candidate 7]], "")</f>
        <v/>
      </c>
      <c r="AL498" s="18" t="str">
        <f>IF(NOT(ISBLANK(Audit[[#This Row],[Audit Candidate 8]])), Audit[[#This Row],[Audit Candidate 8]]-Audit[[#This Row],[Candidate 8]], "")</f>
        <v/>
      </c>
      <c r="AM498" s="18" t="str">
        <f>IF(NOT(ISBLANK(Audit[[#This Row],[Audit Candidate 9]])), Audit[[#This Row],[Audit Candidate 9]]-Audit[[#This Row],[Candidate 9]], "")</f>
        <v/>
      </c>
      <c r="AN498" s="18" t="str">
        <f>IF(NOT(ISBLANK(Audit[[#This Row],[Audit Candidate 10]])), Audit[[#This Row],[Audit Candidate 10]]-Audit[[#This Row],[Candidate 10]], "")</f>
        <v/>
      </c>
      <c r="AO498" s="18" t="str">
        <f>IF(NOT(ISBLANK(Audit[[#This Row],[Audit Candidate 11]])), Audit[[#This Row],[Audit Candidate 11]]-Audit[[#This Row],[Candidate 11]], "")</f>
        <v/>
      </c>
      <c r="AP498" s="18" t="str">
        <f>IF(NOT(ISBLANK(Audit[[#This Row],[Audit Candidate 12]])), Audit[[#This Row],[Audit Candidate 12]]-Audit[[#This Row],[Candidate 12]], "")</f>
        <v/>
      </c>
      <c r="AQ498" s="18">
        <f>SUMIF(Audit[[#This Row],[Difference Winner]:[Difference Candidate 12]], "&gt;0")</f>
        <v>0</v>
      </c>
      <c r="AR498" s="18">
        <f>SUM(Audit[[#This Row],[Difference Winner]:[Difference Candidate 12]])</f>
        <v>0</v>
      </c>
      <c r="AS498" s="18">
        <f>IF(Audit[[#This Row],[Times p Drawn - With Replacement]]&gt;0, IF(Audit[[#This Row],[Canceled Differences]]&lt;0, Audit[[#This Row],[Max Differences]]+ABS(Audit[[#This Row],[Canceled Differences]]), Audit[[#This Row],[Max Differences]]), 0)</f>
        <v>0</v>
      </c>
      <c r="AT498" s="18">
        <f>'Sampling Data'!AB498</f>
        <v>3.7691993592361088E-4</v>
      </c>
      <c r="AU498" s="18">
        <f>IF(
      SUM(Audit[[#This Row],[Audit Losing Candidate]:[Audit Candidate 12]])
      &lt;&gt;0,
      (Audit[[#This Row],[Winning Candidate]]-Audit[[#This Row],[Losing Candidate]]-(Audit[[#This Row],[Audit Winning Candidate]]-Audit[[#This Row],[Audit Losing Candidate]]))/(Audit[[#Totals],[Winning Candidate]]-Audit[[#Totals],[Losing Candidate]]),
      0
)</f>
        <v>0</v>
      </c>
      <c r="AV4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8">
        <f>IF(Audit[[#This Row],[Max Relative Error (ep)]] = 0, 0, Audit[[#This Row],[Max Relative Error (ep)]]/Audit[[#This Row],[Error Bound (up) - Max. possible relative overstatement]])</f>
        <v>0</v>
      </c>
      <c r="BH4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8" s="18">
        <f t="shared" si="8"/>
        <v>1</v>
      </c>
      <c r="BJ498" s="18">
        <f>PRODUCT($BI$5:BI498)</f>
        <v>0.32656797278968008</v>
      </c>
      <c r="BK498" s="20">
        <f>1 - Audit[[#This Row],[K-M P Value]]</f>
        <v>0.67343202721031992</v>
      </c>
      <c r="BL498" s="18" t="str">
        <f>IF(Audit[[#This Row],[K-M P Value]]&gt;1-'General Info'!$B$12,"Continue", "Stop")</f>
        <v>Continue</v>
      </c>
      <c r="BM498" s="23" t="b">
        <f>IF(Audit[[#This Row],[Status - Continue or stop audit]] = "Continue", TRUE, IF(BL497 = "Continue", TRUE, FALSE))</f>
        <v>1</v>
      </c>
      <c r="BN498" s="23"/>
    </row>
    <row r="499" spans="1:66" ht="15" hidden="1" customHeight="1" x14ac:dyDescent="0.35">
      <c r="A499" s="18" t="str">
        <f>'Sampling Data'!AI499</f>
        <v/>
      </c>
      <c r="B499" s="18" t="str">
        <f>'Sampling Data'!A499</f>
        <v>8402 NEWT B   (AV)</v>
      </c>
      <c r="C499" s="18">
        <f>'Sampling Data'!B499</f>
        <v>11</v>
      </c>
      <c r="D499" s="18">
        <f>'Sampling Data'!C499</f>
        <v>0</v>
      </c>
      <c r="E499" s="19">
        <f>'Sampling Data'!D499</f>
        <v>0</v>
      </c>
      <c r="F499" s="19">
        <f>'Sampling Data'!E499</f>
        <v>0</v>
      </c>
      <c r="G499" s="19">
        <f>'Sampling Data'!F499</f>
        <v>0</v>
      </c>
      <c r="H499" s="19">
        <f>'Sampling Data'!G499</f>
        <v>0</v>
      </c>
      <c r="I499" s="19">
        <f>'Sampling Data'!H499</f>
        <v>0</v>
      </c>
      <c r="J499" s="19">
        <f>'Sampling Data'!I499</f>
        <v>0</v>
      </c>
      <c r="K499" s="19">
        <f>'Sampling Data'!J499</f>
        <v>0</v>
      </c>
      <c r="L499" s="19">
        <f>'Sampling Data'!K499</f>
        <v>0</v>
      </c>
      <c r="M499" s="19">
        <f>'Sampling Data'!L499</f>
        <v>0</v>
      </c>
      <c r="N499" s="19">
        <f>'Sampling Data'!M499</f>
        <v>0</v>
      </c>
      <c r="O499" s="18">
        <f>'Sampling Data'!N499</f>
        <v>0</v>
      </c>
      <c r="P499" s="18">
        <f>'Sampling Data'!O499</f>
        <v>0</v>
      </c>
      <c r="Q499" s="18">
        <f>'Sampling Data'!P499</f>
        <v>11</v>
      </c>
      <c r="R499" s="18">
        <f>'Sampling Data'!AJ499</f>
        <v>0</v>
      </c>
      <c r="S499" s="112"/>
      <c r="T499" s="112"/>
      <c r="U499" s="113"/>
      <c r="V499" s="113"/>
      <c r="W499" s="112"/>
      <c r="X499" s="112"/>
      <c r="Y499" s="112"/>
      <c r="Z499" s="112"/>
      <c r="AA499" s="15"/>
      <c r="AB499" s="15"/>
      <c r="AC499" s="15"/>
      <c r="AD499" s="15"/>
      <c r="AE499" s="114" t="str">
        <f>IF(NOT(ISBLANK(Audit[[#This Row],[Audit Winning Candidate]])), Audit[[#This Row],[Audit Winning Candidate]]-Audit[[#This Row],[Winning Candidate]], "")</f>
        <v/>
      </c>
      <c r="AF499" s="18" t="str">
        <f>IF(NOT(ISBLANK(Audit[[#This Row],[Audit Losing Candidate]])), Audit[[#This Row],[Audit Losing Candidate]]-Audit[[#This Row],[Losing Candidate]], "")</f>
        <v/>
      </c>
      <c r="AG499" s="18" t="str">
        <f>IF(NOT(ISBLANK(Audit[[#This Row],[Audit Candidate 3]])), Audit[[#This Row],[Audit Candidate 3]]-Audit[[#This Row],[Candidate 3]], "")</f>
        <v/>
      </c>
      <c r="AH499" s="18" t="str">
        <f>IF(NOT(ISBLANK(Audit[[#This Row],[Audit Candidate 4]])),Audit[[#This Row],[Audit Candidate 4]]-Audit[[#This Row],[Candidate 4]], "")</f>
        <v/>
      </c>
      <c r="AI499" s="18" t="str">
        <f>IF(NOT(ISBLANK(Audit[[#This Row],[Audit Candidate 5]])), Audit[[#This Row],[Audit Candidate 5]]-Audit[[#This Row],[Candidate 5]], "")</f>
        <v/>
      </c>
      <c r="AJ499" s="18" t="str">
        <f>IF(NOT(ISBLANK(Audit[[#This Row],[Audit Candidate 6]])), Audit[[#This Row],[Audit Candidate 6]]-Audit[[#This Row],[Candidate 6]], "")</f>
        <v/>
      </c>
      <c r="AK499" s="18" t="str">
        <f>IF(NOT(ISBLANK(Audit[[#This Row],[Audit Candidate 7]])), Audit[[#This Row],[Audit Candidate 7]]-Audit[[#This Row],[Candidate 7]], "")</f>
        <v/>
      </c>
      <c r="AL499" s="18" t="str">
        <f>IF(NOT(ISBLANK(Audit[[#This Row],[Audit Candidate 8]])), Audit[[#This Row],[Audit Candidate 8]]-Audit[[#This Row],[Candidate 8]], "")</f>
        <v/>
      </c>
      <c r="AM499" s="18" t="str">
        <f>IF(NOT(ISBLANK(Audit[[#This Row],[Audit Candidate 9]])), Audit[[#This Row],[Audit Candidate 9]]-Audit[[#This Row],[Candidate 9]], "")</f>
        <v/>
      </c>
      <c r="AN499" s="18" t="str">
        <f>IF(NOT(ISBLANK(Audit[[#This Row],[Audit Candidate 10]])), Audit[[#This Row],[Audit Candidate 10]]-Audit[[#This Row],[Candidate 10]], "")</f>
        <v/>
      </c>
      <c r="AO499" s="18" t="str">
        <f>IF(NOT(ISBLANK(Audit[[#This Row],[Audit Candidate 11]])), Audit[[#This Row],[Audit Candidate 11]]-Audit[[#This Row],[Candidate 11]], "")</f>
        <v/>
      </c>
      <c r="AP499" s="18" t="str">
        <f>IF(NOT(ISBLANK(Audit[[#This Row],[Audit Candidate 12]])), Audit[[#This Row],[Audit Candidate 12]]-Audit[[#This Row],[Candidate 12]], "")</f>
        <v/>
      </c>
      <c r="AQ499" s="18">
        <f>SUMIF(Audit[[#This Row],[Difference Winner]:[Difference Candidate 12]], "&gt;0")</f>
        <v>0</v>
      </c>
      <c r="AR499" s="18">
        <f>SUM(Audit[[#This Row],[Difference Winner]:[Difference Candidate 12]])</f>
        <v>0</v>
      </c>
      <c r="AS499" s="18">
        <f>IF(Audit[[#This Row],[Times p Drawn - With Replacement]]&gt;0, IF(Audit[[#This Row],[Canceled Differences]]&lt;0, Audit[[#This Row],[Max Differences]]+ABS(Audit[[#This Row],[Canceled Differences]]), Audit[[#This Row],[Max Differences]]), 0)</f>
        <v>0</v>
      </c>
      <c r="AT499" s="18">
        <f>'Sampling Data'!AB499</f>
        <v>6.9101988252662E-4</v>
      </c>
      <c r="AU499" s="18">
        <f>IF(
      SUM(Audit[[#This Row],[Audit Losing Candidate]:[Audit Candidate 12]])
      &lt;&gt;0,
      (Audit[[#This Row],[Winning Candidate]]-Audit[[#This Row],[Losing Candidate]]-(Audit[[#This Row],[Audit Winning Candidate]]-Audit[[#This Row],[Audit Losing Candidate]]))/(Audit[[#Totals],[Winning Candidate]]-Audit[[#Totals],[Losing Candidate]]),
      0
)</f>
        <v>0</v>
      </c>
      <c r="AV4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8">
        <f>IF(Audit[[#This Row],[Max Relative Error (ep)]] = 0, 0, Audit[[#This Row],[Max Relative Error (ep)]]/Audit[[#This Row],[Error Bound (up) - Max. possible relative overstatement]])</f>
        <v>0</v>
      </c>
      <c r="BH4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499" s="18">
        <f t="shared" si="8"/>
        <v>1</v>
      </c>
      <c r="BJ499" s="18">
        <f>PRODUCT($BI$5:BI499)</f>
        <v>0.32656797278968008</v>
      </c>
      <c r="BK499" s="20">
        <f>1 - Audit[[#This Row],[K-M P Value]]</f>
        <v>0.67343202721031992</v>
      </c>
      <c r="BL499" s="18" t="str">
        <f>IF(Audit[[#This Row],[K-M P Value]]&gt;1-'General Info'!$B$12,"Continue", "Stop")</f>
        <v>Continue</v>
      </c>
      <c r="BM499" s="23" t="b">
        <f>IF(Audit[[#This Row],[Status - Continue or stop audit]] = "Continue", TRUE, IF(BL498 = "Continue", TRUE, FALSE))</f>
        <v>1</v>
      </c>
      <c r="BN499" s="23"/>
    </row>
    <row r="500" spans="1:66" ht="15" hidden="1" customHeight="1" x14ac:dyDescent="0.35">
      <c r="A500" s="18" t="str">
        <f>'Sampling Data'!AI500</f>
        <v/>
      </c>
      <c r="B500" s="18" t="str">
        <f>'Sampling Data'!A500</f>
        <v>8511 ST BN 1-A   (AV)</v>
      </c>
      <c r="C500" s="18">
        <f>'Sampling Data'!B500</f>
        <v>3</v>
      </c>
      <c r="D500" s="18">
        <f>'Sampling Data'!C500</f>
        <v>0</v>
      </c>
      <c r="E500" s="19">
        <f>'Sampling Data'!D500</f>
        <v>0</v>
      </c>
      <c r="F500" s="19">
        <f>'Sampling Data'!E500</f>
        <v>0</v>
      </c>
      <c r="G500" s="19">
        <f>'Sampling Data'!F500</f>
        <v>0</v>
      </c>
      <c r="H500" s="19">
        <f>'Sampling Data'!G500</f>
        <v>0</v>
      </c>
      <c r="I500" s="19">
        <f>'Sampling Data'!H500</f>
        <v>0</v>
      </c>
      <c r="J500" s="19">
        <f>'Sampling Data'!I500</f>
        <v>0</v>
      </c>
      <c r="K500" s="19">
        <f>'Sampling Data'!J500</f>
        <v>0</v>
      </c>
      <c r="L500" s="19">
        <f>'Sampling Data'!K500</f>
        <v>0</v>
      </c>
      <c r="M500" s="19">
        <f>'Sampling Data'!L500</f>
        <v>0</v>
      </c>
      <c r="N500" s="19">
        <f>'Sampling Data'!M500</f>
        <v>0</v>
      </c>
      <c r="O500" s="18">
        <f>'Sampling Data'!N500</f>
        <v>0</v>
      </c>
      <c r="P500" s="18">
        <f>'Sampling Data'!O500</f>
        <v>0</v>
      </c>
      <c r="Q500" s="18">
        <f>'Sampling Data'!P500</f>
        <v>3</v>
      </c>
      <c r="R500" s="18">
        <f>'Sampling Data'!AJ500</f>
        <v>0</v>
      </c>
      <c r="S500" s="112"/>
      <c r="T500" s="112"/>
      <c r="U500" s="113"/>
      <c r="V500" s="113"/>
      <c r="W500" s="112"/>
      <c r="X500" s="112"/>
      <c r="Y500" s="112"/>
      <c r="Z500" s="112"/>
      <c r="AA500" s="15"/>
      <c r="AB500" s="15"/>
      <c r="AC500" s="15"/>
      <c r="AD500" s="15"/>
      <c r="AE500" s="114" t="str">
        <f>IF(NOT(ISBLANK(Audit[[#This Row],[Audit Winning Candidate]])), Audit[[#This Row],[Audit Winning Candidate]]-Audit[[#This Row],[Winning Candidate]], "")</f>
        <v/>
      </c>
      <c r="AF500" s="18" t="str">
        <f>IF(NOT(ISBLANK(Audit[[#This Row],[Audit Losing Candidate]])), Audit[[#This Row],[Audit Losing Candidate]]-Audit[[#This Row],[Losing Candidate]], "")</f>
        <v/>
      </c>
      <c r="AG500" s="18" t="str">
        <f>IF(NOT(ISBLANK(Audit[[#This Row],[Audit Candidate 3]])), Audit[[#This Row],[Audit Candidate 3]]-Audit[[#This Row],[Candidate 3]], "")</f>
        <v/>
      </c>
      <c r="AH500" s="18" t="str">
        <f>IF(NOT(ISBLANK(Audit[[#This Row],[Audit Candidate 4]])),Audit[[#This Row],[Audit Candidate 4]]-Audit[[#This Row],[Candidate 4]], "")</f>
        <v/>
      </c>
      <c r="AI500" s="18" t="str">
        <f>IF(NOT(ISBLANK(Audit[[#This Row],[Audit Candidate 5]])), Audit[[#This Row],[Audit Candidate 5]]-Audit[[#This Row],[Candidate 5]], "")</f>
        <v/>
      </c>
      <c r="AJ500" s="18" t="str">
        <f>IF(NOT(ISBLANK(Audit[[#This Row],[Audit Candidate 6]])), Audit[[#This Row],[Audit Candidate 6]]-Audit[[#This Row],[Candidate 6]], "")</f>
        <v/>
      </c>
      <c r="AK500" s="18" t="str">
        <f>IF(NOT(ISBLANK(Audit[[#This Row],[Audit Candidate 7]])), Audit[[#This Row],[Audit Candidate 7]]-Audit[[#This Row],[Candidate 7]], "")</f>
        <v/>
      </c>
      <c r="AL500" s="18" t="str">
        <f>IF(NOT(ISBLANK(Audit[[#This Row],[Audit Candidate 8]])), Audit[[#This Row],[Audit Candidate 8]]-Audit[[#This Row],[Candidate 8]], "")</f>
        <v/>
      </c>
      <c r="AM500" s="18" t="str">
        <f>IF(NOT(ISBLANK(Audit[[#This Row],[Audit Candidate 9]])), Audit[[#This Row],[Audit Candidate 9]]-Audit[[#This Row],[Candidate 9]], "")</f>
        <v/>
      </c>
      <c r="AN500" s="18" t="str">
        <f>IF(NOT(ISBLANK(Audit[[#This Row],[Audit Candidate 10]])), Audit[[#This Row],[Audit Candidate 10]]-Audit[[#This Row],[Candidate 10]], "")</f>
        <v/>
      </c>
      <c r="AO500" s="18" t="str">
        <f>IF(NOT(ISBLANK(Audit[[#This Row],[Audit Candidate 11]])), Audit[[#This Row],[Audit Candidate 11]]-Audit[[#This Row],[Candidate 11]], "")</f>
        <v/>
      </c>
      <c r="AP500" s="18" t="str">
        <f>IF(NOT(ISBLANK(Audit[[#This Row],[Audit Candidate 12]])), Audit[[#This Row],[Audit Candidate 12]]-Audit[[#This Row],[Candidate 12]], "")</f>
        <v/>
      </c>
      <c r="AQ500" s="18">
        <f>SUMIF(Audit[[#This Row],[Difference Winner]:[Difference Candidate 12]], "&gt;0")</f>
        <v>0</v>
      </c>
      <c r="AR500" s="18">
        <f>SUM(Audit[[#This Row],[Difference Winner]:[Difference Candidate 12]])</f>
        <v>0</v>
      </c>
      <c r="AS500" s="18">
        <f>IF(Audit[[#This Row],[Times p Drawn - With Replacement]]&gt;0, IF(Audit[[#This Row],[Canceled Differences]]&lt;0, Audit[[#This Row],[Max Differences]]+ABS(Audit[[#This Row],[Canceled Differences]]), Audit[[#This Row],[Max Differences]]), 0)</f>
        <v>0</v>
      </c>
      <c r="AT500" s="18">
        <f>'Sampling Data'!AB500</f>
        <v>1.8845996796180544E-4</v>
      </c>
      <c r="AU500" s="18">
        <f>IF(
      SUM(Audit[[#This Row],[Audit Losing Candidate]:[Audit Candidate 12]])
      &lt;&gt;0,
      (Audit[[#This Row],[Winning Candidate]]-Audit[[#This Row],[Losing Candidate]]-(Audit[[#This Row],[Audit Winning Candidate]]-Audit[[#This Row],[Audit Losing Candidate]]))/(Audit[[#Totals],[Winning Candidate]]-Audit[[#Totals],[Losing Candidate]]),
      0
)</f>
        <v>0</v>
      </c>
      <c r="AV5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8">
        <f>IF(Audit[[#This Row],[Max Relative Error (ep)]] = 0, 0, Audit[[#This Row],[Max Relative Error (ep)]]/Audit[[#This Row],[Error Bound (up) - Max. possible relative overstatement]])</f>
        <v>0</v>
      </c>
      <c r="BH5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0" s="18">
        <f t="shared" si="8"/>
        <v>1</v>
      </c>
      <c r="BJ500" s="18">
        <f>PRODUCT($BI$5:BI500)</f>
        <v>0.32656797278968008</v>
      </c>
      <c r="BK500" s="20">
        <f>1 - Audit[[#This Row],[K-M P Value]]</f>
        <v>0.67343202721031992</v>
      </c>
      <c r="BL500" s="18" t="str">
        <f>IF(Audit[[#This Row],[K-M P Value]]&gt;1-'General Info'!$B$12,"Continue", "Stop")</f>
        <v>Continue</v>
      </c>
      <c r="BM500" s="23" t="b">
        <f>IF(Audit[[#This Row],[Status - Continue or stop audit]] = "Continue", TRUE, IF(BL499 = "Continue", TRUE, FALSE))</f>
        <v>1</v>
      </c>
      <c r="BN500" s="23"/>
    </row>
    <row r="501" spans="1:66" ht="15" hidden="1" customHeight="1" x14ac:dyDescent="0.35">
      <c r="A501" s="18" t="str">
        <f>'Sampling Data'!AI501</f>
        <v/>
      </c>
      <c r="B501" s="18" t="str">
        <f>'Sampling Data'!A501</f>
        <v>8521 ST BN 2-A   (AV)</v>
      </c>
      <c r="C501" s="18">
        <f>'Sampling Data'!B501</f>
        <v>10</v>
      </c>
      <c r="D501" s="18">
        <f>'Sampling Data'!C501</f>
        <v>0</v>
      </c>
      <c r="E501" s="19">
        <f>'Sampling Data'!D501</f>
        <v>0</v>
      </c>
      <c r="F501" s="19">
        <f>'Sampling Data'!E501</f>
        <v>0</v>
      </c>
      <c r="G501" s="19">
        <f>'Sampling Data'!F501</f>
        <v>0</v>
      </c>
      <c r="H501" s="19">
        <f>'Sampling Data'!G501</f>
        <v>0</v>
      </c>
      <c r="I501" s="19">
        <f>'Sampling Data'!H501</f>
        <v>0</v>
      </c>
      <c r="J501" s="19">
        <f>'Sampling Data'!I501</f>
        <v>0</v>
      </c>
      <c r="K501" s="19">
        <f>'Sampling Data'!J501</f>
        <v>0</v>
      </c>
      <c r="L501" s="19">
        <f>'Sampling Data'!K501</f>
        <v>0</v>
      </c>
      <c r="M501" s="19">
        <f>'Sampling Data'!L501</f>
        <v>0</v>
      </c>
      <c r="N501" s="19">
        <f>'Sampling Data'!M501</f>
        <v>0</v>
      </c>
      <c r="O501" s="18">
        <f>'Sampling Data'!N501</f>
        <v>0</v>
      </c>
      <c r="P501" s="18">
        <f>'Sampling Data'!O501</f>
        <v>0</v>
      </c>
      <c r="Q501" s="18">
        <f>'Sampling Data'!P501</f>
        <v>10</v>
      </c>
      <c r="R501" s="18">
        <f>'Sampling Data'!AJ501</f>
        <v>0</v>
      </c>
      <c r="S501" s="112"/>
      <c r="T501" s="112"/>
      <c r="U501" s="113"/>
      <c r="V501" s="113"/>
      <c r="W501" s="112"/>
      <c r="X501" s="112"/>
      <c r="Y501" s="112"/>
      <c r="Z501" s="112"/>
      <c r="AA501" s="15"/>
      <c r="AB501" s="15"/>
      <c r="AC501" s="15"/>
      <c r="AD501" s="15"/>
      <c r="AE501" s="114" t="str">
        <f>IF(NOT(ISBLANK(Audit[[#This Row],[Audit Winning Candidate]])), Audit[[#This Row],[Audit Winning Candidate]]-Audit[[#This Row],[Winning Candidate]], "")</f>
        <v/>
      </c>
      <c r="AF501" s="18" t="str">
        <f>IF(NOT(ISBLANK(Audit[[#This Row],[Audit Losing Candidate]])), Audit[[#This Row],[Audit Losing Candidate]]-Audit[[#This Row],[Losing Candidate]], "")</f>
        <v/>
      </c>
      <c r="AG501" s="18" t="str">
        <f>IF(NOT(ISBLANK(Audit[[#This Row],[Audit Candidate 3]])), Audit[[#This Row],[Audit Candidate 3]]-Audit[[#This Row],[Candidate 3]], "")</f>
        <v/>
      </c>
      <c r="AH501" s="18" t="str">
        <f>IF(NOT(ISBLANK(Audit[[#This Row],[Audit Candidate 4]])),Audit[[#This Row],[Audit Candidate 4]]-Audit[[#This Row],[Candidate 4]], "")</f>
        <v/>
      </c>
      <c r="AI501" s="18" t="str">
        <f>IF(NOT(ISBLANK(Audit[[#This Row],[Audit Candidate 5]])), Audit[[#This Row],[Audit Candidate 5]]-Audit[[#This Row],[Candidate 5]], "")</f>
        <v/>
      </c>
      <c r="AJ501" s="18" t="str">
        <f>IF(NOT(ISBLANK(Audit[[#This Row],[Audit Candidate 6]])), Audit[[#This Row],[Audit Candidate 6]]-Audit[[#This Row],[Candidate 6]], "")</f>
        <v/>
      </c>
      <c r="AK501" s="18" t="str">
        <f>IF(NOT(ISBLANK(Audit[[#This Row],[Audit Candidate 7]])), Audit[[#This Row],[Audit Candidate 7]]-Audit[[#This Row],[Candidate 7]], "")</f>
        <v/>
      </c>
      <c r="AL501" s="18" t="str">
        <f>IF(NOT(ISBLANK(Audit[[#This Row],[Audit Candidate 8]])), Audit[[#This Row],[Audit Candidate 8]]-Audit[[#This Row],[Candidate 8]], "")</f>
        <v/>
      </c>
      <c r="AM501" s="18" t="str">
        <f>IF(NOT(ISBLANK(Audit[[#This Row],[Audit Candidate 9]])), Audit[[#This Row],[Audit Candidate 9]]-Audit[[#This Row],[Candidate 9]], "")</f>
        <v/>
      </c>
      <c r="AN501" s="18" t="str">
        <f>IF(NOT(ISBLANK(Audit[[#This Row],[Audit Candidate 10]])), Audit[[#This Row],[Audit Candidate 10]]-Audit[[#This Row],[Candidate 10]], "")</f>
        <v/>
      </c>
      <c r="AO501" s="18" t="str">
        <f>IF(NOT(ISBLANK(Audit[[#This Row],[Audit Candidate 11]])), Audit[[#This Row],[Audit Candidate 11]]-Audit[[#This Row],[Candidate 11]], "")</f>
        <v/>
      </c>
      <c r="AP501" s="18" t="str">
        <f>IF(NOT(ISBLANK(Audit[[#This Row],[Audit Candidate 12]])), Audit[[#This Row],[Audit Candidate 12]]-Audit[[#This Row],[Candidate 12]], "")</f>
        <v/>
      </c>
      <c r="AQ501" s="18">
        <f>SUMIF(Audit[[#This Row],[Difference Winner]:[Difference Candidate 12]], "&gt;0")</f>
        <v>0</v>
      </c>
      <c r="AR501" s="18">
        <f>SUM(Audit[[#This Row],[Difference Winner]:[Difference Candidate 12]])</f>
        <v>0</v>
      </c>
      <c r="AS501" s="18">
        <f>IF(Audit[[#This Row],[Times p Drawn - With Replacement]]&gt;0, IF(Audit[[#This Row],[Canceled Differences]]&lt;0, Audit[[#This Row],[Max Differences]]+ABS(Audit[[#This Row],[Canceled Differences]]), Audit[[#This Row],[Max Differences]]), 0)</f>
        <v>0</v>
      </c>
      <c r="AT501" s="18">
        <f>'Sampling Data'!AB501</f>
        <v>6.2819989320601812E-4</v>
      </c>
      <c r="AU501" s="18">
        <f>IF(
      SUM(Audit[[#This Row],[Audit Losing Candidate]:[Audit Candidate 12]])
      &lt;&gt;0,
      (Audit[[#This Row],[Winning Candidate]]-Audit[[#This Row],[Losing Candidate]]-(Audit[[#This Row],[Audit Winning Candidate]]-Audit[[#This Row],[Audit Losing Candidate]]))/(Audit[[#Totals],[Winning Candidate]]-Audit[[#Totals],[Losing Candidate]]),
      0
)</f>
        <v>0</v>
      </c>
      <c r="AV5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8">
        <f>IF(Audit[[#This Row],[Max Relative Error (ep)]] = 0, 0, Audit[[#This Row],[Max Relative Error (ep)]]/Audit[[#This Row],[Error Bound (up) - Max. possible relative overstatement]])</f>
        <v>0</v>
      </c>
      <c r="BH5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1" s="18">
        <f t="shared" si="8"/>
        <v>1</v>
      </c>
      <c r="BJ501" s="18">
        <f>PRODUCT($BI$5:BI501)</f>
        <v>0.32656797278968008</v>
      </c>
      <c r="BK501" s="20">
        <f>1 - Audit[[#This Row],[K-M P Value]]</f>
        <v>0.67343202721031992</v>
      </c>
      <c r="BL501" s="18" t="str">
        <f>IF(Audit[[#This Row],[K-M P Value]]&gt;1-'General Info'!$B$12,"Continue", "Stop")</f>
        <v>Continue</v>
      </c>
      <c r="BM501" s="23" t="b">
        <f>IF(Audit[[#This Row],[Status - Continue or stop audit]] = "Continue", TRUE, IF(BL500 = "Continue", TRUE, FALSE))</f>
        <v>1</v>
      </c>
      <c r="BN501" s="23"/>
    </row>
    <row r="502" spans="1:66" ht="15" hidden="1" customHeight="1" x14ac:dyDescent="0.35">
      <c r="A502" s="18" t="str">
        <f>'Sampling Data'!AI502</f>
        <v/>
      </c>
      <c r="B502" s="18" t="str">
        <f>'Sampling Data'!A502</f>
        <v>8531 ST BN 3-A   (AV)</v>
      </c>
      <c r="C502" s="18">
        <f>'Sampling Data'!B502</f>
        <v>9</v>
      </c>
      <c r="D502" s="18">
        <f>'Sampling Data'!C502</f>
        <v>1</v>
      </c>
      <c r="E502" s="19">
        <f>'Sampling Data'!D502</f>
        <v>0</v>
      </c>
      <c r="F502" s="19">
        <f>'Sampling Data'!E502</f>
        <v>0</v>
      </c>
      <c r="G502" s="19">
        <f>'Sampling Data'!F502</f>
        <v>0</v>
      </c>
      <c r="H502" s="19">
        <f>'Sampling Data'!G502</f>
        <v>0</v>
      </c>
      <c r="I502" s="19">
        <f>'Sampling Data'!H502</f>
        <v>0</v>
      </c>
      <c r="J502" s="19">
        <f>'Sampling Data'!I502</f>
        <v>0</v>
      </c>
      <c r="K502" s="19">
        <f>'Sampling Data'!J502</f>
        <v>0</v>
      </c>
      <c r="L502" s="19">
        <f>'Sampling Data'!K502</f>
        <v>0</v>
      </c>
      <c r="M502" s="19">
        <f>'Sampling Data'!L502</f>
        <v>0</v>
      </c>
      <c r="N502" s="19">
        <f>'Sampling Data'!M502</f>
        <v>0</v>
      </c>
      <c r="O502" s="18">
        <f>'Sampling Data'!N502</f>
        <v>0</v>
      </c>
      <c r="P502" s="18">
        <f>'Sampling Data'!O502</f>
        <v>0</v>
      </c>
      <c r="Q502" s="18">
        <f>'Sampling Data'!P502</f>
        <v>10</v>
      </c>
      <c r="R502" s="18">
        <f>'Sampling Data'!AJ502</f>
        <v>0</v>
      </c>
      <c r="S502" s="112"/>
      <c r="T502" s="112"/>
      <c r="U502" s="113"/>
      <c r="V502" s="113"/>
      <c r="W502" s="112"/>
      <c r="X502" s="112"/>
      <c r="Y502" s="112"/>
      <c r="Z502" s="112"/>
      <c r="AA502" s="15"/>
      <c r="AB502" s="15"/>
      <c r="AC502" s="15"/>
      <c r="AD502" s="15"/>
      <c r="AE502" s="114" t="str">
        <f>IF(NOT(ISBLANK(Audit[[#This Row],[Audit Winning Candidate]])), Audit[[#This Row],[Audit Winning Candidate]]-Audit[[#This Row],[Winning Candidate]], "")</f>
        <v/>
      </c>
      <c r="AF502" s="18" t="str">
        <f>IF(NOT(ISBLANK(Audit[[#This Row],[Audit Losing Candidate]])), Audit[[#This Row],[Audit Losing Candidate]]-Audit[[#This Row],[Losing Candidate]], "")</f>
        <v/>
      </c>
      <c r="AG502" s="18" t="str">
        <f>IF(NOT(ISBLANK(Audit[[#This Row],[Audit Candidate 3]])), Audit[[#This Row],[Audit Candidate 3]]-Audit[[#This Row],[Candidate 3]], "")</f>
        <v/>
      </c>
      <c r="AH502" s="18" t="str">
        <f>IF(NOT(ISBLANK(Audit[[#This Row],[Audit Candidate 4]])),Audit[[#This Row],[Audit Candidate 4]]-Audit[[#This Row],[Candidate 4]], "")</f>
        <v/>
      </c>
      <c r="AI502" s="18" t="str">
        <f>IF(NOT(ISBLANK(Audit[[#This Row],[Audit Candidate 5]])), Audit[[#This Row],[Audit Candidate 5]]-Audit[[#This Row],[Candidate 5]], "")</f>
        <v/>
      </c>
      <c r="AJ502" s="18" t="str">
        <f>IF(NOT(ISBLANK(Audit[[#This Row],[Audit Candidate 6]])), Audit[[#This Row],[Audit Candidate 6]]-Audit[[#This Row],[Candidate 6]], "")</f>
        <v/>
      </c>
      <c r="AK502" s="18" t="str">
        <f>IF(NOT(ISBLANK(Audit[[#This Row],[Audit Candidate 7]])), Audit[[#This Row],[Audit Candidate 7]]-Audit[[#This Row],[Candidate 7]], "")</f>
        <v/>
      </c>
      <c r="AL502" s="18" t="str">
        <f>IF(NOT(ISBLANK(Audit[[#This Row],[Audit Candidate 8]])), Audit[[#This Row],[Audit Candidate 8]]-Audit[[#This Row],[Candidate 8]], "")</f>
        <v/>
      </c>
      <c r="AM502" s="18" t="str">
        <f>IF(NOT(ISBLANK(Audit[[#This Row],[Audit Candidate 9]])), Audit[[#This Row],[Audit Candidate 9]]-Audit[[#This Row],[Candidate 9]], "")</f>
        <v/>
      </c>
      <c r="AN502" s="18" t="str">
        <f>IF(NOT(ISBLANK(Audit[[#This Row],[Audit Candidate 10]])), Audit[[#This Row],[Audit Candidate 10]]-Audit[[#This Row],[Candidate 10]], "")</f>
        <v/>
      </c>
      <c r="AO502" s="18" t="str">
        <f>IF(NOT(ISBLANK(Audit[[#This Row],[Audit Candidate 11]])), Audit[[#This Row],[Audit Candidate 11]]-Audit[[#This Row],[Candidate 11]], "")</f>
        <v/>
      </c>
      <c r="AP502" s="18" t="str">
        <f>IF(NOT(ISBLANK(Audit[[#This Row],[Audit Candidate 12]])), Audit[[#This Row],[Audit Candidate 12]]-Audit[[#This Row],[Candidate 12]], "")</f>
        <v/>
      </c>
      <c r="AQ502" s="18">
        <f>SUMIF(Audit[[#This Row],[Difference Winner]:[Difference Candidate 12]], "&gt;0")</f>
        <v>0</v>
      </c>
      <c r="AR502" s="18">
        <f>SUM(Audit[[#This Row],[Difference Winner]:[Difference Candidate 12]])</f>
        <v>0</v>
      </c>
      <c r="AS502" s="18">
        <f>IF(Audit[[#This Row],[Times p Drawn - With Replacement]]&gt;0, IF(Audit[[#This Row],[Canceled Differences]]&lt;0, Audit[[#This Row],[Max Differences]]+ABS(Audit[[#This Row],[Canceled Differences]]), Audit[[#This Row],[Max Differences]]), 0)</f>
        <v>0</v>
      </c>
      <c r="AT502" s="18">
        <f>'Sampling Data'!AB502</f>
        <v>5.6537990388541635E-4</v>
      </c>
      <c r="AU502" s="18">
        <f>IF(
      SUM(Audit[[#This Row],[Audit Losing Candidate]:[Audit Candidate 12]])
      &lt;&gt;0,
      (Audit[[#This Row],[Winning Candidate]]-Audit[[#This Row],[Losing Candidate]]-(Audit[[#This Row],[Audit Winning Candidate]]-Audit[[#This Row],[Audit Losing Candidate]]))/(Audit[[#Totals],[Winning Candidate]]-Audit[[#Totals],[Losing Candidate]]),
      0
)</f>
        <v>0</v>
      </c>
      <c r="AV5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8">
        <f>IF(Audit[[#This Row],[Max Relative Error (ep)]] = 0, 0, Audit[[#This Row],[Max Relative Error (ep)]]/Audit[[#This Row],[Error Bound (up) - Max. possible relative overstatement]])</f>
        <v>0</v>
      </c>
      <c r="BH5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2" s="18">
        <f t="shared" si="8"/>
        <v>1</v>
      </c>
      <c r="BJ502" s="18">
        <f>PRODUCT($BI$5:BI502)</f>
        <v>0.32656797278968008</v>
      </c>
      <c r="BK502" s="20">
        <f>1 - Audit[[#This Row],[K-M P Value]]</f>
        <v>0.67343202721031992</v>
      </c>
      <c r="BL502" s="18" t="str">
        <f>IF(Audit[[#This Row],[K-M P Value]]&gt;1-'General Info'!$B$12,"Continue", "Stop")</f>
        <v>Continue</v>
      </c>
      <c r="BM502" s="23" t="b">
        <f>IF(Audit[[#This Row],[Status - Continue or stop audit]] = "Continue", TRUE, IF(BL501 = "Continue", TRUE, FALSE))</f>
        <v>1</v>
      </c>
      <c r="BN502" s="23"/>
    </row>
    <row r="503" spans="1:66" ht="15" hidden="1" customHeight="1" x14ac:dyDescent="0.35">
      <c r="A503" s="18" t="str">
        <f>'Sampling Data'!AI503</f>
        <v/>
      </c>
      <c r="B503" s="18" t="str">
        <f>'Sampling Data'!A503</f>
        <v>8541 ST BN 4-A   (AV)</v>
      </c>
      <c r="C503" s="18">
        <f>'Sampling Data'!B503</f>
        <v>1</v>
      </c>
      <c r="D503" s="18">
        <f>'Sampling Data'!C503</f>
        <v>0</v>
      </c>
      <c r="E503" s="19">
        <f>'Sampling Data'!D503</f>
        <v>0</v>
      </c>
      <c r="F503" s="19">
        <f>'Sampling Data'!E503</f>
        <v>0</v>
      </c>
      <c r="G503" s="19">
        <f>'Sampling Data'!F503</f>
        <v>0</v>
      </c>
      <c r="H503" s="19">
        <f>'Sampling Data'!G503</f>
        <v>0</v>
      </c>
      <c r="I503" s="19">
        <f>'Sampling Data'!H503</f>
        <v>0</v>
      </c>
      <c r="J503" s="19">
        <f>'Sampling Data'!I503</f>
        <v>0</v>
      </c>
      <c r="K503" s="19">
        <f>'Sampling Data'!J503</f>
        <v>0</v>
      </c>
      <c r="L503" s="19">
        <f>'Sampling Data'!K503</f>
        <v>0</v>
      </c>
      <c r="M503" s="19">
        <f>'Sampling Data'!L503</f>
        <v>0</v>
      </c>
      <c r="N503" s="19">
        <f>'Sampling Data'!M503</f>
        <v>0</v>
      </c>
      <c r="O503" s="18">
        <f>'Sampling Data'!N503</f>
        <v>0</v>
      </c>
      <c r="P503" s="18">
        <f>'Sampling Data'!O503</f>
        <v>0</v>
      </c>
      <c r="Q503" s="18">
        <f>'Sampling Data'!P503</f>
        <v>1</v>
      </c>
      <c r="R503" s="18">
        <f>'Sampling Data'!AJ503</f>
        <v>0</v>
      </c>
      <c r="S503" s="112"/>
      <c r="T503" s="112"/>
      <c r="U503" s="113"/>
      <c r="V503" s="113"/>
      <c r="W503" s="112"/>
      <c r="X503" s="112"/>
      <c r="Y503" s="112"/>
      <c r="Z503" s="112"/>
      <c r="AA503" s="15"/>
      <c r="AB503" s="15"/>
      <c r="AC503" s="15"/>
      <c r="AD503" s="15"/>
      <c r="AE503" s="114" t="str">
        <f>IF(NOT(ISBLANK(Audit[[#This Row],[Audit Winning Candidate]])), Audit[[#This Row],[Audit Winning Candidate]]-Audit[[#This Row],[Winning Candidate]], "")</f>
        <v/>
      </c>
      <c r="AF503" s="18" t="str">
        <f>IF(NOT(ISBLANK(Audit[[#This Row],[Audit Losing Candidate]])), Audit[[#This Row],[Audit Losing Candidate]]-Audit[[#This Row],[Losing Candidate]], "")</f>
        <v/>
      </c>
      <c r="AG503" s="18" t="str">
        <f>IF(NOT(ISBLANK(Audit[[#This Row],[Audit Candidate 3]])), Audit[[#This Row],[Audit Candidate 3]]-Audit[[#This Row],[Candidate 3]], "")</f>
        <v/>
      </c>
      <c r="AH503" s="18" t="str">
        <f>IF(NOT(ISBLANK(Audit[[#This Row],[Audit Candidate 4]])),Audit[[#This Row],[Audit Candidate 4]]-Audit[[#This Row],[Candidate 4]], "")</f>
        <v/>
      </c>
      <c r="AI503" s="18" t="str">
        <f>IF(NOT(ISBLANK(Audit[[#This Row],[Audit Candidate 5]])), Audit[[#This Row],[Audit Candidate 5]]-Audit[[#This Row],[Candidate 5]], "")</f>
        <v/>
      </c>
      <c r="AJ503" s="18" t="str">
        <f>IF(NOT(ISBLANK(Audit[[#This Row],[Audit Candidate 6]])), Audit[[#This Row],[Audit Candidate 6]]-Audit[[#This Row],[Candidate 6]], "")</f>
        <v/>
      </c>
      <c r="AK503" s="18" t="str">
        <f>IF(NOT(ISBLANK(Audit[[#This Row],[Audit Candidate 7]])), Audit[[#This Row],[Audit Candidate 7]]-Audit[[#This Row],[Candidate 7]], "")</f>
        <v/>
      </c>
      <c r="AL503" s="18" t="str">
        <f>IF(NOT(ISBLANK(Audit[[#This Row],[Audit Candidate 8]])), Audit[[#This Row],[Audit Candidate 8]]-Audit[[#This Row],[Candidate 8]], "")</f>
        <v/>
      </c>
      <c r="AM503" s="18" t="str">
        <f>IF(NOT(ISBLANK(Audit[[#This Row],[Audit Candidate 9]])), Audit[[#This Row],[Audit Candidate 9]]-Audit[[#This Row],[Candidate 9]], "")</f>
        <v/>
      </c>
      <c r="AN503" s="18" t="str">
        <f>IF(NOT(ISBLANK(Audit[[#This Row],[Audit Candidate 10]])), Audit[[#This Row],[Audit Candidate 10]]-Audit[[#This Row],[Candidate 10]], "")</f>
        <v/>
      </c>
      <c r="AO503" s="18" t="str">
        <f>IF(NOT(ISBLANK(Audit[[#This Row],[Audit Candidate 11]])), Audit[[#This Row],[Audit Candidate 11]]-Audit[[#This Row],[Candidate 11]], "")</f>
        <v/>
      </c>
      <c r="AP503" s="18" t="str">
        <f>IF(NOT(ISBLANK(Audit[[#This Row],[Audit Candidate 12]])), Audit[[#This Row],[Audit Candidate 12]]-Audit[[#This Row],[Candidate 12]], "")</f>
        <v/>
      </c>
      <c r="AQ503" s="18">
        <f>SUMIF(Audit[[#This Row],[Difference Winner]:[Difference Candidate 12]], "&gt;0")</f>
        <v>0</v>
      </c>
      <c r="AR503" s="18">
        <f>SUM(Audit[[#This Row],[Difference Winner]:[Difference Candidate 12]])</f>
        <v>0</v>
      </c>
      <c r="AS503" s="18">
        <f>IF(Audit[[#This Row],[Times p Drawn - With Replacement]]&gt;0, IF(Audit[[#This Row],[Canceled Differences]]&lt;0, Audit[[#This Row],[Max Differences]]+ABS(Audit[[#This Row],[Canceled Differences]]), Audit[[#This Row],[Max Differences]]), 0)</f>
        <v>0</v>
      </c>
      <c r="AT503" s="18">
        <f>'Sampling Data'!AB503</f>
        <v>6.2819989320601809E-5</v>
      </c>
      <c r="AU503" s="18">
        <f>IF(
      SUM(Audit[[#This Row],[Audit Losing Candidate]:[Audit Candidate 12]])
      &lt;&gt;0,
      (Audit[[#This Row],[Winning Candidate]]-Audit[[#This Row],[Losing Candidate]]-(Audit[[#This Row],[Audit Winning Candidate]]-Audit[[#This Row],[Audit Losing Candidate]]))/(Audit[[#Totals],[Winning Candidate]]-Audit[[#Totals],[Losing Candidate]]),
      0
)</f>
        <v>0</v>
      </c>
      <c r="AV5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8">
        <f>IF(Audit[[#This Row],[Max Relative Error (ep)]] = 0, 0, Audit[[#This Row],[Max Relative Error (ep)]]/Audit[[#This Row],[Error Bound (up) - Max. possible relative overstatement]])</f>
        <v>0</v>
      </c>
      <c r="BH5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3" s="18">
        <f t="shared" si="8"/>
        <v>1</v>
      </c>
      <c r="BJ503" s="18">
        <f>PRODUCT($BI$5:BI503)</f>
        <v>0.32656797278968008</v>
      </c>
      <c r="BK503" s="20">
        <f>1 - Audit[[#This Row],[K-M P Value]]</f>
        <v>0.67343202721031992</v>
      </c>
      <c r="BL503" s="18" t="str">
        <f>IF(Audit[[#This Row],[K-M P Value]]&gt;1-'General Info'!$B$12,"Continue", "Stop")</f>
        <v>Continue</v>
      </c>
      <c r="BM503" s="23" t="b">
        <f>IF(Audit[[#This Row],[Status - Continue or stop audit]] = "Continue", TRUE, IF(BL502 = "Continue", TRUE, FALSE))</f>
        <v>1</v>
      </c>
      <c r="BN503" s="23"/>
    </row>
    <row r="504" spans="1:66" ht="15" hidden="1" customHeight="1" x14ac:dyDescent="0.35">
      <c r="A504" s="18" t="str">
        <f>'Sampling Data'!AI504</f>
        <v/>
      </c>
      <c r="B504" s="18" t="str">
        <f>'Sampling Data'!A504</f>
        <v>8601 SILVT A   (AV)</v>
      </c>
      <c r="C504" s="18">
        <f>'Sampling Data'!B504</f>
        <v>9</v>
      </c>
      <c r="D504" s="18">
        <f>'Sampling Data'!C504</f>
        <v>0</v>
      </c>
      <c r="E504" s="19">
        <f>'Sampling Data'!D504</f>
        <v>0</v>
      </c>
      <c r="F504" s="19">
        <f>'Sampling Data'!E504</f>
        <v>0</v>
      </c>
      <c r="G504" s="19">
        <f>'Sampling Data'!F504</f>
        <v>0</v>
      </c>
      <c r="H504" s="19">
        <f>'Sampling Data'!G504</f>
        <v>0</v>
      </c>
      <c r="I504" s="19">
        <f>'Sampling Data'!H504</f>
        <v>0</v>
      </c>
      <c r="J504" s="19">
        <f>'Sampling Data'!I504</f>
        <v>0</v>
      </c>
      <c r="K504" s="19">
        <f>'Sampling Data'!J504</f>
        <v>0</v>
      </c>
      <c r="L504" s="19">
        <f>'Sampling Data'!K504</f>
        <v>0</v>
      </c>
      <c r="M504" s="19">
        <f>'Sampling Data'!L504</f>
        <v>0</v>
      </c>
      <c r="N504" s="19">
        <f>'Sampling Data'!M504</f>
        <v>0</v>
      </c>
      <c r="O504" s="18">
        <f>'Sampling Data'!N504</f>
        <v>0</v>
      </c>
      <c r="P504" s="18">
        <f>'Sampling Data'!O504</f>
        <v>0</v>
      </c>
      <c r="Q504" s="18">
        <f>'Sampling Data'!P504</f>
        <v>9</v>
      </c>
      <c r="R504" s="18">
        <f>'Sampling Data'!AJ504</f>
        <v>0</v>
      </c>
      <c r="S504" s="112"/>
      <c r="T504" s="112"/>
      <c r="U504" s="113"/>
      <c r="V504" s="113"/>
      <c r="W504" s="112"/>
      <c r="X504" s="112"/>
      <c r="Y504" s="112"/>
      <c r="Z504" s="112"/>
      <c r="AA504" s="15"/>
      <c r="AB504" s="15"/>
      <c r="AC504" s="15"/>
      <c r="AD504" s="15"/>
      <c r="AE504" s="114" t="str">
        <f>IF(NOT(ISBLANK(Audit[[#This Row],[Audit Winning Candidate]])), Audit[[#This Row],[Audit Winning Candidate]]-Audit[[#This Row],[Winning Candidate]], "")</f>
        <v/>
      </c>
      <c r="AF504" s="18" t="str">
        <f>IF(NOT(ISBLANK(Audit[[#This Row],[Audit Losing Candidate]])), Audit[[#This Row],[Audit Losing Candidate]]-Audit[[#This Row],[Losing Candidate]], "")</f>
        <v/>
      </c>
      <c r="AG504" s="18" t="str">
        <f>IF(NOT(ISBLANK(Audit[[#This Row],[Audit Candidate 3]])), Audit[[#This Row],[Audit Candidate 3]]-Audit[[#This Row],[Candidate 3]], "")</f>
        <v/>
      </c>
      <c r="AH504" s="18" t="str">
        <f>IF(NOT(ISBLANK(Audit[[#This Row],[Audit Candidate 4]])),Audit[[#This Row],[Audit Candidate 4]]-Audit[[#This Row],[Candidate 4]], "")</f>
        <v/>
      </c>
      <c r="AI504" s="18" t="str">
        <f>IF(NOT(ISBLANK(Audit[[#This Row],[Audit Candidate 5]])), Audit[[#This Row],[Audit Candidate 5]]-Audit[[#This Row],[Candidate 5]], "")</f>
        <v/>
      </c>
      <c r="AJ504" s="18" t="str">
        <f>IF(NOT(ISBLANK(Audit[[#This Row],[Audit Candidate 6]])), Audit[[#This Row],[Audit Candidate 6]]-Audit[[#This Row],[Candidate 6]], "")</f>
        <v/>
      </c>
      <c r="AK504" s="18" t="str">
        <f>IF(NOT(ISBLANK(Audit[[#This Row],[Audit Candidate 7]])), Audit[[#This Row],[Audit Candidate 7]]-Audit[[#This Row],[Candidate 7]], "")</f>
        <v/>
      </c>
      <c r="AL504" s="18" t="str">
        <f>IF(NOT(ISBLANK(Audit[[#This Row],[Audit Candidate 8]])), Audit[[#This Row],[Audit Candidate 8]]-Audit[[#This Row],[Candidate 8]], "")</f>
        <v/>
      </c>
      <c r="AM504" s="18" t="str">
        <f>IF(NOT(ISBLANK(Audit[[#This Row],[Audit Candidate 9]])), Audit[[#This Row],[Audit Candidate 9]]-Audit[[#This Row],[Candidate 9]], "")</f>
        <v/>
      </c>
      <c r="AN504" s="18" t="str">
        <f>IF(NOT(ISBLANK(Audit[[#This Row],[Audit Candidate 10]])), Audit[[#This Row],[Audit Candidate 10]]-Audit[[#This Row],[Candidate 10]], "")</f>
        <v/>
      </c>
      <c r="AO504" s="18" t="str">
        <f>IF(NOT(ISBLANK(Audit[[#This Row],[Audit Candidate 11]])), Audit[[#This Row],[Audit Candidate 11]]-Audit[[#This Row],[Candidate 11]], "")</f>
        <v/>
      </c>
      <c r="AP504" s="18" t="str">
        <f>IF(NOT(ISBLANK(Audit[[#This Row],[Audit Candidate 12]])), Audit[[#This Row],[Audit Candidate 12]]-Audit[[#This Row],[Candidate 12]], "")</f>
        <v/>
      </c>
      <c r="AQ504" s="18">
        <f>SUMIF(Audit[[#This Row],[Difference Winner]:[Difference Candidate 12]], "&gt;0")</f>
        <v>0</v>
      </c>
      <c r="AR504" s="18">
        <f>SUM(Audit[[#This Row],[Difference Winner]:[Difference Candidate 12]])</f>
        <v>0</v>
      </c>
      <c r="AS504" s="18">
        <f>IF(Audit[[#This Row],[Times p Drawn - With Replacement]]&gt;0, IF(Audit[[#This Row],[Canceled Differences]]&lt;0, Audit[[#This Row],[Max Differences]]+ABS(Audit[[#This Row],[Canceled Differences]]), Audit[[#This Row],[Max Differences]]), 0)</f>
        <v>0</v>
      </c>
      <c r="AT504" s="18">
        <f>'Sampling Data'!AB504</f>
        <v>5.6537990388541635E-4</v>
      </c>
      <c r="AU504" s="18">
        <f>IF(
      SUM(Audit[[#This Row],[Audit Losing Candidate]:[Audit Candidate 12]])
      &lt;&gt;0,
      (Audit[[#This Row],[Winning Candidate]]-Audit[[#This Row],[Losing Candidate]]-(Audit[[#This Row],[Audit Winning Candidate]]-Audit[[#This Row],[Audit Losing Candidate]]))/(Audit[[#Totals],[Winning Candidate]]-Audit[[#Totals],[Losing Candidate]]),
      0
)</f>
        <v>0</v>
      </c>
      <c r="AV5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8">
        <f>IF(Audit[[#This Row],[Max Relative Error (ep)]] = 0, 0, Audit[[#This Row],[Max Relative Error (ep)]]/Audit[[#This Row],[Error Bound (up) - Max. possible relative overstatement]])</f>
        <v>0</v>
      </c>
      <c r="BH5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4" s="18">
        <f t="shared" si="8"/>
        <v>1</v>
      </c>
      <c r="BJ504" s="18">
        <f>PRODUCT($BI$5:BI504)</f>
        <v>0.32656797278968008</v>
      </c>
      <c r="BK504" s="20">
        <f>1 - Audit[[#This Row],[K-M P Value]]</f>
        <v>0.67343202721031992</v>
      </c>
      <c r="BL504" s="18" t="str">
        <f>IF(Audit[[#This Row],[K-M P Value]]&gt;1-'General Info'!$B$12,"Continue", "Stop")</f>
        <v>Continue</v>
      </c>
      <c r="BM504" s="23" t="b">
        <f>IF(Audit[[#This Row],[Status - Continue or stop audit]] = "Continue", TRUE, IF(BL503 = "Continue", TRUE, FALSE))</f>
        <v>1</v>
      </c>
      <c r="BN504" s="23"/>
    </row>
    <row r="505" spans="1:66" ht="15" hidden="1" customHeight="1" x14ac:dyDescent="0.35">
      <c r="A505" s="18" t="str">
        <f>'Sampling Data'!AI505</f>
        <v/>
      </c>
      <c r="B505" s="18" t="str">
        <f>'Sampling Data'!A505</f>
        <v>8602 SILVT B   (AV)</v>
      </c>
      <c r="C505" s="18">
        <f>'Sampling Data'!B505</f>
        <v>0</v>
      </c>
      <c r="D505" s="18">
        <f>'Sampling Data'!C505</f>
        <v>1</v>
      </c>
      <c r="E505" s="19">
        <f>'Sampling Data'!D505</f>
        <v>0</v>
      </c>
      <c r="F505" s="19">
        <f>'Sampling Data'!E505</f>
        <v>0</v>
      </c>
      <c r="G505" s="19">
        <f>'Sampling Data'!F505</f>
        <v>0</v>
      </c>
      <c r="H505" s="19">
        <f>'Sampling Data'!G505</f>
        <v>0</v>
      </c>
      <c r="I505" s="19">
        <f>'Sampling Data'!H505</f>
        <v>0</v>
      </c>
      <c r="J505" s="19">
        <f>'Sampling Data'!I505</f>
        <v>0</v>
      </c>
      <c r="K505" s="19">
        <f>'Sampling Data'!J505</f>
        <v>0</v>
      </c>
      <c r="L505" s="19">
        <f>'Sampling Data'!K505</f>
        <v>0</v>
      </c>
      <c r="M505" s="19">
        <f>'Sampling Data'!L505</f>
        <v>0</v>
      </c>
      <c r="N505" s="19">
        <f>'Sampling Data'!M505</f>
        <v>0</v>
      </c>
      <c r="O505" s="18">
        <f>'Sampling Data'!N505</f>
        <v>0</v>
      </c>
      <c r="P505" s="18">
        <f>'Sampling Data'!O505</f>
        <v>0</v>
      </c>
      <c r="Q505" s="18">
        <f>'Sampling Data'!P505</f>
        <v>1</v>
      </c>
      <c r="R505" s="18">
        <f>'Sampling Data'!AJ505</f>
        <v>0</v>
      </c>
      <c r="S505" s="112"/>
      <c r="T505" s="112"/>
      <c r="U505" s="113"/>
      <c r="V505" s="113"/>
      <c r="W505" s="112"/>
      <c r="X505" s="112"/>
      <c r="Y505" s="112"/>
      <c r="Z505" s="112"/>
      <c r="AA505" s="15"/>
      <c r="AB505" s="15"/>
      <c r="AC505" s="15"/>
      <c r="AD505" s="15"/>
      <c r="AE505" s="114" t="str">
        <f>IF(NOT(ISBLANK(Audit[[#This Row],[Audit Winning Candidate]])), Audit[[#This Row],[Audit Winning Candidate]]-Audit[[#This Row],[Winning Candidate]], "")</f>
        <v/>
      </c>
      <c r="AF505" s="18" t="str">
        <f>IF(NOT(ISBLANK(Audit[[#This Row],[Audit Losing Candidate]])), Audit[[#This Row],[Audit Losing Candidate]]-Audit[[#This Row],[Losing Candidate]], "")</f>
        <v/>
      </c>
      <c r="AG505" s="18" t="str">
        <f>IF(NOT(ISBLANK(Audit[[#This Row],[Audit Candidate 3]])), Audit[[#This Row],[Audit Candidate 3]]-Audit[[#This Row],[Candidate 3]], "")</f>
        <v/>
      </c>
      <c r="AH505" s="18" t="str">
        <f>IF(NOT(ISBLANK(Audit[[#This Row],[Audit Candidate 4]])),Audit[[#This Row],[Audit Candidate 4]]-Audit[[#This Row],[Candidate 4]], "")</f>
        <v/>
      </c>
      <c r="AI505" s="18" t="str">
        <f>IF(NOT(ISBLANK(Audit[[#This Row],[Audit Candidate 5]])), Audit[[#This Row],[Audit Candidate 5]]-Audit[[#This Row],[Candidate 5]], "")</f>
        <v/>
      </c>
      <c r="AJ505" s="18" t="str">
        <f>IF(NOT(ISBLANK(Audit[[#This Row],[Audit Candidate 6]])), Audit[[#This Row],[Audit Candidate 6]]-Audit[[#This Row],[Candidate 6]], "")</f>
        <v/>
      </c>
      <c r="AK505" s="18" t="str">
        <f>IF(NOT(ISBLANK(Audit[[#This Row],[Audit Candidate 7]])), Audit[[#This Row],[Audit Candidate 7]]-Audit[[#This Row],[Candidate 7]], "")</f>
        <v/>
      </c>
      <c r="AL505" s="18" t="str">
        <f>IF(NOT(ISBLANK(Audit[[#This Row],[Audit Candidate 8]])), Audit[[#This Row],[Audit Candidate 8]]-Audit[[#This Row],[Candidate 8]], "")</f>
        <v/>
      </c>
      <c r="AM505" s="18" t="str">
        <f>IF(NOT(ISBLANK(Audit[[#This Row],[Audit Candidate 9]])), Audit[[#This Row],[Audit Candidate 9]]-Audit[[#This Row],[Candidate 9]], "")</f>
        <v/>
      </c>
      <c r="AN505" s="18" t="str">
        <f>IF(NOT(ISBLANK(Audit[[#This Row],[Audit Candidate 10]])), Audit[[#This Row],[Audit Candidate 10]]-Audit[[#This Row],[Candidate 10]], "")</f>
        <v/>
      </c>
      <c r="AO505" s="18" t="str">
        <f>IF(NOT(ISBLANK(Audit[[#This Row],[Audit Candidate 11]])), Audit[[#This Row],[Audit Candidate 11]]-Audit[[#This Row],[Candidate 11]], "")</f>
        <v/>
      </c>
      <c r="AP505" s="18" t="str">
        <f>IF(NOT(ISBLANK(Audit[[#This Row],[Audit Candidate 12]])), Audit[[#This Row],[Audit Candidate 12]]-Audit[[#This Row],[Candidate 12]], "")</f>
        <v/>
      </c>
      <c r="AQ505" s="18">
        <f>SUMIF(Audit[[#This Row],[Difference Winner]:[Difference Candidate 12]], "&gt;0")</f>
        <v>0</v>
      </c>
      <c r="AR505" s="18">
        <f>SUM(Audit[[#This Row],[Difference Winner]:[Difference Candidate 12]])</f>
        <v>0</v>
      </c>
      <c r="AS505" s="18">
        <f>IF(Audit[[#This Row],[Times p Drawn - With Replacement]]&gt;0, IF(Audit[[#This Row],[Canceled Differences]]&lt;0, Audit[[#This Row],[Max Differences]]+ABS(Audit[[#This Row],[Canceled Differences]]), Audit[[#This Row],[Max Differences]]), 0)</f>
        <v>0</v>
      </c>
      <c r="AT505" s="18">
        <f>'Sampling Data'!AB505</f>
        <v>0</v>
      </c>
      <c r="AU505" s="18">
        <f>IF(
      SUM(Audit[[#This Row],[Audit Losing Candidate]:[Audit Candidate 12]])
      &lt;&gt;0,
      (Audit[[#This Row],[Winning Candidate]]-Audit[[#This Row],[Losing Candidate]]-(Audit[[#This Row],[Audit Winning Candidate]]-Audit[[#This Row],[Audit Losing Candidate]]))/(Audit[[#Totals],[Winning Candidate]]-Audit[[#Totals],[Losing Candidate]]),
      0
)</f>
        <v>0</v>
      </c>
      <c r="AV5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8">
        <f>IF(Audit[[#This Row],[Max Relative Error (ep)]] = 0, 0, Audit[[#This Row],[Max Relative Error (ep)]]/Audit[[#This Row],[Error Bound (up) - Max. possible relative overstatement]])</f>
        <v>0</v>
      </c>
      <c r="BH5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5" s="18">
        <f t="shared" si="8"/>
        <v>1</v>
      </c>
      <c r="BJ505" s="18">
        <f>PRODUCT($BI$5:BI505)</f>
        <v>0.32656797278968008</v>
      </c>
      <c r="BK505" s="20">
        <f>1 - Audit[[#This Row],[K-M P Value]]</f>
        <v>0.67343202721031992</v>
      </c>
      <c r="BL505" s="18" t="str">
        <f>IF(Audit[[#This Row],[K-M P Value]]&gt;1-'General Info'!$B$12,"Continue", "Stop")</f>
        <v>Continue</v>
      </c>
      <c r="BM505" s="23" t="b">
        <f>IF(Audit[[#This Row],[Status - Continue or stop audit]] = "Continue", TRUE, IF(BL504 = "Continue", TRUE, FALSE))</f>
        <v>1</v>
      </c>
      <c r="BN505" s="23"/>
    </row>
    <row r="506" spans="1:66" ht="15" hidden="1" customHeight="1" x14ac:dyDescent="0.35">
      <c r="A506" s="18" t="str">
        <f>'Sampling Data'!AI506</f>
        <v/>
      </c>
      <c r="B506" s="18" t="str">
        <f>'Sampling Data'!A506</f>
        <v>8603 SILVT C   (AV)</v>
      </c>
      <c r="C506" s="18">
        <f>'Sampling Data'!B506</f>
        <v>6</v>
      </c>
      <c r="D506" s="18">
        <f>'Sampling Data'!C506</f>
        <v>1</v>
      </c>
      <c r="E506" s="19">
        <f>'Sampling Data'!D506</f>
        <v>0</v>
      </c>
      <c r="F506" s="19">
        <f>'Sampling Data'!E506</f>
        <v>0</v>
      </c>
      <c r="G506" s="19">
        <f>'Sampling Data'!F506</f>
        <v>0</v>
      </c>
      <c r="H506" s="19">
        <f>'Sampling Data'!G506</f>
        <v>0</v>
      </c>
      <c r="I506" s="19">
        <f>'Sampling Data'!H506</f>
        <v>0</v>
      </c>
      <c r="J506" s="19">
        <f>'Sampling Data'!I506</f>
        <v>0</v>
      </c>
      <c r="K506" s="19">
        <f>'Sampling Data'!J506</f>
        <v>0</v>
      </c>
      <c r="L506" s="19">
        <f>'Sampling Data'!K506</f>
        <v>0</v>
      </c>
      <c r="M506" s="19">
        <f>'Sampling Data'!L506</f>
        <v>0</v>
      </c>
      <c r="N506" s="19">
        <f>'Sampling Data'!M506</f>
        <v>0</v>
      </c>
      <c r="O506" s="18">
        <f>'Sampling Data'!N506</f>
        <v>0</v>
      </c>
      <c r="P506" s="18">
        <f>'Sampling Data'!O506</f>
        <v>0</v>
      </c>
      <c r="Q506" s="18">
        <f>'Sampling Data'!P506</f>
        <v>7</v>
      </c>
      <c r="R506" s="18">
        <f>'Sampling Data'!AJ506</f>
        <v>0</v>
      </c>
      <c r="S506" s="112"/>
      <c r="T506" s="112"/>
      <c r="U506" s="113"/>
      <c r="V506" s="113"/>
      <c r="W506" s="112"/>
      <c r="X506" s="112"/>
      <c r="Y506" s="112"/>
      <c r="Z506" s="112"/>
      <c r="AA506" s="15"/>
      <c r="AB506" s="15"/>
      <c r="AC506" s="15"/>
      <c r="AD506" s="15"/>
      <c r="AE506" s="114" t="str">
        <f>IF(NOT(ISBLANK(Audit[[#This Row],[Audit Winning Candidate]])), Audit[[#This Row],[Audit Winning Candidate]]-Audit[[#This Row],[Winning Candidate]], "")</f>
        <v/>
      </c>
      <c r="AF506" s="18" t="str">
        <f>IF(NOT(ISBLANK(Audit[[#This Row],[Audit Losing Candidate]])), Audit[[#This Row],[Audit Losing Candidate]]-Audit[[#This Row],[Losing Candidate]], "")</f>
        <v/>
      </c>
      <c r="AG506" s="18" t="str">
        <f>IF(NOT(ISBLANK(Audit[[#This Row],[Audit Candidate 3]])), Audit[[#This Row],[Audit Candidate 3]]-Audit[[#This Row],[Candidate 3]], "")</f>
        <v/>
      </c>
      <c r="AH506" s="18" t="str">
        <f>IF(NOT(ISBLANK(Audit[[#This Row],[Audit Candidate 4]])),Audit[[#This Row],[Audit Candidate 4]]-Audit[[#This Row],[Candidate 4]], "")</f>
        <v/>
      </c>
      <c r="AI506" s="18" t="str">
        <f>IF(NOT(ISBLANK(Audit[[#This Row],[Audit Candidate 5]])), Audit[[#This Row],[Audit Candidate 5]]-Audit[[#This Row],[Candidate 5]], "")</f>
        <v/>
      </c>
      <c r="AJ506" s="18" t="str">
        <f>IF(NOT(ISBLANK(Audit[[#This Row],[Audit Candidate 6]])), Audit[[#This Row],[Audit Candidate 6]]-Audit[[#This Row],[Candidate 6]], "")</f>
        <v/>
      </c>
      <c r="AK506" s="18" t="str">
        <f>IF(NOT(ISBLANK(Audit[[#This Row],[Audit Candidate 7]])), Audit[[#This Row],[Audit Candidate 7]]-Audit[[#This Row],[Candidate 7]], "")</f>
        <v/>
      </c>
      <c r="AL506" s="18" t="str">
        <f>IF(NOT(ISBLANK(Audit[[#This Row],[Audit Candidate 8]])), Audit[[#This Row],[Audit Candidate 8]]-Audit[[#This Row],[Candidate 8]], "")</f>
        <v/>
      </c>
      <c r="AM506" s="18" t="str">
        <f>IF(NOT(ISBLANK(Audit[[#This Row],[Audit Candidate 9]])), Audit[[#This Row],[Audit Candidate 9]]-Audit[[#This Row],[Candidate 9]], "")</f>
        <v/>
      </c>
      <c r="AN506" s="18" t="str">
        <f>IF(NOT(ISBLANK(Audit[[#This Row],[Audit Candidate 10]])), Audit[[#This Row],[Audit Candidate 10]]-Audit[[#This Row],[Candidate 10]], "")</f>
        <v/>
      </c>
      <c r="AO506" s="18" t="str">
        <f>IF(NOT(ISBLANK(Audit[[#This Row],[Audit Candidate 11]])), Audit[[#This Row],[Audit Candidate 11]]-Audit[[#This Row],[Candidate 11]], "")</f>
        <v/>
      </c>
      <c r="AP506" s="18" t="str">
        <f>IF(NOT(ISBLANK(Audit[[#This Row],[Audit Candidate 12]])), Audit[[#This Row],[Audit Candidate 12]]-Audit[[#This Row],[Candidate 12]], "")</f>
        <v/>
      </c>
      <c r="AQ506" s="18">
        <f>SUMIF(Audit[[#This Row],[Difference Winner]:[Difference Candidate 12]], "&gt;0")</f>
        <v>0</v>
      </c>
      <c r="AR506" s="18">
        <f>SUM(Audit[[#This Row],[Difference Winner]:[Difference Candidate 12]])</f>
        <v>0</v>
      </c>
      <c r="AS506" s="18">
        <f>IF(Audit[[#This Row],[Times p Drawn - With Replacement]]&gt;0, IF(Audit[[#This Row],[Canceled Differences]]&lt;0, Audit[[#This Row],[Max Differences]]+ABS(Audit[[#This Row],[Canceled Differences]]), Audit[[#This Row],[Max Differences]]), 0)</f>
        <v>0</v>
      </c>
      <c r="AT506" s="18">
        <f>'Sampling Data'!AB506</f>
        <v>3.7691993592361088E-4</v>
      </c>
      <c r="AU506" s="18">
        <f>IF(
      SUM(Audit[[#This Row],[Audit Losing Candidate]:[Audit Candidate 12]])
      &lt;&gt;0,
      (Audit[[#This Row],[Winning Candidate]]-Audit[[#This Row],[Losing Candidate]]-(Audit[[#This Row],[Audit Winning Candidate]]-Audit[[#This Row],[Audit Losing Candidate]]))/(Audit[[#Totals],[Winning Candidate]]-Audit[[#Totals],[Losing Candidate]]),
      0
)</f>
        <v>0</v>
      </c>
      <c r="AV5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8">
        <f>IF(Audit[[#This Row],[Max Relative Error (ep)]] = 0, 0, Audit[[#This Row],[Max Relative Error (ep)]]/Audit[[#This Row],[Error Bound (up) - Max. possible relative overstatement]])</f>
        <v>0</v>
      </c>
      <c r="BH5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6" s="18">
        <f t="shared" si="8"/>
        <v>1</v>
      </c>
      <c r="BJ506" s="18">
        <f>PRODUCT($BI$5:BI506)</f>
        <v>0.32656797278968008</v>
      </c>
      <c r="BK506" s="20">
        <f>1 - Audit[[#This Row],[K-M P Value]]</f>
        <v>0.67343202721031992</v>
      </c>
      <c r="BL506" s="18" t="str">
        <f>IF(Audit[[#This Row],[K-M P Value]]&gt;1-'General Info'!$B$12,"Continue", "Stop")</f>
        <v>Continue</v>
      </c>
      <c r="BM506" s="23" t="b">
        <f>IF(Audit[[#This Row],[Status - Continue or stop audit]] = "Continue", TRUE, IF(BL505 = "Continue", TRUE, FALSE))</f>
        <v>1</v>
      </c>
      <c r="BN506" s="23"/>
    </row>
    <row r="507" spans="1:66" ht="15" hidden="1" customHeight="1" x14ac:dyDescent="0.35">
      <c r="A507" s="18" t="str">
        <f>'Sampling Data'!AI507</f>
        <v/>
      </c>
      <c r="B507" s="18" t="str">
        <f>'Sampling Data'!A507</f>
        <v>8701 SPFLD A   (AV)</v>
      </c>
      <c r="C507" s="18">
        <f>'Sampling Data'!B507</f>
        <v>2</v>
      </c>
      <c r="D507" s="18">
        <f>'Sampling Data'!C507</f>
        <v>0</v>
      </c>
      <c r="E507" s="19">
        <f>'Sampling Data'!D507</f>
        <v>0</v>
      </c>
      <c r="F507" s="19">
        <f>'Sampling Data'!E507</f>
        <v>0</v>
      </c>
      <c r="G507" s="19">
        <f>'Sampling Data'!F507</f>
        <v>0</v>
      </c>
      <c r="H507" s="19">
        <f>'Sampling Data'!G507</f>
        <v>0</v>
      </c>
      <c r="I507" s="19">
        <f>'Sampling Data'!H507</f>
        <v>0</v>
      </c>
      <c r="J507" s="19">
        <f>'Sampling Data'!I507</f>
        <v>0</v>
      </c>
      <c r="K507" s="19">
        <f>'Sampling Data'!J507</f>
        <v>0</v>
      </c>
      <c r="L507" s="19">
        <f>'Sampling Data'!K507</f>
        <v>0</v>
      </c>
      <c r="M507" s="19">
        <f>'Sampling Data'!L507</f>
        <v>0</v>
      </c>
      <c r="N507" s="19">
        <f>'Sampling Data'!M507</f>
        <v>0</v>
      </c>
      <c r="O507" s="18">
        <f>'Sampling Data'!N507</f>
        <v>0</v>
      </c>
      <c r="P507" s="18">
        <f>'Sampling Data'!O507</f>
        <v>0</v>
      </c>
      <c r="Q507" s="18">
        <f>'Sampling Data'!P507</f>
        <v>2</v>
      </c>
      <c r="R507" s="18">
        <f>'Sampling Data'!AJ507</f>
        <v>0</v>
      </c>
      <c r="S507" s="112"/>
      <c r="T507" s="112"/>
      <c r="U507" s="113"/>
      <c r="V507" s="113"/>
      <c r="W507" s="112"/>
      <c r="X507" s="112"/>
      <c r="Y507" s="112"/>
      <c r="Z507" s="112"/>
      <c r="AA507" s="15"/>
      <c r="AB507" s="15"/>
      <c r="AC507" s="15"/>
      <c r="AD507" s="15"/>
      <c r="AE507" s="114" t="str">
        <f>IF(NOT(ISBLANK(Audit[[#This Row],[Audit Winning Candidate]])), Audit[[#This Row],[Audit Winning Candidate]]-Audit[[#This Row],[Winning Candidate]], "")</f>
        <v/>
      </c>
      <c r="AF507" s="18" t="str">
        <f>IF(NOT(ISBLANK(Audit[[#This Row],[Audit Losing Candidate]])), Audit[[#This Row],[Audit Losing Candidate]]-Audit[[#This Row],[Losing Candidate]], "")</f>
        <v/>
      </c>
      <c r="AG507" s="18" t="str">
        <f>IF(NOT(ISBLANK(Audit[[#This Row],[Audit Candidate 3]])), Audit[[#This Row],[Audit Candidate 3]]-Audit[[#This Row],[Candidate 3]], "")</f>
        <v/>
      </c>
      <c r="AH507" s="18" t="str">
        <f>IF(NOT(ISBLANK(Audit[[#This Row],[Audit Candidate 4]])),Audit[[#This Row],[Audit Candidate 4]]-Audit[[#This Row],[Candidate 4]], "")</f>
        <v/>
      </c>
      <c r="AI507" s="18" t="str">
        <f>IF(NOT(ISBLANK(Audit[[#This Row],[Audit Candidate 5]])), Audit[[#This Row],[Audit Candidate 5]]-Audit[[#This Row],[Candidate 5]], "")</f>
        <v/>
      </c>
      <c r="AJ507" s="18" t="str">
        <f>IF(NOT(ISBLANK(Audit[[#This Row],[Audit Candidate 6]])), Audit[[#This Row],[Audit Candidate 6]]-Audit[[#This Row],[Candidate 6]], "")</f>
        <v/>
      </c>
      <c r="AK507" s="18" t="str">
        <f>IF(NOT(ISBLANK(Audit[[#This Row],[Audit Candidate 7]])), Audit[[#This Row],[Audit Candidate 7]]-Audit[[#This Row],[Candidate 7]], "")</f>
        <v/>
      </c>
      <c r="AL507" s="18" t="str">
        <f>IF(NOT(ISBLANK(Audit[[#This Row],[Audit Candidate 8]])), Audit[[#This Row],[Audit Candidate 8]]-Audit[[#This Row],[Candidate 8]], "")</f>
        <v/>
      </c>
      <c r="AM507" s="18" t="str">
        <f>IF(NOT(ISBLANK(Audit[[#This Row],[Audit Candidate 9]])), Audit[[#This Row],[Audit Candidate 9]]-Audit[[#This Row],[Candidate 9]], "")</f>
        <v/>
      </c>
      <c r="AN507" s="18" t="str">
        <f>IF(NOT(ISBLANK(Audit[[#This Row],[Audit Candidate 10]])), Audit[[#This Row],[Audit Candidate 10]]-Audit[[#This Row],[Candidate 10]], "")</f>
        <v/>
      </c>
      <c r="AO507" s="18" t="str">
        <f>IF(NOT(ISBLANK(Audit[[#This Row],[Audit Candidate 11]])), Audit[[#This Row],[Audit Candidate 11]]-Audit[[#This Row],[Candidate 11]], "")</f>
        <v/>
      </c>
      <c r="AP507" s="18" t="str">
        <f>IF(NOT(ISBLANK(Audit[[#This Row],[Audit Candidate 12]])), Audit[[#This Row],[Audit Candidate 12]]-Audit[[#This Row],[Candidate 12]], "")</f>
        <v/>
      </c>
      <c r="AQ507" s="18">
        <f>SUMIF(Audit[[#This Row],[Difference Winner]:[Difference Candidate 12]], "&gt;0")</f>
        <v>0</v>
      </c>
      <c r="AR507" s="18">
        <f>SUM(Audit[[#This Row],[Difference Winner]:[Difference Candidate 12]])</f>
        <v>0</v>
      </c>
      <c r="AS507" s="18">
        <f>IF(Audit[[#This Row],[Times p Drawn - With Replacement]]&gt;0, IF(Audit[[#This Row],[Canceled Differences]]&lt;0, Audit[[#This Row],[Max Differences]]+ABS(Audit[[#This Row],[Canceled Differences]]), Audit[[#This Row],[Max Differences]]), 0)</f>
        <v>0</v>
      </c>
      <c r="AT507" s="18">
        <f>'Sampling Data'!AB507</f>
        <v>1.2563997864120362E-4</v>
      </c>
      <c r="AU507" s="18">
        <f>IF(
      SUM(Audit[[#This Row],[Audit Losing Candidate]:[Audit Candidate 12]])
      &lt;&gt;0,
      (Audit[[#This Row],[Winning Candidate]]-Audit[[#This Row],[Losing Candidate]]-(Audit[[#This Row],[Audit Winning Candidate]]-Audit[[#This Row],[Audit Losing Candidate]]))/(Audit[[#Totals],[Winning Candidate]]-Audit[[#Totals],[Losing Candidate]]),
      0
)</f>
        <v>0</v>
      </c>
      <c r="AV5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8">
        <f>IF(Audit[[#This Row],[Max Relative Error (ep)]] = 0, 0, Audit[[#This Row],[Max Relative Error (ep)]]/Audit[[#This Row],[Error Bound (up) - Max. possible relative overstatement]])</f>
        <v>0</v>
      </c>
      <c r="BH5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7" s="18">
        <f t="shared" si="8"/>
        <v>1</v>
      </c>
      <c r="BJ507" s="18">
        <f>PRODUCT($BI$5:BI507)</f>
        <v>0.32656797278968008</v>
      </c>
      <c r="BK507" s="20">
        <f>1 - Audit[[#This Row],[K-M P Value]]</f>
        <v>0.67343202721031992</v>
      </c>
      <c r="BL507" s="18" t="str">
        <f>IF(Audit[[#This Row],[K-M P Value]]&gt;1-'General Info'!$B$12,"Continue", "Stop")</f>
        <v>Continue</v>
      </c>
      <c r="BM507" s="23" t="b">
        <f>IF(Audit[[#This Row],[Status - Continue or stop audit]] = "Continue", TRUE, IF(BL506 = "Continue", TRUE, FALSE))</f>
        <v>1</v>
      </c>
      <c r="BN507" s="23"/>
    </row>
    <row r="508" spans="1:66" ht="15" hidden="1" customHeight="1" x14ac:dyDescent="0.35">
      <c r="A508" s="18" t="str">
        <f>'Sampling Data'!AI508</f>
        <v/>
      </c>
      <c r="B508" s="18" t="str">
        <f>'Sampling Data'!A508</f>
        <v>8702 SPFLD B   (AV)</v>
      </c>
      <c r="C508" s="18">
        <f>'Sampling Data'!B508</f>
        <v>2</v>
      </c>
      <c r="D508" s="18">
        <f>'Sampling Data'!C508</f>
        <v>0</v>
      </c>
      <c r="E508" s="19">
        <f>'Sampling Data'!D508</f>
        <v>0</v>
      </c>
      <c r="F508" s="19">
        <f>'Sampling Data'!E508</f>
        <v>0</v>
      </c>
      <c r="G508" s="19">
        <f>'Sampling Data'!F508</f>
        <v>0</v>
      </c>
      <c r="H508" s="19">
        <f>'Sampling Data'!G508</f>
        <v>0</v>
      </c>
      <c r="I508" s="19">
        <f>'Sampling Data'!H508</f>
        <v>0</v>
      </c>
      <c r="J508" s="19">
        <f>'Sampling Data'!I508</f>
        <v>0</v>
      </c>
      <c r="K508" s="19">
        <f>'Sampling Data'!J508</f>
        <v>0</v>
      </c>
      <c r="L508" s="19">
        <f>'Sampling Data'!K508</f>
        <v>0</v>
      </c>
      <c r="M508" s="19">
        <f>'Sampling Data'!L508</f>
        <v>0</v>
      </c>
      <c r="N508" s="19">
        <f>'Sampling Data'!M508</f>
        <v>0</v>
      </c>
      <c r="O508" s="18">
        <f>'Sampling Data'!N508</f>
        <v>0</v>
      </c>
      <c r="P508" s="18">
        <f>'Sampling Data'!O508</f>
        <v>0</v>
      </c>
      <c r="Q508" s="18">
        <f>'Sampling Data'!P508</f>
        <v>2</v>
      </c>
      <c r="R508" s="18">
        <f>'Sampling Data'!AJ508</f>
        <v>0</v>
      </c>
      <c r="S508" s="112"/>
      <c r="T508" s="112"/>
      <c r="U508" s="113"/>
      <c r="V508" s="113"/>
      <c r="W508" s="112"/>
      <c r="X508" s="112"/>
      <c r="Y508" s="112"/>
      <c r="Z508" s="112"/>
      <c r="AA508" s="15"/>
      <c r="AB508" s="15"/>
      <c r="AC508" s="15"/>
      <c r="AD508" s="15"/>
      <c r="AE508" s="114" t="str">
        <f>IF(NOT(ISBLANK(Audit[[#This Row],[Audit Winning Candidate]])), Audit[[#This Row],[Audit Winning Candidate]]-Audit[[#This Row],[Winning Candidate]], "")</f>
        <v/>
      </c>
      <c r="AF508" s="18" t="str">
        <f>IF(NOT(ISBLANK(Audit[[#This Row],[Audit Losing Candidate]])), Audit[[#This Row],[Audit Losing Candidate]]-Audit[[#This Row],[Losing Candidate]], "")</f>
        <v/>
      </c>
      <c r="AG508" s="18" t="str">
        <f>IF(NOT(ISBLANK(Audit[[#This Row],[Audit Candidate 3]])), Audit[[#This Row],[Audit Candidate 3]]-Audit[[#This Row],[Candidate 3]], "")</f>
        <v/>
      </c>
      <c r="AH508" s="18" t="str">
        <f>IF(NOT(ISBLANK(Audit[[#This Row],[Audit Candidate 4]])),Audit[[#This Row],[Audit Candidate 4]]-Audit[[#This Row],[Candidate 4]], "")</f>
        <v/>
      </c>
      <c r="AI508" s="18" t="str">
        <f>IF(NOT(ISBLANK(Audit[[#This Row],[Audit Candidate 5]])), Audit[[#This Row],[Audit Candidate 5]]-Audit[[#This Row],[Candidate 5]], "")</f>
        <v/>
      </c>
      <c r="AJ508" s="18" t="str">
        <f>IF(NOT(ISBLANK(Audit[[#This Row],[Audit Candidate 6]])), Audit[[#This Row],[Audit Candidate 6]]-Audit[[#This Row],[Candidate 6]], "")</f>
        <v/>
      </c>
      <c r="AK508" s="18" t="str">
        <f>IF(NOT(ISBLANK(Audit[[#This Row],[Audit Candidate 7]])), Audit[[#This Row],[Audit Candidate 7]]-Audit[[#This Row],[Candidate 7]], "")</f>
        <v/>
      </c>
      <c r="AL508" s="18" t="str">
        <f>IF(NOT(ISBLANK(Audit[[#This Row],[Audit Candidate 8]])), Audit[[#This Row],[Audit Candidate 8]]-Audit[[#This Row],[Candidate 8]], "")</f>
        <v/>
      </c>
      <c r="AM508" s="18" t="str">
        <f>IF(NOT(ISBLANK(Audit[[#This Row],[Audit Candidate 9]])), Audit[[#This Row],[Audit Candidate 9]]-Audit[[#This Row],[Candidate 9]], "")</f>
        <v/>
      </c>
      <c r="AN508" s="18" t="str">
        <f>IF(NOT(ISBLANK(Audit[[#This Row],[Audit Candidate 10]])), Audit[[#This Row],[Audit Candidate 10]]-Audit[[#This Row],[Candidate 10]], "")</f>
        <v/>
      </c>
      <c r="AO508" s="18" t="str">
        <f>IF(NOT(ISBLANK(Audit[[#This Row],[Audit Candidate 11]])), Audit[[#This Row],[Audit Candidate 11]]-Audit[[#This Row],[Candidate 11]], "")</f>
        <v/>
      </c>
      <c r="AP508" s="18" t="str">
        <f>IF(NOT(ISBLANK(Audit[[#This Row],[Audit Candidate 12]])), Audit[[#This Row],[Audit Candidate 12]]-Audit[[#This Row],[Candidate 12]], "")</f>
        <v/>
      </c>
      <c r="AQ508" s="18">
        <f>SUMIF(Audit[[#This Row],[Difference Winner]:[Difference Candidate 12]], "&gt;0")</f>
        <v>0</v>
      </c>
      <c r="AR508" s="18">
        <f>SUM(Audit[[#This Row],[Difference Winner]:[Difference Candidate 12]])</f>
        <v>0</v>
      </c>
      <c r="AS508" s="18">
        <f>IF(Audit[[#This Row],[Times p Drawn - With Replacement]]&gt;0, IF(Audit[[#This Row],[Canceled Differences]]&lt;0, Audit[[#This Row],[Max Differences]]+ABS(Audit[[#This Row],[Canceled Differences]]), Audit[[#This Row],[Max Differences]]), 0)</f>
        <v>0</v>
      </c>
      <c r="AT508" s="18">
        <f>'Sampling Data'!AB508</f>
        <v>1.2563997864120362E-4</v>
      </c>
      <c r="AU508" s="18">
        <f>IF(
      SUM(Audit[[#This Row],[Audit Losing Candidate]:[Audit Candidate 12]])
      &lt;&gt;0,
      (Audit[[#This Row],[Winning Candidate]]-Audit[[#This Row],[Losing Candidate]]-(Audit[[#This Row],[Audit Winning Candidate]]-Audit[[#This Row],[Audit Losing Candidate]]))/(Audit[[#Totals],[Winning Candidate]]-Audit[[#Totals],[Losing Candidate]]),
      0
)</f>
        <v>0</v>
      </c>
      <c r="AV5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8">
        <f>IF(Audit[[#This Row],[Max Relative Error (ep)]] = 0, 0, Audit[[#This Row],[Max Relative Error (ep)]]/Audit[[#This Row],[Error Bound (up) - Max. possible relative overstatement]])</f>
        <v>0</v>
      </c>
      <c r="BH5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8" s="18">
        <f t="shared" si="8"/>
        <v>1</v>
      </c>
      <c r="BJ508" s="18">
        <f>PRODUCT($BI$5:BI508)</f>
        <v>0.32656797278968008</v>
      </c>
      <c r="BK508" s="20">
        <f>1 - Audit[[#This Row],[K-M P Value]]</f>
        <v>0.67343202721031992</v>
      </c>
      <c r="BL508" s="18" t="str">
        <f>IF(Audit[[#This Row],[K-M P Value]]&gt;1-'General Info'!$B$12,"Continue", "Stop")</f>
        <v>Continue</v>
      </c>
      <c r="BM508" s="23" t="b">
        <f>IF(Audit[[#This Row],[Status - Continue or stop audit]] = "Continue", TRUE, IF(BL507 = "Continue", TRUE, FALSE))</f>
        <v>1</v>
      </c>
      <c r="BN508" s="23"/>
    </row>
    <row r="509" spans="1:66" ht="15" hidden="1" customHeight="1" x14ac:dyDescent="0.35">
      <c r="A509" s="18" t="str">
        <f>'Sampling Data'!AI509</f>
        <v/>
      </c>
      <c r="B509" s="18" t="str">
        <f>'Sampling Data'!A509</f>
        <v>8703 SPFLD C   (AV)</v>
      </c>
      <c r="C509" s="18">
        <f>'Sampling Data'!B509</f>
        <v>11</v>
      </c>
      <c r="D509" s="18">
        <f>'Sampling Data'!C509</f>
        <v>0</v>
      </c>
      <c r="E509" s="19">
        <f>'Sampling Data'!D509</f>
        <v>0</v>
      </c>
      <c r="F509" s="19">
        <f>'Sampling Data'!E509</f>
        <v>0</v>
      </c>
      <c r="G509" s="19">
        <f>'Sampling Data'!F509</f>
        <v>0</v>
      </c>
      <c r="H509" s="19">
        <f>'Sampling Data'!G509</f>
        <v>0</v>
      </c>
      <c r="I509" s="19">
        <f>'Sampling Data'!H509</f>
        <v>0</v>
      </c>
      <c r="J509" s="19">
        <f>'Sampling Data'!I509</f>
        <v>0</v>
      </c>
      <c r="K509" s="19">
        <f>'Sampling Data'!J509</f>
        <v>0</v>
      </c>
      <c r="L509" s="19">
        <f>'Sampling Data'!K509</f>
        <v>0</v>
      </c>
      <c r="M509" s="19">
        <f>'Sampling Data'!L509</f>
        <v>0</v>
      </c>
      <c r="N509" s="19">
        <f>'Sampling Data'!M509</f>
        <v>0</v>
      </c>
      <c r="O509" s="18">
        <f>'Sampling Data'!N509</f>
        <v>0</v>
      </c>
      <c r="P509" s="18">
        <f>'Sampling Data'!O509</f>
        <v>1</v>
      </c>
      <c r="Q509" s="18">
        <f>'Sampling Data'!P509</f>
        <v>12</v>
      </c>
      <c r="R509" s="18">
        <f>'Sampling Data'!AJ509</f>
        <v>0</v>
      </c>
      <c r="S509" s="112"/>
      <c r="T509" s="112"/>
      <c r="U509" s="113"/>
      <c r="V509" s="113"/>
      <c r="W509" s="112"/>
      <c r="X509" s="112"/>
      <c r="Y509" s="112"/>
      <c r="Z509" s="112"/>
      <c r="AA509" s="15"/>
      <c r="AB509" s="15"/>
      <c r="AC509" s="15"/>
      <c r="AD509" s="15"/>
      <c r="AE509" s="114" t="str">
        <f>IF(NOT(ISBLANK(Audit[[#This Row],[Audit Winning Candidate]])), Audit[[#This Row],[Audit Winning Candidate]]-Audit[[#This Row],[Winning Candidate]], "")</f>
        <v/>
      </c>
      <c r="AF509" s="18" t="str">
        <f>IF(NOT(ISBLANK(Audit[[#This Row],[Audit Losing Candidate]])), Audit[[#This Row],[Audit Losing Candidate]]-Audit[[#This Row],[Losing Candidate]], "")</f>
        <v/>
      </c>
      <c r="AG509" s="18" t="str">
        <f>IF(NOT(ISBLANK(Audit[[#This Row],[Audit Candidate 3]])), Audit[[#This Row],[Audit Candidate 3]]-Audit[[#This Row],[Candidate 3]], "")</f>
        <v/>
      </c>
      <c r="AH509" s="18" t="str">
        <f>IF(NOT(ISBLANK(Audit[[#This Row],[Audit Candidate 4]])),Audit[[#This Row],[Audit Candidate 4]]-Audit[[#This Row],[Candidate 4]], "")</f>
        <v/>
      </c>
      <c r="AI509" s="18" t="str">
        <f>IF(NOT(ISBLANK(Audit[[#This Row],[Audit Candidate 5]])), Audit[[#This Row],[Audit Candidate 5]]-Audit[[#This Row],[Candidate 5]], "")</f>
        <v/>
      </c>
      <c r="AJ509" s="18" t="str">
        <f>IF(NOT(ISBLANK(Audit[[#This Row],[Audit Candidate 6]])), Audit[[#This Row],[Audit Candidate 6]]-Audit[[#This Row],[Candidate 6]], "")</f>
        <v/>
      </c>
      <c r="AK509" s="18" t="str">
        <f>IF(NOT(ISBLANK(Audit[[#This Row],[Audit Candidate 7]])), Audit[[#This Row],[Audit Candidate 7]]-Audit[[#This Row],[Candidate 7]], "")</f>
        <v/>
      </c>
      <c r="AL509" s="18" t="str">
        <f>IF(NOT(ISBLANK(Audit[[#This Row],[Audit Candidate 8]])), Audit[[#This Row],[Audit Candidate 8]]-Audit[[#This Row],[Candidate 8]], "")</f>
        <v/>
      </c>
      <c r="AM509" s="18" t="str">
        <f>IF(NOT(ISBLANK(Audit[[#This Row],[Audit Candidate 9]])), Audit[[#This Row],[Audit Candidate 9]]-Audit[[#This Row],[Candidate 9]], "")</f>
        <v/>
      </c>
      <c r="AN509" s="18" t="str">
        <f>IF(NOT(ISBLANK(Audit[[#This Row],[Audit Candidate 10]])), Audit[[#This Row],[Audit Candidate 10]]-Audit[[#This Row],[Candidate 10]], "")</f>
        <v/>
      </c>
      <c r="AO509" s="18" t="str">
        <f>IF(NOT(ISBLANK(Audit[[#This Row],[Audit Candidate 11]])), Audit[[#This Row],[Audit Candidate 11]]-Audit[[#This Row],[Candidate 11]], "")</f>
        <v/>
      </c>
      <c r="AP509" s="18" t="str">
        <f>IF(NOT(ISBLANK(Audit[[#This Row],[Audit Candidate 12]])), Audit[[#This Row],[Audit Candidate 12]]-Audit[[#This Row],[Candidate 12]], "")</f>
        <v/>
      </c>
      <c r="AQ509" s="18">
        <f>SUMIF(Audit[[#This Row],[Difference Winner]:[Difference Candidate 12]], "&gt;0")</f>
        <v>0</v>
      </c>
      <c r="AR509" s="18">
        <f>SUM(Audit[[#This Row],[Difference Winner]:[Difference Candidate 12]])</f>
        <v>0</v>
      </c>
      <c r="AS509" s="18">
        <f>IF(Audit[[#This Row],[Times p Drawn - With Replacement]]&gt;0, IF(Audit[[#This Row],[Canceled Differences]]&lt;0, Audit[[#This Row],[Max Differences]]+ABS(Audit[[#This Row],[Canceled Differences]]), Audit[[#This Row],[Max Differences]]), 0)</f>
        <v>0</v>
      </c>
      <c r="AT509" s="18">
        <f>'Sampling Data'!AB509</f>
        <v>7.2242987718692088E-4</v>
      </c>
      <c r="AU509" s="18">
        <f>IF(
      SUM(Audit[[#This Row],[Audit Losing Candidate]:[Audit Candidate 12]])
      &lt;&gt;0,
      (Audit[[#This Row],[Winning Candidate]]-Audit[[#This Row],[Losing Candidate]]-(Audit[[#This Row],[Audit Winning Candidate]]-Audit[[#This Row],[Audit Losing Candidate]]))/(Audit[[#Totals],[Winning Candidate]]-Audit[[#Totals],[Losing Candidate]]),
      0
)</f>
        <v>0</v>
      </c>
      <c r="AV5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8">
        <f>IF(Audit[[#This Row],[Max Relative Error (ep)]] = 0, 0, Audit[[#This Row],[Max Relative Error (ep)]]/Audit[[#This Row],[Error Bound (up) - Max. possible relative overstatement]])</f>
        <v>0</v>
      </c>
      <c r="BH5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09" s="18">
        <f t="shared" si="8"/>
        <v>1</v>
      </c>
      <c r="BJ509" s="18">
        <f>PRODUCT($BI$5:BI509)</f>
        <v>0.32656797278968008</v>
      </c>
      <c r="BK509" s="20">
        <f>1 - Audit[[#This Row],[K-M P Value]]</f>
        <v>0.67343202721031992</v>
      </c>
      <c r="BL509" s="18" t="str">
        <f>IF(Audit[[#This Row],[K-M P Value]]&gt;1-'General Info'!$B$12,"Continue", "Stop")</f>
        <v>Continue</v>
      </c>
      <c r="BM509" s="23" t="b">
        <f>IF(Audit[[#This Row],[Status - Continue or stop audit]] = "Continue", TRUE, IF(BL508 = "Continue", TRUE, FALSE))</f>
        <v>1</v>
      </c>
      <c r="BN509" s="23"/>
    </row>
    <row r="510" spans="1:66" ht="15" hidden="1" customHeight="1" x14ac:dyDescent="0.35">
      <c r="A510" s="18" t="str">
        <f>'Sampling Data'!AI510</f>
        <v/>
      </c>
      <c r="B510" s="18" t="str">
        <f>'Sampling Data'!A510</f>
        <v>8704 SPFLD D   (AV)</v>
      </c>
      <c r="C510" s="18">
        <f>'Sampling Data'!B510</f>
        <v>9</v>
      </c>
      <c r="D510" s="18">
        <f>'Sampling Data'!C510</f>
        <v>0</v>
      </c>
      <c r="E510" s="19">
        <f>'Sampling Data'!D510</f>
        <v>0</v>
      </c>
      <c r="F510" s="19">
        <f>'Sampling Data'!E510</f>
        <v>0</v>
      </c>
      <c r="G510" s="19">
        <f>'Sampling Data'!F510</f>
        <v>0</v>
      </c>
      <c r="H510" s="19">
        <f>'Sampling Data'!G510</f>
        <v>0</v>
      </c>
      <c r="I510" s="19">
        <f>'Sampling Data'!H510</f>
        <v>0</v>
      </c>
      <c r="J510" s="19">
        <f>'Sampling Data'!I510</f>
        <v>0</v>
      </c>
      <c r="K510" s="19">
        <f>'Sampling Data'!J510</f>
        <v>0</v>
      </c>
      <c r="L510" s="19">
        <f>'Sampling Data'!K510</f>
        <v>0</v>
      </c>
      <c r="M510" s="19">
        <f>'Sampling Data'!L510</f>
        <v>0</v>
      </c>
      <c r="N510" s="19">
        <f>'Sampling Data'!M510</f>
        <v>0</v>
      </c>
      <c r="O510" s="18">
        <f>'Sampling Data'!N510</f>
        <v>0</v>
      </c>
      <c r="P510" s="18">
        <f>'Sampling Data'!O510</f>
        <v>0</v>
      </c>
      <c r="Q510" s="18">
        <f>'Sampling Data'!P510</f>
        <v>9</v>
      </c>
      <c r="R510" s="18">
        <f>'Sampling Data'!AJ510</f>
        <v>0</v>
      </c>
      <c r="S510" s="112"/>
      <c r="T510" s="112"/>
      <c r="U510" s="113"/>
      <c r="V510" s="113"/>
      <c r="W510" s="112"/>
      <c r="X510" s="112"/>
      <c r="Y510" s="112"/>
      <c r="Z510" s="112"/>
      <c r="AA510" s="15"/>
      <c r="AB510" s="15"/>
      <c r="AC510" s="15"/>
      <c r="AD510" s="15"/>
      <c r="AE510" s="114" t="str">
        <f>IF(NOT(ISBLANK(Audit[[#This Row],[Audit Winning Candidate]])), Audit[[#This Row],[Audit Winning Candidate]]-Audit[[#This Row],[Winning Candidate]], "")</f>
        <v/>
      </c>
      <c r="AF510" s="18" t="str">
        <f>IF(NOT(ISBLANK(Audit[[#This Row],[Audit Losing Candidate]])), Audit[[#This Row],[Audit Losing Candidate]]-Audit[[#This Row],[Losing Candidate]], "")</f>
        <v/>
      </c>
      <c r="AG510" s="18" t="str">
        <f>IF(NOT(ISBLANK(Audit[[#This Row],[Audit Candidate 3]])), Audit[[#This Row],[Audit Candidate 3]]-Audit[[#This Row],[Candidate 3]], "")</f>
        <v/>
      </c>
      <c r="AH510" s="18" t="str">
        <f>IF(NOT(ISBLANK(Audit[[#This Row],[Audit Candidate 4]])),Audit[[#This Row],[Audit Candidate 4]]-Audit[[#This Row],[Candidate 4]], "")</f>
        <v/>
      </c>
      <c r="AI510" s="18" t="str">
        <f>IF(NOT(ISBLANK(Audit[[#This Row],[Audit Candidate 5]])), Audit[[#This Row],[Audit Candidate 5]]-Audit[[#This Row],[Candidate 5]], "")</f>
        <v/>
      </c>
      <c r="AJ510" s="18" t="str">
        <f>IF(NOT(ISBLANK(Audit[[#This Row],[Audit Candidate 6]])), Audit[[#This Row],[Audit Candidate 6]]-Audit[[#This Row],[Candidate 6]], "")</f>
        <v/>
      </c>
      <c r="AK510" s="18" t="str">
        <f>IF(NOT(ISBLANK(Audit[[#This Row],[Audit Candidate 7]])), Audit[[#This Row],[Audit Candidate 7]]-Audit[[#This Row],[Candidate 7]], "")</f>
        <v/>
      </c>
      <c r="AL510" s="18" t="str">
        <f>IF(NOT(ISBLANK(Audit[[#This Row],[Audit Candidate 8]])), Audit[[#This Row],[Audit Candidate 8]]-Audit[[#This Row],[Candidate 8]], "")</f>
        <v/>
      </c>
      <c r="AM510" s="18" t="str">
        <f>IF(NOT(ISBLANK(Audit[[#This Row],[Audit Candidate 9]])), Audit[[#This Row],[Audit Candidate 9]]-Audit[[#This Row],[Candidate 9]], "")</f>
        <v/>
      </c>
      <c r="AN510" s="18" t="str">
        <f>IF(NOT(ISBLANK(Audit[[#This Row],[Audit Candidate 10]])), Audit[[#This Row],[Audit Candidate 10]]-Audit[[#This Row],[Candidate 10]], "")</f>
        <v/>
      </c>
      <c r="AO510" s="18" t="str">
        <f>IF(NOT(ISBLANK(Audit[[#This Row],[Audit Candidate 11]])), Audit[[#This Row],[Audit Candidate 11]]-Audit[[#This Row],[Candidate 11]], "")</f>
        <v/>
      </c>
      <c r="AP510" s="18" t="str">
        <f>IF(NOT(ISBLANK(Audit[[#This Row],[Audit Candidate 12]])), Audit[[#This Row],[Audit Candidate 12]]-Audit[[#This Row],[Candidate 12]], "")</f>
        <v/>
      </c>
      <c r="AQ510" s="18">
        <f>SUMIF(Audit[[#This Row],[Difference Winner]:[Difference Candidate 12]], "&gt;0")</f>
        <v>0</v>
      </c>
      <c r="AR510" s="18">
        <f>SUM(Audit[[#This Row],[Difference Winner]:[Difference Candidate 12]])</f>
        <v>0</v>
      </c>
      <c r="AS510" s="18">
        <f>IF(Audit[[#This Row],[Times p Drawn - With Replacement]]&gt;0, IF(Audit[[#This Row],[Canceled Differences]]&lt;0, Audit[[#This Row],[Max Differences]]+ABS(Audit[[#This Row],[Canceled Differences]]), Audit[[#This Row],[Max Differences]]), 0)</f>
        <v>0</v>
      </c>
      <c r="AT510" s="18">
        <f>'Sampling Data'!AB510</f>
        <v>5.6537990388541635E-4</v>
      </c>
      <c r="AU510" s="18">
        <f>IF(
      SUM(Audit[[#This Row],[Audit Losing Candidate]:[Audit Candidate 12]])
      &lt;&gt;0,
      (Audit[[#This Row],[Winning Candidate]]-Audit[[#This Row],[Losing Candidate]]-(Audit[[#This Row],[Audit Winning Candidate]]-Audit[[#This Row],[Audit Losing Candidate]]))/(Audit[[#Totals],[Winning Candidate]]-Audit[[#Totals],[Losing Candidate]]),
      0
)</f>
        <v>0</v>
      </c>
      <c r="AV5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8">
        <f>IF(Audit[[#This Row],[Max Relative Error (ep)]] = 0, 0, Audit[[#This Row],[Max Relative Error (ep)]]/Audit[[#This Row],[Error Bound (up) - Max. possible relative overstatement]])</f>
        <v>0</v>
      </c>
      <c r="BH5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0" s="18">
        <f t="shared" si="8"/>
        <v>1</v>
      </c>
      <c r="BJ510" s="18">
        <f>PRODUCT($BI$5:BI510)</f>
        <v>0.32656797278968008</v>
      </c>
      <c r="BK510" s="20">
        <f>1 - Audit[[#This Row],[K-M P Value]]</f>
        <v>0.67343202721031992</v>
      </c>
      <c r="BL510" s="18" t="str">
        <f>IF(Audit[[#This Row],[K-M P Value]]&gt;1-'General Info'!$B$12,"Continue", "Stop")</f>
        <v>Continue</v>
      </c>
      <c r="BM510" s="23" t="b">
        <f>IF(Audit[[#This Row],[Status - Continue or stop audit]] = "Continue", TRUE, IF(BL509 = "Continue", TRUE, FALSE))</f>
        <v>1</v>
      </c>
      <c r="BN510" s="23"/>
    </row>
    <row r="511" spans="1:66" ht="15" hidden="1" customHeight="1" x14ac:dyDescent="0.35">
      <c r="A511" s="18" t="str">
        <f>'Sampling Data'!AI511</f>
        <v/>
      </c>
      <c r="B511" s="18" t="str">
        <f>'Sampling Data'!A511</f>
        <v>8705 SPFLD E   (AV)</v>
      </c>
      <c r="C511" s="18">
        <f>'Sampling Data'!B511</f>
        <v>1</v>
      </c>
      <c r="D511" s="18">
        <f>'Sampling Data'!C511</f>
        <v>1</v>
      </c>
      <c r="E511" s="19">
        <f>'Sampling Data'!D511</f>
        <v>0</v>
      </c>
      <c r="F511" s="19">
        <f>'Sampling Data'!E511</f>
        <v>0</v>
      </c>
      <c r="G511" s="19">
        <f>'Sampling Data'!F511</f>
        <v>0</v>
      </c>
      <c r="H511" s="19">
        <f>'Sampling Data'!G511</f>
        <v>0</v>
      </c>
      <c r="I511" s="19">
        <f>'Sampling Data'!H511</f>
        <v>0</v>
      </c>
      <c r="J511" s="19">
        <f>'Sampling Data'!I511</f>
        <v>0</v>
      </c>
      <c r="K511" s="19">
        <f>'Sampling Data'!J511</f>
        <v>0</v>
      </c>
      <c r="L511" s="19">
        <f>'Sampling Data'!K511</f>
        <v>0</v>
      </c>
      <c r="M511" s="19">
        <f>'Sampling Data'!L511</f>
        <v>0</v>
      </c>
      <c r="N511" s="19">
        <f>'Sampling Data'!M511</f>
        <v>0</v>
      </c>
      <c r="O511" s="18">
        <f>'Sampling Data'!N511</f>
        <v>0</v>
      </c>
      <c r="P511" s="18">
        <f>'Sampling Data'!O511</f>
        <v>0</v>
      </c>
      <c r="Q511" s="18">
        <f>'Sampling Data'!P511</f>
        <v>2</v>
      </c>
      <c r="R511" s="18">
        <f>'Sampling Data'!AJ511</f>
        <v>0</v>
      </c>
      <c r="S511" s="112"/>
      <c r="T511" s="112"/>
      <c r="U511" s="113"/>
      <c r="V511" s="113"/>
      <c r="W511" s="112"/>
      <c r="X511" s="112"/>
      <c r="Y511" s="112"/>
      <c r="Z511" s="112"/>
      <c r="AA511" s="15"/>
      <c r="AB511" s="15"/>
      <c r="AC511" s="15"/>
      <c r="AD511" s="15"/>
      <c r="AE511" s="114" t="str">
        <f>IF(NOT(ISBLANK(Audit[[#This Row],[Audit Winning Candidate]])), Audit[[#This Row],[Audit Winning Candidate]]-Audit[[#This Row],[Winning Candidate]], "")</f>
        <v/>
      </c>
      <c r="AF511" s="18" t="str">
        <f>IF(NOT(ISBLANK(Audit[[#This Row],[Audit Losing Candidate]])), Audit[[#This Row],[Audit Losing Candidate]]-Audit[[#This Row],[Losing Candidate]], "")</f>
        <v/>
      </c>
      <c r="AG511" s="18" t="str">
        <f>IF(NOT(ISBLANK(Audit[[#This Row],[Audit Candidate 3]])), Audit[[#This Row],[Audit Candidate 3]]-Audit[[#This Row],[Candidate 3]], "")</f>
        <v/>
      </c>
      <c r="AH511" s="18" t="str">
        <f>IF(NOT(ISBLANK(Audit[[#This Row],[Audit Candidate 4]])),Audit[[#This Row],[Audit Candidate 4]]-Audit[[#This Row],[Candidate 4]], "")</f>
        <v/>
      </c>
      <c r="AI511" s="18" t="str">
        <f>IF(NOT(ISBLANK(Audit[[#This Row],[Audit Candidate 5]])), Audit[[#This Row],[Audit Candidate 5]]-Audit[[#This Row],[Candidate 5]], "")</f>
        <v/>
      </c>
      <c r="AJ511" s="18" t="str">
        <f>IF(NOT(ISBLANK(Audit[[#This Row],[Audit Candidate 6]])), Audit[[#This Row],[Audit Candidate 6]]-Audit[[#This Row],[Candidate 6]], "")</f>
        <v/>
      </c>
      <c r="AK511" s="18" t="str">
        <f>IF(NOT(ISBLANK(Audit[[#This Row],[Audit Candidate 7]])), Audit[[#This Row],[Audit Candidate 7]]-Audit[[#This Row],[Candidate 7]], "")</f>
        <v/>
      </c>
      <c r="AL511" s="18" t="str">
        <f>IF(NOT(ISBLANK(Audit[[#This Row],[Audit Candidate 8]])), Audit[[#This Row],[Audit Candidate 8]]-Audit[[#This Row],[Candidate 8]], "")</f>
        <v/>
      </c>
      <c r="AM511" s="18" t="str">
        <f>IF(NOT(ISBLANK(Audit[[#This Row],[Audit Candidate 9]])), Audit[[#This Row],[Audit Candidate 9]]-Audit[[#This Row],[Candidate 9]], "")</f>
        <v/>
      </c>
      <c r="AN511" s="18" t="str">
        <f>IF(NOT(ISBLANK(Audit[[#This Row],[Audit Candidate 10]])), Audit[[#This Row],[Audit Candidate 10]]-Audit[[#This Row],[Candidate 10]], "")</f>
        <v/>
      </c>
      <c r="AO511" s="18" t="str">
        <f>IF(NOT(ISBLANK(Audit[[#This Row],[Audit Candidate 11]])), Audit[[#This Row],[Audit Candidate 11]]-Audit[[#This Row],[Candidate 11]], "")</f>
        <v/>
      </c>
      <c r="AP511" s="18" t="str">
        <f>IF(NOT(ISBLANK(Audit[[#This Row],[Audit Candidate 12]])), Audit[[#This Row],[Audit Candidate 12]]-Audit[[#This Row],[Candidate 12]], "")</f>
        <v/>
      </c>
      <c r="AQ511" s="18">
        <f>SUMIF(Audit[[#This Row],[Difference Winner]:[Difference Candidate 12]], "&gt;0")</f>
        <v>0</v>
      </c>
      <c r="AR511" s="18">
        <f>SUM(Audit[[#This Row],[Difference Winner]:[Difference Candidate 12]])</f>
        <v>0</v>
      </c>
      <c r="AS511" s="18">
        <f>IF(Audit[[#This Row],[Times p Drawn - With Replacement]]&gt;0, IF(Audit[[#This Row],[Canceled Differences]]&lt;0, Audit[[#This Row],[Max Differences]]+ABS(Audit[[#This Row],[Canceled Differences]]), Audit[[#This Row],[Max Differences]]), 0)</f>
        <v>0</v>
      </c>
      <c r="AT511" s="18">
        <f>'Sampling Data'!AB511</f>
        <v>6.2819989320601809E-5</v>
      </c>
      <c r="AU511" s="18">
        <f>IF(
      SUM(Audit[[#This Row],[Audit Losing Candidate]:[Audit Candidate 12]])
      &lt;&gt;0,
      (Audit[[#This Row],[Winning Candidate]]-Audit[[#This Row],[Losing Candidate]]-(Audit[[#This Row],[Audit Winning Candidate]]-Audit[[#This Row],[Audit Losing Candidate]]))/(Audit[[#Totals],[Winning Candidate]]-Audit[[#Totals],[Losing Candidate]]),
      0
)</f>
        <v>0</v>
      </c>
      <c r="AV5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8">
        <f>IF(Audit[[#This Row],[Max Relative Error (ep)]] = 0, 0, Audit[[#This Row],[Max Relative Error (ep)]]/Audit[[#This Row],[Error Bound (up) - Max. possible relative overstatement]])</f>
        <v>0</v>
      </c>
      <c r="BH5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1" s="18">
        <f t="shared" si="8"/>
        <v>1</v>
      </c>
      <c r="BJ511" s="18">
        <f>PRODUCT($BI$5:BI511)</f>
        <v>0.32656797278968008</v>
      </c>
      <c r="BK511" s="20">
        <f>1 - Audit[[#This Row],[K-M P Value]]</f>
        <v>0.67343202721031992</v>
      </c>
      <c r="BL511" s="18" t="str">
        <f>IF(Audit[[#This Row],[K-M P Value]]&gt;1-'General Info'!$B$12,"Continue", "Stop")</f>
        <v>Continue</v>
      </c>
      <c r="BM511" s="23" t="b">
        <f>IF(Audit[[#This Row],[Status - Continue or stop audit]] = "Continue", TRUE, IF(BL510 = "Continue", TRUE, FALSE))</f>
        <v>1</v>
      </c>
      <c r="BN511" s="23"/>
    </row>
    <row r="512" spans="1:66" ht="15" hidden="1" customHeight="1" x14ac:dyDescent="0.35">
      <c r="A512" s="18" t="str">
        <f>'Sampling Data'!AI512</f>
        <v/>
      </c>
      <c r="B512" s="18" t="str">
        <f>'Sampling Data'!A512</f>
        <v>8706 SPFLD F   (AV)</v>
      </c>
      <c r="C512" s="18">
        <f>'Sampling Data'!B512</f>
        <v>8</v>
      </c>
      <c r="D512" s="18">
        <f>'Sampling Data'!C512</f>
        <v>1</v>
      </c>
      <c r="E512" s="19">
        <f>'Sampling Data'!D512</f>
        <v>0</v>
      </c>
      <c r="F512" s="19">
        <f>'Sampling Data'!E512</f>
        <v>0</v>
      </c>
      <c r="G512" s="19">
        <f>'Sampling Data'!F512</f>
        <v>0</v>
      </c>
      <c r="H512" s="19">
        <f>'Sampling Data'!G512</f>
        <v>0</v>
      </c>
      <c r="I512" s="19">
        <f>'Sampling Data'!H512</f>
        <v>0</v>
      </c>
      <c r="J512" s="19">
        <f>'Sampling Data'!I512</f>
        <v>0</v>
      </c>
      <c r="K512" s="19">
        <f>'Sampling Data'!J512</f>
        <v>0</v>
      </c>
      <c r="L512" s="19">
        <f>'Sampling Data'!K512</f>
        <v>0</v>
      </c>
      <c r="M512" s="19">
        <f>'Sampling Data'!L512</f>
        <v>0</v>
      </c>
      <c r="N512" s="19">
        <f>'Sampling Data'!M512</f>
        <v>0</v>
      </c>
      <c r="O512" s="18">
        <f>'Sampling Data'!N512</f>
        <v>0</v>
      </c>
      <c r="P512" s="18">
        <f>'Sampling Data'!O512</f>
        <v>0</v>
      </c>
      <c r="Q512" s="18">
        <f>'Sampling Data'!P512</f>
        <v>9</v>
      </c>
      <c r="R512" s="18">
        <f>'Sampling Data'!AJ512</f>
        <v>0</v>
      </c>
      <c r="S512" s="112"/>
      <c r="T512" s="112"/>
      <c r="U512" s="113"/>
      <c r="V512" s="113"/>
      <c r="W512" s="112"/>
      <c r="X512" s="112"/>
      <c r="Y512" s="112"/>
      <c r="Z512" s="112"/>
      <c r="AA512" s="15"/>
      <c r="AB512" s="15"/>
      <c r="AC512" s="15"/>
      <c r="AD512" s="15"/>
      <c r="AE512" s="114" t="str">
        <f>IF(NOT(ISBLANK(Audit[[#This Row],[Audit Winning Candidate]])), Audit[[#This Row],[Audit Winning Candidate]]-Audit[[#This Row],[Winning Candidate]], "")</f>
        <v/>
      </c>
      <c r="AF512" s="18" t="str">
        <f>IF(NOT(ISBLANK(Audit[[#This Row],[Audit Losing Candidate]])), Audit[[#This Row],[Audit Losing Candidate]]-Audit[[#This Row],[Losing Candidate]], "")</f>
        <v/>
      </c>
      <c r="AG512" s="18" t="str">
        <f>IF(NOT(ISBLANK(Audit[[#This Row],[Audit Candidate 3]])), Audit[[#This Row],[Audit Candidate 3]]-Audit[[#This Row],[Candidate 3]], "")</f>
        <v/>
      </c>
      <c r="AH512" s="18" t="str">
        <f>IF(NOT(ISBLANK(Audit[[#This Row],[Audit Candidate 4]])),Audit[[#This Row],[Audit Candidate 4]]-Audit[[#This Row],[Candidate 4]], "")</f>
        <v/>
      </c>
      <c r="AI512" s="18" t="str">
        <f>IF(NOT(ISBLANK(Audit[[#This Row],[Audit Candidate 5]])), Audit[[#This Row],[Audit Candidate 5]]-Audit[[#This Row],[Candidate 5]], "")</f>
        <v/>
      </c>
      <c r="AJ512" s="18" t="str">
        <f>IF(NOT(ISBLANK(Audit[[#This Row],[Audit Candidate 6]])), Audit[[#This Row],[Audit Candidate 6]]-Audit[[#This Row],[Candidate 6]], "")</f>
        <v/>
      </c>
      <c r="AK512" s="18" t="str">
        <f>IF(NOT(ISBLANK(Audit[[#This Row],[Audit Candidate 7]])), Audit[[#This Row],[Audit Candidate 7]]-Audit[[#This Row],[Candidate 7]], "")</f>
        <v/>
      </c>
      <c r="AL512" s="18" t="str">
        <f>IF(NOT(ISBLANK(Audit[[#This Row],[Audit Candidate 8]])), Audit[[#This Row],[Audit Candidate 8]]-Audit[[#This Row],[Candidate 8]], "")</f>
        <v/>
      </c>
      <c r="AM512" s="18" t="str">
        <f>IF(NOT(ISBLANK(Audit[[#This Row],[Audit Candidate 9]])), Audit[[#This Row],[Audit Candidate 9]]-Audit[[#This Row],[Candidate 9]], "")</f>
        <v/>
      </c>
      <c r="AN512" s="18" t="str">
        <f>IF(NOT(ISBLANK(Audit[[#This Row],[Audit Candidate 10]])), Audit[[#This Row],[Audit Candidate 10]]-Audit[[#This Row],[Candidate 10]], "")</f>
        <v/>
      </c>
      <c r="AO512" s="18" t="str">
        <f>IF(NOT(ISBLANK(Audit[[#This Row],[Audit Candidate 11]])), Audit[[#This Row],[Audit Candidate 11]]-Audit[[#This Row],[Candidate 11]], "")</f>
        <v/>
      </c>
      <c r="AP512" s="18" t="str">
        <f>IF(NOT(ISBLANK(Audit[[#This Row],[Audit Candidate 12]])), Audit[[#This Row],[Audit Candidate 12]]-Audit[[#This Row],[Candidate 12]], "")</f>
        <v/>
      </c>
      <c r="AQ512" s="18">
        <f>SUMIF(Audit[[#This Row],[Difference Winner]:[Difference Candidate 12]], "&gt;0")</f>
        <v>0</v>
      </c>
      <c r="AR512" s="18">
        <f>SUM(Audit[[#This Row],[Difference Winner]:[Difference Candidate 12]])</f>
        <v>0</v>
      </c>
      <c r="AS512" s="18">
        <f>IF(Audit[[#This Row],[Times p Drawn - With Replacement]]&gt;0, IF(Audit[[#This Row],[Canceled Differences]]&lt;0, Audit[[#This Row],[Max Differences]]+ABS(Audit[[#This Row],[Canceled Differences]]), Audit[[#This Row],[Max Differences]]), 0)</f>
        <v>0</v>
      </c>
      <c r="AT512" s="18">
        <f>'Sampling Data'!AB512</f>
        <v>5.0255991456481448E-4</v>
      </c>
      <c r="AU512" s="18">
        <f>IF(
      SUM(Audit[[#This Row],[Audit Losing Candidate]:[Audit Candidate 12]])
      &lt;&gt;0,
      (Audit[[#This Row],[Winning Candidate]]-Audit[[#This Row],[Losing Candidate]]-(Audit[[#This Row],[Audit Winning Candidate]]-Audit[[#This Row],[Audit Losing Candidate]]))/(Audit[[#Totals],[Winning Candidate]]-Audit[[#Totals],[Losing Candidate]]),
      0
)</f>
        <v>0</v>
      </c>
      <c r="AV5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8">
        <f>IF(Audit[[#This Row],[Max Relative Error (ep)]] = 0, 0, Audit[[#This Row],[Max Relative Error (ep)]]/Audit[[#This Row],[Error Bound (up) - Max. possible relative overstatement]])</f>
        <v>0</v>
      </c>
      <c r="BH5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2" s="18">
        <f t="shared" si="8"/>
        <v>1</v>
      </c>
      <c r="BJ512" s="18">
        <f>PRODUCT($BI$5:BI512)</f>
        <v>0.32656797278968008</v>
      </c>
      <c r="BK512" s="20">
        <f>1 - Audit[[#This Row],[K-M P Value]]</f>
        <v>0.67343202721031992</v>
      </c>
      <c r="BL512" s="18" t="str">
        <f>IF(Audit[[#This Row],[K-M P Value]]&gt;1-'General Info'!$B$12,"Continue", "Stop")</f>
        <v>Continue</v>
      </c>
      <c r="BM512" s="23" t="b">
        <f>IF(Audit[[#This Row],[Status - Continue or stop audit]] = "Continue", TRUE, IF(BL511 = "Continue", TRUE, FALSE))</f>
        <v>1</v>
      </c>
      <c r="BN512" s="23"/>
    </row>
    <row r="513" spans="1:66" ht="15" hidden="1" customHeight="1" x14ac:dyDescent="0.35">
      <c r="A513" s="18" t="str">
        <f>'Sampling Data'!AI513</f>
        <v/>
      </c>
      <c r="B513" s="18" t="str">
        <f>'Sampling Data'!A513</f>
        <v>8707 SPFLD G   (AV)</v>
      </c>
      <c r="C513" s="18">
        <f>'Sampling Data'!B513</f>
        <v>2</v>
      </c>
      <c r="D513" s="18">
        <f>'Sampling Data'!C513</f>
        <v>2</v>
      </c>
      <c r="E513" s="19">
        <f>'Sampling Data'!D513</f>
        <v>0</v>
      </c>
      <c r="F513" s="19">
        <f>'Sampling Data'!E513</f>
        <v>0</v>
      </c>
      <c r="G513" s="19">
        <f>'Sampling Data'!F513</f>
        <v>0</v>
      </c>
      <c r="H513" s="19">
        <f>'Sampling Data'!G513</f>
        <v>0</v>
      </c>
      <c r="I513" s="19">
        <f>'Sampling Data'!H513</f>
        <v>0</v>
      </c>
      <c r="J513" s="19">
        <f>'Sampling Data'!I513</f>
        <v>0</v>
      </c>
      <c r="K513" s="19">
        <f>'Sampling Data'!J513</f>
        <v>0</v>
      </c>
      <c r="L513" s="19">
        <f>'Sampling Data'!K513</f>
        <v>0</v>
      </c>
      <c r="M513" s="19">
        <f>'Sampling Data'!L513</f>
        <v>0</v>
      </c>
      <c r="N513" s="19">
        <f>'Sampling Data'!M513</f>
        <v>0</v>
      </c>
      <c r="O513" s="18">
        <f>'Sampling Data'!N513</f>
        <v>0</v>
      </c>
      <c r="P513" s="18">
        <f>'Sampling Data'!O513</f>
        <v>0</v>
      </c>
      <c r="Q513" s="18">
        <f>'Sampling Data'!P513</f>
        <v>4</v>
      </c>
      <c r="R513" s="18">
        <f>'Sampling Data'!AJ513</f>
        <v>0</v>
      </c>
      <c r="S513" s="112"/>
      <c r="T513" s="112"/>
      <c r="U513" s="113"/>
      <c r="V513" s="113"/>
      <c r="W513" s="112"/>
      <c r="X513" s="112"/>
      <c r="Y513" s="112"/>
      <c r="Z513" s="112"/>
      <c r="AA513" s="15"/>
      <c r="AB513" s="15"/>
      <c r="AC513" s="15"/>
      <c r="AD513" s="15"/>
      <c r="AE513" s="114" t="str">
        <f>IF(NOT(ISBLANK(Audit[[#This Row],[Audit Winning Candidate]])), Audit[[#This Row],[Audit Winning Candidate]]-Audit[[#This Row],[Winning Candidate]], "")</f>
        <v/>
      </c>
      <c r="AF513" s="18" t="str">
        <f>IF(NOT(ISBLANK(Audit[[#This Row],[Audit Losing Candidate]])), Audit[[#This Row],[Audit Losing Candidate]]-Audit[[#This Row],[Losing Candidate]], "")</f>
        <v/>
      </c>
      <c r="AG513" s="18" t="str">
        <f>IF(NOT(ISBLANK(Audit[[#This Row],[Audit Candidate 3]])), Audit[[#This Row],[Audit Candidate 3]]-Audit[[#This Row],[Candidate 3]], "")</f>
        <v/>
      </c>
      <c r="AH513" s="18" t="str">
        <f>IF(NOT(ISBLANK(Audit[[#This Row],[Audit Candidate 4]])),Audit[[#This Row],[Audit Candidate 4]]-Audit[[#This Row],[Candidate 4]], "")</f>
        <v/>
      </c>
      <c r="AI513" s="18" t="str">
        <f>IF(NOT(ISBLANK(Audit[[#This Row],[Audit Candidate 5]])), Audit[[#This Row],[Audit Candidate 5]]-Audit[[#This Row],[Candidate 5]], "")</f>
        <v/>
      </c>
      <c r="AJ513" s="18" t="str">
        <f>IF(NOT(ISBLANK(Audit[[#This Row],[Audit Candidate 6]])), Audit[[#This Row],[Audit Candidate 6]]-Audit[[#This Row],[Candidate 6]], "")</f>
        <v/>
      </c>
      <c r="AK513" s="18" t="str">
        <f>IF(NOT(ISBLANK(Audit[[#This Row],[Audit Candidate 7]])), Audit[[#This Row],[Audit Candidate 7]]-Audit[[#This Row],[Candidate 7]], "")</f>
        <v/>
      </c>
      <c r="AL513" s="18" t="str">
        <f>IF(NOT(ISBLANK(Audit[[#This Row],[Audit Candidate 8]])), Audit[[#This Row],[Audit Candidate 8]]-Audit[[#This Row],[Candidate 8]], "")</f>
        <v/>
      </c>
      <c r="AM513" s="18" t="str">
        <f>IF(NOT(ISBLANK(Audit[[#This Row],[Audit Candidate 9]])), Audit[[#This Row],[Audit Candidate 9]]-Audit[[#This Row],[Candidate 9]], "")</f>
        <v/>
      </c>
      <c r="AN513" s="18" t="str">
        <f>IF(NOT(ISBLANK(Audit[[#This Row],[Audit Candidate 10]])), Audit[[#This Row],[Audit Candidate 10]]-Audit[[#This Row],[Candidate 10]], "")</f>
        <v/>
      </c>
      <c r="AO513" s="18" t="str">
        <f>IF(NOT(ISBLANK(Audit[[#This Row],[Audit Candidate 11]])), Audit[[#This Row],[Audit Candidate 11]]-Audit[[#This Row],[Candidate 11]], "")</f>
        <v/>
      </c>
      <c r="AP513" s="18" t="str">
        <f>IF(NOT(ISBLANK(Audit[[#This Row],[Audit Candidate 12]])), Audit[[#This Row],[Audit Candidate 12]]-Audit[[#This Row],[Candidate 12]], "")</f>
        <v/>
      </c>
      <c r="AQ513" s="18">
        <f>SUMIF(Audit[[#This Row],[Difference Winner]:[Difference Candidate 12]], "&gt;0")</f>
        <v>0</v>
      </c>
      <c r="AR513" s="18">
        <f>SUM(Audit[[#This Row],[Difference Winner]:[Difference Candidate 12]])</f>
        <v>0</v>
      </c>
      <c r="AS513" s="18">
        <f>IF(Audit[[#This Row],[Times p Drawn - With Replacement]]&gt;0, IF(Audit[[#This Row],[Canceled Differences]]&lt;0, Audit[[#This Row],[Max Differences]]+ABS(Audit[[#This Row],[Canceled Differences]]), Audit[[#This Row],[Max Differences]]), 0)</f>
        <v>0</v>
      </c>
      <c r="AT513" s="18">
        <f>'Sampling Data'!AB513</f>
        <v>1.2563997864120362E-4</v>
      </c>
      <c r="AU513" s="18">
        <f>IF(
      SUM(Audit[[#This Row],[Audit Losing Candidate]:[Audit Candidate 12]])
      &lt;&gt;0,
      (Audit[[#This Row],[Winning Candidate]]-Audit[[#This Row],[Losing Candidate]]-(Audit[[#This Row],[Audit Winning Candidate]]-Audit[[#This Row],[Audit Losing Candidate]]))/(Audit[[#Totals],[Winning Candidate]]-Audit[[#Totals],[Losing Candidate]]),
      0
)</f>
        <v>0</v>
      </c>
      <c r="AV5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8">
        <f>IF(Audit[[#This Row],[Max Relative Error (ep)]] = 0, 0, Audit[[#This Row],[Max Relative Error (ep)]]/Audit[[#This Row],[Error Bound (up) - Max. possible relative overstatement]])</f>
        <v>0</v>
      </c>
      <c r="BH5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3" s="18">
        <f t="shared" si="8"/>
        <v>1</v>
      </c>
      <c r="BJ513" s="18">
        <f>PRODUCT($BI$5:BI513)</f>
        <v>0.32656797278968008</v>
      </c>
      <c r="BK513" s="20">
        <f>1 - Audit[[#This Row],[K-M P Value]]</f>
        <v>0.67343202721031992</v>
      </c>
      <c r="BL513" s="18" t="str">
        <f>IF(Audit[[#This Row],[K-M P Value]]&gt;1-'General Info'!$B$12,"Continue", "Stop")</f>
        <v>Continue</v>
      </c>
      <c r="BM513" s="23" t="b">
        <f>IF(Audit[[#This Row],[Status - Continue or stop audit]] = "Continue", TRUE, IF(BL512 = "Continue", TRUE, FALSE))</f>
        <v>1</v>
      </c>
      <c r="BN513" s="23"/>
    </row>
    <row r="514" spans="1:66" ht="15" hidden="1" customHeight="1" x14ac:dyDescent="0.35">
      <c r="A514" s="18" t="str">
        <f>'Sampling Data'!AI514</f>
        <v/>
      </c>
      <c r="B514" s="18" t="str">
        <f>'Sampling Data'!A514</f>
        <v>8708 SPFLD H   (AV)</v>
      </c>
      <c r="C514" s="18">
        <f>'Sampling Data'!B514</f>
        <v>21</v>
      </c>
      <c r="D514" s="18">
        <f>'Sampling Data'!C514</f>
        <v>0</v>
      </c>
      <c r="E514" s="19">
        <f>'Sampling Data'!D514</f>
        <v>0</v>
      </c>
      <c r="F514" s="19">
        <f>'Sampling Data'!E514</f>
        <v>0</v>
      </c>
      <c r="G514" s="19">
        <f>'Sampling Data'!F514</f>
        <v>0</v>
      </c>
      <c r="H514" s="19">
        <f>'Sampling Data'!G514</f>
        <v>0</v>
      </c>
      <c r="I514" s="19">
        <f>'Sampling Data'!H514</f>
        <v>0</v>
      </c>
      <c r="J514" s="19">
        <f>'Sampling Data'!I514</f>
        <v>0</v>
      </c>
      <c r="K514" s="19">
        <f>'Sampling Data'!J514</f>
        <v>0</v>
      </c>
      <c r="L514" s="19">
        <f>'Sampling Data'!K514</f>
        <v>0</v>
      </c>
      <c r="M514" s="19">
        <f>'Sampling Data'!L514</f>
        <v>0</v>
      </c>
      <c r="N514" s="19">
        <f>'Sampling Data'!M514</f>
        <v>0</v>
      </c>
      <c r="O514" s="18">
        <f>'Sampling Data'!N514</f>
        <v>0</v>
      </c>
      <c r="P514" s="18">
        <f>'Sampling Data'!O514</f>
        <v>0</v>
      </c>
      <c r="Q514" s="18">
        <f>'Sampling Data'!P514</f>
        <v>21</v>
      </c>
      <c r="R514" s="18">
        <f>'Sampling Data'!AJ514</f>
        <v>0</v>
      </c>
      <c r="S514" s="112"/>
      <c r="T514" s="112"/>
      <c r="U514" s="113"/>
      <c r="V514" s="113"/>
      <c r="W514" s="112"/>
      <c r="X514" s="112"/>
      <c r="Y514" s="112"/>
      <c r="Z514" s="112"/>
      <c r="AA514" s="15"/>
      <c r="AB514" s="15"/>
      <c r="AC514" s="15"/>
      <c r="AD514" s="15"/>
      <c r="AE514" s="114" t="str">
        <f>IF(NOT(ISBLANK(Audit[[#This Row],[Audit Winning Candidate]])), Audit[[#This Row],[Audit Winning Candidate]]-Audit[[#This Row],[Winning Candidate]], "")</f>
        <v/>
      </c>
      <c r="AF514" s="18" t="str">
        <f>IF(NOT(ISBLANK(Audit[[#This Row],[Audit Losing Candidate]])), Audit[[#This Row],[Audit Losing Candidate]]-Audit[[#This Row],[Losing Candidate]], "")</f>
        <v/>
      </c>
      <c r="AG514" s="18" t="str">
        <f>IF(NOT(ISBLANK(Audit[[#This Row],[Audit Candidate 3]])), Audit[[#This Row],[Audit Candidate 3]]-Audit[[#This Row],[Candidate 3]], "")</f>
        <v/>
      </c>
      <c r="AH514" s="18" t="str">
        <f>IF(NOT(ISBLANK(Audit[[#This Row],[Audit Candidate 4]])),Audit[[#This Row],[Audit Candidate 4]]-Audit[[#This Row],[Candidate 4]], "")</f>
        <v/>
      </c>
      <c r="AI514" s="18" t="str">
        <f>IF(NOT(ISBLANK(Audit[[#This Row],[Audit Candidate 5]])), Audit[[#This Row],[Audit Candidate 5]]-Audit[[#This Row],[Candidate 5]], "")</f>
        <v/>
      </c>
      <c r="AJ514" s="18" t="str">
        <f>IF(NOT(ISBLANK(Audit[[#This Row],[Audit Candidate 6]])), Audit[[#This Row],[Audit Candidate 6]]-Audit[[#This Row],[Candidate 6]], "")</f>
        <v/>
      </c>
      <c r="AK514" s="18" t="str">
        <f>IF(NOT(ISBLANK(Audit[[#This Row],[Audit Candidate 7]])), Audit[[#This Row],[Audit Candidate 7]]-Audit[[#This Row],[Candidate 7]], "")</f>
        <v/>
      </c>
      <c r="AL514" s="18" t="str">
        <f>IF(NOT(ISBLANK(Audit[[#This Row],[Audit Candidate 8]])), Audit[[#This Row],[Audit Candidate 8]]-Audit[[#This Row],[Candidate 8]], "")</f>
        <v/>
      </c>
      <c r="AM514" s="18" t="str">
        <f>IF(NOT(ISBLANK(Audit[[#This Row],[Audit Candidate 9]])), Audit[[#This Row],[Audit Candidate 9]]-Audit[[#This Row],[Candidate 9]], "")</f>
        <v/>
      </c>
      <c r="AN514" s="18" t="str">
        <f>IF(NOT(ISBLANK(Audit[[#This Row],[Audit Candidate 10]])), Audit[[#This Row],[Audit Candidate 10]]-Audit[[#This Row],[Candidate 10]], "")</f>
        <v/>
      </c>
      <c r="AO514" s="18" t="str">
        <f>IF(NOT(ISBLANK(Audit[[#This Row],[Audit Candidate 11]])), Audit[[#This Row],[Audit Candidate 11]]-Audit[[#This Row],[Candidate 11]], "")</f>
        <v/>
      </c>
      <c r="AP514" s="18" t="str">
        <f>IF(NOT(ISBLANK(Audit[[#This Row],[Audit Candidate 12]])), Audit[[#This Row],[Audit Candidate 12]]-Audit[[#This Row],[Candidate 12]], "")</f>
        <v/>
      </c>
      <c r="AQ514" s="18">
        <f>SUMIF(Audit[[#This Row],[Difference Winner]:[Difference Candidate 12]], "&gt;0")</f>
        <v>0</v>
      </c>
      <c r="AR514" s="18">
        <f>SUM(Audit[[#This Row],[Difference Winner]:[Difference Candidate 12]])</f>
        <v>0</v>
      </c>
      <c r="AS514" s="18">
        <f>IF(Audit[[#This Row],[Times p Drawn - With Replacement]]&gt;0, IF(Audit[[#This Row],[Canceled Differences]]&lt;0, Audit[[#This Row],[Max Differences]]+ABS(Audit[[#This Row],[Canceled Differences]]), Audit[[#This Row],[Max Differences]]), 0)</f>
        <v>0</v>
      </c>
      <c r="AT514" s="18">
        <f>'Sampling Data'!AB514</f>
        <v>1.3192197757326382E-3</v>
      </c>
      <c r="AU514" s="18">
        <f>IF(
      SUM(Audit[[#This Row],[Audit Losing Candidate]:[Audit Candidate 12]])
      &lt;&gt;0,
      (Audit[[#This Row],[Winning Candidate]]-Audit[[#This Row],[Losing Candidate]]-(Audit[[#This Row],[Audit Winning Candidate]]-Audit[[#This Row],[Audit Losing Candidate]]))/(Audit[[#Totals],[Winning Candidate]]-Audit[[#Totals],[Losing Candidate]]),
      0
)</f>
        <v>0</v>
      </c>
      <c r="AV5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8">
        <f>IF(Audit[[#This Row],[Max Relative Error (ep)]] = 0, 0, Audit[[#This Row],[Max Relative Error (ep)]]/Audit[[#This Row],[Error Bound (up) - Max. possible relative overstatement]])</f>
        <v>0</v>
      </c>
      <c r="BH5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4" s="18">
        <f t="shared" si="8"/>
        <v>1</v>
      </c>
      <c r="BJ514" s="18">
        <f>PRODUCT($BI$5:BI514)</f>
        <v>0.32656797278968008</v>
      </c>
      <c r="BK514" s="20">
        <f>1 - Audit[[#This Row],[K-M P Value]]</f>
        <v>0.67343202721031992</v>
      </c>
      <c r="BL514" s="18" t="str">
        <f>IF(Audit[[#This Row],[K-M P Value]]&gt;1-'General Info'!$B$12,"Continue", "Stop")</f>
        <v>Continue</v>
      </c>
      <c r="BM514" s="23" t="b">
        <f>IF(Audit[[#This Row],[Status - Continue or stop audit]] = "Continue", TRUE, IF(BL513 = "Continue", TRUE, FALSE))</f>
        <v>1</v>
      </c>
      <c r="BN514" s="23"/>
    </row>
    <row r="515" spans="1:66" ht="15" hidden="1" customHeight="1" x14ac:dyDescent="0.35">
      <c r="A515" s="18" t="str">
        <f>'Sampling Data'!AI515</f>
        <v/>
      </c>
      <c r="B515" s="18" t="str">
        <f>'Sampling Data'!A515</f>
        <v>8709 SPFLD I   (AV)</v>
      </c>
      <c r="C515" s="18">
        <f>'Sampling Data'!B515</f>
        <v>2</v>
      </c>
      <c r="D515" s="18">
        <f>'Sampling Data'!C515</f>
        <v>2</v>
      </c>
      <c r="E515" s="19">
        <f>'Sampling Data'!D515</f>
        <v>0</v>
      </c>
      <c r="F515" s="19">
        <f>'Sampling Data'!E515</f>
        <v>0</v>
      </c>
      <c r="G515" s="19">
        <f>'Sampling Data'!F515</f>
        <v>0</v>
      </c>
      <c r="H515" s="19">
        <f>'Sampling Data'!G515</f>
        <v>0</v>
      </c>
      <c r="I515" s="19">
        <f>'Sampling Data'!H515</f>
        <v>0</v>
      </c>
      <c r="J515" s="19">
        <f>'Sampling Data'!I515</f>
        <v>0</v>
      </c>
      <c r="K515" s="19">
        <f>'Sampling Data'!J515</f>
        <v>0</v>
      </c>
      <c r="L515" s="19">
        <f>'Sampling Data'!K515</f>
        <v>0</v>
      </c>
      <c r="M515" s="19">
        <f>'Sampling Data'!L515</f>
        <v>0</v>
      </c>
      <c r="N515" s="19">
        <f>'Sampling Data'!M515</f>
        <v>0</v>
      </c>
      <c r="O515" s="18">
        <f>'Sampling Data'!N515</f>
        <v>0</v>
      </c>
      <c r="P515" s="18">
        <f>'Sampling Data'!O515</f>
        <v>0</v>
      </c>
      <c r="Q515" s="18">
        <f>'Sampling Data'!P515</f>
        <v>4</v>
      </c>
      <c r="R515" s="18">
        <f>'Sampling Data'!AJ515</f>
        <v>0</v>
      </c>
      <c r="S515" s="112"/>
      <c r="T515" s="112"/>
      <c r="U515" s="113"/>
      <c r="V515" s="113"/>
      <c r="W515" s="112"/>
      <c r="X515" s="112"/>
      <c r="Y515" s="112"/>
      <c r="Z515" s="112"/>
      <c r="AA515" s="15"/>
      <c r="AB515" s="15"/>
      <c r="AC515" s="15"/>
      <c r="AD515" s="15"/>
      <c r="AE515" s="114" t="str">
        <f>IF(NOT(ISBLANK(Audit[[#This Row],[Audit Winning Candidate]])), Audit[[#This Row],[Audit Winning Candidate]]-Audit[[#This Row],[Winning Candidate]], "")</f>
        <v/>
      </c>
      <c r="AF515" s="18" t="str">
        <f>IF(NOT(ISBLANK(Audit[[#This Row],[Audit Losing Candidate]])), Audit[[#This Row],[Audit Losing Candidate]]-Audit[[#This Row],[Losing Candidate]], "")</f>
        <v/>
      </c>
      <c r="AG515" s="18" t="str">
        <f>IF(NOT(ISBLANK(Audit[[#This Row],[Audit Candidate 3]])), Audit[[#This Row],[Audit Candidate 3]]-Audit[[#This Row],[Candidate 3]], "")</f>
        <v/>
      </c>
      <c r="AH515" s="18" t="str">
        <f>IF(NOT(ISBLANK(Audit[[#This Row],[Audit Candidate 4]])),Audit[[#This Row],[Audit Candidate 4]]-Audit[[#This Row],[Candidate 4]], "")</f>
        <v/>
      </c>
      <c r="AI515" s="18" t="str">
        <f>IF(NOT(ISBLANK(Audit[[#This Row],[Audit Candidate 5]])), Audit[[#This Row],[Audit Candidate 5]]-Audit[[#This Row],[Candidate 5]], "")</f>
        <v/>
      </c>
      <c r="AJ515" s="18" t="str">
        <f>IF(NOT(ISBLANK(Audit[[#This Row],[Audit Candidate 6]])), Audit[[#This Row],[Audit Candidate 6]]-Audit[[#This Row],[Candidate 6]], "")</f>
        <v/>
      </c>
      <c r="AK515" s="18" t="str">
        <f>IF(NOT(ISBLANK(Audit[[#This Row],[Audit Candidate 7]])), Audit[[#This Row],[Audit Candidate 7]]-Audit[[#This Row],[Candidate 7]], "")</f>
        <v/>
      </c>
      <c r="AL515" s="18" t="str">
        <f>IF(NOT(ISBLANK(Audit[[#This Row],[Audit Candidate 8]])), Audit[[#This Row],[Audit Candidate 8]]-Audit[[#This Row],[Candidate 8]], "")</f>
        <v/>
      </c>
      <c r="AM515" s="18" t="str">
        <f>IF(NOT(ISBLANK(Audit[[#This Row],[Audit Candidate 9]])), Audit[[#This Row],[Audit Candidate 9]]-Audit[[#This Row],[Candidate 9]], "")</f>
        <v/>
      </c>
      <c r="AN515" s="18" t="str">
        <f>IF(NOT(ISBLANK(Audit[[#This Row],[Audit Candidate 10]])), Audit[[#This Row],[Audit Candidate 10]]-Audit[[#This Row],[Candidate 10]], "")</f>
        <v/>
      </c>
      <c r="AO515" s="18" t="str">
        <f>IF(NOT(ISBLANK(Audit[[#This Row],[Audit Candidate 11]])), Audit[[#This Row],[Audit Candidate 11]]-Audit[[#This Row],[Candidate 11]], "")</f>
        <v/>
      </c>
      <c r="AP515" s="18" t="str">
        <f>IF(NOT(ISBLANK(Audit[[#This Row],[Audit Candidate 12]])), Audit[[#This Row],[Audit Candidate 12]]-Audit[[#This Row],[Candidate 12]], "")</f>
        <v/>
      </c>
      <c r="AQ515" s="18">
        <f>SUMIF(Audit[[#This Row],[Difference Winner]:[Difference Candidate 12]], "&gt;0")</f>
        <v>0</v>
      </c>
      <c r="AR515" s="18">
        <f>SUM(Audit[[#This Row],[Difference Winner]:[Difference Candidate 12]])</f>
        <v>0</v>
      </c>
      <c r="AS515" s="18">
        <f>IF(Audit[[#This Row],[Times p Drawn - With Replacement]]&gt;0, IF(Audit[[#This Row],[Canceled Differences]]&lt;0, Audit[[#This Row],[Max Differences]]+ABS(Audit[[#This Row],[Canceled Differences]]), Audit[[#This Row],[Max Differences]]), 0)</f>
        <v>0</v>
      </c>
      <c r="AT515" s="18">
        <f>'Sampling Data'!AB515</f>
        <v>1.2563997864120362E-4</v>
      </c>
      <c r="AU515" s="18">
        <f>IF(
      SUM(Audit[[#This Row],[Audit Losing Candidate]:[Audit Candidate 12]])
      &lt;&gt;0,
      (Audit[[#This Row],[Winning Candidate]]-Audit[[#This Row],[Losing Candidate]]-(Audit[[#This Row],[Audit Winning Candidate]]-Audit[[#This Row],[Audit Losing Candidate]]))/(Audit[[#Totals],[Winning Candidate]]-Audit[[#Totals],[Losing Candidate]]),
      0
)</f>
        <v>0</v>
      </c>
      <c r="AV5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8">
        <f>IF(Audit[[#This Row],[Max Relative Error (ep)]] = 0, 0, Audit[[#This Row],[Max Relative Error (ep)]]/Audit[[#This Row],[Error Bound (up) - Max. possible relative overstatement]])</f>
        <v>0</v>
      </c>
      <c r="BH5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5" s="18">
        <f t="shared" si="8"/>
        <v>1</v>
      </c>
      <c r="BJ515" s="18">
        <f>PRODUCT($BI$5:BI515)</f>
        <v>0.32656797278968008</v>
      </c>
      <c r="BK515" s="20">
        <f>1 - Audit[[#This Row],[K-M P Value]]</f>
        <v>0.67343202721031992</v>
      </c>
      <c r="BL515" s="18" t="str">
        <f>IF(Audit[[#This Row],[K-M P Value]]&gt;1-'General Info'!$B$12,"Continue", "Stop")</f>
        <v>Continue</v>
      </c>
      <c r="BM515" s="23" t="b">
        <f>IF(Audit[[#This Row],[Status - Continue or stop audit]] = "Continue", TRUE, IF(BL514 = "Continue", TRUE, FALSE))</f>
        <v>1</v>
      </c>
      <c r="BN515" s="23"/>
    </row>
    <row r="516" spans="1:66" ht="15" hidden="1" customHeight="1" x14ac:dyDescent="0.35">
      <c r="A516" s="18" t="str">
        <f>'Sampling Data'!AI516</f>
        <v/>
      </c>
      <c r="B516" s="18" t="str">
        <f>'Sampling Data'!A516</f>
        <v>8710 SPFLD J   (AV)</v>
      </c>
      <c r="C516" s="18">
        <f>'Sampling Data'!B516</f>
        <v>5</v>
      </c>
      <c r="D516" s="18">
        <f>'Sampling Data'!C516</f>
        <v>1</v>
      </c>
      <c r="E516" s="19">
        <f>'Sampling Data'!D516</f>
        <v>0</v>
      </c>
      <c r="F516" s="19">
        <f>'Sampling Data'!E516</f>
        <v>0</v>
      </c>
      <c r="G516" s="19">
        <f>'Sampling Data'!F516</f>
        <v>0</v>
      </c>
      <c r="H516" s="19">
        <f>'Sampling Data'!G516</f>
        <v>0</v>
      </c>
      <c r="I516" s="19">
        <f>'Sampling Data'!H516</f>
        <v>0</v>
      </c>
      <c r="J516" s="19">
        <f>'Sampling Data'!I516</f>
        <v>0</v>
      </c>
      <c r="K516" s="19">
        <f>'Sampling Data'!J516</f>
        <v>0</v>
      </c>
      <c r="L516" s="19">
        <f>'Sampling Data'!K516</f>
        <v>0</v>
      </c>
      <c r="M516" s="19">
        <f>'Sampling Data'!L516</f>
        <v>0</v>
      </c>
      <c r="N516" s="19">
        <f>'Sampling Data'!M516</f>
        <v>0</v>
      </c>
      <c r="O516" s="18">
        <f>'Sampling Data'!N516</f>
        <v>0</v>
      </c>
      <c r="P516" s="18">
        <f>'Sampling Data'!O516</f>
        <v>0</v>
      </c>
      <c r="Q516" s="18">
        <f>'Sampling Data'!P516</f>
        <v>6</v>
      </c>
      <c r="R516" s="18">
        <f>'Sampling Data'!AJ516</f>
        <v>0</v>
      </c>
      <c r="S516" s="112"/>
      <c r="T516" s="112"/>
      <c r="U516" s="113"/>
      <c r="V516" s="113"/>
      <c r="W516" s="112"/>
      <c r="X516" s="112"/>
      <c r="Y516" s="112"/>
      <c r="Z516" s="112"/>
      <c r="AA516" s="15"/>
      <c r="AB516" s="15"/>
      <c r="AC516" s="15"/>
      <c r="AD516" s="15"/>
      <c r="AE516" s="114" t="str">
        <f>IF(NOT(ISBLANK(Audit[[#This Row],[Audit Winning Candidate]])), Audit[[#This Row],[Audit Winning Candidate]]-Audit[[#This Row],[Winning Candidate]], "")</f>
        <v/>
      </c>
      <c r="AF516" s="18" t="str">
        <f>IF(NOT(ISBLANK(Audit[[#This Row],[Audit Losing Candidate]])), Audit[[#This Row],[Audit Losing Candidate]]-Audit[[#This Row],[Losing Candidate]], "")</f>
        <v/>
      </c>
      <c r="AG516" s="18" t="str">
        <f>IF(NOT(ISBLANK(Audit[[#This Row],[Audit Candidate 3]])), Audit[[#This Row],[Audit Candidate 3]]-Audit[[#This Row],[Candidate 3]], "")</f>
        <v/>
      </c>
      <c r="AH516" s="18" t="str">
        <f>IF(NOT(ISBLANK(Audit[[#This Row],[Audit Candidate 4]])),Audit[[#This Row],[Audit Candidate 4]]-Audit[[#This Row],[Candidate 4]], "")</f>
        <v/>
      </c>
      <c r="AI516" s="18" t="str">
        <f>IF(NOT(ISBLANK(Audit[[#This Row],[Audit Candidate 5]])), Audit[[#This Row],[Audit Candidate 5]]-Audit[[#This Row],[Candidate 5]], "")</f>
        <v/>
      </c>
      <c r="AJ516" s="18" t="str">
        <f>IF(NOT(ISBLANK(Audit[[#This Row],[Audit Candidate 6]])), Audit[[#This Row],[Audit Candidate 6]]-Audit[[#This Row],[Candidate 6]], "")</f>
        <v/>
      </c>
      <c r="AK516" s="18" t="str">
        <f>IF(NOT(ISBLANK(Audit[[#This Row],[Audit Candidate 7]])), Audit[[#This Row],[Audit Candidate 7]]-Audit[[#This Row],[Candidate 7]], "")</f>
        <v/>
      </c>
      <c r="AL516" s="18" t="str">
        <f>IF(NOT(ISBLANK(Audit[[#This Row],[Audit Candidate 8]])), Audit[[#This Row],[Audit Candidate 8]]-Audit[[#This Row],[Candidate 8]], "")</f>
        <v/>
      </c>
      <c r="AM516" s="18" t="str">
        <f>IF(NOT(ISBLANK(Audit[[#This Row],[Audit Candidate 9]])), Audit[[#This Row],[Audit Candidate 9]]-Audit[[#This Row],[Candidate 9]], "")</f>
        <v/>
      </c>
      <c r="AN516" s="18" t="str">
        <f>IF(NOT(ISBLANK(Audit[[#This Row],[Audit Candidate 10]])), Audit[[#This Row],[Audit Candidate 10]]-Audit[[#This Row],[Candidate 10]], "")</f>
        <v/>
      </c>
      <c r="AO516" s="18" t="str">
        <f>IF(NOT(ISBLANK(Audit[[#This Row],[Audit Candidate 11]])), Audit[[#This Row],[Audit Candidate 11]]-Audit[[#This Row],[Candidate 11]], "")</f>
        <v/>
      </c>
      <c r="AP516" s="18" t="str">
        <f>IF(NOT(ISBLANK(Audit[[#This Row],[Audit Candidate 12]])), Audit[[#This Row],[Audit Candidate 12]]-Audit[[#This Row],[Candidate 12]], "")</f>
        <v/>
      </c>
      <c r="AQ516" s="18">
        <f>SUMIF(Audit[[#This Row],[Difference Winner]:[Difference Candidate 12]], "&gt;0")</f>
        <v>0</v>
      </c>
      <c r="AR516" s="18">
        <f>SUM(Audit[[#This Row],[Difference Winner]:[Difference Candidate 12]])</f>
        <v>0</v>
      </c>
      <c r="AS516" s="18">
        <f>IF(Audit[[#This Row],[Times p Drawn - With Replacement]]&gt;0, IF(Audit[[#This Row],[Canceled Differences]]&lt;0, Audit[[#This Row],[Max Differences]]+ABS(Audit[[#This Row],[Canceled Differences]]), Audit[[#This Row],[Max Differences]]), 0)</f>
        <v>0</v>
      </c>
      <c r="AT516" s="18">
        <f>'Sampling Data'!AB516</f>
        <v>3.1409994660300906E-4</v>
      </c>
      <c r="AU516" s="18">
        <f>IF(
      SUM(Audit[[#This Row],[Audit Losing Candidate]:[Audit Candidate 12]])
      &lt;&gt;0,
      (Audit[[#This Row],[Winning Candidate]]-Audit[[#This Row],[Losing Candidate]]-(Audit[[#This Row],[Audit Winning Candidate]]-Audit[[#This Row],[Audit Losing Candidate]]))/(Audit[[#Totals],[Winning Candidate]]-Audit[[#Totals],[Losing Candidate]]),
      0
)</f>
        <v>0</v>
      </c>
      <c r="AV5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8">
        <f>IF(Audit[[#This Row],[Max Relative Error (ep)]] = 0, 0, Audit[[#This Row],[Max Relative Error (ep)]]/Audit[[#This Row],[Error Bound (up) - Max. possible relative overstatement]])</f>
        <v>0</v>
      </c>
      <c r="BH5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6" s="18">
        <f t="shared" si="8"/>
        <v>1</v>
      </c>
      <c r="BJ516" s="18">
        <f>PRODUCT($BI$5:BI516)</f>
        <v>0.32656797278968008</v>
      </c>
      <c r="BK516" s="20">
        <f>1 - Audit[[#This Row],[K-M P Value]]</f>
        <v>0.67343202721031992</v>
      </c>
      <c r="BL516" s="18" t="str">
        <f>IF(Audit[[#This Row],[K-M P Value]]&gt;1-'General Info'!$B$12,"Continue", "Stop")</f>
        <v>Continue</v>
      </c>
      <c r="BM516" s="23" t="b">
        <f>IF(Audit[[#This Row],[Status - Continue or stop audit]] = "Continue", TRUE, IF(BL515 = "Continue", TRUE, FALSE))</f>
        <v>1</v>
      </c>
      <c r="BN516" s="23"/>
    </row>
    <row r="517" spans="1:66" ht="15" hidden="1" customHeight="1" x14ac:dyDescent="0.35">
      <c r="A517" s="18" t="str">
        <f>'Sampling Data'!AI517</f>
        <v/>
      </c>
      <c r="B517" s="18" t="str">
        <f>'Sampling Data'!A517</f>
        <v>8711 SPFLD K   (AV)</v>
      </c>
      <c r="C517" s="18">
        <f>'Sampling Data'!B517</f>
        <v>3</v>
      </c>
      <c r="D517" s="18">
        <f>'Sampling Data'!C517</f>
        <v>0</v>
      </c>
      <c r="E517" s="19">
        <f>'Sampling Data'!D517</f>
        <v>0</v>
      </c>
      <c r="F517" s="19">
        <f>'Sampling Data'!E517</f>
        <v>0</v>
      </c>
      <c r="G517" s="19">
        <f>'Sampling Data'!F517</f>
        <v>0</v>
      </c>
      <c r="H517" s="19">
        <f>'Sampling Data'!G517</f>
        <v>0</v>
      </c>
      <c r="I517" s="19">
        <f>'Sampling Data'!H517</f>
        <v>0</v>
      </c>
      <c r="J517" s="19">
        <f>'Sampling Data'!I517</f>
        <v>0</v>
      </c>
      <c r="K517" s="19">
        <f>'Sampling Data'!J517</f>
        <v>0</v>
      </c>
      <c r="L517" s="19">
        <f>'Sampling Data'!K517</f>
        <v>0</v>
      </c>
      <c r="M517" s="19">
        <f>'Sampling Data'!L517</f>
        <v>0</v>
      </c>
      <c r="N517" s="19">
        <f>'Sampling Data'!M517</f>
        <v>0</v>
      </c>
      <c r="O517" s="18">
        <f>'Sampling Data'!N517</f>
        <v>0</v>
      </c>
      <c r="P517" s="18">
        <f>'Sampling Data'!O517</f>
        <v>0</v>
      </c>
      <c r="Q517" s="18">
        <f>'Sampling Data'!P517</f>
        <v>3</v>
      </c>
      <c r="R517" s="18">
        <f>'Sampling Data'!AJ517</f>
        <v>0</v>
      </c>
      <c r="S517" s="112"/>
      <c r="T517" s="112"/>
      <c r="U517" s="113"/>
      <c r="V517" s="113"/>
      <c r="W517" s="112"/>
      <c r="X517" s="112"/>
      <c r="Y517" s="112"/>
      <c r="Z517" s="112"/>
      <c r="AA517" s="15"/>
      <c r="AB517" s="15"/>
      <c r="AC517" s="15"/>
      <c r="AD517" s="15"/>
      <c r="AE517" s="114" t="str">
        <f>IF(NOT(ISBLANK(Audit[[#This Row],[Audit Winning Candidate]])), Audit[[#This Row],[Audit Winning Candidate]]-Audit[[#This Row],[Winning Candidate]], "")</f>
        <v/>
      </c>
      <c r="AF517" s="18" t="str">
        <f>IF(NOT(ISBLANK(Audit[[#This Row],[Audit Losing Candidate]])), Audit[[#This Row],[Audit Losing Candidate]]-Audit[[#This Row],[Losing Candidate]], "")</f>
        <v/>
      </c>
      <c r="AG517" s="18" t="str">
        <f>IF(NOT(ISBLANK(Audit[[#This Row],[Audit Candidate 3]])), Audit[[#This Row],[Audit Candidate 3]]-Audit[[#This Row],[Candidate 3]], "")</f>
        <v/>
      </c>
      <c r="AH517" s="18" t="str">
        <f>IF(NOT(ISBLANK(Audit[[#This Row],[Audit Candidate 4]])),Audit[[#This Row],[Audit Candidate 4]]-Audit[[#This Row],[Candidate 4]], "")</f>
        <v/>
      </c>
      <c r="AI517" s="18" t="str">
        <f>IF(NOT(ISBLANK(Audit[[#This Row],[Audit Candidate 5]])), Audit[[#This Row],[Audit Candidate 5]]-Audit[[#This Row],[Candidate 5]], "")</f>
        <v/>
      </c>
      <c r="AJ517" s="18" t="str">
        <f>IF(NOT(ISBLANK(Audit[[#This Row],[Audit Candidate 6]])), Audit[[#This Row],[Audit Candidate 6]]-Audit[[#This Row],[Candidate 6]], "")</f>
        <v/>
      </c>
      <c r="AK517" s="18" t="str">
        <f>IF(NOT(ISBLANK(Audit[[#This Row],[Audit Candidate 7]])), Audit[[#This Row],[Audit Candidate 7]]-Audit[[#This Row],[Candidate 7]], "")</f>
        <v/>
      </c>
      <c r="AL517" s="18" t="str">
        <f>IF(NOT(ISBLANK(Audit[[#This Row],[Audit Candidate 8]])), Audit[[#This Row],[Audit Candidate 8]]-Audit[[#This Row],[Candidate 8]], "")</f>
        <v/>
      </c>
      <c r="AM517" s="18" t="str">
        <f>IF(NOT(ISBLANK(Audit[[#This Row],[Audit Candidate 9]])), Audit[[#This Row],[Audit Candidate 9]]-Audit[[#This Row],[Candidate 9]], "")</f>
        <v/>
      </c>
      <c r="AN517" s="18" t="str">
        <f>IF(NOT(ISBLANK(Audit[[#This Row],[Audit Candidate 10]])), Audit[[#This Row],[Audit Candidate 10]]-Audit[[#This Row],[Candidate 10]], "")</f>
        <v/>
      </c>
      <c r="AO517" s="18" t="str">
        <f>IF(NOT(ISBLANK(Audit[[#This Row],[Audit Candidate 11]])), Audit[[#This Row],[Audit Candidate 11]]-Audit[[#This Row],[Candidate 11]], "")</f>
        <v/>
      </c>
      <c r="AP517" s="18" t="str">
        <f>IF(NOT(ISBLANK(Audit[[#This Row],[Audit Candidate 12]])), Audit[[#This Row],[Audit Candidate 12]]-Audit[[#This Row],[Candidate 12]], "")</f>
        <v/>
      </c>
      <c r="AQ517" s="18">
        <f>SUMIF(Audit[[#This Row],[Difference Winner]:[Difference Candidate 12]], "&gt;0")</f>
        <v>0</v>
      </c>
      <c r="AR517" s="18">
        <f>SUM(Audit[[#This Row],[Difference Winner]:[Difference Candidate 12]])</f>
        <v>0</v>
      </c>
      <c r="AS517" s="18">
        <f>IF(Audit[[#This Row],[Times p Drawn - With Replacement]]&gt;0, IF(Audit[[#This Row],[Canceled Differences]]&lt;0, Audit[[#This Row],[Max Differences]]+ABS(Audit[[#This Row],[Canceled Differences]]), Audit[[#This Row],[Max Differences]]), 0)</f>
        <v>0</v>
      </c>
      <c r="AT517" s="18">
        <f>'Sampling Data'!AB517</f>
        <v>1.8845996796180544E-4</v>
      </c>
      <c r="AU517" s="18">
        <f>IF(
      SUM(Audit[[#This Row],[Audit Losing Candidate]:[Audit Candidate 12]])
      &lt;&gt;0,
      (Audit[[#This Row],[Winning Candidate]]-Audit[[#This Row],[Losing Candidate]]-(Audit[[#This Row],[Audit Winning Candidate]]-Audit[[#This Row],[Audit Losing Candidate]]))/(Audit[[#Totals],[Winning Candidate]]-Audit[[#Totals],[Losing Candidate]]),
      0
)</f>
        <v>0</v>
      </c>
      <c r="AV5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8">
        <f>IF(Audit[[#This Row],[Max Relative Error (ep)]] = 0, 0, Audit[[#This Row],[Max Relative Error (ep)]]/Audit[[#This Row],[Error Bound (up) - Max. possible relative overstatement]])</f>
        <v>0</v>
      </c>
      <c r="BH5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7" s="18">
        <f t="shared" si="8"/>
        <v>1</v>
      </c>
      <c r="BJ517" s="18">
        <f>PRODUCT($BI$5:BI517)</f>
        <v>0.32656797278968008</v>
      </c>
      <c r="BK517" s="20">
        <f>1 - Audit[[#This Row],[K-M P Value]]</f>
        <v>0.67343202721031992</v>
      </c>
      <c r="BL517" s="18" t="str">
        <f>IF(Audit[[#This Row],[K-M P Value]]&gt;1-'General Info'!$B$12,"Continue", "Stop")</f>
        <v>Continue</v>
      </c>
      <c r="BM517" s="23" t="b">
        <f>IF(Audit[[#This Row],[Status - Continue or stop audit]] = "Continue", TRUE, IF(BL516 = "Continue", TRUE, FALSE))</f>
        <v>1</v>
      </c>
      <c r="BN517" s="23"/>
    </row>
    <row r="518" spans="1:66" ht="15" hidden="1" customHeight="1" x14ac:dyDescent="0.35">
      <c r="A518" s="18" t="str">
        <f>'Sampling Data'!AI518</f>
        <v/>
      </c>
      <c r="B518" s="18" t="str">
        <f>'Sampling Data'!A518</f>
        <v>8712 SPFLD L   (AV)</v>
      </c>
      <c r="C518" s="18">
        <f>'Sampling Data'!B518</f>
        <v>0</v>
      </c>
      <c r="D518" s="18">
        <f>'Sampling Data'!C518</f>
        <v>0</v>
      </c>
      <c r="E518" s="19">
        <f>'Sampling Data'!D518</f>
        <v>0</v>
      </c>
      <c r="F518" s="19">
        <f>'Sampling Data'!E518</f>
        <v>0</v>
      </c>
      <c r="G518" s="19">
        <f>'Sampling Data'!F518</f>
        <v>0</v>
      </c>
      <c r="H518" s="19">
        <f>'Sampling Data'!G518</f>
        <v>0</v>
      </c>
      <c r="I518" s="19">
        <f>'Sampling Data'!H518</f>
        <v>0</v>
      </c>
      <c r="J518" s="19">
        <f>'Sampling Data'!I518</f>
        <v>0</v>
      </c>
      <c r="K518" s="19">
        <f>'Sampling Data'!J518</f>
        <v>0</v>
      </c>
      <c r="L518" s="19">
        <f>'Sampling Data'!K518</f>
        <v>0</v>
      </c>
      <c r="M518" s="19">
        <f>'Sampling Data'!L518</f>
        <v>0</v>
      </c>
      <c r="N518" s="19">
        <f>'Sampling Data'!M518</f>
        <v>0</v>
      </c>
      <c r="O518" s="18">
        <f>'Sampling Data'!N518</f>
        <v>0</v>
      </c>
      <c r="P518" s="18">
        <f>'Sampling Data'!O518</f>
        <v>0</v>
      </c>
      <c r="Q518" s="18">
        <f>'Sampling Data'!P518</f>
        <v>0</v>
      </c>
      <c r="R518" s="18">
        <f>'Sampling Data'!AJ518</f>
        <v>0</v>
      </c>
      <c r="S518" s="112"/>
      <c r="T518" s="112"/>
      <c r="U518" s="113"/>
      <c r="V518" s="113"/>
      <c r="W518" s="112"/>
      <c r="X518" s="112"/>
      <c r="Y518" s="112"/>
      <c r="Z518" s="112"/>
      <c r="AA518" s="15"/>
      <c r="AB518" s="15"/>
      <c r="AC518" s="15"/>
      <c r="AD518" s="15"/>
      <c r="AE518" s="114" t="str">
        <f>IF(NOT(ISBLANK(Audit[[#This Row],[Audit Winning Candidate]])), Audit[[#This Row],[Audit Winning Candidate]]-Audit[[#This Row],[Winning Candidate]], "")</f>
        <v/>
      </c>
      <c r="AF518" s="18" t="str">
        <f>IF(NOT(ISBLANK(Audit[[#This Row],[Audit Losing Candidate]])), Audit[[#This Row],[Audit Losing Candidate]]-Audit[[#This Row],[Losing Candidate]], "")</f>
        <v/>
      </c>
      <c r="AG518" s="18" t="str">
        <f>IF(NOT(ISBLANK(Audit[[#This Row],[Audit Candidate 3]])), Audit[[#This Row],[Audit Candidate 3]]-Audit[[#This Row],[Candidate 3]], "")</f>
        <v/>
      </c>
      <c r="AH518" s="18" t="str">
        <f>IF(NOT(ISBLANK(Audit[[#This Row],[Audit Candidate 4]])),Audit[[#This Row],[Audit Candidate 4]]-Audit[[#This Row],[Candidate 4]], "")</f>
        <v/>
      </c>
      <c r="AI518" s="18" t="str">
        <f>IF(NOT(ISBLANK(Audit[[#This Row],[Audit Candidate 5]])), Audit[[#This Row],[Audit Candidate 5]]-Audit[[#This Row],[Candidate 5]], "")</f>
        <v/>
      </c>
      <c r="AJ518" s="18" t="str">
        <f>IF(NOT(ISBLANK(Audit[[#This Row],[Audit Candidate 6]])), Audit[[#This Row],[Audit Candidate 6]]-Audit[[#This Row],[Candidate 6]], "")</f>
        <v/>
      </c>
      <c r="AK518" s="18" t="str">
        <f>IF(NOT(ISBLANK(Audit[[#This Row],[Audit Candidate 7]])), Audit[[#This Row],[Audit Candidate 7]]-Audit[[#This Row],[Candidate 7]], "")</f>
        <v/>
      </c>
      <c r="AL518" s="18" t="str">
        <f>IF(NOT(ISBLANK(Audit[[#This Row],[Audit Candidate 8]])), Audit[[#This Row],[Audit Candidate 8]]-Audit[[#This Row],[Candidate 8]], "")</f>
        <v/>
      </c>
      <c r="AM518" s="18" t="str">
        <f>IF(NOT(ISBLANK(Audit[[#This Row],[Audit Candidate 9]])), Audit[[#This Row],[Audit Candidate 9]]-Audit[[#This Row],[Candidate 9]], "")</f>
        <v/>
      </c>
      <c r="AN518" s="18" t="str">
        <f>IF(NOT(ISBLANK(Audit[[#This Row],[Audit Candidate 10]])), Audit[[#This Row],[Audit Candidate 10]]-Audit[[#This Row],[Candidate 10]], "")</f>
        <v/>
      </c>
      <c r="AO518" s="18" t="str">
        <f>IF(NOT(ISBLANK(Audit[[#This Row],[Audit Candidate 11]])), Audit[[#This Row],[Audit Candidate 11]]-Audit[[#This Row],[Candidate 11]], "")</f>
        <v/>
      </c>
      <c r="AP518" s="18" t="str">
        <f>IF(NOT(ISBLANK(Audit[[#This Row],[Audit Candidate 12]])), Audit[[#This Row],[Audit Candidate 12]]-Audit[[#This Row],[Candidate 12]], "")</f>
        <v/>
      </c>
      <c r="AQ518" s="18">
        <f>SUMIF(Audit[[#This Row],[Difference Winner]:[Difference Candidate 12]], "&gt;0")</f>
        <v>0</v>
      </c>
      <c r="AR518" s="18">
        <f>SUM(Audit[[#This Row],[Difference Winner]:[Difference Candidate 12]])</f>
        <v>0</v>
      </c>
      <c r="AS518" s="18">
        <f>IF(Audit[[#This Row],[Times p Drawn - With Replacement]]&gt;0, IF(Audit[[#This Row],[Canceled Differences]]&lt;0, Audit[[#This Row],[Max Differences]]+ABS(Audit[[#This Row],[Canceled Differences]]), Audit[[#This Row],[Max Differences]]), 0)</f>
        <v>0</v>
      </c>
      <c r="AT518" s="18">
        <f>'Sampling Data'!AB518</f>
        <v>0</v>
      </c>
      <c r="AU518" s="18">
        <f>IF(
      SUM(Audit[[#This Row],[Audit Losing Candidate]:[Audit Candidate 12]])
      &lt;&gt;0,
      (Audit[[#This Row],[Winning Candidate]]-Audit[[#This Row],[Losing Candidate]]-(Audit[[#This Row],[Audit Winning Candidate]]-Audit[[#This Row],[Audit Losing Candidate]]))/(Audit[[#Totals],[Winning Candidate]]-Audit[[#Totals],[Losing Candidate]]),
      0
)</f>
        <v>0</v>
      </c>
      <c r="AV5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8">
        <f>IF(Audit[[#This Row],[Max Relative Error (ep)]] = 0, 0, Audit[[#This Row],[Max Relative Error (ep)]]/Audit[[#This Row],[Error Bound (up) - Max. possible relative overstatement]])</f>
        <v>0</v>
      </c>
      <c r="BH5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8" s="18">
        <f t="shared" si="8"/>
        <v>1</v>
      </c>
      <c r="BJ518" s="18">
        <f>PRODUCT($BI$5:BI518)</f>
        <v>0.32656797278968008</v>
      </c>
      <c r="BK518" s="20">
        <f>1 - Audit[[#This Row],[K-M P Value]]</f>
        <v>0.67343202721031992</v>
      </c>
      <c r="BL518" s="18" t="str">
        <f>IF(Audit[[#This Row],[K-M P Value]]&gt;1-'General Info'!$B$12,"Continue", "Stop")</f>
        <v>Continue</v>
      </c>
      <c r="BM518" s="23" t="b">
        <f>IF(Audit[[#This Row],[Status - Continue or stop audit]] = "Continue", TRUE, IF(BL517 = "Continue", TRUE, FALSE))</f>
        <v>1</v>
      </c>
      <c r="BN518" s="23"/>
    </row>
    <row r="519" spans="1:66" ht="15" hidden="1" customHeight="1" x14ac:dyDescent="0.35">
      <c r="A519" s="18" t="str">
        <f>'Sampling Data'!AI519</f>
        <v/>
      </c>
      <c r="B519" s="18" t="str">
        <f>'Sampling Data'!A519</f>
        <v>8713 SPFLD M   (AV)</v>
      </c>
      <c r="C519" s="18">
        <f>'Sampling Data'!B519</f>
        <v>16</v>
      </c>
      <c r="D519" s="18">
        <f>'Sampling Data'!C519</f>
        <v>0</v>
      </c>
      <c r="E519" s="19">
        <f>'Sampling Data'!D519</f>
        <v>0</v>
      </c>
      <c r="F519" s="19">
        <f>'Sampling Data'!E519</f>
        <v>0</v>
      </c>
      <c r="G519" s="19">
        <f>'Sampling Data'!F519</f>
        <v>0</v>
      </c>
      <c r="H519" s="19">
        <f>'Sampling Data'!G519</f>
        <v>0</v>
      </c>
      <c r="I519" s="19">
        <f>'Sampling Data'!H519</f>
        <v>0</v>
      </c>
      <c r="J519" s="19">
        <f>'Sampling Data'!I519</f>
        <v>0</v>
      </c>
      <c r="K519" s="19">
        <f>'Sampling Data'!J519</f>
        <v>0</v>
      </c>
      <c r="L519" s="19">
        <f>'Sampling Data'!K519</f>
        <v>0</v>
      </c>
      <c r="M519" s="19">
        <f>'Sampling Data'!L519</f>
        <v>0</v>
      </c>
      <c r="N519" s="19">
        <f>'Sampling Data'!M519</f>
        <v>0</v>
      </c>
      <c r="O519" s="18">
        <f>'Sampling Data'!N519</f>
        <v>0</v>
      </c>
      <c r="P519" s="18">
        <f>'Sampling Data'!O519</f>
        <v>0</v>
      </c>
      <c r="Q519" s="18">
        <f>'Sampling Data'!P519</f>
        <v>16</v>
      </c>
      <c r="R519" s="18">
        <f>'Sampling Data'!AJ519</f>
        <v>0</v>
      </c>
      <c r="S519" s="112"/>
      <c r="T519" s="112"/>
      <c r="U519" s="113"/>
      <c r="V519" s="113"/>
      <c r="W519" s="112"/>
      <c r="X519" s="112"/>
      <c r="Y519" s="112"/>
      <c r="Z519" s="112"/>
      <c r="AA519" s="15"/>
      <c r="AB519" s="15"/>
      <c r="AC519" s="15"/>
      <c r="AD519" s="15"/>
      <c r="AE519" s="114" t="str">
        <f>IF(NOT(ISBLANK(Audit[[#This Row],[Audit Winning Candidate]])), Audit[[#This Row],[Audit Winning Candidate]]-Audit[[#This Row],[Winning Candidate]], "")</f>
        <v/>
      </c>
      <c r="AF519" s="18" t="str">
        <f>IF(NOT(ISBLANK(Audit[[#This Row],[Audit Losing Candidate]])), Audit[[#This Row],[Audit Losing Candidate]]-Audit[[#This Row],[Losing Candidate]], "")</f>
        <v/>
      </c>
      <c r="AG519" s="18" t="str">
        <f>IF(NOT(ISBLANK(Audit[[#This Row],[Audit Candidate 3]])), Audit[[#This Row],[Audit Candidate 3]]-Audit[[#This Row],[Candidate 3]], "")</f>
        <v/>
      </c>
      <c r="AH519" s="18" t="str">
        <f>IF(NOT(ISBLANK(Audit[[#This Row],[Audit Candidate 4]])),Audit[[#This Row],[Audit Candidate 4]]-Audit[[#This Row],[Candidate 4]], "")</f>
        <v/>
      </c>
      <c r="AI519" s="18" t="str">
        <f>IF(NOT(ISBLANK(Audit[[#This Row],[Audit Candidate 5]])), Audit[[#This Row],[Audit Candidate 5]]-Audit[[#This Row],[Candidate 5]], "")</f>
        <v/>
      </c>
      <c r="AJ519" s="18" t="str">
        <f>IF(NOT(ISBLANK(Audit[[#This Row],[Audit Candidate 6]])), Audit[[#This Row],[Audit Candidate 6]]-Audit[[#This Row],[Candidate 6]], "")</f>
        <v/>
      </c>
      <c r="AK519" s="18" t="str">
        <f>IF(NOT(ISBLANK(Audit[[#This Row],[Audit Candidate 7]])), Audit[[#This Row],[Audit Candidate 7]]-Audit[[#This Row],[Candidate 7]], "")</f>
        <v/>
      </c>
      <c r="AL519" s="18" t="str">
        <f>IF(NOT(ISBLANK(Audit[[#This Row],[Audit Candidate 8]])), Audit[[#This Row],[Audit Candidate 8]]-Audit[[#This Row],[Candidate 8]], "")</f>
        <v/>
      </c>
      <c r="AM519" s="18" t="str">
        <f>IF(NOT(ISBLANK(Audit[[#This Row],[Audit Candidate 9]])), Audit[[#This Row],[Audit Candidate 9]]-Audit[[#This Row],[Candidate 9]], "")</f>
        <v/>
      </c>
      <c r="AN519" s="18" t="str">
        <f>IF(NOT(ISBLANK(Audit[[#This Row],[Audit Candidate 10]])), Audit[[#This Row],[Audit Candidate 10]]-Audit[[#This Row],[Candidate 10]], "")</f>
        <v/>
      </c>
      <c r="AO519" s="18" t="str">
        <f>IF(NOT(ISBLANK(Audit[[#This Row],[Audit Candidate 11]])), Audit[[#This Row],[Audit Candidate 11]]-Audit[[#This Row],[Candidate 11]], "")</f>
        <v/>
      </c>
      <c r="AP519" s="18" t="str">
        <f>IF(NOT(ISBLANK(Audit[[#This Row],[Audit Candidate 12]])), Audit[[#This Row],[Audit Candidate 12]]-Audit[[#This Row],[Candidate 12]], "")</f>
        <v/>
      </c>
      <c r="AQ519" s="18">
        <f>SUMIF(Audit[[#This Row],[Difference Winner]:[Difference Candidate 12]], "&gt;0")</f>
        <v>0</v>
      </c>
      <c r="AR519" s="18">
        <f>SUM(Audit[[#This Row],[Difference Winner]:[Difference Candidate 12]])</f>
        <v>0</v>
      </c>
      <c r="AS519" s="18">
        <f>IF(Audit[[#This Row],[Times p Drawn - With Replacement]]&gt;0, IF(Audit[[#This Row],[Canceled Differences]]&lt;0, Audit[[#This Row],[Max Differences]]+ABS(Audit[[#This Row],[Canceled Differences]]), Audit[[#This Row],[Max Differences]]), 0)</f>
        <v>0</v>
      </c>
      <c r="AT519" s="18">
        <f>'Sampling Data'!AB519</f>
        <v>1.005119829129629E-3</v>
      </c>
      <c r="AU519" s="18">
        <f>IF(
      SUM(Audit[[#This Row],[Audit Losing Candidate]:[Audit Candidate 12]])
      &lt;&gt;0,
      (Audit[[#This Row],[Winning Candidate]]-Audit[[#This Row],[Losing Candidate]]-(Audit[[#This Row],[Audit Winning Candidate]]-Audit[[#This Row],[Audit Losing Candidate]]))/(Audit[[#Totals],[Winning Candidate]]-Audit[[#Totals],[Losing Candidate]]),
      0
)</f>
        <v>0</v>
      </c>
      <c r="AV5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8">
        <f>IF(Audit[[#This Row],[Max Relative Error (ep)]] = 0, 0, Audit[[#This Row],[Max Relative Error (ep)]]/Audit[[#This Row],[Error Bound (up) - Max. possible relative overstatement]])</f>
        <v>0</v>
      </c>
      <c r="BH5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19" s="18">
        <f t="shared" si="8"/>
        <v>1</v>
      </c>
      <c r="BJ519" s="18">
        <f>PRODUCT($BI$5:BI519)</f>
        <v>0.32656797278968008</v>
      </c>
      <c r="BK519" s="20">
        <f>1 - Audit[[#This Row],[K-M P Value]]</f>
        <v>0.67343202721031992</v>
      </c>
      <c r="BL519" s="18" t="str">
        <f>IF(Audit[[#This Row],[K-M P Value]]&gt;1-'General Info'!$B$12,"Continue", "Stop")</f>
        <v>Continue</v>
      </c>
      <c r="BM519" s="23" t="b">
        <f>IF(Audit[[#This Row],[Status - Continue or stop audit]] = "Continue", TRUE, IF(BL518 = "Continue", TRUE, FALSE))</f>
        <v>1</v>
      </c>
      <c r="BN519" s="23"/>
    </row>
    <row r="520" spans="1:66" ht="15" hidden="1" customHeight="1" x14ac:dyDescent="0.35">
      <c r="A520" s="18" t="str">
        <f>'Sampling Data'!AI520</f>
        <v/>
      </c>
      <c r="B520" s="18" t="str">
        <f>'Sampling Data'!A520</f>
        <v>8714 SPFLD N   (AV)</v>
      </c>
      <c r="C520" s="18">
        <f>'Sampling Data'!B520</f>
        <v>12</v>
      </c>
      <c r="D520" s="18">
        <f>'Sampling Data'!C520</f>
        <v>0</v>
      </c>
      <c r="E520" s="19">
        <f>'Sampling Data'!D520</f>
        <v>0</v>
      </c>
      <c r="F520" s="19">
        <f>'Sampling Data'!E520</f>
        <v>0</v>
      </c>
      <c r="G520" s="19">
        <f>'Sampling Data'!F520</f>
        <v>0</v>
      </c>
      <c r="H520" s="19">
        <f>'Sampling Data'!G520</f>
        <v>0</v>
      </c>
      <c r="I520" s="19">
        <f>'Sampling Data'!H520</f>
        <v>0</v>
      </c>
      <c r="J520" s="19">
        <f>'Sampling Data'!I520</f>
        <v>0</v>
      </c>
      <c r="K520" s="19">
        <f>'Sampling Data'!J520</f>
        <v>0</v>
      </c>
      <c r="L520" s="19">
        <f>'Sampling Data'!K520</f>
        <v>0</v>
      </c>
      <c r="M520" s="19">
        <f>'Sampling Data'!L520</f>
        <v>0</v>
      </c>
      <c r="N520" s="19">
        <f>'Sampling Data'!M520</f>
        <v>0</v>
      </c>
      <c r="O520" s="18">
        <f>'Sampling Data'!N520</f>
        <v>0</v>
      </c>
      <c r="P520" s="18">
        <f>'Sampling Data'!O520</f>
        <v>0</v>
      </c>
      <c r="Q520" s="18">
        <f>'Sampling Data'!P520</f>
        <v>12</v>
      </c>
      <c r="R520" s="18">
        <f>'Sampling Data'!AJ520</f>
        <v>0</v>
      </c>
      <c r="S520" s="112"/>
      <c r="T520" s="112"/>
      <c r="U520" s="113"/>
      <c r="V520" s="113"/>
      <c r="W520" s="112"/>
      <c r="X520" s="112"/>
      <c r="Y520" s="112"/>
      <c r="Z520" s="112"/>
      <c r="AA520" s="15"/>
      <c r="AB520" s="15"/>
      <c r="AC520" s="15"/>
      <c r="AD520" s="15"/>
      <c r="AE520" s="114" t="str">
        <f>IF(NOT(ISBLANK(Audit[[#This Row],[Audit Winning Candidate]])), Audit[[#This Row],[Audit Winning Candidate]]-Audit[[#This Row],[Winning Candidate]], "")</f>
        <v/>
      </c>
      <c r="AF520" s="18" t="str">
        <f>IF(NOT(ISBLANK(Audit[[#This Row],[Audit Losing Candidate]])), Audit[[#This Row],[Audit Losing Candidate]]-Audit[[#This Row],[Losing Candidate]], "")</f>
        <v/>
      </c>
      <c r="AG520" s="18" t="str">
        <f>IF(NOT(ISBLANK(Audit[[#This Row],[Audit Candidate 3]])), Audit[[#This Row],[Audit Candidate 3]]-Audit[[#This Row],[Candidate 3]], "")</f>
        <v/>
      </c>
      <c r="AH520" s="18" t="str">
        <f>IF(NOT(ISBLANK(Audit[[#This Row],[Audit Candidate 4]])),Audit[[#This Row],[Audit Candidate 4]]-Audit[[#This Row],[Candidate 4]], "")</f>
        <v/>
      </c>
      <c r="AI520" s="18" t="str">
        <f>IF(NOT(ISBLANK(Audit[[#This Row],[Audit Candidate 5]])), Audit[[#This Row],[Audit Candidate 5]]-Audit[[#This Row],[Candidate 5]], "")</f>
        <v/>
      </c>
      <c r="AJ520" s="18" t="str">
        <f>IF(NOT(ISBLANK(Audit[[#This Row],[Audit Candidate 6]])), Audit[[#This Row],[Audit Candidate 6]]-Audit[[#This Row],[Candidate 6]], "")</f>
        <v/>
      </c>
      <c r="AK520" s="18" t="str">
        <f>IF(NOT(ISBLANK(Audit[[#This Row],[Audit Candidate 7]])), Audit[[#This Row],[Audit Candidate 7]]-Audit[[#This Row],[Candidate 7]], "")</f>
        <v/>
      </c>
      <c r="AL520" s="18" t="str">
        <f>IF(NOT(ISBLANK(Audit[[#This Row],[Audit Candidate 8]])), Audit[[#This Row],[Audit Candidate 8]]-Audit[[#This Row],[Candidate 8]], "")</f>
        <v/>
      </c>
      <c r="AM520" s="18" t="str">
        <f>IF(NOT(ISBLANK(Audit[[#This Row],[Audit Candidate 9]])), Audit[[#This Row],[Audit Candidate 9]]-Audit[[#This Row],[Candidate 9]], "")</f>
        <v/>
      </c>
      <c r="AN520" s="18" t="str">
        <f>IF(NOT(ISBLANK(Audit[[#This Row],[Audit Candidate 10]])), Audit[[#This Row],[Audit Candidate 10]]-Audit[[#This Row],[Candidate 10]], "")</f>
        <v/>
      </c>
      <c r="AO520" s="18" t="str">
        <f>IF(NOT(ISBLANK(Audit[[#This Row],[Audit Candidate 11]])), Audit[[#This Row],[Audit Candidate 11]]-Audit[[#This Row],[Candidate 11]], "")</f>
        <v/>
      </c>
      <c r="AP520" s="18" t="str">
        <f>IF(NOT(ISBLANK(Audit[[#This Row],[Audit Candidate 12]])), Audit[[#This Row],[Audit Candidate 12]]-Audit[[#This Row],[Candidate 12]], "")</f>
        <v/>
      </c>
      <c r="AQ520" s="18">
        <f>SUMIF(Audit[[#This Row],[Difference Winner]:[Difference Candidate 12]], "&gt;0")</f>
        <v>0</v>
      </c>
      <c r="AR520" s="18">
        <f>SUM(Audit[[#This Row],[Difference Winner]:[Difference Candidate 12]])</f>
        <v>0</v>
      </c>
      <c r="AS520" s="18">
        <f>IF(Audit[[#This Row],[Times p Drawn - With Replacement]]&gt;0, IF(Audit[[#This Row],[Canceled Differences]]&lt;0, Audit[[#This Row],[Max Differences]]+ABS(Audit[[#This Row],[Canceled Differences]]), Audit[[#This Row],[Max Differences]]), 0)</f>
        <v>0</v>
      </c>
      <c r="AT520" s="18">
        <f>'Sampling Data'!AB520</f>
        <v>7.5383987184722177E-4</v>
      </c>
      <c r="AU520" s="18">
        <f>IF(
      SUM(Audit[[#This Row],[Audit Losing Candidate]:[Audit Candidate 12]])
      &lt;&gt;0,
      (Audit[[#This Row],[Winning Candidate]]-Audit[[#This Row],[Losing Candidate]]-(Audit[[#This Row],[Audit Winning Candidate]]-Audit[[#This Row],[Audit Losing Candidate]]))/(Audit[[#Totals],[Winning Candidate]]-Audit[[#Totals],[Losing Candidate]]),
      0
)</f>
        <v>0</v>
      </c>
      <c r="AV5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8">
        <f>IF(Audit[[#This Row],[Max Relative Error (ep)]] = 0, 0, Audit[[#This Row],[Max Relative Error (ep)]]/Audit[[#This Row],[Error Bound (up) - Max. possible relative overstatement]])</f>
        <v>0</v>
      </c>
      <c r="BH5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0" s="18">
        <f t="shared" si="8"/>
        <v>1</v>
      </c>
      <c r="BJ520" s="18">
        <f>PRODUCT($BI$5:BI520)</f>
        <v>0.32656797278968008</v>
      </c>
      <c r="BK520" s="20">
        <f>1 - Audit[[#This Row],[K-M P Value]]</f>
        <v>0.67343202721031992</v>
      </c>
      <c r="BL520" s="18" t="str">
        <f>IF(Audit[[#This Row],[K-M P Value]]&gt;1-'General Info'!$B$12,"Continue", "Stop")</f>
        <v>Continue</v>
      </c>
      <c r="BM520" s="23" t="b">
        <f>IF(Audit[[#This Row],[Status - Continue or stop audit]] = "Continue", TRUE, IF(BL519 = "Continue", TRUE, FALSE))</f>
        <v>1</v>
      </c>
      <c r="BN520" s="23"/>
    </row>
    <row r="521" spans="1:66" ht="15" hidden="1" customHeight="1" x14ac:dyDescent="0.35">
      <c r="A521" s="18" t="str">
        <f>'Sampling Data'!AI521</f>
        <v/>
      </c>
      <c r="B521" s="18" t="str">
        <f>'Sampling Data'!A521</f>
        <v>8715 SPFLD O   (AV)</v>
      </c>
      <c r="C521" s="18">
        <f>'Sampling Data'!B521</f>
        <v>6</v>
      </c>
      <c r="D521" s="18">
        <f>'Sampling Data'!C521</f>
        <v>2</v>
      </c>
      <c r="E521" s="19">
        <f>'Sampling Data'!D521</f>
        <v>0</v>
      </c>
      <c r="F521" s="19">
        <f>'Sampling Data'!E521</f>
        <v>0</v>
      </c>
      <c r="G521" s="19">
        <f>'Sampling Data'!F521</f>
        <v>0</v>
      </c>
      <c r="H521" s="19">
        <f>'Sampling Data'!G521</f>
        <v>0</v>
      </c>
      <c r="I521" s="19">
        <f>'Sampling Data'!H521</f>
        <v>0</v>
      </c>
      <c r="J521" s="19">
        <f>'Sampling Data'!I521</f>
        <v>0</v>
      </c>
      <c r="K521" s="19">
        <f>'Sampling Data'!J521</f>
        <v>0</v>
      </c>
      <c r="L521" s="19">
        <f>'Sampling Data'!K521</f>
        <v>0</v>
      </c>
      <c r="M521" s="19">
        <f>'Sampling Data'!L521</f>
        <v>0</v>
      </c>
      <c r="N521" s="19">
        <f>'Sampling Data'!M521</f>
        <v>0</v>
      </c>
      <c r="O521" s="18">
        <f>'Sampling Data'!N521</f>
        <v>0</v>
      </c>
      <c r="P521" s="18">
        <f>'Sampling Data'!O521</f>
        <v>0</v>
      </c>
      <c r="Q521" s="18">
        <f>'Sampling Data'!P521</f>
        <v>8</v>
      </c>
      <c r="R521" s="18">
        <f>'Sampling Data'!AJ521</f>
        <v>0</v>
      </c>
      <c r="S521" s="112"/>
      <c r="T521" s="112"/>
      <c r="U521" s="113"/>
      <c r="V521" s="113"/>
      <c r="W521" s="112"/>
      <c r="X521" s="112"/>
      <c r="Y521" s="112"/>
      <c r="Z521" s="112"/>
      <c r="AA521" s="15"/>
      <c r="AB521" s="15"/>
      <c r="AC521" s="15"/>
      <c r="AD521" s="15"/>
      <c r="AE521" s="114" t="str">
        <f>IF(NOT(ISBLANK(Audit[[#This Row],[Audit Winning Candidate]])), Audit[[#This Row],[Audit Winning Candidate]]-Audit[[#This Row],[Winning Candidate]], "")</f>
        <v/>
      </c>
      <c r="AF521" s="18" t="str">
        <f>IF(NOT(ISBLANK(Audit[[#This Row],[Audit Losing Candidate]])), Audit[[#This Row],[Audit Losing Candidate]]-Audit[[#This Row],[Losing Candidate]], "")</f>
        <v/>
      </c>
      <c r="AG521" s="18" t="str">
        <f>IF(NOT(ISBLANK(Audit[[#This Row],[Audit Candidate 3]])), Audit[[#This Row],[Audit Candidate 3]]-Audit[[#This Row],[Candidate 3]], "")</f>
        <v/>
      </c>
      <c r="AH521" s="18" t="str">
        <f>IF(NOT(ISBLANK(Audit[[#This Row],[Audit Candidate 4]])),Audit[[#This Row],[Audit Candidate 4]]-Audit[[#This Row],[Candidate 4]], "")</f>
        <v/>
      </c>
      <c r="AI521" s="18" t="str">
        <f>IF(NOT(ISBLANK(Audit[[#This Row],[Audit Candidate 5]])), Audit[[#This Row],[Audit Candidate 5]]-Audit[[#This Row],[Candidate 5]], "")</f>
        <v/>
      </c>
      <c r="AJ521" s="18" t="str">
        <f>IF(NOT(ISBLANK(Audit[[#This Row],[Audit Candidate 6]])), Audit[[#This Row],[Audit Candidate 6]]-Audit[[#This Row],[Candidate 6]], "")</f>
        <v/>
      </c>
      <c r="AK521" s="18" t="str">
        <f>IF(NOT(ISBLANK(Audit[[#This Row],[Audit Candidate 7]])), Audit[[#This Row],[Audit Candidate 7]]-Audit[[#This Row],[Candidate 7]], "")</f>
        <v/>
      </c>
      <c r="AL521" s="18" t="str">
        <f>IF(NOT(ISBLANK(Audit[[#This Row],[Audit Candidate 8]])), Audit[[#This Row],[Audit Candidate 8]]-Audit[[#This Row],[Candidate 8]], "")</f>
        <v/>
      </c>
      <c r="AM521" s="18" t="str">
        <f>IF(NOT(ISBLANK(Audit[[#This Row],[Audit Candidate 9]])), Audit[[#This Row],[Audit Candidate 9]]-Audit[[#This Row],[Candidate 9]], "")</f>
        <v/>
      </c>
      <c r="AN521" s="18" t="str">
        <f>IF(NOT(ISBLANK(Audit[[#This Row],[Audit Candidate 10]])), Audit[[#This Row],[Audit Candidate 10]]-Audit[[#This Row],[Candidate 10]], "")</f>
        <v/>
      </c>
      <c r="AO521" s="18" t="str">
        <f>IF(NOT(ISBLANK(Audit[[#This Row],[Audit Candidate 11]])), Audit[[#This Row],[Audit Candidate 11]]-Audit[[#This Row],[Candidate 11]], "")</f>
        <v/>
      </c>
      <c r="AP521" s="18" t="str">
        <f>IF(NOT(ISBLANK(Audit[[#This Row],[Audit Candidate 12]])), Audit[[#This Row],[Audit Candidate 12]]-Audit[[#This Row],[Candidate 12]], "")</f>
        <v/>
      </c>
      <c r="AQ521" s="18">
        <f>SUMIF(Audit[[#This Row],[Difference Winner]:[Difference Candidate 12]], "&gt;0")</f>
        <v>0</v>
      </c>
      <c r="AR521" s="18">
        <f>SUM(Audit[[#This Row],[Difference Winner]:[Difference Candidate 12]])</f>
        <v>0</v>
      </c>
      <c r="AS521" s="18">
        <f>IF(Audit[[#This Row],[Times p Drawn - With Replacement]]&gt;0, IF(Audit[[#This Row],[Canceled Differences]]&lt;0, Audit[[#This Row],[Max Differences]]+ABS(Audit[[#This Row],[Canceled Differences]]), Audit[[#This Row],[Max Differences]]), 0)</f>
        <v>0</v>
      </c>
      <c r="AT521" s="18">
        <f>'Sampling Data'!AB521</f>
        <v>3.7691993592361088E-4</v>
      </c>
      <c r="AU521" s="18">
        <f>IF(
      SUM(Audit[[#This Row],[Audit Losing Candidate]:[Audit Candidate 12]])
      &lt;&gt;0,
      (Audit[[#This Row],[Winning Candidate]]-Audit[[#This Row],[Losing Candidate]]-(Audit[[#This Row],[Audit Winning Candidate]]-Audit[[#This Row],[Audit Losing Candidate]]))/(Audit[[#Totals],[Winning Candidate]]-Audit[[#Totals],[Losing Candidate]]),
      0
)</f>
        <v>0</v>
      </c>
      <c r="AV5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8">
        <f>IF(Audit[[#This Row],[Max Relative Error (ep)]] = 0, 0, Audit[[#This Row],[Max Relative Error (ep)]]/Audit[[#This Row],[Error Bound (up) - Max. possible relative overstatement]])</f>
        <v>0</v>
      </c>
      <c r="BH5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1" s="18">
        <f t="shared" si="8"/>
        <v>1</v>
      </c>
      <c r="BJ521" s="18">
        <f>PRODUCT($BI$5:BI521)</f>
        <v>0.32656797278968008</v>
      </c>
      <c r="BK521" s="20">
        <f>1 - Audit[[#This Row],[K-M P Value]]</f>
        <v>0.67343202721031992</v>
      </c>
      <c r="BL521" s="18" t="str">
        <f>IF(Audit[[#This Row],[K-M P Value]]&gt;1-'General Info'!$B$12,"Continue", "Stop")</f>
        <v>Continue</v>
      </c>
      <c r="BM521" s="23" t="b">
        <f>IF(Audit[[#This Row],[Status - Continue or stop audit]] = "Continue", TRUE, IF(BL520 = "Continue", TRUE, FALSE))</f>
        <v>1</v>
      </c>
      <c r="BN521" s="23"/>
    </row>
    <row r="522" spans="1:66" ht="15" hidden="1" customHeight="1" x14ac:dyDescent="0.35">
      <c r="A522" s="18" t="str">
        <f>'Sampling Data'!AI522</f>
        <v/>
      </c>
      <c r="B522" s="18" t="str">
        <f>'Sampling Data'!A522</f>
        <v>8716 SPFLD P   (AV)</v>
      </c>
      <c r="C522" s="18">
        <f>'Sampling Data'!B522</f>
        <v>4</v>
      </c>
      <c r="D522" s="18">
        <f>'Sampling Data'!C522</f>
        <v>1</v>
      </c>
      <c r="E522" s="19">
        <f>'Sampling Data'!D522</f>
        <v>0</v>
      </c>
      <c r="F522" s="19">
        <f>'Sampling Data'!E522</f>
        <v>0</v>
      </c>
      <c r="G522" s="19">
        <f>'Sampling Data'!F522</f>
        <v>0</v>
      </c>
      <c r="H522" s="19">
        <f>'Sampling Data'!G522</f>
        <v>0</v>
      </c>
      <c r="I522" s="19">
        <f>'Sampling Data'!H522</f>
        <v>0</v>
      </c>
      <c r="J522" s="19">
        <f>'Sampling Data'!I522</f>
        <v>0</v>
      </c>
      <c r="K522" s="19">
        <f>'Sampling Data'!J522</f>
        <v>0</v>
      </c>
      <c r="L522" s="19">
        <f>'Sampling Data'!K522</f>
        <v>0</v>
      </c>
      <c r="M522" s="19">
        <f>'Sampling Data'!L522</f>
        <v>0</v>
      </c>
      <c r="N522" s="19">
        <f>'Sampling Data'!M522</f>
        <v>0</v>
      </c>
      <c r="O522" s="18">
        <f>'Sampling Data'!N522</f>
        <v>0</v>
      </c>
      <c r="P522" s="18">
        <f>'Sampling Data'!O522</f>
        <v>2</v>
      </c>
      <c r="Q522" s="18">
        <f>'Sampling Data'!P522</f>
        <v>7</v>
      </c>
      <c r="R522" s="18">
        <f>'Sampling Data'!AJ522</f>
        <v>0</v>
      </c>
      <c r="S522" s="112"/>
      <c r="T522" s="112"/>
      <c r="U522" s="113"/>
      <c r="V522" s="113"/>
      <c r="W522" s="112"/>
      <c r="X522" s="112"/>
      <c r="Y522" s="112"/>
      <c r="Z522" s="112"/>
      <c r="AA522" s="15"/>
      <c r="AB522" s="15"/>
      <c r="AC522" s="15"/>
      <c r="AD522" s="15"/>
      <c r="AE522" s="114" t="str">
        <f>IF(NOT(ISBLANK(Audit[[#This Row],[Audit Winning Candidate]])), Audit[[#This Row],[Audit Winning Candidate]]-Audit[[#This Row],[Winning Candidate]], "")</f>
        <v/>
      </c>
      <c r="AF522" s="18" t="str">
        <f>IF(NOT(ISBLANK(Audit[[#This Row],[Audit Losing Candidate]])), Audit[[#This Row],[Audit Losing Candidate]]-Audit[[#This Row],[Losing Candidate]], "")</f>
        <v/>
      </c>
      <c r="AG522" s="18" t="str">
        <f>IF(NOT(ISBLANK(Audit[[#This Row],[Audit Candidate 3]])), Audit[[#This Row],[Audit Candidate 3]]-Audit[[#This Row],[Candidate 3]], "")</f>
        <v/>
      </c>
      <c r="AH522" s="18" t="str">
        <f>IF(NOT(ISBLANK(Audit[[#This Row],[Audit Candidate 4]])),Audit[[#This Row],[Audit Candidate 4]]-Audit[[#This Row],[Candidate 4]], "")</f>
        <v/>
      </c>
      <c r="AI522" s="18" t="str">
        <f>IF(NOT(ISBLANK(Audit[[#This Row],[Audit Candidate 5]])), Audit[[#This Row],[Audit Candidate 5]]-Audit[[#This Row],[Candidate 5]], "")</f>
        <v/>
      </c>
      <c r="AJ522" s="18" t="str">
        <f>IF(NOT(ISBLANK(Audit[[#This Row],[Audit Candidate 6]])), Audit[[#This Row],[Audit Candidate 6]]-Audit[[#This Row],[Candidate 6]], "")</f>
        <v/>
      </c>
      <c r="AK522" s="18" t="str">
        <f>IF(NOT(ISBLANK(Audit[[#This Row],[Audit Candidate 7]])), Audit[[#This Row],[Audit Candidate 7]]-Audit[[#This Row],[Candidate 7]], "")</f>
        <v/>
      </c>
      <c r="AL522" s="18" t="str">
        <f>IF(NOT(ISBLANK(Audit[[#This Row],[Audit Candidate 8]])), Audit[[#This Row],[Audit Candidate 8]]-Audit[[#This Row],[Candidate 8]], "")</f>
        <v/>
      </c>
      <c r="AM522" s="18" t="str">
        <f>IF(NOT(ISBLANK(Audit[[#This Row],[Audit Candidate 9]])), Audit[[#This Row],[Audit Candidate 9]]-Audit[[#This Row],[Candidate 9]], "")</f>
        <v/>
      </c>
      <c r="AN522" s="18" t="str">
        <f>IF(NOT(ISBLANK(Audit[[#This Row],[Audit Candidate 10]])), Audit[[#This Row],[Audit Candidate 10]]-Audit[[#This Row],[Candidate 10]], "")</f>
        <v/>
      </c>
      <c r="AO522" s="18" t="str">
        <f>IF(NOT(ISBLANK(Audit[[#This Row],[Audit Candidate 11]])), Audit[[#This Row],[Audit Candidate 11]]-Audit[[#This Row],[Candidate 11]], "")</f>
        <v/>
      </c>
      <c r="AP522" s="18" t="str">
        <f>IF(NOT(ISBLANK(Audit[[#This Row],[Audit Candidate 12]])), Audit[[#This Row],[Audit Candidate 12]]-Audit[[#This Row],[Candidate 12]], "")</f>
        <v/>
      </c>
      <c r="AQ522" s="18">
        <f>SUMIF(Audit[[#This Row],[Difference Winner]:[Difference Candidate 12]], "&gt;0")</f>
        <v>0</v>
      </c>
      <c r="AR522" s="18">
        <f>SUM(Audit[[#This Row],[Difference Winner]:[Difference Candidate 12]])</f>
        <v>0</v>
      </c>
      <c r="AS522" s="18">
        <f>IF(Audit[[#This Row],[Times p Drawn - With Replacement]]&gt;0, IF(Audit[[#This Row],[Canceled Differences]]&lt;0, Audit[[#This Row],[Max Differences]]+ABS(Audit[[#This Row],[Canceled Differences]]), Audit[[#This Row],[Max Differences]]), 0)</f>
        <v>0</v>
      </c>
      <c r="AT522" s="18">
        <f>'Sampling Data'!AB522</f>
        <v>3.1409994660300906E-4</v>
      </c>
      <c r="AU522" s="18">
        <f>IF(
      SUM(Audit[[#This Row],[Audit Losing Candidate]:[Audit Candidate 12]])
      &lt;&gt;0,
      (Audit[[#This Row],[Winning Candidate]]-Audit[[#This Row],[Losing Candidate]]-(Audit[[#This Row],[Audit Winning Candidate]]-Audit[[#This Row],[Audit Losing Candidate]]))/(Audit[[#Totals],[Winning Candidate]]-Audit[[#Totals],[Losing Candidate]]),
      0
)</f>
        <v>0</v>
      </c>
      <c r="AV5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8">
        <f>IF(Audit[[#This Row],[Max Relative Error (ep)]] = 0, 0, Audit[[#This Row],[Max Relative Error (ep)]]/Audit[[#This Row],[Error Bound (up) - Max. possible relative overstatement]])</f>
        <v>0</v>
      </c>
      <c r="BH5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2" s="18">
        <f t="shared" si="8"/>
        <v>1</v>
      </c>
      <c r="BJ522" s="18">
        <f>PRODUCT($BI$5:BI522)</f>
        <v>0.32656797278968008</v>
      </c>
      <c r="BK522" s="20">
        <f>1 - Audit[[#This Row],[K-M P Value]]</f>
        <v>0.67343202721031992</v>
      </c>
      <c r="BL522" s="18" t="str">
        <f>IF(Audit[[#This Row],[K-M P Value]]&gt;1-'General Info'!$B$12,"Continue", "Stop")</f>
        <v>Continue</v>
      </c>
      <c r="BM522" s="23" t="b">
        <f>IF(Audit[[#This Row],[Status - Continue or stop audit]] = "Continue", TRUE, IF(BL521 = "Continue", TRUE, FALSE))</f>
        <v>1</v>
      </c>
      <c r="BN522" s="23"/>
    </row>
    <row r="523" spans="1:66" ht="15" hidden="1" customHeight="1" x14ac:dyDescent="0.35">
      <c r="A523" s="18" t="str">
        <f>'Sampling Data'!AI523</f>
        <v/>
      </c>
      <c r="B523" s="18" t="str">
        <f>'Sampling Data'!A523</f>
        <v>8717 SPFLD Q   (AV)</v>
      </c>
      <c r="C523" s="18">
        <f>'Sampling Data'!B523</f>
        <v>8</v>
      </c>
      <c r="D523" s="18">
        <f>'Sampling Data'!C523</f>
        <v>1</v>
      </c>
      <c r="E523" s="19">
        <f>'Sampling Data'!D523</f>
        <v>0</v>
      </c>
      <c r="F523" s="19">
        <f>'Sampling Data'!E523</f>
        <v>0</v>
      </c>
      <c r="G523" s="19">
        <f>'Sampling Data'!F523</f>
        <v>0</v>
      </c>
      <c r="H523" s="19">
        <f>'Sampling Data'!G523</f>
        <v>0</v>
      </c>
      <c r="I523" s="19">
        <f>'Sampling Data'!H523</f>
        <v>0</v>
      </c>
      <c r="J523" s="19">
        <f>'Sampling Data'!I523</f>
        <v>0</v>
      </c>
      <c r="K523" s="19">
        <f>'Sampling Data'!J523</f>
        <v>0</v>
      </c>
      <c r="L523" s="19">
        <f>'Sampling Data'!K523</f>
        <v>0</v>
      </c>
      <c r="M523" s="19">
        <f>'Sampling Data'!L523</f>
        <v>0</v>
      </c>
      <c r="N523" s="19">
        <f>'Sampling Data'!M523</f>
        <v>0</v>
      </c>
      <c r="O523" s="18">
        <f>'Sampling Data'!N523</f>
        <v>0</v>
      </c>
      <c r="P523" s="18">
        <f>'Sampling Data'!O523</f>
        <v>0</v>
      </c>
      <c r="Q523" s="18">
        <f>'Sampling Data'!P523</f>
        <v>9</v>
      </c>
      <c r="R523" s="18">
        <f>'Sampling Data'!AJ523</f>
        <v>0</v>
      </c>
      <c r="S523" s="112"/>
      <c r="T523" s="112"/>
      <c r="U523" s="113"/>
      <c r="V523" s="113"/>
      <c r="W523" s="112"/>
      <c r="X523" s="112"/>
      <c r="Y523" s="112"/>
      <c r="Z523" s="112"/>
      <c r="AA523" s="15"/>
      <c r="AB523" s="15"/>
      <c r="AC523" s="15"/>
      <c r="AD523" s="15"/>
      <c r="AE523" s="114" t="str">
        <f>IF(NOT(ISBLANK(Audit[[#This Row],[Audit Winning Candidate]])), Audit[[#This Row],[Audit Winning Candidate]]-Audit[[#This Row],[Winning Candidate]], "")</f>
        <v/>
      </c>
      <c r="AF523" s="18" t="str">
        <f>IF(NOT(ISBLANK(Audit[[#This Row],[Audit Losing Candidate]])), Audit[[#This Row],[Audit Losing Candidate]]-Audit[[#This Row],[Losing Candidate]], "")</f>
        <v/>
      </c>
      <c r="AG523" s="18" t="str">
        <f>IF(NOT(ISBLANK(Audit[[#This Row],[Audit Candidate 3]])), Audit[[#This Row],[Audit Candidate 3]]-Audit[[#This Row],[Candidate 3]], "")</f>
        <v/>
      </c>
      <c r="AH523" s="18" t="str">
        <f>IF(NOT(ISBLANK(Audit[[#This Row],[Audit Candidate 4]])),Audit[[#This Row],[Audit Candidate 4]]-Audit[[#This Row],[Candidate 4]], "")</f>
        <v/>
      </c>
      <c r="AI523" s="18" t="str">
        <f>IF(NOT(ISBLANK(Audit[[#This Row],[Audit Candidate 5]])), Audit[[#This Row],[Audit Candidate 5]]-Audit[[#This Row],[Candidate 5]], "")</f>
        <v/>
      </c>
      <c r="AJ523" s="18" t="str">
        <f>IF(NOT(ISBLANK(Audit[[#This Row],[Audit Candidate 6]])), Audit[[#This Row],[Audit Candidate 6]]-Audit[[#This Row],[Candidate 6]], "")</f>
        <v/>
      </c>
      <c r="AK523" s="18" t="str">
        <f>IF(NOT(ISBLANK(Audit[[#This Row],[Audit Candidate 7]])), Audit[[#This Row],[Audit Candidate 7]]-Audit[[#This Row],[Candidate 7]], "")</f>
        <v/>
      </c>
      <c r="AL523" s="18" t="str">
        <f>IF(NOT(ISBLANK(Audit[[#This Row],[Audit Candidate 8]])), Audit[[#This Row],[Audit Candidate 8]]-Audit[[#This Row],[Candidate 8]], "")</f>
        <v/>
      </c>
      <c r="AM523" s="18" t="str">
        <f>IF(NOT(ISBLANK(Audit[[#This Row],[Audit Candidate 9]])), Audit[[#This Row],[Audit Candidate 9]]-Audit[[#This Row],[Candidate 9]], "")</f>
        <v/>
      </c>
      <c r="AN523" s="18" t="str">
        <f>IF(NOT(ISBLANK(Audit[[#This Row],[Audit Candidate 10]])), Audit[[#This Row],[Audit Candidate 10]]-Audit[[#This Row],[Candidate 10]], "")</f>
        <v/>
      </c>
      <c r="AO523" s="18" t="str">
        <f>IF(NOT(ISBLANK(Audit[[#This Row],[Audit Candidate 11]])), Audit[[#This Row],[Audit Candidate 11]]-Audit[[#This Row],[Candidate 11]], "")</f>
        <v/>
      </c>
      <c r="AP523" s="18" t="str">
        <f>IF(NOT(ISBLANK(Audit[[#This Row],[Audit Candidate 12]])), Audit[[#This Row],[Audit Candidate 12]]-Audit[[#This Row],[Candidate 12]], "")</f>
        <v/>
      </c>
      <c r="AQ523" s="18">
        <f>SUMIF(Audit[[#This Row],[Difference Winner]:[Difference Candidate 12]], "&gt;0")</f>
        <v>0</v>
      </c>
      <c r="AR523" s="18">
        <f>SUM(Audit[[#This Row],[Difference Winner]:[Difference Candidate 12]])</f>
        <v>0</v>
      </c>
      <c r="AS523" s="18">
        <f>IF(Audit[[#This Row],[Times p Drawn - With Replacement]]&gt;0, IF(Audit[[#This Row],[Canceled Differences]]&lt;0, Audit[[#This Row],[Max Differences]]+ABS(Audit[[#This Row],[Canceled Differences]]), Audit[[#This Row],[Max Differences]]), 0)</f>
        <v>0</v>
      </c>
      <c r="AT523" s="18">
        <f>'Sampling Data'!AB523</f>
        <v>5.0255991456481448E-4</v>
      </c>
      <c r="AU523" s="18">
        <f>IF(
      SUM(Audit[[#This Row],[Audit Losing Candidate]:[Audit Candidate 12]])
      &lt;&gt;0,
      (Audit[[#This Row],[Winning Candidate]]-Audit[[#This Row],[Losing Candidate]]-(Audit[[#This Row],[Audit Winning Candidate]]-Audit[[#This Row],[Audit Losing Candidate]]))/(Audit[[#Totals],[Winning Candidate]]-Audit[[#Totals],[Losing Candidate]]),
      0
)</f>
        <v>0</v>
      </c>
      <c r="AV5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8">
        <f>IF(Audit[[#This Row],[Max Relative Error (ep)]] = 0, 0, Audit[[#This Row],[Max Relative Error (ep)]]/Audit[[#This Row],[Error Bound (up) - Max. possible relative overstatement]])</f>
        <v>0</v>
      </c>
      <c r="BH5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3" s="18">
        <f t="shared" si="8"/>
        <v>1</v>
      </c>
      <c r="BJ523" s="18">
        <f>PRODUCT($BI$5:BI523)</f>
        <v>0.32656797278968008</v>
      </c>
      <c r="BK523" s="20">
        <f>1 - Audit[[#This Row],[K-M P Value]]</f>
        <v>0.67343202721031992</v>
      </c>
      <c r="BL523" s="18" t="str">
        <f>IF(Audit[[#This Row],[K-M P Value]]&gt;1-'General Info'!$B$12,"Continue", "Stop")</f>
        <v>Continue</v>
      </c>
      <c r="BM523" s="23" t="b">
        <f>IF(Audit[[#This Row],[Status - Continue or stop audit]] = "Continue", TRUE, IF(BL522 = "Continue", TRUE, FALSE))</f>
        <v>1</v>
      </c>
      <c r="BN523" s="23"/>
    </row>
    <row r="524" spans="1:66" ht="15" hidden="1" customHeight="1" x14ac:dyDescent="0.35">
      <c r="A524" s="18" t="str">
        <f>'Sampling Data'!AI524</f>
        <v/>
      </c>
      <c r="B524" s="18" t="str">
        <f>'Sampling Data'!A524</f>
        <v>8718 SPFLD R   (AV)</v>
      </c>
      <c r="C524" s="18">
        <f>'Sampling Data'!B524</f>
        <v>2</v>
      </c>
      <c r="D524" s="18">
        <f>'Sampling Data'!C524</f>
        <v>1</v>
      </c>
      <c r="E524" s="19">
        <f>'Sampling Data'!D524</f>
        <v>0</v>
      </c>
      <c r="F524" s="19">
        <f>'Sampling Data'!E524</f>
        <v>0</v>
      </c>
      <c r="G524" s="19">
        <f>'Sampling Data'!F524</f>
        <v>0</v>
      </c>
      <c r="H524" s="19">
        <f>'Sampling Data'!G524</f>
        <v>0</v>
      </c>
      <c r="I524" s="19">
        <f>'Sampling Data'!H524</f>
        <v>0</v>
      </c>
      <c r="J524" s="19">
        <f>'Sampling Data'!I524</f>
        <v>0</v>
      </c>
      <c r="K524" s="19">
        <f>'Sampling Data'!J524</f>
        <v>0</v>
      </c>
      <c r="L524" s="19">
        <f>'Sampling Data'!K524</f>
        <v>0</v>
      </c>
      <c r="M524" s="19">
        <f>'Sampling Data'!L524</f>
        <v>0</v>
      </c>
      <c r="N524" s="19">
        <f>'Sampling Data'!M524</f>
        <v>0</v>
      </c>
      <c r="O524" s="18">
        <f>'Sampling Data'!N524</f>
        <v>0</v>
      </c>
      <c r="P524" s="18">
        <f>'Sampling Data'!O524</f>
        <v>1</v>
      </c>
      <c r="Q524" s="18">
        <f>'Sampling Data'!P524</f>
        <v>4</v>
      </c>
      <c r="R524" s="18">
        <f>'Sampling Data'!AJ524</f>
        <v>0</v>
      </c>
      <c r="S524" s="112"/>
      <c r="T524" s="112"/>
      <c r="U524" s="113"/>
      <c r="V524" s="113"/>
      <c r="W524" s="112"/>
      <c r="X524" s="112"/>
      <c r="Y524" s="112"/>
      <c r="Z524" s="112"/>
      <c r="AA524" s="15"/>
      <c r="AB524" s="15"/>
      <c r="AC524" s="15"/>
      <c r="AD524" s="15"/>
      <c r="AE524" s="114" t="str">
        <f>IF(NOT(ISBLANK(Audit[[#This Row],[Audit Winning Candidate]])), Audit[[#This Row],[Audit Winning Candidate]]-Audit[[#This Row],[Winning Candidate]], "")</f>
        <v/>
      </c>
      <c r="AF524" s="18" t="str">
        <f>IF(NOT(ISBLANK(Audit[[#This Row],[Audit Losing Candidate]])), Audit[[#This Row],[Audit Losing Candidate]]-Audit[[#This Row],[Losing Candidate]], "")</f>
        <v/>
      </c>
      <c r="AG524" s="18" t="str">
        <f>IF(NOT(ISBLANK(Audit[[#This Row],[Audit Candidate 3]])), Audit[[#This Row],[Audit Candidate 3]]-Audit[[#This Row],[Candidate 3]], "")</f>
        <v/>
      </c>
      <c r="AH524" s="18" t="str">
        <f>IF(NOT(ISBLANK(Audit[[#This Row],[Audit Candidate 4]])),Audit[[#This Row],[Audit Candidate 4]]-Audit[[#This Row],[Candidate 4]], "")</f>
        <v/>
      </c>
      <c r="AI524" s="18" t="str">
        <f>IF(NOT(ISBLANK(Audit[[#This Row],[Audit Candidate 5]])), Audit[[#This Row],[Audit Candidate 5]]-Audit[[#This Row],[Candidate 5]], "")</f>
        <v/>
      </c>
      <c r="AJ524" s="18" t="str">
        <f>IF(NOT(ISBLANK(Audit[[#This Row],[Audit Candidate 6]])), Audit[[#This Row],[Audit Candidate 6]]-Audit[[#This Row],[Candidate 6]], "")</f>
        <v/>
      </c>
      <c r="AK524" s="18" t="str">
        <f>IF(NOT(ISBLANK(Audit[[#This Row],[Audit Candidate 7]])), Audit[[#This Row],[Audit Candidate 7]]-Audit[[#This Row],[Candidate 7]], "")</f>
        <v/>
      </c>
      <c r="AL524" s="18" t="str">
        <f>IF(NOT(ISBLANK(Audit[[#This Row],[Audit Candidate 8]])), Audit[[#This Row],[Audit Candidate 8]]-Audit[[#This Row],[Candidate 8]], "")</f>
        <v/>
      </c>
      <c r="AM524" s="18" t="str">
        <f>IF(NOT(ISBLANK(Audit[[#This Row],[Audit Candidate 9]])), Audit[[#This Row],[Audit Candidate 9]]-Audit[[#This Row],[Candidate 9]], "")</f>
        <v/>
      </c>
      <c r="AN524" s="18" t="str">
        <f>IF(NOT(ISBLANK(Audit[[#This Row],[Audit Candidate 10]])), Audit[[#This Row],[Audit Candidate 10]]-Audit[[#This Row],[Candidate 10]], "")</f>
        <v/>
      </c>
      <c r="AO524" s="18" t="str">
        <f>IF(NOT(ISBLANK(Audit[[#This Row],[Audit Candidate 11]])), Audit[[#This Row],[Audit Candidate 11]]-Audit[[#This Row],[Candidate 11]], "")</f>
        <v/>
      </c>
      <c r="AP524" s="18" t="str">
        <f>IF(NOT(ISBLANK(Audit[[#This Row],[Audit Candidate 12]])), Audit[[#This Row],[Audit Candidate 12]]-Audit[[#This Row],[Candidate 12]], "")</f>
        <v/>
      </c>
      <c r="AQ524" s="18">
        <f>SUMIF(Audit[[#This Row],[Difference Winner]:[Difference Candidate 12]], "&gt;0")</f>
        <v>0</v>
      </c>
      <c r="AR524" s="18">
        <f>SUM(Audit[[#This Row],[Difference Winner]:[Difference Candidate 12]])</f>
        <v>0</v>
      </c>
      <c r="AS524" s="18">
        <f>IF(Audit[[#This Row],[Times p Drawn - With Replacement]]&gt;0, IF(Audit[[#This Row],[Canceled Differences]]&lt;0, Audit[[#This Row],[Max Differences]]+ABS(Audit[[#This Row],[Canceled Differences]]), Audit[[#This Row],[Max Differences]]), 0)</f>
        <v>0</v>
      </c>
      <c r="AT524" s="18">
        <f>'Sampling Data'!AB524</f>
        <v>1.5704997330150453E-4</v>
      </c>
      <c r="AU524" s="18">
        <f>IF(
      SUM(Audit[[#This Row],[Audit Losing Candidate]:[Audit Candidate 12]])
      &lt;&gt;0,
      (Audit[[#This Row],[Winning Candidate]]-Audit[[#This Row],[Losing Candidate]]-(Audit[[#This Row],[Audit Winning Candidate]]-Audit[[#This Row],[Audit Losing Candidate]]))/(Audit[[#Totals],[Winning Candidate]]-Audit[[#Totals],[Losing Candidate]]),
      0
)</f>
        <v>0</v>
      </c>
      <c r="AV5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8">
        <f>IF(Audit[[#This Row],[Max Relative Error (ep)]] = 0, 0, Audit[[#This Row],[Max Relative Error (ep)]]/Audit[[#This Row],[Error Bound (up) - Max. possible relative overstatement]])</f>
        <v>0</v>
      </c>
      <c r="BH5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4" s="18">
        <f t="shared" si="8"/>
        <v>1</v>
      </c>
      <c r="BJ524" s="18">
        <f>PRODUCT($BI$5:BI524)</f>
        <v>0.32656797278968008</v>
      </c>
      <c r="BK524" s="20">
        <f>1 - Audit[[#This Row],[K-M P Value]]</f>
        <v>0.67343202721031992</v>
      </c>
      <c r="BL524" s="18" t="str">
        <f>IF(Audit[[#This Row],[K-M P Value]]&gt;1-'General Info'!$B$12,"Continue", "Stop")</f>
        <v>Continue</v>
      </c>
      <c r="BM524" s="23" t="b">
        <f>IF(Audit[[#This Row],[Status - Continue or stop audit]] = "Continue", TRUE, IF(BL523 = "Continue", TRUE, FALSE))</f>
        <v>1</v>
      </c>
      <c r="BN524" s="23"/>
    </row>
    <row r="525" spans="1:66" ht="15" hidden="1" customHeight="1" x14ac:dyDescent="0.35">
      <c r="A525" s="18" t="str">
        <f>'Sampling Data'!AI525</f>
        <v/>
      </c>
      <c r="B525" s="18" t="str">
        <f>'Sampling Data'!A525</f>
        <v>8719 SPFLD S   (AV)</v>
      </c>
      <c r="C525" s="18">
        <f>'Sampling Data'!B525</f>
        <v>10</v>
      </c>
      <c r="D525" s="18">
        <f>'Sampling Data'!C525</f>
        <v>0</v>
      </c>
      <c r="E525" s="19">
        <f>'Sampling Data'!D525</f>
        <v>0</v>
      </c>
      <c r="F525" s="19">
        <f>'Sampling Data'!E525</f>
        <v>0</v>
      </c>
      <c r="G525" s="19">
        <f>'Sampling Data'!F525</f>
        <v>0</v>
      </c>
      <c r="H525" s="19">
        <f>'Sampling Data'!G525</f>
        <v>0</v>
      </c>
      <c r="I525" s="19">
        <f>'Sampling Data'!H525</f>
        <v>0</v>
      </c>
      <c r="J525" s="19">
        <f>'Sampling Data'!I525</f>
        <v>0</v>
      </c>
      <c r="K525" s="19">
        <f>'Sampling Data'!J525</f>
        <v>0</v>
      </c>
      <c r="L525" s="19">
        <f>'Sampling Data'!K525</f>
        <v>0</v>
      </c>
      <c r="M525" s="19">
        <f>'Sampling Data'!L525</f>
        <v>0</v>
      </c>
      <c r="N525" s="19">
        <f>'Sampling Data'!M525</f>
        <v>0</v>
      </c>
      <c r="O525" s="18">
        <f>'Sampling Data'!N525</f>
        <v>0</v>
      </c>
      <c r="P525" s="18">
        <f>'Sampling Data'!O525</f>
        <v>0</v>
      </c>
      <c r="Q525" s="18">
        <f>'Sampling Data'!P525</f>
        <v>10</v>
      </c>
      <c r="R525" s="18">
        <f>'Sampling Data'!AJ525</f>
        <v>0</v>
      </c>
      <c r="S525" s="112"/>
      <c r="T525" s="112"/>
      <c r="U525" s="113"/>
      <c r="V525" s="113"/>
      <c r="W525" s="112"/>
      <c r="X525" s="112"/>
      <c r="Y525" s="112"/>
      <c r="Z525" s="112"/>
      <c r="AA525" s="15"/>
      <c r="AB525" s="15"/>
      <c r="AC525" s="15"/>
      <c r="AD525" s="15"/>
      <c r="AE525" s="114" t="str">
        <f>IF(NOT(ISBLANK(Audit[[#This Row],[Audit Winning Candidate]])), Audit[[#This Row],[Audit Winning Candidate]]-Audit[[#This Row],[Winning Candidate]], "")</f>
        <v/>
      </c>
      <c r="AF525" s="18" t="str">
        <f>IF(NOT(ISBLANK(Audit[[#This Row],[Audit Losing Candidate]])), Audit[[#This Row],[Audit Losing Candidate]]-Audit[[#This Row],[Losing Candidate]], "")</f>
        <v/>
      </c>
      <c r="AG525" s="18" t="str">
        <f>IF(NOT(ISBLANK(Audit[[#This Row],[Audit Candidate 3]])), Audit[[#This Row],[Audit Candidate 3]]-Audit[[#This Row],[Candidate 3]], "")</f>
        <v/>
      </c>
      <c r="AH525" s="18" t="str">
        <f>IF(NOT(ISBLANK(Audit[[#This Row],[Audit Candidate 4]])),Audit[[#This Row],[Audit Candidate 4]]-Audit[[#This Row],[Candidate 4]], "")</f>
        <v/>
      </c>
      <c r="AI525" s="18" t="str">
        <f>IF(NOT(ISBLANK(Audit[[#This Row],[Audit Candidate 5]])), Audit[[#This Row],[Audit Candidate 5]]-Audit[[#This Row],[Candidate 5]], "")</f>
        <v/>
      </c>
      <c r="AJ525" s="18" t="str">
        <f>IF(NOT(ISBLANK(Audit[[#This Row],[Audit Candidate 6]])), Audit[[#This Row],[Audit Candidate 6]]-Audit[[#This Row],[Candidate 6]], "")</f>
        <v/>
      </c>
      <c r="AK525" s="18" t="str">
        <f>IF(NOT(ISBLANK(Audit[[#This Row],[Audit Candidate 7]])), Audit[[#This Row],[Audit Candidate 7]]-Audit[[#This Row],[Candidate 7]], "")</f>
        <v/>
      </c>
      <c r="AL525" s="18" t="str">
        <f>IF(NOT(ISBLANK(Audit[[#This Row],[Audit Candidate 8]])), Audit[[#This Row],[Audit Candidate 8]]-Audit[[#This Row],[Candidate 8]], "")</f>
        <v/>
      </c>
      <c r="AM525" s="18" t="str">
        <f>IF(NOT(ISBLANK(Audit[[#This Row],[Audit Candidate 9]])), Audit[[#This Row],[Audit Candidate 9]]-Audit[[#This Row],[Candidate 9]], "")</f>
        <v/>
      </c>
      <c r="AN525" s="18" t="str">
        <f>IF(NOT(ISBLANK(Audit[[#This Row],[Audit Candidate 10]])), Audit[[#This Row],[Audit Candidate 10]]-Audit[[#This Row],[Candidate 10]], "")</f>
        <v/>
      </c>
      <c r="AO525" s="18" t="str">
        <f>IF(NOT(ISBLANK(Audit[[#This Row],[Audit Candidate 11]])), Audit[[#This Row],[Audit Candidate 11]]-Audit[[#This Row],[Candidate 11]], "")</f>
        <v/>
      </c>
      <c r="AP525" s="18" t="str">
        <f>IF(NOT(ISBLANK(Audit[[#This Row],[Audit Candidate 12]])), Audit[[#This Row],[Audit Candidate 12]]-Audit[[#This Row],[Candidate 12]], "")</f>
        <v/>
      </c>
      <c r="AQ525" s="18">
        <f>SUMIF(Audit[[#This Row],[Difference Winner]:[Difference Candidate 12]], "&gt;0")</f>
        <v>0</v>
      </c>
      <c r="AR525" s="18">
        <f>SUM(Audit[[#This Row],[Difference Winner]:[Difference Candidate 12]])</f>
        <v>0</v>
      </c>
      <c r="AS525" s="18">
        <f>IF(Audit[[#This Row],[Times p Drawn - With Replacement]]&gt;0, IF(Audit[[#This Row],[Canceled Differences]]&lt;0, Audit[[#This Row],[Max Differences]]+ABS(Audit[[#This Row],[Canceled Differences]]), Audit[[#This Row],[Max Differences]]), 0)</f>
        <v>0</v>
      </c>
      <c r="AT525" s="18">
        <f>'Sampling Data'!AB525</f>
        <v>6.2819989320601812E-4</v>
      </c>
      <c r="AU525" s="18">
        <f>IF(
      SUM(Audit[[#This Row],[Audit Losing Candidate]:[Audit Candidate 12]])
      &lt;&gt;0,
      (Audit[[#This Row],[Winning Candidate]]-Audit[[#This Row],[Losing Candidate]]-(Audit[[#This Row],[Audit Winning Candidate]]-Audit[[#This Row],[Audit Losing Candidate]]))/(Audit[[#Totals],[Winning Candidate]]-Audit[[#Totals],[Losing Candidate]]),
      0
)</f>
        <v>0</v>
      </c>
      <c r="AV5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8">
        <f>IF(Audit[[#This Row],[Max Relative Error (ep)]] = 0, 0, Audit[[#This Row],[Max Relative Error (ep)]]/Audit[[#This Row],[Error Bound (up) - Max. possible relative overstatement]])</f>
        <v>0</v>
      </c>
      <c r="BH5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5" s="18">
        <f t="shared" si="8"/>
        <v>1</v>
      </c>
      <c r="BJ525" s="18">
        <f>PRODUCT($BI$5:BI525)</f>
        <v>0.32656797278968008</v>
      </c>
      <c r="BK525" s="20">
        <f>1 - Audit[[#This Row],[K-M P Value]]</f>
        <v>0.67343202721031992</v>
      </c>
      <c r="BL525" s="18" t="str">
        <f>IF(Audit[[#This Row],[K-M P Value]]&gt;1-'General Info'!$B$12,"Continue", "Stop")</f>
        <v>Continue</v>
      </c>
      <c r="BM525" s="23" t="b">
        <f>IF(Audit[[#This Row],[Status - Continue or stop audit]] = "Continue", TRUE, IF(BL524 = "Continue", TRUE, FALSE))</f>
        <v>1</v>
      </c>
      <c r="BN525" s="23"/>
    </row>
    <row r="526" spans="1:66" ht="15" hidden="1" customHeight="1" x14ac:dyDescent="0.35">
      <c r="A526" s="18" t="str">
        <f>'Sampling Data'!AI526</f>
        <v/>
      </c>
      <c r="B526" s="18" t="str">
        <f>'Sampling Data'!A526</f>
        <v>8720 SPFLD T   (AV)</v>
      </c>
      <c r="C526" s="18">
        <f>'Sampling Data'!B526</f>
        <v>8</v>
      </c>
      <c r="D526" s="18">
        <f>'Sampling Data'!C526</f>
        <v>1</v>
      </c>
      <c r="E526" s="19">
        <f>'Sampling Data'!D526</f>
        <v>0</v>
      </c>
      <c r="F526" s="19">
        <f>'Sampling Data'!E526</f>
        <v>0</v>
      </c>
      <c r="G526" s="19">
        <f>'Sampling Data'!F526</f>
        <v>0</v>
      </c>
      <c r="H526" s="19">
        <f>'Sampling Data'!G526</f>
        <v>0</v>
      </c>
      <c r="I526" s="19">
        <f>'Sampling Data'!H526</f>
        <v>0</v>
      </c>
      <c r="J526" s="19">
        <f>'Sampling Data'!I526</f>
        <v>0</v>
      </c>
      <c r="K526" s="19">
        <f>'Sampling Data'!J526</f>
        <v>0</v>
      </c>
      <c r="L526" s="19">
        <f>'Sampling Data'!K526</f>
        <v>0</v>
      </c>
      <c r="M526" s="19">
        <f>'Sampling Data'!L526</f>
        <v>0</v>
      </c>
      <c r="N526" s="19">
        <f>'Sampling Data'!M526</f>
        <v>0</v>
      </c>
      <c r="O526" s="18">
        <f>'Sampling Data'!N526</f>
        <v>0</v>
      </c>
      <c r="P526" s="18">
        <f>'Sampling Data'!O526</f>
        <v>1</v>
      </c>
      <c r="Q526" s="18">
        <f>'Sampling Data'!P526</f>
        <v>10</v>
      </c>
      <c r="R526" s="18">
        <f>'Sampling Data'!AJ526</f>
        <v>0</v>
      </c>
      <c r="S526" s="112"/>
      <c r="T526" s="112"/>
      <c r="U526" s="113"/>
      <c r="V526" s="113"/>
      <c r="W526" s="112"/>
      <c r="X526" s="112"/>
      <c r="Y526" s="112"/>
      <c r="Z526" s="112"/>
      <c r="AA526" s="15"/>
      <c r="AB526" s="15"/>
      <c r="AC526" s="15"/>
      <c r="AD526" s="15"/>
      <c r="AE526" s="114" t="str">
        <f>IF(NOT(ISBLANK(Audit[[#This Row],[Audit Winning Candidate]])), Audit[[#This Row],[Audit Winning Candidate]]-Audit[[#This Row],[Winning Candidate]], "")</f>
        <v/>
      </c>
      <c r="AF526" s="18" t="str">
        <f>IF(NOT(ISBLANK(Audit[[#This Row],[Audit Losing Candidate]])), Audit[[#This Row],[Audit Losing Candidate]]-Audit[[#This Row],[Losing Candidate]], "")</f>
        <v/>
      </c>
      <c r="AG526" s="18" t="str">
        <f>IF(NOT(ISBLANK(Audit[[#This Row],[Audit Candidate 3]])), Audit[[#This Row],[Audit Candidate 3]]-Audit[[#This Row],[Candidate 3]], "")</f>
        <v/>
      </c>
      <c r="AH526" s="18" t="str">
        <f>IF(NOT(ISBLANK(Audit[[#This Row],[Audit Candidate 4]])),Audit[[#This Row],[Audit Candidate 4]]-Audit[[#This Row],[Candidate 4]], "")</f>
        <v/>
      </c>
      <c r="AI526" s="18" t="str">
        <f>IF(NOT(ISBLANK(Audit[[#This Row],[Audit Candidate 5]])), Audit[[#This Row],[Audit Candidate 5]]-Audit[[#This Row],[Candidate 5]], "")</f>
        <v/>
      </c>
      <c r="AJ526" s="18" t="str">
        <f>IF(NOT(ISBLANK(Audit[[#This Row],[Audit Candidate 6]])), Audit[[#This Row],[Audit Candidate 6]]-Audit[[#This Row],[Candidate 6]], "")</f>
        <v/>
      </c>
      <c r="AK526" s="18" t="str">
        <f>IF(NOT(ISBLANK(Audit[[#This Row],[Audit Candidate 7]])), Audit[[#This Row],[Audit Candidate 7]]-Audit[[#This Row],[Candidate 7]], "")</f>
        <v/>
      </c>
      <c r="AL526" s="18" t="str">
        <f>IF(NOT(ISBLANK(Audit[[#This Row],[Audit Candidate 8]])), Audit[[#This Row],[Audit Candidate 8]]-Audit[[#This Row],[Candidate 8]], "")</f>
        <v/>
      </c>
      <c r="AM526" s="18" t="str">
        <f>IF(NOT(ISBLANK(Audit[[#This Row],[Audit Candidate 9]])), Audit[[#This Row],[Audit Candidate 9]]-Audit[[#This Row],[Candidate 9]], "")</f>
        <v/>
      </c>
      <c r="AN526" s="18" t="str">
        <f>IF(NOT(ISBLANK(Audit[[#This Row],[Audit Candidate 10]])), Audit[[#This Row],[Audit Candidate 10]]-Audit[[#This Row],[Candidate 10]], "")</f>
        <v/>
      </c>
      <c r="AO526" s="18" t="str">
        <f>IF(NOT(ISBLANK(Audit[[#This Row],[Audit Candidate 11]])), Audit[[#This Row],[Audit Candidate 11]]-Audit[[#This Row],[Candidate 11]], "")</f>
        <v/>
      </c>
      <c r="AP526" s="18" t="str">
        <f>IF(NOT(ISBLANK(Audit[[#This Row],[Audit Candidate 12]])), Audit[[#This Row],[Audit Candidate 12]]-Audit[[#This Row],[Candidate 12]], "")</f>
        <v/>
      </c>
      <c r="AQ526" s="18">
        <f>SUMIF(Audit[[#This Row],[Difference Winner]:[Difference Candidate 12]], "&gt;0")</f>
        <v>0</v>
      </c>
      <c r="AR526" s="18">
        <f>SUM(Audit[[#This Row],[Difference Winner]:[Difference Candidate 12]])</f>
        <v>0</v>
      </c>
      <c r="AS526" s="18">
        <f>IF(Audit[[#This Row],[Times p Drawn - With Replacement]]&gt;0, IF(Audit[[#This Row],[Canceled Differences]]&lt;0, Audit[[#This Row],[Max Differences]]+ABS(Audit[[#This Row],[Canceled Differences]]), Audit[[#This Row],[Max Differences]]), 0)</f>
        <v>0</v>
      </c>
      <c r="AT526" s="18">
        <f>'Sampling Data'!AB526</f>
        <v>5.3396990922511547E-4</v>
      </c>
      <c r="AU526" s="18">
        <f>IF(
      SUM(Audit[[#This Row],[Audit Losing Candidate]:[Audit Candidate 12]])
      &lt;&gt;0,
      (Audit[[#This Row],[Winning Candidate]]-Audit[[#This Row],[Losing Candidate]]-(Audit[[#This Row],[Audit Winning Candidate]]-Audit[[#This Row],[Audit Losing Candidate]]))/(Audit[[#Totals],[Winning Candidate]]-Audit[[#Totals],[Losing Candidate]]),
      0
)</f>
        <v>0</v>
      </c>
      <c r="AV5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8">
        <f>IF(Audit[[#This Row],[Max Relative Error (ep)]] = 0, 0, Audit[[#This Row],[Max Relative Error (ep)]]/Audit[[#This Row],[Error Bound (up) - Max. possible relative overstatement]])</f>
        <v>0</v>
      </c>
      <c r="BH5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6" s="18">
        <f t="shared" si="8"/>
        <v>1</v>
      </c>
      <c r="BJ526" s="18">
        <f>PRODUCT($BI$5:BI526)</f>
        <v>0.32656797278968008</v>
      </c>
      <c r="BK526" s="20">
        <f>1 - Audit[[#This Row],[K-M P Value]]</f>
        <v>0.67343202721031992</v>
      </c>
      <c r="BL526" s="18" t="str">
        <f>IF(Audit[[#This Row],[K-M P Value]]&gt;1-'General Info'!$B$12,"Continue", "Stop")</f>
        <v>Continue</v>
      </c>
      <c r="BM526" s="23" t="b">
        <f>IF(Audit[[#This Row],[Status - Continue or stop audit]] = "Continue", TRUE, IF(BL525 = "Continue", TRUE, FALSE))</f>
        <v>1</v>
      </c>
      <c r="BN526" s="23"/>
    </row>
    <row r="527" spans="1:66" ht="15" hidden="1" customHeight="1" x14ac:dyDescent="0.35">
      <c r="A527" s="18" t="str">
        <f>'Sampling Data'!AI527</f>
        <v/>
      </c>
      <c r="B527" s="18" t="str">
        <f>'Sampling Data'!A527</f>
        <v>8721 SPFLD U   (AV)</v>
      </c>
      <c r="C527" s="18">
        <f>'Sampling Data'!B527</f>
        <v>12</v>
      </c>
      <c r="D527" s="18">
        <f>'Sampling Data'!C527</f>
        <v>0</v>
      </c>
      <c r="E527" s="19">
        <f>'Sampling Data'!D527</f>
        <v>0</v>
      </c>
      <c r="F527" s="19">
        <f>'Sampling Data'!E527</f>
        <v>0</v>
      </c>
      <c r="G527" s="19">
        <f>'Sampling Data'!F527</f>
        <v>0</v>
      </c>
      <c r="H527" s="19">
        <f>'Sampling Data'!G527</f>
        <v>0</v>
      </c>
      <c r="I527" s="19">
        <f>'Sampling Data'!H527</f>
        <v>0</v>
      </c>
      <c r="J527" s="19">
        <f>'Sampling Data'!I527</f>
        <v>0</v>
      </c>
      <c r="K527" s="19">
        <f>'Sampling Data'!J527</f>
        <v>0</v>
      </c>
      <c r="L527" s="19">
        <f>'Sampling Data'!K527</f>
        <v>0</v>
      </c>
      <c r="M527" s="19">
        <f>'Sampling Data'!L527</f>
        <v>0</v>
      </c>
      <c r="N527" s="19">
        <f>'Sampling Data'!M527</f>
        <v>0</v>
      </c>
      <c r="O527" s="18">
        <f>'Sampling Data'!N527</f>
        <v>0</v>
      </c>
      <c r="P527" s="18">
        <f>'Sampling Data'!O527</f>
        <v>0</v>
      </c>
      <c r="Q527" s="18">
        <f>'Sampling Data'!P527</f>
        <v>12</v>
      </c>
      <c r="R527" s="18">
        <f>'Sampling Data'!AJ527</f>
        <v>0</v>
      </c>
      <c r="S527" s="112"/>
      <c r="T527" s="112"/>
      <c r="U527" s="113"/>
      <c r="V527" s="113"/>
      <c r="W527" s="112"/>
      <c r="X527" s="112"/>
      <c r="Y527" s="112"/>
      <c r="Z527" s="112"/>
      <c r="AA527" s="15"/>
      <c r="AB527" s="15"/>
      <c r="AC527" s="15"/>
      <c r="AD527" s="15"/>
      <c r="AE527" s="114" t="str">
        <f>IF(NOT(ISBLANK(Audit[[#This Row],[Audit Winning Candidate]])), Audit[[#This Row],[Audit Winning Candidate]]-Audit[[#This Row],[Winning Candidate]], "")</f>
        <v/>
      </c>
      <c r="AF527" s="18" t="str">
        <f>IF(NOT(ISBLANK(Audit[[#This Row],[Audit Losing Candidate]])), Audit[[#This Row],[Audit Losing Candidate]]-Audit[[#This Row],[Losing Candidate]], "")</f>
        <v/>
      </c>
      <c r="AG527" s="18" t="str">
        <f>IF(NOT(ISBLANK(Audit[[#This Row],[Audit Candidate 3]])), Audit[[#This Row],[Audit Candidate 3]]-Audit[[#This Row],[Candidate 3]], "")</f>
        <v/>
      </c>
      <c r="AH527" s="18" t="str">
        <f>IF(NOT(ISBLANK(Audit[[#This Row],[Audit Candidate 4]])),Audit[[#This Row],[Audit Candidate 4]]-Audit[[#This Row],[Candidate 4]], "")</f>
        <v/>
      </c>
      <c r="AI527" s="18" t="str">
        <f>IF(NOT(ISBLANK(Audit[[#This Row],[Audit Candidate 5]])), Audit[[#This Row],[Audit Candidate 5]]-Audit[[#This Row],[Candidate 5]], "")</f>
        <v/>
      </c>
      <c r="AJ527" s="18" t="str">
        <f>IF(NOT(ISBLANK(Audit[[#This Row],[Audit Candidate 6]])), Audit[[#This Row],[Audit Candidate 6]]-Audit[[#This Row],[Candidate 6]], "")</f>
        <v/>
      </c>
      <c r="AK527" s="18" t="str">
        <f>IF(NOT(ISBLANK(Audit[[#This Row],[Audit Candidate 7]])), Audit[[#This Row],[Audit Candidate 7]]-Audit[[#This Row],[Candidate 7]], "")</f>
        <v/>
      </c>
      <c r="AL527" s="18" t="str">
        <f>IF(NOT(ISBLANK(Audit[[#This Row],[Audit Candidate 8]])), Audit[[#This Row],[Audit Candidate 8]]-Audit[[#This Row],[Candidate 8]], "")</f>
        <v/>
      </c>
      <c r="AM527" s="18" t="str">
        <f>IF(NOT(ISBLANK(Audit[[#This Row],[Audit Candidate 9]])), Audit[[#This Row],[Audit Candidate 9]]-Audit[[#This Row],[Candidate 9]], "")</f>
        <v/>
      </c>
      <c r="AN527" s="18" t="str">
        <f>IF(NOT(ISBLANK(Audit[[#This Row],[Audit Candidate 10]])), Audit[[#This Row],[Audit Candidate 10]]-Audit[[#This Row],[Candidate 10]], "")</f>
        <v/>
      </c>
      <c r="AO527" s="18" t="str">
        <f>IF(NOT(ISBLANK(Audit[[#This Row],[Audit Candidate 11]])), Audit[[#This Row],[Audit Candidate 11]]-Audit[[#This Row],[Candidate 11]], "")</f>
        <v/>
      </c>
      <c r="AP527" s="18" t="str">
        <f>IF(NOT(ISBLANK(Audit[[#This Row],[Audit Candidate 12]])), Audit[[#This Row],[Audit Candidate 12]]-Audit[[#This Row],[Candidate 12]], "")</f>
        <v/>
      </c>
      <c r="AQ527" s="18">
        <f>SUMIF(Audit[[#This Row],[Difference Winner]:[Difference Candidate 12]], "&gt;0")</f>
        <v>0</v>
      </c>
      <c r="AR527" s="18">
        <f>SUM(Audit[[#This Row],[Difference Winner]:[Difference Candidate 12]])</f>
        <v>0</v>
      </c>
      <c r="AS527" s="18">
        <f>IF(Audit[[#This Row],[Times p Drawn - With Replacement]]&gt;0, IF(Audit[[#This Row],[Canceled Differences]]&lt;0, Audit[[#This Row],[Max Differences]]+ABS(Audit[[#This Row],[Canceled Differences]]), Audit[[#This Row],[Max Differences]]), 0)</f>
        <v>0</v>
      </c>
      <c r="AT527" s="18">
        <f>'Sampling Data'!AB527</f>
        <v>7.5383987184722177E-4</v>
      </c>
      <c r="AU527" s="18">
        <f>IF(
      SUM(Audit[[#This Row],[Audit Losing Candidate]:[Audit Candidate 12]])
      &lt;&gt;0,
      (Audit[[#This Row],[Winning Candidate]]-Audit[[#This Row],[Losing Candidate]]-(Audit[[#This Row],[Audit Winning Candidate]]-Audit[[#This Row],[Audit Losing Candidate]]))/(Audit[[#Totals],[Winning Candidate]]-Audit[[#Totals],[Losing Candidate]]),
      0
)</f>
        <v>0</v>
      </c>
      <c r="AV5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8">
        <f>IF(Audit[[#This Row],[Max Relative Error (ep)]] = 0, 0, Audit[[#This Row],[Max Relative Error (ep)]]/Audit[[#This Row],[Error Bound (up) - Max. possible relative overstatement]])</f>
        <v>0</v>
      </c>
      <c r="BH5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7" s="18">
        <f t="shared" ref="BI527:BI590" si="9">IF(ISERR(POWER(BH527,R527)), 0, POWER(BH527,R527))</f>
        <v>1</v>
      </c>
      <c r="BJ527" s="18">
        <f>PRODUCT($BI$5:BI527)</f>
        <v>0.32656797278968008</v>
      </c>
      <c r="BK527" s="20">
        <f>1 - Audit[[#This Row],[K-M P Value]]</f>
        <v>0.67343202721031992</v>
      </c>
      <c r="BL527" s="18" t="str">
        <f>IF(Audit[[#This Row],[K-M P Value]]&gt;1-'General Info'!$B$12,"Continue", "Stop")</f>
        <v>Continue</v>
      </c>
      <c r="BM527" s="23" t="b">
        <f>IF(Audit[[#This Row],[Status - Continue or stop audit]] = "Continue", TRUE, IF(BL526 = "Continue", TRUE, FALSE))</f>
        <v>1</v>
      </c>
      <c r="BN527" s="23"/>
    </row>
    <row r="528" spans="1:66" ht="15" hidden="1" customHeight="1" x14ac:dyDescent="0.35">
      <c r="A528" s="18" t="str">
        <f>'Sampling Data'!AI528</f>
        <v/>
      </c>
      <c r="B528" s="18" t="str">
        <f>'Sampling Data'!A528</f>
        <v>8722 SPFLD V   (AV)</v>
      </c>
      <c r="C528" s="18">
        <f>'Sampling Data'!B528</f>
        <v>12</v>
      </c>
      <c r="D528" s="18">
        <f>'Sampling Data'!C528</f>
        <v>0</v>
      </c>
      <c r="E528" s="19">
        <f>'Sampling Data'!D528</f>
        <v>0</v>
      </c>
      <c r="F528" s="19">
        <f>'Sampling Data'!E528</f>
        <v>0</v>
      </c>
      <c r="G528" s="19">
        <f>'Sampling Data'!F528</f>
        <v>0</v>
      </c>
      <c r="H528" s="19">
        <f>'Sampling Data'!G528</f>
        <v>0</v>
      </c>
      <c r="I528" s="19">
        <f>'Sampling Data'!H528</f>
        <v>0</v>
      </c>
      <c r="J528" s="19">
        <f>'Sampling Data'!I528</f>
        <v>0</v>
      </c>
      <c r="K528" s="19">
        <f>'Sampling Data'!J528</f>
        <v>0</v>
      </c>
      <c r="L528" s="19">
        <f>'Sampling Data'!K528</f>
        <v>0</v>
      </c>
      <c r="M528" s="19">
        <f>'Sampling Data'!L528</f>
        <v>0</v>
      </c>
      <c r="N528" s="19">
        <f>'Sampling Data'!M528</f>
        <v>0</v>
      </c>
      <c r="O528" s="18">
        <f>'Sampling Data'!N528</f>
        <v>0</v>
      </c>
      <c r="P528" s="18">
        <f>'Sampling Data'!O528</f>
        <v>0</v>
      </c>
      <c r="Q528" s="18">
        <f>'Sampling Data'!P528</f>
        <v>12</v>
      </c>
      <c r="R528" s="18">
        <f>'Sampling Data'!AJ528</f>
        <v>0</v>
      </c>
      <c r="S528" s="112"/>
      <c r="T528" s="112"/>
      <c r="U528" s="113"/>
      <c r="V528" s="113"/>
      <c r="W528" s="112"/>
      <c r="X528" s="112"/>
      <c r="Y528" s="112"/>
      <c r="Z528" s="112"/>
      <c r="AA528" s="15"/>
      <c r="AB528" s="15"/>
      <c r="AC528" s="15"/>
      <c r="AD528" s="15"/>
      <c r="AE528" s="114" t="str">
        <f>IF(NOT(ISBLANK(Audit[[#This Row],[Audit Winning Candidate]])), Audit[[#This Row],[Audit Winning Candidate]]-Audit[[#This Row],[Winning Candidate]], "")</f>
        <v/>
      </c>
      <c r="AF528" s="18" t="str">
        <f>IF(NOT(ISBLANK(Audit[[#This Row],[Audit Losing Candidate]])), Audit[[#This Row],[Audit Losing Candidate]]-Audit[[#This Row],[Losing Candidate]], "")</f>
        <v/>
      </c>
      <c r="AG528" s="18" t="str">
        <f>IF(NOT(ISBLANK(Audit[[#This Row],[Audit Candidate 3]])), Audit[[#This Row],[Audit Candidate 3]]-Audit[[#This Row],[Candidate 3]], "")</f>
        <v/>
      </c>
      <c r="AH528" s="18" t="str">
        <f>IF(NOT(ISBLANK(Audit[[#This Row],[Audit Candidate 4]])),Audit[[#This Row],[Audit Candidate 4]]-Audit[[#This Row],[Candidate 4]], "")</f>
        <v/>
      </c>
      <c r="AI528" s="18" t="str">
        <f>IF(NOT(ISBLANK(Audit[[#This Row],[Audit Candidate 5]])), Audit[[#This Row],[Audit Candidate 5]]-Audit[[#This Row],[Candidate 5]], "")</f>
        <v/>
      </c>
      <c r="AJ528" s="18" t="str">
        <f>IF(NOT(ISBLANK(Audit[[#This Row],[Audit Candidate 6]])), Audit[[#This Row],[Audit Candidate 6]]-Audit[[#This Row],[Candidate 6]], "")</f>
        <v/>
      </c>
      <c r="AK528" s="18" t="str">
        <f>IF(NOT(ISBLANK(Audit[[#This Row],[Audit Candidate 7]])), Audit[[#This Row],[Audit Candidate 7]]-Audit[[#This Row],[Candidate 7]], "")</f>
        <v/>
      </c>
      <c r="AL528" s="18" t="str">
        <f>IF(NOT(ISBLANK(Audit[[#This Row],[Audit Candidate 8]])), Audit[[#This Row],[Audit Candidate 8]]-Audit[[#This Row],[Candidate 8]], "")</f>
        <v/>
      </c>
      <c r="AM528" s="18" t="str">
        <f>IF(NOT(ISBLANK(Audit[[#This Row],[Audit Candidate 9]])), Audit[[#This Row],[Audit Candidate 9]]-Audit[[#This Row],[Candidate 9]], "")</f>
        <v/>
      </c>
      <c r="AN528" s="18" t="str">
        <f>IF(NOT(ISBLANK(Audit[[#This Row],[Audit Candidate 10]])), Audit[[#This Row],[Audit Candidate 10]]-Audit[[#This Row],[Candidate 10]], "")</f>
        <v/>
      </c>
      <c r="AO528" s="18" t="str">
        <f>IF(NOT(ISBLANK(Audit[[#This Row],[Audit Candidate 11]])), Audit[[#This Row],[Audit Candidate 11]]-Audit[[#This Row],[Candidate 11]], "")</f>
        <v/>
      </c>
      <c r="AP528" s="18" t="str">
        <f>IF(NOT(ISBLANK(Audit[[#This Row],[Audit Candidate 12]])), Audit[[#This Row],[Audit Candidate 12]]-Audit[[#This Row],[Candidate 12]], "")</f>
        <v/>
      </c>
      <c r="AQ528" s="18">
        <f>SUMIF(Audit[[#This Row],[Difference Winner]:[Difference Candidate 12]], "&gt;0")</f>
        <v>0</v>
      </c>
      <c r="AR528" s="18">
        <f>SUM(Audit[[#This Row],[Difference Winner]:[Difference Candidate 12]])</f>
        <v>0</v>
      </c>
      <c r="AS528" s="18">
        <f>IF(Audit[[#This Row],[Times p Drawn - With Replacement]]&gt;0, IF(Audit[[#This Row],[Canceled Differences]]&lt;0, Audit[[#This Row],[Max Differences]]+ABS(Audit[[#This Row],[Canceled Differences]]), Audit[[#This Row],[Max Differences]]), 0)</f>
        <v>0</v>
      </c>
      <c r="AT528" s="18">
        <f>'Sampling Data'!AB528</f>
        <v>7.5383987184722177E-4</v>
      </c>
      <c r="AU528" s="18">
        <f>IF(
      SUM(Audit[[#This Row],[Audit Losing Candidate]:[Audit Candidate 12]])
      &lt;&gt;0,
      (Audit[[#This Row],[Winning Candidate]]-Audit[[#This Row],[Losing Candidate]]-(Audit[[#This Row],[Audit Winning Candidate]]-Audit[[#This Row],[Audit Losing Candidate]]))/(Audit[[#Totals],[Winning Candidate]]-Audit[[#Totals],[Losing Candidate]]),
      0
)</f>
        <v>0</v>
      </c>
      <c r="AV5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8">
        <f>IF(Audit[[#This Row],[Max Relative Error (ep)]] = 0, 0, Audit[[#This Row],[Max Relative Error (ep)]]/Audit[[#This Row],[Error Bound (up) - Max. possible relative overstatement]])</f>
        <v>0</v>
      </c>
      <c r="BH5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8" s="18">
        <f t="shared" si="9"/>
        <v>1</v>
      </c>
      <c r="BJ528" s="18">
        <f>PRODUCT($BI$5:BI528)</f>
        <v>0.32656797278968008</v>
      </c>
      <c r="BK528" s="20">
        <f>1 - Audit[[#This Row],[K-M P Value]]</f>
        <v>0.67343202721031992</v>
      </c>
      <c r="BL528" s="18" t="str">
        <f>IF(Audit[[#This Row],[K-M P Value]]&gt;1-'General Info'!$B$12,"Continue", "Stop")</f>
        <v>Continue</v>
      </c>
      <c r="BM528" s="23" t="b">
        <f>IF(Audit[[#This Row],[Status - Continue or stop audit]] = "Continue", TRUE, IF(BL527 = "Continue", TRUE, FALSE))</f>
        <v>1</v>
      </c>
      <c r="BN528" s="23"/>
    </row>
    <row r="529" spans="1:66" ht="15" hidden="1" customHeight="1" x14ac:dyDescent="0.35">
      <c r="A529" s="18" t="str">
        <f>'Sampling Data'!AI529</f>
        <v/>
      </c>
      <c r="B529" s="18" t="str">
        <f>'Sampling Data'!A529</f>
        <v>8723 SPFLD W   (AV)</v>
      </c>
      <c r="C529" s="18">
        <f>'Sampling Data'!B529</f>
        <v>4</v>
      </c>
      <c r="D529" s="18">
        <f>'Sampling Data'!C529</f>
        <v>2</v>
      </c>
      <c r="E529" s="19">
        <f>'Sampling Data'!D529</f>
        <v>0</v>
      </c>
      <c r="F529" s="19">
        <f>'Sampling Data'!E529</f>
        <v>0</v>
      </c>
      <c r="G529" s="19">
        <f>'Sampling Data'!F529</f>
        <v>0</v>
      </c>
      <c r="H529" s="19">
        <f>'Sampling Data'!G529</f>
        <v>0</v>
      </c>
      <c r="I529" s="19">
        <f>'Sampling Data'!H529</f>
        <v>0</v>
      </c>
      <c r="J529" s="19">
        <f>'Sampling Data'!I529</f>
        <v>0</v>
      </c>
      <c r="K529" s="19">
        <f>'Sampling Data'!J529</f>
        <v>0</v>
      </c>
      <c r="L529" s="19">
        <f>'Sampling Data'!K529</f>
        <v>0</v>
      </c>
      <c r="M529" s="19">
        <f>'Sampling Data'!L529</f>
        <v>0</v>
      </c>
      <c r="N529" s="19">
        <f>'Sampling Data'!M529</f>
        <v>0</v>
      </c>
      <c r="O529" s="18">
        <f>'Sampling Data'!N529</f>
        <v>0</v>
      </c>
      <c r="P529" s="18">
        <f>'Sampling Data'!O529</f>
        <v>0</v>
      </c>
      <c r="Q529" s="18">
        <f>'Sampling Data'!P529</f>
        <v>6</v>
      </c>
      <c r="R529" s="18">
        <f>'Sampling Data'!AJ529</f>
        <v>0</v>
      </c>
      <c r="S529" s="112"/>
      <c r="T529" s="112"/>
      <c r="U529" s="113"/>
      <c r="V529" s="113"/>
      <c r="W529" s="112"/>
      <c r="X529" s="112"/>
      <c r="Y529" s="112"/>
      <c r="Z529" s="112"/>
      <c r="AA529" s="15"/>
      <c r="AB529" s="15"/>
      <c r="AC529" s="15"/>
      <c r="AD529" s="15"/>
      <c r="AE529" s="114" t="str">
        <f>IF(NOT(ISBLANK(Audit[[#This Row],[Audit Winning Candidate]])), Audit[[#This Row],[Audit Winning Candidate]]-Audit[[#This Row],[Winning Candidate]], "")</f>
        <v/>
      </c>
      <c r="AF529" s="18" t="str">
        <f>IF(NOT(ISBLANK(Audit[[#This Row],[Audit Losing Candidate]])), Audit[[#This Row],[Audit Losing Candidate]]-Audit[[#This Row],[Losing Candidate]], "")</f>
        <v/>
      </c>
      <c r="AG529" s="18" t="str">
        <f>IF(NOT(ISBLANK(Audit[[#This Row],[Audit Candidate 3]])), Audit[[#This Row],[Audit Candidate 3]]-Audit[[#This Row],[Candidate 3]], "")</f>
        <v/>
      </c>
      <c r="AH529" s="18" t="str">
        <f>IF(NOT(ISBLANK(Audit[[#This Row],[Audit Candidate 4]])),Audit[[#This Row],[Audit Candidate 4]]-Audit[[#This Row],[Candidate 4]], "")</f>
        <v/>
      </c>
      <c r="AI529" s="18" t="str">
        <f>IF(NOT(ISBLANK(Audit[[#This Row],[Audit Candidate 5]])), Audit[[#This Row],[Audit Candidate 5]]-Audit[[#This Row],[Candidate 5]], "")</f>
        <v/>
      </c>
      <c r="AJ529" s="18" t="str">
        <f>IF(NOT(ISBLANK(Audit[[#This Row],[Audit Candidate 6]])), Audit[[#This Row],[Audit Candidate 6]]-Audit[[#This Row],[Candidate 6]], "")</f>
        <v/>
      </c>
      <c r="AK529" s="18" t="str">
        <f>IF(NOT(ISBLANK(Audit[[#This Row],[Audit Candidate 7]])), Audit[[#This Row],[Audit Candidate 7]]-Audit[[#This Row],[Candidate 7]], "")</f>
        <v/>
      </c>
      <c r="AL529" s="18" t="str">
        <f>IF(NOT(ISBLANK(Audit[[#This Row],[Audit Candidate 8]])), Audit[[#This Row],[Audit Candidate 8]]-Audit[[#This Row],[Candidate 8]], "")</f>
        <v/>
      </c>
      <c r="AM529" s="18" t="str">
        <f>IF(NOT(ISBLANK(Audit[[#This Row],[Audit Candidate 9]])), Audit[[#This Row],[Audit Candidate 9]]-Audit[[#This Row],[Candidate 9]], "")</f>
        <v/>
      </c>
      <c r="AN529" s="18" t="str">
        <f>IF(NOT(ISBLANK(Audit[[#This Row],[Audit Candidate 10]])), Audit[[#This Row],[Audit Candidate 10]]-Audit[[#This Row],[Candidate 10]], "")</f>
        <v/>
      </c>
      <c r="AO529" s="18" t="str">
        <f>IF(NOT(ISBLANK(Audit[[#This Row],[Audit Candidate 11]])), Audit[[#This Row],[Audit Candidate 11]]-Audit[[#This Row],[Candidate 11]], "")</f>
        <v/>
      </c>
      <c r="AP529" s="18" t="str">
        <f>IF(NOT(ISBLANK(Audit[[#This Row],[Audit Candidate 12]])), Audit[[#This Row],[Audit Candidate 12]]-Audit[[#This Row],[Candidate 12]], "")</f>
        <v/>
      </c>
      <c r="AQ529" s="18">
        <f>SUMIF(Audit[[#This Row],[Difference Winner]:[Difference Candidate 12]], "&gt;0")</f>
        <v>0</v>
      </c>
      <c r="AR529" s="18">
        <f>SUM(Audit[[#This Row],[Difference Winner]:[Difference Candidate 12]])</f>
        <v>0</v>
      </c>
      <c r="AS529" s="18">
        <f>IF(Audit[[#This Row],[Times p Drawn - With Replacement]]&gt;0, IF(Audit[[#This Row],[Canceled Differences]]&lt;0, Audit[[#This Row],[Max Differences]]+ABS(Audit[[#This Row],[Canceled Differences]]), Audit[[#This Row],[Max Differences]]), 0)</f>
        <v>0</v>
      </c>
      <c r="AT529" s="18">
        <f>'Sampling Data'!AB529</f>
        <v>2.5127995728240724E-4</v>
      </c>
      <c r="AU529" s="18">
        <f>IF(
      SUM(Audit[[#This Row],[Audit Losing Candidate]:[Audit Candidate 12]])
      &lt;&gt;0,
      (Audit[[#This Row],[Winning Candidate]]-Audit[[#This Row],[Losing Candidate]]-(Audit[[#This Row],[Audit Winning Candidate]]-Audit[[#This Row],[Audit Losing Candidate]]))/(Audit[[#Totals],[Winning Candidate]]-Audit[[#Totals],[Losing Candidate]]),
      0
)</f>
        <v>0</v>
      </c>
      <c r="AV5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8">
        <f>IF(Audit[[#This Row],[Max Relative Error (ep)]] = 0, 0, Audit[[#This Row],[Max Relative Error (ep)]]/Audit[[#This Row],[Error Bound (up) - Max. possible relative overstatement]])</f>
        <v>0</v>
      </c>
      <c r="BH5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29" s="18">
        <f t="shared" si="9"/>
        <v>1</v>
      </c>
      <c r="BJ529" s="18">
        <f>PRODUCT($BI$5:BI529)</f>
        <v>0.32656797278968008</v>
      </c>
      <c r="BK529" s="20">
        <f>1 - Audit[[#This Row],[K-M P Value]]</f>
        <v>0.67343202721031992</v>
      </c>
      <c r="BL529" s="18" t="str">
        <f>IF(Audit[[#This Row],[K-M P Value]]&gt;1-'General Info'!$B$12,"Continue", "Stop")</f>
        <v>Continue</v>
      </c>
      <c r="BM529" s="23" t="b">
        <f>IF(Audit[[#This Row],[Status - Continue or stop audit]] = "Continue", TRUE, IF(BL528 = "Continue", TRUE, FALSE))</f>
        <v>1</v>
      </c>
      <c r="BN529" s="23"/>
    </row>
    <row r="530" spans="1:66" ht="15" hidden="1" customHeight="1" x14ac:dyDescent="0.35">
      <c r="A530" s="18" t="str">
        <f>'Sampling Data'!AI530</f>
        <v/>
      </c>
      <c r="B530" s="18" t="str">
        <f>'Sampling Data'!A530</f>
        <v>8724 SPFLD X   (AV)</v>
      </c>
      <c r="C530" s="18">
        <f>'Sampling Data'!B530</f>
        <v>4</v>
      </c>
      <c r="D530" s="18">
        <f>'Sampling Data'!C530</f>
        <v>0</v>
      </c>
      <c r="E530" s="19">
        <f>'Sampling Data'!D530</f>
        <v>0</v>
      </c>
      <c r="F530" s="19">
        <f>'Sampling Data'!E530</f>
        <v>0</v>
      </c>
      <c r="G530" s="19">
        <f>'Sampling Data'!F530</f>
        <v>0</v>
      </c>
      <c r="H530" s="19">
        <f>'Sampling Data'!G530</f>
        <v>0</v>
      </c>
      <c r="I530" s="19">
        <f>'Sampling Data'!H530</f>
        <v>0</v>
      </c>
      <c r="J530" s="19">
        <f>'Sampling Data'!I530</f>
        <v>0</v>
      </c>
      <c r="K530" s="19">
        <f>'Sampling Data'!J530</f>
        <v>0</v>
      </c>
      <c r="L530" s="19">
        <f>'Sampling Data'!K530</f>
        <v>0</v>
      </c>
      <c r="M530" s="19">
        <f>'Sampling Data'!L530</f>
        <v>0</v>
      </c>
      <c r="N530" s="19">
        <f>'Sampling Data'!M530</f>
        <v>0</v>
      </c>
      <c r="O530" s="18">
        <f>'Sampling Data'!N530</f>
        <v>0</v>
      </c>
      <c r="P530" s="18">
        <f>'Sampling Data'!O530</f>
        <v>0</v>
      </c>
      <c r="Q530" s="18">
        <f>'Sampling Data'!P530</f>
        <v>4</v>
      </c>
      <c r="R530" s="18">
        <f>'Sampling Data'!AJ530</f>
        <v>0</v>
      </c>
      <c r="S530" s="112"/>
      <c r="T530" s="112"/>
      <c r="U530" s="113"/>
      <c r="V530" s="113"/>
      <c r="W530" s="112"/>
      <c r="X530" s="112"/>
      <c r="Y530" s="112"/>
      <c r="Z530" s="112"/>
      <c r="AA530" s="15"/>
      <c r="AB530" s="15"/>
      <c r="AC530" s="15"/>
      <c r="AD530" s="15"/>
      <c r="AE530" s="114" t="str">
        <f>IF(NOT(ISBLANK(Audit[[#This Row],[Audit Winning Candidate]])), Audit[[#This Row],[Audit Winning Candidate]]-Audit[[#This Row],[Winning Candidate]], "")</f>
        <v/>
      </c>
      <c r="AF530" s="18" t="str">
        <f>IF(NOT(ISBLANK(Audit[[#This Row],[Audit Losing Candidate]])), Audit[[#This Row],[Audit Losing Candidate]]-Audit[[#This Row],[Losing Candidate]], "")</f>
        <v/>
      </c>
      <c r="AG530" s="18" t="str">
        <f>IF(NOT(ISBLANK(Audit[[#This Row],[Audit Candidate 3]])), Audit[[#This Row],[Audit Candidate 3]]-Audit[[#This Row],[Candidate 3]], "")</f>
        <v/>
      </c>
      <c r="AH530" s="18" t="str">
        <f>IF(NOT(ISBLANK(Audit[[#This Row],[Audit Candidate 4]])),Audit[[#This Row],[Audit Candidate 4]]-Audit[[#This Row],[Candidate 4]], "")</f>
        <v/>
      </c>
      <c r="AI530" s="18" t="str">
        <f>IF(NOT(ISBLANK(Audit[[#This Row],[Audit Candidate 5]])), Audit[[#This Row],[Audit Candidate 5]]-Audit[[#This Row],[Candidate 5]], "")</f>
        <v/>
      </c>
      <c r="AJ530" s="18" t="str">
        <f>IF(NOT(ISBLANK(Audit[[#This Row],[Audit Candidate 6]])), Audit[[#This Row],[Audit Candidate 6]]-Audit[[#This Row],[Candidate 6]], "")</f>
        <v/>
      </c>
      <c r="AK530" s="18" t="str">
        <f>IF(NOT(ISBLANK(Audit[[#This Row],[Audit Candidate 7]])), Audit[[#This Row],[Audit Candidate 7]]-Audit[[#This Row],[Candidate 7]], "")</f>
        <v/>
      </c>
      <c r="AL530" s="18" t="str">
        <f>IF(NOT(ISBLANK(Audit[[#This Row],[Audit Candidate 8]])), Audit[[#This Row],[Audit Candidate 8]]-Audit[[#This Row],[Candidate 8]], "")</f>
        <v/>
      </c>
      <c r="AM530" s="18" t="str">
        <f>IF(NOT(ISBLANK(Audit[[#This Row],[Audit Candidate 9]])), Audit[[#This Row],[Audit Candidate 9]]-Audit[[#This Row],[Candidate 9]], "")</f>
        <v/>
      </c>
      <c r="AN530" s="18" t="str">
        <f>IF(NOT(ISBLANK(Audit[[#This Row],[Audit Candidate 10]])), Audit[[#This Row],[Audit Candidate 10]]-Audit[[#This Row],[Candidate 10]], "")</f>
        <v/>
      </c>
      <c r="AO530" s="18" t="str">
        <f>IF(NOT(ISBLANK(Audit[[#This Row],[Audit Candidate 11]])), Audit[[#This Row],[Audit Candidate 11]]-Audit[[#This Row],[Candidate 11]], "")</f>
        <v/>
      </c>
      <c r="AP530" s="18" t="str">
        <f>IF(NOT(ISBLANK(Audit[[#This Row],[Audit Candidate 12]])), Audit[[#This Row],[Audit Candidate 12]]-Audit[[#This Row],[Candidate 12]], "")</f>
        <v/>
      </c>
      <c r="AQ530" s="18">
        <f>SUMIF(Audit[[#This Row],[Difference Winner]:[Difference Candidate 12]], "&gt;0")</f>
        <v>0</v>
      </c>
      <c r="AR530" s="18">
        <f>SUM(Audit[[#This Row],[Difference Winner]:[Difference Candidate 12]])</f>
        <v>0</v>
      </c>
      <c r="AS530" s="18">
        <f>IF(Audit[[#This Row],[Times p Drawn - With Replacement]]&gt;0, IF(Audit[[#This Row],[Canceled Differences]]&lt;0, Audit[[#This Row],[Max Differences]]+ABS(Audit[[#This Row],[Canceled Differences]]), Audit[[#This Row],[Max Differences]]), 0)</f>
        <v>0</v>
      </c>
      <c r="AT530" s="18">
        <f>'Sampling Data'!AB530</f>
        <v>2.5127995728240724E-4</v>
      </c>
      <c r="AU530" s="18">
        <f>IF(
      SUM(Audit[[#This Row],[Audit Losing Candidate]:[Audit Candidate 12]])
      &lt;&gt;0,
      (Audit[[#This Row],[Winning Candidate]]-Audit[[#This Row],[Losing Candidate]]-(Audit[[#This Row],[Audit Winning Candidate]]-Audit[[#This Row],[Audit Losing Candidate]]))/(Audit[[#Totals],[Winning Candidate]]-Audit[[#Totals],[Losing Candidate]]),
      0
)</f>
        <v>0</v>
      </c>
      <c r="AV5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8">
        <f>IF(Audit[[#This Row],[Max Relative Error (ep)]] = 0, 0, Audit[[#This Row],[Max Relative Error (ep)]]/Audit[[#This Row],[Error Bound (up) - Max. possible relative overstatement]])</f>
        <v>0</v>
      </c>
      <c r="BH5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0" s="18">
        <f t="shared" si="9"/>
        <v>1</v>
      </c>
      <c r="BJ530" s="18">
        <f>PRODUCT($BI$5:BI530)</f>
        <v>0.32656797278968008</v>
      </c>
      <c r="BK530" s="20">
        <f>1 - Audit[[#This Row],[K-M P Value]]</f>
        <v>0.67343202721031992</v>
      </c>
      <c r="BL530" s="18" t="str">
        <f>IF(Audit[[#This Row],[K-M P Value]]&gt;1-'General Info'!$B$12,"Continue", "Stop")</f>
        <v>Continue</v>
      </c>
      <c r="BM530" s="23" t="b">
        <f>IF(Audit[[#This Row],[Status - Continue or stop audit]] = "Continue", TRUE, IF(BL529 = "Continue", TRUE, FALSE))</f>
        <v>1</v>
      </c>
      <c r="BN530" s="23"/>
    </row>
    <row r="531" spans="1:66" ht="15" hidden="1" customHeight="1" x14ac:dyDescent="0.35">
      <c r="A531" s="18" t="str">
        <f>'Sampling Data'!AI531</f>
        <v/>
      </c>
      <c r="B531" s="18" t="str">
        <f>'Sampling Data'!A531</f>
        <v>8725 SPFLD Y   (AV)</v>
      </c>
      <c r="C531" s="18">
        <f>'Sampling Data'!B531</f>
        <v>6</v>
      </c>
      <c r="D531" s="18">
        <f>'Sampling Data'!C531</f>
        <v>0</v>
      </c>
      <c r="E531" s="19">
        <f>'Sampling Data'!D531</f>
        <v>0</v>
      </c>
      <c r="F531" s="19">
        <f>'Sampling Data'!E531</f>
        <v>0</v>
      </c>
      <c r="G531" s="19">
        <f>'Sampling Data'!F531</f>
        <v>0</v>
      </c>
      <c r="H531" s="19">
        <f>'Sampling Data'!G531</f>
        <v>0</v>
      </c>
      <c r="I531" s="19">
        <f>'Sampling Data'!H531</f>
        <v>0</v>
      </c>
      <c r="J531" s="19">
        <f>'Sampling Data'!I531</f>
        <v>0</v>
      </c>
      <c r="K531" s="19">
        <f>'Sampling Data'!J531</f>
        <v>0</v>
      </c>
      <c r="L531" s="19">
        <f>'Sampling Data'!K531</f>
        <v>0</v>
      </c>
      <c r="M531" s="19">
        <f>'Sampling Data'!L531</f>
        <v>0</v>
      </c>
      <c r="N531" s="19">
        <f>'Sampling Data'!M531</f>
        <v>0</v>
      </c>
      <c r="O531" s="18">
        <f>'Sampling Data'!N531</f>
        <v>0</v>
      </c>
      <c r="P531" s="18">
        <f>'Sampling Data'!O531</f>
        <v>0</v>
      </c>
      <c r="Q531" s="18">
        <f>'Sampling Data'!P531</f>
        <v>6</v>
      </c>
      <c r="R531" s="18">
        <f>'Sampling Data'!AJ531</f>
        <v>0</v>
      </c>
      <c r="S531" s="112"/>
      <c r="T531" s="112"/>
      <c r="U531" s="113"/>
      <c r="V531" s="113"/>
      <c r="W531" s="112"/>
      <c r="X531" s="112"/>
      <c r="Y531" s="112"/>
      <c r="Z531" s="112"/>
      <c r="AA531" s="15"/>
      <c r="AB531" s="15"/>
      <c r="AC531" s="15"/>
      <c r="AD531" s="15"/>
      <c r="AE531" s="114" t="str">
        <f>IF(NOT(ISBLANK(Audit[[#This Row],[Audit Winning Candidate]])), Audit[[#This Row],[Audit Winning Candidate]]-Audit[[#This Row],[Winning Candidate]], "")</f>
        <v/>
      </c>
      <c r="AF531" s="18" t="str">
        <f>IF(NOT(ISBLANK(Audit[[#This Row],[Audit Losing Candidate]])), Audit[[#This Row],[Audit Losing Candidate]]-Audit[[#This Row],[Losing Candidate]], "")</f>
        <v/>
      </c>
      <c r="AG531" s="18" t="str">
        <f>IF(NOT(ISBLANK(Audit[[#This Row],[Audit Candidate 3]])), Audit[[#This Row],[Audit Candidate 3]]-Audit[[#This Row],[Candidate 3]], "")</f>
        <v/>
      </c>
      <c r="AH531" s="18" t="str">
        <f>IF(NOT(ISBLANK(Audit[[#This Row],[Audit Candidate 4]])),Audit[[#This Row],[Audit Candidate 4]]-Audit[[#This Row],[Candidate 4]], "")</f>
        <v/>
      </c>
      <c r="AI531" s="18" t="str">
        <f>IF(NOT(ISBLANK(Audit[[#This Row],[Audit Candidate 5]])), Audit[[#This Row],[Audit Candidate 5]]-Audit[[#This Row],[Candidate 5]], "")</f>
        <v/>
      </c>
      <c r="AJ531" s="18" t="str">
        <f>IF(NOT(ISBLANK(Audit[[#This Row],[Audit Candidate 6]])), Audit[[#This Row],[Audit Candidate 6]]-Audit[[#This Row],[Candidate 6]], "")</f>
        <v/>
      </c>
      <c r="AK531" s="18" t="str">
        <f>IF(NOT(ISBLANK(Audit[[#This Row],[Audit Candidate 7]])), Audit[[#This Row],[Audit Candidate 7]]-Audit[[#This Row],[Candidate 7]], "")</f>
        <v/>
      </c>
      <c r="AL531" s="18" t="str">
        <f>IF(NOT(ISBLANK(Audit[[#This Row],[Audit Candidate 8]])), Audit[[#This Row],[Audit Candidate 8]]-Audit[[#This Row],[Candidate 8]], "")</f>
        <v/>
      </c>
      <c r="AM531" s="18" t="str">
        <f>IF(NOT(ISBLANK(Audit[[#This Row],[Audit Candidate 9]])), Audit[[#This Row],[Audit Candidate 9]]-Audit[[#This Row],[Candidate 9]], "")</f>
        <v/>
      </c>
      <c r="AN531" s="18" t="str">
        <f>IF(NOT(ISBLANK(Audit[[#This Row],[Audit Candidate 10]])), Audit[[#This Row],[Audit Candidate 10]]-Audit[[#This Row],[Candidate 10]], "")</f>
        <v/>
      </c>
      <c r="AO531" s="18" t="str">
        <f>IF(NOT(ISBLANK(Audit[[#This Row],[Audit Candidate 11]])), Audit[[#This Row],[Audit Candidate 11]]-Audit[[#This Row],[Candidate 11]], "")</f>
        <v/>
      </c>
      <c r="AP531" s="18" t="str">
        <f>IF(NOT(ISBLANK(Audit[[#This Row],[Audit Candidate 12]])), Audit[[#This Row],[Audit Candidate 12]]-Audit[[#This Row],[Candidate 12]], "")</f>
        <v/>
      </c>
      <c r="AQ531" s="18">
        <f>SUMIF(Audit[[#This Row],[Difference Winner]:[Difference Candidate 12]], "&gt;0")</f>
        <v>0</v>
      </c>
      <c r="AR531" s="18">
        <f>SUM(Audit[[#This Row],[Difference Winner]:[Difference Candidate 12]])</f>
        <v>0</v>
      </c>
      <c r="AS531" s="18">
        <f>IF(Audit[[#This Row],[Times p Drawn - With Replacement]]&gt;0, IF(Audit[[#This Row],[Canceled Differences]]&lt;0, Audit[[#This Row],[Max Differences]]+ABS(Audit[[#This Row],[Canceled Differences]]), Audit[[#This Row],[Max Differences]]), 0)</f>
        <v>0</v>
      </c>
      <c r="AT531" s="18">
        <f>'Sampling Data'!AB531</f>
        <v>3.7691993592361088E-4</v>
      </c>
      <c r="AU531" s="18">
        <f>IF(
      SUM(Audit[[#This Row],[Audit Losing Candidate]:[Audit Candidate 12]])
      &lt;&gt;0,
      (Audit[[#This Row],[Winning Candidate]]-Audit[[#This Row],[Losing Candidate]]-(Audit[[#This Row],[Audit Winning Candidate]]-Audit[[#This Row],[Audit Losing Candidate]]))/(Audit[[#Totals],[Winning Candidate]]-Audit[[#Totals],[Losing Candidate]]),
      0
)</f>
        <v>0</v>
      </c>
      <c r="AV5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8">
        <f>IF(Audit[[#This Row],[Max Relative Error (ep)]] = 0, 0, Audit[[#This Row],[Max Relative Error (ep)]]/Audit[[#This Row],[Error Bound (up) - Max. possible relative overstatement]])</f>
        <v>0</v>
      </c>
      <c r="BH5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1" s="18">
        <f t="shared" si="9"/>
        <v>1</v>
      </c>
      <c r="BJ531" s="18">
        <f>PRODUCT($BI$5:BI531)</f>
        <v>0.32656797278968008</v>
      </c>
      <c r="BK531" s="20">
        <f>1 - Audit[[#This Row],[K-M P Value]]</f>
        <v>0.67343202721031992</v>
      </c>
      <c r="BL531" s="18" t="str">
        <f>IF(Audit[[#This Row],[K-M P Value]]&gt;1-'General Info'!$B$12,"Continue", "Stop")</f>
        <v>Continue</v>
      </c>
      <c r="BM531" s="23" t="b">
        <f>IF(Audit[[#This Row],[Status - Continue or stop audit]] = "Continue", TRUE, IF(BL530 = "Continue", TRUE, FALSE))</f>
        <v>1</v>
      </c>
      <c r="BN531" s="23"/>
    </row>
    <row r="532" spans="1:66" ht="15" hidden="1" customHeight="1" x14ac:dyDescent="0.35">
      <c r="A532" s="18" t="str">
        <f>'Sampling Data'!AI532</f>
        <v/>
      </c>
      <c r="B532" s="18" t="str">
        <f>'Sampling Data'!A532</f>
        <v>8726 SPFLD Z   (AV)</v>
      </c>
      <c r="C532" s="18">
        <f>'Sampling Data'!B532</f>
        <v>5</v>
      </c>
      <c r="D532" s="18">
        <f>'Sampling Data'!C532</f>
        <v>1</v>
      </c>
      <c r="E532" s="19">
        <f>'Sampling Data'!D532</f>
        <v>0</v>
      </c>
      <c r="F532" s="19">
        <f>'Sampling Data'!E532</f>
        <v>0</v>
      </c>
      <c r="G532" s="19">
        <f>'Sampling Data'!F532</f>
        <v>0</v>
      </c>
      <c r="H532" s="19">
        <f>'Sampling Data'!G532</f>
        <v>0</v>
      </c>
      <c r="I532" s="19">
        <f>'Sampling Data'!H532</f>
        <v>0</v>
      </c>
      <c r="J532" s="19">
        <f>'Sampling Data'!I532</f>
        <v>0</v>
      </c>
      <c r="K532" s="19">
        <f>'Sampling Data'!J532</f>
        <v>0</v>
      </c>
      <c r="L532" s="19">
        <f>'Sampling Data'!K532</f>
        <v>0</v>
      </c>
      <c r="M532" s="19">
        <f>'Sampling Data'!L532</f>
        <v>0</v>
      </c>
      <c r="N532" s="19">
        <f>'Sampling Data'!M532</f>
        <v>0</v>
      </c>
      <c r="O532" s="18">
        <f>'Sampling Data'!N532</f>
        <v>0</v>
      </c>
      <c r="P532" s="18">
        <f>'Sampling Data'!O532</f>
        <v>0</v>
      </c>
      <c r="Q532" s="18">
        <f>'Sampling Data'!P532</f>
        <v>6</v>
      </c>
      <c r="R532" s="18">
        <f>'Sampling Data'!AJ532</f>
        <v>0</v>
      </c>
      <c r="S532" s="112"/>
      <c r="T532" s="112"/>
      <c r="U532" s="113"/>
      <c r="V532" s="113"/>
      <c r="W532" s="112"/>
      <c r="X532" s="112"/>
      <c r="Y532" s="112"/>
      <c r="Z532" s="112"/>
      <c r="AA532" s="15"/>
      <c r="AB532" s="15"/>
      <c r="AC532" s="15"/>
      <c r="AD532" s="15"/>
      <c r="AE532" s="114" t="str">
        <f>IF(NOT(ISBLANK(Audit[[#This Row],[Audit Winning Candidate]])), Audit[[#This Row],[Audit Winning Candidate]]-Audit[[#This Row],[Winning Candidate]], "")</f>
        <v/>
      </c>
      <c r="AF532" s="18" t="str">
        <f>IF(NOT(ISBLANK(Audit[[#This Row],[Audit Losing Candidate]])), Audit[[#This Row],[Audit Losing Candidate]]-Audit[[#This Row],[Losing Candidate]], "")</f>
        <v/>
      </c>
      <c r="AG532" s="18" t="str">
        <f>IF(NOT(ISBLANK(Audit[[#This Row],[Audit Candidate 3]])), Audit[[#This Row],[Audit Candidate 3]]-Audit[[#This Row],[Candidate 3]], "")</f>
        <v/>
      </c>
      <c r="AH532" s="18" t="str">
        <f>IF(NOT(ISBLANK(Audit[[#This Row],[Audit Candidate 4]])),Audit[[#This Row],[Audit Candidate 4]]-Audit[[#This Row],[Candidate 4]], "")</f>
        <v/>
      </c>
      <c r="AI532" s="18" t="str">
        <f>IF(NOT(ISBLANK(Audit[[#This Row],[Audit Candidate 5]])), Audit[[#This Row],[Audit Candidate 5]]-Audit[[#This Row],[Candidate 5]], "")</f>
        <v/>
      </c>
      <c r="AJ532" s="18" t="str">
        <f>IF(NOT(ISBLANK(Audit[[#This Row],[Audit Candidate 6]])), Audit[[#This Row],[Audit Candidate 6]]-Audit[[#This Row],[Candidate 6]], "")</f>
        <v/>
      </c>
      <c r="AK532" s="18" t="str">
        <f>IF(NOT(ISBLANK(Audit[[#This Row],[Audit Candidate 7]])), Audit[[#This Row],[Audit Candidate 7]]-Audit[[#This Row],[Candidate 7]], "")</f>
        <v/>
      </c>
      <c r="AL532" s="18" t="str">
        <f>IF(NOT(ISBLANK(Audit[[#This Row],[Audit Candidate 8]])), Audit[[#This Row],[Audit Candidate 8]]-Audit[[#This Row],[Candidate 8]], "")</f>
        <v/>
      </c>
      <c r="AM532" s="18" t="str">
        <f>IF(NOT(ISBLANK(Audit[[#This Row],[Audit Candidate 9]])), Audit[[#This Row],[Audit Candidate 9]]-Audit[[#This Row],[Candidate 9]], "")</f>
        <v/>
      </c>
      <c r="AN532" s="18" t="str">
        <f>IF(NOT(ISBLANK(Audit[[#This Row],[Audit Candidate 10]])), Audit[[#This Row],[Audit Candidate 10]]-Audit[[#This Row],[Candidate 10]], "")</f>
        <v/>
      </c>
      <c r="AO532" s="18" t="str">
        <f>IF(NOT(ISBLANK(Audit[[#This Row],[Audit Candidate 11]])), Audit[[#This Row],[Audit Candidate 11]]-Audit[[#This Row],[Candidate 11]], "")</f>
        <v/>
      </c>
      <c r="AP532" s="18" t="str">
        <f>IF(NOT(ISBLANK(Audit[[#This Row],[Audit Candidate 12]])), Audit[[#This Row],[Audit Candidate 12]]-Audit[[#This Row],[Candidate 12]], "")</f>
        <v/>
      </c>
      <c r="AQ532" s="18">
        <f>SUMIF(Audit[[#This Row],[Difference Winner]:[Difference Candidate 12]], "&gt;0")</f>
        <v>0</v>
      </c>
      <c r="AR532" s="18">
        <f>SUM(Audit[[#This Row],[Difference Winner]:[Difference Candidate 12]])</f>
        <v>0</v>
      </c>
      <c r="AS532" s="18">
        <f>IF(Audit[[#This Row],[Times p Drawn - With Replacement]]&gt;0, IF(Audit[[#This Row],[Canceled Differences]]&lt;0, Audit[[#This Row],[Max Differences]]+ABS(Audit[[#This Row],[Canceled Differences]]), Audit[[#This Row],[Max Differences]]), 0)</f>
        <v>0</v>
      </c>
      <c r="AT532" s="18">
        <f>'Sampling Data'!AB532</f>
        <v>3.1409994660300906E-4</v>
      </c>
      <c r="AU532" s="18">
        <f>IF(
      SUM(Audit[[#This Row],[Audit Losing Candidate]:[Audit Candidate 12]])
      &lt;&gt;0,
      (Audit[[#This Row],[Winning Candidate]]-Audit[[#This Row],[Losing Candidate]]-(Audit[[#This Row],[Audit Winning Candidate]]-Audit[[#This Row],[Audit Losing Candidate]]))/(Audit[[#Totals],[Winning Candidate]]-Audit[[#Totals],[Losing Candidate]]),
      0
)</f>
        <v>0</v>
      </c>
      <c r="AV5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8">
        <f>IF(Audit[[#This Row],[Max Relative Error (ep)]] = 0, 0, Audit[[#This Row],[Max Relative Error (ep)]]/Audit[[#This Row],[Error Bound (up) - Max. possible relative overstatement]])</f>
        <v>0</v>
      </c>
      <c r="BH5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2" s="18">
        <f t="shared" si="9"/>
        <v>1</v>
      </c>
      <c r="BJ532" s="18">
        <f>PRODUCT($BI$5:BI532)</f>
        <v>0.32656797278968008</v>
      </c>
      <c r="BK532" s="20">
        <f>1 - Audit[[#This Row],[K-M P Value]]</f>
        <v>0.67343202721031992</v>
      </c>
      <c r="BL532" s="18" t="str">
        <f>IF(Audit[[#This Row],[K-M P Value]]&gt;1-'General Info'!$B$12,"Continue", "Stop")</f>
        <v>Continue</v>
      </c>
      <c r="BM532" s="23" t="b">
        <f>IF(Audit[[#This Row],[Status - Continue or stop audit]] = "Continue", TRUE, IF(BL531 = "Continue", TRUE, FALSE))</f>
        <v>1</v>
      </c>
      <c r="BN532" s="23"/>
    </row>
    <row r="533" spans="1:66" ht="15" hidden="1" customHeight="1" x14ac:dyDescent="0.35">
      <c r="A533" s="18" t="str">
        <f>'Sampling Data'!AI533</f>
        <v/>
      </c>
      <c r="B533" s="18" t="str">
        <f>'Sampling Data'!A533</f>
        <v>8727 SPFLD AA   (AV)</v>
      </c>
      <c r="C533" s="18">
        <f>'Sampling Data'!B533</f>
        <v>2</v>
      </c>
      <c r="D533" s="18">
        <f>'Sampling Data'!C533</f>
        <v>1</v>
      </c>
      <c r="E533" s="19">
        <f>'Sampling Data'!D533</f>
        <v>0</v>
      </c>
      <c r="F533" s="19">
        <f>'Sampling Data'!E533</f>
        <v>0</v>
      </c>
      <c r="G533" s="19">
        <f>'Sampling Data'!F533</f>
        <v>0</v>
      </c>
      <c r="H533" s="19">
        <f>'Sampling Data'!G533</f>
        <v>0</v>
      </c>
      <c r="I533" s="19">
        <f>'Sampling Data'!H533</f>
        <v>0</v>
      </c>
      <c r="J533" s="19">
        <f>'Sampling Data'!I533</f>
        <v>0</v>
      </c>
      <c r="K533" s="19">
        <f>'Sampling Data'!J533</f>
        <v>0</v>
      </c>
      <c r="L533" s="19">
        <f>'Sampling Data'!K533</f>
        <v>0</v>
      </c>
      <c r="M533" s="19">
        <f>'Sampling Data'!L533</f>
        <v>0</v>
      </c>
      <c r="N533" s="19">
        <f>'Sampling Data'!M533</f>
        <v>0</v>
      </c>
      <c r="O533" s="18">
        <f>'Sampling Data'!N533</f>
        <v>0</v>
      </c>
      <c r="P533" s="18">
        <f>'Sampling Data'!O533</f>
        <v>0</v>
      </c>
      <c r="Q533" s="18">
        <f>'Sampling Data'!P533</f>
        <v>3</v>
      </c>
      <c r="R533" s="18">
        <f>'Sampling Data'!AJ533</f>
        <v>0</v>
      </c>
      <c r="S533" s="112"/>
      <c r="T533" s="112"/>
      <c r="U533" s="113"/>
      <c r="V533" s="113"/>
      <c r="W533" s="112"/>
      <c r="X533" s="112"/>
      <c r="Y533" s="112"/>
      <c r="Z533" s="112"/>
      <c r="AA533" s="15"/>
      <c r="AB533" s="15"/>
      <c r="AC533" s="15"/>
      <c r="AD533" s="15"/>
      <c r="AE533" s="114" t="str">
        <f>IF(NOT(ISBLANK(Audit[[#This Row],[Audit Winning Candidate]])), Audit[[#This Row],[Audit Winning Candidate]]-Audit[[#This Row],[Winning Candidate]], "")</f>
        <v/>
      </c>
      <c r="AF533" s="18" t="str">
        <f>IF(NOT(ISBLANK(Audit[[#This Row],[Audit Losing Candidate]])), Audit[[#This Row],[Audit Losing Candidate]]-Audit[[#This Row],[Losing Candidate]], "")</f>
        <v/>
      </c>
      <c r="AG533" s="18" t="str">
        <f>IF(NOT(ISBLANK(Audit[[#This Row],[Audit Candidate 3]])), Audit[[#This Row],[Audit Candidate 3]]-Audit[[#This Row],[Candidate 3]], "")</f>
        <v/>
      </c>
      <c r="AH533" s="18" t="str">
        <f>IF(NOT(ISBLANK(Audit[[#This Row],[Audit Candidate 4]])),Audit[[#This Row],[Audit Candidate 4]]-Audit[[#This Row],[Candidate 4]], "")</f>
        <v/>
      </c>
      <c r="AI533" s="18" t="str">
        <f>IF(NOT(ISBLANK(Audit[[#This Row],[Audit Candidate 5]])), Audit[[#This Row],[Audit Candidate 5]]-Audit[[#This Row],[Candidate 5]], "")</f>
        <v/>
      </c>
      <c r="AJ533" s="18" t="str">
        <f>IF(NOT(ISBLANK(Audit[[#This Row],[Audit Candidate 6]])), Audit[[#This Row],[Audit Candidate 6]]-Audit[[#This Row],[Candidate 6]], "")</f>
        <v/>
      </c>
      <c r="AK533" s="18" t="str">
        <f>IF(NOT(ISBLANK(Audit[[#This Row],[Audit Candidate 7]])), Audit[[#This Row],[Audit Candidate 7]]-Audit[[#This Row],[Candidate 7]], "")</f>
        <v/>
      </c>
      <c r="AL533" s="18" t="str">
        <f>IF(NOT(ISBLANK(Audit[[#This Row],[Audit Candidate 8]])), Audit[[#This Row],[Audit Candidate 8]]-Audit[[#This Row],[Candidate 8]], "")</f>
        <v/>
      </c>
      <c r="AM533" s="18" t="str">
        <f>IF(NOT(ISBLANK(Audit[[#This Row],[Audit Candidate 9]])), Audit[[#This Row],[Audit Candidate 9]]-Audit[[#This Row],[Candidate 9]], "")</f>
        <v/>
      </c>
      <c r="AN533" s="18" t="str">
        <f>IF(NOT(ISBLANK(Audit[[#This Row],[Audit Candidate 10]])), Audit[[#This Row],[Audit Candidate 10]]-Audit[[#This Row],[Candidate 10]], "")</f>
        <v/>
      </c>
      <c r="AO533" s="18" t="str">
        <f>IF(NOT(ISBLANK(Audit[[#This Row],[Audit Candidate 11]])), Audit[[#This Row],[Audit Candidate 11]]-Audit[[#This Row],[Candidate 11]], "")</f>
        <v/>
      </c>
      <c r="AP533" s="18" t="str">
        <f>IF(NOT(ISBLANK(Audit[[#This Row],[Audit Candidate 12]])), Audit[[#This Row],[Audit Candidate 12]]-Audit[[#This Row],[Candidate 12]], "")</f>
        <v/>
      </c>
      <c r="AQ533" s="18">
        <f>SUMIF(Audit[[#This Row],[Difference Winner]:[Difference Candidate 12]], "&gt;0")</f>
        <v>0</v>
      </c>
      <c r="AR533" s="18">
        <f>SUM(Audit[[#This Row],[Difference Winner]:[Difference Candidate 12]])</f>
        <v>0</v>
      </c>
      <c r="AS533" s="18">
        <f>IF(Audit[[#This Row],[Times p Drawn - With Replacement]]&gt;0, IF(Audit[[#This Row],[Canceled Differences]]&lt;0, Audit[[#This Row],[Max Differences]]+ABS(Audit[[#This Row],[Canceled Differences]]), Audit[[#This Row],[Max Differences]]), 0)</f>
        <v>0</v>
      </c>
      <c r="AT533" s="18">
        <f>'Sampling Data'!AB533</f>
        <v>1.2563997864120362E-4</v>
      </c>
      <c r="AU533" s="18">
        <f>IF(
      SUM(Audit[[#This Row],[Audit Losing Candidate]:[Audit Candidate 12]])
      &lt;&gt;0,
      (Audit[[#This Row],[Winning Candidate]]-Audit[[#This Row],[Losing Candidate]]-(Audit[[#This Row],[Audit Winning Candidate]]-Audit[[#This Row],[Audit Losing Candidate]]))/(Audit[[#Totals],[Winning Candidate]]-Audit[[#Totals],[Losing Candidate]]),
      0
)</f>
        <v>0</v>
      </c>
      <c r="AV5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8">
        <f>IF(Audit[[#This Row],[Max Relative Error (ep)]] = 0, 0, Audit[[#This Row],[Max Relative Error (ep)]]/Audit[[#This Row],[Error Bound (up) - Max. possible relative overstatement]])</f>
        <v>0</v>
      </c>
      <c r="BH5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3" s="18">
        <f t="shared" si="9"/>
        <v>1</v>
      </c>
      <c r="BJ533" s="18">
        <f>PRODUCT($BI$5:BI533)</f>
        <v>0.32656797278968008</v>
      </c>
      <c r="BK533" s="20">
        <f>1 - Audit[[#This Row],[K-M P Value]]</f>
        <v>0.67343202721031992</v>
      </c>
      <c r="BL533" s="18" t="str">
        <f>IF(Audit[[#This Row],[K-M P Value]]&gt;1-'General Info'!$B$12,"Continue", "Stop")</f>
        <v>Continue</v>
      </c>
      <c r="BM533" s="23" t="b">
        <f>IF(Audit[[#This Row],[Status - Continue or stop audit]] = "Continue", TRUE, IF(BL532 = "Continue", TRUE, FALSE))</f>
        <v>1</v>
      </c>
      <c r="BN533" s="23"/>
    </row>
    <row r="534" spans="1:66" ht="15" hidden="1" customHeight="1" x14ac:dyDescent="0.35">
      <c r="A534" s="18" t="str">
        <f>'Sampling Data'!AI534</f>
        <v/>
      </c>
      <c r="B534" s="18" t="str">
        <f>'Sampling Data'!A534</f>
        <v>8728 SPFLD BB   (AV)</v>
      </c>
      <c r="C534" s="18">
        <f>'Sampling Data'!B534</f>
        <v>8</v>
      </c>
      <c r="D534" s="18">
        <f>'Sampling Data'!C534</f>
        <v>0</v>
      </c>
      <c r="E534" s="19">
        <f>'Sampling Data'!D534</f>
        <v>0</v>
      </c>
      <c r="F534" s="19">
        <f>'Sampling Data'!E534</f>
        <v>0</v>
      </c>
      <c r="G534" s="19">
        <f>'Sampling Data'!F534</f>
        <v>0</v>
      </c>
      <c r="H534" s="19">
        <f>'Sampling Data'!G534</f>
        <v>0</v>
      </c>
      <c r="I534" s="19">
        <f>'Sampling Data'!H534</f>
        <v>0</v>
      </c>
      <c r="J534" s="19">
        <f>'Sampling Data'!I534</f>
        <v>0</v>
      </c>
      <c r="K534" s="19">
        <f>'Sampling Data'!J534</f>
        <v>0</v>
      </c>
      <c r="L534" s="19">
        <f>'Sampling Data'!K534</f>
        <v>0</v>
      </c>
      <c r="M534" s="19">
        <f>'Sampling Data'!L534</f>
        <v>0</v>
      </c>
      <c r="N534" s="19">
        <f>'Sampling Data'!M534</f>
        <v>0</v>
      </c>
      <c r="O534" s="18">
        <f>'Sampling Data'!N534</f>
        <v>0</v>
      </c>
      <c r="P534" s="18">
        <f>'Sampling Data'!O534</f>
        <v>0</v>
      </c>
      <c r="Q534" s="18">
        <f>'Sampling Data'!P534</f>
        <v>8</v>
      </c>
      <c r="R534" s="18">
        <f>'Sampling Data'!AJ534</f>
        <v>0</v>
      </c>
      <c r="S534" s="112"/>
      <c r="T534" s="112"/>
      <c r="U534" s="113"/>
      <c r="V534" s="113"/>
      <c r="W534" s="112"/>
      <c r="X534" s="112"/>
      <c r="Y534" s="112"/>
      <c r="Z534" s="112"/>
      <c r="AA534" s="15"/>
      <c r="AB534" s="15"/>
      <c r="AC534" s="15"/>
      <c r="AD534" s="15"/>
      <c r="AE534" s="114" t="str">
        <f>IF(NOT(ISBLANK(Audit[[#This Row],[Audit Winning Candidate]])), Audit[[#This Row],[Audit Winning Candidate]]-Audit[[#This Row],[Winning Candidate]], "")</f>
        <v/>
      </c>
      <c r="AF534" s="18" t="str">
        <f>IF(NOT(ISBLANK(Audit[[#This Row],[Audit Losing Candidate]])), Audit[[#This Row],[Audit Losing Candidate]]-Audit[[#This Row],[Losing Candidate]], "")</f>
        <v/>
      </c>
      <c r="AG534" s="18" t="str">
        <f>IF(NOT(ISBLANK(Audit[[#This Row],[Audit Candidate 3]])), Audit[[#This Row],[Audit Candidate 3]]-Audit[[#This Row],[Candidate 3]], "")</f>
        <v/>
      </c>
      <c r="AH534" s="18" t="str">
        <f>IF(NOT(ISBLANK(Audit[[#This Row],[Audit Candidate 4]])),Audit[[#This Row],[Audit Candidate 4]]-Audit[[#This Row],[Candidate 4]], "")</f>
        <v/>
      </c>
      <c r="AI534" s="18" t="str">
        <f>IF(NOT(ISBLANK(Audit[[#This Row],[Audit Candidate 5]])), Audit[[#This Row],[Audit Candidate 5]]-Audit[[#This Row],[Candidate 5]], "")</f>
        <v/>
      </c>
      <c r="AJ534" s="18" t="str">
        <f>IF(NOT(ISBLANK(Audit[[#This Row],[Audit Candidate 6]])), Audit[[#This Row],[Audit Candidate 6]]-Audit[[#This Row],[Candidate 6]], "")</f>
        <v/>
      </c>
      <c r="AK534" s="18" t="str">
        <f>IF(NOT(ISBLANK(Audit[[#This Row],[Audit Candidate 7]])), Audit[[#This Row],[Audit Candidate 7]]-Audit[[#This Row],[Candidate 7]], "")</f>
        <v/>
      </c>
      <c r="AL534" s="18" t="str">
        <f>IF(NOT(ISBLANK(Audit[[#This Row],[Audit Candidate 8]])), Audit[[#This Row],[Audit Candidate 8]]-Audit[[#This Row],[Candidate 8]], "")</f>
        <v/>
      </c>
      <c r="AM534" s="18" t="str">
        <f>IF(NOT(ISBLANK(Audit[[#This Row],[Audit Candidate 9]])), Audit[[#This Row],[Audit Candidate 9]]-Audit[[#This Row],[Candidate 9]], "")</f>
        <v/>
      </c>
      <c r="AN534" s="18" t="str">
        <f>IF(NOT(ISBLANK(Audit[[#This Row],[Audit Candidate 10]])), Audit[[#This Row],[Audit Candidate 10]]-Audit[[#This Row],[Candidate 10]], "")</f>
        <v/>
      </c>
      <c r="AO534" s="18" t="str">
        <f>IF(NOT(ISBLANK(Audit[[#This Row],[Audit Candidate 11]])), Audit[[#This Row],[Audit Candidate 11]]-Audit[[#This Row],[Candidate 11]], "")</f>
        <v/>
      </c>
      <c r="AP534" s="18" t="str">
        <f>IF(NOT(ISBLANK(Audit[[#This Row],[Audit Candidate 12]])), Audit[[#This Row],[Audit Candidate 12]]-Audit[[#This Row],[Candidate 12]], "")</f>
        <v/>
      </c>
      <c r="AQ534" s="18">
        <f>SUMIF(Audit[[#This Row],[Difference Winner]:[Difference Candidate 12]], "&gt;0")</f>
        <v>0</v>
      </c>
      <c r="AR534" s="18">
        <f>SUM(Audit[[#This Row],[Difference Winner]:[Difference Candidate 12]])</f>
        <v>0</v>
      </c>
      <c r="AS534" s="18">
        <f>IF(Audit[[#This Row],[Times p Drawn - With Replacement]]&gt;0, IF(Audit[[#This Row],[Canceled Differences]]&lt;0, Audit[[#This Row],[Max Differences]]+ABS(Audit[[#This Row],[Canceled Differences]]), Audit[[#This Row],[Max Differences]]), 0)</f>
        <v>0</v>
      </c>
      <c r="AT534" s="18">
        <f>'Sampling Data'!AB534</f>
        <v>5.0255991456481448E-4</v>
      </c>
      <c r="AU534" s="18">
        <f>IF(
      SUM(Audit[[#This Row],[Audit Losing Candidate]:[Audit Candidate 12]])
      &lt;&gt;0,
      (Audit[[#This Row],[Winning Candidate]]-Audit[[#This Row],[Losing Candidate]]-(Audit[[#This Row],[Audit Winning Candidate]]-Audit[[#This Row],[Audit Losing Candidate]]))/(Audit[[#Totals],[Winning Candidate]]-Audit[[#Totals],[Losing Candidate]]),
      0
)</f>
        <v>0</v>
      </c>
      <c r="AV5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8">
        <f>IF(Audit[[#This Row],[Max Relative Error (ep)]] = 0, 0, Audit[[#This Row],[Max Relative Error (ep)]]/Audit[[#This Row],[Error Bound (up) - Max. possible relative overstatement]])</f>
        <v>0</v>
      </c>
      <c r="BH5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4" s="18">
        <f t="shared" si="9"/>
        <v>1</v>
      </c>
      <c r="BJ534" s="18">
        <f>PRODUCT($BI$5:BI534)</f>
        <v>0.32656797278968008</v>
      </c>
      <c r="BK534" s="20">
        <f>1 - Audit[[#This Row],[K-M P Value]]</f>
        <v>0.67343202721031992</v>
      </c>
      <c r="BL534" s="18" t="str">
        <f>IF(Audit[[#This Row],[K-M P Value]]&gt;1-'General Info'!$B$12,"Continue", "Stop")</f>
        <v>Continue</v>
      </c>
      <c r="BM534" s="23" t="b">
        <f>IF(Audit[[#This Row],[Status - Continue or stop audit]] = "Continue", TRUE, IF(BL533 = "Continue", TRUE, FALSE))</f>
        <v>1</v>
      </c>
      <c r="BN534" s="23"/>
    </row>
    <row r="535" spans="1:66" ht="15" hidden="1" customHeight="1" x14ac:dyDescent="0.35">
      <c r="A535" s="18" t="str">
        <f>'Sampling Data'!AI535</f>
        <v/>
      </c>
      <c r="B535" s="18" t="str">
        <f>'Sampling Data'!A535</f>
        <v>8901 SYCAM A   (AV)</v>
      </c>
      <c r="C535" s="18">
        <f>'Sampling Data'!B535</f>
        <v>0</v>
      </c>
      <c r="D535" s="18">
        <f>'Sampling Data'!C535</f>
        <v>0</v>
      </c>
      <c r="E535" s="19">
        <f>'Sampling Data'!D535</f>
        <v>0</v>
      </c>
      <c r="F535" s="19">
        <f>'Sampling Data'!E535</f>
        <v>0</v>
      </c>
      <c r="G535" s="19">
        <f>'Sampling Data'!F535</f>
        <v>0</v>
      </c>
      <c r="H535" s="19">
        <f>'Sampling Data'!G535</f>
        <v>0</v>
      </c>
      <c r="I535" s="19">
        <f>'Sampling Data'!H535</f>
        <v>0</v>
      </c>
      <c r="J535" s="19">
        <f>'Sampling Data'!I535</f>
        <v>0</v>
      </c>
      <c r="K535" s="19">
        <f>'Sampling Data'!J535</f>
        <v>0</v>
      </c>
      <c r="L535" s="19">
        <f>'Sampling Data'!K535</f>
        <v>0</v>
      </c>
      <c r="M535" s="19">
        <f>'Sampling Data'!L535</f>
        <v>0</v>
      </c>
      <c r="N535" s="19">
        <f>'Sampling Data'!M535</f>
        <v>0</v>
      </c>
      <c r="O535" s="18">
        <f>'Sampling Data'!N535</f>
        <v>0</v>
      </c>
      <c r="P535" s="18">
        <f>'Sampling Data'!O535</f>
        <v>0</v>
      </c>
      <c r="Q535" s="18">
        <f>'Sampling Data'!P535</f>
        <v>0</v>
      </c>
      <c r="R535" s="18">
        <f>'Sampling Data'!AJ535</f>
        <v>0</v>
      </c>
      <c r="S535" s="112"/>
      <c r="T535" s="112"/>
      <c r="U535" s="113"/>
      <c r="V535" s="113"/>
      <c r="W535" s="112"/>
      <c r="X535" s="112"/>
      <c r="Y535" s="112"/>
      <c r="Z535" s="112"/>
      <c r="AA535" s="15"/>
      <c r="AB535" s="15"/>
      <c r="AC535" s="15"/>
      <c r="AD535" s="15"/>
      <c r="AE535" s="114" t="str">
        <f>IF(NOT(ISBLANK(Audit[[#This Row],[Audit Winning Candidate]])), Audit[[#This Row],[Audit Winning Candidate]]-Audit[[#This Row],[Winning Candidate]], "")</f>
        <v/>
      </c>
      <c r="AF535" s="18" t="str">
        <f>IF(NOT(ISBLANK(Audit[[#This Row],[Audit Losing Candidate]])), Audit[[#This Row],[Audit Losing Candidate]]-Audit[[#This Row],[Losing Candidate]], "")</f>
        <v/>
      </c>
      <c r="AG535" s="18" t="str">
        <f>IF(NOT(ISBLANK(Audit[[#This Row],[Audit Candidate 3]])), Audit[[#This Row],[Audit Candidate 3]]-Audit[[#This Row],[Candidate 3]], "")</f>
        <v/>
      </c>
      <c r="AH535" s="18" t="str">
        <f>IF(NOT(ISBLANK(Audit[[#This Row],[Audit Candidate 4]])),Audit[[#This Row],[Audit Candidate 4]]-Audit[[#This Row],[Candidate 4]], "")</f>
        <v/>
      </c>
      <c r="AI535" s="18" t="str">
        <f>IF(NOT(ISBLANK(Audit[[#This Row],[Audit Candidate 5]])), Audit[[#This Row],[Audit Candidate 5]]-Audit[[#This Row],[Candidate 5]], "")</f>
        <v/>
      </c>
      <c r="AJ535" s="18" t="str">
        <f>IF(NOT(ISBLANK(Audit[[#This Row],[Audit Candidate 6]])), Audit[[#This Row],[Audit Candidate 6]]-Audit[[#This Row],[Candidate 6]], "")</f>
        <v/>
      </c>
      <c r="AK535" s="18" t="str">
        <f>IF(NOT(ISBLANK(Audit[[#This Row],[Audit Candidate 7]])), Audit[[#This Row],[Audit Candidate 7]]-Audit[[#This Row],[Candidate 7]], "")</f>
        <v/>
      </c>
      <c r="AL535" s="18" t="str">
        <f>IF(NOT(ISBLANK(Audit[[#This Row],[Audit Candidate 8]])), Audit[[#This Row],[Audit Candidate 8]]-Audit[[#This Row],[Candidate 8]], "")</f>
        <v/>
      </c>
      <c r="AM535" s="18" t="str">
        <f>IF(NOT(ISBLANK(Audit[[#This Row],[Audit Candidate 9]])), Audit[[#This Row],[Audit Candidate 9]]-Audit[[#This Row],[Candidate 9]], "")</f>
        <v/>
      </c>
      <c r="AN535" s="18" t="str">
        <f>IF(NOT(ISBLANK(Audit[[#This Row],[Audit Candidate 10]])), Audit[[#This Row],[Audit Candidate 10]]-Audit[[#This Row],[Candidate 10]], "")</f>
        <v/>
      </c>
      <c r="AO535" s="18" t="str">
        <f>IF(NOT(ISBLANK(Audit[[#This Row],[Audit Candidate 11]])), Audit[[#This Row],[Audit Candidate 11]]-Audit[[#This Row],[Candidate 11]], "")</f>
        <v/>
      </c>
      <c r="AP535" s="18" t="str">
        <f>IF(NOT(ISBLANK(Audit[[#This Row],[Audit Candidate 12]])), Audit[[#This Row],[Audit Candidate 12]]-Audit[[#This Row],[Candidate 12]], "")</f>
        <v/>
      </c>
      <c r="AQ535" s="18">
        <f>SUMIF(Audit[[#This Row],[Difference Winner]:[Difference Candidate 12]], "&gt;0")</f>
        <v>0</v>
      </c>
      <c r="AR535" s="18">
        <f>SUM(Audit[[#This Row],[Difference Winner]:[Difference Candidate 12]])</f>
        <v>0</v>
      </c>
      <c r="AS535" s="18">
        <f>IF(Audit[[#This Row],[Times p Drawn - With Replacement]]&gt;0, IF(Audit[[#This Row],[Canceled Differences]]&lt;0, Audit[[#This Row],[Max Differences]]+ABS(Audit[[#This Row],[Canceled Differences]]), Audit[[#This Row],[Max Differences]]), 0)</f>
        <v>0</v>
      </c>
      <c r="AT535" s="18">
        <f>'Sampling Data'!AB535</f>
        <v>0</v>
      </c>
      <c r="AU535" s="18">
        <f>IF(
      SUM(Audit[[#This Row],[Audit Losing Candidate]:[Audit Candidate 12]])
      &lt;&gt;0,
      (Audit[[#This Row],[Winning Candidate]]-Audit[[#This Row],[Losing Candidate]]-(Audit[[#This Row],[Audit Winning Candidate]]-Audit[[#This Row],[Audit Losing Candidate]]))/(Audit[[#Totals],[Winning Candidate]]-Audit[[#Totals],[Losing Candidate]]),
      0
)</f>
        <v>0</v>
      </c>
      <c r="AV5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8">
        <f>IF(Audit[[#This Row],[Max Relative Error (ep)]] = 0, 0, Audit[[#This Row],[Max Relative Error (ep)]]/Audit[[#This Row],[Error Bound (up) - Max. possible relative overstatement]])</f>
        <v>0</v>
      </c>
      <c r="BH5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5" s="18">
        <f t="shared" si="9"/>
        <v>1</v>
      </c>
      <c r="BJ535" s="18">
        <f>PRODUCT($BI$5:BI535)</f>
        <v>0.32656797278968008</v>
      </c>
      <c r="BK535" s="20">
        <f>1 - Audit[[#This Row],[K-M P Value]]</f>
        <v>0.67343202721031992</v>
      </c>
      <c r="BL535" s="18" t="str">
        <f>IF(Audit[[#This Row],[K-M P Value]]&gt;1-'General Info'!$B$12,"Continue", "Stop")</f>
        <v>Continue</v>
      </c>
      <c r="BM535" s="23" t="b">
        <f>IF(Audit[[#This Row],[Status - Continue or stop audit]] = "Continue", TRUE, IF(BL534 = "Continue", TRUE, FALSE))</f>
        <v>1</v>
      </c>
      <c r="BN535" s="23"/>
    </row>
    <row r="536" spans="1:66" ht="15" hidden="1" customHeight="1" x14ac:dyDescent="0.35">
      <c r="A536" s="18" t="str">
        <f>'Sampling Data'!AI536</f>
        <v/>
      </c>
      <c r="B536" s="18" t="str">
        <f>'Sampling Data'!A536</f>
        <v>8902 SYCAM B   (AV)</v>
      </c>
      <c r="C536" s="18">
        <f>'Sampling Data'!B536</f>
        <v>14</v>
      </c>
      <c r="D536" s="18">
        <f>'Sampling Data'!C536</f>
        <v>2</v>
      </c>
      <c r="E536" s="19">
        <f>'Sampling Data'!D536</f>
        <v>0</v>
      </c>
      <c r="F536" s="19">
        <f>'Sampling Data'!E536</f>
        <v>0</v>
      </c>
      <c r="G536" s="19">
        <f>'Sampling Data'!F536</f>
        <v>0</v>
      </c>
      <c r="H536" s="19">
        <f>'Sampling Data'!G536</f>
        <v>0</v>
      </c>
      <c r="I536" s="19">
        <f>'Sampling Data'!H536</f>
        <v>0</v>
      </c>
      <c r="J536" s="19">
        <f>'Sampling Data'!I536</f>
        <v>0</v>
      </c>
      <c r="K536" s="19">
        <f>'Sampling Data'!J536</f>
        <v>0</v>
      </c>
      <c r="L536" s="19">
        <f>'Sampling Data'!K536</f>
        <v>0</v>
      </c>
      <c r="M536" s="19">
        <f>'Sampling Data'!L536</f>
        <v>0</v>
      </c>
      <c r="N536" s="19">
        <f>'Sampling Data'!M536</f>
        <v>0</v>
      </c>
      <c r="O536" s="18">
        <f>'Sampling Data'!N536</f>
        <v>0</v>
      </c>
      <c r="P536" s="18">
        <f>'Sampling Data'!O536</f>
        <v>0</v>
      </c>
      <c r="Q536" s="18">
        <f>'Sampling Data'!P536</f>
        <v>16</v>
      </c>
      <c r="R536" s="18">
        <f>'Sampling Data'!AJ536</f>
        <v>0</v>
      </c>
      <c r="S536" s="112"/>
      <c r="T536" s="112"/>
      <c r="U536" s="113"/>
      <c r="V536" s="113"/>
      <c r="W536" s="112"/>
      <c r="X536" s="112"/>
      <c r="Y536" s="112"/>
      <c r="Z536" s="112"/>
      <c r="AA536" s="15"/>
      <c r="AB536" s="15"/>
      <c r="AC536" s="15"/>
      <c r="AD536" s="15"/>
      <c r="AE536" s="114" t="str">
        <f>IF(NOT(ISBLANK(Audit[[#This Row],[Audit Winning Candidate]])), Audit[[#This Row],[Audit Winning Candidate]]-Audit[[#This Row],[Winning Candidate]], "")</f>
        <v/>
      </c>
      <c r="AF536" s="18" t="str">
        <f>IF(NOT(ISBLANK(Audit[[#This Row],[Audit Losing Candidate]])), Audit[[#This Row],[Audit Losing Candidate]]-Audit[[#This Row],[Losing Candidate]], "")</f>
        <v/>
      </c>
      <c r="AG536" s="18" t="str">
        <f>IF(NOT(ISBLANK(Audit[[#This Row],[Audit Candidate 3]])), Audit[[#This Row],[Audit Candidate 3]]-Audit[[#This Row],[Candidate 3]], "")</f>
        <v/>
      </c>
      <c r="AH536" s="18" t="str">
        <f>IF(NOT(ISBLANK(Audit[[#This Row],[Audit Candidate 4]])),Audit[[#This Row],[Audit Candidate 4]]-Audit[[#This Row],[Candidate 4]], "")</f>
        <v/>
      </c>
      <c r="AI536" s="18" t="str">
        <f>IF(NOT(ISBLANK(Audit[[#This Row],[Audit Candidate 5]])), Audit[[#This Row],[Audit Candidate 5]]-Audit[[#This Row],[Candidate 5]], "")</f>
        <v/>
      </c>
      <c r="AJ536" s="18" t="str">
        <f>IF(NOT(ISBLANK(Audit[[#This Row],[Audit Candidate 6]])), Audit[[#This Row],[Audit Candidate 6]]-Audit[[#This Row],[Candidate 6]], "")</f>
        <v/>
      </c>
      <c r="AK536" s="18" t="str">
        <f>IF(NOT(ISBLANK(Audit[[#This Row],[Audit Candidate 7]])), Audit[[#This Row],[Audit Candidate 7]]-Audit[[#This Row],[Candidate 7]], "")</f>
        <v/>
      </c>
      <c r="AL536" s="18" t="str">
        <f>IF(NOT(ISBLANK(Audit[[#This Row],[Audit Candidate 8]])), Audit[[#This Row],[Audit Candidate 8]]-Audit[[#This Row],[Candidate 8]], "")</f>
        <v/>
      </c>
      <c r="AM536" s="18" t="str">
        <f>IF(NOT(ISBLANK(Audit[[#This Row],[Audit Candidate 9]])), Audit[[#This Row],[Audit Candidate 9]]-Audit[[#This Row],[Candidate 9]], "")</f>
        <v/>
      </c>
      <c r="AN536" s="18" t="str">
        <f>IF(NOT(ISBLANK(Audit[[#This Row],[Audit Candidate 10]])), Audit[[#This Row],[Audit Candidate 10]]-Audit[[#This Row],[Candidate 10]], "")</f>
        <v/>
      </c>
      <c r="AO536" s="18" t="str">
        <f>IF(NOT(ISBLANK(Audit[[#This Row],[Audit Candidate 11]])), Audit[[#This Row],[Audit Candidate 11]]-Audit[[#This Row],[Candidate 11]], "")</f>
        <v/>
      </c>
      <c r="AP536" s="18" t="str">
        <f>IF(NOT(ISBLANK(Audit[[#This Row],[Audit Candidate 12]])), Audit[[#This Row],[Audit Candidate 12]]-Audit[[#This Row],[Candidate 12]], "")</f>
        <v/>
      </c>
      <c r="AQ536" s="18">
        <f>SUMIF(Audit[[#This Row],[Difference Winner]:[Difference Candidate 12]], "&gt;0")</f>
        <v>0</v>
      </c>
      <c r="AR536" s="18">
        <f>SUM(Audit[[#This Row],[Difference Winner]:[Difference Candidate 12]])</f>
        <v>0</v>
      </c>
      <c r="AS536" s="18">
        <f>IF(Audit[[#This Row],[Times p Drawn - With Replacement]]&gt;0, IF(Audit[[#This Row],[Canceled Differences]]&lt;0, Audit[[#This Row],[Max Differences]]+ABS(Audit[[#This Row],[Canceled Differences]]), Audit[[#This Row],[Max Differences]]), 0)</f>
        <v>0</v>
      </c>
      <c r="AT536" s="18">
        <f>'Sampling Data'!AB536</f>
        <v>8.7947985048842541E-4</v>
      </c>
      <c r="AU536" s="18">
        <f>IF(
      SUM(Audit[[#This Row],[Audit Losing Candidate]:[Audit Candidate 12]])
      &lt;&gt;0,
      (Audit[[#This Row],[Winning Candidate]]-Audit[[#This Row],[Losing Candidate]]-(Audit[[#This Row],[Audit Winning Candidate]]-Audit[[#This Row],[Audit Losing Candidate]]))/(Audit[[#Totals],[Winning Candidate]]-Audit[[#Totals],[Losing Candidate]]),
      0
)</f>
        <v>0</v>
      </c>
      <c r="AV5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8">
        <f>IF(Audit[[#This Row],[Max Relative Error (ep)]] = 0, 0, Audit[[#This Row],[Max Relative Error (ep)]]/Audit[[#This Row],[Error Bound (up) - Max. possible relative overstatement]])</f>
        <v>0</v>
      </c>
      <c r="BH5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6" s="18">
        <f t="shared" si="9"/>
        <v>1</v>
      </c>
      <c r="BJ536" s="18">
        <f>PRODUCT($BI$5:BI536)</f>
        <v>0.32656797278968008</v>
      </c>
      <c r="BK536" s="20">
        <f>1 - Audit[[#This Row],[K-M P Value]]</f>
        <v>0.67343202721031992</v>
      </c>
      <c r="BL536" s="18" t="str">
        <f>IF(Audit[[#This Row],[K-M P Value]]&gt;1-'General Info'!$B$12,"Continue", "Stop")</f>
        <v>Continue</v>
      </c>
      <c r="BM536" s="23" t="b">
        <f>IF(Audit[[#This Row],[Status - Continue or stop audit]] = "Continue", TRUE, IF(BL535 = "Continue", TRUE, FALSE))</f>
        <v>1</v>
      </c>
      <c r="BN536" s="23"/>
    </row>
    <row r="537" spans="1:66" ht="15" hidden="1" customHeight="1" x14ac:dyDescent="0.35">
      <c r="A537" s="18" t="str">
        <f>'Sampling Data'!AI537</f>
        <v/>
      </c>
      <c r="B537" s="18" t="str">
        <f>'Sampling Data'!A537</f>
        <v>8903 SYCAM C   (AV)</v>
      </c>
      <c r="C537" s="18">
        <f>'Sampling Data'!B537</f>
        <v>14</v>
      </c>
      <c r="D537" s="18">
        <f>'Sampling Data'!C537</f>
        <v>5</v>
      </c>
      <c r="E537" s="19">
        <f>'Sampling Data'!D537</f>
        <v>0</v>
      </c>
      <c r="F537" s="19">
        <f>'Sampling Data'!E537</f>
        <v>0</v>
      </c>
      <c r="G537" s="19">
        <f>'Sampling Data'!F537</f>
        <v>0</v>
      </c>
      <c r="H537" s="19">
        <f>'Sampling Data'!G537</f>
        <v>0</v>
      </c>
      <c r="I537" s="19">
        <f>'Sampling Data'!H537</f>
        <v>0</v>
      </c>
      <c r="J537" s="19">
        <f>'Sampling Data'!I537</f>
        <v>0</v>
      </c>
      <c r="K537" s="19">
        <f>'Sampling Data'!J537</f>
        <v>0</v>
      </c>
      <c r="L537" s="19">
        <f>'Sampling Data'!K537</f>
        <v>0</v>
      </c>
      <c r="M537" s="19">
        <f>'Sampling Data'!L537</f>
        <v>0</v>
      </c>
      <c r="N537" s="19">
        <f>'Sampling Data'!M537</f>
        <v>0</v>
      </c>
      <c r="O537" s="18">
        <f>'Sampling Data'!N537</f>
        <v>0</v>
      </c>
      <c r="P537" s="18">
        <f>'Sampling Data'!O537</f>
        <v>0</v>
      </c>
      <c r="Q537" s="18">
        <f>'Sampling Data'!P537</f>
        <v>19</v>
      </c>
      <c r="R537" s="18">
        <f>'Sampling Data'!AJ537</f>
        <v>0</v>
      </c>
      <c r="S537" s="112"/>
      <c r="T537" s="112"/>
      <c r="U537" s="113"/>
      <c r="V537" s="113"/>
      <c r="W537" s="112"/>
      <c r="X537" s="112"/>
      <c r="Y537" s="112"/>
      <c r="Z537" s="112"/>
      <c r="AA537" s="15"/>
      <c r="AB537" s="15"/>
      <c r="AC537" s="15"/>
      <c r="AD537" s="15"/>
      <c r="AE537" s="114" t="str">
        <f>IF(NOT(ISBLANK(Audit[[#This Row],[Audit Winning Candidate]])), Audit[[#This Row],[Audit Winning Candidate]]-Audit[[#This Row],[Winning Candidate]], "")</f>
        <v/>
      </c>
      <c r="AF537" s="18" t="str">
        <f>IF(NOT(ISBLANK(Audit[[#This Row],[Audit Losing Candidate]])), Audit[[#This Row],[Audit Losing Candidate]]-Audit[[#This Row],[Losing Candidate]], "")</f>
        <v/>
      </c>
      <c r="AG537" s="18" t="str">
        <f>IF(NOT(ISBLANK(Audit[[#This Row],[Audit Candidate 3]])), Audit[[#This Row],[Audit Candidate 3]]-Audit[[#This Row],[Candidate 3]], "")</f>
        <v/>
      </c>
      <c r="AH537" s="18" t="str">
        <f>IF(NOT(ISBLANK(Audit[[#This Row],[Audit Candidate 4]])),Audit[[#This Row],[Audit Candidate 4]]-Audit[[#This Row],[Candidate 4]], "")</f>
        <v/>
      </c>
      <c r="AI537" s="18" t="str">
        <f>IF(NOT(ISBLANK(Audit[[#This Row],[Audit Candidate 5]])), Audit[[#This Row],[Audit Candidate 5]]-Audit[[#This Row],[Candidate 5]], "")</f>
        <v/>
      </c>
      <c r="AJ537" s="18" t="str">
        <f>IF(NOT(ISBLANK(Audit[[#This Row],[Audit Candidate 6]])), Audit[[#This Row],[Audit Candidate 6]]-Audit[[#This Row],[Candidate 6]], "")</f>
        <v/>
      </c>
      <c r="AK537" s="18" t="str">
        <f>IF(NOT(ISBLANK(Audit[[#This Row],[Audit Candidate 7]])), Audit[[#This Row],[Audit Candidate 7]]-Audit[[#This Row],[Candidate 7]], "")</f>
        <v/>
      </c>
      <c r="AL537" s="18" t="str">
        <f>IF(NOT(ISBLANK(Audit[[#This Row],[Audit Candidate 8]])), Audit[[#This Row],[Audit Candidate 8]]-Audit[[#This Row],[Candidate 8]], "")</f>
        <v/>
      </c>
      <c r="AM537" s="18" t="str">
        <f>IF(NOT(ISBLANK(Audit[[#This Row],[Audit Candidate 9]])), Audit[[#This Row],[Audit Candidate 9]]-Audit[[#This Row],[Candidate 9]], "")</f>
        <v/>
      </c>
      <c r="AN537" s="18" t="str">
        <f>IF(NOT(ISBLANK(Audit[[#This Row],[Audit Candidate 10]])), Audit[[#This Row],[Audit Candidate 10]]-Audit[[#This Row],[Candidate 10]], "")</f>
        <v/>
      </c>
      <c r="AO537" s="18" t="str">
        <f>IF(NOT(ISBLANK(Audit[[#This Row],[Audit Candidate 11]])), Audit[[#This Row],[Audit Candidate 11]]-Audit[[#This Row],[Candidate 11]], "")</f>
        <v/>
      </c>
      <c r="AP537" s="18" t="str">
        <f>IF(NOT(ISBLANK(Audit[[#This Row],[Audit Candidate 12]])), Audit[[#This Row],[Audit Candidate 12]]-Audit[[#This Row],[Candidate 12]], "")</f>
        <v/>
      </c>
      <c r="AQ537" s="18">
        <f>SUMIF(Audit[[#This Row],[Difference Winner]:[Difference Candidate 12]], "&gt;0")</f>
        <v>0</v>
      </c>
      <c r="AR537" s="18">
        <f>SUM(Audit[[#This Row],[Difference Winner]:[Difference Candidate 12]])</f>
        <v>0</v>
      </c>
      <c r="AS537" s="18">
        <f>IF(Audit[[#This Row],[Times p Drawn - With Replacement]]&gt;0, IF(Audit[[#This Row],[Canceled Differences]]&lt;0, Audit[[#This Row],[Max Differences]]+ABS(Audit[[#This Row],[Canceled Differences]]), Audit[[#This Row],[Max Differences]]), 0)</f>
        <v>0</v>
      </c>
      <c r="AT537" s="18">
        <f>'Sampling Data'!AB537</f>
        <v>8.7947985048842541E-4</v>
      </c>
      <c r="AU537" s="18">
        <f>IF(
      SUM(Audit[[#This Row],[Audit Losing Candidate]:[Audit Candidate 12]])
      &lt;&gt;0,
      (Audit[[#This Row],[Winning Candidate]]-Audit[[#This Row],[Losing Candidate]]-(Audit[[#This Row],[Audit Winning Candidate]]-Audit[[#This Row],[Audit Losing Candidate]]))/(Audit[[#Totals],[Winning Candidate]]-Audit[[#Totals],[Losing Candidate]]),
      0
)</f>
        <v>0</v>
      </c>
      <c r="AV5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8">
        <f>IF(Audit[[#This Row],[Max Relative Error (ep)]] = 0, 0, Audit[[#This Row],[Max Relative Error (ep)]]/Audit[[#This Row],[Error Bound (up) - Max. possible relative overstatement]])</f>
        <v>0</v>
      </c>
      <c r="BH5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7" s="18">
        <f t="shared" si="9"/>
        <v>1</v>
      </c>
      <c r="BJ537" s="18">
        <f>PRODUCT($BI$5:BI537)</f>
        <v>0.32656797278968008</v>
      </c>
      <c r="BK537" s="20">
        <f>1 - Audit[[#This Row],[K-M P Value]]</f>
        <v>0.67343202721031992</v>
      </c>
      <c r="BL537" s="18" t="str">
        <f>IF(Audit[[#This Row],[K-M P Value]]&gt;1-'General Info'!$B$12,"Continue", "Stop")</f>
        <v>Continue</v>
      </c>
      <c r="BM537" s="23" t="b">
        <f>IF(Audit[[#This Row],[Status - Continue or stop audit]] = "Continue", TRUE, IF(BL536 = "Continue", TRUE, FALSE))</f>
        <v>1</v>
      </c>
      <c r="BN537" s="23"/>
    </row>
    <row r="538" spans="1:66" ht="15" hidden="1" customHeight="1" x14ac:dyDescent="0.35">
      <c r="A538" s="18" t="str">
        <f>'Sampling Data'!AI538</f>
        <v/>
      </c>
      <c r="B538" s="18" t="str">
        <f>'Sampling Data'!A538</f>
        <v>8904 SYCAM D   (AV)</v>
      </c>
      <c r="C538" s="18">
        <f>'Sampling Data'!B538</f>
        <v>14</v>
      </c>
      <c r="D538" s="18">
        <f>'Sampling Data'!C538</f>
        <v>2</v>
      </c>
      <c r="E538" s="19">
        <f>'Sampling Data'!D538</f>
        <v>0</v>
      </c>
      <c r="F538" s="19">
        <f>'Sampling Data'!E538</f>
        <v>0</v>
      </c>
      <c r="G538" s="19">
        <f>'Sampling Data'!F538</f>
        <v>0</v>
      </c>
      <c r="H538" s="19">
        <f>'Sampling Data'!G538</f>
        <v>0</v>
      </c>
      <c r="I538" s="19">
        <f>'Sampling Data'!H538</f>
        <v>0</v>
      </c>
      <c r="J538" s="19">
        <f>'Sampling Data'!I538</f>
        <v>0</v>
      </c>
      <c r="K538" s="19">
        <f>'Sampling Data'!J538</f>
        <v>0</v>
      </c>
      <c r="L538" s="19">
        <f>'Sampling Data'!K538</f>
        <v>0</v>
      </c>
      <c r="M538" s="19">
        <f>'Sampling Data'!L538</f>
        <v>0</v>
      </c>
      <c r="N538" s="19">
        <f>'Sampling Data'!M538</f>
        <v>0</v>
      </c>
      <c r="O538" s="18">
        <f>'Sampling Data'!N538</f>
        <v>0</v>
      </c>
      <c r="P538" s="18">
        <f>'Sampling Data'!O538</f>
        <v>0</v>
      </c>
      <c r="Q538" s="18">
        <f>'Sampling Data'!P538</f>
        <v>16</v>
      </c>
      <c r="R538" s="18">
        <f>'Sampling Data'!AJ538</f>
        <v>0</v>
      </c>
      <c r="S538" s="112"/>
      <c r="T538" s="112"/>
      <c r="U538" s="113"/>
      <c r="V538" s="113"/>
      <c r="W538" s="112"/>
      <c r="X538" s="112"/>
      <c r="Y538" s="112"/>
      <c r="Z538" s="112"/>
      <c r="AA538" s="15"/>
      <c r="AB538" s="15"/>
      <c r="AC538" s="15"/>
      <c r="AD538" s="15"/>
      <c r="AE538" s="114" t="str">
        <f>IF(NOT(ISBLANK(Audit[[#This Row],[Audit Winning Candidate]])), Audit[[#This Row],[Audit Winning Candidate]]-Audit[[#This Row],[Winning Candidate]], "")</f>
        <v/>
      </c>
      <c r="AF538" s="18" t="str">
        <f>IF(NOT(ISBLANK(Audit[[#This Row],[Audit Losing Candidate]])), Audit[[#This Row],[Audit Losing Candidate]]-Audit[[#This Row],[Losing Candidate]], "")</f>
        <v/>
      </c>
      <c r="AG538" s="18" t="str">
        <f>IF(NOT(ISBLANK(Audit[[#This Row],[Audit Candidate 3]])), Audit[[#This Row],[Audit Candidate 3]]-Audit[[#This Row],[Candidate 3]], "")</f>
        <v/>
      </c>
      <c r="AH538" s="18" t="str">
        <f>IF(NOT(ISBLANK(Audit[[#This Row],[Audit Candidate 4]])),Audit[[#This Row],[Audit Candidate 4]]-Audit[[#This Row],[Candidate 4]], "")</f>
        <v/>
      </c>
      <c r="AI538" s="18" t="str">
        <f>IF(NOT(ISBLANK(Audit[[#This Row],[Audit Candidate 5]])), Audit[[#This Row],[Audit Candidate 5]]-Audit[[#This Row],[Candidate 5]], "")</f>
        <v/>
      </c>
      <c r="AJ538" s="18" t="str">
        <f>IF(NOT(ISBLANK(Audit[[#This Row],[Audit Candidate 6]])), Audit[[#This Row],[Audit Candidate 6]]-Audit[[#This Row],[Candidate 6]], "")</f>
        <v/>
      </c>
      <c r="AK538" s="18" t="str">
        <f>IF(NOT(ISBLANK(Audit[[#This Row],[Audit Candidate 7]])), Audit[[#This Row],[Audit Candidate 7]]-Audit[[#This Row],[Candidate 7]], "")</f>
        <v/>
      </c>
      <c r="AL538" s="18" t="str">
        <f>IF(NOT(ISBLANK(Audit[[#This Row],[Audit Candidate 8]])), Audit[[#This Row],[Audit Candidate 8]]-Audit[[#This Row],[Candidate 8]], "")</f>
        <v/>
      </c>
      <c r="AM538" s="18" t="str">
        <f>IF(NOT(ISBLANK(Audit[[#This Row],[Audit Candidate 9]])), Audit[[#This Row],[Audit Candidate 9]]-Audit[[#This Row],[Candidate 9]], "")</f>
        <v/>
      </c>
      <c r="AN538" s="18" t="str">
        <f>IF(NOT(ISBLANK(Audit[[#This Row],[Audit Candidate 10]])), Audit[[#This Row],[Audit Candidate 10]]-Audit[[#This Row],[Candidate 10]], "")</f>
        <v/>
      </c>
      <c r="AO538" s="18" t="str">
        <f>IF(NOT(ISBLANK(Audit[[#This Row],[Audit Candidate 11]])), Audit[[#This Row],[Audit Candidate 11]]-Audit[[#This Row],[Candidate 11]], "")</f>
        <v/>
      </c>
      <c r="AP538" s="18" t="str">
        <f>IF(NOT(ISBLANK(Audit[[#This Row],[Audit Candidate 12]])), Audit[[#This Row],[Audit Candidate 12]]-Audit[[#This Row],[Candidate 12]], "")</f>
        <v/>
      </c>
      <c r="AQ538" s="18">
        <f>SUMIF(Audit[[#This Row],[Difference Winner]:[Difference Candidate 12]], "&gt;0")</f>
        <v>0</v>
      </c>
      <c r="AR538" s="18">
        <f>SUM(Audit[[#This Row],[Difference Winner]:[Difference Candidate 12]])</f>
        <v>0</v>
      </c>
      <c r="AS538" s="18">
        <f>IF(Audit[[#This Row],[Times p Drawn - With Replacement]]&gt;0, IF(Audit[[#This Row],[Canceled Differences]]&lt;0, Audit[[#This Row],[Max Differences]]+ABS(Audit[[#This Row],[Canceled Differences]]), Audit[[#This Row],[Max Differences]]), 0)</f>
        <v>0</v>
      </c>
      <c r="AT538" s="18">
        <f>'Sampling Data'!AB538</f>
        <v>8.7947985048842541E-4</v>
      </c>
      <c r="AU538" s="18">
        <f>IF(
      SUM(Audit[[#This Row],[Audit Losing Candidate]:[Audit Candidate 12]])
      &lt;&gt;0,
      (Audit[[#This Row],[Winning Candidate]]-Audit[[#This Row],[Losing Candidate]]-(Audit[[#This Row],[Audit Winning Candidate]]-Audit[[#This Row],[Audit Losing Candidate]]))/(Audit[[#Totals],[Winning Candidate]]-Audit[[#Totals],[Losing Candidate]]),
      0
)</f>
        <v>0</v>
      </c>
      <c r="AV5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8">
        <f>IF(Audit[[#This Row],[Max Relative Error (ep)]] = 0, 0, Audit[[#This Row],[Max Relative Error (ep)]]/Audit[[#This Row],[Error Bound (up) - Max. possible relative overstatement]])</f>
        <v>0</v>
      </c>
      <c r="BH5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8" s="18">
        <f t="shared" si="9"/>
        <v>1</v>
      </c>
      <c r="BJ538" s="18">
        <f>PRODUCT($BI$5:BI538)</f>
        <v>0.32656797278968008</v>
      </c>
      <c r="BK538" s="20">
        <f>1 - Audit[[#This Row],[K-M P Value]]</f>
        <v>0.67343202721031992</v>
      </c>
      <c r="BL538" s="18" t="str">
        <f>IF(Audit[[#This Row],[K-M P Value]]&gt;1-'General Info'!$B$12,"Continue", "Stop")</f>
        <v>Continue</v>
      </c>
      <c r="BM538" s="23" t="b">
        <f>IF(Audit[[#This Row],[Status - Continue or stop audit]] = "Continue", TRUE, IF(BL537 = "Continue", TRUE, FALSE))</f>
        <v>1</v>
      </c>
      <c r="BN538" s="23"/>
    </row>
    <row r="539" spans="1:66" ht="15" hidden="1" customHeight="1" x14ac:dyDescent="0.35">
      <c r="A539" s="18" t="str">
        <f>'Sampling Data'!AI539</f>
        <v/>
      </c>
      <c r="B539" s="18" t="str">
        <f>'Sampling Data'!A539</f>
        <v>8905 SYCAM E   (AV)</v>
      </c>
      <c r="C539" s="18">
        <f>'Sampling Data'!B539</f>
        <v>15</v>
      </c>
      <c r="D539" s="18">
        <f>'Sampling Data'!C539</f>
        <v>4</v>
      </c>
      <c r="E539" s="19">
        <f>'Sampling Data'!D539</f>
        <v>0</v>
      </c>
      <c r="F539" s="19">
        <f>'Sampling Data'!E539</f>
        <v>0</v>
      </c>
      <c r="G539" s="19">
        <f>'Sampling Data'!F539</f>
        <v>0</v>
      </c>
      <c r="H539" s="19">
        <f>'Sampling Data'!G539</f>
        <v>0</v>
      </c>
      <c r="I539" s="19">
        <f>'Sampling Data'!H539</f>
        <v>0</v>
      </c>
      <c r="J539" s="19">
        <f>'Sampling Data'!I539</f>
        <v>0</v>
      </c>
      <c r="K539" s="19">
        <f>'Sampling Data'!J539</f>
        <v>0</v>
      </c>
      <c r="L539" s="19">
        <f>'Sampling Data'!K539</f>
        <v>0</v>
      </c>
      <c r="M539" s="19">
        <f>'Sampling Data'!L539</f>
        <v>0</v>
      </c>
      <c r="N539" s="19">
        <f>'Sampling Data'!M539</f>
        <v>0</v>
      </c>
      <c r="O539" s="18">
        <f>'Sampling Data'!N539</f>
        <v>0</v>
      </c>
      <c r="P539" s="18">
        <f>'Sampling Data'!O539</f>
        <v>0</v>
      </c>
      <c r="Q539" s="18">
        <f>'Sampling Data'!P539</f>
        <v>19</v>
      </c>
      <c r="R539" s="18">
        <f>'Sampling Data'!AJ539</f>
        <v>0</v>
      </c>
      <c r="S539" s="112"/>
      <c r="T539" s="112"/>
      <c r="U539" s="113"/>
      <c r="V539" s="113"/>
      <c r="W539" s="112"/>
      <c r="X539" s="112"/>
      <c r="Y539" s="112"/>
      <c r="Z539" s="112"/>
      <c r="AA539" s="15"/>
      <c r="AB539" s="15"/>
      <c r="AC539" s="15"/>
      <c r="AD539" s="15"/>
      <c r="AE539" s="114" t="str">
        <f>IF(NOT(ISBLANK(Audit[[#This Row],[Audit Winning Candidate]])), Audit[[#This Row],[Audit Winning Candidate]]-Audit[[#This Row],[Winning Candidate]], "")</f>
        <v/>
      </c>
      <c r="AF539" s="18" t="str">
        <f>IF(NOT(ISBLANK(Audit[[#This Row],[Audit Losing Candidate]])), Audit[[#This Row],[Audit Losing Candidate]]-Audit[[#This Row],[Losing Candidate]], "")</f>
        <v/>
      </c>
      <c r="AG539" s="18" t="str">
        <f>IF(NOT(ISBLANK(Audit[[#This Row],[Audit Candidate 3]])), Audit[[#This Row],[Audit Candidate 3]]-Audit[[#This Row],[Candidate 3]], "")</f>
        <v/>
      </c>
      <c r="AH539" s="18" t="str">
        <f>IF(NOT(ISBLANK(Audit[[#This Row],[Audit Candidate 4]])),Audit[[#This Row],[Audit Candidate 4]]-Audit[[#This Row],[Candidate 4]], "")</f>
        <v/>
      </c>
      <c r="AI539" s="18" t="str">
        <f>IF(NOT(ISBLANK(Audit[[#This Row],[Audit Candidate 5]])), Audit[[#This Row],[Audit Candidate 5]]-Audit[[#This Row],[Candidate 5]], "")</f>
        <v/>
      </c>
      <c r="AJ539" s="18" t="str">
        <f>IF(NOT(ISBLANK(Audit[[#This Row],[Audit Candidate 6]])), Audit[[#This Row],[Audit Candidate 6]]-Audit[[#This Row],[Candidate 6]], "")</f>
        <v/>
      </c>
      <c r="AK539" s="18" t="str">
        <f>IF(NOT(ISBLANK(Audit[[#This Row],[Audit Candidate 7]])), Audit[[#This Row],[Audit Candidate 7]]-Audit[[#This Row],[Candidate 7]], "")</f>
        <v/>
      </c>
      <c r="AL539" s="18" t="str">
        <f>IF(NOT(ISBLANK(Audit[[#This Row],[Audit Candidate 8]])), Audit[[#This Row],[Audit Candidate 8]]-Audit[[#This Row],[Candidate 8]], "")</f>
        <v/>
      </c>
      <c r="AM539" s="18" t="str">
        <f>IF(NOT(ISBLANK(Audit[[#This Row],[Audit Candidate 9]])), Audit[[#This Row],[Audit Candidate 9]]-Audit[[#This Row],[Candidate 9]], "")</f>
        <v/>
      </c>
      <c r="AN539" s="18" t="str">
        <f>IF(NOT(ISBLANK(Audit[[#This Row],[Audit Candidate 10]])), Audit[[#This Row],[Audit Candidate 10]]-Audit[[#This Row],[Candidate 10]], "")</f>
        <v/>
      </c>
      <c r="AO539" s="18" t="str">
        <f>IF(NOT(ISBLANK(Audit[[#This Row],[Audit Candidate 11]])), Audit[[#This Row],[Audit Candidate 11]]-Audit[[#This Row],[Candidate 11]], "")</f>
        <v/>
      </c>
      <c r="AP539" s="18" t="str">
        <f>IF(NOT(ISBLANK(Audit[[#This Row],[Audit Candidate 12]])), Audit[[#This Row],[Audit Candidate 12]]-Audit[[#This Row],[Candidate 12]], "")</f>
        <v/>
      </c>
      <c r="AQ539" s="18">
        <f>SUMIF(Audit[[#This Row],[Difference Winner]:[Difference Candidate 12]], "&gt;0")</f>
        <v>0</v>
      </c>
      <c r="AR539" s="18">
        <f>SUM(Audit[[#This Row],[Difference Winner]:[Difference Candidate 12]])</f>
        <v>0</v>
      </c>
      <c r="AS539" s="18">
        <f>IF(Audit[[#This Row],[Times p Drawn - With Replacement]]&gt;0, IF(Audit[[#This Row],[Canceled Differences]]&lt;0, Audit[[#This Row],[Max Differences]]+ABS(Audit[[#This Row],[Canceled Differences]]), Audit[[#This Row],[Max Differences]]), 0)</f>
        <v>0</v>
      </c>
      <c r="AT539" s="18">
        <f>'Sampling Data'!AB539</f>
        <v>9.4229983980902718E-4</v>
      </c>
      <c r="AU539" s="18">
        <f>IF(
      SUM(Audit[[#This Row],[Audit Losing Candidate]:[Audit Candidate 12]])
      &lt;&gt;0,
      (Audit[[#This Row],[Winning Candidate]]-Audit[[#This Row],[Losing Candidate]]-(Audit[[#This Row],[Audit Winning Candidate]]-Audit[[#This Row],[Audit Losing Candidate]]))/(Audit[[#Totals],[Winning Candidate]]-Audit[[#Totals],[Losing Candidate]]),
      0
)</f>
        <v>0</v>
      </c>
      <c r="AV5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8">
        <f>IF(Audit[[#This Row],[Max Relative Error (ep)]] = 0, 0, Audit[[#This Row],[Max Relative Error (ep)]]/Audit[[#This Row],[Error Bound (up) - Max. possible relative overstatement]])</f>
        <v>0</v>
      </c>
      <c r="BH5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39" s="18">
        <f t="shared" si="9"/>
        <v>1</v>
      </c>
      <c r="BJ539" s="18">
        <f>PRODUCT($BI$5:BI539)</f>
        <v>0.32656797278968008</v>
      </c>
      <c r="BK539" s="20">
        <f>1 - Audit[[#This Row],[K-M P Value]]</f>
        <v>0.67343202721031992</v>
      </c>
      <c r="BL539" s="18" t="str">
        <f>IF(Audit[[#This Row],[K-M P Value]]&gt;1-'General Info'!$B$12,"Continue", "Stop")</f>
        <v>Continue</v>
      </c>
      <c r="BM539" s="23" t="b">
        <f>IF(Audit[[#This Row],[Status - Continue or stop audit]] = "Continue", TRUE, IF(BL538 = "Continue", TRUE, FALSE))</f>
        <v>1</v>
      </c>
      <c r="BN539" s="23"/>
    </row>
    <row r="540" spans="1:66" ht="15" hidden="1" customHeight="1" x14ac:dyDescent="0.35">
      <c r="A540" s="18" t="str">
        <f>'Sampling Data'!AI540</f>
        <v/>
      </c>
      <c r="B540" s="18" t="str">
        <f>'Sampling Data'!A540</f>
        <v>8906 SYCAM F   (AV)</v>
      </c>
      <c r="C540" s="18">
        <f>'Sampling Data'!B540</f>
        <v>11</v>
      </c>
      <c r="D540" s="18">
        <f>'Sampling Data'!C540</f>
        <v>0</v>
      </c>
      <c r="E540" s="19">
        <f>'Sampling Data'!D540</f>
        <v>0</v>
      </c>
      <c r="F540" s="19">
        <f>'Sampling Data'!E540</f>
        <v>0</v>
      </c>
      <c r="G540" s="19">
        <f>'Sampling Data'!F540</f>
        <v>0</v>
      </c>
      <c r="H540" s="19">
        <f>'Sampling Data'!G540</f>
        <v>0</v>
      </c>
      <c r="I540" s="19">
        <f>'Sampling Data'!H540</f>
        <v>0</v>
      </c>
      <c r="J540" s="19">
        <f>'Sampling Data'!I540</f>
        <v>0</v>
      </c>
      <c r="K540" s="19">
        <f>'Sampling Data'!J540</f>
        <v>0</v>
      </c>
      <c r="L540" s="19">
        <f>'Sampling Data'!K540</f>
        <v>0</v>
      </c>
      <c r="M540" s="19">
        <f>'Sampling Data'!L540</f>
        <v>0</v>
      </c>
      <c r="N540" s="19">
        <f>'Sampling Data'!M540</f>
        <v>0</v>
      </c>
      <c r="O540" s="18">
        <f>'Sampling Data'!N540</f>
        <v>0</v>
      </c>
      <c r="P540" s="18">
        <f>'Sampling Data'!O540</f>
        <v>0</v>
      </c>
      <c r="Q540" s="18">
        <f>'Sampling Data'!P540</f>
        <v>11</v>
      </c>
      <c r="R540" s="18">
        <f>'Sampling Data'!AJ540</f>
        <v>0</v>
      </c>
      <c r="S540" s="112"/>
      <c r="T540" s="112"/>
      <c r="U540" s="113"/>
      <c r="V540" s="113"/>
      <c r="W540" s="112"/>
      <c r="X540" s="112"/>
      <c r="Y540" s="112"/>
      <c r="Z540" s="112"/>
      <c r="AA540" s="15"/>
      <c r="AB540" s="15"/>
      <c r="AC540" s="15"/>
      <c r="AD540" s="15"/>
      <c r="AE540" s="114" t="str">
        <f>IF(NOT(ISBLANK(Audit[[#This Row],[Audit Winning Candidate]])), Audit[[#This Row],[Audit Winning Candidate]]-Audit[[#This Row],[Winning Candidate]], "")</f>
        <v/>
      </c>
      <c r="AF540" s="18" t="str">
        <f>IF(NOT(ISBLANK(Audit[[#This Row],[Audit Losing Candidate]])), Audit[[#This Row],[Audit Losing Candidate]]-Audit[[#This Row],[Losing Candidate]], "")</f>
        <v/>
      </c>
      <c r="AG540" s="18" t="str">
        <f>IF(NOT(ISBLANK(Audit[[#This Row],[Audit Candidate 3]])), Audit[[#This Row],[Audit Candidate 3]]-Audit[[#This Row],[Candidate 3]], "")</f>
        <v/>
      </c>
      <c r="AH540" s="18" t="str">
        <f>IF(NOT(ISBLANK(Audit[[#This Row],[Audit Candidate 4]])),Audit[[#This Row],[Audit Candidate 4]]-Audit[[#This Row],[Candidate 4]], "")</f>
        <v/>
      </c>
      <c r="AI540" s="18" t="str">
        <f>IF(NOT(ISBLANK(Audit[[#This Row],[Audit Candidate 5]])), Audit[[#This Row],[Audit Candidate 5]]-Audit[[#This Row],[Candidate 5]], "")</f>
        <v/>
      </c>
      <c r="AJ540" s="18" t="str">
        <f>IF(NOT(ISBLANK(Audit[[#This Row],[Audit Candidate 6]])), Audit[[#This Row],[Audit Candidate 6]]-Audit[[#This Row],[Candidate 6]], "")</f>
        <v/>
      </c>
      <c r="AK540" s="18" t="str">
        <f>IF(NOT(ISBLANK(Audit[[#This Row],[Audit Candidate 7]])), Audit[[#This Row],[Audit Candidate 7]]-Audit[[#This Row],[Candidate 7]], "")</f>
        <v/>
      </c>
      <c r="AL540" s="18" t="str">
        <f>IF(NOT(ISBLANK(Audit[[#This Row],[Audit Candidate 8]])), Audit[[#This Row],[Audit Candidate 8]]-Audit[[#This Row],[Candidate 8]], "")</f>
        <v/>
      </c>
      <c r="AM540" s="18" t="str">
        <f>IF(NOT(ISBLANK(Audit[[#This Row],[Audit Candidate 9]])), Audit[[#This Row],[Audit Candidate 9]]-Audit[[#This Row],[Candidate 9]], "")</f>
        <v/>
      </c>
      <c r="AN540" s="18" t="str">
        <f>IF(NOT(ISBLANK(Audit[[#This Row],[Audit Candidate 10]])), Audit[[#This Row],[Audit Candidate 10]]-Audit[[#This Row],[Candidate 10]], "")</f>
        <v/>
      </c>
      <c r="AO540" s="18" t="str">
        <f>IF(NOT(ISBLANK(Audit[[#This Row],[Audit Candidate 11]])), Audit[[#This Row],[Audit Candidate 11]]-Audit[[#This Row],[Candidate 11]], "")</f>
        <v/>
      </c>
      <c r="AP540" s="18" t="str">
        <f>IF(NOT(ISBLANK(Audit[[#This Row],[Audit Candidate 12]])), Audit[[#This Row],[Audit Candidate 12]]-Audit[[#This Row],[Candidate 12]], "")</f>
        <v/>
      </c>
      <c r="AQ540" s="18">
        <f>SUMIF(Audit[[#This Row],[Difference Winner]:[Difference Candidate 12]], "&gt;0")</f>
        <v>0</v>
      </c>
      <c r="AR540" s="18">
        <f>SUM(Audit[[#This Row],[Difference Winner]:[Difference Candidate 12]])</f>
        <v>0</v>
      </c>
      <c r="AS540" s="18">
        <f>IF(Audit[[#This Row],[Times p Drawn - With Replacement]]&gt;0, IF(Audit[[#This Row],[Canceled Differences]]&lt;0, Audit[[#This Row],[Max Differences]]+ABS(Audit[[#This Row],[Canceled Differences]]), Audit[[#This Row],[Max Differences]]), 0)</f>
        <v>0</v>
      </c>
      <c r="AT540" s="18">
        <f>'Sampling Data'!AB540</f>
        <v>6.9101988252662E-4</v>
      </c>
      <c r="AU540" s="18">
        <f>IF(
      SUM(Audit[[#This Row],[Audit Losing Candidate]:[Audit Candidate 12]])
      &lt;&gt;0,
      (Audit[[#This Row],[Winning Candidate]]-Audit[[#This Row],[Losing Candidate]]-(Audit[[#This Row],[Audit Winning Candidate]]-Audit[[#This Row],[Audit Losing Candidate]]))/(Audit[[#Totals],[Winning Candidate]]-Audit[[#Totals],[Losing Candidate]]),
      0
)</f>
        <v>0</v>
      </c>
      <c r="AV5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8">
        <f>IF(Audit[[#This Row],[Max Relative Error (ep)]] = 0, 0, Audit[[#This Row],[Max Relative Error (ep)]]/Audit[[#This Row],[Error Bound (up) - Max. possible relative overstatement]])</f>
        <v>0</v>
      </c>
      <c r="BH5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0" s="18">
        <f t="shared" si="9"/>
        <v>1</v>
      </c>
      <c r="BJ540" s="18">
        <f>PRODUCT($BI$5:BI540)</f>
        <v>0.32656797278968008</v>
      </c>
      <c r="BK540" s="20">
        <f>1 - Audit[[#This Row],[K-M P Value]]</f>
        <v>0.67343202721031992</v>
      </c>
      <c r="BL540" s="18" t="str">
        <f>IF(Audit[[#This Row],[K-M P Value]]&gt;1-'General Info'!$B$12,"Continue", "Stop")</f>
        <v>Continue</v>
      </c>
      <c r="BM540" s="23" t="b">
        <f>IF(Audit[[#This Row],[Status - Continue or stop audit]] = "Continue", TRUE, IF(BL539 = "Continue", TRUE, FALSE))</f>
        <v>1</v>
      </c>
      <c r="BN540" s="23"/>
    </row>
    <row r="541" spans="1:66" ht="15" hidden="1" customHeight="1" x14ac:dyDescent="0.35">
      <c r="A541" s="18" t="str">
        <f>'Sampling Data'!AI541</f>
        <v/>
      </c>
      <c r="B541" s="18" t="str">
        <f>'Sampling Data'!A541</f>
        <v>8907 SYCAM G   (AV)</v>
      </c>
      <c r="C541" s="18">
        <f>'Sampling Data'!B541</f>
        <v>11</v>
      </c>
      <c r="D541" s="18">
        <f>'Sampling Data'!C541</f>
        <v>3</v>
      </c>
      <c r="E541" s="19">
        <f>'Sampling Data'!D541</f>
        <v>0</v>
      </c>
      <c r="F541" s="19">
        <f>'Sampling Data'!E541</f>
        <v>0</v>
      </c>
      <c r="G541" s="19">
        <f>'Sampling Data'!F541</f>
        <v>0</v>
      </c>
      <c r="H541" s="19">
        <f>'Sampling Data'!G541</f>
        <v>0</v>
      </c>
      <c r="I541" s="19">
        <f>'Sampling Data'!H541</f>
        <v>0</v>
      </c>
      <c r="J541" s="19">
        <f>'Sampling Data'!I541</f>
        <v>0</v>
      </c>
      <c r="K541" s="19">
        <f>'Sampling Data'!J541</f>
        <v>0</v>
      </c>
      <c r="L541" s="19">
        <f>'Sampling Data'!K541</f>
        <v>0</v>
      </c>
      <c r="M541" s="19">
        <f>'Sampling Data'!L541</f>
        <v>0</v>
      </c>
      <c r="N541" s="19">
        <f>'Sampling Data'!M541</f>
        <v>0</v>
      </c>
      <c r="O541" s="18">
        <f>'Sampling Data'!N541</f>
        <v>0</v>
      </c>
      <c r="P541" s="18">
        <f>'Sampling Data'!O541</f>
        <v>0</v>
      </c>
      <c r="Q541" s="18">
        <f>'Sampling Data'!P541</f>
        <v>14</v>
      </c>
      <c r="R541" s="18">
        <f>'Sampling Data'!AJ541</f>
        <v>0</v>
      </c>
      <c r="S541" s="112"/>
      <c r="T541" s="112"/>
      <c r="U541" s="113"/>
      <c r="V541" s="113"/>
      <c r="W541" s="112"/>
      <c r="X541" s="112"/>
      <c r="Y541" s="112"/>
      <c r="Z541" s="112"/>
      <c r="AA541" s="15"/>
      <c r="AB541" s="15"/>
      <c r="AC541" s="15"/>
      <c r="AD541" s="15"/>
      <c r="AE541" s="114" t="str">
        <f>IF(NOT(ISBLANK(Audit[[#This Row],[Audit Winning Candidate]])), Audit[[#This Row],[Audit Winning Candidate]]-Audit[[#This Row],[Winning Candidate]], "")</f>
        <v/>
      </c>
      <c r="AF541" s="18" t="str">
        <f>IF(NOT(ISBLANK(Audit[[#This Row],[Audit Losing Candidate]])), Audit[[#This Row],[Audit Losing Candidate]]-Audit[[#This Row],[Losing Candidate]], "")</f>
        <v/>
      </c>
      <c r="AG541" s="18" t="str">
        <f>IF(NOT(ISBLANK(Audit[[#This Row],[Audit Candidate 3]])), Audit[[#This Row],[Audit Candidate 3]]-Audit[[#This Row],[Candidate 3]], "")</f>
        <v/>
      </c>
      <c r="AH541" s="18" t="str">
        <f>IF(NOT(ISBLANK(Audit[[#This Row],[Audit Candidate 4]])),Audit[[#This Row],[Audit Candidate 4]]-Audit[[#This Row],[Candidate 4]], "")</f>
        <v/>
      </c>
      <c r="AI541" s="18" t="str">
        <f>IF(NOT(ISBLANK(Audit[[#This Row],[Audit Candidate 5]])), Audit[[#This Row],[Audit Candidate 5]]-Audit[[#This Row],[Candidate 5]], "")</f>
        <v/>
      </c>
      <c r="AJ541" s="18" t="str">
        <f>IF(NOT(ISBLANK(Audit[[#This Row],[Audit Candidate 6]])), Audit[[#This Row],[Audit Candidate 6]]-Audit[[#This Row],[Candidate 6]], "")</f>
        <v/>
      </c>
      <c r="AK541" s="18" t="str">
        <f>IF(NOT(ISBLANK(Audit[[#This Row],[Audit Candidate 7]])), Audit[[#This Row],[Audit Candidate 7]]-Audit[[#This Row],[Candidate 7]], "")</f>
        <v/>
      </c>
      <c r="AL541" s="18" t="str">
        <f>IF(NOT(ISBLANK(Audit[[#This Row],[Audit Candidate 8]])), Audit[[#This Row],[Audit Candidate 8]]-Audit[[#This Row],[Candidate 8]], "")</f>
        <v/>
      </c>
      <c r="AM541" s="18" t="str">
        <f>IF(NOT(ISBLANK(Audit[[#This Row],[Audit Candidate 9]])), Audit[[#This Row],[Audit Candidate 9]]-Audit[[#This Row],[Candidate 9]], "")</f>
        <v/>
      </c>
      <c r="AN541" s="18" t="str">
        <f>IF(NOT(ISBLANK(Audit[[#This Row],[Audit Candidate 10]])), Audit[[#This Row],[Audit Candidate 10]]-Audit[[#This Row],[Candidate 10]], "")</f>
        <v/>
      </c>
      <c r="AO541" s="18" t="str">
        <f>IF(NOT(ISBLANK(Audit[[#This Row],[Audit Candidate 11]])), Audit[[#This Row],[Audit Candidate 11]]-Audit[[#This Row],[Candidate 11]], "")</f>
        <v/>
      </c>
      <c r="AP541" s="18" t="str">
        <f>IF(NOT(ISBLANK(Audit[[#This Row],[Audit Candidate 12]])), Audit[[#This Row],[Audit Candidate 12]]-Audit[[#This Row],[Candidate 12]], "")</f>
        <v/>
      </c>
      <c r="AQ541" s="18">
        <f>SUMIF(Audit[[#This Row],[Difference Winner]:[Difference Candidate 12]], "&gt;0")</f>
        <v>0</v>
      </c>
      <c r="AR541" s="18">
        <f>SUM(Audit[[#This Row],[Difference Winner]:[Difference Candidate 12]])</f>
        <v>0</v>
      </c>
      <c r="AS541" s="18">
        <f>IF(Audit[[#This Row],[Times p Drawn - With Replacement]]&gt;0, IF(Audit[[#This Row],[Canceled Differences]]&lt;0, Audit[[#This Row],[Max Differences]]+ABS(Audit[[#This Row],[Canceled Differences]]), Audit[[#This Row],[Max Differences]]), 0)</f>
        <v>0</v>
      </c>
      <c r="AT541" s="18">
        <f>'Sampling Data'!AB541</f>
        <v>6.9101988252662E-4</v>
      </c>
      <c r="AU541" s="18">
        <f>IF(
      SUM(Audit[[#This Row],[Audit Losing Candidate]:[Audit Candidate 12]])
      &lt;&gt;0,
      (Audit[[#This Row],[Winning Candidate]]-Audit[[#This Row],[Losing Candidate]]-(Audit[[#This Row],[Audit Winning Candidate]]-Audit[[#This Row],[Audit Losing Candidate]]))/(Audit[[#Totals],[Winning Candidate]]-Audit[[#Totals],[Losing Candidate]]),
      0
)</f>
        <v>0</v>
      </c>
      <c r="AV5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8">
        <f>IF(Audit[[#This Row],[Max Relative Error (ep)]] = 0, 0, Audit[[#This Row],[Max Relative Error (ep)]]/Audit[[#This Row],[Error Bound (up) - Max. possible relative overstatement]])</f>
        <v>0</v>
      </c>
      <c r="BH5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1" s="18">
        <f t="shared" si="9"/>
        <v>1</v>
      </c>
      <c r="BJ541" s="18">
        <f>PRODUCT($BI$5:BI541)</f>
        <v>0.32656797278968008</v>
      </c>
      <c r="BK541" s="20">
        <f>1 - Audit[[#This Row],[K-M P Value]]</f>
        <v>0.67343202721031992</v>
      </c>
      <c r="BL541" s="18" t="str">
        <f>IF(Audit[[#This Row],[K-M P Value]]&gt;1-'General Info'!$B$12,"Continue", "Stop")</f>
        <v>Continue</v>
      </c>
      <c r="BM541" s="23" t="b">
        <f>IF(Audit[[#This Row],[Status - Continue or stop audit]] = "Continue", TRUE, IF(BL540 = "Continue", TRUE, FALSE))</f>
        <v>1</v>
      </c>
      <c r="BN541" s="23"/>
    </row>
    <row r="542" spans="1:66" ht="15" hidden="1" customHeight="1" x14ac:dyDescent="0.35">
      <c r="A542" s="18" t="str">
        <f>'Sampling Data'!AI542</f>
        <v/>
      </c>
      <c r="B542" s="18" t="str">
        <f>'Sampling Data'!A542</f>
        <v>8908 SYCAM H   (AV)</v>
      </c>
      <c r="C542" s="18">
        <f>'Sampling Data'!B542</f>
        <v>4</v>
      </c>
      <c r="D542" s="18">
        <f>'Sampling Data'!C542</f>
        <v>0</v>
      </c>
      <c r="E542" s="19">
        <f>'Sampling Data'!D542</f>
        <v>0</v>
      </c>
      <c r="F542" s="19">
        <f>'Sampling Data'!E542</f>
        <v>0</v>
      </c>
      <c r="G542" s="19">
        <f>'Sampling Data'!F542</f>
        <v>0</v>
      </c>
      <c r="H542" s="19">
        <f>'Sampling Data'!G542</f>
        <v>0</v>
      </c>
      <c r="I542" s="19">
        <f>'Sampling Data'!H542</f>
        <v>0</v>
      </c>
      <c r="J542" s="19">
        <f>'Sampling Data'!I542</f>
        <v>0</v>
      </c>
      <c r="K542" s="19">
        <f>'Sampling Data'!J542</f>
        <v>0</v>
      </c>
      <c r="L542" s="19">
        <f>'Sampling Data'!K542</f>
        <v>0</v>
      </c>
      <c r="M542" s="19">
        <f>'Sampling Data'!L542</f>
        <v>0</v>
      </c>
      <c r="N542" s="19">
        <f>'Sampling Data'!M542</f>
        <v>0</v>
      </c>
      <c r="O542" s="18">
        <f>'Sampling Data'!N542</f>
        <v>0</v>
      </c>
      <c r="P542" s="18">
        <f>'Sampling Data'!O542</f>
        <v>0</v>
      </c>
      <c r="Q542" s="18">
        <f>'Sampling Data'!P542</f>
        <v>4</v>
      </c>
      <c r="R542" s="18">
        <f>'Sampling Data'!AJ542</f>
        <v>0</v>
      </c>
      <c r="S542" s="112"/>
      <c r="T542" s="112"/>
      <c r="U542" s="113"/>
      <c r="V542" s="113"/>
      <c r="W542" s="112"/>
      <c r="X542" s="112"/>
      <c r="Y542" s="112"/>
      <c r="Z542" s="112"/>
      <c r="AA542" s="15"/>
      <c r="AB542" s="15"/>
      <c r="AC542" s="15"/>
      <c r="AD542" s="15"/>
      <c r="AE542" s="114" t="str">
        <f>IF(NOT(ISBLANK(Audit[[#This Row],[Audit Winning Candidate]])), Audit[[#This Row],[Audit Winning Candidate]]-Audit[[#This Row],[Winning Candidate]], "")</f>
        <v/>
      </c>
      <c r="AF542" s="18" t="str">
        <f>IF(NOT(ISBLANK(Audit[[#This Row],[Audit Losing Candidate]])), Audit[[#This Row],[Audit Losing Candidate]]-Audit[[#This Row],[Losing Candidate]], "")</f>
        <v/>
      </c>
      <c r="AG542" s="18" t="str">
        <f>IF(NOT(ISBLANK(Audit[[#This Row],[Audit Candidate 3]])), Audit[[#This Row],[Audit Candidate 3]]-Audit[[#This Row],[Candidate 3]], "")</f>
        <v/>
      </c>
      <c r="AH542" s="18" t="str">
        <f>IF(NOT(ISBLANK(Audit[[#This Row],[Audit Candidate 4]])),Audit[[#This Row],[Audit Candidate 4]]-Audit[[#This Row],[Candidate 4]], "")</f>
        <v/>
      </c>
      <c r="AI542" s="18" t="str">
        <f>IF(NOT(ISBLANK(Audit[[#This Row],[Audit Candidate 5]])), Audit[[#This Row],[Audit Candidate 5]]-Audit[[#This Row],[Candidate 5]], "")</f>
        <v/>
      </c>
      <c r="AJ542" s="18" t="str">
        <f>IF(NOT(ISBLANK(Audit[[#This Row],[Audit Candidate 6]])), Audit[[#This Row],[Audit Candidate 6]]-Audit[[#This Row],[Candidate 6]], "")</f>
        <v/>
      </c>
      <c r="AK542" s="18" t="str">
        <f>IF(NOT(ISBLANK(Audit[[#This Row],[Audit Candidate 7]])), Audit[[#This Row],[Audit Candidate 7]]-Audit[[#This Row],[Candidate 7]], "")</f>
        <v/>
      </c>
      <c r="AL542" s="18" t="str">
        <f>IF(NOT(ISBLANK(Audit[[#This Row],[Audit Candidate 8]])), Audit[[#This Row],[Audit Candidate 8]]-Audit[[#This Row],[Candidate 8]], "")</f>
        <v/>
      </c>
      <c r="AM542" s="18" t="str">
        <f>IF(NOT(ISBLANK(Audit[[#This Row],[Audit Candidate 9]])), Audit[[#This Row],[Audit Candidate 9]]-Audit[[#This Row],[Candidate 9]], "")</f>
        <v/>
      </c>
      <c r="AN542" s="18" t="str">
        <f>IF(NOT(ISBLANK(Audit[[#This Row],[Audit Candidate 10]])), Audit[[#This Row],[Audit Candidate 10]]-Audit[[#This Row],[Candidate 10]], "")</f>
        <v/>
      </c>
      <c r="AO542" s="18" t="str">
        <f>IF(NOT(ISBLANK(Audit[[#This Row],[Audit Candidate 11]])), Audit[[#This Row],[Audit Candidate 11]]-Audit[[#This Row],[Candidate 11]], "")</f>
        <v/>
      </c>
      <c r="AP542" s="18" t="str">
        <f>IF(NOT(ISBLANK(Audit[[#This Row],[Audit Candidate 12]])), Audit[[#This Row],[Audit Candidate 12]]-Audit[[#This Row],[Candidate 12]], "")</f>
        <v/>
      </c>
      <c r="AQ542" s="18">
        <f>SUMIF(Audit[[#This Row],[Difference Winner]:[Difference Candidate 12]], "&gt;0")</f>
        <v>0</v>
      </c>
      <c r="AR542" s="18">
        <f>SUM(Audit[[#This Row],[Difference Winner]:[Difference Candidate 12]])</f>
        <v>0</v>
      </c>
      <c r="AS542" s="18">
        <f>IF(Audit[[#This Row],[Times p Drawn - With Replacement]]&gt;0, IF(Audit[[#This Row],[Canceled Differences]]&lt;0, Audit[[#This Row],[Max Differences]]+ABS(Audit[[#This Row],[Canceled Differences]]), Audit[[#This Row],[Max Differences]]), 0)</f>
        <v>0</v>
      </c>
      <c r="AT542" s="18">
        <f>'Sampling Data'!AB542</f>
        <v>2.5127995728240724E-4</v>
      </c>
      <c r="AU542" s="18">
        <f>IF(
      SUM(Audit[[#This Row],[Audit Losing Candidate]:[Audit Candidate 12]])
      &lt;&gt;0,
      (Audit[[#This Row],[Winning Candidate]]-Audit[[#This Row],[Losing Candidate]]-(Audit[[#This Row],[Audit Winning Candidate]]-Audit[[#This Row],[Audit Losing Candidate]]))/(Audit[[#Totals],[Winning Candidate]]-Audit[[#Totals],[Losing Candidate]]),
      0
)</f>
        <v>0</v>
      </c>
      <c r="AV5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8">
        <f>IF(Audit[[#This Row],[Max Relative Error (ep)]] = 0, 0, Audit[[#This Row],[Max Relative Error (ep)]]/Audit[[#This Row],[Error Bound (up) - Max. possible relative overstatement]])</f>
        <v>0</v>
      </c>
      <c r="BH5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2" s="18">
        <f t="shared" si="9"/>
        <v>1</v>
      </c>
      <c r="BJ542" s="18">
        <f>PRODUCT($BI$5:BI542)</f>
        <v>0.32656797278968008</v>
      </c>
      <c r="BK542" s="20">
        <f>1 - Audit[[#This Row],[K-M P Value]]</f>
        <v>0.67343202721031992</v>
      </c>
      <c r="BL542" s="18" t="str">
        <f>IF(Audit[[#This Row],[K-M P Value]]&gt;1-'General Info'!$B$12,"Continue", "Stop")</f>
        <v>Continue</v>
      </c>
      <c r="BM542" s="23" t="b">
        <f>IF(Audit[[#This Row],[Status - Continue or stop audit]] = "Continue", TRUE, IF(BL541 = "Continue", TRUE, FALSE))</f>
        <v>1</v>
      </c>
      <c r="BN542" s="23"/>
    </row>
    <row r="543" spans="1:66" ht="15" hidden="1" customHeight="1" x14ac:dyDescent="0.35">
      <c r="A543" s="18" t="str">
        <f>'Sampling Data'!AI543</f>
        <v/>
      </c>
      <c r="B543" s="18" t="str">
        <f>'Sampling Data'!A543</f>
        <v>8909 SYCAM I   (AV)</v>
      </c>
      <c r="C543" s="18">
        <f>'Sampling Data'!B543</f>
        <v>27</v>
      </c>
      <c r="D543" s="18">
        <f>'Sampling Data'!C543</f>
        <v>1</v>
      </c>
      <c r="E543" s="19">
        <f>'Sampling Data'!D543</f>
        <v>0</v>
      </c>
      <c r="F543" s="19">
        <f>'Sampling Data'!E543</f>
        <v>0</v>
      </c>
      <c r="G543" s="19">
        <f>'Sampling Data'!F543</f>
        <v>0</v>
      </c>
      <c r="H543" s="19">
        <f>'Sampling Data'!G543</f>
        <v>0</v>
      </c>
      <c r="I543" s="19">
        <f>'Sampling Data'!H543</f>
        <v>0</v>
      </c>
      <c r="J543" s="19">
        <f>'Sampling Data'!I543</f>
        <v>0</v>
      </c>
      <c r="K543" s="19">
        <f>'Sampling Data'!J543</f>
        <v>0</v>
      </c>
      <c r="L543" s="19">
        <f>'Sampling Data'!K543</f>
        <v>0</v>
      </c>
      <c r="M543" s="19">
        <f>'Sampling Data'!L543</f>
        <v>0</v>
      </c>
      <c r="N543" s="19">
        <f>'Sampling Data'!M543</f>
        <v>0</v>
      </c>
      <c r="O543" s="18">
        <f>'Sampling Data'!N543</f>
        <v>0</v>
      </c>
      <c r="P543" s="18">
        <f>'Sampling Data'!O543</f>
        <v>0</v>
      </c>
      <c r="Q543" s="18">
        <f>'Sampling Data'!P543</f>
        <v>28</v>
      </c>
      <c r="R543" s="18">
        <f>'Sampling Data'!AJ543</f>
        <v>0</v>
      </c>
      <c r="S543" s="112"/>
      <c r="T543" s="112"/>
      <c r="U543" s="113"/>
      <c r="V543" s="113"/>
      <c r="W543" s="112"/>
      <c r="X543" s="112"/>
      <c r="Y543" s="112"/>
      <c r="Z543" s="112"/>
      <c r="AA543" s="15"/>
      <c r="AB543" s="15"/>
      <c r="AC543" s="15"/>
      <c r="AD543" s="15"/>
      <c r="AE543" s="114" t="str">
        <f>IF(NOT(ISBLANK(Audit[[#This Row],[Audit Winning Candidate]])), Audit[[#This Row],[Audit Winning Candidate]]-Audit[[#This Row],[Winning Candidate]], "")</f>
        <v/>
      </c>
      <c r="AF543" s="18" t="str">
        <f>IF(NOT(ISBLANK(Audit[[#This Row],[Audit Losing Candidate]])), Audit[[#This Row],[Audit Losing Candidate]]-Audit[[#This Row],[Losing Candidate]], "")</f>
        <v/>
      </c>
      <c r="AG543" s="18" t="str">
        <f>IF(NOT(ISBLANK(Audit[[#This Row],[Audit Candidate 3]])), Audit[[#This Row],[Audit Candidate 3]]-Audit[[#This Row],[Candidate 3]], "")</f>
        <v/>
      </c>
      <c r="AH543" s="18" t="str">
        <f>IF(NOT(ISBLANK(Audit[[#This Row],[Audit Candidate 4]])),Audit[[#This Row],[Audit Candidate 4]]-Audit[[#This Row],[Candidate 4]], "")</f>
        <v/>
      </c>
      <c r="AI543" s="18" t="str">
        <f>IF(NOT(ISBLANK(Audit[[#This Row],[Audit Candidate 5]])), Audit[[#This Row],[Audit Candidate 5]]-Audit[[#This Row],[Candidate 5]], "")</f>
        <v/>
      </c>
      <c r="AJ543" s="18" t="str">
        <f>IF(NOT(ISBLANK(Audit[[#This Row],[Audit Candidate 6]])), Audit[[#This Row],[Audit Candidate 6]]-Audit[[#This Row],[Candidate 6]], "")</f>
        <v/>
      </c>
      <c r="AK543" s="18" t="str">
        <f>IF(NOT(ISBLANK(Audit[[#This Row],[Audit Candidate 7]])), Audit[[#This Row],[Audit Candidate 7]]-Audit[[#This Row],[Candidate 7]], "")</f>
        <v/>
      </c>
      <c r="AL543" s="18" t="str">
        <f>IF(NOT(ISBLANK(Audit[[#This Row],[Audit Candidate 8]])), Audit[[#This Row],[Audit Candidate 8]]-Audit[[#This Row],[Candidate 8]], "")</f>
        <v/>
      </c>
      <c r="AM543" s="18" t="str">
        <f>IF(NOT(ISBLANK(Audit[[#This Row],[Audit Candidate 9]])), Audit[[#This Row],[Audit Candidate 9]]-Audit[[#This Row],[Candidate 9]], "")</f>
        <v/>
      </c>
      <c r="AN543" s="18" t="str">
        <f>IF(NOT(ISBLANK(Audit[[#This Row],[Audit Candidate 10]])), Audit[[#This Row],[Audit Candidate 10]]-Audit[[#This Row],[Candidate 10]], "")</f>
        <v/>
      </c>
      <c r="AO543" s="18" t="str">
        <f>IF(NOT(ISBLANK(Audit[[#This Row],[Audit Candidate 11]])), Audit[[#This Row],[Audit Candidate 11]]-Audit[[#This Row],[Candidate 11]], "")</f>
        <v/>
      </c>
      <c r="AP543" s="18" t="str">
        <f>IF(NOT(ISBLANK(Audit[[#This Row],[Audit Candidate 12]])), Audit[[#This Row],[Audit Candidate 12]]-Audit[[#This Row],[Candidate 12]], "")</f>
        <v/>
      </c>
      <c r="AQ543" s="18">
        <f>SUMIF(Audit[[#This Row],[Difference Winner]:[Difference Candidate 12]], "&gt;0")</f>
        <v>0</v>
      </c>
      <c r="AR543" s="18">
        <f>SUM(Audit[[#This Row],[Difference Winner]:[Difference Candidate 12]])</f>
        <v>0</v>
      </c>
      <c r="AS543" s="18">
        <f>IF(Audit[[#This Row],[Times p Drawn - With Replacement]]&gt;0, IF(Audit[[#This Row],[Canceled Differences]]&lt;0, Audit[[#This Row],[Max Differences]]+ABS(Audit[[#This Row],[Canceled Differences]]), Audit[[#This Row],[Max Differences]]), 0)</f>
        <v>0</v>
      </c>
      <c r="AT543" s="18">
        <f>'Sampling Data'!AB543</f>
        <v>1.6961397116562491E-3</v>
      </c>
      <c r="AU543" s="18">
        <f>IF(
      SUM(Audit[[#This Row],[Audit Losing Candidate]:[Audit Candidate 12]])
      &lt;&gt;0,
      (Audit[[#This Row],[Winning Candidate]]-Audit[[#This Row],[Losing Candidate]]-(Audit[[#This Row],[Audit Winning Candidate]]-Audit[[#This Row],[Audit Losing Candidate]]))/(Audit[[#Totals],[Winning Candidate]]-Audit[[#Totals],[Losing Candidate]]),
      0
)</f>
        <v>0</v>
      </c>
      <c r="AV5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8">
        <f>IF(Audit[[#This Row],[Max Relative Error (ep)]] = 0, 0, Audit[[#This Row],[Max Relative Error (ep)]]/Audit[[#This Row],[Error Bound (up) - Max. possible relative overstatement]])</f>
        <v>0</v>
      </c>
      <c r="BH5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3" s="18">
        <f t="shared" si="9"/>
        <v>1</v>
      </c>
      <c r="BJ543" s="18">
        <f>PRODUCT($BI$5:BI543)</f>
        <v>0.32656797278968008</v>
      </c>
      <c r="BK543" s="20">
        <f>1 - Audit[[#This Row],[K-M P Value]]</f>
        <v>0.67343202721031992</v>
      </c>
      <c r="BL543" s="18" t="str">
        <f>IF(Audit[[#This Row],[K-M P Value]]&gt;1-'General Info'!$B$12,"Continue", "Stop")</f>
        <v>Continue</v>
      </c>
      <c r="BM543" s="23" t="b">
        <f>IF(Audit[[#This Row],[Status - Continue or stop audit]] = "Continue", TRUE, IF(BL542 = "Continue", TRUE, FALSE))</f>
        <v>1</v>
      </c>
      <c r="BN543" s="23"/>
    </row>
    <row r="544" spans="1:66" ht="15" hidden="1" customHeight="1" x14ac:dyDescent="0.35">
      <c r="A544" s="18" t="str">
        <f>'Sampling Data'!AI544</f>
        <v/>
      </c>
      <c r="B544" s="18" t="str">
        <f>'Sampling Data'!A544</f>
        <v>8910 SYCAM J   (AV)</v>
      </c>
      <c r="C544" s="18">
        <f>'Sampling Data'!B544</f>
        <v>4</v>
      </c>
      <c r="D544" s="18">
        <f>'Sampling Data'!C544</f>
        <v>2</v>
      </c>
      <c r="E544" s="19">
        <f>'Sampling Data'!D544</f>
        <v>0</v>
      </c>
      <c r="F544" s="19">
        <f>'Sampling Data'!E544</f>
        <v>0</v>
      </c>
      <c r="G544" s="19">
        <f>'Sampling Data'!F544</f>
        <v>0</v>
      </c>
      <c r="H544" s="19">
        <f>'Sampling Data'!G544</f>
        <v>0</v>
      </c>
      <c r="I544" s="19">
        <f>'Sampling Data'!H544</f>
        <v>0</v>
      </c>
      <c r="J544" s="19">
        <f>'Sampling Data'!I544</f>
        <v>0</v>
      </c>
      <c r="K544" s="19">
        <f>'Sampling Data'!J544</f>
        <v>0</v>
      </c>
      <c r="L544" s="19">
        <f>'Sampling Data'!K544</f>
        <v>0</v>
      </c>
      <c r="M544" s="19">
        <f>'Sampling Data'!L544</f>
        <v>0</v>
      </c>
      <c r="N544" s="19">
        <f>'Sampling Data'!M544</f>
        <v>0</v>
      </c>
      <c r="O544" s="18">
        <f>'Sampling Data'!N544</f>
        <v>0</v>
      </c>
      <c r="P544" s="18">
        <f>'Sampling Data'!O544</f>
        <v>0</v>
      </c>
      <c r="Q544" s="18">
        <f>'Sampling Data'!P544</f>
        <v>6</v>
      </c>
      <c r="R544" s="18">
        <f>'Sampling Data'!AJ544</f>
        <v>0</v>
      </c>
      <c r="S544" s="112"/>
      <c r="T544" s="112"/>
      <c r="U544" s="113"/>
      <c r="V544" s="113"/>
      <c r="W544" s="112"/>
      <c r="X544" s="112"/>
      <c r="Y544" s="112"/>
      <c r="Z544" s="112"/>
      <c r="AA544" s="15"/>
      <c r="AB544" s="15"/>
      <c r="AC544" s="15"/>
      <c r="AD544" s="15"/>
      <c r="AE544" s="114" t="str">
        <f>IF(NOT(ISBLANK(Audit[[#This Row],[Audit Winning Candidate]])), Audit[[#This Row],[Audit Winning Candidate]]-Audit[[#This Row],[Winning Candidate]], "")</f>
        <v/>
      </c>
      <c r="AF544" s="18" t="str">
        <f>IF(NOT(ISBLANK(Audit[[#This Row],[Audit Losing Candidate]])), Audit[[#This Row],[Audit Losing Candidate]]-Audit[[#This Row],[Losing Candidate]], "")</f>
        <v/>
      </c>
      <c r="AG544" s="18" t="str">
        <f>IF(NOT(ISBLANK(Audit[[#This Row],[Audit Candidate 3]])), Audit[[#This Row],[Audit Candidate 3]]-Audit[[#This Row],[Candidate 3]], "")</f>
        <v/>
      </c>
      <c r="AH544" s="18" t="str">
        <f>IF(NOT(ISBLANK(Audit[[#This Row],[Audit Candidate 4]])),Audit[[#This Row],[Audit Candidate 4]]-Audit[[#This Row],[Candidate 4]], "")</f>
        <v/>
      </c>
      <c r="AI544" s="18" t="str">
        <f>IF(NOT(ISBLANK(Audit[[#This Row],[Audit Candidate 5]])), Audit[[#This Row],[Audit Candidate 5]]-Audit[[#This Row],[Candidate 5]], "")</f>
        <v/>
      </c>
      <c r="AJ544" s="18" t="str">
        <f>IF(NOT(ISBLANK(Audit[[#This Row],[Audit Candidate 6]])), Audit[[#This Row],[Audit Candidate 6]]-Audit[[#This Row],[Candidate 6]], "")</f>
        <v/>
      </c>
      <c r="AK544" s="18" t="str">
        <f>IF(NOT(ISBLANK(Audit[[#This Row],[Audit Candidate 7]])), Audit[[#This Row],[Audit Candidate 7]]-Audit[[#This Row],[Candidate 7]], "")</f>
        <v/>
      </c>
      <c r="AL544" s="18" t="str">
        <f>IF(NOT(ISBLANK(Audit[[#This Row],[Audit Candidate 8]])), Audit[[#This Row],[Audit Candidate 8]]-Audit[[#This Row],[Candidate 8]], "")</f>
        <v/>
      </c>
      <c r="AM544" s="18" t="str">
        <f>IF(NOT(ISBLANK(Audit[[#This Row],[Audit Candidate 9]])), Audit[[#This Row],[Audit Candidate 9]]-Audit[[#This Row],[Candidate 9]], "")</f>
        <v/>
      </c>
      <c r="AN544" s="18" t="str">
        <f>IF(NOT(ISBLANK(Audit[[#This Row],[Audit Candidate 10]])), Audit[[#This Row],[Audit Candidate 10]]-Audit[[#This Row],[Candidate 10]], "")</f>
        <v/>
      </c>
      <c r="AO544" s="18" t="str">
        <f>IF(NOT(ISBLANK(Audit[[#This Row],[Audit Candidate 11]])), Audit[[#This Row],[Audit Candidate 11]]-Audit[[#This Row],[Candidate 11]], "")</f>
        <v/>
      </c>
      <c r="AP544" s="18" t="str">
        <f>IF(NOT(ISBLANK(Audit[[#This Row],[Audit Candidate 12]])), Audit[[#This Row],[Audit Candidate 12]]-Audit[[#This Row],[Candidate 12]], "")</f>
        <v/>
      </c>
      <c r="AQ544" s="18">
        <f>SUMIF(Audit[[#This Row],[Difference Winner]:[Difference Candidate 12]], "&gt;0")</f>
        <v>0</v>
      </c>
      <c r="AR544" s="18">
        <f>SUM(Audit[[#This Row],[Difference Winner]:[Difference Candidate 12]])</f>
        <v>0</v>
      </c>
      <c r="AS544" s="18">
        <f>IF(Audit[[#This Row],[Times p Drawn - With Replacement]]&gt;0, IF(Audit[[#This Row],[Canceled Differences]]&lt;0, Audit[[#This Row],[Max Differences]]+ABS(Audit[[#This Row],[Canceled Differences]]), Audit[[#This Row],[Max Differences]]), 0)</f>
        <v>0</v>
      </c>
      <c r="AT544" s="18">
        <f>'Sampling Data'!AB544</f>
        <v>2.5127995728240724E-4</v>
      </c>
      <c r="AU544" s="18">
        <f>IF(
      SUM(Audit[[#This Row],[Audit Losing Candidate]:[Audit Candidate 12]])
      &lt;&gt;0,
      (Audit[[#This Row],[Winning Candidate]]-Audit[[#This Row],[Losing Candidate]]-(Audit[[#This Row],[Audit Winning Candidate]]-Audit[[#This Row],[Audit Losing Candidate]]))/(Audit[[#Totals],[Winning Candidate]]-Audit[[#Totals],[Losing Candidate]]),
      0
)</f>
        <v>0</v>
      </c>
      <c r="AV5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8">
        <f>IF(Audit[[#This Row],[Max Relative Error (ep)]] = 0, 0, Audit[[#This Row],[Max Relative Error (ep)]]/Audit[[#This Row],[Error Bound (up) - Max. possible relative overstatement]])</f>
        <v>0</v>
      </c>
      <c r="BH5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4" s="18">
        <f t="shared" si="9"/>
        <v>1</v>
      </c>
      <c r="BJ544" s="18">
        <f>PRODUCT($BI$5:BI544)</f>
        <v>0.32656797278968008</v>
      </c>
      <c r="BK544" s="20">
        <f>1 - Audit[[#This Row],[K-M P Value]]</f>
        <v>0.67343202721031992</v>
      </c>
      <c r="BL544" s="18" t="str">
        <f>IF(Audit[[#This Row],[K-M P Value]]&gt;1-'General Info'!$B$12,"Continue", "Stop")</f>
        <v>Continue</v>
      </c>
      <c r="BM544" s="23" t="b">
        <f>IF(Audit[[#This Row],[Status - Continue or stop audit]] = "Continue", TRUE, IF(BL543 = "Continue", TRUE, FALSE))</f>
        <v>1</v>
      </c>
      <c r="BN544" s="23"/>
    </row>
    <row r="545" spans="1:66" ht="15" hidden="1" customHeight="1" x14ac:dyDescent="0.35">
      <c r="A545" s="18" t="str">
        <f>'Sampling Data'!AI545</f>
        <v/>
      </c>
      <c r="B545" s="18" t="str">
        <f>'Sampling Data'!A545</f>
        <v>8911 SYCAM K   (AV)</v>
      </c>
      <c r="C545" s="18">
        <f>'Sampling Data'!B545</f>
        <v>14</v>
      </c>
      <c r="D545" s="18">
        <f>'Sampling Data'!C545</f>
        <v>4</v>
      </c>
      <c r="E545" s="19">
        <f>'Sampling Data'!D545</f>
        <v>0</v>
      </c>
      <c r="F545" s="19">
        <f>'Sampling Data'!E545</f>
        <v>0</v>
      </c>
      <c r="G545" s="19">
        <f>'Sampling Data'!F545</f>
        <v>0</v>
      </c>
      <c r="H545" s="19">
        <f>'Sampling Data'!G545</f>
        <v>0</v>
      </c>
      <c r="I545" s="19">
        <f>'Sampling Data'!H545</f>
        <v>0</v>
      </c>
      <c r="J545" s="19">
        <f>'Sampling Data'!I545</f>
        <v>0</v>
      </c>
      <c r="K545" s="19">
        <f>'Sampling Data'!J545</f>
        <v>0</v>
      </c>
      <c r="L545" s="19">
        <f>'Sampling Data'!K545</f>
        <v>0</v>
      </c>
      <c r="M545" s="19">
        <f>'Sampling Data'!L545</f>
        <v>0</v>
      </c>
      <c r="N545" s="19">
        <f>'Sampling Data'!M545</f>
        <v>0</v>
      </c>
      <c r="O545" s="18">
        <f>'Sampling Data'!N545</f>
        <v>0</v>
      </c>
      <c r="P545" s="18">
        <f>'Sampling Data'!O545</f>
        <v>1</v>
      </c>
      <c r="Q545" s="18">
        <f>'Sampling Data'!P545</f>
        <v>19</v>
      </c>
      <c r="R545" s="18">
        <f>'Sampling Data'!AJ545</f>
        <v>0</v>
      </c>
      <c r="S545" s="112"/>
      <c r="T545" s="112"/>
      <c r="U545" s="113"/>
      <c r="V545" s="113"/>
      <c r="W545" s="112"/>
      <c r="X545" s="112"/>
      <c r="Y545" s="112"/>
      <c r="Z545" s="112"/>
      <c r="AA545" s="15"/>
      <c r="AB545" s="15"/>
      <c r="AC545" s="15"/>
      <c r="AD545" s="15"/>
      <c r="AE545" s="114" t="str">
        <f>IF(NOT(ISBLANK(Audit[[#This Row],[Audit Winning Candidate]])), Audit[[#This Row],[Audit Winning Candidate]]-Audit[[#This Row],[Winning Candidate]], "")</f>
        <v/>
      </c>
      <c r="AF545" s="18" t="str">
        <f>IF(NOT(ISBLANK(Audit[[#This Row],[Audit Losing Candidate]])), Audit[[#This Row],[Audit Losing Candidate]]-Audit[[#This Row],[Losing Candidate]], "")</f>
        <v/>
      </c>
      <c r="AG545" s="18" t="str">
        <f>IF(NOT(ISBLANK(Audit[[#This Row],[Audit Candidate 3]])), Audit[[#This Row],[Audit Candidate 3]]-Audit[[#This Row],[Candidate 3]], "")</f>
        <v/>
      </c>
      <c r="AH545" s="18" t="str">
        <f>IF(NOT(ISBLANK(Audit[[#This Row],[Audit Candidate 4]])),Audit[[#This Row],[Audit Candidate 4]]-Audit[[#This Row],[Candidate 4]], "")</f>
        <v/>
      </c>
      <c r="AI545" s="18" t="str">
        <f>IF(NOT(ISBLANK(Audit[[#This Row],[Audit Candidate 5]])), Audit[[#This Row],[Audit Candidate 5]]-Audit[[#This Row],[Candidate 5]], "")</f>
        <v/>
      </c>
      <c r="AJ545" s="18" t="str">
        <f>IF(NOT(ISBLANK(Audit[[#This Row],[Audit Candidate 6]])), Audit[[#This Row],[Audit Candidate 6]]-Audit[[#This Row],[Candidate 6]], "")</f>
        <v/>
      </c>
      <c r="AK545" s="18" t="str">
        <f>IF(NOT(ISBLANK(Audit[[#This Row],[Audit Candidate 7]])), Audit[[#This Row],[Audit Candidate 7]]-Audit[[#This Row],[Candidate 7]], "")</f>
        <v/>
      </c>
      <c r="AL545" s="18" t="str">
        <f>IF(NOT(ISBLANK(Audit[[#This Row],[Audit Candidate 8]])), Audit[[#This Row],[Audit Candidate 8]]-Audit[[#This Row],[Candidate 8]], "")</f>
        <v/>
      </c>
      <c r="AM545" s="18" t="str">
        <f>IF(NOT(ISBLANK(Audit[[#This Row],[Audit Candidate 9]])), Audit[[#This Row],[Audit Candidate 9]]-Audit[[#This Row],[Candidate 9]], "")</f>
        <v/>
      </c>
      <c r="AN545" s="18" t="str">
        <f>IF(NOT(ISBLANK(Audit[[#This Row],[Audit Candidate 10]])), Audit[[#This Row],[Audit Candidate 10]]-Audit[[#This Row],[Candidate 10]], "")</f>
        <v/>
      </c>
      <c r="AO545" s="18" t="str">
        <f>IF(NOT(ISBLANK(Audit[[#This Row],[Audit Candidate 11]])), Audit[[#This Row],[Audit Candidate 11]]-Audit[[#This Row],[Candidate 11]], "")</f>
        <v/>
      </c>
      <c r="AP545" s="18" t="str">
        <f>IF(NOT(ISBLANK(Audit[[#This Row],[Audit Candidate 12]])), Audit[[#This Row],[Audit Candidate 12]]-Audit[[#This Row],[Candidate 12]], "")</f>
        <v/>
      </c>
      <c r="AQ545" s="18">
        <f>SUMIF(Audit[[#This Row],[Difference Winner]:[Difference Candidate 12]], "&gt;0")</f>
        <v>0</v>
      </c>
      <c r="AR545" s="18">
        <f>SUM(Audit[[#This Row],[Difference Winner]:[Difference Candidate 12]])</f>
        <v>0</v>
      </c>
      <c r="AS545" s="18">
        <f>IF(Audit[[#This Row],[Times p Drawn - With Replacement]]&gt;0, IF(Audit[[#This Row],[Canceled Differences]]&lt;0, Audit[[#This Row],[Max Differences]]+ABS(Audit[[#This Row],[Canceled Differences]]), Audit[[#This Row],[Max Differences]]), 0)</f>
        <v>0</v>
      </c>
      <c r="AT545" s="18">
        <f>'Sampling Data'!AB545</f>
        <v>9.108898451487263E-4</v>
      </c>
      <c r="AU545" s="18">
        <f>IF(
      SUM(Audit[[#This Row],[Audit Losing Candidate]:[Audit Candidate 12]])
      &lt;&gt;0,
      (Audit[[#This Row],[Winning Candidate]]-Audit[[#This Row],[Losing Candidate]]-(Audit[[#This Row],[Audit Winning Candidate]]-Audit[[#This Row],[Audit Losing Candidate]]))/(Audit[[#Totals],[Winning Candidate]]-Audit[[#Totals],[Losing Candidate]]),
      0
)</f>
        <v>0</v>
      </c>
      <c r="AV5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8">
        <f>IF(Audit[[#This Row],[Max Relative Error (ep)]] = 0, 0, Audit[[#This Row],[Max Relative Error (ep)]]/Audit[[#This Row],[Error Bound (up) - Max. possible relative overstatement]])</f>
        <v>0</v>
      </c>
      <c r="BH5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5" s="18">
        <f t="shared" si="9"/>
        <v>1</v>
      </c>
      <c r="BJ545" s="18">
        <f>PRODUCT($BI$5:BI545)</f>
        <v>0.32656797278968008</v>
      </c>
      <c r="BK545" s="20">
        <f>1 - Audit[[#This Row],[K-M P Value]]</f>
        <v>0.67343202721031992</v>
      </c>
      <c r="BL545" s="18" t="str">
        <f>IF(Audit[[#This Row],[K-M P Value]]&gt;1-'General Info'!$B$12,"Continue", "Stop")</f>
        <v>Continue</v>
      </c>
      <c r="BM545" s="23" t="b">
        <f>IF(Audit[[#This Row],[Status - Continue or stop audit]] = "Continue", TRUE, IF(BL544 = "Continue", TRUE, FALSE))</f>
        <v>1</v>
      </c>
      <c r="BN545" s="23"/>
    </row>
    <row r="546" spans="1:66" ht="15" hidden="1" customHeight="1" x14ac:dyDescent="0.35">
      <c r="A546" s="18" t="str">
        <f>'Sampling Data'!AI546</f>
        <v/>
      </c>
      <c r="B546" s="18" t="str">
        <f>'Sampling Data'!A546</f>
        <v>8912 SYCAM L   (AV)</v>
      </c>
      <c r="C546" s="18">
        <f>'Sampling Data'!B546</f>
        <v>15</v>
      </c>
      <c r="D546" s="18">
        <f>'Sampling Data'!C546</f>
        <v>0</v>
      </c>
      <c r="E546" s="19">
        <f>'Sampling Data'!D546</f>
        <v>0</v>
      </c>
      <c r="F546" s="19">
        <f>'Sampling Data'!E546</f>
        <v>0</v>
      </c>
      <c r="G546" s="19">
        <f>'Sampling Data'!F546</f>
        <v>0</v>
      </c>
      <c r="H546" s="19">
        <f>'Sampling Data'!G546</f>
        <v>0</v>
      </c>
      <c r="I546" s="19">
        <f>'Sampling Data'!H546</f>
        <v>0</v>
      </c>
      <c r="J546" s="19">
        <f>'Sampling Data'!I546</f>
        <v>0</v>
      </c>
      <c r="K546" s="19">
        <f>'Sampling Data'!J546</f>
        <v>0</v>
      </c>
      <c r="L546" s="19">
        <f>'Sampling Data'!K546</f>
        <v>0</v>
      </c>
      <c r="M546" s="19">
        <f>'Sampling Data'!L546</f>
        <v>0</v>
      </c>
      <c r="N546" s="19">
        <f>'Sampling Data'!M546</f>
        <v>0</v>
      </c>
      <c r="O546" s="18">
        <f>'Sampling Data'!N546</f>
        <v>0</v>
      </c>
      <c r="P546" s="18">
        <f>'Sampling Data'!O546</f>
        <v>0</v>
      </c>
      <c r="Q546" s="18">
        <f>'Sampling Data'!P546</f>
        <v>15</v>
      </c>
      <c r="R546" s="18">
        <f>'Sampling Data'!AJ546</f>
        <v>0</v>
      </c>
      <c r="S546" s="112"/>
      <c r="T546" s="112"/>
      <c r="U546" s="113"/>
      <c r="V546" s="113"/>
      <c r="W546" s="112"/>
      <c r="X546" s="112"/>
      <c r="Y546" s="112"/>
      <c r="Z546" s="112"/>
      <c r="AA546" s="15"/>
      <c r="AB546" s="15"/>
      <c r="AC546" s="15"/>
      <c r="AD546" s="15"/>
      <c r="AE546" s="114" t="str">
        <f>IF(NOT(ISBLANK(Audit[[#This Row],[Audit Winning Candidate]])), Audit[[#This Row],[Audit Winning Candidate]]-Audit[[#This Row],[Winning Candidate]], "")</f>
        <v/>
      </c>
      <c r="AF546" s="18" t="str">
        <f>IF(NOT(ISBLANK(Audit[[#This Row],[Audit Losing Candidate]])), Audit[[#This Row],[Audit Losing Candidate]]-Audit[[#This Row],[Losing Candidate]], "")</f>
        <v/>
      </c>
      <c r="AG546" s="18" t="str">
        <f>IF(NOT(ISBLANK(Audit[[#This Row],[Audit Candidate 3]])), Audit[[#This Row],[Audit Candidate 3]]-Audit[[#This Row],[Candidate 3]], "")</f>
        <v/>
      </c>
      <c r="AH546" s="18" t="str">
        <f>IF(NOT(ISBLANK(Audit[[#This Row],[Audit Candidate 4]])),Audit[[#This Row],[Audit Candidate 4]]-Audit[[#This Row],[Candidate 4]], "")</f>
        <v/>
      </c>
      <c r="AI546" s="18" t="str">
        <f>IF(NOT(ISBLANK(Audit[[#This Row],[Audit Candidate 5]])), Audit[[#This Row],[Audit Candidate 5]]-Audit[[#This Row],[Candidate 5]], "")</f>
        <v/>
      </c>
      <c r="AJ546" s="18" t="str">
        <f>IF(NOT(ISBLANK(Audit[[#This Row],[Audit Candidate 6]])), Audit[[#This Row],[Audit Candidate 6]]-Audit[[#This Row],[Candidate 6]], "")</f>
        <v/>
      </c>
      <c r="AK546" s="18" t="str">
        <f>IF(NOT(ISBLANK(Audit[[#This Row],[Audit Candidate 7]])), Audit[[#This Row],[Audit Candidate 7]]-Audit[[#This Row],[Candidate 7]], "")</f>
        <v/>
      </c>
      <c r="AL546" s="18" t="str">
        <f>IF(NOT(ISBLANK(Audit[[#This Row],[Audit Candidate 8]])), Audit[[#This Row],[Audit Candidate 8]]-Audit[[#This Row],[Candidate 8]], "")</f>
        <v/>
      </c>
      <c r="AM546" s="18" t="str">
        <f>IF(NOT(ISBLANK(Audit[[#This Row],[Audit Candidate 9]])), Audit[[#This Row],[Audit Candidate 9]]-Audit[[#This Row],[Candidate 9]], "")</f>
        <v/>
      </c>
      <c r="AN546" s="18" t="str">
        <f>IF(NOT(ISBLANK(Audit[[#This Row],[Audit Candidate 10]])), Audit[[#This Row],[Audit Candidate 10]]-Audit[[#This Row],[Candidate 10]], "")</f>
        <v/>
      </c>
      <c r="AO546" s="18" t="str">
        <f>IF(NOT(ISBLANK(Audit[[#This Row],[Audit Candidate 11]])), Audit[[#This Row],[Audit Candidate 11]]-Audit[[#This Row],[Candidate 11]], "")</f>
        <v/>
      </c>
      <c r="AP546" s="18" t="str">
        <f>IF(NOT(ISBLANK(Audit[[#This Row],[Audit Candidate 12]])), Audit[[#This Row],[Audit Candidate 12]]-Audit[[#This Row],[Candidate 12]], "")</f>
        <v/>
      </c>
      <c r="AQ546" s="18">
        <f>SUMIF(Audit[[#This Row],[Difference Winner]:[Difference Candidate 12]], "&gt;0")</f>
        <v>0</v>
      </c>
      <c r="AR546" s="18">
        <f>SUM(Audit[[#This Row],[Difference Winner]:[Difference Candidate 12]])</f>
        <v>0</v>
      </c>
      <c r="AS546" s="18">
        <f>IF(Audit[[#This Row],[Times p Drawn - With Replacement]]&gt;0, IF(Audit[[#This Row],[Canceled Differences]]&lt;0, Audit[[#This Row],[Max Differences]]+ABS(Audit[[#This Row],[Canceled Differences]]), Audit[[#This Row],[Max Differences]]), 0)</f>
        <v>0</v>
      </c>
      <c r="AT546" s="18">
        <f>'Sampling Data'!AB546</f>
        <v>9.4229983980902718E-4</v>
      </c>
      <c r="AU546" s="18">
        <f>IF(
      SUM(Audit[[#This Row],[Audit Losing Candidate]:[Audit Candidate 12]])
      &lt;&gt;0,
      (Audit[[#This Row],[Winning Candidate]]-Audit[[#This Row],[Losing Candidate]]-(Audit[[#This Row],[Audit Winning Candidate]]-Audit[[#This Row],[Audit Losing Candidate]]))/(Audit[[#Totals],[Winning Candidate]]-Audit[[#Totals],[Losing Candidate]]),
      0
)</f>
        <v>0</v>
      </c>
      <c r="AV5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8">
        <f>IF(Audit[[#This Row],[Max Relative Error (ep)]] = 0, 0, Audit[[#This Row],[Max Relative Error (ep)]]/Audit[[#This Row],[Error Bound (up) - Max. possible relative overstatement]])</f>
        <v>0</v>
      </c>
      <c r="BH5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6" s="18">
        <f t="shared" si="9"/>
        <v>1</v>
      </c>
      <c r="BJ546" s="18">
        <f>PRODUCT($BI$5:BI546)</f>
        <v>0.32656797278968008</v>
      </c>
      <c r="BK546" s="20">
        <f>1 - Audit[[#This Row],[K-M P Value]]</f>
        <v>0.67343202721031992</v>
      </c>
      <c r="BL546" s="18" t="str">
        <f>IF(Audit[[#This Row],[K-M P Value]]&gt;1-'General Info'!$B$12,"Continue", "Stop")</f>
        <v>Continue</v>
      </c>
      <c r="BM546" s="23" t="b">
        <f>IF(Audit[[#This Row],[Status - Continue or stop audit]] = "Continue", TRUE, IF(BL545 = "Continue", TRUE, FALSE))</f>
        <v>1</v>
      </c>
      <c r="BN546" s="23"/>
    </row>
    <row r="547" spans="1:66" ht="15" hidden="1" customHeight="1" x14ac:dyDescent="0.35">
      <c r="A547" s="18" t="str">
        <f>'Sampling Data'!AI547</f>
        <v/>
      </c>
      <c r="B547" s="18" t="str">
        <f>'Sampling Data'!A547</f>
        <v>8913 SYCAM M   (AV)</v>
      </c>
      <c r="C547" s="18">
        <f>'Sampling Data'!B547</f>
        <v>7</v>
      </c>
      <c r="D547" s="18">
        <f>'Sampling Data'!C547</f>
        <v>4</v>
      </c>
      <c r="E547" s="19">
        <f>'Sampling Data'!D547</f>
        <v>0</v>
      </c>
      <c r="F547" s="19">
        <f>'Sampling Data'!E547</f>
        <v>0</v>
      </c>
      <c r="G547" s="19">
        <f>'Sampling Data'!F547</f>
        <v>0</v>
      </c>
      <c r="H547" s="19">
        <f>'Sampling Data'!G547</f>
        <v>0</v>
      </c>
      <c r="I547" s="19">
        <f>'Sampling Data'!H547</f>
        <v>0</v>
      </c>
      <c r="J547" s="19">
        <f>'Sampling Data'!I547</f>
        <v>0</v>
      </c>
      <c r="K547" s="19">
        <f>'Sampling Data'!J547</f>
        <v>0</v>
      </c>
      <c r="L547" s="19">
        <f>'Sampling Data'!K547</f>
        <v>0</v>
      </c>
      <c r="M547" s="19">
        <f>'Sampling Data'!L547</f>
        <v>0</v>
      </c>
      <c r="N547" s="19">
        <f>'Sampling Data'!M547</f>
        <v>0</v>
      </c>
      <c r="O547" s="18">
        <f>'Sampling Data'!N547</f>
        <v>0</v>
      </c>
      <c r="P547" s="18">
        <f>'Sampling Data'!O547</f>
        <v>2</v>
      </c>
      <c r="Q547" s="18">
        <f>'Sampling Data'!P547</f>
        <v>13</v>
      </c>
      <c r="R547" s="18">
        <f>'Sampling Data'!AJ547</f>
        <v>0</v>
      </c>
      <c r="S547" s="112"/>
      <c r="T547" s="112"/>
      <c r="U547" s="113"/>
      <c r="V547" s="113"/>
      <c r="W547" s="112"/>
      <c r="X547" s="112"/>
      <c r="Y547" s="112"/>
      <c r="Z547" s="112"/>
      <c r="AA547" s="15"/>
      <c r="AB547" s="15"/>
      <c r="AC547" s="15"/>
      <c r="AD547" s="15"/>
      <c r="AE547" s="114" t="str">
        <f>IF(NOT(ISBLANK(Audit[[#This Row],[Audit Winning Candidate]])), Audit[[#This Row],[Audit Winning Candidate]]-Audit[[#This Row],[Winning Candidate]], "")</f>
        <v/>
      </c>
      <c r="AF547" s="18" t="str">
        <f>IF(NOT(ISBLANK(Audit[[#This Row],[Audit Losing Candidate]])), Audit[[#This Row],[Audit Losing Candidate]]-Audit[[#This Row],[Losing Candidate]], "")</f>
        <v/>
      </c>
      <c r="AG547" s="18" t="str">
        <f>IF(NOT(ISBLANK(Audit[[#This Row],[Audit Candidate 3]])), Audit[[#This Row],[Audit Candidate 3]]-Audit[[#This Row],[Candidate 3]], "")</f>
        <v/>
      </c>
      <c r="AH547" s="18" t="str">
        <f>IF(NOT(ISBLANK(Audit[[#This Row],[Audit Candidate 4]])),Audit[[#This Row],[Audit Candidate 4]]-Audit[[#This Row],[Candidate 4]], "")</f>
        <v/>
      </c>
      <c r="AI547" s="18" t="str">
        <f>IF(NOT(ISBLANK(Audit[[#This Row],[Audit Candidate 5]])), Audit[[#This Row],[Audit Candidate 5]]-Audit[[#This Row],[Candidate 5]], "")</f>
        <v/>
      </c>
      <c r="AJ547" s="18" t="str">
        <f>IF(NOT(ISBLANK(Audit[[#This Row],[Audit Candidate 6]])), Audit[[#This Row],[Audit Candidate 6]]-Audit[[#This Row],[Candidate 6]], "")</f>
        <v/>
      </c>
      <c r="AK547" s="18" t="str">
        <f>IF(NOT(ISBLANK(Audit[[#This Row],[Audit Candidate 7]])), Audit[[#This Row],[Audit Candidate 7]]-Audit[[#This Row],[Candidate 7]], "")</f>
        <v/>
      </c>
      <c r="AL547" s="18" t="str">
        <f>IF(NOT(ISBLANK(Audit[[#This Row],[Audit Candidate 8]])), Audit[[#This Row],[Audit Candidate 8]]-Audit[[#This Row],[Candidate 8]], "")</f>
        <v/>
      </c>
      <c r="AM547" s="18" t="str">
        <f>IF(NOT(ISBLANK(Audit[[#This Row],[Audit Candidate 9]])), Audit[[#This Row],[Audit Candidate 9]]-Audit[[#This Row],[Candidate 9]], "")</f>
        <v/>
      </c>
      <c r="AN547" s="18" t="str">
        <f>IF(NOT(ISBLANK(Audit[[#This Row],[Audit Candidate 10]])), Audit[[#This Row],[Audit Candidate 10]]-Audit[[#This Row],[Candidate 10]], "")</f>
        <v/>
      </c>
      <c r="AO547" s="18" t="str">
        <f>IF(NOT(ISBLANK(Audit[[#This Row],[Audit Candidate 11]])), Audit[[#This Row],[Audit Candidate 11]]-Audit[[#This Row],[Candidate 11]], "")</f>
        <v/>
      </c>
      <c r="AP547" s="18" t="str">
        <f>IF(NOT(ISBLANK(Audit[[#This Row],[Audit Candidate 12]])), Audit[[#This Row],[Audit Candidate 12]]-Audit[[#This Row],[Candidate 12]], "")</f>
        <v/>
      </c>
      <c r="AQ547" s="18">
        <f>SUMIF(Audit[[#This Row],[Difference Winner]:[Difference Candidate 12]], "&gt;0")</f>
        <v>0</v>
      </c>
      <c r="AR547" s="18">
        <f>SUM(Audit[[#This Row],[Difference Winner]:[Difference Candidate 12]])</f>
        <v>0</v>
      </c>
      <c r="AS547" s="18">
        <f>IF(Audit[[#This Row],[Times p Drawn - With Replacement]]&gt;0, IF(Audit[[#This Row],[Canceled Differences]]&lt;0, Audit[[#This Row],[Max Differences]]+ABS(Audit[[#This Row],[Canceled Differences]]), Audit[[#This Row],[Max Differences]]), 0)</f>
        <v>0</v>
      </c>
      <c r="AT547" s="18">
        <f>'Sampling Data'!AB547</f>
        <v>5.0255991456481448E-4</v>
      </c>
      <c r="AU547" s="18">
        <f>IF(
      SUM(Audit[[#This Row],[Audit Losing Candidate]:[Audit Candidate 12]])
      &lt;&gt;0,
      (Audit[[#This Row],[Winning Candidate]]-Audit[[#This Row],[Losing Candidate]]-(Audit[[#This Row],[Audit Winning Candidate]]-Audit[[#This Row],[Audit Losing Candidate]]))/(Audit[[#Totals],[Winning Candidate]]-Audit[[#Totals],[Losing Candidate]]),
      0
)</f>
        <v>0</v>
      </c>
      <c r="AV5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8">
        <f>IF(Audit[[#This Row],[Max Relative Error (ep)]] = 0, 0, Audit[[#This Row],[Max Relative Error (ep)]]/Audit[[#This Row],[Error Bound (up) - Max. possible relative overstatement]])</f>
        <v>0</v>
      </c>
      <c r="BH5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7" s="18">
        <f t="shared" si="9"/>
        <v>1</v>
      </c>
      <c r="BJ547" s="18">
        <f>PRODUCT($BI$5:BI547)</f>
        <v>0.32656797278968008</v>
      </c>
      <c r="BK547" s="20">
        <f>1 - Audit[[#This Row],[K-M P Value]]</f>
        <v>0.67343202721031992</v>
      </c>
      <c r="BL547" s="18" t="str">
        <f>IF(Audit[[#This Row],[K-M P Value]]&gt;1-'General Info'!$B$12,"Continue", "Stop")</f>
        <v>Continue</v>
      </c>
      <c r="BM547" s="23" t="b">
        <f>IF(Audit[[#This Row],[Status - Continue or stop audit]] = "Continue", TRUE, IF(BL546 = "Continue", TRUE, FALSE))</f>
        <v>1</v>
      </c>
      <c r="BN547" s="23"/>
    </row>
    <row r="548" spans="1:66" ht="15" hidden="1" customHeight="1" x14ac:dyDescent="0.35">
      <c r="A548" s="18" t="str">
        <f>'Sampling Data'!AI548</f>
        <v/>
      </c>
      <c r="B548" s="18" t="str">
        <f>'Sampling Data'!A548</f>
        <v>8914 SYCAM N   (AV)</v>
      </c>
      <c r="C548" s="18">
        <f>'Sampling Data'!B548</f>
        <v>13</v>
      </c>
      <c r="D548" s="18">
        <f>'Sampling Data'!C548</f>
        <v>1</v>
      </c>
      <c r="E548" s="19">
        <f>'Sampling Data'!D548</f>
        <v>0</v>
      </c>
      <c r="F548" s="19">
        <f>'Sampling Data'!E548</f>
        <v>0</v>
      </c>
      <c r="G548" s="19">
        <f>'Sampling Data'!F548</f>
        <v>0</v>
      </c>
      <c r="H548" s="19">
        <f>'Sampling Data'!G548</f>
        <v>0</v>
      </c>
      <c r="I548" s="19">
        <f>'Sampling Data'!H548</f>
        <v>0</v>
      </c>
      <c r="J548" s="19">
        <f>'Sampling Data'!I548</f>
        <v>0</v>
      </c>
      <c r="K548" s="19">
        <f>'Sampling Data'!J548</f>
        <v>0</v>
      </c>
      <c r="L548" s="19">
        <f>'Sampling Data'!K548</f>
        <v>0</v>
      </c>
      <c r="M548" s="19">
        <f>'Sampling Data'!L548</f>
        <v>0</v>
      </c>
      <c r="N548" s="19">
        <f>'Sampling Data'!M548</f>
        <v>0</v>
      </c>
      <c r="O548" s="18">
        <f>'Sampling Data'!N548</f>
        <v>0</v>
      </c>
      <c r="P548" s="18">
        <f>'Sampling Data'!O548</f>
        <v>0</v>
      </c>
      <c r="Q548" s="18">
        <f>'Sampling Data'!P548</f>
        <v>14</v>
      </c>
      <c r="R548" s="18">
        <f>'Sampling Data'!AJ548</f>
        <v>0</v>
      </c>
      <c r="S548" s="112"/>
      <c r="T548" s="112"/>
      <c r="U548" s="113"/>
      <c r="V548" s="113"/>
      <c r="W548" s="112"/>
      <c r="X548" s="112"/>
      <c r="Y548" s="112"/>
      <c r="Z548" s="112"/>
      <c r="AA548" s="15"/>
      <c r="AB548" s="15"/>
      <c r="AC548" s="15"/>
      <c r="AD548" s="15"/>
      <c r="AE548" s="114" t="str">
        <f>IF(NOT(ISBLANK(Audit[[#This Row],[Audit Winning Candidate]])), Audit[[#This Row],[Audit Winning Candidate]]-Audit[[#This Row],[Winning Candidate]], "")</f>
        <v/>
      </c>
      <c r="AF548" s="18" t="str">
        <f>IF(NOT(ISBLANK(Audit[[#This Row],[Audit Losing Candidate]])), Audit[[#This Row],[Audit Losing Candidate]]-Audit[[#This Row],[Losing Candidate]], "")</f>
        <v/>
      </c>
      <c r="AG548" s="18" t="str">
        <f>IF(NOT(ISBLANK(Audit[[#This Row],[Audit Candidate 3]])), Audit[[#This Row],[Audit Candidate 3]]-Audit[[#This Row],[Candidate 3]], "")</f>
        <v/>
      </c>
      <c r="AH548" s="18" t="str">
        <f>IF(NOT(ISBLANK(Audit[[#This Row],[Audit Candidate 4]])),Audit[[#This Row],[Audit Candidate 4]]-Audit[[#This Row],[Candidate 4]], "")</f>
        <v/>
      </c>
      <c r="AI548" s="18" t="str">
        <f>IF(NOT(ISBLANK(Audit[[#This Row],[Audit Candidate 5]])), Audit[[#This Row],[Audit Candidate 5]]-Audit[[#This Row],[Candidate 5]], "")</f>
        <v/>
      </c>
      <c r="AJ548" s="18" t="str">
        <f>IF(NOT(ISBLANK(Audit[[#This Row],[Audit Candidate 6]])), Audit[[#This Row],[Audit Candidate 6]]-Audit[[#This Row],[Candidate 6]], "")</f>
        <v/>
      </c>
      <c r="AK548" s="18" t="str">
        <f>IF(NOT(ISBLANK(Audit[[#This Row],[Audit Candidate 7]])), Audit[[#This Row],[Audit Candidate 7]]-Audit[[#This Row],[Candidate 7]], "")</f>
        <v/>
      </c>
      <c r="AL548" s="18" t="str">
        <f>IF(NOT(ISBLANK(Audit[[#This Row],[Audit Candidate 8]])), Audit[[#This Row],[Audit Candidate 8]]-Audit[[#This Row],[Candidate 8]], "")</f>
        <v/>
      </c>
      <c r="AM548" s="18" t="str">
        <f>IF(NOT(ISBLANK(Audit[[#This Row],[Audit Candidate 9]])), Audit[[#This Row],[Audit Candidate 9]]-Audit[[#This Row],[Candidate 9]], "")</f>
        <v/>
      </c>
      <c r="AN548" s="18" t="str">
        <f>IF(NOT(ISBLANK(Audit[[#This Row],[Audit Candidate 10]])), Audit[[#This Row],[Audit Candidate 10]]-Audit[[#This Row],[Candidate 10]], "")</f>
        <v/>
      </c>
      <c r="AO548" s="18" t="str">
        <f>IF(NOT(ISBLANK(Audit[[#This Row],[Audit Candidate 11]])), Audit[[#This Row],[Audit Candidate 11]]-Audit[[#This Row],[Candidate 11]], "")</f>
        <v/>
      </c>
      <c r="AP548" s="18" t="str">
        <f>IF(NOT(ISBLANK(Audit[[#This Row],[Audit Candidate 12]])), Audit[[#This Row],[Audit Candidate 12]]-Audit[[#This Row],[Candidate 12]], "")</f>
        <v/>
      </c>
      <c r="AQ548" s="18">
        <f>SUMIF(Audit[[#This Row],[Difference Winner]:[Difference Candidate 12]], "&gt;0")</f>
        <v>0</v>
      </c>
      <c r="AR548" s="18">
        <f>SUM(Audit[[#This Row],[Difference Winner]:[Difference Candidate 12]])</f>
        <v>0</v>
      </c>
      <c r="AS548" s="18">
        <f>IF(Audit[[#This Row],[Times p Drawn - With Replacement]]&gt;0, IF(Audit[[#This Row],[Canceled Differences]]&lt;0, Audit[[#This Row],[Max Differences]]+ABS(Audit[[#This Row],[Canceled Differences]]), Audit[[#This Row],[Max Differences]]), 0)</f>
        <v>0</v>
      </c>
      <c r="AT548" s="18">
        <f>'Sampling Data'!AB548</f>
        <v>8.1665986116782364E-4</v>
      </c>
      <c r="AU548" s="18">
        <f>IF(
      SUM(Audit[[#This Row],[Audit Losing Candidate]:[Audit Candidate 12]])
      &lt;&gt;0,
      (Audit[[#This Row],[Winning Candidate]]-Audit[[#This Row],[Losing Candidate]]-(Audit[[#This Row],[Audit Winning Candidate]]-Audit[[#This Row],[Audit Losing Candidate]]))/(Audit[[#Totals],[Winning Candidate]]-Audit[[#Totals],[Losing Candidate]]),
      0
)</f>
        <v>0</v>
      </c>
      <c r="AV5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8">
        <f>IF(Audit[[#This Row],[Max Relative Error (ep)]] = 0, 0, Audit[[#This Row],[Max Relative Error (ep)]]/Audit[[#This Row],[Error Bound (up) - Max. possible relative overstatement]])</f>
        <v>0</v>
      </c>
      <c r="BH5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8" s="18">
        <f t="shared" si="9"/>
        <v>1</v>
      </c>
      <c r="BJ548" s="18">
        <f>PRODUCT($BI$5:BI548)</f>
        <v>0.32656797278968008</v>
      </c>
      <c r="BK548" s="20">
        <f>1 - Audit[[#This Row],[K-M P Value]]</f>
        <v>0.67343202721031992</v>
      </c>
      <c r="BL548" s="18" t="str">
        <f>IF(Audit[[#This Row],[K-M P Value]]&gt;1-'General Info'!$B$12,"Continue", "Stop")</f>
        <v>Continue</v>
      </c>
      <c r="BM548" s="23" t="b">
        <f>IF(Audit[[#This Row],[Status - Continue or stop audit]] = "Continue", TRUE, IF(BL547 = "Continue", TRUE, FALSE))</f>
        <v>1</v>
      </c>
      <c r="BN548" s="23"/>
    </row>
    <row r="549" spans="1:66" ht="15" hidden="1" customHeight="1" x14ac:dyDescent="0.35">
      <c r="A549" s="18" t="str">
        <f>'Sampling Data'!AI549</f>
        <v/>
      </c>
      <c r="B549" s="18" t="str">
        <f>'Sampling Data'!A549</f>
        <v>9101 SYMM A   (AV)</v>
      </c>
      <c r="C549" s="18">
        <f>'Sampling Data'!B549</f>
        <v>0</v>
      </c>
      <c r="D549" s="18">
        <f>'Sampling Data'!C549</f>
        <v>0</v>
      </c>
      <c r="E549" s="19">
        <f>'Sampling Data'!D549</f>
        <v>0</v>
      </c>
      <c r="F549" s="19">
        <f>'Sampling Data'!E549</f>
        <v>0</v>
      </c>
      <c r="G549" s="19">
        <f>'Sampling Data'!F549</f>
        <v>0</v>
      </c>
      <c r="H549" s="19">
        <f>'Sampling Data'!G549</f>
        <v>0</v>
      </c>
      <c r="I549" s="19">
        <f>'Sampling Data'!H549</f>
        <v>0</v>
      </c>
      <c r="J549" s="19">
        <f>'Sampling Data'!I549</f>
        <v>0</v>
      </c>
      <c r="K549" s="19">
        <f>'Sampling Data'!J549</f>
        <v>0</v>
      </c>
      <c r="L549" s="19">
        <f>'Sampling Data'!K549</f>
        <v>0</v>
      </c>
      <c r="M549" s="19">
        <f>'Sampling Data'!L549</f>
        <v>0</v>
      </c>
      <c r="N549" s="19">
        <f>'Sampling Data'!M549</f>
        <v>0</v>
      </c>
      <c r="O549" s="18">
        <f>'Sampling Data'!N549</f>
        <v>0</v>
      </c>
      <c r="P549" s="18">
        <f>'Sampling Data'!O549</f>
        <v>0</v>
      </c>
      <c r="Q549" s="18">
        <f>'Sampling Data'!P549</f>
        <v>0</v>
      </c>
      <c r="R549" s="18">
        <f>'Sampling Data'!AJ549</f>
        <v>0</v>
      </c>
      <c r="S549" s="112"/>
      <c r="T549" s="112"/>
      <c r="U549" s="113"/>
      <c r="V549" s="113"/>
      <c r="W549" s="112"/>
      <c r="X549" s="112"/>
      <c r="Y549" s="112"/>
      <c r="Z549" s="112"/>
      <c r="AA549" s="15"/>
      <c r="AB549" s="15"/>
      <c r="AC549" s="15"/>
      <c r="AD549" s="15"/>
      <c r="AE549" s="114" t="str">
        <f>IF(NOT(ISBLANK(Audit[[#This Row],[Audit Winning Candidate]])), Audit[[#This Row],[Audit Winning Candidate]]-Audit[[#This Row],[Winning Candidate]], "")</f>
        <v/>
      </c>
      <c r="AF549" s="18" t="str">
        <f>IF(NOT(ISBLANK(Audit[[#This Row],[Audit Losing Candidate]])), Audit[[#This Row],[Audit Losing Candidate]]-Audit[[#This Row],[Losing Candidate]], "")</f>
        <v/>
      </c>
      <c r="AG549" s="18" t="str">
        <f>IF(NOT(ISBLANK(Audit[[#This Row],[Audit Candidate 3]])), Audit[[#This Row],[Audit Candidate 3]]-Audit[[#This Row],[Candidate 3]], "")</f>
        <v/>
      </c>
      <c r="AH549" s="18" t="str">
        <f>IF(NOT(ISBLANK(Audit[[#This Row],[Audit Candidate 4]])),Audit[[#This Row],[Audit Candidate 4]]-Audit[[#This Row],[Candidate 4]], "")</f>
        <v/>
      </c>
      <c r="AI549" s="18" t="str">
        <f>IF(NOT(ISBLANK(Audit[[#This Row],[Audit Candidate 5]])), Audit[[#This Row],[Audit Candidate 5]]-Audit[[#This Row],[Candidate 5]], "")</f>
        <v/>
      </c>
      <c r="AJ549" s="18" t="str">
        <f>IF(NOT(ISBLANK(Audit[[#This Row],[Audit Candidate 6]])), Audit[[#This Row],[Audit Candidate 6]]-Audit[[#This Row],[Candidate 6]], "")</f>
        <v/>
      </c>
      <c r="AK549" s="18" t="str">
        <f>IF(NOT(ISBLANK(Audit[[#This Row],[Audit Candidate 7]])), Audit[[#This Row],[Audit Candidate 7]]-Audit[[#This Row],[Candidate 7]], "")</f>
        <v/>
      </c>
      <c r="AL549" s="18" t="str">
        <f>IF(NOT(ISBLANK(Audit[[#This Row],[Audit Candidate 8]])), Audit[[#This Row],[Audit Candidate 8]]-Audit[[#This Row],[Candidate 8]], "")</f>
        <v/>
      </c>
      <c r="AM549" s="18" t="str">
        <f>IF(NOT(ISBLANK(Audit[[#This Row],[Audit Candidate 9]])), Audit[[#This Row],[Audit Candidate 9]]-Audit[[#This Row],[Candidate 9]], "")</f>
        <v/>
      </c>
      <c r="AN549" s="18" t="str">
        <f>IF(NOT(ISBLANK(Audit[[#This Row],[Audit Candidate 10]])), Audit[[#This Row],[Audit Candidate 10]]-Audit[[#This Row],[Candidate 10]], "")</f>
        <v/>
      </c>
      <c r="AO549" s="18" t="str">
        <f>IF(NOT(ISBLANK(Audit[[#This Row],[Audit Candidate 11]])), Audit[[#This Row],[Audit Candidate 11]]-Audit[[#This Row],[Candidate 11]], "")</f>
        <v/>
      </c>
      <c r="AP549" s="18" t="str">
        <f>IF(NOT(ISBLANK(Audit[[#This Row],[Audit Candidate 12]])), Audit[[#This Row],[Audit Candidate 12]]-Audit[[#This Row],[Candidate 12]], "")</f>
        <v/>
      </c>
      <c r="AQ549" s="18">
        <f>SUMIF(Audit[[#This Row],[Difference Winner]:[Difference Candidate 12]], "&gt;0")</f>
        <v>0</v>
      </c>
      <c r="AR549" s="18">
        <f>SUM(Audit[[#This Row],[Difference Winner]:[Difference Candidate 12]])</f>
        <v>0</v>
      </c>
      <c r="AS549" s="18">
        <f>IF(Audit[[#This Row],[Times p Drawn - With Replacement]]&gt;0, IF(Audit[[#This Row],[Canceled Differences]]&lt;0, Audit[[#This Row],[Max Differences]]+ABS(Audit[[#This Row],[Canceled Differences]]), Audit[[#This Row],[Max Differences]]), 0)</f>
        <v>0</v>
      </c>
      <c r="AT549" s="18">
        <f>'Sampling Data'!AB549</f>
        <v>0</v>
      </c>
      <c r="AU549" s="18">
        <f>IF(
      SUM(Audit[[#This Row],[Audit Losing Candidate]:[Audit Candidate 12]])
      &lt;&gt;0,
      (Audit[[#This Row],[Winning Candidate]]-Audit[[#This Row],[Losing Candidate]]-(Audit[[#This Row],[Audit Winning Candidate]]-Audit[[#This Row],[Audit Losing Candidate]]))/(Audit[[#Totals],[Winning Candidate]]-Audit[[#Totals],[Losing Candidate]]),
      0
)</f>
        <v>0</v>
      </c>
      <c r="AV5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8">
        <f>IF(Audit[[#This Row],[Max Relative Error (ep)]] = 0, 0, Audit[[#This Row],[Max Relative Error (ep)]]/Audit[[#This Row],[Error Bound (up) - Max. possible relative overstatement]])</f>
        <v>0</v>
      </c>
      <c r="BH5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49" s="18">
        <f t="shared" si="9"/>
        <v>1</v>
      </c>
      <c r="BJ549" s="18">
        <f>PRODUCT($BI$5:BI549)</f>
        <v>0.32656797278968008</v>
      </c>
      <c r="BK549" s="20">
        <f>1 - Audit[[#This Row],[K-M P Value]]</f>
        <v>0.67343202721031992</v>
      </c>
      <c r="BL549" s="18" t="str">
        <f>IF(Audit[[#This Row],[K-M P Value]]&gt;1-'General Info'!$B$12,"Continue", "Stop")</f>
        <v>Continue</v>
      </c>
      <c r="BM549" s="23" t="b">
        <f>IF(Audit[[#This Row],[Status - Continue or stop audit]] = "Continue", TRUE, IF(BL548 = "Continue", TRUE, FALSE))</f>
        <v>1</v>
      </c>
      <c r="BN549" s="23"/>
    </row>
    <row r="550" spans="1:66" ht="15" hidden="1" customHeight="1" x14ac:dyDescent="0.35">
      <c r="A550" s="18" t="str">
        <f>'Sampling Data'!AI550</f>
        <v/>
      </c>
      <c r="B550" s="18" t="str">
        <f>'Sampling Data'!A550</f>
        <v>9102 SYMM B   (AV)</v>
      </c>
      <c r="C550" s="18">
        <f>'Sampling Data'!B550</f>
        <v>8</v>
      </c>
      <c r="D550" s="18">
        <f>'Sampling Data'!C550</f>
        <v>1</v>
      </c>
      <c r="E550" s="19">
        <f>'Sampling Data'!D550</f>
        <v>0</v>
      </c>
      <c r="F550" s="19">
        <f>'Sampling Data'!E550</f>
        <v>0</v>
      </c>
      <c r="G550" s="19">
        <f>'Sampling Data'!F550</f>
        <v>0</v>
      </c>
      <c r="H550" s="19">
        <f>'Sampling Data'!G550</f>
        <v>0</v>
      </c>
      <c r="I550" s="19">
        <f>'Sampling Data'!H550</f>
        <v>0</v>
      </c>
      <c r="J550" s="19">
        <f>'Sampling Data'!I550</f>
        <v>0</v>
      </c>
      <c r="K550" s="19">
        <f>'Sampling Data'!J550</f>
        <v>0</v>
      </c>
      <c r="L550" s="19">
        <f>'Sampling Data'!K550</f>
        <v>0</v>
      </c>
      <c r="M550" s="19">
        <f>'Sampling Data'!L550</f>
        <v>0</v>
      </c>
      <c r="N550" s="19">
        <f>'Sampling Data'!M550</f>
        <v>0</v>
      </c>
      <c r="O550" s="18">
        <f>'Sampling Data'!N550</f>
        <v>0</v>
      </c>
      <c r="P550" s="18">
        <f>'Sampling Data'!O550</f>
        <v>0</v>
      </c>
      <c r="Q550" s="18">
        <f>'Sampling Data'!P550</f>
        <v>9</v>
      </c>
      <c r="R550" s="18">
        <f>'Sampling Data'!AJ550</f>
        <v>0</v>
      </c>
      <c r="S550" s="112"/>
      <c r="T550" s="112"/>
      <c r="U550" s="113"/>
      <c r="V550" s="113"/>
      <c r="W550" s="112"/>
      <c r="X550" s="112"/>
      <c r="Y550" s="112"/>
      <c r="Z550" s="112"/>
      <c r="AA550" s="15"/>
      <c r="AB550" s="15"/>
      <c r="AC550" s="15"/>
      <c r="AD550" s="15"/>
      <c r="AE550" s="114" t="str">
        <f>IF(NOT(ISBLANK(Audit[[#This Row],[Audit Winning Candidate]])), Audit[[#This Row],[Audit Winning Candidate]]-Audit[[#This Row],[Winning Candidate]], "")</f>
        <v/>
      </c>
      <c r="AF550" s="18" t="str">
        <f>IF(NOT(ISBLANK(Audit[[#This Row],[Audit Losing Candidate]])), Audit[[#This Row],[Audit Losing Candidate]]-Audit[[#This Row],[Losing Candidate]], "")</f>
        <v/>
      </c>
      <c r="AG550" s="18" t="str">
        <f>IF(NOT(ISBLANK(Audit[[#This Row],[Audit Candidate 3]])), Audit[[#This Row],[Audit Candidate 3]]-Audit[[#This Row],[Candidate 3]], "")</f>
        <v/>
      </c>
      <c r="AH550" s="18" t="str">
        <f>IF(NOT(ISBLANK(Audit[[#This Row],[Audit Candidate 4]])),Audit[[#This Row],[Audit Candidate 4]]-Audit[[#This Row],[Candidate 4]], "")</f>
        <v/>
      </c>
      <c r="AI550" s="18" t="str">
        <f>IF(NOT(ISBLANK(Audit[[#This Row],[Audit Candidate 5]])), Audit[[#This Row],[Audit Candidate 5]]-Audit[[#This Row],[Candidate 5]], "")</f>
        <v/>
      </c>
      <c r="AJ550" s="18" t="str">
        <f>IF(NOT(ISBLANK(Audit[[#This Row],[Audit Candidate 6]])), Audit[[#This Row],[Audit Candidate 6]]-Audit[[#This Row],[Candidate 6]], "")</f>
        <v/>
      </c>
      <c r="AK550" s="18" t="str">
        <f>IF(NOT(ISBLANK(Audit[[#This Row],[Audit Candidate 7]])), Audit[[#This Row],[Audit Candidate 7]]-Audit[[#This Row],[Candidate 7]], "")</f>
        <v/>
      </c>
      <c r="AL550" s="18" t="str">
        <f>IF(NOT(ISBLANK(Audit[[#This Row],[Audit Candidate 8]])), Audit[[#This Row],[Audit Candidate 8]]-Audit[[#This Row],[Candidate 8]], "")</f>
        <v/>
      </c>
      <c r="AM550" s="18" t="str">
        <f>IF(NOT(ISBLANK(Audit[[#This Row],[Audit Candidate 9]])), Audit[[#This Row],[Audit Candidate 9]]-Audit[[#This Row],[Candidate 9]], "")</f>
        <v/>
      </c>
      <c r="AN550" s="18" t="str">
        <f>IF(NOT(ISBLANK(Audit[[#This Row],[Audit Candidate 10]])), Audit[[#This Row],[Audit Candidate 10]]-Audit[[#This Row],[Candidate 10]], "")</f>
        <v/>
      </c>
      <c r="AO550" s="18" t="str">
        <f>IF(NOT(ISBLANK(Audit[[#This Row],[Audit Candidate 11]])), Audit[[#This Row],[Audit Candidate 11]]-Audit[[#This Row],[Candidate 11]], "")</f>
        <v/>
      </c>
      <c r="AP550" s="18" t="str">
        <f>IF(NOT(ISBLANK(Audit[[#This Row],[Audit Candidate 12]])), Audit[[#This Row],[Audit Candidate 12]]-Audit[[#This Row],[Candidate 12]], "")</f>
        <v/>
      </c>
      <c r="AQ550" s="18">
        <f>SUMIF(Audit[[#This Row],[Difference Winner]:[Difference Candidate 12]], "&gt;0")</f>
        <v>0</v>
      </c>
      <c r="AR550" s="18">
        <f>SUM(Audit[[#This Row],[Difference Winner]:[Difference Candidate 12]])</f>
        <v>0</v>
      </c>
      <c r="AS550" s="18">
        <f>IF(Audit[[#This Row],[Times p Drawn - With Replacement]]&gt;0, IF(Audit[[#This Row],[Canceled Differences]]&lt;0, Audit[[#This Row],[Max Differences]]+ABS(Audit[[#This Row],[Canceled Differences]]), Audit[[#This Row],[Max Differences]]), 0)</f>
        <v>0</v>
      </c>
      <c r="AT550" s="18">
        <f>'Sampling Data'!AB550</f>
        <v>5.0255991456481448E-4</v>
      </c>
      <c r="AU550" s="18">
        <f>IF(
      SUM(Audit[[#This Row],[Audit Losing Candidate]:[Audit Candidate 12]])
      &lt;&gt;0,
      (Audit[[#This Row],[Winning Candidate]]-Audit[[#This Row],[Losing Candidate]]-(Audit[[#This Row],[Audit Winning Candidate]]-Audit[[#This Row],[Audit Losing Candidate]]))/(Audit[[#Totals],[Winning Candidate]]-Audit[[#Totals],[Losing Candidate]]),
      0
)</f>
        <v>0</v>
      </c>
      <c r="AV5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8">
        <f>IF(Audit[[#This Row],[Max Relative Error (ep)]] = 0, 0, Audit[[#This Row],[Max Relative Error (ep)]]/Audit[[#This Row],[Error Bound (up) - Max. possible relative overstatement]])</f>
        <v>0</v>
      </c>
      <c r="BH5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0" s="18">
        <f t="shared" si="9"/>
        <v>1</v>
      </c>
      <c r="BJ550" s="18">
        <f>PRODUCT($BI$5:BI550)</f>
        <v>0.32656797278968008</v>
      </c>
      <c r="BK550" s="20">
        <f>1 - Audit[[#This Row],[K-M P Value]]</f>
        <v>0.67343202721031992</v>
      </c>
      <c r="BL550" s="18" t="str">
        <f>IF(Audit[[#This Row],[K-M P Value]]&gt;1-'General Info'!$B$12,"Continue", "Stop")</f>
        <v>Continue</v>
      </c>
      <c r="BM550" s="23" t="b">
        <f>IF(Audit[[#This Row],[Status - Continue or stop audit]] = "Continue", TRUE, IF(BL549 = "Continue", TRUE, FALSE))</f>
        <v>1</v>
      </c>
      <c r="BN550" s="23"/>
    </row>
    <row r="551" spans="1:66" ht="15" hidden="1" customHeight="1" x14ac:dyDescent="0.35">
      <c r="A551" s="18" t="str">
        <f>'Sampling Data'!AI551</f>
        <v/>
      </c>
      <c r="B551" s="18" t="str">
        <f>'Sampling Data'!A551</f>
        <v>9103 SYMM C   (AV)</v>
      </c>
      <c r="C551" s="18">
        <f>'Sampling Data'!B551</f>
        <v>8</v>
      </c>
      <c r="D551" s="18">
        <f>'Sampling Data'!C551</f>
        <v>1</v>
      </c>
      <c r="E551" s="19">
        <f>'Sampling Data'!D551</f>
        <v>0</v>
      </c>
      <c r="F551" s="19">
        <f>'Sampling Data'!E551</f>
        <v>0</v>
      </c>
      <c r="G551" s="19">
        <f>'Sampling Data'!F551</f>
        <v>0</v>
      </c>
      <c r="H551" s="19">
        <f>'Sampling Data'!G551</f>
        <v>0</v>
      </c>
      <c r="I551" s="19">
        <f>'Sampling Data'!H551</f>
        <v>0</v>
      </c>
      <c r="J551" s="19">
        <f>'Sampling Data'!I551</f>
        <v>0</v>
      </c>
      <c r="K551" s="19">
        <f>'Sampling Data'!J551</f>
        <v>0</v>
      </c>
      <c r="L551" s="19">
        <f>'Sampling Data'!K551</f>
        <v>0</v>
      </c>
      <c r="M551" s="19">
        <f>'Sampling Data'!L551</f>
        <v>0</v>
      </c>
      <c r="N551" s="19">
        <f>'Sampling Data'!M551</f>
        <v>0</v>
      </c>
      <c r="O551" s="18">
        <f>'Sampling Data'!N551</f>
        <v>0</v>
      </c>
      <c r="P551" s="18">
        <f>'Sampling Data'!O551</f>
        <v>0</v>
      </c>
      <c r="Q551" s="18">
        <f>'Sampling Data'!P551</f>
        <v>9</v>
      </c>
      <c r="R551" s="18">
        <f>'Sampling Data'!AJ551</f>
        <v>0</v>
      </c>
      <c r="S551" s="112"/>
      <c r="T551" s="112"/>
      <c r="U551" s="113"/>
      <c r="V551" s="113"/>
      <c r="W551" s="112"/>
      <c r="X551" s="112"/>
      <c r="Y551" s="112"/>
      <c r="Z551" s="112"/>
      <c r="AA551" s="15"/>
      <c r="AB551" s="15"/>
      <c r="AC551" s="15"/>
      <c r="AD551" s="15"/>
      <c r="AE551" s="114" t="str">
        <f>IF(NOT(ISBLANK(Audit[[#This Row],[Audit Winning Candidate]])), Audit[[#This Row],[Audit Winning Candidate]]-Audit[[#This Row],[Winning Candidate]], "")</f>
        <v/>
      </c>
      <c r="AF551" s="18" t="str">
        <f>IF(NOT(ISBLANK(Audit[[#This Row],[Audit Losing Candidate]])), Audit[[#This Row],[Audit Losing Candidate]]-Audit[[#This Row],[Losing Candidate]], "")</f>
        <v/>
      </c>
      <c r="AG551" s="18" t="str">
        <f>IF(NOT(ISBLANK(Audit[[#This Row],[Audit Candidate 3]])), Audit[[#This Row],[Audit Candidate 3]]-Audit[[#This Row],[Candidate 3]], "")</f>
        <v/>
      </c>
      <c r="AH551" s="18" t="str">
        <f>IF(NOT(ISBLANK(Audit[[#This Row],[Audit Candidate 4]])),Audit[[#This Row],[Audit Candidate 4]]-Audit[[#This Row],[Candidate 4]], "")</f>
        <v/>
      </c>
      <c r="AI551" s="18" t="str">
        <f>IF(NOT(ISBLANK(Audit[[#This Row],[Audit Candidate 5]])), Audit[[#This Row],[Audit Candidate 5]]-Audit[[#This Row],[Candidate 5]], "")</f>
        <v/>
      </c>
      <c r="AJ551" s="18" t="str">
        <f>IF(NOT(ISBLANK(Audit[[#This Row],[Audit Candidate 6]])), Audit[[#This Row],[Audit Candidate 6]]-Audit[[#This Row],[Candidate 6]], "")</f>
        <v/>
      </c>
      <c r="AK551" s="18" t="str">
        <f>IF(NOT(ISBLANK(Audit[[#This Row],[Audit Candidate 7]])), Audit[[#This Row],[Audit Candidate 7]]-Audit[[#This Row],[Candidate 7]], "")</f>
        <v/>
      </c>
      <c r="AL551" s="18" t="str">
        <f>IF(NOT(ISBLANK(Audit[[#This Row],[Audit Candidate 8]])), Audit[[#This Row],[Audit Candidate 8]]-Audit[[#This Row],[Candidate 8]], "")</f>
        <v/>
      </c>
      <c r="AM551" s="18" t="str">
        <f>IF(NOT(ISBLANK(Audit[[#This Row],[Audit Candidate 9]])), Audit[[#This Row],[Audit Candidate 9]]-Audit[[#This Row],[Candidate 9]], "")</f>
        <v/>
      </c>
      <c r="AN551" s="18" t="str">
        <f>IF(NOT(ISBLANK(Audit[[#This Row],[Audit Candidate 10]])), Audit[[#This Row],[Audit Candidate 10]]-Audit[[#This Row],[Candidate 10]], "")</f>
        <v/>
      </c>
      <c r="AO551" s="18" t="str">
        <f>IF(NOT(ISBLANK(Audit[[#This Row],[Audit Candidate 11]])), Audit[[#This Row],[Audit Candidate 11]]-Audit[[#This Row],[Candidate 11]], "")</f>
        <v/>
      </c>
      <c r="AP551" s="18" t="str">
        <f>IF(NOT(ISBLANK(Audit[[#This Row],[Audit Candidate 12]])), Audit[[#This Row],[Audit Candidate 12]]-Audit[[#This Row],[Candidate 12]], "")</f>
        <v/>
      </c>
      <c r="AQ551" s="18">
        <f>SUMIF(Audit[[#This Row],[Difference Winner]:[Difference Candidate 12]], "&gt;0")</f>
        <v>0</v>
      </c>
      <c r="AR551" s="18">
        <f>SUM(Audit[[#This Row],[Difference Winner]:[Difference Candidate 12]])</f>
        <v>0</v>
      </c>
      <c r="AS551" s="18">
        <f>IF(Audit[[#This Row],[Times p Drawn - With Replacement]]&gt;0, IF(Audit[[#This Row],[Canceled Differences]]&lt;0, Audit[[#This Row],[Max Differences]]+ABS(Audit[[#This Row],[Canceled Differences]]), Audit[[#This Row],[Max Differences]]), 0)</f>
        <v>0</v>
      </c>
      <c r="AT551" s="18">
        <f>'Sampling Data'!AB551</f>
        <v>5.0255991456481448E-4</v>
      </c>
      <c r="AU551" s="18">
        <f>IF(
      SUM(Audit[[#This Row],[Audit Losing Candidate]:[Audit Candidate 12]])
      &lt;&gt;0,
      (Audit[[#This Row],[Winning Candidate]]-Audit[[#This Row],[Losing Candidate]]-(Audit[[#This Row],[Audit Winning Candidate]]-Audit[[#This Row],[Audit Losing Candidate]]))/(Audit[[#Totals],[Winning Candidate]]-Audit[[#Totals],[Losing Candidate]]),
      0
)</f>
        <v>0</v>
      </c>
      <c r="AV5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8">
        <f>IF(Audit[[#This Row],[Max Relative Error (ep)]] = 0, 0, Audit[[#This Row],[Max Relative Error (ep)]]/Audit[[#This Row],[Error Bound (up) - Max. possible relative overstatement]])</f>
        <v>0</v>
      </c>
      <c r="BH5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1" s="18">
        <f t="shared" si="9"/>
        <v>1</v>
      </c>
      <c r="BJ551" s="18">
        <f>PRODUCT($BI$5:BI551)</f>
        <v>0.32656797278968008</v>
      </c>
      <c r="BK551" s="20">
        <f>1 - Audit[[#This Row],[K-M P Value]]</f>
        <v>0.67343202721031992</v>
      </c>
      <c r="BL551" s="18" t="str">
        <f>IF(Audit[[#This Row],[K-M P Value]]&gt;1-'General Info'!$B$12,"Continue", "Stop")</f>
        <v>Continue</v>
      </c>
      <c r="BM551" s="23" t="b">
        <f>IF(Audit[[#This Row],[Status - Continue or stop audit]] = "Continue", TRUE, IF(BL550 = "Continue", TRUE, FALSE))</f>
        <v>1</v>
      </c>
      <c r="BN551" s="23"/>
    </row>
    <row r="552" spans="1:66" ht="15" hidden="1" customHeight="1" x14ac:dyDescent="0.35">
      <c r="A552" s="18" t="str">
        <f>'Sampling Data'!AI552</f>
        <v/>
      </c>
      <c r="B552" s="18" t="str">
        <f>'Sampling Data'!A552</f>
        <v>9104 SYMM D   (AV)</v>
      </c>
      <c r="C552" s="18">
        <f>'Sampling Data'!B552</f>
        <v>13</v>
      </c>
      <c r="D552" s="18">
        <f>'Sampling Data'!C552</f>
        <v>1</v>
      </c>
      <c r="E552" s="19">
        <f>'Sampling Data'!D552</f>
        <v>0</v>
      </c>
      <c r="F552" s="19">
        <f>'Sampling Data'!E552</f>
        <v>0</v>
      </c>
      <c r="G552" s="19">
        <f>'Sampling Data'!F552</f>
        <v>0</v>
      </c>
      <c r="H552" s="19">
        <f>'Sampling Data'!G552</f>
        <v>0</v>
      </c>
      <c r="I552" s="19">
        <f>'Sampling Data'!H552</f>
        <v>0</v>
      </c>
      <c r="J552" s="19">
        <f>'Sampling Data'!I552</f>
        <v>0</v>
      </c>
      <c r="K552" s="19">
        <f>'Sampling Data'!J552</f>
        <v>0</v>
      </c>
      <c r="L552" s="19">
        <f>'Sampling Data'!K552</f>
        <v>0</v>
      </c>
      <c r="M552" s="19">
        <f>'Sampling Data'!L552</f>
        <v>0</v>
      </c>
      <c r="N552" s="19">
        <f>'Sampling Data'!M552</f>
        <v>0</v>
      </c>
      <c r="O552" s="18">
        <f>'Sampling Data'!N552</f>
        <v>0</v>
      </c>
      <c r="P552" s="18">
        <f>'Sampling Data'!O552</f>
        <v>1</v>
      </c>
      <c r="Q552" s="18">
        <f>'Sampling Data'!P552</f>
        <v>15</v>
      </c>
      <c r="R552" s="18">
        <f>'Sampling Data'!AJ552</f>
        <v>0</v>
      </c>
      <c r="S552" s="112"/>
      <c r="T552" s="112"/>
      <c r="U552" s="113"/>
      <c r="V552" s="113"/>
      <c r="W552" s="112"/>
      <c r="X552" s="112"/>
      <c r="Y552" s="112"/>
      <c r="Z552" s="112"/>
      <c r="AA552" s="15"/>
      <c r="AB552" s="15"/>
      <c r="AC552" s="15"/>
      <c r="AD552" s="15"/>
      <c r="AE552" s="114" t="str">
        <f>IF(NOT(ISBLANK(Audit[[#This Row],[Audit Winning Candidate]])), Audit[[#This Row],[Audit Winning Candidate]]-Audit[[#This Row],[Winning Candidate]], "")</f>
        <v/>
      </c>
      <c r="AF552" s="18" t="str">
        <f>IF(NOT(ISBLANK(Audit[[#This Row],[Audit Losing Candidate]])), Audit[[#This Row],[Audit Losing Candidate]]-Audit[[#This Row],[Losing Candidate]], "")</f>
        <v/>
      </c>
      <c r="AG552" s="18" t="str">
        <f>IF(NOT(ISBLANK(Audit[[#This Row],[Audit Candidate 3]])), Audit[[#This Row],[Audit Candidate 3]]-Audit[[#This Row],[Candidate 3]], "")</f>
        <v/>
      </c>
      <c r="AH552" s="18" t="str">
        <f>IF(NOT(ISBLANK(Audit[[#This Row],[Audit Candidate 4]])),Audit[[#This Row],[Audit Candidate 4]]-Audit[[#This Row],[Candidate 4]], "")</f>
        <v/>
      </c>
      <c r="AI552" s="18" t="str">
        <f>IF(NOT(ISBLANK(Audit[[#This Row],[Audit Candidate 5]])), Audit[[#This Row],[Audit Candidate 5]]-Audit[[#This Row],[Candidate 5]], "")</f>
        <v/>
      </c>
      <c r="AJ552" s="18" t="str">
        <f>IF(NOT(ISBLANK(Audit[[#This Row],[Audit Candidate 6]])), Audit[[#This Row],[Audit Candidate 6]]-Audit[[#This Row],[Candidate 6]], "")</f>
        <v/>
      </c>
      <c r="AK552" s="18" t="str">
        <f>IF(NOT(ISBLANK(Audit[[#This Row],[Audit Candidate 7]])), Audit[[#This Row],[Audit Candidate 7]]-Audit[[#This Row],[Candidate 7]], "")</f>
        <v/>
      </c>
      <c r="AL552" s="18" t="str">
        <f>IF(NOT(ISBLANK(Audit[[#This Row],[Audit Candidate 8]])), Audit[[#This Row],[Audit Candidate 8]]-Audit[[#This Row],[Candidate 8]], "")</f>
        <v/>
      </c>
      <c r="AM552" s="18" t="str">
        <f>IF(NOT(ISBLANK(Audit[[#This Row],[Audit Candidate 9]])), Audit[[#This Row],[Audit Candidate 9]]-Audit[[#This Row],[Candidate 9]], "")</f>
        <v/>
      </c>
      <c r="AN552" s="18" t="str">
        <f>IF(NOT(ISBLANK(Audit[[#This Row],[Audit Candidate 10]])), Audit[[#This Row],[Audit Candidate 10]]-Audit[[#This Row],[Candidate 10]], "")</f>
        <v/>
      </c>
      <c r="AO552" s="18" t="str">
        <f>IF(NOT(ISBLANK(Audit[[#This Row],[Audit Candidate 11]])), Audit[[#This Row],[Audit Candidate 11]]-Audit[[#This Row],[Candidate 11]], "")</f>
        <v/>
      </c>
      <c r="AP552" s="18" t="str">
        <f>IF(NOT(ISBLANK(Audit[[#This Row],[Audit Candidate 12]])), Audit[[#This Row],[Audit Candidate 12]]-Audit[[#This Row],[Candidate 12]], "")</f>
        <v/>
      </c>
      <c r="AQ552" s="18">
        <f>SUMIF(Audit[[#This Row],[Difference Winner]:[Difference Candidate 12]], "&gt;0")</f>
        <v>0</v>
      </c>
      <c r="AR552" s="18">
        <f>SUM(Audit[[#This Row],[Difference Winner]:[Difference Candidate 12]])</f>
        <v>0</v>
      </c>
      <c r="AS552" s="18">
        <f>IF(Audit[[#This Row],[Times p Drawn - With Replacement]]&gt;0, IF(Audit[[#This Row],[Canceled Differences]]&lt;0, Audit[[#This Row],[Max Differences]]+ABS(Audit[[#This Row],[Canceled Differences]]), Audit[[#This Row],[Max Differences]]), 0)</f>
        <v>0</v>
      </c>
      <c r="AT552" s="18">
        <f>'Sampling Data'!AB552</f>
        <v>8.4806985582812453E-4</v>
      </c>
      <c r="AU552" s="18">
        <f>IF(
      SUM(Audit[[#This Row],[Audit Losing Candidate]:[Audit Candidate 12]])
      &lt;&gt;0,
      (Audit[[#This Row],[Winning Candidate]]-Audit[[#This Row],[Losing Candidate]]-(Audit[[#This Row],[Audit Winning Candidate]]-Audit[[#This Row],[Audit Losing Candidate]]))/(Audit[[#Totals],[Winning Candidate]]-Audit[[#Totals],[Losing Candidate]]),
      0
)</f>
        <v>0</v>
      </c>
      <c r="AV5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8">
        <f>IF(Audit[[#This Row],[Max Relative Error (ep)]] = 0, 0, Audit[[#This Row],[Max Relative Error (ep)]]/Audit[[#This Row],[Error Bound (up) - Max. possible relative overstatement]])</f>
        <v>0</v>
      </c>
      <c r="BH5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2" s="18">
        <f t="shared" si="9"/>
        <v>1</v>
      </c>
      <c r="BJ552" s="18">
        <f>PRODUCT($BI$5:BI552)</f>
        <v>0.32656797278968008</v>
      </c>
      <c r="BK552" s="20">
        <f>1 - Audit[[#This Row],[K-M P Value]]</f>
        <v>0.67343202721031992</v>
      </c>
      <c r="BL552" s="18" t="str">
        <f>IF(Audit[[#This Row],[K-M P Value]]&gt;1-'General Info'!$B$12,"Continue", "Stop")</f>
        <v>Continue</v>
      </c>
      <c r="BM552" s="23" t="b">
        <f>IF(Audit[[#This Row],[Status - Continue or stop audit]] = "Continue", TRUE, IF(BL551 = "Continue", TRUE, FALSE))</f>
        <v>1</v>
      </c>
      <c r="BN552" s="23"/>
    </row>
    <row r="553" spans="1:66" ht="15" hidden="1" customHeight="1" x14ac:dyDescent="0.35">
      <c r="A553" s="18" t="str">
        <f>'Sampling Data'!AI553</f>
        <v/>
      </c>
      <c r="B553" s="18" t="str">
        <f>'Sampling Data'!A553</f>
        <v>9105 SYMM E   (AV)</v>
      </c>
      <c r="C553" s="18">
        <f>'Sampling Data'!B553</f>
        <v>9</v>
      </c>
      <c r="D553" s="18">
        <f>'Sampling Data'!C553</f>
        <v>1</v>
      </c>
      <c r="E553" s="19">
        <f>'Sampling Data'!D553</f>
        <v>0</v>
      </c>
      <c r="F553" s="19">
        <f>'Sampling Data'!E553</f>
        <v>0</v>
      </c>
      <c r="G553" s="19">
        <f>'Sampling Data'!F553</f>
        <v>0</v>
      </c>
      <c r="H553" s="19">
        <f>'Sampling Data'!G553</f>
        <v>0</v>
      </c>
      <c r="I553" s="19">
        <f>'Sampling Data'!H553</f>
        <v>0</v>
      </c>
      <c r="J553" s="19">
        <f>'Sampling Data'!I553</f>
        <v>0</v>
      </c>
      <c r="K553" s="19">
        <f>'Sampling Data'!J553</f>
        <v>0</v>
      </c>
      <c r="L553" s="19">
        <f>'Sampling Data'!K553</f>
        <v>0</v>
      </c>
      <c r="M553" s="19">
        <f>'Sampling Data'!L553</f>
        <v>0</v>
      </c>
      <c r="N553" s="19">
        <f>'Sampling Data'!M553</f>
        <v>0</v>
      </c>
      <c r="O553" s="18">
        <f>'Sampling Data'!N553</f>
        <v>0</v>
      </c>
      <c r="P553" s="18">
        <f>'Sampling Data'!O553</f>
        <v>0</v>
      </c>
      <c r="Q553" s="18">
        <f>'Sampling Data'!P553</f>
        <v>10</v>
      </c>
      <c r="R553" s="18">
        <f>'Sampling Data'!AJ553</f>
        <v>0</v>
      </c>
      <c r="S553" s="112"/>
      <c r="T553" s="112"/>
      <c r="U553" s="113"/>
      <c r="V553" s="113"/>
      <c r="W553" s="112"/>
      <c r="X553" s="112"/>
      <c r="Y553" s="112"/>
      <c r="Z553" s="112"/>
      <c r="AA553" s="15"/>
      <c r="AB553" s="15"/>
      <c r="AC553" s="15"/>
      <c r="AD553" s="15"/>
      <c r="AE553" s="114" t="str">
        <f>IF(NOT(ISBLANK(Audit[[#This Row],[Audit Winning Candidate]])), Audit[[#This Row],[Audit Winning Candidate]]-Audit[[#This Row],[Winning Candidate]], "")</f>
        <v/>
      </c>
      <c r="AF553" s="18" t="str">
        <f>IF(NOT(ISBLANK(Audit[[#This Row],[Audit Losing Candidate]])), Audit[[#This Row],[Audit Losing Candidate]]-Audit[[#This Row],[Losing Candidate]], "")</f>
        <v/>
      </c>
      <c r="AG553" s="18" t="str">
        <f>IF(NOT(ISBLANK(Audit[[#This Row],[Audit Candidate 3]])), Audit[[#This Row],[Audit Candidate 3]]-Audit[[#This Row],[Candidate 3]], "")</f>
        <v/>
      </c>
      <c r="AH553" s="18" t="str">
        <f>IF(NOT(ISBLANK(Audit[[#This Row],[Audit Candidate 4]])),Audit[[#This Row],[Audit Candidate 4]]-Audit[[#This Row],[Candidate 4]], "")</f>
        <v/>
      </c>
      <c r="AI553" s="18" t="str">
        <f>IF(NOT(ISBLANK(Audit[[#This Row],[Audit Candidate 5]])), Audit[[#This Row],[Audit Candidate 5]]-Audit[[#This Row],[Candidate 5]], "")</f>
        <v/>
      </c>
      <c r="AJ553" s="18" t="str">
        <f>IF(NOT(ISBLANK(Audit[[#This Row],[Audit Candidate 6]])), Audit[[#This Row],[Audit Candidate 6]]-Audit[[#This Row],[Candidate 6]], "")</f>
        <v/>
      </c>
      <c r="AK553" s="18" t="str">
        <f>IF(NOT(ISBLANK(Audit[[#This Row],[Audit Candidate 7]])), Audit[[#This Row],[Audit Candidate 7]]-Audit[[#This Row],[Candidate 7]], "")</f>
        <v/>
      </c>
      <c r="AL553" s="18" t="str">
        <f>IF(NOT(ISBLANK(Audit[[#This Row],[Audit Candidate 8]])), Audit[[#This Row],[Audit Candidate 8]]-Audit[[#This Row],[Candidate 8]], "")</f>
        <v/>
      </c>
      <c r="AM553" s="18" t="str">
        <f>IF(NOT(ISBLANK(Audit[[#This Row],[Audit Candidate 9]])), Audit[[#This Row],[Audit Candidate 9]]-Audit[[#This Row],[Candidate 9]], "")</f>
        <v/>
      </c>
      <c r="AN553" s="18" t="str">
        <f>IF(NOT(ISBLANK(Audit[[#This Row],[Audit Candidate 10]])), Audit[[#This Row],[Audit Candidate 10]]-Audit[[#This Row],[Candidate 10]], "")</f>
        <v/>
      </c>
      <c r="AO553" s="18" t="str">
        <f>IF(NOT(ISBLANK(Audit[[#This Row],[Audit Candidate 11]])), Audit[[#This Row],[Audit Candidate 11]]-Audit[[#This Row],[Candidate 11]], "")</f>
        <v/>
      </c>
      <c r="AP553" s="18" t="str">
        <f>IF(NOT(ISBLANK(Audit[[#This Row],[Audit Candidate 12]])), Audit[[#This Row],[Audit Candidate 12]]-Audit[[#This Row],[Candidate 12]], "")</f>
        <v/>
      </c>
      <c r="AQ553" s="18">
        <f>SUMIF(Audit[[#This Row],[Difference Winner]:[Difference Candidate 12]], "&gt;0")</f>
        <v>0</v>
      </c>
      <c r="AR553" s="18">
        <f>SUM(Audit[[#This Row],[Difference Winner]:[Difference Candidate 12]])</f>
        <v>0</v>
      </c>
      <c r="AS553" s="18">
        <f>IF(Audit[[#This Row],[Times p Drawn - With Replacement]]&gt;0, IF(Audit[[#This Row],[Canceled Differences]]&lt;0, Audit[[#This Row],[Max Differences]]+ABS(Audit[[#This Row],[Canceled Differences]]), Audit[[#This Row],[Max Differences]]), 0)</f>
        <v>0</v>
      </c>
      <c r="AT553" s="18">
        <f>'Sampling Data'!AB553</f>
        <v>5.6537990388541635E-4</v>
      </c>
      <c r="AU553" s="18">
        <f>IF(
      SUM(Audit[[#This Row],[Audit Losing Candidate]:[Audit Candidate 12]])
      &lt;&gt;0,
      (Audit[[#This Row],[Winning Candidate]]-Audit[[#This Row],[Losing Candidate]]-(Audit[[#This Row],[Audit Winning Candidate]]-Audit[[#This Row],[Audit Losing Candidate]]))/(Audit[[#Totals],[Winning Candidate]]-Audit[[#Totals],[Losing Candidate]]),
      0
)</f>
        <v>0</v>
      </c>
      <c r="AV5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8">
        <f>IF(Audit[[#This Row],[Max Relative Error (ep)]] = 0, 0, Audit[[#This Row],[Max Relative Error (ep)]]/Audit[[#This Row],[Error Bound (up) - Max. possible relative overstatement]])</f>
        <v>0</v>
      </c>
      <c r="BH5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3" s="18">
        <f t="shared" si="9"/>
        <v>1</v>
      </c>
      <c r="BJ553" s="18">
        <f>PRODUCT($BI$5:BI553)</f>
        <v>0.32656797278968008</v>
      </c>
      <c r="BK553" s="20">
        <f>1 - Audit[[#This Row],[K-M P Value]]</f>
        <v>0.67343202721031992</v>
      </c>
      <c r="BL553" s="18" t="str">
        <f>IF(Audit[[#This Row],[K-M P Value]]&gt;1-'General Info'!$B$12,"Continue", "Stop")</f>
        <v>Continue</v>
      </c>
      <c r="BM553" s="23" t="b">
        <f>IF(Audit[[#This Row],[Status - Continue or stop audit]] = "Continue", TRUE, IF(BL552 = "Continue", TRUE, FALSE))</f>
        <v>1</v>
      </c>
      <c r="BN553" s="23"/>
    </row>
    <row r="554" spans="1:66" ht="15" hidden="1" customHeight="1" x14ac:dyDescent="0.35">
      <c r="A554" s="18" t="str">
        <f>'Sampling Data'!AI554</f>
        <v/>
      </c>
      <c r="B554" s="18" t="str">
        <f>'Sampling Data'!A554</f>
        <v>9106 SYMM F   (AV)</v>
      </c>
      <c r="C554" s="18">
        <f>'Sampling Data'!B554</f>
        <v>15</v>
      </c>
      <c r="D554" s="18">
        <f>'Sampling Data'!C554</f>
        <v>0</v>
      </c>
      <c r="E554" s="19">
        <f>'Sampling Data'!D554</f>
        <v>0</v>
      </c>
      <c r="F554" s="19">
        <f>'Sampling Data'!E554</f>
        <v>0</v>
      </c>
      <c r="G554" s="19">
        <f>'Sampling Data'!F554</f>
        <v>0</v>
      </c>
      <c r="H554" s="19">
        <f>'Sampling Data'!G554</f>
        <v>0</v>
      </c>
      <c r="I554" s="19">
        <f>'Sampling Data'!H554</f>
        <v>0</v>
      </c>
      <c r="J554" s="19">
        <f>'Sampling Data'!I554</f>
        <v>0</v>
      </c>
      <c r="K554" s="19">
        <f>'Sampling Data'!J554</f>
        <v>0</v>
      </c>
      <c r="L554" s="19">
        <f>'Sampling Data'!K554</f>
        <v>0</v>
      </c>
      <c r="M554" s="19">
        <f>'Sampling Data'!L554</f>
        <v>0</v>
      </c>
      <c r="N554" s="19">
        <f>'Sampling Data'!M554</f>
        <v>0</v>
      </c>
      <c r="O554" s="18">
        <f>'Sampling Data'!N554</f>
        <v>0</v>
      </c>
      <c r="P554" s="18">
        <f>'Sampling Data'!O554</f>
        <v>0</v>
      </c>
      <c r="Q554" s="18">
        <f>'Sampling Data'!P554</f>
        <v>15</v>
      </c>
      <c r="R554" s="18">
        <f>'Sampling Data'!AJ554</f>
        <v>0</v>
      </c>
      <c r="S554" s="112"/>
      <c r="T554" s="112"/>
      <c r="U554" s="113"/>
      <c r="V554" s="113"/>
      <c r="W554" s="112"/>
      <c r="X554" s="112"/>
      <c r="Y554" s="112"/>
      <c r="Z554" s="112"/>
      <c r="AA554" s="15"/>
      <c r="AB554" s="15"/>
      <c r="AC554" s="15"/>
      <c r="AD554" s="15"/>
      <c r="AE554" s="114" t="str">
        <f>IF(NOT(ISBLANK(Audit[[#This Row],[Audit Winning Candidate]])), Audit[[#This Row],[Audit Winning Candidate]]-Audit[[#This Row],[Winning Candidate]], "")</f>
        <v/>
      </c>
      <c r="AF554" s="18" t="str">
        <f>IF(NOT(ISBLANK(Audit[[#This Row],[Audit Losing Candidate]])), Audit[[#This Row],[Audit Losing Candidate]]-Audit[[#This Row],[Losing Candidate]], "")</f>
        <v/>
      </c>
      <c r="AG554" s="18" t="str">
        <f>IF(NOT(ISBLANK(Audit[[#This Row],[Audit Candidate 3]])), Audit[[#This Row],[Audit Candidate 3]]-Audit[[#This Row],[Candidate 3]], "")</f>
        <v/>
      </c>
      <c r="AH554" s="18" t="str">
        <f>IF(NOT(ISBLANK(Audit[[#This Row],[Audit Candidate 4]])),Audit[[#This Row],[Audit Candidate 4]]-Audit[[#This Row],[Candidate 4]], "")</f>
        <v/>
      </c>
      <c r="AI554" s="18" t="str">
        <f>IF(NOT(ISBLANK(Audit[[#This Row],[Audit Candidate 5]])), Audit[[#This Row],[Audit Candidate 5]]-Audit[[#This Row],[Candidate 5]], "")</f>
        <v/>
      </c>
      <c r="AJ554" s="18" t="str">
        <f>IF(NOT(ISBLANK(Audit[[#This Row],[Audit Candidate 6]])), Audit[[#This Row],[Audit Candidate 6]]-Audit[[#This Row],[Candidate 6]], "")</f>
        <v/>
      </c>
      <c r="AK554" s="18" t="str">
        <f>IF(NOT(ISBLANK(Audit[[#This Row],[Audit Candidate 7]])), Audit[[#This Row],[Audit Candidate 7]]-Audit[[#This Row],[Candidate 7]], "")</f>
        <v/>
      </c>
      <c r="AL554" s="18" t="str">
        <f>IF(NOT(ISBLANK(Audit[[#This Row],[Audit Candidate 8]])), Audit[[#This Row],[Audit Candidate 8]]-Audit[[#This Row],[Candidate 8]], "")</f>
        <v/>
      </c>
      <c r="AM554" s="18" t="str">
        <f>IF(NOT(ISBLANK(Audit[[#This Row],[Audit Candidate 9]])), Audit[[#This Row],[Audit Candidate 9]]-Audit[[#This Row],[Candidate 9]], "")</f>
        <v/>
      </c>
      <c r="AN554" s="18" t="str">
        <f>IF(NOT(ISBLANK(Audit[[#This Row],[Audit Candidate 10]])), Audit[[#This Row],[Audit Candidate 10]]-Audit[[#This Row],[Candidate 10]], "")</f>
        <v/>
      </c>
      <c r="AO554" s="18" t="str">
        <f>IF(NOT(ISBLANK(Audit[[#This Row],[Audit Candidate 11]])), Audit[[#This Row],[Audit Candidate 11]]-Audit[[#This Row],[Candidate 11]], "")</f>
        <v/>
      </c>
      <c r="AP554" s="18" t="str">
        <f>IF(NOT(ISBLANK(Audit[[#This Row],[Audit Candidate 12]])), Audit[[#This Row],[Audit Candidate 12]]-Audit[[#This Row],[Candidate 12]], "")</f>
        <v/>
      </c>
      <c r="AQ554" s="18">
        <f>SUMIF(Audit[[#This Row],[Difference Winner]:[Difference Candidate 12]], "&gt;0")</f>
        <v>0</v>
      </c>
      <c r="AR554" s="18">
        <f>SUM(Audit[[#This Row],[Difference Winner]:[Difference Candidate 12]])</f>
        <v>0</v>
      </c>
      <c r="AS554" s="18">
        <f>IF(Audit[[#This Row],[Times p Drawn - With Replacement]]&gt;0, IF(Audit[[#This Row],[Canceled Differences]]&lt;0, Audit[[#This Row],[Max Differences]]+ABS(Audit[[#This Row],[Canceled Differences]]), Audit[[#This Row],[Max Differences]]), 0)</f>
        <v>0</v>
      </c>
      <c r="AT554" s="18">
        <f>'Sampling Data'!AB554</f>
        <v>9.4229983980902718E-4</v>
      </c>
      <c r="AU554" s="18">
        <f>IF(
      SUM(Audit[[#This Row],[Audit Losing Candidate]:[Audit Candidate 12]])
      &lt;&gt;0,
      (Audit[[#This Row],[Winning Candidate]]-Audit[[#This Row],[Losing Candidate]]-(Audit[[#This Row],[Audit Winning Candidate]]-Audit[[#This Row],[Audit Losing Candidate]]))/(Audit[[#Totals],[Winning Candidate]]-Audit[[#Totals],[Losing Candidate]]),
      0
)</f>
        <v>0</v>
      </c>
      <c r="AV5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8">
        <f>IF(Audit[[#This Row],[Max Relative Error (ep)]] = 0, 0, Audit[[#This Row],[Max Relative Error (ep)]]/Audit[[#This Row],[Error Bound (up) - Max. possible relative overstatement]])</f>
        <v>0</v>
      </c>
      <c r="BH5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4" s="18">
        <f t="shared" si="9"/>
        <v>1</v>
      </c>
      <c r="BJ554" s="18">
        <f>PRODUCT($BI$5:BI554)</f>
        <v>0.32656797278968008</v>
      </c>
      <c r="BK554" s="20">
        <f>1 - Audit[[#This Row],[K-M P Value]]</f>
        <v>0.67343202721031992</v>
      </c>
      <c r="BL554" s="18" t="str">
        <f>IF(Audit[[#This Row],[K-M P Value]]&gt;1-'General Info'!$B$12,"Continue", "Stop")</f>
        <v>Continue</v>
      </c>
      <c r="BM554" s="23" t="b">
        <f>IF(Audit[[#This Row],[Status - Continue or stop audit]] = "Continue", TRUE, IF(BL553 = "Continue", TRUE, FALSE))</f>
        <v>1</v>
      </c>
      <c r="BN554" s="23"/>
    </row>
    <row r="555" spans="1:66" ht="15" hidden="1" customHeight="1" x14ac:dyDescent="0.35">
      <c r="A555" s="18" t="str">
        <f>'Sampling Data'!AI555</f>
        <v/>
      </c>
      <c r="B555" s="18" t="str">
        <f>'Sampling Data'!A555</f>
        <v>9107 SYMM G   (AV)</v>
      </c>
      <c r="C555" s="18">
        <f>'Sampling Data'!B555</f>
        <v>6</v>
      </c>
      <c r="D555" s="18">
        <f>'Sampling Data'!C555</f>
        <v>0</v>
      </c>
      <c r="E555" s="19">
        <f>'Sampling Data'!D555</f>
        <v>0</v>
      </c>
      <c r="F555" s="19">
        <f>'Sampling Data'!E555</f>
        <v>0</v>
      </c>
      <c r="G555" s="19">
        <f>'Sampling Data'!F555</f>
        <v>0</v>
      </c>
      <c r="H555" s="19">
        <f>'Sampling Data'!G555</f>
        <v>0</v>
      </c>
      <c r="I555" s="19">
        <f>'Sampling Data'!H555</f>
        <v>0</v>
      </c>
      <c r="J555" s="19">
        <f>'Sampling Data'!I555</f>
        <v>0</v>
      </c>
      <c r="K555" s="19">
        <f>'Sampling Data'!J555</f>
        <v>0</v>
      </c>
      <c r="L555" s="19">
        <f>'Sampling Data'!K555</f>
        <v>0</v>
      </c>
      <c r="M555" s="19">
        <f>'Sampling Data'!L555</f>
        <v>0</v>
      </c>
      <c r="N555" s="19">
        <f>'Sampling Data'!M555</f>
        <v>0</v>
      </c>
      <c r="O555" s="18">
        <f>'Sampling Data'!N555</f>
        <v>0</v>
      </c>
      <c r="P555" s="18">
        <f>'Sampling Data'!O555</f>
        <v>0</v>
      </c>
      <c r="Q555" s="18">
        <f>'Sampling Data'!P555</f>
        <v>6</v>
      </c>
      <c r="R555" s="18">
        <f>'Sampling Data'!AJ555</f>
        <v>0</v>
      </c>
      <c r="S555" s="112"/>
      <c r="T555" s="112"/>
      <c r="U555" s="113"/>
      <c r="V555" s="113"/>
      <c r="W555" s="112"/>
      <c r="X555" s="112"/>
      <c r="Y555" s="112"/>
      <c r="Z555" s="112"/>
      <c r="AA555" s="15"/>
      <c r="AB555" s="15"/>
      <c r="AC555" s="15"/>
      <c r="AD555" s="15"/>
      <c r="AE555" s="114" t="str">
        <f>IF(NOT(ISBLANK(Audit[[#This Row],[Audit Winning Candidate]])), Audit[[#This Row],[Audit Winning Candidate]]-Audit[[#This Row],[Winning Candidate]], "")</f>
        <v/>
      </c>
      <c r="AF555" s="18" t="str">
        <f>IF(NOT(ISBLANK(Audit[[#This Row],[Audit Losing Candidate]])), Audit[[#This Row],[Audit Losing Candidate]]-Audit[[#This Row],[Losing Candidate]], "")</f>
        <v/>
      </c>
      <c r="AG555" s="18" t="str">
        <f>IF(NOT(ISBLANK(Audit[[#This Row],[Audit Candidate 3]])), Audit[[#This Row],[Audit Candidate 3]]-Audit[[#This Row],[Candidate 3]], "")</f>
        <v/>
      </c>
      <c r="AH555" s="18" t="str">
        <f>IF(NOT(ISBLANK(Audit[[#This Row],[Audit Candidate 4]])),Audit[[#This Row],[Audit Candidate 4]]-Audit[[#This Row],[Candidate 4]], "")</f>
        <v/>
      </c>
      <c r="AI555" s="18" t="str">
        <f>IF(NOT(ISBLANK(Audit[[#This Row],[Audit Candidate 5]])), Audit[[#This Row],[Audit Candidate 5]]-Audit[[#This Row],[Candidate 5]], "")</f>
        <v/>
      </c>
      <c r="AJ555" s="18" t="str">
        <f>IF(NOT(ISBLANK(Audit[[#This Row],[Audit Candidate 6]])), Audit[[#This Row],[Audit Candidate 6]]-Audit[[#This Row],[Candidate 6]], "")</f>
        <v/>
      </c>
      <c r="AK555" s="18" t="str">
        <f>IF(NOT(ISBLANK(Audit[[#This Row],[Audit Candidate 7]])), Audit[[#This Row],[Audit Candidate 7]]-Audit[[#This Row],[Candidate 7]], "")</f>
        <v/>
      </c>
      <c r="AL555" s="18" t="str">
        <f>IF(NOT(ISBLANK(Audit[[#This Row],[Audit Candidate 8]])), Audit[[#This Row],[Audit Candidate 8]]-Audit[[#This Row],[Candidate 8]], "")</f>
        <v/>
      </c>
      <c r="AM555" s="18" t="str">
        <f>IF(NOT(ISBLANK(Audit[[#This Row],[Audit Candidate 9]])), Audit[[#This Row],[Audit Candidate 9]]-Audit[[#This Row],[Candidate 9]], "")</f>
        <v/>
      </c>
      <c r="AN555" s="18" t="str">
        <f>IF(NOT(ISBLANK(Audit[[#This Row],[Audit Candidate 10]])), Audit[[#This Row],[Audit Candidate 10]]-Audit[[#This Row],[Candidate 10]], "")</f>
        <v/>
      </c>
      <c r="AO555" s="18" t="str">
        <f>IF(NOT(ISBLANK(Audit[[#This Row],[Audit Candidate 11]])), Audit[[#This Row],[Audit Candidate 11]]-Audit[[#This Row],[Candidate 11]], "")</f>
        <v/>
      </c>
      <c r="AP555" s="18" t="str">
        <f>IF(NOT(ISBLANK(Audit[[#This Row],[Audit Candidate 12]])), Audit[[#This Row],[Audit Candidate 12]]-Audit[[#This Row],[Candidate 12]], "")</f>
        <v/>
      </c>
      <c r="AQ555" s="18">
        <f>SUMIF(Audit[[#This Row],[Difference Winner]:[Difference Candidate 12]], "&gt;0")</f>
        <v>0</v>
      </c>
      <c r="AR555" s="18">
        <f>SUM(Audit[[#This Row],[Difference Winner]:[Difference Candidate 12]])</f>
        <v>0</v>
      </c>
      <c r="AS555" s="18">
        <f>IF(Audit[[#This Row],[Times p Drawn - With Replacement]]&gt;0, IF(Audit[[#This Row],[Canceled Differences]]&lt;0, Audit[[#This Row],[Max Differences]]+ABS(Audit[[#This Row],[Canceled Differences]]), Audit[[#This Row],[Max Differences]]), 0)</f>
        <v>0</v>
      </c>
      <c r="AT555" s="18">
        <f>'Sampling Data'!AB555</f>
        <v>3.7691993592361088E-4</v>
      </c>
      <c r="AU555" s="18">
        <f>IF(
      SUM(Audit[[#This Row],[Audit Losing Candidate]:[Audit Candidate 12]])
      &lt;&gt;0,
      (Audit[[#This Row],[Winning Candidate]]-Audit[[#This Row],[Losing Candidate]]-(Audit[[#This Row],[Audit Winning Candidate]]-Audit[[#This Row],[Audit Losing Candidate]]))/(Audit[[#Totals],[Winning Candidate]]-Audit[[#Totals],[Losing Candidate]]),
      0
)</f>
        <v>0</v>
      </c>
      <c r="AV5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8">
        <f>IF(Audit[[#This Row],[Max Relative Error (ep)]] = 0, 0, Audit[[#This Row],[Max Relative Error (ep)]]/Audit[[#This Row],[Error Bound (up) - Max. possible relative overstatement]])</f>
        <v>0</v>
      </c>
      <c r="BH5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5" s="18">
        <f t="shared" si="9"/>
        <v>1</v>
      </c>
      <c r="BJ555" s="18">
        <f>PRODUCT($BI$5:BI555)</f>
        <v>0.32656797278968008</v>
      </c>
      <c r="BK555" s="20">
        <f>1 - Audit[[#This Row],[K-M P Value]]</f>
        <v>0.67343202721031992</v>
      </c>
      <c r="BL555" s="18" t="str">
        <f>IF(Audit[[#This Row],[K-M P Value]]&gt;1-'General Info'!$B$12,"Continue", "Stop")</f>
        <v>Continue</v>
      </c>
      <c r="BM555" s="23" t="b">
        <f>IF(Audit[[#This Row],[Status - Continue or stop audit]] = "Continue", TRUE, IF(BL554 = "Continue", TRUE, FALSE))</f>
        <v>1</v>
      </c>
      <c r="BN555" s="23"/>
    </row>
    <row r="556" spans="1:66" ht="15" hidden="1" customHeight="1" x14ac:dyDescent="0.35">
      <c r="A556" s="18" t="str">
        <f>'Sampling Data'!AI556</f>
        <v/>
      </c>
      <c r="B556" s="18" t="str">
        <f>'Sampling Data'!A556</f>
        <v>9108 SYMM H   (AV)</v>
      </c>
      <c r="C556" s="18">
        <f>'Sampling Data'!B556</f>
        <v>2</v>
      </c>
      <c r="D556" s="18">
        <f>'Sampling Data'!C556</f>
        <v>3</v>
      </c>
      <c r="E556" s="19">
        <f>'Sampling Data'!D556</f>
        <v>0</v>
      </c>
      <c r="F556" s="19">
        <f>'Sampling Data'!E556</f>
        <v>0</v>
      </c>
      <c r="G556" s="19">
        <f>'Sampling Data'!F556</f>
        <v>0</v>
      </c>
      <c r="H556" s="19">
        <f>'Sampling Data'!G556</f>
        <v>0</v>
      </c>
      <c r="I556" s="19">
        <f>'Sampling Data'!H556</f>
        <v>0</v>
      </c>
      <c r="J556" s="19">
        <f>'Sampling Data'!I556</f>
        <v>0</v>
      </c>
      <c r="K556" s="19">
        <f>'Sampling Data'!J556</f>
        <v>0</v>
      </c>
      <c r="L556" s="19">
        <f>'Sampling Data'!K556</f>
        <v>0</v>
      </c>
      <c r="M556" s="19">
        <f>'Sampling Data'!L556</f>
        <v>0</v>
      </c>
      <c r="N556" s="19">
        <f>'Sampling Data'!M556</f>
        <v>0</v>
      </c>
      <c r="O556" s="18">
        <f>'Sampling Data'!N556</f>
        <v>0</v>
      </c>
      <c r="P556" s="18">
        <f>'Sampling Data'!O556</f>
        <v>0</v>
      </c>
      <c r="Q556" s="18">
        <f>'Sampling Data'!P556</f>
        <v>5</v>
      </c>
      <c r="R556" s="18">
        <f>'Sampling Data'!AJ556</f>
        <v>0</v>
      </c>
      <c r="S556" s="112"/>
      <c r="T556" s="112"/>
      <c r="U556" s="113"/>
      <c r="V556" s="113"/>
      <c r="W556" s="112"/>
      <c r="X556" s="112"/>
      <c r="Y556" s="112"/>
      <c r="Z556" s="112"/>
      <c r="AA556" s="15"/>
      <c r="AB556" s="15"/>
      <c r="AC556" s="15"/>
      <c r="AD556" s="15"/>
      <c r="AE556" s="114" t="str">
        <f>IF(NOT(ISBLANK(Audit[[#This Row],[Audit Winning Candidate]])), Audit[[#This Row],[Audit Winning Candidate]]-Audit[[#This Row],[Winning Candidate]], "")</f>
        <v/>
      </c>
      <c r="AF556" s="18" t="str">
        <f>IF(NOT(ISBLANK(Audit[[#This Row],[Audit Losing Candidate]])), Audit[[#This Row],[Audit Losing Candidate]]-Audit[[#This Row],[Losing Candidate]], "")</f>
        <v/>
      </c>
      <c r="AG556" s="18" t="str">
        <f>IF(NOT(ISBLANK(Audit[[#This Row],[Audit Candidate 3]])), Audit[[#This Row],[Audit Candidate 3]]-Audit[[#This Row],[Candidate 3]], "")</f>
        <v/>
      </c>
      <c r="AH556" s="18" t="str">
        <f>IF(NOT(ISBLANK(Audit[[#This Row],[Audit Candidate 4]])),Audit[[#This Row],[Audit Candidate 4]]-Audit[[#This Row],[Candidate 4]], "")</f>
        <v/>
      </c>
      <c r="AI556" s="18" t="str">
        <f>IF(NOT(ISBLANK(Audit[[#This Row],[Audit Candidate 5]])), Audit[[#This Row],[Audit Candidate 5]]-Audit[[#This Row],[Candidate 5]], "")</f>
        <v/>
      </c>
      <c r="AJ556" s="18" t="str">
        <f>IF(NOT(ISBLANK(Audit[[#This Row],[Audit Candidate 6]])), Audit[[#This Row],[Audit Candidate 6]]-Audit[[#This Row],[Candidate 6]], "")</f>
        <v/>
      </c>
      <c r="AK556" s="18" t="str">
        <f>IF(NOT(ISBLANK(Audit[[#This Row],[Audit Candidate 7]])), Audit[[#This Row],[Audit Candidate 7]]-Audit[[#This Row],[Candidate 7]], "")</f>
        <v/>
      </c>
      <c r="AL556" s="18" t="str">
        <f>IF(NOT(ISBLANK(Audit[[#This Row],[Audit Candidate 8]])), Audit[[#This Row],[Audit Candidate 8]]-Audit[[#This Row],[Candidate 8]], "")</f>
        <v/>
      </c>
      <c r="AM556" s="18" t="str">
        <f>IF(NOT(ISBLANK(Audit[[#This Row],[Audit Candidate 9]])), Audit[[#This Row],[Audit Candidate 9]]-Audit[[#This Row],[Candidate 9]], "")</f>
        <v/>
      </c>
      <c r="AN556" s="18" t="str">
        <f>IF(NOT(ISBLANK(Audit[[#This Row],[Audit Candidate 10]])), Audit[[#This Row],[Audit Candidate 10]]-Audit[[#This Row],[Candidate 10]], "")</f>
        <v/>
      </c>
      <c r="AO556" s="18" t="str">
        <f>IF(NOT(ISBLANK(Audit[[#This Row],[Audit Candidate 11]])), Audit[[#This Row],[Audit Candidate 11]]-Audit[[#This Row],[Candidate 11]], "")</f>
        <v/>
      </c>
      <c r="AP556" s="18" t="str">
        <f>IF(NOT(ISBLANK(Audit[[#This Row],[Audit Candidate 12]])), Audit[[#This Row],[Audit Candidate 12]]-Audit[[#This Row],[Candidate 12]], "")</f>
        <v/>
      </c>
      <c r="AQ556" s="18">
        <f>SUMIF(Audit[[#This Row],[Difference Winner]:[Difference Candidate 12]], "&gt;0")</f>
        <v>0</v>
      </c>
      <c r="AR556" s="18">
        <f>SUM(Audit[[#This Row],[Difference Winner]:[Difference Candidate 12]])</f>
        <v>0</v>
      </c>
      <c r="AS556" s="18">
        <f>IF(Audit[[#This Row],[Times p Drawn - With Replacement]]&gt;0, IF(Audit[[#This Row],[Canceled Differences]]&lt;0, Audit[[#This Row],[Max Differences]]+ABS(Audit[[#This Row],[Canceled Differences]]), Audit[[#This Row],[Max Differences]]), 0)</f>
        <v>0</v>
      </c>
      <c r="AT556" s="18">
        <f>'Sampling Data'!AB556</f>
        <v>1.2563997864120362E-4</v>
      </c>
      <c r="AU556" s="18">
        <f>IF(
      SUM(Audit[[#This Row],[Audit Losing Candidate]:[Audit Candidate 12]])
      &lt;&gt;0,
      (Audit[[#This Row],[Winning Candidate]]-Audit[[#This Row],[Losing Candidate]]-(Audit[[#This Row],[Audit Winning Candidate]]-Audit[[#This Row],[Audit Losing Candidate]]))/(Audit[[#Totals],[Winning Candidate]]-Audit[[#Totals],[Losing Candidate]]),
      0
)</f>
        <v>0</v>
      </c>
      <c r="AV5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8">
        <f>IF(Audit[[#This Row],[Max Relative Error (ep)]] = 0, 0, Audit[[#This Row],[Max Relative Error (ep)]]/Audit[[#This Row],[Error Bound (up) - Max. possible relative overstatement]])</f>
        <v>0</v>
      </c>
      <c r="BH5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6" s="18">
        <f t="shared" si="9"/>
        <v>1</v>
      </c>
      <c r="BJ556" s="18">
        <f>PRODUCT($BI$5:BI556)</f>
        <v>0.32656797278968008</v>
      </c>
      <c r="BK556" s="20">
        <f>1 - Audit[[#This Row],[K-M P Value]]</f>
        <v>0.67343202721031992</v>
      </c>
      <c r="BL556" s="18" t="str">
        <f>IF(Audit[[#This Row],[K-M P Value]]&gt;1-'General Info'!$B$12,"Continue", "Stop")</f>
        <v>Continue</v>
      </c>
      <c r="BM556" s="23" t="b">
        <f>IF(Audit[[#This Row],[Status - Continue or stop audit]] = "Continue", TRUE, IF(BL555 = "Continue", TRUE, FALSE))</f>
        <v>1</v>
      </c>
      <c r="BN556" s="23"/>
    </row>
    <row r="557" spans="1:66" ht="15" hidden="1" customHeight="1" x14ac:dyDescent="0.35">
      <c r="A557" s="18" t="str">
        <f>'Sampling Data'!AI557</f>
        <v/>
      </c>
      <c r="B557" s="18" t="str">
        <f>'Sampling Data'!A557</f>
        <v>9109 SYMM I   (AV)</v>
      </c>
      <c r="C557" s="18">
        <f>'Sampling Data'!B557</f>
        <v>2</v>
      </c>
      <c r="D557" s="18">
        <f>'Sampling Data'!C557</f>
        <v>0</v>
      </c>
      <c r="E557" s="19">
        <f>'Sampling Data'!D557</f>
        <v>0</v>
      </c>
      <c r="F557" s="19">
        <f>'Sampling Data'!E557</f>
        <v>0</v>
      </c>
      <c r="G557" s="19">
        <f>'Sampling Data'!F557</f>
        <v>0</v>
      </c>
      <c r="H557" s="19">
        <f>'Sampling Data'!G557</f>
        <v>0</v>
      </c>
      <c r="I557" s="19">
        <f>'Sampling Data'!H557</f>
        <v>0</v>
      </c>
      <c r="J557" s="19">
        <f>'Sampling Data'!I557</f>
        <v>0</v>
      </c>
      <c r="K557" s="19">
        <f>'Sampling Data'!J557</f>
        <v>0</v>
      </c>
      <c r="L557" s="19">
        <f>'Sampling Data'!K557</f>
        <v>0</v>
      </c>
      <c r="M557" s="19">
        <f>'Sampling Data'!L557</f>
        <v>0</v>
      </c>
      <c r="N557" s="19">
        <f>'Sampling Data'!M557</f>
        <v>0</v>
      </c>
      <c r="O557" s="18">
        <f>'Sampling Data'!N557</f>
        <v>0</v>
      </c>
      <c r="P557" s="18">
        <f>'Sampling Data'!O557</f>
        <v>0</v>
      </c>
      <c r="Q557" s="18">
        <f>'Sampling Data'!P557</f>
        <v>2</v>
      </c>
      <c r="R557" s="18">
        <f>'Sampling Data'!AJ557</f>
        <v>0</v>
      </c>
      <c r="S557" s="112"/>
      <c r="T557" s="112"/>
      <c r="U557" s="113"/>
      <c r="V557" s="113"/>
      <c r="W557" s="112"/>
      <c r="X557" s="112"/>
      <c r="Y557" s="112"/>
      <c r="Z557" s="112"/>
      <c r="AA557" s="15"/>
      <c r="AB557" s="15"/>
      <c r="AC557" s="15"/>
      <c r="AD557" s="15"/>
      <c r="AE557" s="114" t="str">
        <f>IF(NOT(ISBLANK(Audit[[#This Row],[Audit Winning Candidate]])), Audit[[#This Row],[Audit Winning Candidate]]-Audit[[#This Row],[Winning Candidate]], "")</f>
        <v/>
      </c>
      <c r="AF557" s="18" t="str">
        <f>IF(NOT(ISBLANK(Audit[[#This Row],[Audit Losing Candidate]])), Audit[[#This Row],[Audit Losing Candidate]]-Audit[[#This Row],[Losing Candidate]], "")</f>
        <v/>
      </c>
      <c r="AG557" s="18" t="str">
        <f>IF(NOT(ISBLANK(Audit[[#This Row],[Audit Candidate 3]])), Audit[[#This Row],[Audit Candidate 3]]-Audit[[#This Row],[Candidate 3]], "")</f>
        <v/>
      </c>
      <c r="AH557" s="18" t="str">
        <f>IF(NOT(ISBLANK(Audit[[#This Row],[Audit Candidate 4]])),Audit[[#This Row],[Audit Candidate 4]]-Audit[[#This Row],[Candidate 4]], "")</f>
        <v/>
      </c>
      <c r="AI557" s="18" t="str">
        <f>IF(NOT(ISBLANK(Audit[[#This Row],[Audit Candidate 5]])), Audit[[#This Row],[Audit Candidate 5]]-Audit[[#This Row],[Candidate 5]], "")</f>
        <v/>
      </c>
      <c r="AJ557" s="18" t="str">
        <f>IF(NOT(ISBLANK(Audit[[#This Row],[Audit Candidate 6]])), Audit[[#This Row],[Audit Candidate 6]]-Audit[[#This Row],[Candidate 6]], "")</f>
        <v/>
      </c>
      <c r="AK557" s="18" t="str">
        <f>IF(NOT(ISBLANK(Audit[[#This Row],[Audit Candidate 7]])), Audit[[#This Row],[Audit Candidate 7]]-Audit[[#This Row],[Candidate 7]], "")</f>
        <v/>
      </c>
      <c r="AL557" s="18" t="str">
        <f>IF(NOT(ISBLANK(Audit[[#This Row],[Audit Candidate 8]])), Audit[[#This Row],[Audit Candidate 8]]-Audit[[#This Row],[Candidate 8]], "")</f>
        <v/>
      </c>
      <c r="AM557" s="18" t="str">
        <f>IF(NOT(ISBLANK(Audit[[#This Row],[Audit Candidate 9]])), Audit[[#This Row],[Audit Candidate 9]]-Audit[[#This Row],[Candidate 9]], "")</f>
        <v/>
      </c>
      <c r="AN557" s="18" t="str">
        <f>IF(NOT(ISBLANK(Audit[[#This Row],[Audit Candidate 10]])), Audit[[#This Row],[Audit Candidate 10]]-Audit[[#This Row],[Candidate 10]], "")</f>
        <v/>
      </c>
      <c r="AO557" s="18" t="str">
        <f>IF(NOT(ISBLANK(Audit[[#This Row],[Audit Candidate 11]])), Audit[[#This Row],[Audit Candidate 11]]-Audit[[#This Row],[Candidate 11]], "")</f>
        <v/>
      </c>
      <c r="AP557" s="18" t="str">
        <f>IF(NOT(ISBLANK(Audit[[#This Row],[Audit Candidate 12]])), Audit[[#This Row],[Audit Candidate 12]]-Audit[[#This Row],[Candidate 12]], "")</f>
        <v/>
      </c>
      <c r="AQ557" s="18">
        <f>SUMIF(Audit[[#This Row],[Difference Winner]:[Difference Candidate 12]], "&gt;0")</f>
        <v>0</v>
      </c>
      <c r="AR557" s="18">
        <f>SUM(Audit[[#This Row],[Difference Winner]:[Difference Candidate 12]])</f>
        <v>0</v>
      </c>
      <c r="AS557" s="18">
        <f>IF(Audit[[#This Row],[Times p Drawn - With Replacement]]&gt;0, IF(Audit[[#This Row],[Canceled Differences]]&lt;0, Audit[[#This Row],[Max Differences]]+ABS(Audit[[#This Row],[Canceled Differences]]), Audit[[#This Row],[Max Differences]]), 0)</f>
        <v>0</v>
      </c>
      <c r="AT557" s="18">
        <f>'Sampling Data'!AB557</f>
        <v>1.2563997864120362E-4</v>
      </c>
      <c r="AU557" s="18">
        <f>IF(
      SUM(Audit[[#This Row],[Audit Losing Candidate]:[Audit Candidate 12]])
      &lt;&gt;0,
      (Audit[[#This Row],[Winning Candidate]]-Audit[[#This Row],[Losing Candidate]]-(Audit[[#This Row],[Audit Winning Candidate]]-Audit[[#This Row],[Audit Losing Candidate]]))/(Audit[[#Totals],[Winning Candidate]]-Audit[[#Totals],[Losing Candidate]]),
      0
)</f>
        <v>0</v>
      </c>
      <c r="AV5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8">
        <f>IF(Audit[[#This Row],[Max Relative Error (ep)]] = 0, 0, Audit[[#This Row],[Max Relative Error (ep)]]/Audit[[#This Row],[Error Bound (up) - Max. possible relative overstatement]])</f>
        <v>0</v>
      </c>
      <c r="BH5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7" s="18">
        <f t="shared" si="9"/>
        <v>1</v>
      </c>
      <c r="BJ557" s="18">
        <f>PRODUCT($BI$5:BI557)</f>
        <v>0.32656797278968008</v>
      </c>
      <c r="BK557" s="20">
        <f>1 - Audit[[#This Row],[K-M P Value]]</f>
        <v>0.67343202721031992</v>
      </c>
      <c r="BL557" s="18" t="str">
        <f>IF(Audit[[#This Row],[K-M P Value]]&gt;1-'General Info'!$B$12,"Continue", "Stop")</f>
        <v>Continue</v>
      </c>
      <c r="BM557" s="23" t="b">
        <f>IF(Audit[[#This Row],[Status - Continue or stop audit]] = "Continue", TRUE, IF(BL556 = "Continue", TRUE, FALSE))</f>
        <v>1</v>
      </c>
      <c r="BN557" s="23"/>
    </row>
    <row r="558" spans="1:66" ht="15" hidden="1" customHeight="1" x14ac:dyDescent="0.35">
      <c r="A558" s="18" t="str">
        <f>'Sampling Data'!AI558</f>
        <v/>
      </c>
      <c r="B558" s="18" t="str">
        <f>'Sampling Data'!A558</f>
        <v>9110 SYMM J   (AV)</v>
      </c>
      <c r="C558" s="18">
        <f>'Sampling Data'!B558</f>
        <v>10</v>
      </c>
      <c r="D558" s="18">
        <f>'Sampling Data'!C558</f>
        <v>2</v>
      </c>
      <c r="E558" s="19">
        <f>'Sampling Data'!D558</f>
        <v>0</v>
      </c>
      <c r="F558" s="19">
        <f>'Sampling Data'!E558</f>
        <v>0</v>
      </c>
      <c r="G558" s="19">
        <f>'Sampling Data'!F558</f>
        <v>0</v>
      </c>
      <c r="H558" s="19">
        <f>'Sampling Data'!G558</f>
        <v>0</v>
      </c>
      <c r="I558" s="19">
        <f>'Sampling Data'!H558</f>
        <v>0</v>
      </c>
      <c r="J558" s="19">
        <f>'Sampling Data'!I558</f>
        <v>0</v>
      </c>
      <c r="K558" s="19">
        <f>'Sampling Data'!J558</f>
        <v>0</v>
      </c>
      <c r="L558" s="19">
        <f>'Sampling Data'!K558</f>
        <v>0</v>
      </c>
      <c r="M558" s="19">
        <f>'Sampling Data'!L558</f>
        <v>0</v>
      </c>
      <c r="N558" s="19">
        <f>'Sampling Data'!M558</f>
        <v>0</v>
      </c>
      <c r="O558" s="18">
        <f>'Sampling Data'!N558</f>
        <v>0</v>
      </c>
      <c r="P558" s="18">
        <f>'Sampling Data'!O558</f>
        <v>0</v>
      </c>
      <c r="Q558" s="18">
        <f>'Sampling Data'!P558</f>
        <v>12</v>
      </c>
      <c r="R558" s="18">
        <f>'Sampling Data'!AJ558</f>
        <v>0</v>
      </c>
      <c r="S558" s="112"/>
      <c r="T558" s="112"/>
      <c r="U558" s="113"/>
      <c r="V558" s="113"/>
      <c r="W558" s="112"/>
      <c r="X558" s="112"/>
      <c r="Y558" s="112"/>
      <c r="Z558" s="112"/>
      <c r="AA558" s="15"/>
      <c r="AB558" s="15"/>
      <c r="AC558" s="15"/>
      <c r="AD558" s="15"/>
      <c r="AE558" s="114" t="str">
        <f>IF(NOT(ISBLANK(Audit[[#This Row],[Audit Winning Candidate]])), Audit[[#This Row],[Audit Winning Candidate]]-Audit[[#This Row],[Winning Candidate]], "")</f>
        <v/>
      </c>
      <c r="AF558" s="18" t="str">
        <f>IF(NOT(ISBLANK(Audit[[#This Row],[Audit Losing Candidate]])), Audit[[#This Row],[Audit Losing Candidate]]-Audit[[#This Row],[Losing Candidate]], "")</f>
        <v/>
      </c>
      <c r="AG558" s="18" t="str">
        <f>IF(NOT(ISBLANK(Audit[[#This Row],[Audit Candidate 3]])), Audit[[#This Row],[Audit Candidate 3]]-Audit[[#This Row],[Candidate 3]], "")</f>
        <v/>
      </c>
      <c r="AH558" s="18" t="str">
        <f>IF(NOT(ISBLANK(Audit[[#This Row],[Audit Candidate 4]])),Audit[[#This Row],[Audit Candidate 4]]-Audit[[#This Row],[Candidate 4]], "")</f>
        <v/>
      </c>
      <c r="AI558" s="18" t="str">
        <f>IF(NOT(ISBLANK(Audit[[#This Row],[Audit Candidate 5]])), Audit[[#This Row],[Audit Candidate 5]]-Audit[[#This Row],[Candidate 5]], "")</f>
        <v/>
      </c>
      <c r="AJ558" s="18" t="str">
        <f>IF(NOT(ISBLANK(Audit[[#This Row],[Audit Candidate 6]])), Audit[[#This Row],[Audit Candidate 6]]-Audit[[#This Row],[Candidate 6]], "")</f>
        <v/>
      </c>
      <c r="AK558" s="18" t="str">
        <f>IF(NOT(ISBLANK(Audit[[#This Row],[Audit Candidate 7]])), Audit[[#This Row],[Audit Candidate 7]]-Audit[[#This Row],[Candidate 7]], "")</f>
        <v/>
      </c>
      <c r="AL558" s="18" t="str">
        <f>IF(NOT(ISBLANK(Audit[[#This Row],[Audit Candidate 8]])), Audit[[#This Row],[Audit Candidate 8]]-Audit[[#This Row],[Candidate 8]], "")</f>
        <v/>
      </c>
      <c r="AM558" s="18" t="str">
        <f>IF(NOT(ISBLANK(Audit[[#This Row],[Audit Candidate 9]])), Audit[[#This Row],[Audit Candidate 9]]-Audit[[#This Row],[Candidate 9]], "")</f>
        <v/>
      </c>
      <c r="AN558" s="18" t="str">
        <f>IF(NOT(ISBLANK(Audit[[#This Row],[Audit Candidate 10]])), Audit[[#This Row],[Audit Candidate 10]]-Audit[[#This Row],[Candidate 10]], "")</f>
        <v/>
      </c>
      <c r="AO558" s="18" t="str">
        <f>IF(NOT(ISBLANK(Audit[[#This Row],[Audit Candidate 11]])), Audit[[#This Row],[Audit Candidate 11]]-Audit[[#This Row],[Candidate 11]], "")</f>
        <v/>
      </c>
      <c r="AP558" s="18" t="str">
        <f>IF(NOT(ISBLANK(Audit[[#This Row],[Audit Candidate 12]])), Audit[[#This Row],[Audit Candidate 12]]-Audit[[#This Row],[Candidate 12]], "")</f>
        <v/>
      </c>
      <c r="AQ558" s="18">
        <f>SUMIF(Audit[[#This Row],[Difference Winner]:[Difference Candidate 12]], "&gt;0")</f>
        <v>0</v>
      </c>
      <c r="AR558" s="18">
        <f>SUM(Audit[[#This Row],[Difference Winner]:[Difference Candidate 12]])</f>
        <v>0</v>
      </c>
      <c r="AS558" s="18">
        <f>IF(Audit[[#This Row],[Times p Drawn - With Replacement]]&gt;0, IF(Audit[[#This Row],[Canceled Differences]]&lt;0, Audit[[#This Row],[Max Differences]]+ABS(Audit[[#This Row],[Canceled Differences]]), Audit[[#This Row],[Max Differences]]), 0)</f>
        <v>0</v>
      </c>
      <c r="AT558" s="18">
        <f>'Sampling Data'!AB558</f>
        <v>6.2819989320601812E-4</v>
      </c>
      <c r="AU558" s="18">
        <f>IF(
      SUM(Audit[[#This Row],[Audit Losing Candidate]:[Audit Candidate 12]])
      &lt;&gt;0,
      (Audit[[#This Row],[Winning Candidate]]-Audit[[#This Row],[Losing Candidate]]-(Audit[[#This Row],[Audit Winning Candidate]]-Audit[[#This Row],[Audit Losing Candidate]]))/(Audit[[#Totals],[Winning Candidate]]-Audit[[#Totals],[Losing Candidate]]),
      0
)</f>
        <v>0</v>
      </c>
      <c r="AV5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8">
        <f>IF(Audit[[#This Row],[Max Relative Error (ep)]] = 0, 0, Audit[[#This Row],[Max Relative Error (ep)]]/Audit[[#This Row],[Error Bound (up) - Max. possible relative overstatement]])</f>
        <v>0</v>
      </c>
      <c r="BH5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8" s="18">
        <f t="shared" si="9"/>
        <v>1</v>
      </c>
      <c r="BJ558" s="18">
        <f>PRODUCT($BI$5:BI558)</f>
        <v>0.32656797278968008</v>
      </c>
      <c r="BK558" s="20">
        <f>1 - Audit[[#This Row],[K-M P Value]]</f>
        <v>0.67343202721031992</v>
      </c>
      <c r="BL558" s="18" t="str">
        <f>IF(Audit[[#This Row],[K-M P Value]]&gt;1-'General Info'!$B$12,"Continue", "Stop")</f>
        <v>Continue</v>
      </c>
      <c r="BM558" s="23" t="b">
        <f>IF(Audit[[#This Row],[Status - Continue or stop audit]] = "Continue", TRUE, IF(BL557 = "Continue", TRUE, FALSE))</f>
        <v>1</v>
      </c>
      <c r="BN558" s="23"/>
    </row>
    <row r="559" spans="1:66" ht="15" hidden="1" customHeight="1" x14ac:dyDescent="0.35">
      <c r="A559" s="18" t="str">
        <f>'Sampling Data'!AI559</f>
        <v/>
      </c>
      <c r="B559" s="18" t="str">
        <f>'Sampling Data'!A559</f>
        <v>9111 SYMM K   (AV)</v>
      </c>
      <c r="C559" s="18">
        <f>'Sampling Data'!B559</f>
        <v>8</v>
      </c>
      <c r="D559" s="18">
        <f>'Sampling Data'!C559</f>
        <v>0</v>
      </c>
      <c r="E559" s="19">
        <f>'Sampling Data'!D559</f>
        <v>0</v>
      </c>
      <c r="F559" s="19">
        <f>'Sampling Data'!E559</f>
        <v>0</v>
      </c>
      <c r="G559" s="19">
        <f>'Sampling Data'!F559</f>
        <v>0</v>
      </c>
      <c r="H559" s="19">
        <f>'Sampling Data'!G559</f>
        <v>0</v>
      </c>
      <c r="I559" s="19">
        <f>'Sampling Data'!H559</f>
        <v>0</v>
      </c>
      <c r="J559" s="19">
        <f>'Sampling Data'!I559</f>
        <v>0</v>
      </c>
      <c r="K559" s="19">
        <f>'Sampling Data'!J559</f>
        <v>0</v>
      </c>
      <c r="L559" s="19">
        <f>'Sampling Data'!K559</f>
        <v>0</v>
      </c>
      <c r="M559" s="19">
        <f>'Sampling Data'!L559</f>
        <v>0</v>
      </c>
      <c r="N559" s="19">
        <f>'Sampling Data'!M559</f>
        <v>0</v>
      </c>
      <c r="O559" s="18">
        <f>'Sampling Data'!N559</f>
        <v>0</v>
      </c>
      <c r="P559" s="18">
        <f>'Sampling Data'!O559</f>
        <v>0</v>
      </c>
      <c r="Q559" s="18">
        <f>'Sampling Data'!P559</f>
        <v>8</v>
      </c>
      <c r="R559" s="18">
        <f>'Sampling Data'!AJ559</f>
        <v>0</v>
      </c>
      <c r="S559" s="112"/>
      <c r="T559" s="112"/>
      <c r="U559" s="113"/>
      <c r="V559" s="113"/>
      <c r="W559" s="112"/>
      <c r="X559" s="112"/>
      <c r="Y559" s="112"/>
      <c r="Z559" s="112"/>
      <c r="AA559" s="15"/>
      <c r="AB559" s="15"/>
      <c r="AC559" s="15"/>
      <c r="AD559" s="15"/>
      <c r="AE559" s="114" t="str">
        <f>IF(NOT(ISBLANK(Audit[[#This Row],[Audit Winning Candidate]])), Audit[[#This Row],[Audit Winning Candidate]]-Audit[[#This Row],[Winning Candidate]], "")</f>
        <v/>
      </c>
      <c r="AF559" s="18" t="str">
        <f>IF(NOT(ISBLANK(Audit[[#This Row],[Audit Losing Candidate]])), Audit[[#This Row],[Audit Losing Candidate]]-Audit[[#This Row],[Losing Candidate]], "")</f>
        <v/>
      </c>
      <c r="AG559" s="18" t="str">
        <f>IF(NOT(ISBLANK(Audit[[#This Row],[Audit Candidate 3]])), Audit[[#This Row],[Audit Candidate 3]]-Audit[[#This Row],[Candidate 3]], "")</f>
        <v/>
      </c>
      <c r="AH559" s="18" t="str">
        <f>IF(NOT(ISBLANK(Audit[[#This Row],[Audit Candidate 4]])),Audit[[#This Row],[Audit Candidate 4]]-Audit[[#This Row],[Candidate 4]], "")</f>
        <v/>
      </c>
      <c r="AI559" s="18" t="str">
        <f>IF(NOT(ISBLANK(Audit[[#This Row],[Audit Candidate 5]])), Audit[[#This Row],[Audit Candidate 5]]-Audit[[#This Row],[Candidate 5]], "")</f>
        <v/>
      </c>
      <c r="AJ559" s="18" t="str">
        <f>IF(NOT(ISBLANK(Audit[[#This Row],[Audit Candidate 6]])), Audit[[#This Row],[Audit Candidate 6]]-Audit[[#This Row],[Candidate 6]], "")</f>
        <v/>
      </c>
      <c r="AK559" s="18" t="str">
        <f>IF(NOT(ISBLANK(Audit[[#This Row],[Audit Candidate 7]])), Audit[[#This Row],[Audit Candidate 7]]-Audit[[#This Row],[Candidate 7]], "")</f>
        <v/>
      </c>
      <c r="AL559" s="18" t="str">
        <f>IF(NOT(ISBLANK(Audit[[#This Row],[Audit Candidate 8]])), Audit[[#This Row],[Audit Candidate 8]]-Audit[[#This Row],[Candidate 8]], "")</f>
        <v/>
      </c>
      <c r="AM559" s="18" t="str">
        <f>IF(NOT(ISBLANK(Audit[[#This Row],[Audit Candidate 9]])), Audit[[#This Row],[Audit Candidate 9]]-Audit[[#This Row],[Candidate 9]], "")</f>
        <v/>
      </c>
      <c r="AN559" s="18" t="str">
        <f>IF(NOT(ISBLANK(Audit[[#This Row],[Audit Candidate 10]])), Audit[[#This Row],[Audit Candidate 10]]-Audit[[#This Row],[Candidate 10]], "")</f>
        <v/>
      </c>
      <c r="AO559" s="18" t="str">
        <f>IF(NOT(ISBLANK(Audit[[#This Row],[Audit Candidate 11]])), Audit[[#This Row],[Audit Candidate 11]]-Audit[[#This Row],[Candidate 11]], "")</f>
        <v/>
      </c>
      <c r="AP559" s="18" t="str">
        <f>IF(NOT(ISBLANK(Audit[[#This Row],[Audit Candidate 12]])), Audit[[#This Row],[Audit Candidate 12]]-Audit[[#This Row],[Candidate 12]], "")</f>
        <v/>
      </c>
      <c r="AQ559" s="18">
        <f>SUMIF(Audit[[#This Row],[Difference Winner]:[Difference Candidate 12]], "&gt;0")</f>
        <v>0</v>
      </c>
      <c r="AR559" s="18">
        <f>SUM(Audit[[#This Row],[Difference Winner]:[Difference Candidate 12]])</f>
        <v>0</v>
      </c>
      <c r="AS559" s="18">
        <f>IF(Audit[[#This Row],[Times p Drawn - With Replacement]]&gt;0, IF(Audit[[#This Row],[Canceled Differences]]&lt;0, Audit[[#This Row],[Max Differences]]+ABS(Audit[[#This Row],[Canceled Differences]]), Audit[[#This Row],[Max Differences]]), 0)</f>
        <v>0</v>
      </c>
      <c r="AT559" s="18">
        <f>'Sampling Data'!AB559</f>
        <v>5.0255991456481448E-4</v>
      </c>
      <c r="AU559" s="18">
        <f>IF(
      SUM(Audit[[#This Row],[Audit Losing Candidate]:[Audit Candidate 12]])
      &lt;&gt;0,
      (Audit[[#This Row],[Winning Candidate]]-Audit[[#This Row],[Losing Candidate]]-(Audit[[#This Row],[Audit Winning Candidate]]-Audit[[#This Row],[Audit Losing Candidate]]))/(Audit[[#Totals],[Winning Candidate]]-Audit[[#Totals],[Losing Candidate]]),
      0
)</f>
        <v>0</v>
      </c>
      <c r="AV5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8">
        <f>IF(Audit[[#This Row],[Max Relative Error (ep)]] = 0, 0, Audit[[#This Row],[Max Relative Error (ep)]]/Audit[[#This Row],[Error Bound (up) - Max. possible relative overstatement]])</f>
        <v>0</v>
      </c>
      <c r="BH5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59" s="18">
        <f t="shared" si="9"/>
        <v>1</v>
      </c>
      <c r="BJ559" s="18">
        <f>PRODUCT($BI$5:BI559)</f>
        <v>0.32656797278968008</v>
      </c>
      <c r="BK559" s="20">
        <f>1 - Audit[[#This Row],[K-M P Value]]</f>
        <v>0.67343202721031992</v>
      </c>
      <c r="BL559" s="18" t="str">
        <f>IF(Audit[[#This Row],[K-M P Value]]&gt;1-'General Info'!$B$12,"Continue", "Stop")</f>
        <v>Continue</v>
      </c>
      <c r="BM559" s="23" t="b">
        <f>IF(Audit[[#This Row],[Status - Continue or stop audit]] = "Continue", TRUE, IF(BL558 = "Continue", TRUE, FALSE))</f>
        <v>1</v>
      </c>
      <c r="BN559" s="23"/>
    </row>
    <row r="560" spans="1:66" ht="15" hidden="1" customHeight="1" x14ac:dyDescent="0.35">
      <c r="A560" s="18" t="str">
        <f>'Sampling Data'!AI560</f>
        <v/>
      </c>
      <c r="B560" s="18" t="str">
        <f>'Sampling Data'!A560</f>
        <v>9112 SYMM L   (AV)</v>
      </c>
      <c r="C560" s="18">
        <f>'Sampling Data'!B560</f>
        <v>16</v>
      </c>
      <c r="D560" s="18">
        <f>'Sampling Data'!C560</f>
        <v>2</v>
      </c>
      <c r="E560" s="19">
        <f>'Sampling Data'!D560</f>
        <v>0</v>
      </c>
      <c r="F560" s="19">
        <f>'Sampling Data'!E560</f>
        <v>0</v>
      </c>
      <c r="G560" s="19">
        <f>'Sampling Data'!F560</f>
        <v>0</v>
      </c>
      <c r="H560" s="19">
        <f>'Sampling Data'!G560</f>
        <v>0</v>
      </c>
      <c r="I560" s="19">
        <f>'Sampling Data'!H560</f>
        <v>0</v>
      </c>
      <c r="J560" s="19">
        <f>'Sampling Data'!I560</f>
        <v>0</v>
      </c>
      <c r="K560" s="19">
        <f>'Sampling Data'!J560</f>
        <v>0</v>
      </c>
      <c r="L560" s="19">
        <f>'Sampling Data'!K560</f>
        <v>0</v>
      </c>
      <c r="M560" s="19">
        <f>'Sampling Data'!L560</f>
        <v>0</v>
      </c>
      <c r="N560" s="19">
        <f>'Sampling Data'!M560</f>
        <v>0</v>
      </c>
      <c r="O560" s="18">
        <f>'Sampling Data'!N560</f>
        <v>0</v>
      </c>
      <c r="P560" s="18">
        <f>'Sampling Data'!O560</f>
        <v>0</v>
      </c>
      <c r="Q560" s="18">
        <f>'Sampling Data'!P560</f>
        <v>18</v>
      </c>
      <c r="R560" s="18">
        <f>'Sampling Data'!AJ560</f>
        <v>0</v>
      </c>
      <c r="S560" s="112"/>
      <c r="T560" s="112"/>
      <c r="U560" s="113"/>
      <c r="V560" s="113"/>
      <c r="W560" s="112"/>
      <c r="X560" s="112"/>
      <c r="Y560" s="112"/>
      <c r="Z560" s="112"/>
      <c r="AA560" s="15"/>
      <c r="AB560" s="15"/>
      <c r="AC560" s="15"/>
      <c r="AD560" s="15"/>
      <c r="AE560" s="114" t="str">
        <f>IF(NOT(ISBLANK(Audit[[#This Row],[Audit Winning Candidate]])), Audit[[#This Row],[Audit Winning Candidate]]-Audit[[#This Row],[Winning Candidate]], "")</f>
        <v/>
      </c>
      <c r="AF560" s="18" t="str">
        <f>IF(NOT(ISBLANK(Audit[[#This Row],[Audit Losing Candidate]])), Audit[[#This Row],[Audit Losing Candidate]]-Audit[[#This Row],[Losing Candidate]], "")</f>
        <v/>
      </c>
      <c r="AG560" s="18" t="str">
        <f>IF(NOT(ISBLANK(Audit[[#This Row],[Audit Candidate 3]])), Audit[[#This Row],[Audit Candidate 3]]-Audit[[#This Row],[Candidate 3]], "")</f>
        <v/>
      </c>
      <c r="AH560" s="18" t="str">
        <f>IF(NOT(ISBLANK(Audit[[#This Row],[Audit Candidate 4]])),Audit[[#This Row],[Audit Candidate 4]]-Audit[[#This Row],[Candidate 4]], "")</f>
        <v/>
      </c>
      <c r="AI560" s="18" t="str">
        <f>IF(NOT(ISBLANK(Audit[[#This Row],[Audit Candidate 5]])), Audit[[#This Row],[Audit Candidate 5]]-Audit[[#This Row],[Candidate 5]], "")</f>
        <v/>
      </c>
      <c r="AJ560" s="18" t="str">
        <f>IF(NOT(ISBLANK(Audit[[#This Row],[Audit Candidate 6]])), Audit[[#This Row],[Audit Candidate 6]]-Audit[[#This Row],[Candidate 6]], "")</f>
        <v/>
      </c>
      <c r="AK560" s="18" t="str">
        <f>IF(NOT(ISBLANK(Audit[[#This Row],[Audit Candidate 7]])), Audit[[#This Row],[Audit Candidate 7]]-Audit[[#This Row],[Candidate 7]], "")</f>
        <v/>
      </c>
      <c r="AL560" s="18" t="str">
        <f>IF(NOT(ISBLANK(Audit[[#This Row],[Audit Candidate 8]])), Audit[[#This Row],[Audit Candidate 8]]-Audit[[#This Row],[Candidate 8]], "")</f>
        <v/>
      </c>
      <c r="AM560" s="18" t="str">
        <f>IF(NOT(ISBLANK(Audit[[#This Row],[Audit Candidate 9]])), Audit[[#This Row],[Audit Candidate 9]]-Audit[[#This Row],[Candidate 9]], "")</f>
        <v/>
      </c>
      <c r="AN560" s="18" t="str">
        <f>IF(NOT(ISBLANK(Audit[[#This Row],[Audit Candidate 10]])), Audit[[#This Row],[Audit Candidate 10]]-Audit[[#This Row],[Candidate 10]], "")</f>
        <v/>
      </c>
      <c r="AO560" s="18" t="str">
        <f>IF(NOT(ISBLANK(Audit[[#This Row],[Audit Candidate 11]])), Audit[[#This Row],[Audit Candidate 11]]-Audit[[#This Row],[Candidate 11]], "")</f>
        <v/>
      </c>
      <c r="AP560" s="18" t="str">
        <f>IF(NOT(ISBLANK(Audit[[#This Row],[Audit Candidate 12]])), Audit[[#This Row],[Audit Candidate 12]]-Audit[[#This Row],[Candidate 12]], "")</f>
        <v/>
      </c>
      <c r="AQ560" s="18">
        <f>SUMIF(Audit[[#This Row],[Difference Winner]:[Difference Candidate 12]], "&gt;0")</f>
        <v>0</v>
      </c>
      <c r="AR560" s="18">
        <f>SUM(Audit[[#This Row],[Difference Winner]:[Difference Candidate 12]])</f>
        <v>0</v>
      </c>
      <c r="AS560" s="18">
        <f>IF(Audit[[#This Row],[Times p Drawn - With Replacement]]&gt;0, IF(Audit[[#This Row],[Canceled Differences]]&lt;0, Audit[[#This Row],[Max Differences]]+ABS(Audit[[#This Row],[Canceled Differences]]), Audit[[#This Row],[Max Differences]]), 0)</f>
        <v>0</v>
      </c>
      <c r="AT560" s="18">
        <f>'Sampling Data'!AB560</f>
        <v>1.005119829129629E-3</v>
      </c>
      <c r="AU560" s="18">
        <f>IF(
      SUM(Audit[[#This Row],[Audit Losing Candidate]:[Audit Candidate 12]])
      &lt;&gt;0,
      (Audit[[#This Row],[Winning Candidate]]-Audit[[#This Row],[Losing Candidate]]-(Audit[[#This Row],[Audit Winning Candidate]]-Audit[[#This Row],[Audit Losing Candidate]]))/(Audit[[#Totals],[Winning Candidate]]-Audit[[#Totals],[Losing Candidate]]),
      0
)</f>
        <v>0</v>
      </c>
      <c r="AV5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8">
        <f>IF(Audit[[#This Row],[Max Relative Error (ep)]] = 0, 0, Audit[[#This Row],[Max Relative Error (ep)]]/Audit[[#This Row],[Error Bound (up) - Max. possible relative overstatement]])</f>
        <v>0</v>
      </c>
      <c r="BH5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0" s="18">
        <f t="shared" si="9"/>
        <v>1</v>
      </c>
      <c r="BJ560" s="18">
        <f>PRODUCT($BI$5:BI560)</f>
        <v>0.32656797278968008</v>
      </c>
      <c r="BK560" s="20">
        <f>1 - Audit[[#This Row],[K-M P Value]]</f>
        <v>0.67343202721031992</v>
      </c>
      <c r="BL560" s="18" t="str">
        <f>IF(Audit[[#This Row],[K-M P Value]]&gt;1-'General Info'!$B$12,"Continue", "Stop")</f>
        <v>Continue</v>
      </c>
      <c r="BM560" s="23" t="b">
        <f>IF(Audit[[#This Row],[Status - Continue or stop audit]] = "Continue", TRUE, IF(BL559 = "Continue", TRUE, FALSE))</f>
        <v>1</v>
      </c>
      <c r="BN560" s="23"/>
    </row>
    <row r="561" spans="1:66" ht="15" hidden="1" customHeight="1" x14ac:dyDescent="0.35">
      <c r="A561" s="18" t="str">
        <f>'Sampling Data'!AI561</f>
        <v/>
      </c>
      <c r="B561" s="18" t="str">
        <f>'Sampling Data'!A561</f>
        <v>9301 TER PK A   (AV)</v>
      </c>
      <c r="C561" s="18">
        <f>'Sampling Data'!B561</f>
        <v>14</v>
      </c>
      <c r="D561" s="18">
        <f>'Sampling Data'!C561</f>
        <v>0</v>
      </c>
      <c r="E561" s="19">
        <f>'Sampling Data'!D561</f>
        <v>0</v>
      </c>
      <c r="F561" s="19">
        <f>'Sampling Data'!E561</f>
        <v>0</v>
      </c>
      <c r="G561" s="19">
        <f>'Sampling Data'!F561</f>
        <v>0</v>
      </c>
      <c r="H561" s="19">
        <f>'Sampling Data'!G561</f>
        <v>0</v>
      </c>
      <c r="I561" s="19">
        <f>'Sampling Data'!H561</f>
        <v>0</v>
      </c>
      <c r="J561" s="19">
        <f>'Sampling Data'!I561</f>
        <v>0</v>
      </c>
      <c r="K561" s="19">
        <f>'Sampling Data'!J561</f>
        <v>0</v>
      </c>
      <c r="L561" s="19">
        <f>'Sampling Data'!K561</f>
        <v>0</v>
      </c>
      <c r="M561" s="19">
        <f>'Sampling Data'!L561</f>
        <v>0</v>
      </c>
      <c r="N561" s="19">
        <f>'Sampling Data'!M561</f>
        <v>0</v>
      </c>
      <c r="O561" s="18">
        <f>'Sampling Data'!N561</f>
        <v>0</v>
      </c>
      <c r="P561" s="18">
        <f>'Sampling Data'!O561</f>
        <v>0</v>
      </c>
      <c r="Q561" s="18">
        <f>'Sampling Data'!P561</f>
        <v>14</v>
      </c>
      <c r="R561" s="18">
        <f>'Sampling Data'!AJ561</f>
        <v>0</v>
      </c>
      <c r="S561" s="112"/>
      <c r="T561" s="112"/>
      <c r="U561" s="113"/>
      <c r="V561" s="113"/>
      <c r="W561" s="112"/>
      <c r="X561" s="112"/>
      <c r="Y561" s="112"/>
      <c r="Z561" s="112"/>
      <c r="AA561" s="15"/>
      <c r="AB561" s="15"/>
      <c r="AC561" s="15"/>
      <c r="AD561" s="15"/>
      <c r="AE561" s="114" t="str">
        <f>IF(NOT(ISBLANK(Audit[[#This Row],[Audit Winning Candidate]])), Audit[[#This Row],[Audit Winning Candidate]]-Audit[[#This Row],[Winning Candidate]], "")</f>
        <v/>
      </c>
      <c r="AF561" s="18" t="str">
        <f>IF(NOT(ISBLANK(Audit[[#This Row],[Audit Losing Candidate]])), Audit[[#This Row],[Audit Losing Candidate]]-Audit[[#This Row],[Losing Candidate]], "")</f>
        <v/>
      </c>
      <c r="AG561" s="18" t="str">
        <f>IF(NOT(ISBLANK(Audit[[#This Row],[Audit Candidate 3]])), Audit[[#This Row],[Audit Candidate 3]]-Audit[[#This Row],[Candidate 3]], "")</f>
        <v/>
      </c>
      <c r="AH561" s="18" t="str">
        <f>IF(NOT(ISBLANK(Audit[[#This Row],[Audit Candidate 4]])),Audit[[#This Row],[Audit Candidate 4]]-Audit[[#This Row],[Candidate 4]], "")</f>
        <v/>
      </c>
      <c r="AI561" s="18" t="str">
        <f>IF(NOT(ISBLANK(Audit[[#This Row],[Audit Candidate 5]])), Audit[[#This Row],[Audit Candidate 5]]-Audit[[#This Row],[Candidate 5]], "")</f>
        <v/>
      </c>
      <c r="AJ561" s="18" t="str">
        <f>IF(NOT(ISBLANK(Audit[[#This Row],[Audit Candidate 6]])), Audit[[#This Row],[Audit Candidate 6]]-Audit[[#This Row],[Candidate 6]], "")</f>
        <v/>
      </c>
      <c r="AK561" s="18" t="str">
        <f>IF(NOT(ISBLANK(Audit[[#This Row],[Audit Candidate 7]])), Audit[[#This Row],[Audit Candidate 7]]-Audit[[#This Row],[Candidate 7]], "")</f>
        <v/>
      </c>
      <c r="AL561" s="18" t="str">
        <f>IF(NOT(ISBLANK(Audit[[#This Row],[Audit Candidate 8]])), Audit[[#This Row],[Audit Candidate 8]]-Audit[[#This Row],[Candidate 8]], "")</f>
        <v/>
      </c>
      <c r="AM561" s="18" t="str">
        <f>IF(NOT(ISBLANK(Audit[[#This Row],[Audit Candidate 9]])), Audit[[#This Row],[Audit Candidate 9]]-Audit[[#This Row],[Candidate 9]], "")</f>
        <v/>
      </c>
      <c r="AN561" s="18" t="str">
        <f>IF(NOT(ISBLANK(Audit[[#This Row],[Audit Candidate 10]])), Audit[[#This Row],[Audit Candidate 10]]-Audit[[#This Row],[Candidate 10]], "")</f>
        <v/>
      </c>
      <c r="AO561" s="18" t="str">
        <f>IF(NOT(ISBLANK(Audit[[#This Row],[Audit Candidate 11]])), Audit[[#This Row],[Audit Candidate 11]]-Audit[[#This Row],[Candidate 11]], "")</f>
        <v/>
      </c>
      <c r="AP561" s="18" t="str">
        <f>IF(NOT(ISBLANK(Audit[[#This Row],[Audit Candidate 12]])), Audit[[#This Row],[Audit Candidate 12]]-Audit[[#This Row],[Candidate 12]], "")</f>
        <v/>
      </c>
      <c r="AQ561" s="18">
        <f>SUMIF(Audit[[#This Row],[Difference Winner]:[Difference Candidate 12]], "&gt;0")</f>
        <v>0</v>
      </c>
      <c r="AR561" s="18">
        <f>SUM(Audit[[#This Row],[Difference Winner]:[Difference Candidate 12]])</f>
        <v>0</v>
      </c>
      <c r="AS561" s="18">
        <f>IF(Audit[[#This Row],[Times p Drawn - With Replacement]]&gt;0, IF(Audit[[#This Row],[Canceled Differences]]&lt;0, Audit[[#This Row],[Max Differences]]+ABS(Audit[[#This Row],[Canceled Differences]]), Audit[[#This Row],[Max Differences]]), 0)</f>
        <v>0</v>
      </c>
      <c r="AT561" s="18">
        <f>'Sampling Data'!AB561</f>
        <v>8.7947985048842541E-4</v>
      </c>
      <c r="AU561" s="18">
        <f>IF(
      SUM(Audit[[#This Row],[Audit Losing Candidate]:[Audit Candidate 12]])
      &lt;&gt;0,
      (Audit[[#This Row],[Winning Candidate]]-Audit[[#This Row],[Losing Candidate]]-(Audit[[#This Row],[Audit Winning Candidate]]-Audit[[#This Row],[Audit Losing Candidate]]))/(Audit[[#Totals],[Winning Candidate]]-Audit[[#Totals],[Losing Candidate]]),
      0
)</f>
        <v>0</v>
      </c>
      <c r="AV5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8">
        <f>IF(Audit[[#This Row],[Max Relative Error (ep)]] = 0, 0, Audit[[#This Row],[Max Relative Error (ep)]]/Audit[[#This Row],[Error Bound (up) - Max. possible relative overstatement]])</f>
        <v>0</v>
      </c>
      <c r="BH5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1" s="18">
        <f t="shared" si="9"/>
        <v>1</v>
      </c>
      <c r="BJ561" s="18">
        <f>PRODUCT($BI$5:BI561)</f>
        <v>0.32656797278968008</v>
      </c>
      <c r="BK561" s="20">
        <f>1 - Audit[[#This Row],[K-M P Value]]</f>
        <v>0.67343202721031992</v>
      </c>
      <c r="BL561" s="18" t="str">
        <f>IF(Audit[[#This Row],[K-M P Value]]&gt;1-'General Info'!$B$12,"Continue", "Stop")</f>
        <v>Continue</v>
      </c>
      <c r="BM561" s="23" t="b">
        <f>IF(Audit[[#This Row],[Status - Continue or stop audit]] = "Continue", TRUE, IF(BL560 = "Continue", TRUE, FALSE))</f>
        <v>1</v>
      </c>
      <c r="BN561" s="23"/>
    </row>
    <row r="562" spans="1:66" ht="15" hidden="1" customHeight="1" x14ac:dyDescent="0.35">
      <c r="A562" s="18" t="str">
        <f>'Sampling Data'!AI562</f>
        <v/>
      </c>
      <c r="B562" s="18" t="str">
        <f>'Sampling Data'!A562</f>
        <v>9302 TER PK B   (AV)</v>
      </c>
      <c r="C562" s="18">
        <f>'Sampling Data'!B562</f>
        <v>3</v>
      </c>
      <c r="D562" s="18">
        <f>'Sampling Data'!C562</f>
        <v>0</v>
      </c>
      <c r="E562" s="19">
        <f>'Sampling Data'!D562</f>
        <v>0</v>
      </c>
      <c r="F562" s="19">
        <f>'Sampling Data'!E562</f>
        <v>0</v>
      </c>
      <c r="G562" s="19">
        <f>'Sampling Data'!F562</f>
        <v>0</v>
      </c>
      <c r="H562" s="19">
        <f>'Sampling Data'!G562</f>
        <v>0</v>
      </c>
      <c r="I562" s="19">
        <f>'Sampling Data'!H562</f>
        <v>0</v>
      </c>
      <c r="J562" s="19">
        <f>'Sampling Data'!I562</f>
        <v>0</v>
      </c>
      <c r="K562" s="19">
        <f>'Sampling Data'!J562</f>
        <v>0</v>
      </c>
      <c r="L562" s="19">
        <f>'Sampling Data'!K562</f>
        <v>0</v>
      </c>
      <c r="M562" s="19">
        <f>'Sampling Data'!L562</f>
        <v>0</v>
      </c>
      <c r="N562" s="19">
        <f>'Sampling Data'!M562</f>
        <v>0</v>
      </c>
      <c r="O562" s="18">
        <f>'Sampling Data'!N562</f>
        <v>0</v>
      </c>
      <c r="P562" s="18">
        <f>'Sampling Data'!O562</f>
        <v>0</v>
      </c>
      <c r="Q562" s="18">
        <f>'Sampling Data'!P562</f>
        <v>3</v>
      </c>
      <c r="R562" s="18">
        <f>'Sampling Data'!AJ562</f>
        <v>0</v>
      </c>
      <c r="S562" s="112"/>
      <c r="T562" s="112"/>
      <c r="U562" s="113"/>
      <c r="V562" s="113"/>
      <c r="W562" s="112"/>
      <c r="X562" s="112"/>
      <c r="Y562" s="112"/>
      <c r="Z562" s="112"/>
      <c r="AA562" s="15"/>
      <c r="AB562" s="15"/>
      <c r="AC562" s="15"/>
      <c r="AD562" s="15"/>
      <c r="AE562" s="114" t="str">
        <f>IF(NOT(ISBLANK(Audit[[#This Row],[Audit Winning Candidate]])), Audit[[#This Row],[Audit Winning Candidate]]-Audit[[#This Row],[Winning Candidate]], "")</f>
        <v/>
      </c>
      <c r="AF562" s="18" t="str">
        <f>IF(NOT(ISBLANK(Audit[[#This Row],[Audit Losing Candidate]])), Audit[[#This Row],[Audit Losing Candidate]]-Audit[[#This Row],[Losing Candidate]], "")</f>
        <v/>
      </c>
      <c r="AG562" s="18" t="str">
        <f>IF(NOT(ISBLANK(Audit[[#This Row],[Audit Candidate 3]])), Audit[[#This Row],[Audit Candidate 3]]-Audit[[#This Row],[Candidate 3]], "")</f>
        <v/>
      </c>
      <c r="AH562" s="18" t="str">
        <f>IF(NOT(ISBLANK(Audit[[#This Row],[Audit Candidate 4]])),Audit[[#This Row],[Audit Candidate 4]]-Audit[[#This Row],[Candidate 4]], "")</f>
        <v/>
      </c>
      <c r="AI562" s="18" t="str">
        <f>IF(NOT(ISBLANK(Audit[[#This Row],[Audit Candidate 5]])), Audit[[#This Row],[Audit Candidate 5]]-Audit[[#This Row],[Candidate 5]], "")</f>
        <v/>
      </c>
      <c r="AJ562" s="18" t="str">
        <f>IF(NOT(ISBLANK(Audit[[#This Row],[Audit Candidate 6]])), Audit[[#This Row],[Audit Candidate 6]]-Audit[[#This Row],[Candidate 6]], "")</f>
        <v/>
      </c>
      <c r="AK562" s="18" t="str">
        <f>IF(NOT(ISBLANK(Audit[[#This Row],[Audit Candidate 7]])), Audit[[#This Row],[Audit Candidate 7]]-Audit[[#This Row],[Candidate 7]], "")</f>
        <v/>
      </c>
      <c r="AL562" s="18" t="str">
        <f>IF(NOT(ISBLANK(Audit[[#This Row],[Audit Candidate 8]])), Audit[[#This Row],[Audit Candidate 8]]-Audit[[#This Row],[Candidate 8]], "")</f>
        <v/>
      </c>
      <c r="AM562" s="18" t="str">
        <f>IF(NOT(ISBLANK(Audit[[#This Row],[Audit Candidate 9]])), Audit[[#This Row],[Audit Candidate 9]]-Audit[[#This Row],[Candidate 9]], "")</f>
        <v/>
      </c>
      <c r="AN562" s="18" t="str">
        <f>IF(NOT(ISBLANK(Audit[[#This Row],[Audit Candidate 10]])), Audit[[#This Row],[Audit Candidate 10]]-Audit[[#This Row],[Candidate 10]], "")</f>
        <v/>
      </c>
      <c r="AO562" s="18" t="str">
        <f>IF(NOT(ISBLANK(Audit[[#This Row],[Audit Candidate 11]])), Audit[[#This Row],[Audit Candidate 11]]-Audit[[#This Row],[Candidate 11]], "")</f>
        <v/>
      </c>
      <c r="AP562" s="18" t="str">
        <f>IF(NOT(ISBLANK(Audit[[#This Row],[Audit Candidate 12]])), Audit[[#This Row],[Audit Candidate 12]]-Audit[[#This Row],[Candidate 12]], "")</f>
        <v/>
      </c>
      <c r="AQ562" s="18">
        <f>SUMIF(Audit[[#This Row],[Difference Winner]:[Difference Candidate 12]], "&gt;0")</f>
        <v>0</v>
      </c>
      <c r="AR562" s="18">
        <f>SUM(Audit[[#This Row],[Difference Winner]:[Difference Candidate 12]])</f>
        <v>0</v>
      </c>
      <c r="AS562" s="18">
        <f>IF(Audit[[#This Row],[Times p Drawn - With Replacement]]&gt;0, IF(Audit[[#This Row],[Canceled Differences]]&lt;0, Audit[[#This Row],[Max Differences]]+ABS(Audit[[#This Row],[Canceled Differences]]), Audit[[#This Row],[Max Differences]]), 0)</f>
        <v>0</v>
      </c>
      <c r="AT562" s="18">
        <f>'Sampling Data'!AB562</f>
        <v>1.8845996796180544E-4</v>
      </c>
      <c r="AU562" s="18">
        <f>IF(
      SUM(Audit[[#This Row],[Audit Losing Candidate]:[Audit Candidate 12]])
      &lt;&gt;0,
      (Audit[[#This Row],[Winning Candidate]]-Audit[[#This Row],[Losing Candidate]]-(Audit[[#This Row],[Audit Winning Candidate]]-Audit[[#This Row],[Audit Losing Candidate]]))/(Audit[[#Totals],[Winning Candidate]]-Audit[[#Totals],[Losing Candidate]]),
      0
)</f>
        <v>0</v>
      </c>
      <c r="AV5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8">
        <f>IF(Audit[[#This Row],[Max Relative Error (ep)]] = 0, 0, Audit[[#This Row],[Max Relative Error (ep)]]/Audit[[#This Row],[Error Bound (up) - Max. possible relative overstatement]])</f>
        <v>0</v>
      </c>
      <c r="BH5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2" s="18">
        <f t="shared" si="9"/>
        <v>1</v>
      </c>
      <c r="BJ562" s="18">
        <f>PRODUCT($BI$5:BI562)</f>
        <v>0.32656797278968008</v>
      </c>
      <c r="BK562" s="20">
        <f>1 - Audit[[#This Row],[K-M P Value]]</f>
        <v>0.67343202721031992</v>
      </c>
      <c r="BL562" s="18" t="str">
        <f>IF(Audit[[#This Row],[K-M P Value]]&gt;1-'General Info'!$B$12,"Continue", "Stop")</f>
        <v>Continue</v>
      </c>
      <c r="BM562" s="23" t="b">
        <f>IF(Audit[[#This Row],[Status - Continue or stop audit]] = "Continue", TRUE, IF(BL561 = "Continue", TRUE, FALSE))</f>
        <v>1</v>
      </c>
      <c r="BN562" s="23"/>
    </row>
    <row r="563" spans="1:66" ht="15" hidden="1" customHeight="1" x14ac:dyDescent="0.35">
      <c r="A563" s="18" t="str">
        <f>'Sampling Data'!AI563</f>
        <v/>
      </c>
      <c r="B563" s="18" t="str">
        <f>'Sampling Data'!A563</f>
        <v>9501 WHWTR A   (AV)</v>
      </c>
      <c r="C563" s="18">
        <f>'Sampling Data'!B563</f>
        <v>6</v>
      </c>
      <c r="D563" s="18">
        <f>'Sampling Data'!C563</f>
        <v>3</v>
      </c>
      <c r="E563" s="19">
        <f>'Sampling Data'!D563</f>
        <v>0</v>
      </c>
      <c r="F563" s="19">
        <f>'Sampling Data'!E563</f>
        <v>0</v>
      </c>
      <c r="G563" s="19">
        <f>'Sampling Data'!F563</f>
        <v>0</v>
      </c>
      <c r="H563" s="19">
        <f>'Sampling Data'!G563</f>
        <v>0</v>
      </c>
      <c r="I563" s="19">
        <f>'Sampling Data'!H563</f>
        <v>0</v>
      </c>
      <c r="J563" s="19">
        <f>'Sampling Data'!I563</f>
        <v>0</v>
      </c>
      <c r="K563" s="19">
        <f>'Sampling Data'!J563</f>
        <v>0</v>
      </c>
      <c r="L563" s="19">
        <f>'Sampling Data'!K563</f>
        <v>0</v>
      </c>
      <c r="M563" s="19">
        <f>'Sampling Data'!L563</f>
        <v>0</v>
      </c>
      <c r="N563" s="19">
        <f>'Sampling Data'!M563</f>
        <v>0</v>
      </c>
      <c r="O563" s="18">
        <f>'Sampling Data'!N563</f>
        <v>0</v>
      </c>
      <c r="P563" s="18">
        <f>'Sampling Data'!O563</f>
        <v>0</v>
      </c>
      <c r="Q563" s="18">
        <f>'Sampling Data'!P563</f>
        <v>9</v>
      </c>
      <c r="R563" s="18">
        <f>'Sampling Data'!AJ563</f>
        <v>0</v>
      </c>
      <c r="S563" s="112"/>
      <c r="T563" s="112"/>
      <c r="U563" s="113"/>
      <c r="V563" s="113"/>
      <c r="W563" s="112"/>
      <c r="X563" s="112"/>
      <c r="Y563" s="112"/>
      <c r="Z563" s="112"/>
      <c r="AA563" s="15"/>
      <c r="AB563" s="15"/>
      <c r="AC563" s="15"/>
      <c r="AD563" s="15"/>
      <c r="AE563" s="114" t="str">
        <f>IF(NOT(ISBLANK(Audit[[#This Row],[Audit Winning Candidate]])), Audit[[#This Row],[Audit Winning Candidate]]-Audit[[#This Row],[Winning Candidate]], "")</f>
        <v/>
      </c>
      <c r="AF563" s="18" t="str">
        <f>IF(NOT(ISBLANK(Audit[[#This Row],[Audit Losing Candidate]])), Audit[[#This Row],[Audit Losing Candidate]]-Audit[[#This Row],[Losing Candidate]], "")</f>
        <v/>
      </c>
      <c r="AG563" s="18" t="str">
        <f>IF(NOT(ISBLANK(Audit[[#This Row],[Audit Candidate 3]])), Audit[[#This Row],[Audit Candidate 3]]-Audit[[#This Row],[Candidate 3]], "")</f>
        <v/>
      </c>
      <c r="AH563" s="18" t="str">
        <f>IF(NOT(ISBLANK(Audit[[#This Row],[Audit Candidate 4]])),Audit[[#This Row],[Audit Candidate 4]]-Audit[[#This Row],[Candidate 4]], "")</f>
        <v/>
      </c>
      <c r="AI563" s="18" t="str">
        <f>IF(NOT(ISBLANK(Audit[[#This Row],[Audit Candidate 5]])), Audit[[#This Row],[Audit Candidate 5]]-Audit[[#This Row],[Candidate 5]], "")</f>
        <v/>
      </c>
      <c r="AJ563" s="18" t="str">
        <f>IF(NOT(ISBLANK(Audit[[#This Row],[Audit Candidate 6]])), Audit[[#This Row],[Audit Candidate 6]]-Audit[[#This Row],[Candidate 6]], "")</f>
        <v/>
      </c>
      <c r="AK563" s="18" t="str">
        <f>IF(NOT(ISBLANK(Audit[[#This Row],[Audit Candidate 7]])), Audit[[#This Row],[Audit Candidate 7]]-Audit[[#This Row],[Candidate 7]], "")</f>
        <v/>
      </c>
      <c r="AL563" s="18" t="str">
        <f>IF(NOT(ISBLANK(Audit[[#This Row],[Audit Candidate 8]])), Audit[[#This Row],[Audit Candidate 8]]-Audit[[#This Row],[Candidate 8]], "")</f>
        <v/>
      </c>
      <c r="AM563" s="18" t="str">
        <f>IF(NOT(ISBLANK(Audit[[#This Row],[Audit Candidate 9]])), Audit[[#This Row],[Audit Candidate 9]]-Audit[[#This Row],[Candidate 9]], "")</f>
        <v/>
      </c>
      <c r="AN563" s="18" t="str">
        <f>IF(NOT(ISBLANK(Audit[[#This Row],[Audit Candidate 10]])), Audit[[#This Row],[Audit Candidate 10]]-Audit[[#This Row],[Candidate 10]], "")</f>
        <v/>
      </c>
      <c r="AO563" s="18" t="str">
        <f>IF(NOT(ISBLANK(Audit[[#This Row],[Audit Candidate 11]])), Audit[[#This Row],[Audit Candidate 11]]-Audit[[#This Row],[Candidate 11]], "")</f>
        <v/>
      </c>
      <c r="AP563" s="18" t="str">
        <f>IF(NOT(ISBLANK(Audit[[#This Row],[Audit Candidate 12]])), Audit[[#This Row],[Audit Candidate 12]]-Audit[[#This Row],[Candidate 12]], "")</f>
        <v/>
      </c>
      <c r="AQ563" s="18">
        <f>SUMIF(Audit[[#This Row],[Difference Winner]:[Difference Candidate 12]], "&gt;0")</f>
        <v>0</v>
      </c>
      <c r="AR563" s="18">
        <f>SUM(Audit[[#This Row],[Difference Winner]:[Difference Candidate 12]])</f>
        <v>0</v>
      </c>
      <c r="AS563" s="18">
        <f>IF(Audit[[#This Row],[Times p Drawn - With Replacement]]&gt;0, IF(Audit[[#This Row],[Canceled Differences]]&lt;0, Audit[[#This Row],[Max Differences]]+ABS(Audit[[#This Row],[Canceled Differences]]), Audit[[#This Row],[Max Differences]]), 0)</f>
        <v>0</v>
      </c>
      <c r="AT563" s="18">
        <f>'Sampling Data'!AB563</f>
        <v>3.7691993592361088E-4</v>
      </c>
      <c r="AU563" s="18">
        <f>IF(
      SUM(Audit[[#This Row],[Audit Losing Candidate]:[Audit Candidate 12]])
      &lt;&gt;0,
      (Audit[[#This Row],[Winning Candidate]]-Audit[[#This Row],[Losing Candidate]]-(Audit[[#This Row],[Audit Winning Candidate]]-Audit[[#This Row],[Audit Losing Candidate]]))/(Audit[[#Totals],[Winning Candidate]]-Audit[[#Totals],[Losing Candidate]]),
      0
)</f>
        <v>0</v>
      </c>
      <c r="AV5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8">
        <f>IF(Audit[[#This Row],[Max Relative Error (ep)]] = 0, 0, Audit[[#This Row],[Max Relative Error (ep)]]/Audit[[#This Row],[Error Bound (up) - Max. possible relative overstatement]])</f>
        <v>0</v>
      </c>
      <c r="BH5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3" s="18">
        <f t="shared" si="9"/>
        <v>1</v>
      </c>
      <c r="BJ563" s="18">
        <f>PRODUCT($BI$5:BI563)</f>
        <v>0.32656797278968008</v>
      </c>
      <c r="BK563" s="20">
        <f>1 - Audit[[#This Row],[K-M P Value]]</f>
        <v>0.67343202721031992</v>
      </c>
      <c r="BL563" s="18" t="str">
        <f>IF(Audit[[#This Row],[K-M P Value]]&gt;1-'General Info'!$B$12,"Continue", "Stop")</f>
        <v>Continue</v>
      </c>
      <c r="BM563" s="23" t="b">
        <f>IF(Audit[[#This Row],[Status - Continue or stop audit]] = "Continue", TRUE, IF(BL562 = "Continue", TRUE, FALSE))</f>
        <v>1</v>
      </c>
      <c r="BN563" s="23"/>
    </row>
    <row r="564" spans="1:66" ht="15" hidden="1" customHeight="1" x14ac:dyDescent="0.35">
      <c r="A564" s="18" t="str">
        <f>'Sampling Data'!AI564</f>
        <v/>
      </c>
      <c r="B564" s="18" t="str">
        <f>'Sampling Data'!A564</f>
        <v>9502 WHWTR B   (AV)</v>
      </c>
      <c r="C564" s="18">
        <f>'Sampling Data'!B564</f>
        <v>14</v>
      </c>
      <c r="D564" s="18">
        <f>'Sampling Data'!C564</f>
        <v>2</v>
      </c>
      <c r="E564" s="19">
        <f>'Sampling Data'!D564</f>
        <v>0</v>
      </c>
      <c r="F564" s="19">
        <f>'Sampling Data'!E564</f>
        <v>0</v>
      </c>
      <c r="G564" s="19">
        <f>'Sampling Data'!F564</f>
        <v>0</v>
      </c>
      <c r="H564" s="19">
        <f>'Sampling Data'!G564</f>
        <v>0</v>
      </c>
      <c r="I564" s="19">
        <f>'Sampling Data'!H564</f>
        <v>0</v>
      </c>
      <c r="J564" s="19">
        <f>'Sampling Data'!I564</f>
        <v>0</v>
      </c>
      <c r="K564" s="19">
        <f>'Sampling Data'!J564</f>
        <v>0</v>
      </c>
      <c r="L564" s="19">
        <f>'Sampling Data'!K564</f>
        <v>0</v>
      </c>
      <c r="M564" s="19">
        <f>'Sampling Data'!L564</f>
        <v>0</v>
      </c>
      <c r="N564" s="19">
        <f>'Sampling Data'!M564</f>
        <v>0</v>
      </c>
      <c r="O564" s="18">
        <f>'Sampling Data'!N564</f>
        <v>0</v>
      </c>
      <c r="P564" s="18">
        <f>'Sampling Data'!O564</f>
        <v>0</v>
      </c>
      <c r="Q564" s="18">
        <f>'Sampling Data'!P564</f>
        <v>16</v>
      </c>
      <c r="R564" s="18">
        <f>'Sampling Data'!AJ564</f>
        <v>0</v>
      </c>
      <c r="S564" s="112"/>
      <c r="T564" s="112"/>
      <c r="U564" s="113"/>
      <c r="V564" s="113"/>
      <c r="W564" s="112"/>
      <c r="X564" s="112"/>
      <c r="Y564" s="112"/>
      <c r="Z564" s="112"/>
      <c r="AA564" s="15"/>
      <c r="AB564" s="15"/>
      <c r="AC564" s="15"/>
      <c r="AD564" s="15"/>
      <c r="AE564" s="114" t="str">
        <f>IF(NOT(ISBLANK(Audit[[#This Row],[Audit Winning Candidate]])), Audit[[#This Row],[Audit Winning Candidate]]-Audit[[#This Row],[Winning Candidate]], "")</f>
        <v/>
      </c>
      <c r="AF564" s="18" t="str">
        <f>IF(NOT(ISBLANK(Audit[[#This Row],[Audit Losing Candidate]])), Audit[[#This Row],[Audit Losing Candidate]]-Audit[[#This Row],[Losing Candidate]], "")</f>
        <v/>
      </c>
      <c r="AG564" s="18" t="str">
        <f>IF(NOT(ISBLANK(Audit[[#This Row],[Audit Candidate 3]])), Audit[[#This Row],[Audit Candidate 3]]-Audit[[#This Row],[Candidate 3]], "")</f>
        <v/>
      </c>
      <c r="AH564" s="18" t="str">
        <f>IF(NOT(ISBLANK(Audit[[#This Row],[Audit Candidate 4]])),Audit[[#This Row],[Audit Candidate 4]]-Audit[[#This Row],[Candidate 4]], "")</f>
        <v/>
      </c>
      <c r="AI564" s="18" t="str">
        <f>IF(NOT(ISBLANK(Audit[[#This Row],[Audit Candidate 5]])), Audit[[#This Row],[Audit Candidate 5]]-Audit[[#This Row],[Candidate 5]], "")</f>
        <v/>
      </c>
      <c r="AJ564" s="18" t="str">
        <f>IF(NOT(ISBLANK(Audit[[#This Row],[Audit Candidate 6]])), Audit[[#This Row],[Audit Candidate 6]]-Audit[[#This Row],[Candidate 6]], "")</f>
        <v/>
      </c>
      <c r="AK564" s="18" t="str">
        <f>IF(NOT(ISBLANK(Audit[[#This Row],[Audit Candidate 7]])), Audit[[#This Row],[Audit Candidate 7]]-Audit[[#This Row],[Candidate 7]], "")</f>
        <v/>
      </c>
      <c r="AL564" s="18" t="str">
        <f>IF(NOT(ISBLANK(Audit[[#This Row],[Audit Candidate 8]])), Audit[[#This Row],[Audit Candidate 8]]-Audit[[#This Row],[Candidate 8]], "")</f>
        <v/>
      </c>
      <c r="AM564" s="18" t="str">
        <f>IF(NOT(ISBLANK(Audit[[#This Row],[Audit Candidate 9]])), Audit[[#This Row],[Audit Candidate 9]]-Audit[[#This Row],[Candidate 9]], "")</f>
        <v/>
      </c>
      <c r="AN564" s="18" t="str">
        <f>IF(NOT(ISBLANK(Audit[[#This Row],[Audit Candidate 10]])), Audit[[#This Row],[Audit Candidate 10]]-Audit[[#This Row],[Candidate 10]], "")</f>
        <v/>
      </c>
      <c r="AO564" s="18" t="str">
        <f>IF(NOT(ISBLANK(Audit[[#This Row],[Audit Candidate 11]])), Audit[[#This Row],[Audit Candidate 11]]-Audit[[#This Row],[Candidate 11]], "")</f>
        <v/>
      </c>
      <c r="AP564" s="18" t="str">
        <f>IF(NOT(ISBLANK(Audit[[#This Row],[Audit Candidate 12]])), Audit[[#This Row],[Audit Candidate 12]]-Audit[[#This Row],[Candidate 12]], "")</f>
        <v/>
      </c>
      <c r="AQ564" s="18">
        <f>SUMIF(Audit[[#This Row],[Difference Winner]:[Difference Candidate 12]], "&gt;0")</f>
        <v>0</v>
      </c>
      <c r="AR564" s="18">
        <f>SUM(Audit[[#This Row],[Difference Winner]:[Difference Candidate 12]])</f>
        <v>0</v>
      </c>
      <c r="AS564" s="18">
        <f>IF(Audit[[#This Row],[Times p Drawn - With Replacement]]&gt;0, IF(Audit[[#This Row],[Canceled Differences]]&lt;0, Audit[[#This Row],[Max Differences]]+ABS(Audit[[#This Row],[Canceled Differences]]), Audit[[#This Row],[Max Differences]]), 0)</f>
        <v>0</v>
      </c>
      <c r="AT564" s="18">
        <f>'Sampling Data'!AB564</f>
        <v>8.7947985048842541E-4</v>
      </c>
      <c r="AU564" s="18">
        <f>IF(
      SUM(Audit[[#This Row],[Audit Losing Candidate]:[Audit Candidate 12]])
      &lt;&gt;0,
      (Audit[[#This Row],[Winning Candidate]]-Audit[[#This Row],[Losing Candidate]]-(Audit[[#This Row],[Audit Winning Candidate]]-Audit[[#This Row],[Audit Losing Candidate]]))/(Audit[[#Totals],[Winning Candidate]]-Audit[[#Totals],[Losing Candidate]]),
      0
)</f>
        <v>0</v>
      </c>
      <c r="AV5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8">
        <f>IF(Audit[[#This Row],[Max Relative Error (ep)]] = 0, 0, Audit[[#This Row],[Max Relative Error (ep)]]/Audit[[#This Row],[Error Bound (up) - Max. possible relative overstatement]])</f>
        <v>0</v>
      </c>
      <c r="BH5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4" s="18">
        <f t="shared" si="9"/>
        <v>1</v>
      </c>
      <c r="BJ564" s="18">
        <f>PRODUCT($BI$5:BI564)</f>
        <v>0.32656797278968008</v>
      </c>
      <c r="BK564" s="20">
        <f>1 - Audit[[#This Row],[K-M P Value]]</f>
        <v>0.67343202721031992</v>
      </c>
      <c r="BL564" s="18" t="str">
        <f>IF(Audit[[#This Row],[K-M P Value]]&gt;1-'General Info'!$B$12,"Continue", "Stop")</f>
        <v>Continue</v>
      </c>
      <c r="BM564" s="23" t="b">
        <f>IF(Audit[[#This Row],[Status - Continue or stop audit]] = "Continue", TRUE, IF(BL563 = "Continue", TRUE, FALSE))</f>
        <v>1</v>
      </c>
      <c r="BN564" s="23"/>
    </row>
    <row r="565" spans="1:66" ht="15" hidden="1" customHeight="1" x14ac:dyDescent="0.35">
      <c r="A565" s="18" t="str">
        <f>'Sampling Data'!AI565</f>
        <v/>
      </c>
      <c r="B565" s="18" t="str">
        <f>'Sampling Data'!A565</f>
        <v>9503 WHWTR C   (AV)</v>
      </c>
      <c r="C565" s="18">
        <f>'Sampling Data'!B565</f>
        <v>7</v>
      </c>
      <c r="D565" s="18">
        <f>'Sampling Data'!C565</f>
        <v>0</v>
      </c>
      <c r="E565" s="19">
        <f>'Sampling Data'!D565</f>
        <v>0</v>
      </c>
      <c r="F565" s="19">
        <f>'Sampling Data'!E565</f>
        <v>0</v>
      </c>
      <c r="G565" s="19">
        <f>'Sampling Data'!F565</f>
        <v>0</v>
      </c>
      <c r="H565" s="19">
        <f>'Sampling Data'!G565</f>
        <v>0</v>
      </c>
      <c r="I565" s="19">
        <f>'Sampling Data'!H565</f>
        <v>0</v>
      </c>
      <c r="J565" s="19">
        <f>'Sampling Data'!I565</f>
        <v>0</v>
      </c>
      <c r="K565" s="19">
        <f>'Sampling Data'!J565</f>
        <v>0</v>
      </c>
      <c r="L565" s="19">
        <f>'Sampling Data'!K565</f>
        <v>0</v>
      </c>
      <c r="M565" s="19">
        <f>'Sampling Data'!L565</f>
        <v>0</v>
      </c>
      <c r="N565" s="19">
        <f>'Sampling Data'!M565</f>
        <v>0</v>
      </c>
      <c r="O565" s="18">
        <f>'Sampling Data'!N565</f>
        <v>0</v>
      </c>
      <c r="P565" s="18">
        <f>'Sampling Data'!O565</f>
        <v>0</v>
      </c>
      <c r="Q565" s="18">
        <f>'Sampling Data'!P565</f>
        <v>7</v>
      </c>
      <c r="R565" s="18">
        <f>'Sampling Data'!AJ565</f>
        <v>0</v>
      </c>
      <c r="S565" s="112"/>
      <c r="T565" s="112"/>
      <c r="U565" s="113"/>
      <c r="V565" s="113"/>
      <c r="W565" s="112"/>
      <c r="X565" s="112"/>
      <c r="Y565" s="112"/>
      <c r="Z565" s="112"/>
      <c r="AA565" s="15"/>
      <c r="AB565" s="15"/>
      <c r="AC565" s="15"/>
      <c r="AD565" s="15"/>
      <c r="AE565" s="114" t="str">
        <f>IF(NOT(ISBLANK(Audit[[#This Row],[Audit Winning Candidate]])), Audit[[#This Row],[Audit Winning Candidate]]-Audit[[#This Row],[Winning Candidate]], "")</f>
        <v/>
      </c>
      <c r="AF565" s="18" t="str">
        <f>IF(NOT(ISBLANK(Audit[[#This Row],[Audit Losing Candidate]])), Audit[[#This Row],[Audit Losing Candidate]]-Audit[[#This Row],[Losing Candidate]], "")</f>
        <v/>
      </c>
      <c r="AG565" s="18" t="str">
        <f>IF(NOT(ISBLANK(Audit[[#This Row],[Audit Candidate 3]])), Audit[[#This Row],[Audit Candidate 3]]-Audit[[#This Row],[Candidate 3]], "")</f>
        <v/>
      </c>
      <c r="AH565" s="18" t="str">
        <f>IF(NOT(ISBLANK(Audit[[#This Row],[Audit Candidate 4]])),Audit[[#This Row],[Audit Candidate 4]]-Audit[[#This Row],[Candidate 4]], "")</f>
        <v/>
      </c>
      <c r="AI565" s="18" t="str">
        <f>IF(NOT(ISBLANK(Audit[[#This Row],[Audit Candidate 5]])), Audit[[#This Row],[Audit Candidate 5]]-Audit[[#This Row],[Candidate 5]], "")</f>
        <v/>
      </c>
      <c r="AJ565" s="18" t="str">
        <f>IF(NOT(ISBLANK(Audit[[#This Row],[Audit Candidate 6]])), Audit[[#This Row],[Audit Candidate 6]]-Audit[[#This Row],[Candidate 6]], "")</f>
        <v/>
      </c>
      <c r="AK565" s="18" t="str">
        <f>IF(NOT(ISBLANK(Audit[[#This Row],[Audit Candidate 7]])), Audit[[#This Row],[Audit Candidate 7]]-Audit[[#This Row],[Candidate 7]], "")</f>
        <v/>
      </c>
      <c r="AL565" s="18" t="str">
        <f>IF(NOT(ISBLANK(Audit[[#This Row],[Audit Candidate 8]])), Audit[[#This Row],[Audit Candidate 8]]-Audit[[#This Row],[Candidate 8]], "")</f>
        <v/>
      </c>
      <c r="AM565" s="18" t="str">
        <f>IF(NOT(ISBLANK(Audit[[#This Row],[Audit Candidate 9]])), Audit[[#This Row],[Audit Candidate 9]]-Audit[[#This Row],[Candidate 9]], "")</f>
        <v/>
      </c>
      <c r="AN565" s="18" t="str">
        <f>IF(NOT(ISBLANK(Audit[[#This Row],[Audit Candidate 10]])), Audit[[#This Row],[Audit Candidate 10]]-Audit[[#This Row],[Candidate 10]], "")</f>
        <v/>
      </c>
      <c r="AO565" s="18" t="str">
        <f>IF(NOT(ISBLANK(Audit[[#This Row],[Audit Candidate 11]])), Audit[[#This Row],[Audit Candidate 11]]-Audit[[#This Row],[Candidate 11]], "")</f>
        <v/>
      </c>
      <c r="AP565" s="18" t="str">
        <f>IF(NOT(ISBLANK(Audit[[#This Row],[Audit Candidate 12]])), Audit[[#This Row],[Audit Candidate 12]]-Audit[[#This Row],[Candidate 12]], "")</f>
        <v/>
      </c>
      <c r="AQ565" s="18">
        <f>SUMIF(Audit[[#This Row],[Difference Winner]:[Difference Candidate 12]], "&gt;0")</f>
        <v>0</v>
      </c>
      <c r="AR565" s="18">
        <f>SUM(Audit[[#This Row],[Difference Winner]:[Difference Candidate 12]])</f>
        <v>0</v>
      </c>
      <c r="AS565" s="18">
        <f>IF(Audit[[#This Row],[Times p Drawn - With Replacement]]&gt;0, IF(Audit[[#This Row],[Canceled Differences]]&lt;0, Audit[[#This Row],[Max Differences]]+ABS(Audit[[#This Row],[Canceled Differences]]), Audit[[#This Row],[Max Differences]]), 0)</f>
        <v>0</v>
      </c>
      <c r="AT565" s="18">
        <f>'Sampling Data'!AB565</f>
        <v>4.3973992524421271E-4</v>
      </c>
      <c r="AU565" s="18">
        <f>IF(
      SUM(Audit[[#This Row],[Audit Losing Candidate]:[Audit Candidate 12]])
      &lt;&gt;0,
      (Audit[[#This Row],[Winning Candidate]]-Audit[[#This Row],[Losing Candidate]]-(Audit[[#This Row],[Audit Winning Candidate]]-Audit[[#This Row],[Audit Losing Candidate]]))/(Audit[[#Totals],[Winning Candidate]]-Audit[[#Totals],[Losing Candidate]]),
      0
)</f>
        <v>0</v>
      </c>
      <c r="AV5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8">
        <f>IF(Audit[[#This Row],[Max Relative Error (ep)]] = 0, 0, Audit[[#This Row],[Max Relative Error (ep)]]/Audit[[#This Row],[Error Bound (up) - Max. possible relative overstatement]])</f>
        <v>0</v>
      </c>
      <c r="BH5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5" s="18">
        <f t="shared" si="9"/>
        <v>1</v>
      </c>
      <c r="BJ565" s="18">
        <f>PRODUCT($BI$5:BI565)</f>
        <v>0.32656797278968008</v>
      </c>
      <c r="BK565" s="20">
        <f>1 - Audit[[#This Row],[K-M P Value]]</f>
        <v>0.67343202721031992</v>
      </c>
      <c r="BL565" s="18" t="str">
        <f>IF(Audit[[#This Row],[K-M P Value]]&gt;1-'General Info'!$B$12,"Continue", "Stop")</f>
        <v>Continue</v>
      </c>
      <c r="BM565" s="23" t="b">
        <f>IF(Audit[[#This Row],[Status - Continue or stop audit]] = "Continue", TRUE, IF(BL564 = "Continue", TRUE, FALSE))</f>
        <v>1</v>
      </c>
      <c r="BN565" s="23"/>
    </row>
    <row r="566" spans="1:66" ht="15" hidden="1" customHeight="1" x14ac:dyDescent="0.35">
      <c r="A566" s="18" t="str">
        <f>'Sampling Data'!AI566</f>
        <v/>
      </c>
      <c r="B566" s="18" t="str">
        <f>'Sampling Data'!A566</f>
        <v>9701 WOOD A   (AV)</v>
      </c>
      <c r="C566" s="18">
        <f>'Sampling Data'!B566</f>
        <v>0</v>
      </c>
      <c r="D566" s="18">
        <f>'Sampling Data'!C566</f>
        <v>0</v>
      </c>
      <c r="E566" s="19">
        <f>'Sampling Data'!D566</f>
        <v>0</v>
      </c>
      <c r="F566" s="19">
        <f>'Sampling Data'!E566</f>
        <v>0</v>
      </c>
      <c r="G566" s="19">
        <f>'Sampling Data'!F566</f>
        <v>0</v>
      </c>
      <c r="H566" s="19">
        <f>'Sampling Data'!G566</f>
        <v>0</v>
      </c>
      <c r="I566" s="19">
        <f>'Sampling Data'!H566</f>
        <v>0</v>
      </c>
      <c r="J566" s="19">
        <f>'Sampling Data'!I566</f>
        <v>0</v>
      </c>
      <c r="K566" s="19">
        <f>'Sampling Data'!J566</f>
        <v>0</v>
      </c>
      <c r="L566" s="19">
        <f>'Sampling Data'!K566</f>
        <v>0</v>
      </c>
      <c r="M566" s="19">
        <f>'Sampling Data'!L566</f>
        <v>0</v>
      </c>
      <c r="N566" s="19">
        <f>'Sampling Data'!M566</f>
        <v>0</v>
      </c>
      <c r="O566" s="18">
        <f>'Sampling Data'!N566</f>
        <v>0</v>
      </c>
      <c r="P566" s="18">
        <f>'Sampling Data'!O566</f>
        <v>0</v>
      </c>
      <c r="Q566" s="18">
        <f>'Sampling Data'!P566</f>
        <v>0</v>
      </c>
      <c r="R566" s="18">
        <f>'Sampling Data'!AJ566</f>
        <v>0</v>
      </c>
      <c r="S566" s="112"/>
      <c r="T566" s="112"/>
      <c r="U566" s="113"/>
      <c r="V566" s="113"/>
      <c r="W566" s="112"/>
      <c r="X566" s="112"/>
      <c r="Y566" s="112"/>
      <c r="Z566" s="112"/>
      <c r="AA566" s="15"/>
      <c r="AB566" s="15"/>
      <c r="AC566" s="15"/>
      <c r="AD566" s="15"/>
      <c r="AE566" s="114" t="str">
        <f>IF(NOT(ISBLANK(Audit[[#This Row],[Audit Winning Candidate]])), Audit[[#This Row],[Audit Winning Candidate]]-Audit[[#This Row],[Winning Candidate]], "")</f>
        <v/>
      </c>
      <c r="AF566" s="18" t="str">
        <f>IF(NOT(ISBLANK(Audit[[#This Row],[Audit Losing Candidate]])), Audit[[#This Row],[Audit Losing Candidate]]-Audit[[#This Row],[Losing Candidate]], "")</f>
        <v/>
      </c>
      <c r="AG566" s="18" t="str">
        <f>IF(NOT(ISBLANK(Audit[[#This Row],[Audit Candidate 3]])), Audit[[#This Row],[Audit Candidate 3]]-Audit[[#This Row],[Candidate 3]], "")</f>
        <v/>
      </c>
      <c r="AH566" s="18" t="str">
        <f>IF(NOT(ISBLANK(Audit[[#This Row],[Audit Candidate 4]])),Audit[[#This Row],[Audit Candidate 4]]-Audit[[#This Row],[Candidate 4]], "")</f>
        <v/>
      </c>
      <c r="AI566" s="18" t="str">
        <f>IF(NOT(ISBLANK(Audit[[#This Row],[Audit Candidate 5]])), Audit[[#This Row],[Audit Candidate 5]]-Audit[[#This Row],[Candidate 5]], "")</f>
        <v/>
      </c>
      <c r="AJ566" s="18" t="str">
        <f>IF(NOT(ISBLANK(Audit[[#This Row],[Audit Candidate 6]])), Audit[[#This Row],[Audit Candidate 6]]-Audit[[#This Row],[Candidate 6]], "")</f>
        <v/>
      </c>
      <c r="AK566" s="18" t="str">
        <f>IF(NOT(ISBLANK(Audit[[#This Row],[Audit Candidate 7]])), Audit[[#This Row],[Audit Candidate 7]]-Audit[[#This Row],[Candidate 7]], "")</f>
        <v/>
      </c>
      <c r="AL566" s="18" t="str">
        <f>IF(NOT(ISBLANK(Audit[[#This Row],[Audit Candidate 8]])), Audit[[#This Row],[Audit Candidate 8]]-Audit[[#This Row],[Candidate 8]], "")</f>
        <v/>
      </c>
      <c r="AM566" s="18" t="str">
        <f>IF(NOT(ISBLANK(Audit[[#This Row],[Audit Candidate 9]])), Audit[[#This Row],[Audit Candidate 9]]-Audit[[#This Row],[Candidate 9]], "")</f>
        <v/>
      </c>
      <c r="AN566" s="18" t="str">
        <f>IF(NOT(ISBLANK(Audit[[#This Row],[Audit Candidate 10]])), Audit[[#This Row],[Audit Candidate 10]]-Audit[[#This Row],[Candidate 10]], "")</f>
        <v/>
      </c>
      <c r="AO566" s="18" t="str">
        <f>IF(NOT(ISBLANK(Audit[[#This Row],[Audit Candidate 11]])), Audit[[#This Row],[Audit Candidate 11]]-Audit[[#This Row],[Candidate 11]], "")</f>
        <v/>
      </c>
      <c r="AP566" s="18" t="str">
        <f>IF(NOT(ISBLANK(Audit[[#This Row],[Audit Candidate 12]])), Audit[[#This Row],[Audit Candidate 12]]-Audit[[#This Row],[Candidate 12]], "")</f>
        <v/>
      </c>
      <c r="AQ566" s="18">
        <f>SUMIF(Audit[[#This Row],[Difference Winner]:[Difference Candidate 12]], "&gt;0")</f>
        <v>0</v>
      </c>
      <c r="AR566" s="18">
        <f>SUM(Audit[[#This Row],[Difference Winner]:[Difference Candidate 12]])</f>
        <v>0</v>
      </c>
      <c r="AS566" s="18">
        <f>IF(Audit[[#This Row],[Times p Drawn - With Replacement]]&gt;0, IF(Audit[[#This Row],[Canceled Differences]]&lt;0, Audit[[#This Row],[Max Differences]]+ABS(Audit[[#This Row],[Canceled Differences]]), Audit[[#This Row],[Max Differences]]), 0)</f>
        <v>0</v>
      </c>
      <c r="AT566" s="18">
        <f>'Sampling Data'!AB566</f>
        <v>0</v>
      </c>
      <c r="AU566" s="18">
        <f>IF(
      SUM(Audit[[#This Row],[Audit Losing Candidate]:[Audit Candidate 12]])
      &lt;&gt;0,
      (Audit[[#This Row],[Winning Candidate]]-Audit[[#This Row],[Losing Candidate]]-(Audit[[#This Row],[Audit Winning Candidate]]-Audit[[#This Row],[Audit Losing Candidate]]))/(Audit[[#Totals],[Winning Candidate]]-Audit[[#Totals],[Losing Candidate]]),
      0
)</f>
        <v>0</v>
      </c>
      <c r="AV5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8">
        <f>IF(Audit[[#This Row],[Max Relative Error (ep)]] = 0, 0, Audit[[#This Row],[Max Relative Error (ep)]]/Audit[[#This Row],[Error Bound (up) - Max. possible relative overstatement]])</f>
        <v>0</v>
      </c>
      <c r="BH5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6" s="18">
        <f t="shared" si="9"/>
        <v>1</v>
      </c>
      <c r="BJ566" s="18">
        <f>PRODUCT($BI$5:BI566)</f>
        <v>0.32656797278968008</v>
      </c>
      <c r="BK566" s="20">
        <f>1 - Audit[[#This Row],[K-M P Value]]</f>
        <v>0.67343202721031992</v>
      </c>
      <c r="BL566" s="18" t="str">
        <f>IF(Audit[[#This Row],[K-M P Value]]&gt;1-'General Info'!$B$12,"Continue", "Stop")</f>
        <v>Continue</v>
      </c>
      <c r="BM566" s="23" t="b">
        <f>IF(Audit[[#This Row],[Status - Continue or stop audit]] = "Continue", TRUE, IF(BL565 = "Continue", TRUE, FALSE))</f>
        <v>1</v>
      </c>
      <c r="BN566" s="23"/>
    </row>
    <row r="567" spans="1:66" ht="15" hidden="1" customHeight="1" x14ac:dyDescent="0.35">
      <c r="A567" s="18" t="str">
        <f>'Sampling Data'!AI567</f>
        <v/>
      </c>
      <c r="B567" s="18" t="str">
        <f>'Sampling Data'!A567</f>
        <v>9702 WOOD B   (AV)</v>
      </c>
      <c r="C567" s="18">
        <f>'Sampling Data'!B567</f>
        <v>2</v>
      </c>
      <c r="D567" s="18">
        <f>'Sampling Data'!C567</f>
        <v>0</v>
      </c>
      <c r="E567" s="19">
        <f>'Sampling Data'!D567</f>
        <v>0</v>
      </c>
      <c r="F567" s="19">
        <f>'Sampling Data'!E567</f>
        <v>0</v>
      </c>
      <c r="G567" s="19">
        <f>'Sampling Data'!F567</f>
        <v>0</v>
      </c>
      <c r="H567" s="19">
        <f>'Sampling Data'!G567</f>
        <v>0</v>
      </c>
      <c r="I567" s="19">
        <f>'Sampling Data'!H567</f>
        <v>0</v>
      </c>
      <c r="J567" s="19">
        <f>'Sampling Data'!I567</f>
        <v>0</v>
      </c>
      <c r="K567" s="19">
        <f>'Sampling Data'!J567</f>
        <v>0</v>
      </c>
      <c r="L567" s="19">
        <f>'Sampling Data'!K567</f>
        <v>0</v>
      </c>
      <c r="M567" s="19">
        <f>'Sampling Data'!L567</f>
        <v>0</v>
      </c>
      <c r="N567" s="19">
        <f>'Sampling Data'!M567</f>
        <v>0</v>
      </c>
      <c r="O567" s="18">
        <f>'Sampling Data'!N567</f>
        <v>0</v>
      </c>
      <c r="P567" s="18">
        <f>'Sampling Data'!O567</f>
        <v>0</v>
      </c>
      <c r="Q567" s="18">
        <f>'Sampling Data'!P567</f>
        <v>2</v>
      </c>
      <c r="R567" s="18">
        <f>'Sampling Data'!AJ567</f>
        <v>0</v>
      </c>
      <c r="S567" s="112"/>
      <c r="T567" s="112"/>
      <c r="U567" s="113"/>
      <c r="V567" s="113"/>
      <c r="W567" s="112"/>
      <c r="X567" s="112"/>
      <c r="Y567" s="112"/>
      <c r="Z567" s="112"/>
      <c r="AA567" s="15"/>
      <c r="AB567" s="15"/>
      <c r="AC567" s="15"/>
      <c r="AD567" s="15"/>
      <c r="AE567" s="114" t="str">
        <f>IF(NOT(ISBLANK(Audit[[#This Row],[Audit Winning Candidate]])), Audit[[#This Row],[Audit Winning Candidate]]-Audit[[#This Row],[Winning Candidate]], "")</f>
        <v/>
      </c>
      <c r="AF567" s="18" t="str">
        <f>IF(NOT(ISBLANK(Audit[[#This Row],[Audit Losing Candidate]])), Audit[[#This Row],[Audit Losing Candidate]]-Audit[[#This Row],[Losing Candidate]], "")</f>
        <v/>
      </c>
      <c r="AG567" s="18" t="str">
        <f>IF(NOT(ISBLANK(Audit[[#This Row],[Audit Candidate 3]])), Audit[[#This Row],[Audit Candidate 3]]-Audit[[#This Row],[Candidate 3]], "")</f>
        <v/>
      </c>
      <c r="AH567" s="18" t="str">
        <f>IF(NOT(ISBLANK(Audit[[#This Row],[Audit Candidate 4]])),Audit[[#This Row],[Audit Candidate 4]]-Audit[[#This Row],[Candidate 4]], "")</f>
        <v/>
      </c>
      <c r="AI567" s="18" t="str">
        <f>IF(NOT(ISBLANK(Audit[[#This Row],[Audit Candidate 5]])), Audit[[#This Row],[Audit Candidate 5]]-Audit[[#This Row],[Candidate 5]], "")</f>
        <v/>
      </c>
      <c r="AJ567" s="18" t="str">
        <f>IF(NOT(ISBLANK(Audit[[#This Row],[Audit Candidate 6]])), Audit[[#This Row],[Audit Candidate 6]]-Audit[[#This Row],[Candidate 6]], "")</f>
        <v/>
      </c>
      <c r="AK567" s="18" t="str">
        <f>IF(NOT(ISBLANK(Audit[[#This Row],[Audit Candidate 7]])), Audit[[#This Row],[Audit Candidate 7]]-Audit[[#This Row],[Candidate 7]], "")</f>
        <v/>
      </c>
      <c r="AL567" s="18" t="str">
        <f>IF(NOT(ISBLANK(Audit[[#This Row],[Audit Candidate 8]])), Audit[[#This Row],[Audit Candidate 8]]-Audit[[#This Row],[Candidate 8]], "")</f>
        <v/>
      </c>
      <c r="AM567" s="18" t="str">
        <f>IF(NOT(ISBLANK(Audit[[#This Row],[Audit Candidate 9]])), Audit[[#This Row],[Audit Candidate 9]]-Audit[[#This Row],[Candidate 9]], "")</f>
        <v/>
      </c>
      <c r="AN567" s="18" t="str">
        <f>IF(NOT(ISBLANK(Audit[[#This Row],[Audit Candidate 10]])), Audit[[#This Row],[Audit Candidate 10]]-Audit[[#This Row],[Candidate 10]], "")</f>
        <v/>
      </c>
      <c r="AO567" s="18" t="str">
        <f>IF(NOT(ISBLANK(Audit[[#This Row],[Audit Candidate 11]])), Audit[[#This Row],[Audit Candidate 11]]-Audit[[#This Row],[Candidate 11]], "")</f>
        <v/>
      </c>
      <c r="AP567" s="18" t="str">
        <f>IF(NOT(ISBLANK(Audit[[#This Row],[Audit Candidate 12]])), Audit[[#This Row],[Audit Candidate 12]]-Audit[[#This Row],[Candidate 12]], "")</f>
        <v/>
      </c>
      <c r="AQ567" s="18">
        <f>SUMIF(Audit[[#This Row],[Difference Winner]:[Difference Candidate 12]], "&gt;0")</f>
        <v>0</v>
      </c>
      <c r="AR567" s="18">
        <f>SUM(Audit[[#This Row],[Difference Winner]:[Difference Candidate 12]])</f>
        <v>0</v>
      </c>
      <c r="AS567" s="18">
        <f>IF(Audit[[#This Row],[Times p Drawn - With Replacement]]&gt;0, IF(Audit[[#This Row],[Canceled Differences]]&lt;0, Audit[[#This Row],[Max Differences]]+ABS(Audit[[#This Row],[Canceled Differences]]), Audit[[#This Row],[Max Differences]]), 0)</f>
        <v>0</v>
      </c>
      <c r="AT567" s="18">
        <f>'Sampling Data'!AB567</f>
        <v>1.2563997864120362E-4</v>
      </c>
      <c r="AU567" s="18">
        <f>IF(
      SUM(Audit[[#This Row],[Audit Losing Candidate]:[Audit Candidate 12]])
      &lt;&gt;0,
      (Audit[[#This Row],[Winning Candidate]]-Audit[[#This Row],[Losing Candidate]]-(Audit[[#This Row],[Audit Winning Candidate]]-Audit[[#This Row],[Audit Losing Candidate]]))/(Audit[[#Totals],[Winning Candidate]]-Audit[[#Totals],[Losing Candidate]]),
      0
)</f>
        <v>0</v>
      </c>
      <c r="AV5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8">
        <f>IF(Audit[[#This Row],[Max Relative Error (ep)]] = 0, 0, Audit[[#This Row],[Max Relative Error (ep)]]/Audit[[#This Row],[Error Bound (up) - Max. possible relative overstatement]])</f>
        <v>0</v>
      </c>
      <c r="BH5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7" s="18">
        <f t="shared" si="9"/>
        <v>1</v>
      </c>
      <c r="BJ567" s="18">
        <f>PRODUCT($BI$5:BI567)</f>
        <v>0.32656797278968008</v>
      </c>
      <c r="BK567" s="20">
        <f>1 - Audit[[#This Row],[K-M P Value]]</f>
        <v>0.67343202721031992</v>
      </c>
      <c r="BL567" s="18" t="str">
        <f>IF(Audit[[#This Row],[K-M P Value]]&gt;1-'General Info'!$B$12,"Continue", "Stop")</f>
        <v>Continue</v>
      </c>
      <c r="BM567" s="23" t="b">
        <f>IF(Audit[[#This Row],[Status - Continue or stop audit]] = "Continue", TRUE, IF(BL566 = "Continue", TRUE, FALSE))</f>
        <v>1</v>
      </c>
      <c r="BN567" s="23"/>
    </row>
    <row r="568" spans="1:66" ht="15" hidden="1" customHeight="1" x14ac:dyDescent="0.35">
      <c r="A568" s="18" t="str">
        <f>'Sampling Data'!AI568</f>
        <v/>
      </c>
      <c r="B568" s="18" t="str">
        <f>'Sampling Data'!A568</f>
        <v>0101 CIN 1-A   (ED)</v>
      </c>
      <c r="C568" s="18">
        <f>'Sampling Data'!B568</f>
        <v>43</v>
      </c>
      <c r="D568" s="18">
        <f>'Sampling Data'!C568</f>
        <v>1</v>
      </c>
      <c r="E568" s="19">
        <f>'Sampling Data'!D568</f>
        <v>0</v>
      </c>
      <c r="F568" s="19">
        <f>'Sampling Data'!E568</f>
        <v>0</v>
      </c>
      <c r="G568" s="19">
        <f>'Sampling Data'!F568</f>
        <v>0</v>
      </c>
      <c r="H568" s="19">
        <f>'Sampling Data'!G568</f>
        <v>0</v>
      </c>
      <c r="I568" s="19">
        <f>'Sampling Data'!H568</f>
        <v>0</v>
      </c>
      <c r="J568" s="19">
        <f>'Sampling Data'!I568</f>
        <v>0</v>
      </c>
      <c r="K568" s="19">
        <f>'Sampling Data'!J568</f>
        <v>0</v>
      </c>
      <c r="L568" s="19">
        <f>'Sampling Data'!K568</f>
        <v>0</v>
      </c>
      <c r="M568" s="19">
        <f>'Sampling Data'!L568</f>
        <v>0</v>
      </c>
      <c r="N568" s="19">
        <f>'Sampling Data'!M568</f>
        <v>0</v>
      </c>
      <c r="O568" s="18">
        <f>'Sampling Data'!N568</f>
        <v>0</v>
      </c>
      <c r="P568" s="18">
        <f>'Sampling Data'!O568</f>
        <v>0</v>
      </c>
      <c r="Q568" s="18">
        <f>'Sampling Data'!P568</f>
        <v>44</v>
      </c>
      <c r="R568" s="18">
        <f>'Sampling Data'!AJ568</f>
        <v>0</v>
      </c>
      <c r="S568" s="112"/>
      <c r="T568" s="112"/>
      <c r="U568" s="113"/>
      <c r="V568" s="113"/>
      <c r="W568" s="112"/>
      <c r="X568" s="112"/>
      <c r="Y568" s="112"/>
      <c r="Z568" s="112"/>
      <c r="AA568" s="15"/>
      <c r="AB568" s="15"/>
      <c r="AC568" s="15"/>
      <c r="AD568" s="15"/>
      <c r="AE568" s="114" t="str">
        <f>IF(NOT(ISBLANK(Audit[[#This Row],[Audit Winning Candidate]])), Audit[[#This Row],[Audit Winning Candidate]]-Audit[[#This Row],[Winning Candidate]], "")</f>
        <v/>
      </c>
      <c r="AF568" s="18" t="str">
        <f>IF(NOT(ISBLANK(Audit[[#This Row],[Audit Losing Candidate]])), Audit[[#This Row],[Audit Losing Candidate]]-Audit[[#This Row],[Losing Candidate]], "")</f>
        <v/>
      </c>
      <c r="AG568" s="18" t="str">
        <f>IF(NOT(ISBLANK(Audit[[#This Row],[Audit Candidate 3]])), Audit[[#This Row],[Audit Candidate 3]]-Audit[[#This Row],[Candidate 3]], "")</f>
        <v/>
      </c>
      <c r="AH568" s="18" t="str">
        <f>IF(NOT(ISBLANK(Audit[[#This Row],[Audit Candidate 4]])),Audit[[#This Row],[Audit Candidate 4]]-Audit[[#This Row],[Candidate 4]], "")</f>
        <v/>
      </c>
      <c r="AI568" s="18" t="str">
        <f>IF(NOT(ISBLANK(Audit[[#This Row],[Audit Candidate 5]])), Audit[[#This Row],[Audit Candidate 5]]-Audit[[#This Row],[Candidate 5]], "")</f>
        <v/>
      </c>
      <c r="AJ568" s="18" t="str">
        <f>IF(NOT(ISBLANK(Audit[[#This Row],[Audit Candidate 6]])), Audit[[#This Row],[Audit Candidate 6]]-Audit[[#This Row],[Candidate 6]], "")</f>
        <v/>
      </c>
      <c r="AK568" s="18" t="str">
        <f>IF(NOT(ISBLANK(Audit[[#This Row],[Audit Candidate 7]])), Audit[[#This Row],[Audit Candidate 7]]-Audit[[#This Row],[Candidate 7]], "")</f>
        <v/>
      </c>
      <c r="AL568" s="18" t="str">
        <f>IF(NOT(ISBLANK(Audit[[#This Row],[Audit Candidate 8]])), Audit[[#This Row],[Audit Candidate 8]]-Audit[[#This Row],[Candidate 8]], "")</f>
        <v/>
      </c>
      <c r="AM568" s="18" t="str">
        <f>IF(NOT(ISBLANK(Audit[[#This Row],[Audit Candidate 9]])), Audit[[#This Row],[Audit Candidate 9]]-Audit[[#This Row],[Candidate 9]], "")</f>
        <v/>
      </c>
      <c r="AN568" s="18" t="str">
        <f>IF(NOT(ISBLANK(Audit[[#This Row],[Audit Candidate 10]])), Audit[[#This Row],[Audit Candidate 10]]-Audit[[#This Row],[Candidate 10]], "")</f>
        <v/>
      </c>
      <c r="AO568" s="18" t="str">
        <f>IF(NOT(ISBLANK(Audit[[#This Row],[Audit Candidate 11]])), Audit[[#This Row],[Audit Candidate 11]]-Audit[[#This Row],[Candidate 11]], "")</f>
        <v/>
      </c>
      <c r="AP568" s="18" t="str">
        <f>IF(NOT(ISBLANK(Audit[[#This Row],[Audit Candidate 12]])), Audit[[#This Row],[Audit Candidate 12]]-Audit[[#This Row],[Candidate 12]], "")</f>
        <v/>
      </c>
      <c r="AQ568" s="18">
        <f>SUMIF(Audit[[#This Row],[Difference Winner]:[Difference Candidate 12]], "&gt;0")</f>
        <v>0</v>
      </c>
      <c r="AR568" s="18">
        <f>SUM(Audit[[#This Row],[Difference Winner]:[Difference Candidate 12]])</f>
        <v>0</v>
      </c>
      <c r="AS568" s="18">
        <f>IF(Audit[[#This Row],[Times p Drawn - With Replacement]]&gt;0, IF(Audit[[#This Row],[Canceled Differences]]&lt;0, Audit[[#This Row],[Max Differences]]+ABS(Audit[[#This Row],[Canceled Differences]]), Audit[[#This Row],[Max Differences]]), 0)</f>
        <v>0</v>
      </c>
      <c r="AT568" s="18">
        <f>'Sampling Data'!AB568</f>
        <v>2.701259540785878E-3</v>
      </c>
      <c r="AU568" s="18">
        <f>IF(
      SUM(Audit[[#This Row],[Audit Losing Candidate]:[Audit Candidate 12]])
      &lt;&gt;0,
      (Audit[[#This Row],[Winning Candidate]]-Audit[[#This Row],[Losing Candidate]]-(Audit[[#This Row],[Audit Winning Candidate]]-Audit[[#This Row],[Audit Losing Candidate]]))/(Audit[[#Totals],[Winning Candidate]]-Audit[[#Totals],[Losing Candidate]]),
      0
)</f>
        <v>0</v>
      </c>
      <c r="AV5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8">
        <f>IF(Audit[[#This Row],[Max Relative Error (ep)]] = 0, 0, Audit[[#This Row],[Max Relative Error (ep)]]/Audit[[#This Row],[Error Bound (up) - Max. possible relative overstatement]])</f>
        <v>0</v>
      </c>
      <c r="BH5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8" s="18">
        <f t="shared" si="9"/>
        <v>1</v>
      </c>
      <c r="BJ568" s="18">
        <f>PRODUCT($BI$5:BI568)</f>
        <v>0.32656797278968008</v>
      </c>
      <c r="BK568" s="20">
        <f>1 - Audit[[#This Row],[K-M P Value]]</f>
        <v>0.67343202721031992</v>
      </c>
      <c r="BL568" s="18" t="str">
        <f>IF(Audit[[#This Row],[K-M P Value]]&gt;1-'General Info'!$B$12,"Continue", "Stop")</f>
        <v>Continue</v>
      </c>
      <c r="BM568" s="23" t="b">
        <f>IF(Audit[[#This Row],[Status - Continue or stop audit]] = "Continue", TRUE, IF(BL567 = "Continue", TRUE, FALSE))</f>
        <v>1</v>
      </c>
      <c r="BN568" s="23"/>
    </row>
    <row r="569" spans="1:66" ht="15" hidden="1" customHeight="1" x14ac:dyDescent="0.35">
      <c r="A569" s="18" t="str">
        <f>'Sampling Data'!AI569</f>
        <v/>
      </c>
      <c r="B569" s="18" t="str">
        <f>'Sampling Data'!A569</f>
        <v>0102 CIN 1-B   (ED)</v>
      </c>
      <c r="C569" s="18">
        <f>'Sampling Data'!B569</f>
        <v>68</v>
      </c>
      <c r="D569" s="18">
        <f>'Sampling Data'!C569</f>
        <v>12</v>
      </c>
      <c r="E569" s="19">
        <f>'Sampling Data'!D569</f>
        <v>0</v>
      </c>
      <c r="F569" s="19">
        <f>'Sampling Data'!E569</f>
        <v>0</v>
      </c>
      <c r="G569" s="19">
        <f>'Sampling Data'!F569</f>
        <v>0</v>
      </c>
      <c r="H569" s="19">
        <f>'Sampling Data'!G569</f>
        <v>0</v>
      </c>
      <c r="I569" s="19">
        <f>'Sampling Data'!H569</f>
        <v>0</v>
      </c>
      <c r="J569" s="19">
        <f>'Sampling Data'!I569</f>
        <v>0</v>
      </c>
      <c r="K569" s="19">
        <f>'Sampling Data'!J569</f>
        <v>0</v>
      </c>
      <c r="L569" s="19">
        <f>'Sampling Data'!K569</f>
        <v>0</v>
      </c>
      <c r="M569" s="19">
        <f>'Sampling Data'!L569</f>
        <v>0</v>
      </c>
      <c r="N569" s="19">
        <f>'Sampling Data'!M569</f>
        <v>0</v>
      </c>
      <c r="O569" s="18">
        <f>'Sampling Data'!N569</f>
        <v>0</v>
      </c>
      <c r="P569" s="18">
        <f>'Sampling Data'!O569</f>
        <v>0</v>
      </c>
      <c r="Q569" s="18">
        <f>'Sampling Data'!P569</f>
        <v>80</v>
      </c>
      <c r="R569" s="18">
        <f>'Sampling Data'!AJ569</f>
        <v>0</v>
      </c>
      <c r="S569" s="112"/>
      <c r="T569" s="112"/>
      <c r="U569" s="113"/>
      <c r="V569" s="113"/>
      <c r="W569" s="112"/>
      <c r="X569" s="112"/>
      <c r="Y569" s="112"/>
      <c r="Z569" s="112"/>
      <c r="AA569" s="15"/>
      <c r="AB569" s="15"/>
      <c r="AC569" s="15"/>
      <c r="AD569" s="15"/>
      <c r="AE569" s="114" t="str">
        <f>IF(NOT(ISBLANK(Audit[[#This Row],[Audit Winning Candidate]])), Audit[[#This Row],[Audit Winning Candidate]]-Audit[[#This Row],[Winning Candidate]], "")</f>
        <v/>
      </c>
      <c r="AF569" s="18" t="str">
        <f>IF(NOT(ISBLANK(Audit[[#This Row],[Audit Losing Candidate]])), Audit[[#This Row],[Audit Losing Candidate]]-Audit[[#This Row],[Losing Candidate]], "")</f>
        <v/>
      </c>
      <c r="AG569" s="18" t="str">
        <f>IF(NOT(ISBLANK(Audit[[#This Row],[Audit Candidate 3]])), Audit[[#This Row],[Audit Candidate 3]]-Audit[[#This Row],[Candidate 3]], "")</f>
        <v/>
      </c>
      <c r="AH569" s="18" t="str">
        <f>IF(NOT(ISBLANK(Audit[[#This Row],[Audit Candidate 4]])),Audit[[#This Row],[Audit Candidate 4]]-Audit[[#This Row],[Candidate 4]], "")</f>
        <v/>
      </c>
      <c r="AI569" s="18" t="str">
        <f>IF(NOT(ISBLANK(Audit[[#This Row],[Audit Candidate 5]])), Audit[[#This Row],[Audit Candidate 5]]-Audit[[#This Row],[Candidate 5]], "")</f>
        <v/>
      </c>
      <c r="AJ569" s="18" t="str">
        <f>IF(NOT(ISBLANK(Audit[[#This Row],[Audit Candidate 6]])), Audit[[#This Row],[Audit Candidate 6]]-Audit[[#This Row],[Candidate 6]], "")</f>
        <v/>
      </c>
      <c r="AK569" s="18" t="str">
        <f>IF(NOT(ISBLANK(Audit[[#This Row],[Audit Candidate 7]])), Audit[[#This Row],[Audit Candidate 7]]-Audit[[#This Row],[Candidate 7]], "")</f>
        <v/>
      </c>
      <c r="AL569" s="18" t="str">
        <f>IF(NOT(ISBLANK(Audit[[#This Row],[Audit Candidate 8]])), Audit[[#This Row],[Audit Candidate 8]]-Audit[[#This Row],[Candidate 8]], "")</f>
        <v/>
      </c>
      <c r="AM569" s="18" t="str">
        <f>IF(NOT(ISBLANK(Audit[[#This Row],[Audit Candidate 9]])), Audit[[#This Row],[Audit Candidate 9]]-Audit[[#This Row],[Candidate 9]], "")</f>
        <v/>
      </c>
      <c r="AN569" s="18" t="str">
        <f>IF(NOT(ISBLANK(Audit[[#This Row],[Audit Candidate 10]])), Audit[[#This Row],[Audit Candidate 10]]-Audit[[#This Row],[Candidate 10]], "")</f>
        <v/>
      </c>
      <c r="AO569" s="18" t="str">
        <f>IF(NOT(ISBLANK(Audit[[#This Row],[Audit Candidate 11]])), Audit[[#This Row],[Audit Candidate 11]]-Audit[[#This Row],[Candidate 11]], "")</f>
        <v/>
      </c>
      <c r="AP569" s="18" t="str">
        <f>IF(NOT(ISBLANK(Audit[[#This Row],[Audit Candidate 12]])), Audit[[#This Row],[Audit Candidate 12]]-Audit[[#This Row],[Candidate 12]], "")</f>
        <v/>
      </c>
      <c r="AQ569" s="18">
        <f>SUMIF(Audit[[#This Row],[Difference Winner]:[Difference Candidate 12]], "&gt;0")</f>
        <v>0</v>
      </c>
      <c r="AR569" s="18">
        <f>SUM(Audit[[#This Row],[Difference Winner]:[Difference Candidate 12]])</f>
        <v>0</v>
      </c>
      <c r="AS569" s="18">
        <f>IF(Audit[[#This Row],[Times p Drawn - With Replacement]]&gt;0, IF(Audit[[#This Row],[Canceled Differences]]&lt;0, Audit[[#This Row],[Max Differences]]+ABS(Audit[[#This Row],[Canceled Differences]]), Audit[[#This Row],[Max Differences]]), 0)</f>
        <v>0</v>
      </c>
      <c r="AT569" s="18">
        <f>'Sampling Data'!AB569</f>
        <v>4.2717592738009237E-3</v>
      </c>
      <c r="AU569" s="18">
        <f>IF(
      SUM(Audit[[#This Row],[Audit Losing Candidate]:[Audit Candidate 12]])
      &lt;&gt;0,
      (Audit[[#This Row],[Winning Candidate]]-Audit[[#This Row],[Losing Candidate]]-(Audit[[#This Row],[Audit Winning Candidate]]-Audit[[#This Row],[Audit Losing Candidate]]))/(Audit[[#Totals],[Winning Candidate]]-Audit[[#Totals],[Losing Candidate]]),
      0
)</f>
        <v>0</v>
      </c>
      <c r="AV5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8">
        <f>IF(Audit[[#This Row],[Max Relative Error (ep)]] = 0, 0, Audit[[#This Row],[Max Relative Error (ep)]]/Audit[[#This Row],[Error Bound (up) - Max. possible relative overstatement]])</f>
        <v>0</v>
      </c>
      <c r="BH5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69" s="18">
        <f t="shared" si="9"/>
        <v>1</v>
      </c>
      <c r="BJ569" s="18">
        <f>PRODUCT($BI$5:BI569)</f>
        <v>0.32656797278968008</v>
      </c>
      <c r="BK569" s="20">
        <f>1 - Audit[[#This Row],[K-M P Value]]</f>
        <v>0.67343202721031992</v>
      </c>
      <c r="BL569" s="18" t="str">
        <f>IF(Audit[[#This Row],[K-M P Value]]&gt;1-'General Info'!$B$12,"Continue", "Stop")</f>
        <v>Continue</v>
      </c>
      <c r="BM569" s="23" t="b">
        <f>IF(Audit[[#This Row],[Status - Continue or stop audit]] = "Continue", TRUE, IF(BL568 = "Continue", TRUE, FALSE))</f>
        <v>1</v>
      </c>
      <c r="BN569" s="23"/>
    </row>
    <row r="570" spans="1:66" ht="15" hidden="1" customHeight="1" x14ac:dyDescent="0.35">
      <c r="A570" s="18" t="str">
        <f>'Sampling Data'!AI570</f>
        <v/>
      </c>
      <c r="B570" s="18" t="str">
        <f>'Sampling Data'!A570</f>
        <v>0103 CIN 1-C   (ED)</v>
      </c>
      <c r="C570" s="18">
        <f>'Sampling Data'!B570</f>
        <v>24</v>
      </c>
      <c r="D570" s="18">
        <f>'Sampling Data'!C570</f>
        <v>11</v>
      </c>
      <c r="E570" s="19">
        <f>'Sampling Data'!D570</f>
        <v>0</v>
      </c>
      <c r="F570" s="19">
        <f>'Sampling Data'!E570</f>
        <v>0</v>
      </c>
      <c r="G570" s="19">
        <f>'Sampling Data'!F570</f>
        <v>0</v>
      </c>
      <c r="H570" s="19">
        <f>'Sampling Data'!G570</f>
        <v>0</v>
      </c>
      <c r="I570" s="19">
        <f>'Sampling Data'!H570</f>
        <v>0</v>
      </c>
      <c r="J570" s="19">
        <f>'Sampling Data'!I570</f>
        <v>0</v>
      </c>
      <c r="K570" s="19">
        <f>'Sampling Data'!J570</f>
        <v>0</v>
      </c>
      <c r="L570" s="19">
        <f>'Sampling Data'!K570</f>
        <v>0</v>
      </c>
      <c r="M570" s="19">
        <f>'Sampling Data'!L570</f>
        <v>0</v>
      </c>
      <c r="N570" s="19">
        <f>'Sampling Data'!M570</f>
        <v>0</v>
      </c>
      <c r="O570" s="18">
        <f>'Sampling Data'!N570</f>
        <v>0</v>
      </c>
      <c r="P570" s="18">
        <f>'Sampling Data'!O570</f>
        <v>1</v>
      </c>
      <c r="Q570" s="18">
        <f>'Sampling Data'!P570</f>
        <v>36</v>
      </c>
      <c r="R570" s="18">
        <f>'Sampling Data'!AJ570</f>
        <v>0</v>
      </c>
      <c r="S570" s="112"/>
      <c r="T570" s="112"/>
      <c r="U570" s="113"/>
      <c r="V570" s="113"/>
      <c r="W570" s="112"/>
      <c r="X570" s="112"/>
      <c r="Y570" s="112"/>
      <c r="Z570" s="112"/>
      <c r="AA570" s="15"/>
      <c r="AB570" s="15"/>
      <c r="AC570" s="15"/>
      <c r="AD570" s="15"/>
      <c r="AE570" s="114" t="str">
        <f>IF(NOT(ISBLANK(Audit[[#This Row],[Audit Winning Candidate]])), Audit[[#This Row],[Audit Winning Candidate]]-Audit[[#This Row],[Winning Candidate]], "")</f>
        <v/>
      </c>
      <c r="AF570" s="18" t="str">
        <f>IF(NOT(ISBLANK(Audit[[#This Row],[Audit Losing Candidate]])), Audit[[#This Row],[Audit Losing Candidate]]-Audit[[#This Row],[Losing Candidate]], "")</f>
        <v/>
      </c>
      <c r="AG570" s="18" t="str">
        <f>IF(NOT(ISBLANK(Audit[[#This Row],[Audit Candidate 3]])), Audit[[#This Row],[Audit Candidate 3]]-Audit[[#This Row],[Candidate 3]], "")</f>
        <v/>
      </c>
      <c r="AH570" s="18" t="str">
        <f>IF(NOT(ISBLANK(Audit[[#This Row],[Audit Candidate 4]])),Audit[[#This Row],[Audit Candidate 4]]-Audit[[#This Row],[Candidate 4]], "")</f>
        <v/>
      </c>
      <c r="AI570" s="18" t="str">
        <f>IF(NOT(ISBLANK(Audit[[#This Row],[Audit Candidate 5]])), Audit[[#This Row],[Audit Candidate 5]]-Audit[[#This Row],[Candidate 5]], "")</f>
        <v/>
      </c>
      <c r="AJ570" s="18" t="str">
        <f>IF(NOT(ISBLANK(Audit[[#This Row],[Audit Candidate 6]])), Audit[[#This Row],[Audit Candidate 6]]-Audit[[#This Row],[Candidate 6]], "")</f>
        <v/>
      </c>
      <c r="AK570" s="18" t="str">
        <f>IF(NOT(ISBLANK(Audit[[#This Row],[Audit Candidate 7]])), Audit[[#This Row],[Audit Candidate 7]]-Audit[[#This Row],[Candidate 7]], "")</f>
        <v/>
      </c>
      <c r="AL570" s="18" t="str">
        <f>IF(NOT(ISBLANK(Audit[[#This Row],[Audit Candidate 8]])), Audit[[#This Row],[Audit Candidate 8]]-Audit[[#This Row],[Candidate 8]], "")</f>
        <v/>
      </c>
      <c r="AM570" s="18" t="str">
        <f>IF(NOT(ISBLANK(Audit[[#This Row],[Audit Candidate 9]])), Audit[[#This Row],[Audit Candidate 9]]-Audit[[#This Row],[Candidate 9]], "")</f>
        <v/>
      </c>
      <c r="AN570" s="18" t="str">
        <f>IF(NOT(ISBLANK(Audit[[#This Row],[Audit Candidate 10]])), Audit[[#This Row],[Audit Candidate 10]]-Audit[[#This Row],[Candidate 10]], "")</f>
        <v/>
      </c>
      <c r="AO570" s="18" t="str">
        <f>IF(NOT(ISBLANK(Audit[[#This Row],[Audit Candidate 11]])), Audit[[#This Row],[Audit Candidate 11]]-Audit[[#This Row],[Candidate 11]], "")</f>
        <v/>
      </c>
      <c r="AP570" s="18" t="str">
        <f>IF(NOT(ISBLANK(Audit[[#This Row],[Audit Candidate 12]])), Audit[[#This Row],[Audit Candidate 12]]-Audit[[#This Row],[Candidate 12]], "")</f>
        <v/>
      </c>
      <c r="AQ570" s="18">
        <f>SUMIF(Audit[[#This Row],[Difference Winner]:[Difference Candidate 12]], "&gt;0")</f>
        <v>0</v>
      </c>
      <c r="AR570" s="18">
        <f>SUM(Audit[[#This Row],[Difference Winner]:[Difference Candidate 12]])</f>
        <v>0</v>
      </c>
      <c r="AS570" s="18">
        <f>IF(Audit[[#This Row],[Times p Drawn - With Replacement]]&gt;0, IF(Audit[[#This Row],[Canceled Differences]]&lt;0, Audit[[#This Row],[Max Differences]]+ABS(Audit[[#This Row],[Canceled Differences]]), Audit[[#This Row],[Max Differences]]), 0)</f>
        <v>0</v>
      </c>
      <c r="AT570" s="18">
        <f>'Sampling Data'!AB570</f>
        <v>1.5390897383547445E-3</v>
      </c>
      <c r="AU570" s="18">
        <f>IF(
      SUM(Audit[[#This Row],[Audit Losing Candidate]:[Audit Candidate 12]])
      &lt;&gt;0,
      (Audit[[#This Row],[Winning Candidate]]-Audit[[#This Row],[Losing Candidate]]-(Audit[[#This Row],[Audit Winning Candidate]]-Audit[[#This Row],[Audit Losing Candidate]]))/(Audit[[#Totals],[Winning Candidate]]-Audit[[#Totals],[Losing Candidate]]),
      0
)</f>
        <v>0</v>
      </c>
      <c r="AV5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8">
        <f>IF(Audit[[#This Row],[Max Relative Error (ep)]] = 0, 0, Audit[[#This Row],[Max Relative Error (ep)]]/Audit[[#This Row],[Error Bound (up) - Max. possible relative overstatement]])</f>
        <v>0</v>
      </c>
      <c r="BH5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0" s="18">
        <f t="shared" si="9"/>
        <v>1</v>
      </c>
      <c r="BJ570" s="18">
        <f>PRODUCT($BI$5:BI570)</f>
        <v>0.32656797278968008</v>
      </c>
      <c r="BK570" s="20">
        <f>1 - Audit[[#This Row],[K-M P Value]]</f>
        <v>0.67343202721031992</v>
      </c>
      <c r="BL570" s="18" t="str">
        <f>IF(Audit[[#This Row],[K-M P Value]]&gt;1-'General Info'!$B$12,"Continue", "Stop")</f>
        <v>Continue</v>
      </c>
      <c r="BM570" s="23" t="b">
        <f>IF(Audit[[#This Row],[Status - Continue or stop audit]] = "Continue", TRUE, IF(BL569 = "Continue", TRUE, FALSE))</f>
        <v>1</v>
      </c>
      <c r="BN570" s="23"/>
    </row>
    <row r="571" spans="1:66" ht="15" hidden="1" customHeight="1" x14ac:dyDescent="0.35">
      <c r="A571" s="18" t="str">
        <f>'Sampling Data'!AI571</f>
        <v/>
      </c>
      <c r="B571" s="18" t="str">
        <f>'Sampling Data'!A571</f>
        <v>0104 CIN 1-D   (ED)</v>
      </c>
      <c r="C571" s="18">
        <f>'Sampling Data'!B571</f>
        <v>29</v>
      </c>
      <c r="D571" s="18">
        <f>'Sampling Data'!C571</f>
        <v>4</v>
      </c>
      <c r="E571" s="19">
        <f>'Sampling Data'!D571</f>
        <v>0</v>
      </c>
      <c r="F571" s="19">
        <f>'Sampling Data'!E571</f>
        <v>0</v>
      </c>
      <c r="G571" s="19">
        <f>'Sampling Data'!F571</f>
        <v>0</v>
      </c>
      <c r="H571" s="19">
        <f>'Sampling Data'!G571</f>
        <v>0</v>
      </c>
      <c r="I571" s="19">
        <f>'Sampling Data'!H571</f>
        <v>0</v>
      </c>
      <c r="J571" s="19">
        <f>'Sampling Data'!I571</f>
        <v>0</v>
      </c>
      <c r="K571" s="19">
        <f>'Sampling Data'!J571</f>
        <v>0</v>
      </c>
      <c r="L571" s="19">
        <f>'Sampling Data'!K571</f>
        <v>0</v>
      </c>
      <c r="M571" s="19">
        <f>'Sampling Data'!L571</f>
        <v>0</v>
      </c>
      <c r="N571" s="19">
        <f>'Sampling Data'!M571</f>
        <v>0</v>
      </c>
      <c r="O571" s="18">
        <f>'Sampling Data'!N571</f>
        <v>0</v>
      </c>
      <c r="P571" s="18">
        <f>'Sampling Data'!O571</f>
        <v>0</v>
      </c>
      <c r="Q571" s="18">
        <f>'Sampling Data'!P571</f>
        <v>33</v>
      </c>
      <c r="R571" s="18">
        <f>'Sampling Data'!AJ571</f>
        <v>0</v>
      </c>
      <c r="S571" s="112"/>
      <c r="T571" s="112"/>
      <c r="U571" s="113"/>
      <c r="V571" s="113"/>
      <c r="W571" s="112"/>
      <c r="X571" s="112"/>
      <c r="Y571" s="112"/>
      <c r="Z571" s="112"/>
      <c r="AA571" s="15"/>
      <c r="AB571" s="15"/>
      <c r="AC571" s="15"/>
      <c r="AD571" s="15"/>
      <c r="AE571" s="114" t="str">
        <f>IF(NOT(ISBLANK(Audit[[#This Row],[Audit Winning Candidate]])), Audit[[#This Row],[Audit Winning Candidate]]-Audit[[#This Row],[Winning Candidate]], "")</f>
        <v/>
      </c>
      <c r="AF571" s="18" t="str">
        <f>IF(NOT(ISBLANK(Audit[[#This Row],[Audit Losing Candidate]])), Audit[[#This Row],[Audit Losing Candidate]]-Audit[[#This Row],[Losing Candidate]], "")</f>
        <v/>
      </c>
      <c r="AG571" s="18" t="str">
        <f>IF(NOT(ISBLANK(Audit[[#This Row],[Audit Candidate 3]])), Audit[[#This Row],[Audit Candidate 3]]-Audit[[#This Row],[Candidate 3]], "")</f>
        <v/>
      </c>
      <c r="AH571" s="18" t="str">
        <f>IF(NOT(ISBLANK(Audit[[#This Row],[Audit Candidate 4]])),Audit[[#This Row],[Audit Candidate 4]]-Audit[[#This Row],[Candidate 4]], "")</f>
        <v/>
      </c>
      <c r="AI571" s="18" t="str">
        <f>IF(NOT(ISBLANK(Audit[[#This Row],[Audit Candidate 5]])), Audit[[#This Row],[Audit Candidate 5]]-Audit[[#This Row],[Candidate 5]], "")</f>
        <v/>
      </c>
      <c r="AJ571" s="18" t="str">
        <f>IF(NOT(ISBLANK(Audit[[#This Row],[Audit Candidate 6]])), Audit[[#This Row],[Audit Candidate 6]]-Audit[[#This Row],[Candidate 6]], "")</f>
        <v/>
      </c>
      <c r="AK571" s="18" t="str">
        <f>IF(NOT(ISBLANK(Audit[[#This Row],[Audit Candidate 7]])), Audit[[#This Row],[Audit Candidate 7]]-Audit[[#This Row],[Candidate 7]], "")</f>
        <v/>
      </c>
      <c r="AL571" s="18" t="str">
        <f>IF(NOT(ISBLANK(Audit[[#This Row],[Audit Candidate 8]])), Audit[[#This Row],[Audit Candidate 8]]-Audit[[#This Row],[Candidate 8]], "")</f>
        <v/>
      </c>
      <c r="AM571" s="18" t="str">
        <f>IF(NOT(ISBLANK(Audit[[#This Row],[Audit Candidate 9]])), Audit[[#This Row],[Audit Candidate 9]]-Audit[[#This Row],[Candidate 9]], "")</f>
        <v/>
      </c>
      <c r="AN571" s="18" t="str">
        <f>IF(NOT(ISBLANK(Audit[[#This Row],[Audit Candidate 10]])), Audit[[#This Row],[Audit Candidate 10]]-Audit[[#This Row],[Candidate 10]], "")</f>
        <v/>
      </c>
      <c r="AO571" s="18" t="str">
        <f>IF(NOT(ISBLANK(Audit[[#This Row],[Audit Candidate 11]])), Audit[[#This Row],[Audit Candidate 11]]-Audit[[#This Row],[Candidate 11]], "")</f>
        <v/>
      </c>
      <c r="AP571" s="18" t="str">
        <f>IF(NOT(ISBLANK(Audit[[#This Row],[Audit Candidate 12]])), Audit[[#This Row],[Audit Candidate 12]]-Audit[[#This Row],[Candidate 12]], "")</f>
        <v/>
      </c>
      <c r="AQ571" s="18">
        <f>SUMIF(Audit[[#This Row],[Difference Winner]:[Difference Candidate 12]], "&gt;0")</f>
        <v>0</v>
      </c>
      <c r="AR571" s="18">
        <f>SUM(Audit[[#This Row],[Difference Winner]:[Difference Candidate 12]])</f>
        <v>0</v>
      </c>
      <c r="AS571" s="18">
        <f>IF(Audit[[#This Row],[Times p Drawn - With Replacement]]&gt;0, IF(Audit[[#This Row],[Canceled Differences]]&lt;0, Audit[[#This Row],[Max Differences]]+ABS(Audit[[#This Row],[Canceled Differences]]), Audit[[#This Row],[Max Differences]]), 0)</f>
        <v>0</v>
      </c>
      <c r="AT571" s="18">
        <f>'Sampling Data'!AB571</f>
        <v>1.8217796902974526E-3</v>
      </c>
      <c r="AU571" s="18">
        <f>IF(
      SUM(Audit[[#This Row],[Audit Losing Candidate]:[Audit Candidate 12]])
      &lt;&gt;0,
      (Audit[[#This Row],[Winning Candidate]]-Audit[[#This Row],[Losing Candidate]]-(Audit[[#This Row],[Audit Winning Candidate]]-Audit[[#This Row],[Audit Losing Candidate]]))/(Audit[[#Totals],[Winning Candidate]]-Audit[[#Totals],[Losing Candidate]]),
      0
)</f>
        <v>0</v>
      </c>
      <c r="AV5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8">
        <f>IF(Audit[[#This Row],[Max Relative Error (ep)]] = 0, 0, Audit[[#This Row],[Max Relative Error (ep)]]/Audit[[#This Row],[Error Bound (up) - Max. possible relative overstatement]])</f>
        <v>0</v>
      </c>
      <c r="BH5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1" s="18">
        <f t="shared" si="9"/>
        <v>1</v>
      </c>
      <c r="BJ571" s="18">
        <f>PRODUCT($BI$5:BI571)</f>
        <v>0.32656797278968008</v>
      </c>
      <c r="BK571" s="20">
        <f>1 - Audit[[#This Row],[K-M P Value]]</f>
        <v>0.67343202721031992</v>
      </c>
      <c r="BL571" s="18" t="str">
        <f>IF(Audit[[#This Row],[K-M P Value]]&gt;1-'General Info'!$B$12,"Continue", "Stop")</f>
        <v>Continue</v>
      </c>
      <c r="BM571" s="23" t="b">
        <f>IF(Audit[[#This Row],[Status - Continue or stop audit]] = "Continue", TRUE, IF(BL570 = "Continue", TRUE, FALSE))</f>
        <v>1</v>
      </c>
      <c r="BN571" s="23"/>
    </row>
    <row r="572" spans="1:66" ht="15" hidden="1" customHeight="1" x14ac:dyDescent="0.35">
      <c r="A572" s="18" t="str">
        <f>'Sampling Data'!AI572</f>
        <v/>
      </c>
      <c r="B572" s="18" t="str">
        <f>'Sampling Data'!A572</f>
        <v>0105 CIN 1-E   (ED)</v>
      </c>
      <c r="C572" s="18">
        <f>'Sampling Data'!B572</f>
        <v>47</v>
      </c>
      <c r="D572" s="18">
        <f>'Sampling Data'!C572</f>
        <v>7</v>
      </c>
      <c r="E572" s="19">
        <f>'Sampling Data'!D572</f>
        <v>0</v>
      </c>
      <c r="F572" s="19">
        <f>'Sampling Data'!E572</f>
        <v>0</v>
      </c>
      <c r="G572" s="19">
        <f>'Sampling Data'!F572</f>
        <v>0</v>
      </c>
      <c r="H572" s="19">
        <f>'Sampling Data'!G572</f>
        <v>0</v>
      </c>
      <c r="I572" s="19">
        <f>'Sampling Data'!H572</f>
        <v>0</v>
      </c>
      <c r="J572" s="19">
        <f>'Sampling Data'!I572</f>
        <v>0</v>
      </c>
      <c r="K572" s="19">
        <f>'Sampling Data'!J572</f>
        <v>0</v>
      </c>
      <c r="L572" s="19">
        <f>'Sampling Data'!K572</f>
        <v>0</v>
      </c>
      <c r="M572" s="19">
        <f>'Sampling Data'!L572</f>
        <v>0</v>
      </c>
      <c r="N572" s="19">
        <f>'Sampling Data'!M572</f>
        <v>0</v>
      </c>
      <c r="O572" s="18">
        <f>'Sampling Data'!N572</f>
        <v>0</v>
      </c>
      <c r="P572" s="18">
        <f>'Sampling Data'!O572</f>
        <v>1</v>
      </c>
      <c r="Q572" s="18">
        <f>'Sampling Data'!P572</f>
        <v>55</v>
      </c>
      <c r="R572" s="18">
        <f>'Sampling Data'!AJ572</f>
        <v>0</v>
      </c>
      <c r="S572" s="112"/>
      <c r="T572" s="112"/>
      <c r="U572" s="113"/>
      <c r="V572" s="113"/>
      <c r="W572" s="112"/>
      <c r="X572" s="112"/>
      <c r="Y572" s="112"/>
      <c r="Z572" s="112"/>
      <c r="AA572" s="15"/>
      <c r="AB572" s="15"/>
      <c r="AC572" s="15"/>
      <c r="AD572" s="15"/>
      <c r="AE572" s="114" t="str">
        <f>IF(NOT(ISBLANK(Audit[[#This Row],[Audit Winning Candidate]])), Audit[[#This Row],[Audit Winning Candidate]]-Audit[[#This Row],[Winning Candidate]], "")</f>
        <v/>
      </c>
      <c r="AF572" s="18" t="str">
        <f>IF(NOT(ISBLANK(Audit[[#This Row],[Audit Losing Candidate]])), Audit[[#This Row],[Audit Losing Candidate]]-Audit[[#This Row],[Losing Candidate]], "")</f>
        <v/>
      </c>
      <c r="AG572" s="18" t="str">
        <f>IF(NOT(ISBLANK(Audit[[#This Row],[Audit Candidate 3]])), Audit[[#This Row],[Audit Candidate 3]]-Audit[[#This Row],[Candidate 3]], "")</f>
        <v/>
      </c>
      <c r="AH572" s="18" t="str">
        <f>IF(NOT(ISBLANK(Audit[[#This Row],[Audit Candidate 4]])),Audit[[#This Row],[Audit Candidate 4]]-Audit[[#This Row],[Candidate 4]], "")</f>
        <v/>
      </c>
      <c r="AI572" s="18" t="str">
        <f>IF(NOT(ISBLANK(Audit[[#This Row],[Audit Candidate 5]])), Audit[[#This Row],[Audit Candidate 5]]-Audit[[#This Row],[Candidate 5]], "")</f>
        <v/>
      </c>
      <c r="AJ572" s="18" t="str">
        <f>IF(NOT(ISBLANK(Audit[[#This Row],[Audit Candidate 6]])), Audit[[#This Row],[Audit Candidate 6]]-Audit[[#This Row],[Candidate 6]], "")</f>
        <v/>
      </c>
      <c r="AK572" s="18" t="str">
        <f>IF(NOT(ISBLANK(Audit[[#This Row],[Audit Candidate 7]])), Audit[[#This Row],[Audit Candidate 7]]-Audit[[#This Row],[Candidate 7]], "")</f>
        <v/>
      </c>
      <c r="AL572" s="18" t="str">
        <f>IF(NOT(ISBLANK(Audit[[#This Row],[Audit Candidate 8]])), Audit[[#This Row],[Audit Candidate 8]]-Audit[[#This Row],[Candidate 8]], "")</f>
        <v/>
      </c>
      <c r="AM572" s="18" t="str">
        <f>IF(NOT(ISBLANK(Audit[[#This Row],[Audit Candidate 9]])), Audit[[#This Row],[Audit Candidate 9]]-Audit[[#This Row],[Candidate 9]], "")</f>
        <v/>
      </c>
      <c r="AN572" s="18" t="str">
        <f>IF(NOT(ISBLANK(Audit[[#This Row],[Audit Candidate 10]])), Audit[[#This Row],[Audit Candidate 10]]-Audit[[#This Row],[Candidate 10]], "")</f>
        <v/>
      </c>
      <c r="AO572" s="18" t="str">
        <f>IF(NOT(ISBLANK(Audit[[#This Row],[Audit Candidate 11]])), Audit[[#This Row],[Audit Candidate 11]]-Audit[[#This Row],[Candidate 11]], "")</f>
        <v/>
      </c>
      <c r="AP572" s="18" t="str">
        <f>IF(NOT(ISBLANK(Audit[[#This Row],[Audit Candidate 12]])), Audit[[#This Row],[Audit Candidate 12]]-Audit[[#This Row],[Candidate 12]], "")</f>
        <v/>
      </c>
      <c r="AQ572" s="18">
        <f>SUMIF(Audit[[#This Row],[Difference Winner]:[Difference Candidate 12]], "&gt;0")</f>
        <v>0</v>
      </c>
      <c r="AR572" s="18">
        <f>SUM(Audit[[#This Row],[Difference Winner]:[Difference Candidate 12]])</f>
        <v>0</v>
      </c>
      <c r="AS572" s="18">
        <f>IF(Audit[[#This Row],[Times p Drawn - With Replacement]]&gt;0, IF(Audit[[#This Row],[Canceled Differences]]&lt;0, Audit[[#This Row],[Max Differences]]+ABS(Audit[[#This Row],[Canceled Differences]]), Audit[[#This Row],[Max Differences]]), 0)</f>
        <v>0</v>
      </c>
      <c r="AT572" s="18">
        <f>'Sampling Data'!AB572</f>
        <v>2.9839494927285863E-3</v>
      </c>
      <c r="AU572" s="18">
        <f>IF(
      SUM(Audit[[#This Row],[Audit Losing Candidate]:[Audit Candidate 12]])
      &lt;&gt;0,
      (Audit[[#This Row],[Winning Candidate]]-Audit[[#This Row],[Losing Candidate]]-(Audit[[#This Row],[Audit Winning Candidate]]-Audit[[#This Row],[Audit Losing Candidate]]))/(Audit[[#Totals],[Winning Candidate]]-Audit[[#Totals],[Losing Candidate]]),
      0
)</f>
        <v>0</v>
      </c>
      <c r="AV5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8">
        <f>IF(Audit[[#This Row],[Max Relative Error (ep)]] = 0, 0, Audit[[#This Row],[Max Relative Error (ep)]]/Audit[[#This Row],[Error Bound (up) - Max. possible relative overstatement]])</f>
        <v>0</v>
      </c>
      <c r="BH5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2" s="18">
        <f t="shared" si="9"/>
        <v>1</v>
      </c>
      <c r="BJ572" s="18">
        <f>PRODUCT($BI$5:BI572)</f>
        <v>0.32656797278968008</v>
      </c>
      <c r="BK572" s="20">
        <f>1 - Audit[[#This Row],[K-M P Value]]</f>
        <v>0.67343202721031992</v>
      </c>
      <c r="BL572" s="18" t="str">
        <f>IF(Audit[[#This Row],[K-M P Value]]&gt;1-'General Info'!$B$12,"Continue", "Stop")</f>
        <v>Continue</v>
      </c>
      <c r="BM572" s="23" t="b">
        <f>IF(Audit[[#This Row],[Status - Continue or stop audit]] = "Continue", TRUE, IF(BL571 = "Continue", TRUE, FALSE))</f>
        <v>1</v>
      </c>
      <c r="BN572" s="23"/>
    </row>
    <row r="573" spans="1:66" ht="15" hidden="1" customHeight="1" x14ac:dyDescent="0.35">
      <c r="A573" s="18" t="str">
        <f>'Sampling Data'!AI573</f>
        <v/>
      </c>
      <c r="B573" s="18" t="str">
        <f>'Sampling Data'!A573</f>
        <v>0106 CIN 1-F   (ED)</v>
      </c>
      <c r="C573" s="18">
        <f>'Sampling Data'!B573</f>
        <v>88</v>
      </c>
      <c r="D573" s="18">
        <f>'Sampling Data'!C573</f>
        <v>7</v>
      </c>
      <c r="E573" s="19">
        <f>'Sampling Data'!D573</f>
        <v>0</v>
      </c>
      <c r="F573" s="19">
        <f>'Sampling Data'!E573</f>
        <v>0</v>
      </c>
      <c r="G573" s="19">
        <f>'Sampling Data'!F573</f>
        <v>0</v>
      </c>
      <c r="H573" s="19">
        <f>'Sampling Data'!G573</f>
        <v>0</v>
      </c>
      <c r="I573" s="19">
        <f>'Sampling Data'!H573</f>
        <v>0</v>
      </c>
      <c r="J573" s="19">
        <f>'Sampling Data'!I573</f>
        <v>0</v>
      </c>
      <c r="K573" s="19">
        <f>'Sampling Data'!J573</f>
        <v>0</v>
      </c>
      <c r="L573" s="19">
        <f>'Sampling Data'!K573</f>
        <v>0</v>
      </c>
      <c r="M573" s="19">
        <f>'Sampling Data'!L573</f>
        <v>0</v>
      </c>
      <c r="N573" s="19">
        <f>'Sampling Data'!M573</f>
        <v>0</v>
      </c>
      <c r="O573" s="18">
        <f>'Sampling Data'!N573</f>
        <v>0</v>
      </c>
      <c r="P573" s="18">
        <f>'Sampling Data'!O573</f>
        <v>0</v>
      </c>
      <c r="Q573" s="18">
        <f>'Sampling Data'!P573</f>
        <v>95</v>
      </c>
      <c r="R573" s="18">
        <f>'Sampling Data'!AJ573</f>
        <v>0</v>
      </c>
      <c r="S573" s="112"/>
      <c r="T573" s="112"/>
      <c r="U573" s="113"/>
      <c r="V573" s="113"/>
      <c r="W573" s="112"/>
      <c r="X573" s="112"/>
      <c r="Y573" s="112"/>
      <c r="Z573" s="112"/>
      <c r="AA573" s="15"/>
      <c r="AB573" s="15"/>
      <c r="AC573" s="15"/>
      <c r="AD573" s="15"/>
      <c r="AE573" s="114" t="str">
        <f>IF(NOT(ISBLANK(Audit[[#This Row],[Audit Winning Candidate]])), Audit[[#This Row],[Audit Winning Candidate]]-Audit[[#This Row],[Winning Candidate]], "")</f>
        <v/>
      </c>
      <c r="AF573" s="18" t="str">
        <f>IF(NOT(ISBLANK(Audit[[#This Row],[Audit Losing Candidate]])), Audit[[#This Row],[Audit Losing Candidate]]-Audit[[#This Row],[Losing Candidate]], "")</f>
        <v/>
      </c>
      <c r="AG573" s="18" t="str">
        <f>IF(NOT(ISBLANK(Audit[[#This Row],[Audit Candidate 3]])), Audit[[#This Row],[Audit Candidate 3]]-Audit[[#This Row],[Candidate 3]], "")</f>
        <v/>
      </c>
      <c r="AH573" s="18" t="str">
        <f>IF(NOT(ISBLANK(Audit[[#This Row],[Audit Candidate 4]])),Audit[[#This Row],[Audit Candidate 4]]-Audit[[#This Row],[Candidate 4]], "")</f>
        <v/>
      </c>
      <c r="AI573" s="18" t="str">
        <f>IF(NOT(ISBLANK(Audit[[#This Row],[Audit Candidate 5]])), Audit[[#This Row],[Audit Candidate 5]]-Audit[[#This Row],[Candidate 5]], "")</f>
        <v/>
      </c>
      <c r="AJ573" s="18" t="str">
        <f>IF(NOT(ISBLANK(Audit[[#This Row],[Audit Candidate 6]])), Audit[[#This Row],[Audit Candidate 6]]-Audit[[#This Row],[Candidate 6]], "")</f>
        <v/>
      </c>
      <c r="AK573" s="18" t="str">
        <f>IF(NOT(ISBLANK(Audit[[#This Row],[Audit Candidate 7]])), Audit[[#This Row],[Audit Candidate 7]]-Audit[[#This Row],[Candidate 7]], "")</f>
        <v/>
      </c>
      <c r="AL573" s="18" t="str">
        <f>IF(NOT(ISBLANK(Audit[[#This Row],[Audit Candidate 8]])), Audit[[#This Row],[Audit Candidate 8]]-Audit[[#This Row],[Candidate 8]], "")</f>
        <v/>
      </c>
      <c r="AM573" s="18" t="str">
        <f>IF(NOT(ISBLANK(Audit[[#This Row],[Audit Candidate 9]])), Audit[[#This Row],[Audit Candidate 9]]-Audit[[#This Row],[Candidate 9]], "")</f>
        <v/>
      </c>
      <c r="AN573" s="18" t="str">
        <f>IF(NOT(ISBLANK(Audit[[#This Row],[Audit Candidate 10]])), Audit[[#This Row],[Audit Candidate 10]]-Audit[[#This Row],[Candidate 10]], "")</f>
        <v/>
      </c>
      <c r="AO573" s="18" t="str">
        <f>IF(NOT(ISBLANK(Audit[[#This Row],[Audit Candidate 11]])), Audit[[#This Row],[Audit Candidate 11]]-Audit[[#This Row],[Candidate 11]], "")</f>
        <v/>
      </c>
      <c r="AP573" s="18" t="str">
        <f>IF(NOT(ISBLANK(Audit[[#This Row],[Audit Candidate 12]])), Audit[[#This Row],[Audit Candidate 12]]-Audit[[#This Row],[Candidate 12]], "")</f>
        <v/>
      </c>
      <c r="AQ573" s="18">
        <f>SUMIF(Audit[[#This Row],[Difference Winner]:[Difference Candidate 12]], "&gt;0")</f>
        <v>0</v>
      </c>
      <c r="AR573" s="18">
        <f>SUM(Audit[[#This Row],[Difference Winner]:[Difference Candidate 12]])</f>
        <v>0</v>
      </c>
      <c r="AS573" s="18">
        <f>IF(Audit[[#This Row],[Times p Drawn - With Replacement]]&gt;0, IF(Audit[[#This Row],[Canceled Differences]]&lt;0, Audit[[#This Row],[Max Differences]]+ABS(Audit[[#This Row],[Canceled Differences]]), Audit[[#This Row],[Max Differences]]), 0)</f>
        <v>0</v>
      </c>
      <c r="AT573" s="18">
        <f>'Sampling Data'!AB573</f>
        <v>5.52815906021296E-3</v>
      </c>
      <c r="AU573" s="18">
        <f>IF(
      SUM(Audit[[#This Row],[Audit Losing Candidate]:[Audit Candidate 12]])
      &lt;&gt;0,
      (Audit[[#This Row],[Winning Candidate]]-Audit[[#This Row],[Losing Candidate]]-(Audit[[#This Row],[Audit Winning Candidate]]-Audit[[#This Row],[Audit Losing Candidate]]))/(Audit[[#Totals],[Winning Candidate]]-Audit[[#Totals],[Losing Candidate]]),
      0
)</f>
        <v>0</v>
      </c>
      <c r="AV5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8">
        <f>IF(Audit[[#This Row],[Max Relative Error (ep)]] = 0, 0, Audit[[#This Row],[Max Relative Error (ep)]]/Audit[[#This Row],[Error Bound (up) - Max. possible relative overstatement]])</f>
        <v>0</v>
      </c>
      <c r="BH5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3" s="18">
        <f t="shared" si="9"/>
        <v>1</v>
      </c>
      <c r="BJ573" s="18">
        <f>PRODUCT($BI$5:BI573)</f>
        <v>0.32656797278968008</v>
      </c>
      <c r="BK573" s="20">
        <f>1 - Audit[[#This Row],[K-M P Value]]</f>
        <v>0.67343202721031992</v>
      </c>
      <c r="BL573" s="18" t="str">
        <f>IF(Audit[[#This Row],[K-M P Value]]&gt;1-'General Info'!$B$12,"Continue", "Stop")</f>
        <v>Continue</v>
      </c>
      <c r="BM573" s="23" t="b">
        <f>IF(Audit[[#This Row],[Status - Continue or stop audit]] = "Continue", TRUE, IF(BL572 = "Continue", TRUE, FALSE))</f>
        <v>1</v>
      </c>
      <c r="BN573" s="23"/>
    </row>
    <row r="574" spans="1:66" ht="15" hidden="1" customHeight="1" x14ac:dyDescent="0.35">
      <c r="A574" s="18" t="str">
        <f>'Sampling Data'!AI574</f>
        <v/>
      </c>
      <c r="B574" s="18" t="str">
        <f>'Sampling Data'!A574</f>
        <v>0107 CIN 1-G   (ED)</v>
      </c>
      <c r="C574" s="18">
        <f>'Sampling Data'!B574</f>
        <v>38</v>
      </c>
      <c r="D574" s="18">
        <f>'Sampling Data'!C574</f>
        <v>5</v>
      </c>
      <c r="E574" s="19">
        <f>'Sampling Data'!D574</f>
        <v>0</v>
      </c>
      <c r="F574" s="19">
        <f>'Sampling Data'!E574</f>
        <v>0</v>
      </c>
      <c r="G574" s="19">
        <f>'Sampling Data'!F574</f>
        <v>0</v>
      </c>
      <c r="H574" s="19">
        <f>'Sampling Data'!G574</f>
        <v>0</v>
      </c>
      <c r="I574" s="19">
        <f>'Sampling Data'!H574</f>
        <v>0</v>
      </c>
      <c r="J574" s="19">
        <f>'Sampling Data'!I574</f>
        <v>0</v>
      </c>
      <c r="K574" s="19">
        <f>'Sampling Data'!J574</f>
        <v>0</v>
      </c>
      <c r="L574" s="19">
        <f>'Sampling Data'!K574</f>
        <v>0</v>
      </c>
      <c r="M574" s="19">
        <f>'Sampling Data'!L574</f>
        <v>0</v>
      </c>
      <c r="N574" s="19">
        <f>'Sampling Data'!M574</f>
        <v>0</v>
      </c>
      <c r="O574" s="18">
        <f>'Sampling Data'!N574</f>
        <v>0</v>
      </c>
      <c r="P574" s="18">
        <f>'Sampling Data'!O574</f>
        <v>1</v>
      </c>
      <c r="Q574" s="18">
        <f>'Sampling Data'!P574</f>
        <v>44</v>
      </c>
      <c r="R574" s="18">
        <f>'Sampling Data'!AJ574</f>
        <v>0</v>
      </c>
      <c r="S574" s="112"/>
      <c r="T574" s="112"/>
      <c r="U574" s="113"/>
      <c r="V574" s="113"/>
      <c r="W574" s="112"/>
      <c r="X574" s="112"/>
      <c r="Y574" s="112"/>
      <c r="Z574" s="112"/>
      <c r="AA574" s="15"/>
      <c r="AB574" s="15"/>
      <c r="AC574" s="15"/>
      <c r="AD574" s="15"/>
      <c r="AE574" s="114" t="str">
        <f>IF(NOT(ISBLANK(Audit[[#This Row],[Audit Winning Candidate]])), Audit[[#This Row],[Audit Winning Candidate]]-Audit[[#This Row],[Winning Candidate]], "")</f>
        <v/>
      </c>
      <c r="AF574" s="18" t="str">
        <f>IF(NOT(ISBLANK(Audit[[#This Row],[Audit Losing Candidate]])), Audit[[#This Row],[Audit Losing Candidate]]-Audit[[#This Row],[Losing Candidate]], "")</f>
        <v/>
      </c>
      <c r="AG574" s="18" t="str">
        <f>IF(NOT(ISBLANK(Audit[[#This Row],[Audit Candidate 3]])), Audit[[#This Row],[Audit Candidate 3]]-Audit[[#This Row],[Candidate 3]], "")</f>
        <v/>
      </c>
      <c r="AH574" s="18" t="str">
        <f>IF(NOT(ISBLANK(Audit[[#This Row],[Audit Candidate 4]])),Audit[[#This Row],[Audit Candidate 4]]-Audit[[#This Row],[Candidate 4]], "")</f>
        <v/>
      </c>
      <c r="AI574" s="18" t="str">
        <f>IF(NOT(ISBLANK(Audit[[#This Row],[Audit Candidate 5]])), Audit[[#This Row],[Audit Candidate 5]]-Audit[[#This Row],[Candidate 5]], "")</f>
        <v/>
      </c>
      <c r="AJ574" s="18" t="str">
        <f>IF(NOT(ISBLANK(Audit[[#This Row],[Audit Candidate 6]])), Audit[[#This Row],[Audit Candidate 6]]-Audit[[#This Row],[Candidate 6]], "")</f>
        <v/>
      </c>
      <c r="AK574" s="18" t="str">
        <f>IF(NOT(ISBLANK(Audit[[#This Row],[Audit Candidate 7]])), Audit[[#This Row],[Audit Candidate 7]]-Audit[[#This Row],[Candidate 7]], "")</f>
        <v/>
      </c>
      <c r="AL574" s="18" t="str">
        <f>IF(NOT(ISBLANK(Audit[[#This Row],[Audit Candidate 8]])), Audit[[#This Row],[Audit Candidate 8]]-Audit[[#This Row],[Candidate 8]], "")</f>
        <v/>
      </c>
      <c r="AM574" s="18" t="str">
        <f>IF(NOT(ISBLANK(Audit[[#This Row],[Audit Candidate 9]])), Audit[[#This Row],[Audit Candidate 9]]-Audit[[#This Row],[Candidate 9]], "")</f>
        <v/>
      </c>
      <c r="AN574" s="18" t="str">
        <f>IF(NOT(ISBLANK(Audit[[#This Row],[Audit Candidate 10]])), Audit[[#This Row],[Audit Candidate 10]]-Audit[[#This Row],[Candidate 10]], "")</f>
        <v/>
      </c>
      <c r="AO574" s="18" t="str">
        <f>IF(NOT(ISBLANK(Audit[[#This Row],[Audit Candidate 11]])), Audit[[#This Row],[Audit Candidate 11]]-Audit[[#This Row],[Candidate 11]], "")</f>
        <v/>
      </c>
      <c r="AP574" s="18" t="str">
        <f>IF(NOT(ISBLANK(Audit[[#This Row],[Audit Candidate 12]])), Audit[[#This Row],[Audit Candidate 12]]-Audit[[#This Row],[Candidate 12]], "")</f>
        <v/>
      </c>
      <c r="AQ574" s="18">
        <f>SUMIF(Audit[[#This Row],[Difference Winner]:[Difference Candidate 12]], "&gt;0")</f>
        <v>0</v>
      </c>
      <c r="AR574" s="18">
        <f>SUM(Audit[[#This Row],[Difference Winner]:[Difference Candidate 12]])</f>
        <v>0</v>
      </c>
      <c r="AS574" s="18">
        <f>IF(Audit[[#This Row],[Times p Drawn - With Replacement]]&gt;0, IF(Audit[[#This Row],[Canceled Differences]]&lt;0, Audit[[#This Row],[Max Differences]]+ABS(Audit[[#This Row],[Canceled Differences]]), Audit[[#This Row],[Max Differences]]), 0)</f>
        <v>0</v>
      </c>
      <c r="AT574" s="18">
        <f>'Sampling Data'!AB574</f>
        <v>2.4185695888431697E-3</v>
      </c>
      <c r="AU574" s="18">
        <f>IF(
      SUM(Audit[[#This Row],[Audit Losing Candidate]:[Audit Candidate 12]])
      &lt;&gt;0,
      (Audit[[#This Row],[Winning Candidate]]-Audit[[#This Row],[Losing Candidate]]-(Audit[[#This Row],[Audit Winning Candidate]]-Audit[[#This Row],[Audit Losing Candidate]]))/(Audit[[#Totals],[Winning Candidate]]-Audit[[#Totals],[Losing Candidate]]),
      0
)</f>
        <v>0</v>
      </c>
      <c r="AV5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8">
        <f>IF(Audit[[#This Row],[Max Relative Error (ep)]] = 0, 0, Audit[[#This Row],[Max Relative Error (ep)]]/Audit[[#This Row],[Error Bound (up) - Max. possible relative overstatement]])</f>
        <v>0</v>
      </c>
      <c r="BH5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4" s="18">
        <f t="shared" si="9"/>
        <v>1</v>
      </c>
      <c r="BJ574" s="18">
        <f>PRODUCT($BI$5:BI574)</f>
        <v>0.32656797278968008</v>
      </c>
      <c r="BK574" s="20">
        <f>1 - Audit[[#This Row],[K-M P Value]]</f>
        <v>0.67343202721031992</v>
      </c>
      <c r="BL574" s="18" t="str">
        <f>IF(Audit[[#This Row],[K-M P Value]]&gt;1-'General Info'!$B$12,"Continue", "Stop")</f>
        <v>Continue</v>
      </c>
      <c r="BM574" s="23" t="b">
        <f>IF(Audit[[#This Row],[Status - Continue or stop audit]] = "Continue", TRUE, IF(BL573 = "Continue", TRUE, FALSE))</f>
        <v>1</v>
      </c>
      <c r="BN574" s="23"/>
    </row>
    <row r="575" spans="1:66" ht="15" hidden="1" customHeight="1" x14ac:dyDescent="0.35">
      <c r="A575" s="18" t="str">
        <f>'Sampling Data'!AI575</f>
        <v/>
      </c>
      <c r="B575" s="18" t="str">
        <f>'Sampling Data'!A575</f>
        <v>0108 CIN 1-H   (ED)</v>
      </c>
      <c r="C575" s="18">
        <f>'Sampling Data'!B575</f>
        <v>33</v>
      </c>
      <c r="D575" s="18">
        <f>'Sampling Data'!C575</f>
        <v>4</v>
      </c>
      <c r="E575" s="19">
        <f>'Sampling Data'!D575</f>
        <v>0</v>
      </c>
      <c r="F575" s="19">
        <f>'Sampling Data'!E575</f>
        <v>0</v>
      </c>
      <c r="G575" s="19">
        <f>'Sampling Data'!F575</f>
        <v>0</v>
      </c>
      <c r="H575" s="19">
        <f>'Sampling Data'!G575</f>
        <v>0</v>
      </c>
      <c r="I575" s="19">
        <f>'Sampling Data'!H575</f>
        <v>0</v>
      </c>
      <c r="J575" s="19">
        <f>'Sampling Data'!I575</f>
        <v>0</v>
      </c>
      <c r="K575" s="19">
        <f>'Sampling Data'!J575</f>
        <v>0</v>
      </c>
      <c r="L575" s="19">
        <f>'Sampling Data'!K575</f>
        <v>0</v>
      </c>
      <c r="M575" s="19">
        <f>'Sampling Data'!L575</f>
        <v>0</v>
      </c>
      <c r="N575" s="19">
        <f>'Sampling Data'!M575</f>
        <v>0</v>
      </c>
      <c r="O575" s="18">
        <f>'Sampling Data'!N575</f>
        <v>0</v>
      </c>
      <c r="P575" s="18">
        <f>'Sampling Data'!O575</f>
        <v>0</v>
      </c>
      <c r="Q575" s="18">
        <f>'Sampling Data'!P575</f>
        <v>37</v>
      </c>
      <c r="R575" s="18">
        <f>'Sampling Data'!AJ575</f>
        <v>0</v>
      </c>
      <c r="S575" s="112"/>
      <c r="T575" s="112"/>
      <c r="U575" s="113"/>
      <c r="V575" s="113"/>
      <c r="W575" s="112"/>
      <c r="X575" s="112"/>
      <c r="Y575" s="112"/>
      <c r="Z575" s="112"/>
      <c r="AA575" s="15"/>
      <c r="AB575" s="15"/>
      <c r="AC575" s="15"/>
      <c r="AD575" s="15"/>
      <c r="AE575" s="114" t="str">
        <f>IF(NOT(ISBLANK(Audit[[#This Row],[Audit Winning Candidate]])), Audit[[#This Row],[Audit Winning Candidate]]-Audit[[#This Row],[Winning Candidate]], "")</f>
        <v/>
      </c>
      <c r="AF575" s="18" t="str">
        <f>IF(NOT(ISBLANK(Audit[[#This Row],[Audit Losing Candidate]])), Audit[[#This Row],[Audit Losing Candidate]]-Audit[[#This Row],[Losing Candidate]], "")</f>
        <v/>
      </c>
      <c r="AG575" s="18" t="str">
        <f>IF(NOT(ISBLANK(Audit[[#This Row],[Audit Candidate 3]])), Audit[[#This Row],[Audit Candidate 3]]-Audit[[#This Row],[Candidate 3]], "")</f>
        <v/>
      </c>
      <c r="AH575" s="18" t="str">
        <f>IF(NOT(ISBLANK(Audit[[#This Row],[Audit Candidate 4]])),Audit[[#This Row],[Audit Candidate 4]]-Audit[[#This Row],[Candidate 4]], "")</f>
        <v/>
      </c>
      <c r="AI575" s="18" t="str">
        <f>IF(NOT(ISBLANK(Audit[[#This Row],[Audit Candidate 5]])), Audit[[#This Row],[Audit Candidate 5]]-Audit[[#This Row],[Candidate 5]], "")</f>
        <v/>
      </c>
      <c r="AJ575" s="18" t="str">
        <f>IF(NOT(ISBLANK(Audit[[#This Row],[Audit Candidate 6]])), Audit[[#This Row],[Audit Candidate 6]]-Audit[[#This Row],[Candidate 6]], "")</f>
        <v/>
      </c>
      <c r="AK575" s="18" t="str">
        <f>IF(NOT(ISBLANK(Audit[[#This Row],[Audit Candidate 7]])), Audit[[#This Row],[Audit Candidate 7]]-Audit[[#This Row],[Candidate 7]], "")</f>
        <v/>
      </c>
      <c r="AL575" s="18" t="str">
        <f>IF(NOT(ISBLANK(Audit[[#This Row],[Audit Candidate 8]])), Audit[[#This Row],[Audit Candidate 8]]-Audit[[#This Row],[Candidate 8]], "")</f>
        <v/>
      </c>
      <c r="AM575" s="18" t="str">
        <f>IF(NOT(ISBLANK(Audit[[#This Row],[Audit Candidate 9]])), Audit[[#This Row],[Audit Candidate 9]]-Audit[[#This Row],[Candidate 9]], "")</f>
        <v/>
      </c>
      <c r="AN575" s="18" t="str">
        <f>IF(NOT(ISBLANK(Audit[[#This Row],[Audit Candidate 10]])), Audit[[#This Row],[Audit Candidate 10]]-Audit[[#This Row],[Candidate 10]], "")</f>
        <v/>
      </c>
      <c r="AO575" s="18" t="str">
        <f>IF(NOT(ISBLANK(Audit[[#This Row],[Audit Candidate 11]])), Audit[[#This Row],[Audit Candidate 11]]-Audit[[#This Row],[Candidate 11]], "")</f>
        <v/>
      </c>
      <c r="AP575" s="18" t="str">
        <f>IF(NOT(ISBLANK(Audit[[#This Row],[Audit Candidate 12]])), Audit[[#This Row],[Audit Candidate 12]]-Audit[[#This Row],[Candidate 12]], "")</f>
        <v/>
      </c>
      <c r="AQ575" s="18">
        <f>SUMIF(Audit[[#This Row],[Difference Winner]:[Difference Candidate 12]], "&gt;0")</f>
        <v>0</v>
      </c>
      <c r="AR575" s="18">
        <f>SUM(Audit[[#This Row],[Difference Winner]:[Difference Candidate 12]])</f>
        <v>0</v>
      </c>
      <c r="AS575" s="18">
        <f>IF(Audit[[#This Row],[Times p Drawn - With Replacement]]&gt;0, IF(Audit[[#This Row],[Canceled Differences]]&lt;0, Audit[[#This Row],[Max Differences]]+ABS(Audit[[#This Row],[Canceled Differences]]), Audit[[#This Row],[Max Differences]]), 0)</f>
        <v>0</v>
      </c>
      <c r="AT575" s="18">
        <f>'Sampling Data'!AB575</f>
        <v>2.0730596475798599E-3</v>
      </c>
      <c r="AU575" s="18">
        <f>IF(
      SUM(Audit[[#This Row],[Audit Losing Candidate]:[Audit Candidate 12]])
      &lt;&gt;0,
      (Audit[[#This Row],[Winning Candidate]]-Audit[[#This Row],[Losing Candidate]]-(Audit[[#This Row],[Audit Winning Candidate]]-Audit[[#This Row],[Audit Losing Candidate]]))/(Audit[[#Totals],[Winning Candidate]]-Audit[[#Totals],[Losing Candidate]]),
      0
)</f>
        <v>0</v>
      </c>
      <c r="AV5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8">
        <f>IF(Audit[[#This Row],[Max Relative Error (ep)]] = 0, 0, Audit[[#This Row],[Max Relative Error (ep)]]/Audit[[#This Row],[Error Bound (up) - Max. possible relative overstatement]])</f>
        <v>0</v>
      </c>
      <c r="BH5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5" s="18">
        <f t="shared" si="9"/>
        <v>1</v>
      </c>
      <c r="BJ575" s="18">
        <f>PRODUCT($BI$5:BI575)</f>
        <v>0.32656797278968008</v>
      </c>
      <c r="BK575" s="20">
        <f>1 - Audit[[#This Row],[K-M P Value]]</f>
        <v>0.67343202721031992</v>
      </c>
      <c r="BL575" s="18" t="str">
        <f>IF(Audit[[#This Row],[K-M P Value]]&gt;1-'General Info'!$B$12,"Continue", "Stop")</f>
        <v>Continue</v>
      </c>
      <c r="BM575" s="23" t="b">
        <f>IF(Audit[[#This Row],[Status - Continue or stop audit]] = "Continue", TRUE, IF(BL574 = "Continue", TRUE, FALSE))</f>
        <v>1</v>
      </c>
      <c r="BN575" s="23"/>
    </row>
    <row r="576" spans="1:66" ht="15" hidden="1" customHeight="1" x14ac:dyDescent="0.35">
      <c r="A576" s="18" t="str">
        <f>'Sampling Data'!AI576</f>
        <v/>
      </c>
      <c r="B576" s="18" t="str">
        <f>'Sampling Data'!A576</f>
        <v>0109 CIN 1-I   (ED)</v>
      </c>
      <c r="C576" s="18">
        <f>'Sampling Data'!B576</f>
        <v>72</v>
      </c>
      <c r="D576" s="18">
        <f>'Sampling Data'!C576</f>
        <v>7</v>
      </c>
      <c r="E576" s="19">
        <f>'Sampling Data'!D576</f>
        <v>0</v>
      </c>
      <c r="F576" s="19">
        <f>'Sampling Data'!E576</f>
        <v>0</v>
      </c>
      <c r="G576" s="19">
        <f>'Sampling Data'!F576</f>
        <v>0</v>
      </c>
      <c r="H576" s="19">
        <f>'Sampling Data'!G576</f>
        <v>0</v>
      </c>
      <c r="I576" s="19">
        <f>'Sampling Data'!H576</f>
        <v>0</v>
      </c>
      <c r="J576" s="19">
        <f>'Sampling Data'!I576</f>
        <v>0</v>
      </c>
      <c r="K576" s="19">
        <f>'Sampling Data'!J576</f>
        <v>0</v>
      </c>
      <c r="L576" s="19">
        <f>'Sampling Data'!K576</f>
        <v>0</v>
      </c>
      <c r="M576" s="19">
        <f>'Sampling Data'!L576</f>
        <v>0</v>
      </c>
      <c r="N576" s="19">
        <f>'Sampling Data'!M576</f>
        <v>0</v>
      </c>
      <c r="O576" s="18">
        <f>'Sampling Data'!N576</f>
        <v>1</v>
      </c>
      <c r="P576" s="18">
        <f>'Sampling Data'!O576</f>
        <v>1</v>
      </c>
      <c r="Q576" s="18">
        <f>'Sampling Data'!P576</f>
        <v>81</v>
      </c>
      <c r="R576" s="18">
        <f>'Sampling Data'!AJ576</f>
        <v>0</v>
      </c>
      <c r="S576" s="112"/>
      <c r="T576" s="112"/>
      <c r="U576" s="113"/>
      <c r="V576" s="113"/>
      <c r="W576" s="112"/>
      <c r="X576" s="112"/>
      <c r="Y576" s="112"/>
      <c r="Z576" s="112"/>
      <c r="AA576" s="15"/>
      <c r="AB576" s="15"/>
      <c r="AC576" s="15"/>
      <c r="AD576" s="15"/>
      <c r="AE576" s="114" t="str">
        <f>IF(NOT(ISBLANK(Audit[[#This Row],[Audit Winning Candidate]])), Audit[[#This Row],[Audit Winning Candidate]]-Audit[[#This Row],[Winning Candidate]], "")</f>
        <v/>
      </c>
      <c r="AF576" s="18" t="str">
        <f>IF(NOT(ISBLANK(Audit[[#This Row],[Audit Losing Candidate]])), Audit[[#This Row],[Audit Losing Candidate]]-Audit[[#This Row],[Losing Candidate]], "")</f>
        <v/>
      </c>
      <c r="AG576" s="18" t="str">
        <f>IF(NOT(ISBLANK(Audit[[#This Row],[Audit Candidate 3]])), Audit[[#This Row],[Audit Candidate 3]]-Audit[[#This Row],[Candidate 3]], "")</f>
        <v/>
      </c>
      <c r="AH576" s="18" t="str">
        <f>IF(NOT(ISBLANK(Audit[[#This Row],[Audit Candidate 4]])),Audit[[#This Row],[Audit Candidate 4]]-Audit[[#This Row],[Candidate 4]], "")</f>
        <v/>
      </c>
      <c r="AI576" s="18" t="str">
        <f>IF(NOT(ISBLANK(Audit[[#This Row],[Audit Candidate 5]])), Audit[[#This Row],[Audit Candidate 5]]-Audit[[#This Row],[Candidate 5]], "")</f>
        <v/>
      </c>
      <c r="AJ576" s="18" t="str">
        <f>IF(NOT(ISBLANK(Audit[[#This Row],[Audit Candidate 6]])), Audit[[#This Row],[Audit Candidate 6]]-Audit[[#This Row],[Candidate 6]], "")</f>
        <v/>
      </c>
      <c r="AK576" s="18" t="str">
        <f>IF(NOT(ISBLANK(Audit[[#This Row],[Audit Candidate 7]])), Audit[[#This Row],[Audit Candidate 7]]-Audit[[#This Row],[Candidate 7]], "")</f>
        <v/>
      </c>
      <c r="AL576" s="18" t="str">
        <f>IF(NOT(ISBLANK(Audit[[#This Row],[Audit Candidate 8]])), Audit[[#This Row],[Audit Candidate 8]]-Audit[[#This Row],[Candidate 8]], "")</f>
        <v/>
      </c>
      <c r="AM576" s="18" t="str">
        <f>IF(NOT(ISBLANK(Audit[[#This Row],[Audit Candidate 9]])), Audit[[#This Row],[Audit Candidate 9]]-Audit[[#This Row],[Candidate 9]], "")</f>
        <v/>
      </c>
      <c r="AN576" s="18" t="str">
        <f>IF(NOT(ISBLANK(Audit[[#This Row],[Audit Candidate 10]])), Audit[[#This Row],[Audit Candidate 10]]-Audit[[#This Row],[Candidate 10]], "")</f>
        <v/>
      </c>
      <c r="AO576" s="18" t="str">
        <f>IF(NOT(ISBLANK(Audit[[#This Row],[Audit Candidate 11]])), Audit[[#This Row],[Audit Candidate 11]]-Audit[[#This Row],[Candidate 11]], "")</f>
        <v/>
      </c>
      <c r="AP576" s="18" t="str">
        <f>IF(NOT(ISBLANK(Audit[[#This Row],[Audit Candidate 12]])), Audit[[#This Row],[Audit Candidate 12]]-Audit[[#This Row],[Candidate 12]], "")</f>
        <v/>
      </c>
      <c r="AQ576" s="18">
        <f>SUMIF(Audit[[#This Row],[Difference Winner]:[Difference Candidate 12]], "&gt;0")</f>
        <v>0</v>
      </c>
      <c r="AR576" s="18">
        <f>SUM(Audit[[#This Row],[Difference Winner]:[Difference Candidate 12]])</f>
        <v>0</v>
      </c>
      <c r="AS576" s="18">
        <f>IF(Audit[[#This Row],[Times p Drawn - With Replacement]]&gt;0, IF(Audit[[#This Row],[Canceled Differences]]&lt;0, Audit[[#This Row],[Max Differences]]+ABS(Audit[[#This Row],[Canceled Differences]]), Audit[[#This Row],[Max Differences]]), 0)</f>
        <v>0</v>
      </c>
      <c r="AT576" s="18">
        <f>'Sampling Data'!AB576</f>
        <v>4.5858592204039324E-3</v>
      </c>
      <c r="AU576" s="18">
        <f>IF(
      SUM(Audit[[#This Row],[Audit Losing Candidate]:[Audit Candidate 12]])
      &lt;&gt;0,
      (Audit[[#This Row],[Winning Candidate]]-Audit[[#This Row],[Losing Candidate]]-(Audit[[#This Row],[Audit Winning Candidate]]-Audit[[#This Row],[Audit Losing Candidate]]))/(Audit[[#Totals],[Winning Candidate]]-Audit[[#Totals],[Losing Candidate]]),
      0
)</f>
        <v>0</v>
      </c>
      <c r="AV5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8">
        <f>IF(Audit[[#This Row],[Max Relative Error (ep)]] = 0, 0, Audit[[#This Row],[Max Relative Error (ep)]]/Audit[[#This Row],[Error Bound (up) - Max. possible relative overstatement]])</f>
        <v>0</v>
      </c>
      <c r="BH5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6" s="18">
        <f t="shared" si="9"/>
        <v>1</v>
      </c>
      <c r="BJ576" s="18">
        <f>PRODUCT($BI$5:BI576)</f>
        <v>0.32656797278968008</v>
      </c>
      <c r="BK576" s="20">
        <f>1 - Audit[[#This Row],[K-M P Value]]</f>
        <v>0.67343202721031992</v>
      </c>
      <c r="BL576" s="18" t="str">
        <f>IF(Audit[[#This Row],[K-M P Value]]&gt;1-'General Info'!$B$12,"Continue", "Stop")</f>
        <v>Continue</v>
      </c>
      <c r="BM576" s="23" t="b">
        <f>IF(Audit[[#This Row],[Status - Continue or stop audit]] = "Continue", TRUE, IF(BL575 = "Continue", TRUE, FALSE))</f>
        <v>1</v>
      </c>
      <c r="BN576" s="23"/>
    </row>
    <row r="577" spans="1:66" ht="15" hidden="1" customHeight="1" x14ac:dyDescent="0.35">
      <c r="A577" s="18" t="str">
        <f>'Sampling Data'!AI577</f>
        <v/>
      </c>
      <c r="B577" s="18" t="str">
        <f>'Sampling Data'!A577</f>
        <v>0110 CIN 1-J   (ED)</v>
      </c>
      <c r="C577" s="18">
        <f>'Sampling Data'!B577</f>
        <v>55</v>
      </c>
      <c r="D577" s="18">
        <f>'Sampling Data'!C577</f>
        <v>6</v>
      </c>
      <c r="E577" s="19">
        <f>'Sampling Data'!D577</f>
        <v>0</v>
      </c>
      <c r="F577" s="19">
        <f>'Sampling Data'!E577</f>
        <v>0</v>
      </c>
      <c r="G577" s="19">
        <f>'Sampling Data'!F577</f>
        <v>0</v>
      </c>
      <c r="H577" s="19">
        <f>'Sampling Data'!G577</f>
        <v>0</v>
      </c>
      <c r="I577" s="19">
        <f>'Sampling Data'!H577</f>
        <v>0</v>
      </c>
      <c r="J577" s="19">
        <f>'Sampling Data'!I577</f>
        <v>0</v>
      </c>
      <c r="K577" s="19">
        <f>'Sampling Data'!J577</f>
        <v>0</v>
      </c>
      <c r="L577" s="19">
        <f>'Sampling Data'!K577</f>
        <v>0</v>
      </c>
      <c r="M577" s="19">
        <f>'Sampling Data'!L577</f>
        <v>0</v>
      </c>
      <c r="N577" s="19">
        <f>'Sampling Data'!M577</f>
        <v>0</v>
      </c>
      <c r="O577" s="18">
        <f>'Sampling Data'!N577</f>
        <v>0</v>
      </c>
      <c r="P577" s="18">
        <f>'Sampling Data'!O577</f>
        <v>0</v>
      </c>
      <c r="Q577" s="18">
        <f>'Sampling Data'!P577</f>
        <v>61</v>
      </c>
      <c r="R577" s="18">
        <f>'Sampling Data'!AJ577</f>
        <v>0</v>
      </c>
      <c r="S577" s="112"/>
      <c r="T577" s="112"/>
      <c r="U577" s="113"/>
      <c r="V577" s="113"/>
      <c r="W577" s="112"/>
      <c r="X577" s="112"/>
      <c r="Y577" s="112"/>
      <c r="Z577" s="112"/>
      <c r="AA577" s="15"/>
      <c r="AB577" s="15"/>
      <c r="AC577" s="15"/>
      <c r="AD577" s="15"/>
      <c r="AE577" s="114" t="str">
        <f>IF(NOT(ISBLANK(Audit[[#This Row],[Audit Winning Candidate]])), Audit[[#This Row],[Audit Winning Candidate]]-Audit[[#This Row],[Winning Candidate]], "")</f>
        <v/>
      </c>
      <c r="AF577" s="18" t="str">
        <f>IF(NOT(ISBLANK(Audit[[#This Row],[Audit Losing Candidate]])), Audit[[#This Row],[Audit Losing Candidate]]-Audit[[#This Row],[Losing Candidate]], "")</f>
        <v/>
      </c>
      <c r="AG577" s="18" t="str">
        <f>IF(NOT(ISBLANK(Audit[[#This Row],[Audit Candidate 3]])), Audit[[#This Row],[Audit Candidate 3]]-Audit[[#This Row],[Candidate 3]], "")</f>
        <v/>
      </c>
      <c r="AH577" s="18" t="str">
        <f>IF(NOT(ISBLANK(Audit[[#This Row],[Audit Candidate 4]])),Audit[[#This Row],[Audit Candidate 4]]-Audit[[#This Row],[Candidate 4]], "")</f>
        <v/>
      </c>
      <c r="AI577" s="18" t="str">
        <f>IF(NOT(ISBLANK(Audit[[#This Row],[Audit Candidate 5]])), Audit[[#This Row],[Audit Candidate 5]]-Audit[[#This Row],[Candidate 5]], "")</f>
        <v/>
      </c>
      <c r="AJ577" s="18" t="str">
        <f>IF(NOT(ISBLANK(Audit[[#This Row],[Audit Candidate 6]])), Audit[[#This Row],[Audit Candidate 6]]-Audit[[#This Row],[Candidate 6]], "")</f>
        <v/>
      </c>
      <c r="AK577" s="18" t="str">
        <f>IF(NOT(ISBLANK(Audit[[#This Row],[Audit Candidate 7]])), Audit[[#This Row],[Audit Candidate 7]]-Audit[[#This Row],[Candidate 7]], "")</f>
        <v/>
      </c>
      <c r="AL577" s="18" t="str">
        <f>IF(NOT(ISBLANK(Audit[[#This Row],[Audit Candidate 8]])), Audit[[#This Row],[Audit Candidate 8]]-Audit[[#This Row],[Candidate 8]], "")</f>
        <v/>
      </c>
      <c r="AM577" s="18" t="str">
        <f>IF(NOT(ISBLANK(Audit[[#This Row],[Audit Candidate 9]])), Audit[[#This Row],[Audit Candidate 9]]-Audit[[#This Row],[Candidate 9]], "")</f>
        <v/>
      </c>
      <c r="AN577" s="18" t="str">
        <f>IF(NOT(ISBLANK(Audit[[#This Row],[Audit Candidate 10]])), Audit[[#This Row],[Audit Candidate 10]]-Audit[[#This Row],[Candidate 10]], "")</f>
        <v/>
      </c>
      <c r="AO577" s="18" t="str">
        <f>IF(NOT(ISBLANK(Audit[[#This Row],[Audit Candidate 11]])), Audit[[#This Row],[Audit Candidate 11]]-Audit[[#This Row],[Candidate 11]], "")</f>
        <v/>
      </c>
      <c r="AP577" s="18" t="str">
        <f>IF(NOT(ISBLANK(Audit[[#This Row],[Audit Candidate 12]])), Audit[[#This Row],[Audit Candidate 12]]-Audit[[#This Row],[Candidate 12]], "")</f>
        <v/>
      </c>
      <c r="AQ577" s="18">
        <f>SUMIF(Audit[[#This Row],[Difference Winner]:[Difference Candidate 12]], "&gt;0")</f>
        <v>0</v>
      </c>
      <c r="AR577" s="18">
        <f>SUM(Audit[[#This Row],[Difference Winner]:[Difference Candidate 12]])</f>
        <v>0</v>
      </c>
      <c r="AS577" s="18">
        <f>IF(Audit[[#This Row],[Times p Drawn - With Replacement]]&gt;0, IF(Audit[[#This Row],[Canceled Differences]]&lt;0, Audit[[#This Row],[Max Differences]]+ABS(Audit[[#This Row],[Canceled Differences]]), Audit[[#This Row],[Max Differences]]), 0)</f>
        <v>0</v>
      </c>
      <c r="AT577" s="18">
        <f>'Sampling Data'!AB577</f>
        <v>3.4550994126330997E-3</v>
      </c>
      <c r="AU577" s="18">
        <f>IF(
      SUM(Audit[[#This Row],[Audit Losing Candidate]:[Audit Candidate 12]])
      &lt;&gt;0,
      (Audit[[#This Row],[Winning Candidate]]-Audit[[#This Row],[Losing Candidate]]-(Audit[[#This Row],[Audit Winning Candidate]]-Audit[[#This Row],[Audit Losing Candidate]]))/(Audit[[#Totals],[Winning Candidate]]-Audit[[#Totals],[Losing Candidate]]),
      0
)</f>
        <v>0</v>
      </c>
      <c r="AV5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8">
        <f>IF(Audit[[#This Row],[Max Relative Error (ep)]] = 0, 0, Audit[[#This Row],[Max Relative Error (ep)]]/Audit[[#This Row],[Error Bound (up) - Max. possible relative overstatement]])</f>
        <v>0</v>
      </c>
      <c r="BH5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7" s="18">
        <f t="shared" si="9"/>
        <v>1</v>
      </c>
      <c r="BJ577" s="18">
        <f>PRODUCT($BI$5:BI577)</f>
        <v>0.32656797278968008</v>
      </c>
      <c r="BK577" s="20">
        <f>1 - Audit[[#This Row],[K-M P Value]]</f>
        <v>0.67343202721031992</v>
      </c>
      <c r="BL577" s="18" t="str">
        <f>IF(Audit[[#This Row],[K-M P Value]]&gt;1-'General Info'!$B$12,"Continue", "Stop")</f>
        <v>Continue</v>
      </c>
      <c r="BM577" s="23" t="b">
        <f>IF(Audit[[#This Row],[Status - Continue or stop audit]] = "Continue", TRUE, IF(BL576 = "Continue", TRUE, FALSE))</f>
        <v>1</v>
      </c>
      <c r="BN577" s="23"/>
    </row>
    <row r="578" spans="1:66" ht="15" hidden="1" customHeight="1" x14ac:dyDescent="0.35">
      <c r="A578" s="18" t="str">
        <f>'Sampling Data'!AI578</f>
        <v/>
      </c>
      <c r="B578" s="18" t="str">
        <f>'Sampling Data'!A578</f>
        <v>0111 CIN 1-K   (ED)</v>
      </c>
      <c r="C578" s="18">
        <f>'Sampling Data'!B578</f>
        <v>30</v>
      </c>
      <c r="D578" s="18">
        <f>'Sampling Data'!C578</f>
        <v>5</v>
      </c>
      <c r="E578" s="19">
        <f>'Sampling Data'!D578</f>
        <v>0</v>
      </c>
      <c r="F578" s="19">
        <f>'Sampling Data'!E578</f>
        <v>0</v>
      </c>
      <c r="G578" s="19">
        <f>'Sampling Data'!F578</f>
        <v>0</v>
      </c>
      <c r="H578" s="19">
        <f>'Sampling Data'!G578</f>
        <v>0</v>
      </c>
      <c r="I578" s="19">
        <f>'Sampling Data'!H578</f>
        <v>0</v>
      </c>
      <c r="J578" s="19">
        <f>'Sampling Data'!I578</f>
        <v>0</v>
      </c>
      <c r="K578" s="19">
        <f>'Sampling Data'!J578</f>
        <v>0</v>
      </c>
      <c r="L578" s="19">
        <f>'Sampling Data'!K578</f>
        <v>0</v>
      </c>
      <c r="M578" s="19">
        <f>'Sampling Data'!L578</f>
        <v>0</v>
      </c>
      <c r="N578" s="19">
        <f>'Sampling Data'!M578</f>
        <v>0</v>
      </c>
      <c r="O578" s="18">
        <f>'Sampling Data'!N578</f>
        <v>0</v>
      </c>
      <c r="P578" s="18">
        <f>'Sampling Data'!O578</f>
        <v>0</v>
      </c>
      <c r="Q578" s="18">
        <f>'Sampling Data'!P578</f>
        <v>35</v>
      </c>
      <c r="R578" s="18">
        <f>'Sampling Data'!AJ578</f>
        <v>0</v>
      </c>
      <c r="S578" s="112"/>
      <c r="T578" s="112"/>
      <c r="U578" s="113"/>
      <c r="V578" s="113"/>
      <c r="W578" s="112"/>
      <c r="X578" s="112"/>
      <c r="Y578" s="112"/>
      <c r="Z578" s="112"/>
      <c r="AA578" s="15"/>
      <c r="AB578" s="15"/>
      <c r="AC578" s="15"/>
      <c r="AD578" s="15"/>
      <c r="AE578" s="114" t="str">
        <f>IF(NOT(ISBLANK(Audit[[#This Row],[Audit Winning Candidate]])), Audit[[#This Row],[Audit Winning Candidate]]-Audit[[#This Row],[Winning Candidate]], "")</f>
        <v/>
      </c>
      <c r="AF578" s="18" t="str">
        <f>IF(NOT(ISBLANK(Audit[[#This Row],[Audit Losing Candidate]])), Audit[[#This Row],[Audit Losing Candidate]]-Audit[[#This Row],[Losing Candidate]], "")</f>
        <v/>
      </c>
      <c r="AG578" s="18" t="str">
        <f>IF(NOT(ISBLANK(Audit[[#This Row],[Audit Candidate 3]])), Audit[[#This Row],[Audit Candidate 3]]-Audit[[#This Row],[Candidate 3]], "")</f>
        <v/>
      </c>
      <c r="AH578" s="18" t="str">
        <f>IF(NOT(ISBLANK(Audit[[#This Row],[Audit Candidate 4]])),Audit[[#This Row],[Audit Candidate 4]]-Audit[[#This Row],[Candidate 4]], "")</f>
        <v/>
      </c>
      <c r="AI578" s="18" t="str">
        <f>IF(NOT(ISBLANK(Audit[[#This Row],[Audit Candidate 5]])), Audit[[#This Row],[Audit Candidate 5]]-Audit[[#This Row],[Candidate 5]], "")</f>
        <v/>
      </c>
      <c r="AJ578" s="18" t="str">
        <f>IF(NOT(ISBLANK(Audit[[#This Row],[Audit Candidate 6]])), Audit[[#This Row],[Audit Candidate 6]]-Audit[[#This Row],[Candidate 6]], "")</f>
        <v/>
      </c>
      <c r="AK578" s="18" t="str">
        <f>IF(NOT(ISBLANK(Audit[[#This Row],[Audit Candidate 7]])), Audit[[#This Row],[Audit Candidate 7]]-Audit[[#This Row],[Candidate 7]], "")</f>
        <v/>
      </c>
      <c r="AL578" s="18" t="str">
        <f>IF(NOT(ISBLANK(Audit[[#This Row],[Audit Candidate 8]])), Audit[[#This Row],[Audit Candidate 8]]-Audit[[#This Row],[Candidate 8]], "")</f>
        <v/>
      </c>
      <c r="AM578" s="18" t="str">
        <f>IF(NOT(ISBLANK(Audit[[#This Row],[Audit Candidate 9]])), Audit[[#This Row],[Audit Candidate 9]]-Audit[[#This Row],[Candidate 9]], "")</f>
        <v/>
      </c>
      <c r="AN578" s="18" t="str">
        <f>IF(NOT(ISBLANK(Audit[[#This Row],[Audit Candidate 10]])), Audit[[#This Row],[Audit Candidate 10]]-Audit[[#This Row],[Candidate 10]], "")</f>
        <v/>
      </c>
      <c r="AO578" s="18" t="str">
        <f>IF(NOT(ISBLANK(Audit[[#This Row],[Audit Candidate 11]])), Audit[[#This Row],[Audit Candidate 11]]-Audit[[#This Row],[Candidate 11]], "")</f>
        <v/>
      </c>
      <c r="AP578" s="18" t="str">
        <f>IF(NOT(ISBLANK(Audit[[#This Row],[Audit Candidate 12]])), Audit[[#This Row],[Audit Candidate 12]]-Audit[[#This Row],[Candidate 12]], "")</f>
        <v/>
      </c>
      <c r="AQ578" s="18">
        <f>SUMIF(Audit[[#This Row],[Difference Winner]:[Difference Candidate 12]], "&gt;0")</f>
        <v>0</v>
      </c>
      <c r="AR578" s="18">
        <f>SUM(Audit[[#This Row],[Difference Winner]:[Difference Candidate 12]])</f>
        <v>0</v>
      </c>
      <c r="AS578" s="18">
        <f>IF(Audit[[#This Row],[Times p Drawn - With Replacement]]&gt;0, IF(Audit[[#This Row],[Canceled Differences]]&lt;0, Audit[[#This Row],[Max Differences]]+ABS(Audit[[#This Row],[Canceled Differences]]), Audit[[#This Row],[Max Differences]]), 0)</f>
        <v>0</v>
      </c>
      <c r="AT578" s="18">
        <f>'Sampling Data'!AB578</f>
        <v>1.8845996796180544E-3</v>
      </c>
      <c r="AU578" s="18">
        <f>IF(
      SUM(Audit[[#This Row],[Audit Losing Candidate]:[Audit Candidate 12]])
      &lt;&gt;0,
      (Audit[[#This Row],[Winning Candidate]]-Audit[[#This Row],[Losing Candidate]]-(Audit[[#This Row],[Audit Winning Candidate]]-Audit[[#This Row],[Audit Losing Candidate]]))/(Audit[[#Totals],[Winning Candidate]]-Audit[[#Totals],[Losing Candidate]]),
      0
)</f>
        <v>0</v>
      </c>
      <c r="AV5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8">
        <f>IF(Audit[[#This Row],[Max Relative Error (ep)]] = 0, 0, Audit[[#This Row],[Max Relative Error (ep)]]/Audit[[#This Row],[Error Bound (up) - Max. possible relative overstatement]])</f>
        <v>0</v>
      </c>
      <c r="BH5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8" s="18">
        <f t="shared" si="9"/>
        <v>1</v>
      </c>
      <c r="BJ578" s="18">
        <f>PRODUCT($BI$5:BI578)</f>
        <v>0.32656797278968008</v>
      </c>
      <c r="BK578" s="20">
        <f>1 - Audit[[#This Row],[K-M P Value]]</f>
        <v>0.67343202721031992</v>
      </c>
      <c r="BL578" s="18" t="str">
        <f>IF(Audit[[#This Row],[K-M P Value]]&gt;1-'General Info'!$B$12,"Continue", "Stop")</f>
        <v>Continue</v>
      </c>
      <c r="BM578" s="23" t="b">
        <f>IF(Audit[[#This Row],[Status - Continue or stop audit]] = "Continue", TRUE, IF(BL577 = "Continue", TRUE, FALSE))</f>
        <v>1</v>
      </c>
      <c r="BN578" s="23"/>
    </row>
    <row r="579" spans="1:66" ht="15" hidden="1" customHeight="1" x14ac:dyDescent="0.35">
      <c r="A579" s="18" t="str">
        <f>'Sampling Data'!AI579</f>
        <v/>
      </c>
      <c r="B579" s="18" t="str">
        <f>'Sampling Data'!A579</f>
        <v>0112 CIN 1-L   (ED)</v>
      </c>
      <c r="C579" s="18">
        <f>'Sampling Data'!B579</f>
        <v>40</v>
      </c>
      <c r="D579" s="18">
        <f>'Sampling Data'!C579</f>
        <v>6</v>
      </c>
      <c r="E579" s="19">
        <f>'Sampling Data'!D579</f>
        <v>0</v>
      </c>
      <c r="F579" s="19">
        <f>'Sampling Data'!E579</f>
        <v>0</v>
      </c>
      <c r="G579" s="19">
        <f>'Sampling Data'!F579</f>
        <v>0</v>
      </c>
      <c r="H579" s="19">
        <f>'Sampling Data'!G579</f>
        <v>0</v>
      </c>
      <c r="I579" s="19">
        <f>'Sampling Data'!H579</f>
        <v>0</v>
      </c>
      <c r="J579" s="19">
        <f>'Sampling Data'!I579</f>
        <v>0</v>
      </c>
      <c r="K579" s="19">
        <f>'Sampling Data'!J579</f>
        <v>0</v>
      </c>
      <c r="L579" s="19">
        <f>'Sampling Data'!K579</f>
        <v>0</v>
      </c>
      <c r="M579" s="19">
        <f>'Sampling Data'!L579</f>
        <v>0</v>
      </c>
      <c r="N579" s="19">
        <f>'Sampling Data'!M579</f>
        <v>0</v>
      </c>
      <c r="O579" s="18">
        <f>'Sampling Data'!N579</f>
        <v>0</v>
      </c>
      <c r="P579" s="18">
        <f>'Sampling Data'!O579</f>
        <v>0</v>
      </c>
      <c r="Q579" s="18">
        <f>'Sampling Data'!P579</f>
        <v>46</v>
      </c>
      <c r="R579" s="18">
        <f>'Sampling Data'!AJ579</f>
        <v>0</v>
      </c>
      <c r="S579" s="112"/>
      <c r="T579" s="112"/>
      <c r="U579" s="113"/>
      <c r="V579" s="113"/>
      <c r="W579" s="112"/>
      <c r="X579" s="112"/>
      <c r="Y579" s="112"/>
      <c r="Z579" s="112"/>
      <c r="AA579" s="15"/>
      <c r="AB579" s="15"/>
      <c r="AC579" s="15"/>
      <c r="AD579" s="15"/>
      <c r="AE579" s="114" t="str">
        <f>IF(NOT(ISBLANK(Audit[[#This Row],[Audit Winning Candidate]])), Audit[[#This Row],[Audit Winning Candidate]]-Audit[[#This Row],[Winning Candidate]], "")</f>
        <v/>
      </c>
      <c r="AF579" s="18" t="str">
        <f>IF(NOT(ISBLANK(Audit[[#This Row],[Audit Losing Candidate]])), Audit[[#This Row],[Audit Losing Candidate]]-Audit[[#This Row],[Losing Candidate]], "")</f>
        <v/>
      </c>
      <c r="AG579" s="18" t="str">
        <f>IF(NOT(ISBLANK(Audit[[#This Row],[Audit Candidate 3]])), Audit[[#This Row],[Audit Candidate 3]]-Audit[[#This Row],[Candidate 3]], "")</f>
        <v/>
      </c>
      <c r="AH579" s="18" t="str">
        <f>IF(NOT(ISBLANK(Audit[[#This Row],[Audit Candidate 4]])),Audit[[#This Row],[Audit Candidate 4]]-Audit[[#This Row],[Candidate 4]], "")</f>
        <v/>
      </c>
      <c r="AI579" s="18" t="str">
        <f>IF(NOT(ISBLANK(Audit[[#This Row],[Audit Candidate 5]])), Audit[[#This Row],[Audit Candidate 5]]-Audit[[#This Row],[Candidate 5]], "")</f>
        <v/>
      </c>
      <c r="AJ579" s="18" t="str">
        <f>IF(NOT(ISBLANK(Audit[[#This Row],[Audit Candidate 6]])), Audit[[#This Row],[Audit Candidate 6]]-Audit[[#This Row],[Candidate 6]], "")</f>
        <v/>
      </c>
      <c r="AK579" s="18" t="str">
        <f>IF(NOT(ISBLANK(Audit[[#This Row],[Audit Candidate 7]])), Audit[[#This Row],[Audit Candidate 7]]-Audit[[#This Row],[Candidate 7]], "")</f>
        <v/>
      </c>
      <c r="AL579" s="18" t="str">
        <f>IF(NOT(ISBLANK(Audit[[#This Row],[Audit Candidate 8]])), Audit[[#This Row],[Audit Candidate 8]]-Audit[[#This Row],[Candidate 8]], "")</f>
        <v/>
      </c>
      <c r="AM579" s="18" t="str">
        <f>IF(NOT(ISBLANK(Audit[[#This Row],[Audit Candidate 9]])), Audit[[#This Row],[Audit Candidate 9]]-Audit[[#This Row],[Candidate 9]], "")</f>
        <v/>
      </c>
      <c r="AN579" s="18" t="str">
        <f>IF(NOT(ISBLANK(Audit[[#This Row],[Audit Candidate 10]])), Audit[[#This Row],[Audit Candidate 10]]-Audit[[#This Row],[Candidate 10]], "")</f>
        <v/>
      </c>
      <c r="AO579" s="18" t="str">
        <f>IF(NOT(ISBLANK(Audit[[#This Row],[Audit Candidate 11]])), Audit[[#This Row],[Audit Candidate 11]]-Audit[[#This Row],[Candidate 11]], "")</f>
        <v/>
      </c>
      <c r="AP579" s="18" t="str">
        <f>IF(NOT(ISBLANK(Audit[[#This Row],[Audit Candidate 12]])), Audit[[#This Row],[Audit Candidate 12]]-Audit[[#This Row],[Candidate 12]], "")</f>
        <v/>
      </c>
      <c r="AQ579" s="18">
        <f>SUMIF(Audit[[#This Row],[Difference Winner]:[Difference Candidate 12]], "&gt;0")</f>
        <v>0</v>
      </c>
      <c r="AR579" s="18">
        <f>SUM(Audit[[#This Row],[Difference Winner]:[Difference Candidate 12]])</f>
        <v>0</v>
      </c>
      <c r="AS579" s="18">
        <f>IF(Audit[[#This Row],[Times p Drawn - With Replacement]]&gt;0, IF(Audit[[#This Row],[Canceled Differences]]&lt;0, Audit[[#This Row],[Max Differences]]+ABS(Audit[[#This Row],[Canceled Differences]]), Audit[[#This Row],[Max Differences]]), 0)</f>
        <v>0</v>
      </c>
      <c r="AT579" s="18">
        <f>'Sampling Data'!AB579</f>
        <v>2.5127995728240725E-3</v>
      </c>
      <c r="AU579" s="18">
        <f>IF(
      SUM(Audit[[#This Row],[Audit Losing Candidate]:[Audit Candidate 12]])
      &lt;&gt;0,
      (Audit[[#This Row],[Winning Candidate]]-Audit[[#This Row],[Losing Candidate]]-(Audit[[#This Row],[Audit Winning Candidate]]-Audit[[#This Row],[Audit Losing Candidate]]))/(Audit[[#Totals],[Winning Candidate]]-Audit[[#Totals],[Losing Candidate]]),
      0
)</f>
        <v>0</v>
      </c>
      <c r="AV5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8">
        <f>IF(Audit[[#This Row],[Max Relative Error (ep)]] = 0, 0, Audit[[#This Row],[Max Relative Error (ep)]]/Audit[[#This Row],[Error Bound (up) - Max. possible relative overstatement]])</f>
        <v>0</v>
      </c>
      <c r="BH5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79" s="18">
        <f t="shared" si="9"/>
        <v>1</v>
      </c>
      <c r="BJ579" s="18">
        <f>PRODUCT($BI$5:BI579)</f>
        <v>0.32656797278968008</v>
      </c>
      <c r="BK579" s="20">
        <f>1 - Audit[[#This Row],[K-M P Value]]</f>
        <v>0.67343202721031992</v>
      </c>
      <c r="BL579" s="18" t="str">
        <f>IF(Audit[[#This Row],[K-M P Value]]&gt;1-'General Info'!$B$12,"Continue", "Stop")</f>
        <v>Continue</v>
      </c>
      <c r="BM579" s="23" t="b">
        <f>IF(Audit[[#This Row],[Status - Continue or stop audit]] = "Continue", TRUE, IF(BL578 = "Continue", TRUE, FALSE))</f>
        <v>1</v>
      </c>
      <c r="BN579" s="23"/>
    </row>
    <row r="580" spans="1:66" ht="15" hidden="1" customHeight="1" x14ac:dyDescent="0.35">
      <c r="A580" s="18" t="str">
        <f>'Sampling Data'!AI580</f>
        <v/>
      </c>
      <c r="B580" s="18" t="str">
        <f>'Sampling Data'!A580</f>
        <v>0113 CIN 1-M   (ED)</v>
      </c>
      <c r="C580" s="18">
        <f>'Sampling Data'!B580</f>
        <v>41</v>
      </c>
      <c r="D580" s="18">
        <f>'Sampling Data'!C580</f>
        <v>3</v>
      </c>
      <c r="E580" s="19">
        <f>'Sampling Data'!D580</f>
        <v>0</v>
      </c>
      <c r="F580" s="19">
        <f>'Sampling Data'!E580</f>
        <v>0</v>
      </c>
      <c r="G580" s="19">
        <f>'Sampling Data'!F580</f>
        <v>0</v>
      </c>
      <c r="H580" s="19">
        <f>'Sampling Data'!G580</f>
        <v>0</v>
      </c>
      <c r="I580" s="19">
        <f>'Sampling Data'!H580</f>
        <v>0</v>
      </c>
      <c r="J580" s="19">
        <f>'Sampling Data'!I580</f>
        <v>0</v>
      </c>
      <c r="K580" s="19">
        <f>'Sampling Data'!J580</f>
        <v>0</v>
      </c>
      <c r="L580" s="19">
        <f>'Sampling Data'!K580</f>
        <v>0</v>
      </c>
      <c r="M580" s="19">
        <f>'Sampling Data'!L580</f>
        <v>0</v>
      </c>
      <c r="N580" s="19">
        <f>'Sampling Data'!M580</f>
        <v>0</v>
      </c>
      <c r="O580" s="18">
        <f>'Sampling Data'!N580</f>
        <v>0</v>
      </c>
      <c r="P580" s="18">
        <f>'Sampling Data'!O580</f>
        <v>1</v>
      </c>
      <c r="Q580" s="18">
        <f>'Sampling Data'!P580</f>
        <v>45</v>
      </c>
      <c r="R580" s="18">
        <f>'Sampling Data'!AJ580</f>
        <v>0</v>
      </c>
      <c r="S580" s="112"/>
      <c r="T580" s="112"/>
      <c r="U580" s="113"/>
      <c r="V580" s="113"/>
      <c r="W580" s="112"/>
      <c r="X580" s="112"/>
      <c r="Y580" s="112"/>
      <c r="Z580" s="112"/>
      <c r="AA580" s="15"/>
      <c r="AB580" s="15"/>
      <c r="AC580" s="15"/>
      <c r="AD580" s="15"/>
      <c r="AE580" s="114" t="str">
        <f>IF(NOT(ISBLANK(Audit[[#This Row],[Audit Winning Candidate]])), Audit[[#This Row],[Audit Winning Candidate]]-Audit[[#This Row],[Winning Candidate]], "")</f>
        <v/>
      </c>
      <c r="AF580" s="18" t="str">
        <f>IF(NOT(ISBLANK(Audit[[#This Row],[Audit Losing Candidate]])), Audit[[#This Row],[Audit Losing Candidate]]-Audit[[#This Row],[Losing Candidate]], "")</f>
        <v/>
      </c>
      <c r="AG580" s="18" t="str">
        <f>IF(NOT(ISBLANK(Audit[[#This Row],[Audit Candidate 3]])), Audit[[#This Row],[Audit Candidate 3]]-Audit[[#This Row],[Candidate 3]], "")</f>
        <v/>
      </c>
      <c r="AH580" s="18" t="str">
        <f>IF(NOT(ISBLANK(Audit[[#This Row],[Audit Candidate 4]])),Audit[[#This Row],[Audit Candidate 4]]-Audit[[#This Row],[Candidate 4]], "")</f>
        <v/>
      </c>
      <c r="AI580" s="18" t="str">
        <f>IF(NOT(ISBLANK(Audit[[#This Row],[Audit Candidate 5]])), Audit[[#This Row],[Audit Candidate 5]]-Audit[[#This Row],[Candidate 5]], "")</f>
        <v/>
      </c>
      <c r="AJ580" s="18" t="str">
        <f>IF(NOT(ISBLANK(Audit[[#This Row],[Audit Candidate 6]])), Audit[[#This Row],[Audit Candidate 6]]-Audit[[#This Row],[Candidate 6]], "")</f>
        <v/>
      </c>
      <c r="AK580" s="18" t="str">
        <f>IF(NOT(ISBLANK(Audit[[#This Row],[Audit Candidate 7]])), Audit[[#This Row],[Audit Candidate 7]]-Audit[[#This Row],[Candidate 7]], "")</f>
        <v/>
      </c>
      <c r="AL580" s="18" t="str">
        <f>IF(NOT(ISBLANK(Audit[[#This Row],[Audit Candidate 8]])), Audit[[#This Row],[Audit Candidate 8]]-Audit[[#This Row],[Candidate 8]], "")</f>
        <v/>
      </c>
      <c r="AM580" s="18" t="str">
        <f>IF(NOT(ISBLANK(Audit[[#This Row],[Audit Candidate 9]])), Audit[[#This Row],[Audit Candidate 9]]-Audit[[#This Row],[Candidate 9]], "")</f>
        <v/>
      </c>
      <c r="AN580" s="18" t="str">
        <f>IF(NOT(ISBLANK(Audit[[#This Row],[Audit Candidate 10]])), Audit[[#This Row],[Audit Candidate 10]]-Audit[[#This Row],[Candidate 10]], "")</f>
        <v/>
      </c>
      <c r="AO580" s="18" t="str">
        <f>IF(NOT(ISBLANK(Audit[[#This Row],[Audit Candidate 11]])), Audit[[#This Row],[Audit Candidate 11]]-Audit[[#This Row],[Candidate 11]], "")</f>
        <v/>
      </c>
      <c r="AP580" s="18" t="str">
        <f>IF(NOT(ISBLANK(Audit[[#This Row],[Audit Candidate 12]])), Audit[[#This Row],[Audit Candidate 12]]-Audit[[#This Row],[Candidate 12]], "")</f>
        <v/>
      </c>
      <c r="AQ580" s="18">
        <f>SUMIF(Audit[[#This Row],[Difference Winner]:[Difference Candidate 12]], "&gt;0")</f>
        <v>0</v>
      </c>
      <c r="AR580" s="18">
        <f>SUM(Audit[[#This Row],[Difference Winner]:[Difference Candidate 12]])</f>
        <v>0</v>
      </c>
      <c r="AS580" s="18">
        <f>IF(Audit[[#This Row],[Times p Drawn - With Replacement]]&gt;0, IF(Audit[[#This Row],[Canceled Differences]]&lt;0, Audit[[#This Row],[Max Differences]]+ABS(Audit[[#This Row],[Canceled Differences]]), Audit[[#This Row],[Max Differences]]), 0)</f>
        <v>0</v>
      </c>
      <c r="AT580" s="18">
        <f>'Sampling Data'!AB580</f>
        <v>2.6070295568049752E-3</v>
      </c>
      <c r="AU580" s="18">
        <f>IF(
      SUM(Audit[[#This Row],[Audit Losing Candidate]:[Audit Candidate 12]])
      &lt;&gt;0,
      (Audit[[#This Row],[Winning Candidate]]-Audit[[#This Row],[Losing Candidate]]-(Audit[[#This Row],[Audit Winning Candidate]]-Audit[[#This Row],[Audit Losing Candidate]]))/(Audit[[#Totals],[Winning Candidate]]-Audit[[#Totals],[Losing Candidate]]),
      0
)</f>
        <v>0</v>
      </c>
      <c r="AV5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8">
        <f>IF(Audit[[#This Row],[Max Relative Error (ep)]] = 0, 0, Audit[[#This Row],[Max Relative Error (ep)]]/Audit[[#This Row],[Error Bound (up) - Max. possible relative overstatement]])</f>
        <v>0</v>
      </c>
      <c r="BH5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0" s="18">
        <f t="shared" si="9"/>
        <v>1</v>
      </c>
      <c r="BJ580" s="18">
        <f>PRODUCT($BI$5:BI580)</f>
        <v>0.32656797278968008</v>
      </c>
      <c r="BK580" s="20">
        <f>1 - Audit[[#This Row],[K-M P Value]]</f>
        <v>0.67343202721031992</v>
      </c>
      <c r="BL580" s="18" t="str">
        <f>IF(Audit[[#This Row],[K-M P Value]]&gt;1-'General Info'!$B$12,"Continue", "Stop")</f>
        <v>Continue</v>
      </c>
      <c r="BM580" s="23" t="b">
        <f>IF(Audit[[#This Row],[Status - Continue or stop audit]] = "Continue", TRUE, IF(BL579 = "Continue", TRUE, FALSE))</f>
        <v>1</v>
      </c>
      <c r="BN580" s="23"/>
    </row>
    <row r="581" spans="1:66" ht="15" hidden="1" customHeight="1" x14ac:dyDescent="0.35">
      <c r="A581" s="18" t="str">
        <f>'Sampling Data'!AI581</f>
        <v/>
      </c>
      <c r="B581" s="18" t="str">
        <f>'Sampling Data'!A581</f>
        <v>0201 CIN 2-A   (ED)</v>
      </c>
      <c r="C581" s="18">
        <f>'Sampling Data'!B581</f>
        <v>17</v>
      </c>
      <c r="D581" s="18">
        <f>'Sampling Data'!C581</f>
        <v>6</v>
      </c>
      <c r="E581" s="19">
        <f>'Sampling Data'!D581</f>
        <v>0</v>
      </c>
      <c r="F581" s="19">
        <f>'Sampling Data'!E581</f>
        <v>0</v>
      </c>
      <c r="G581" s="19">
        <f>'Sampling Data'!F581</f>
        <v>0</v>
      </c>
      <c r="H581" s="19">
        <f>'Sampling Data'!G581</f>
        <v>0</v>
      </c>
      <c r="I581" s="19">
        <f>'Sampling Data'!H581</f>
        <v>0</v>
      </c>
      <c r="J581" s="19">
        <f>'Sampling Data'!I581</f>
        <v>0</v>
      </c>
      <c r="K581" s="19">
        <f>'Sampling Data'!J581</f>
        <v>0</v>
      </c>
      <c r="L581" s="19">
        <f>'Sampling Data'!K581</f>
        <v>0</v>
      </c>
      <c r="M581" s="19">
        <f>'Sampling Data'!L581</f>
        <v>0</v>
      </c>
      <c r="N581" s="19">
        <f>'Sampling Data'!M581</f>
        <v>0</v>
      </c>
      <c r="O581" s="18">
        <f>'Sampling Data'!N581</f>
        <v>0</v>
      </c>
      <c r="P581" s="18">
        <f>'Sampling Data'!O581</f>
        <v>0</v>
      </c>
      <c r="Q581" s="18">
        <f>'Sampling Data'!P581</f>
        <v>23</v>
      </c>
      <c r="R581" s="18">
        <f>'Sampling Data'!AJ581</f>
        <v>0</v>
      </c>
      <c r="S581" s="112"/>
      <c r="T581" s="112"/>
      <c r="U581" s="113"/>
      <c r="V581" s="113"/>
      <c r="W581" s="112"/>
      <c r="X581" s="112"/>
      <c r="Y581" s="112"/>
      <c r="Z581" s="112"/>
      <c r="AA581" s="15"/>
      <c r="AB581" s="15"/>
      <c r="AC581" s="15"/>
      <c r="AD581" s="15"/>
      <c r="AE581" s="114" t="str">
        <f>IF(NOT(ISBLANK(Audit[[#This Row],[Audit Winning Candidate]])), Audit[[#This Row],[Audit Winning Candidate]]-Audit[[#This Row],[Winning Candidate]], "")</f>
        <v/>
      </c>
      <c r="AF581" s="18" t="str">
        <f>IF(NOT(ISBLANK(Audit[[#This Row],[Audit Losing Candidate]])), Audit[[#This Row],[Audit Losing Candidate]]-Audit[[#This Row],[Losing Candidate]], "")</f>
        <v/>
      </c>
      <c r="AG581" s="18" t="str">
        <f>IF(NOT(ISBLANK(Audit[[#This Row],[Audit Candidate 3]])), Audit[[#This Row],[Audit Candidate 3]]-Audit[[#This Row],[Candidate 3]], "")</f>
        <v/>
      </c>
      <c r="AH581" s="18" t="str">
        <f>IF(NOT(ISBLANK(Audit[[#This Row],[Audit Candidate 4]])),Audit[[#This Row],[Audit Candidate 4]]-Audit[[#This Row],[Candidate 4]], "")</f>
        <v/>
      </c>
      <c r="AI581" s="18" t="str">
        <f>IF(NOT(ISBLANK(Audit[[#This Row],[Audit Candidate 5]])), Audit[[#This Row],[Audit Candidate 5]]-Audit[[#This Row],[Candidate 5]], "")</f>
        <v/>
      </c>
      <c r="AJ581" s="18" t="str">
        <f>IF(NOT(ISBLANK(Audit[[#This Row],[Audit Candidate 6]])), Audit[[#This Row],[Audit Candidate 6]]-Audit[[#This Row],[Candidate 6]], "")</f>
        <v/>
      </c>
      <c r="AK581" s="18" t="str">
        <f>IF(NOT(ISBLANK(Audit[[#This Row],[Audit Candidate 7]])), Audit[[#This Row],[Audit Candidate 7]]-Audit[[#This Row],[Candidate 7]], "")</f>
        <v/>
      </c>
      <c r="AL581" s="18" t="str">
        <f>IF(NOT(ISBLANK(Audit[[#This Row],[Audit Candidate 8]])), Audit[[#This Row],[Audit Candidate 8]]-Audit[[#This Row],[Candidate 8]], "")</f>
        <v/>
      </c>
      <c r="AM581" s="18" t="str">
        <f>IF(NOT(ISBLANK(Audit[[#This Row],[Audit Candidate 9]])), Audit[[#This Row],[Audit Candidate 9]]-Audit[[#This Row],[Candidate 9]], "")</f>
        <v/>
      </c>
      <c r="AN581" s="18" t="str">
        <f>IF(NOT(ISBLANK(Audit[[#This Row],[Audit Candidate 10]])), Audit[[#This Row],[Audit Candidate 10]]-Audit[[#This Row],[Candidate 10]], "")</f>
        <v/>
      </c>
      <c r="AO581" s="18" t="str">
        <f>IF(NOT(ISBLANK(Audit[[#This Row],[Audit Candidate 11]])), Audit[[#This Row],[Audit Candidate 11]]-Audit[[#This Row],[Candidate 11]], "")</f>
        <v/>
      </c>
      <c r="AP581" s="18" t="str">
        <f>IF(NOT(ISBLANK(Audit[[#This Row],[Audit Candidate 12]])), Audit[[#This Row],[Audit Candidate 12]]-Audit[[#This Row],[Candidate 12]], "")</f>
        <v/>
      </c>
      <c r="AQ581" s="18">
        <f>SUMIF(Audit[[#This Row],[Difference Winner]:[Difference Candidate 12]], "&gt;0")</f>
        <v>0</v>
      </c>
      <c r="AR581" s="18">
        <f>SUM(Audit[[#This Row],[Difference Winner]:[Difference Candidate 12]])</f>
        <v>0</v>
      </c>
      <c r="AS581" s="18">
        <f>IF(Audit[[#This Row],[Times p Drawn - With Replacement]]&gt;0, IF(Audit[[#This Row],[Canceled Differences]]&lt;0, Audit[[#This Row],[Max Differences]]+ABS(Audit[[#This Row],[Canceled Differences]]), Audit[[#This Row],[Max Differences]]), 0)</f>
        <v>0</v>
      </c>
      <c r="AT581" s="18">
        <f>'Sampling Data'!AB581</f>
        <v>1.0679398184502309E-3</v>
      </c>
      <c r="AU581" s="18">
        <f>IF(
      SUM(Audit[[#This Row],[Audit Losing Candidate]:[Audit Candidate 12]])
      &lt;&gt;0,
      (Audit[[#This Row],[Winning Candidate]]-Audit[[#This Row],[Losing Candidate]]-(Audit[[#This Row],[Audit Winning Candidate]]-Audit[[#This Row],[Audit Losing Candidate]]))/(Audit[[#Totals],[Winning Candidate]]-Audit[[#Totals],[Losing Candidate]]),
      0
)</f>
        <v>0</v>
      </c>
      <c r="AV5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8">
        <f>IF(Audit[[#This Row],[Max Relative Error (ep)]] = 0, 0, Audit[[#This Row],[Max Relative Error (ep)]]/Audit[[#This Row],[Error Bound (up) - Max. possible relative overstatement]])</f>
        <v>0</v>
      </c>
      <c r="BH5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1" s="18">
        <f t="shared" si="9"/>
        <v>1</v>
      </c>
      <c r="BJ581" s="18">
        <f>PRODUCT($BI$5:BI581)</f>
        <v>0.32656797278968008</v>
      </c>
      <c r="BK581" s="20">
        <f>1 - Audit[[#This Row],[K-M P Value]]</f>
        <v>0.67343202721031992</v>
      </c>
      <c r="BL581" s="18" t="str">
        <f>IF(Audit[[#This Row],[K-M P Value]]&gt;1-'General Info'!$B$12,"Continue", "Stop")</f>
        <v>Continue</v>
      </c>
      <c r="BM581" s="23" t="b">
        <f>IF(Audit[[#This Row],[Status - Continue or stop audit]] = "Continue", TRUE, IF(BL580 = "Continue", TRUE, FALSE))</f>
        <v>1</v>
      </c>
      <c r="BN581" s="23"/>
    </row>
    <row r="582" spans="1:66" ht="15" hidden="1" customHeight="1" x14ac:dyDescent="0.35">
      <c r="A582" s="18" t="str">
        <f>'Sampling Data'!AI582</f>
        <v/>
      </c>
      <c r="B582" s="18" t="str">
        <f>'Sampling Data'!A582</f>
        <v>0202 CIN 2-B   (ED)</v>
      </c>
      <c r="C582" s="18">
        <f>'Sampling Data'!B582</f>
        <v>15</v>
      </c>
      <c r="D582" s="18">
        <f>'Sampling Data'!C582</f>
        <v>2</v>
      </c>
      <c r="E582" s="19">
        <f>'Sampling Data'!D582</f>
        <v>0</v>
      </c>
      <c r="F582" s="19">
        <f>'Sampling Data'!E582</f>
        <v>0</v>
      </c>
      <c r="G582" s="19">
        <f>'Sampling Data'!F582</f>
        <v>0</v>
      </c>
      <c r="H582" s="19">
        <f>'Sampling Data'!G582</f>
        <v>0</v>
      </c>
      <c r="I582" s="19">
        <f>'Sampling Data'!H582</f>
        <v>0</v>
      </c>
      <c r="J582" s="19">
        <f>'Sampling Data'!I582</f>
        <v>0</v>
      </c>
      <c r="K582" s="19">
        <f>'Sampling Data'!J582</f>
        <v>0</v>
      </c>
      <c r="L582" s="19">
        <f>'Sampling Data'!K582</f>
        <v>0</v>
      </c>
      <c r="M582" s="19">
        <f>'Sampling Data'!L582</f>
        <v>0</v>
      </c>
      <c r="N582" s="19">
        <f>'Sampling Data'!M582</f>
        <v>0</v>
      </c>
      <c r="O582" s="18">
        <f>'Sampling Data'!N582</f>
        <v>0</v>
      </c>
      <c r="P582" s="18">
        <f>'Sampling Data'!O582</f>
        <v>0</v>
      </c>
      <c r="Q582" s="18">
        <f>'Sampling Data'!P582</f>
        <v>17</v>
      </c>
      <c r="R582" s="18">
        <f>'Sampling Data'!AJ582</f>
        <v>0</v>
      </c>
      <c r="S582" s="112"/>
      <c r="T582" s="112"/>
      <c r="U582" s="113"/>
      <c r="V582" s="113"/>
      <c r="W582" s="112"/>
      <c r="X582" s="112"/>
      <c r="Y582" s="112"/>
      <c r="Z582" s="112"/>
      <c r="AA582" s="15"/>
      <c r="AB582" s="15"/>
      <c r="AC582" s="15"/>
      <c r="AD582" s="15"/>
      <c r="AE582" s="114" t="str">
        <f>IF(NOT(ISBLANK(Audit[[#This Row],[Audit Winning Candidate]])), Audit[[#This Row],[Audit Winning Candidate]]-Audit[[#This Row],[Winning Candidate]], "")</f>
        <v/>
      </c>
      <c r="AF582" s="18" t="str">
        <f>IF(NOT(ISBLANK(Audit[[#This Row],[Audit Losing Candidate]])), Audit[[#This Row],[Audit Losing Candidate]]-Audit[[#This Row],[Losing Candidate]], "")</f>
        <v/>
      </c>
      <c r="AG582" s="18" t="str">
        <f>IF(NOT(ISBLANK(Audit[[#This Row],[Audit Candidate 3]])), Audit[[#This Row],[Audit Candidate 3]]-Audit[[#This Row],[Candidate 3]], "")</f>
        <v/>
      </c>
      <c r="AH582" s="18" t="str">
        <f>IF(NOT(ISBLANK(Audit[[#This Row],[Audit Candidate 4]])),Audit[[#This Row],[Audit Candidate 4]]-Audit[[#This Row],[Candidate 4]], "")</f>
        <v/>
      </c>
      <c r="AI582" s="18" t="str">
        <f>IF(NOT(ISBLANK(Audit[[#This Row],[Audit Candidate 5]])), Audit[[#This Row],[Audit Candidate 5]]-Audit[[#This Row],[Candidate 5]], "")</f>
        <v/>
      </c>
      <c r="AJ582" s="18" t="str">
        <f>IF(NOT(ISBLANK(Audit[[#This Row],[Audit Candidate 6]])), Audit[[#This Row],[Audit Candidate 6]]-Audit[[#This Row],[Candidate 6]], "")</f>
        <v/>
      </c>
      <c r="AK582" s="18" t="str">
        <f>IF(NOT(ISBLANK(Audit[[#This Row],[Audit Candidate 7]])), Audit[[#This Row],[Audit Candidate 7]]-Audit[[#This Row],[Candidate 7]], "")</f>
        <v/>
      </c>
      <c r="AL582" s="18" t="str">
        <f>IF(NOT(ISBLANK(Audit[[#This Row],[Audit Candidate 8]])), Audit[[#This Row],[Audit Candidate 8]]-Audit[[#This Row],[Candidate 8]], "")</f>
        <v/>
      </c>
      <c r="AM582" s="18" t="str">
        <f>IF(NOT(ISBLANK(Audit[[#This Row],[Audit Candidate 9]])), Audit[[#This Row],[Audit Candidate 9]]-Audit[[#This Row],[Candidate 9]], "")</f>
        <v/>
      </c>
      <c r="AN582" s="18" t="str">
        <f>IF(NOT(ISBLANK(Audit[[#This Row],[Audit Candidate 10]])), Audit[[#This Row],[Audit Candidate 10]]-Audit[[#This Row],[Candidate 10]], "")</f>
        <v/>
      </c>
      <c r="AO582" s="18" t="str">
        <f>IF(NOT(ISBLANK(Audit[[#This Row],[Audit Candidate 11]])), Audit[[#This Row],[Audit Candidate 11]]-Audit[[#This Row],[Candidate 11]], "")</f>
        <v/>
      </c>
      <c r="AP582" s="18" t="str">
        <f>IF(NOT(ISBLANK(Audit[[#This Row],[Audit Candidate 12]])), Audit[[#This Row],[Audit Candidate 12]]-Audit[[#This Row],[Candidate 12]], "")</f>
        <v/>
      </c>
      <c r="AQ582" s="18">
        <f>SUMIF(Audit[[#This Row],[Difference Winner]:[Difference Candidate 12]], "&gt;0")</f>
        <v>0</v>
      </c>
      <c r="AR582" s="18">
        <f>SUM(Audit[[#This Row],[Difference Winner]:[Difference Candidate 12]])</f>
        <v>0</v>
      </c>
      <c r="AS582" s="18">
        <f>IF(Audit[[#This Row],[Times p Drawn - With Replacement]]&gt;0, IF(Audit[[#This Row],[Canceled Differences]]&lt;0, Audit[[#This Row],[Max Differences]]+ABS(Audit[[#This Row],[Canceled Differences]]), Audit[[#This Row],[Max Differences]]), 0)</f>
        <v>0</v>
      </c>
      <c r="AT582" s="18">
        <f>'Sampling Data'!AB582</f>
        <v>9.4229983980902718E-4</v>
      </c>
      <c r="AU582" s="18">
        <f>IF(
      SUM(Audit[[#This Row],[Audit Losing Candidate]:[Audit Candidate 12]])
      &lt;&gt;0,
      (Audit[[#This Row],[Winning Candidate]]-Audit[[#This Row],[Losing Candidate]]-(Audit[[#This Row],[Audit Winning Candidate]]-Audit[[#This Row],[Audit Losing Candidate]]))/(Audit[[#Totals],[Winning Candidate]]-Audit[[#Totals],[Losing Candidate]]),
      0
)</f>
        <v>0</v>
      </c>
      <c r="AV5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8">
        <f>IF(Audit[[#This Row],[Max Relative Error (ep)]] = 0, 0, Audit[[#This Row],[Max Relative Error (ep)]]/Audit[[#This Row],[Error Bound (up) - Max. possible relative overstatement]])</f>
        <v>0</v>
      </c>
      <c r="BH5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2" s="18">
        <f t="shared" si="9"/>
        <v>1</v>
      </c>
      <c r="BJ582" s="18">
        <f>PRODUCT($BI$5:BI582)</f>
        <v>0.32656797278968008</v>
      </c>
      <c r="BK582" s="20">
        <f>1 - Audit[[#This Row],[K-M P Value]]</f>
        <v>0.67343202721031992</v>
      </c>
      <c r="BL582" s="18" t="str">
        <f>IF(Audit[[#This Row],[K-M P Value]]&gt;1-'General Info'!$B$12,"Continue", "Stop")</f>
        <v>Continue</v>
      </c>
      <c r="BM582" s="23" t="b">
        <f>IF(Audit[[#This Row],[Status - Continue or stop audit]] = "Continue", TRUE, IF(BL581 = "Continue", TRUE, FALSE))</f>
        <v>1</v>
      </c>
      <c r="BN582" s="23"/>
    </row>
    <row r="583" spans="1:66" ht="15" hidden="1" customHeight="1" x14ac:dyDescent="0.35">
      <c r="A583" s="18" t="str">
        <f>'Sampling Data'!AI583</f>
        <v/>
      </c>
      <c r="B583" s="18" t="str">
        <f>'Sampling Data'!A583</f>
        <v>0203 CIN 2-C   (ED)</v>
      </c>
      <c r="C583" s="18">
        <f>'Sampling Data'!B583</f>
        <v>13</v>
      </c>
      <c r="D583" s="18">
        <f>'Sampling Data'!C583</f>
        <v>4</v>
      </c>
      <c r="E583" s="19">
        <f>'Sampling Data'!D583</f>
        <v>0</v>
      </c>
      <c r="F583" s="19">
        <f>'Sampling Data'!E583</f>
        <v>0</v>
      </c>
      <c r="G583" s="19">
        <f>'Sampling Data'!F583</f>
        <v>0</v>
      </c>
      <c r="H583" s="19">
        <f>'Sampling Data'!G583</f>
        <v>0</v>
      </c>
      <c r="I583" s="19">
        <f>'Sampling Data'!H583</f>
        <v>0</v>
      </c>
      <c r="J583" s="19">
        <f>'Sampling Data'!I583</f>
        <v>0</v>
      </c>
      <c r="K583" s="19">
        <f>'Sampling Data'!J583</f>
        <v>0</v>
      </c>
      <c r="L583" s="19">
        <f>'Sampling Data'!K583</f>
        <v>0</v>
      </c>
      <c r="M583" s="19">
        <f>'Sampling Data'!L583</f>
        <v>0</v>
      </c>
      <c r="N583" s="19">
        <f>'Sampling Data'!M583</f>
        <v>0</v>
      </c>
      <c r="O583" s="18">
        <f>'Sampling Data'!N583</f>
        <v>0</v>
      </c>
      <c r="P583" s="18">
        <f>'Sampling Data'!O583</f>
        <v>0</v>
      </c>
      <c r="Q583" s="18">
        <f>'Sampling Data'!P583</f>
        <v>17</v>
      </c>
      <c r="R583" s="18">
        <f>'Sampling Data'!AJ583</f>
        <v>0</v>
      </c>
      <c r="S583" s="112"/>
      <c r="T583" s="112"/>
      <c r="U583" s="113"/>
      <c r="V583" s="113"/>
      <c r="W583" s="112"/>
      <c r="X583" s="112"/>
      <c r="Y583" s="112"/>
      <c r="Z583" s="112"/>
      <c r="AA583" s="15"/>
      <c r="AB583" s="15"/>
      <c r="AC583" s="15"/>
      <c r="AD583" s="15"/>
      <c r="AE583" s="114" t="str">
        <f>IF(NOT(ISBLANK(Audit[[#This Row],[Audit Winning Candidate]])), Audit[[#This Row],[Audit Winning Candidate]]-Audit[[#This Row],[Winning Candidate]], "")</f>
        <v/>
      </c>
      <c r="AF583" s="18" t="str">
        <f>IF(NOT(ISBLANK(Audit[[#This Row],[Audit Losing Candidate]])), Audit[[#This Row],[Audit Losing Candidate]]-Audit[[#This Row],[Losing Candidate]], "")</f>
        <v/>
      </c>
      <c r="AG583" s="18" t="str">
        <f>IF(NOT(ISBLANK(Audit[[#This Row],[Audit Candidate 3]])), Audit[[#This Row],[Audit Candidate 3]]-Audit[[#This Row],[Candidate 3]], "")</f>
        <v/>
      </c>
      <c r="AH583" s="18" t="str">
        <f>IF(NOT(ISBLANK(Audit[[#This Row],[Audit Candidate 4]])),Audit[[#This Row],[Audit Candidate 4]]-Audit[[#This Row],[Candidate 4]], "")</f>
        <v/>
      </c>
      <c r="AI583" s="18" t="str">
        <f>IF(NOT(ISBLANK(Audit[[#This Row],[Audit Candidate 5]])), Audit[[#This Row],[Audit Candidate 5]]-Audit[[#This Row],[Candidate 5]], "")</f>
        <v/>
      </c>
      <c r="AJ583" s="18" t="str">
        <f>IF(NOT(ISBLANK(Audit[[#This Row],[Audit Candidate 6]])), Audit[[#This Row],[Audit Candidate 6]]-Audit[[#This Row],[Candidate 6]], "")</f>
        <v/>
      </c>
      <c r="AK583" s="18" t="str">
        <f>IF(NOT(ISBLANK(Audit[[#This Row],[Audit Candidate 7]])), Audit[[#This Row],[Audit Candidate 7]]-Audit[[#This Row],[Candidate 7]], "")</f>
        <v/>
      </c>
      <c r="AL583" s="18" t="str">
        <f>IF(NOT(ISBLANK(Audit[[#This Row],[Audit Candidate 8]])), Audit[[#This Row],[Audit Candidate 8]]-Audit[[#This Row],[Candidate 8]], "")</f>
        <v/>
      </c>
      <c r="AM583" s="18" t="str">
        <f>IF(NOT(ISBLANK(Audit[[#This Row],[Audit Candidate 9]])), Audit[[#This Row],[Audit Candidate 9]]-Audit[[#This Row],[Candidate 9]], "")</f>
        <v/>
      </c>
      <c r="AN583" s="18" t="str">
        <f>IF(NOT(ISBLANK(Audit[[#This Row],[Audit Candidate 10]])), Audit[[#This Row],[Audit Candidate 10]]-Audit[[#This Row],[Candidate 10]], "")</f>
        <v/>
      </c>
      <c r="AO583" s="18" t="str">
        <f>IF(NOT(ISBLANK(Audit[[#This Row],[Audit Candidate 11]])), Audit[[#This Row],[Audit Candidate 11]]-Audit[[#This Row],[Candidate 11]], "")</f>
        <v/>
      </c>
      <c r="AP583" s="18" t="str">
        <f>IF(NOT(ISBLANK(Audit[[#This Row],[Audit Candidate 12]])), Audit[[#This Row],[Audit Candidate 12]]-Audit[[#This Row],[Candidate 12]], "")</f>
        <v/>
      </c>
      <c r="AQ583" s="18">
        <f>SUMIF(Audit[[#This Row],[Difference Winner]:[Difference Candidate 12]], "&gt;0")</f>
        <v>0</v>
      </c>
      <c r="AR583" s="18">
        <f>SUM(Audit[[#This Row],[Difference Winner]:[Difference Candidate 12]])</f>
        <v>0</v>
      </c>
      <c r="AS583" s="18">
        <f>IF(Audit[[#This Row],[Times p Drawn - With Replacement]]&gt;0, IF(Audit[[#This Row],[Canceled Differences]]&lt;0, Audit[[#This Row],[Max Differences]]+ABS(Audit[[#This Row],[Canceled Differences]]), Audit[[#This Row],[Max Differences]]), 0)</f>
        <v>0</v>
      </c>
      <c r="AT583" s="18">
        <f>'Sampling Data'!AB583</f>
        <v>8.1665986116782364E-4</v>
      </c>
      <c r="AU583" s="18">
        <f>IF(
      SUM(Audit[[#This Row],[Audit Losing Candidate]:[Audit Candidate 12]])
      &lt;&gt;0,
      (Audit[[#This Row],[Winning Candidate]]-Audit[[#This Row],[Losing Candidate]]-(Audit[[#This Row],[Audit Winning Candidate]]-Audit[[#This Row],[Audit Losing Candidate]]))/(Audit[[#Totals],[Winning Candidate]]-Audit[[#Totals],[Losing Candidate]]),
      0
)</f>
        <v>0</v>
      </c>
      <c r="AV5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8">
        <f>IF(Audit[[#This Row],[Max Relative Error (ep)]] = 0, 0, Audit[[#This Row],[Max Relative Error (ep)]]/Audit[[#This Row],[Error Bound (up) - Max. possible relative overstatement]])</f>
        <v>0</v>
      </c>
      <c r="BH5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3" s="18">
        <f t="shared" si="9"/>
        <v>1</v>
      </c>
      <c r="BJ583" s="18">
        <f>PRODUCT($BI$5:BI583)</f>
        <v>0.32656797278968008</v>
      </c>
      <c r="BK583" s="20">
        <f>1 - Audit[[#This Row],[K-M P Value]]</f>
        <v>0.67343202721031992</v>
      </c>
      <c r="BL583" s="18" t="str">
        <f>IF(Audit[[#This Row],[K-M P Value]]&gt;1-'General Info'!$B$12,"Continue", "Stop")</f>
        <v>Continue</v>
      </c>
      <c r="BM583" s="23" t="b">
        <f>IF(Audit[[#This Row],[Status - Continue or stop audit]] = "Continue", TRUE, IF(BL582 = "Continue", TRUE, FALSE))</f>
        <v>1</v>
      </c>
      <c r="BN583" s="23"/>
    </row>
    <row r="584" spans="1:66" ht="15" hidden="1" customHeight="1" x14ac:dyDescent="0.35">
      <c r="A584" s="18" t="str">
        <f>'Sampling Data'!AI584</f>
        <v/>
      </c>
      <c r="B584" s="18" t="str">
        <f>'Sampling Data'!A584</f>
        <v>0204 CIN 2-D   (ED)</v>
      </c>
      <c r="C584" s="18">
        <f>'Sampling Data'!B584</f>
        <v>39</v>
      </c>
      <c r="D584" s="18">
        <f>'Sampling Data'!C584</f>
        <v>4</v>
      </c>
      <c r="E584" s="19">
        <f>'Sampling Data'!D584</f>
        <v>0</v>
      </c>
      <c r="F584" s="19">
        <f>'Sampling Data'!E584</f>
        <v>0</v>
      </c>
      <c r="G584" s="19">
        <f>'Sampling Data'!F584</f>
        <v>0</v>
      </c>
      <c r="H584" s="19">
        <f>'Sampling Data'!G584</f>
        <v>0</v>
      </c>
      <c r="I584" s="19">
        <f>'Sampling Data'!H584</f>
        <v>0</v>
      </c>
      <c r="J584" s="19">
        <f>'Sampling Data'!I584</f>
        <v>0</v>
      </c>
      <c r="K584" s="19">
        <f>'Sampling Data'!J584</f>
        <v>0</v>
      </c>
      <c r="L584" s="19">
        <f>'Sampling Data'!K584</f>
        <v>0</v>
      </c>
      <c r="M584" s="19">
        <f>'Sampling Data'!L584</f>
        <v>0</v>
      </c>
      <c r="N584" s="19">
        <f>'Sampling Data'!M584</f>
        <v>0</v>
      </c>
      <c r="O584" s="18">
        <f>'Sampling Data'!N584</f>
        <v>0</v>
      </c>
      <c r="P584" s="18">
        <f>'Sampling Data'!O584</f>
        <v>0</v>
      </c>
      <c r="Q584" s="18">
        <f>'Sampling Data'!P584</f>
        <v>43</v>
      </c>
      <c r="R584" s="18">
        <f>'Sampling Data'!AJ584</f>
        <v>0</v>
      </c>
      <c r="S584" s="112"/>
      <c r="T584" s="112"/>
      <c r="U584" s="113"/>
      <c r="V584" s="113"/>
      <c r="W584" s="112"/>
      <c r="X584" s="112"/>
      <c r="Y584" s="112"/>
      <c r="Z584" s="112"/>
      <c r="AA584" s="15"/>
      <c r="AB584" s="15"/>
      <c r="AC584" s="15"/>
      <c r="AD584" s="15"/>
      <c r="AE584" s="114" t="str">
        <f>IF(NOT(ISBLANK(Audit[[#This Row],[Audit Winning Candidate]])), Audit[[#This Row],[Audit Winning Candidate]]-Audit[[#This Row],[Winning Candidate]], "")</f>
        <v/>
      </c>
      <c r="AF584" s="18" t="str">
        <f>IF(NOT(ISBLANK(Audit[[#This Row],[Audit Losing Candidate]])), Audit[[#This Row],[Audit Losing Candidate]]-Audit[[#This Row],[Losing Candidate]], "")</f>
        <v/>
      </c>
      <c r="AG584" s="18" t="str">
        <f>IF(NOT(ISBLANK(Audit[[#This Row],[Audit Candidate 3]])), Audit[[#This Row],[Audit Candidate 3]]-Audit[[#This Row],[Candidate 3]], "")</f>
        <v/>
      </c>
      <c r="AH584" s="18" t="str">
        <f>IF(NOT(ISBLANK(Audit[[#This Row],[Audit Candidate 4]])),Audit[[#This Row],[Audit Candidate 4]]-Audit[[#This Row],[Candidate 4]], "")</f>
        <v/>
      </c>
      <c r="AI584" s="18" t="str">
        <f>IF(NOT(ISBLANK(Audit[[#This Row],[Audit Candidate 5]])), Audit[[#This Row],[Audit Candidate 5]]-Audit[[#This Row],[Candidate 5]], "")</f>
        <v/>
      </c>
      <c r="AJ584" s="18" t="str">
        <f>IF(NOT(ISBLANK(Audit[[#This Row],[Audit Candidate 6]])), Audit[[#This Row],[Audit Candidate 6]]-Audit[[#This Row],[Candidate 6]], "")</f>
        <v/>
      </c>
      <c r="AK584" s="18" t="str">
        <f>IF(NOT(ISBLANK(Audit[[#This Row],[Audit Candidate 7]])), Audit[[#This Row],[Audit Candidate 7]]-Audit[[#This Row],[Candidate 7]], "")</f>
        <v/>
      </c>
      <c r="AL584" s="18" t="str">
        <f>IF(NOT(ISBLANK(Audit[[#This Row],[Audit Candidate 8]])), Audit[[#This Row],[Audit Candidate 8]]-Audit[[#This Row],[Candidate 8]], "")</f>
        <v/>
      </c>
      <c r="AM584" s="18" t="str">
        <f>IF(NOT(ISBLANK(Audit[[#This Row],[Audit Candidate 9]])), Audit[[#This Row],[Audit Candidate 9]]-Audit[[#This Row],[Candidate 9]], "")</f>
        <v/>
      </c>
      <c r="AN584" s="18" t="str">
        <f>IF(NOT(ISBLANK(Audit[[#This Row],[Audit Candidate 10]])), Audit[[#This Row],[Audit Candidate 10]]-Audit[[#This Row],[Candidate 10]], "")</f>
        <v/>
      </c>
      <c r="AO584" s="18" t="str">
        <f>IF(NOT(ISBLANK(Audit[[#This Row],[Audit Candidate 11]])), Audit[[#This Row],[Audit Candidate 11]]-Audit[[#This Row],[Candidate 11]], "")</f>
        <v/>
      </c>
      <c r="AP584" s="18" t="str">
        <f>IF(NOT(ISBLANK(Audit[[#This Row],[Audit Candidate 12]])), Audit[[#This Row],[Audit Candidate 12]]-Audit[[#This Row],[Candidate 12]], "")</f>
        <v/>
      </c>
      <c r="AQ584" s="18">
        <f>SUMIF(Audit[[#This Row],[Difference Winner]:[Difference Candidate 12]], "&gt;0")</f>
        <v>0</v>
      </c>
      <c r="AR584" s="18">
        <f>SUM(Audit[[#This Row],[Difference Winner]:[Difference Candidate 12]])</f>
        <v>0</v>
      </c>
      <c r="AS584" s="18">
        <f>IF(Audit[[#This Row],[Times p Drawn - With Replacement]]&gt;0, IF(Audit[[#This Row],[Canceled Differences]]&lt;0, Audit[[#This Row],[Max Differences]]+ABS(Audit[[#This Row],[Canceled Differences]]), Audit[[#This Row],[Max Differences]]), 0)</f>
        <v>0</v>
      </c>
      <c r="AT584" s="18">
        <f>'Sampling Data'!AB584</f>
        <v>2.4499795835034709E-3</v>
      </c>
      <c r="AU584" s="18">
        <f>IF(
      SUM(Audit[[#This Row],[Audit Losing Candidate]:[Audit Candidate 12]])
      &lt;&gt;0,
      (Audit[[#This Row],[Winning Candidate]]-Audit[[#This Row],[Losing Candidate]]-(Audit[[#This Row],[Audit Winning Candidate]]-Audit[[#This Row],[Audit Losing Candidate]]))/(Audit[[#Totals],[Winning Candidate]]-Audit[[#Totals],[Losing Candidate]]),
      0
)</f>
        <v>0</v>
      </c>
      <c r="AV5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8">
        <f>IF(Audit[[#This Row],[Max Relative Error (ep)]] = 0, 0, Audit[[#This Row],[Max Relative Error (ep)]]/Audit[[#This Row],[Error Bound (up) - Max. possible relative overstatement]])</f>
        <v>0</v>
      </c>
      <c r="BH5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4" s="18">
        <f t="shared" si="9"/>
        <v>1</v>
      </c>
      <c r="BJ584" s="18">
        <f>PRODUCT($BI$5:BI584)</f>
        <v>0.32656797278968008</v>
      </c>
      <c r="BK584" s="20">
        <f>1 - Audit[[#This Row],[K-M P Value]]</f>
        <v>0.67343202721031992</v>
      </c>
      <c r="BL584" s="18" t="str">
        <f>IF(Audit[[#This Row],[K-M P Value]]&gt;1-'General Info'!$B$12,"Continue", "Stop")</f>
        <v>Continue</v>
      </c>
      <c r="BM584" s="23" t="b">
        <f>IF(Audit[[#This Row],[Status - Continue or stop audit]] = "Continue", TRUE, IF(BL583 = "Continue", TRUE, FALSE))</f>
        <v>1</v>
      </c>
      <c r="BN584" s="23"/>
    </row>
    <row r="585" spans="1:66" ht="15" hidden="1" customHeight="1" x14ac:dyDescent="0.35">
      <c r="A585" s="18" t="str">
        <f>'Sampling Data'!AI585</f>
        <v/>
      </c>
      <c r="B585" s="18" t="str">
        <f>'Sampling Data'!A585</f>
        <v>0205 CIN 2-E   (ED)</v>
      </c>
      <c r="C585" s="18">
        <f>'Sampling Data'!B585</f>
        <v>29</v>
      </c>
      <c r="D585" s="18">
        <f>'Sampling Data'!C585</f>
        <v>4</v>
      </c>
      <c r="E585" s="19">
        <f>'Sampling Data'!D585</f>
        <v>0</v>
      </c>
      <c r="F585" s="19">
        <f>'Sampling Data'!E585</f>
        <v>0</v>
      </c>
      <c r="G585" s="19">
        <f>'Sampling Data'!F585</f>
        <v>0</v>
      </c>
      <c r="H585" s="19">
        <f>'Sampling Data'!G585</f>
        <v>0</v>
      </c>
      <c r="I585" s="19">
        <f>'Sampling Data'!H585</f>
        <v>0</v>
      </c>
      <c r="J585" s="19">
        <f>'Sampling Data'!I585</f>
        <v>0</v>
      </c>
      <c r="K585" s="19">
        <f>'Sampling Data'!J585</f>
        <v>0</v>
      </c>
      <c r="L585" s="19">
        <f>'Sampling Data'!K585</f>
        <v>0</v>
      </c>
      <c r="M585" s="19">
        <f>'Sampling Data'!L585</f>
        <v>0</v>
      </c>
      <c r="N585" s="19">
        <f>'Sampling Data'!M585</f>
        <v>0</v>
      </c>
      <c r="O585" s="18">
        <f>'Sampling Data'!N585</f>
        <v>0</v>
      </c>
      <c r="P585" s="18">
        <f>'Sampling Data'!O585</f>
        <v>0</v>
      </c>
      <c r="Q585" s="18">
        <f>'Sampling Data'!P585</f>
        <v>33</v>
      </c>
      <c r="R585" s="18">
        <f>'Sampling Data'!AJ585</f>
        <v>0</v>
      </c>
      <c r="S585" s="112"/>
      <c r="T585" s="112"/>
      <c r="U585" s="113"/>
      <c r="V585" s="113"/>
      <c r="W585" s="112"/>
      <c r="X585" s="112"/>
      <c r="Y585" s="112"/>
      <c r="Z585" s="112"/>
      <c r="AA585" s="15"/>
      <c r="AB585" s="15"/>
      <c r="AC585" s="15"/>
      <c r="AD585" s="15"/>
      <c r="AE585" s="114" t="str">
        <f>IF(NOT(ISBLANK(Audit[[#This Row],[Audit Winning Candidate]])), Audit[[#This Row],[Audit Winning Candidate]]-Audit[[#This Row],[Winning Candidate]], "")</f>
        <v/>
      </c>
      <c r="AF585" s="18" t="str">
        <f>IF(NOT(ISBLANK(Audit[[#This Row],[Audit Losing Candidate]])), Audit[[#This Row],[Audit Losing Candidate]]-Audit[[#This Row],[Losing Candidate]], "")</f>
        <v/>
      </c>
      <c r="AG585" s="18" t="str">
        <f>IF(NOT(ISBLANK(Audit[[#This Row],[Audit Candidate 3]])), Audit[[#This Row],[Audit Candidate 3]]-Audit[[#This Row],[Candidate 3]], "")</f>
        <v/>
      </c>
      <c r="AH585" s="18" t="str">
        <f>IF(NOT(ISBLANK(Audit[[#This Row],[Audit Candidate 4]])),Audit[[#This Row],[Audit Candidate 4]]-Audit[[#This Row],[Candidate 4]], "")</f>
        <v/>
      </c>
      <c r="AI585" s="18" t="str">
        <f>IF(NOT(ISBLANK(Audit[[#This Row],[Audit Candidate 5]])), Audit[[#This Row],[Audit Candidate 5]]-Audit[[#This Row],[Candidate 5]], "")</f>
        <v/>
      </c>
      <c r="AJ585" s="18" t="str">
        <f>IF(NOT(ISBLANK(Audit[[#This Row],[Audit Candidate 6]])), Audit[[#This Row],[Audit Candidate 6]]-Audit[[#This Row],[Candidate 6]], "")</f>
        <v/>
      </c>
      <c r="AK585" s="18" t="str">
        <f>IF(NOT(ISBLANK(Audit[[#This Row],[Audit Candidate 7]])), Audit[[#This Row],[Audit Candidate 7]]-Audit[[#This Row],[Candidate 7]], "")</f>
        <v/>
      </c>
      <c r="AL585" s="18" t="str">
        <f>IF(NOT(ISBLANK(Audit[[#This Row],[Audit Candidate 8]])), Audit[[#This Row],[Audit Candidate 8]]-Audit[[#This Row],[Candidate 8]], "")</f>
        <v/>
      </c>
      <c r="AM585" s="18" t="str">
        <f>IF(NOT(ISBLANK(Audit[[#This Row],[Audit Candidate 9]])), Audit[[#This Row],[Audit Candidate 9]]-Audit[[#This Row],[Candidate 9]], "")</f>
        <v/>
      </c>
      <c r="AN585" s="18" t="str">
        <f>IF(NOT(ISBLANK(Audit[[#This Row],[Audit Candidate 10]])), Audit[[#This Row],[Audit Candidate 10]]-Audit[[#This Row],[Candidate 10]], "")</f>
        <v/>
      </c>
      <c r="AO585" s="18" t="str">
        <f>IF(NOT(ISBLANK(Audit[[#This Row],[Audit Candidate 11]])), Audit[[#This Row],[Audit Candidate 11]]-Audit[[#This Row],[Candidate 11]], "")</f>
        <v/>
      </c>
      <c r="AP585" s="18" t="str">
        <f>IF(NOT(ISBLANK(Audit[[#This Row],[Audit Candidate 12]])), Audit[[#This Row],[Audit Candidate 12]]-Audit[[#This Row],[Candidate 12]], "")</f>
        <v/>
      </c>
      <c r="AQ585" s="18">
        <f>SUMIF(Audit[[#This Row],[Difference Winner]:[Difference Candidate 12]], "&gt;0")</f>
        <v>0</v>
      </c>
      <c r="AR585" s="18">
        <f>SUM(Audit[[#This Row],[Difference Winner]:[Difference Candidate 12]])</f>
        <v>0</v>
      </c>
      <c r="AS585" s="18">
        <f>IF(Audit[[#This Row],[Times p Drawn - With Replacement]]&gt;0, IF(Audit[[#This Row],[Canceled Differences]]&lt;0, Audit[[#This Row],[Max Differences]]+ABS(Audit[[#This Row],[Canceled Differences]]), Audit[[#This Row],[Max Differences]]), 0)</f>
        <v>0</v>
      </c>
      <c r="AT585" s="18">
        <f>'Sampling Data'!AB585</f>
        <v>1.8217796902974526E-3</v>
      </c>
      <c r="AU585" s="18">
        <f>IF(
      SUM(Audit[[#This Row],[Audit Losing Candidate]:[Audit Candidate 12]])
      &lt;&gt;0,
      (Audit[[#This Row],[Winning Candidate]]-Audit[[#This Row],[Losing Candidate]]-(Audit[[#This Row],[Audit Winning Candidate]]-Audit[[#This Row],[Audit Losing Candidate]]))/(Audit[[#Totals],[Winning Candidate]]-Audit[[#Totals],[Losing Candidate]]),
      0
)</f>
        <v>0</v>
      </c>
      <c r="AV5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8">
        <f>IF(Audit[[#This Row],[Max Relative Error (ep)]] = 0, 0, Audit[[#This Row],[Max Relative Error (ep)]]/Audit[[#This Row],[Error Bound (up) - Max. possible relative overstatement]])</f>
        <v>0</v>
      </c>
      <c r="BH5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5" s="18">
        <f t="shared" si="9"/>
        <v>1</v>
      </c>
      <c r="BJ585" s="18">
        <f>PRODUCT($BI$5:BI585)</f>
        <v>0.32656797278968008</v>
      </c>
      <c r="BK585" s="20">
        <f>1 - Audit[[#This Row],[K-M P Value]]</f>
        <v>0.67343202721031992</v>
      </c>
      <c r="BL585" s="18" t="str">
        <f>IF(Audit[[#This Row],[K-M P Value]]&gt;1-'General Info'!$B$12,"Continue", "Stop")</f>
        <v>Continue</v>
      </c>
      <c r="BM585" s="23" t="b">
        <f>IF(Audit[[#This Row],[Status - Continue or stop audit]] = "Continue", TRUE, IF(BL584 = "Continue", TRUE, FALSE))</f>
        <v>1</v>
      </c>
      <c r="BN585" s="23"/>
    </row>
    <row r="586" spans="1:66" ht="15" hidden="1" customHeight="1" x14ac:dyDescent="0.35">
      <c r="A586" s="18" t="str">
        <f>'Sampling Data'!AI586</f>
        <v/>
      </c>
      <c r="B586" s="18" t="str">
        <f>'Sampling Data'!A586</f>
        <v>0206 CIN 2-F   (ED)</v>
      </c>
      <c r="C586" s="18">
        <f>'Sampling Data'!B586</f>
        <v>18</v>
      </c>
      <c r="D586" s="18">
        <f>'Sampling Data'!C586</f>
        <v>2</v>
      </c>
      <c r="E586" s="19">
        <f>'Sampling Data'!D586</f>
        <v>0</v>
      </c>
      <c r="F586" s="19">
        <f>'Sampling Data'!E586</f>
        <v>0</v>
      </c>
      <c r="G586" s="19">
        <f>'Sampling Data'!F586</f>
        <v>0</v>
      </c>
      <c r="H586" s="19">
        <f>'Sampling Data'!G586</f>
        <v>0</v>
      </c>
      <c r="I586" s="19">
        <f>'Sampling Data'!H586</f>
        <v>0</v>
      </c>
      <c r="J586" s="19">
        <f>'Sampling Data'!I586</f>
        <v>0</v>
      </c>
      <c r="K586" s="19">
        <f>'Sampling Data'!J586</f>
        <v>0</v>
      </c>
      <c r="L586" s="19">
        <f>'Sampling Data'!K586</f>
        <v>0</v>
      </c>
      <c r="M586" s="19">
        <f>'Sampling Data'!L586</f>
        <v>0</v>
      </c>
      <c r="N586" s="19">
        <f>'Sampling Data'!M586</f>
        <v>0</v>
      </c>
      <c r="O586" s="18">
        <f>'Sampling Data'!N586</f>
        <v>0</v>
      </c>
      <c r="P586" s="18">
        <f>'Sampling Data'!O586</f>
        <v>0</v>
      </c>
      <c r="Q586" s="18">
        <f>'Sampling Data'!P586</f>
        <v>20</v>
      </c>
      <c r="R586" s="18">
        <f>'Sampling Data'!AJ586</f>
        <v>0</v>
      </c>
      <c r="S586" s="112"/>
      <c r="T586" s="112"/>
      <c r="U586" s="113"/>
      <c r="V586" s="113"/>
      <c r="W586" s="112"/>
      <c r="X586" s="112"/>
      <c r="Y586" s="112"/>
      <c r="Z586" s="112"/>
      <c r="AA586" s="15"/>
      <c r="AB586" s="15"/>
      <c r="AC586" s="15"/>
      <c r="AD586" s="15"/>
      <c r="AE586" s="114" t="str">
        <f>IF(NOT(ISBLANK(Audit[[#This Row],[Audit Winning Candidate]])), Audit[[#This Row],[Audit Winning Candidate]]-Audit[[#This Row],[Winning Candidate]], "")</f>
        <v/>
      </c>
      <c r="AF586" s="18" t="str">
        <f>IF(NOT(ISBLANK(Audit[[#This Row],[Audit Losing Candidate]])), Audit[[#This Row],[Audit Losing Candidate]]-Audit[[#This Row],[Losing Candidate]], "")</f>
        <v/>
      </c>
      <c r="AG586" s="18" t="str">
        <f>IF(NOT(ISBLANK(Audit[[#This Row],[Audit Candidate 3]])), Audit[[#This Row],[Audit Candidate 3]]-Audit[[#This Row],[Candidate 3]], "")</f>
        <v/>
      </c>
      <c r="AH586" s="18" t="str">
        <f>IF(NOT(ISBLANK(Audit[[#This Row],[Audit Candidate 4]])),Audit[[#This Row],[Audit Candidate 4]]-Audit[[#This Row],[Candidate 4]], "")</f>
        <v/>
      </c>
      <c r="AI586" s="18" t="str">
        <f>IF(NOT(ISBLANK(Audit[[#This Row],[Audit Candidate 5]])), Audit[[#This Row],[Audit Candidate 5]]-Audit[[#This Row],[Candidate 5]], "")</f>
        <v/>
      </c>
      <c r="AJ586" s="18" t="str">
        <f>IF(NOT(ISBLANK(Audit[[#This Row],[Audit Candidate 6]])), Audit[[#This Row],[Audit Candidate 6]]-Audit[[#This Row],[Candidate 6]], "")</f>
        <v/>
      </c>
      <c r="AK586" s="18" t="str">
        <f>IF(NOT(ISBLANK(Audit[[#This Row],[Audit Candidate 7]])), Audit[[#This Row],[Audit Candidate 7]]-Audit[[#This Row],[Candidate 7]], "")</f>
        <v/>
      </c>
      <c r="AL586" s="18" t="str">
        <f>IF(NOT(ISBLANK(Audit[[#This Row],[Audit Candidate 8]])), Audit[[#This Row],[Audit Candidate 8]]-Audit[[#This Row],[Candidate 8]], "")</f>
        <v/>
      </c>
      <c r="AM586" s="18" t="str">
        <f>IF(NOT(ISBLANK(Audit[[#This Row],[Audit Candidate 9]])), Audit[[#This Row],[Audit Candidate 9]]-Audit[[#This Row],[Candidate 9]], "")</f>
        <v/>
      </c>
      <c r="AN586" s="18" t="str">
        <f>IF(NOT(ISBLANK(Audit[[#This Row],[Audit Candidate 10]])), Audit[[#This Row],[Audit Candidate 10]]-Audit[[#This Row],[Candidate 10]], "")</f>
        <v/>
      </c>
      <c r="AO586" s="18" t="str">
        <f>IF(NOT(ISBLANK(Audit[[#This Row],[Audit Candidate 11]])), Audit[[#This Row],[Audit Candidate 11]]-Audit[[#This Row],[Candidate 11]], "")</f>
        <v/>
      </c>
      <c r="AP586" s="18" t="str">
        <f>IF(NOT(ISBLANK(Audit[[#This Row],[Audit Candidate 12]])), Audit[[#This Row],[Audit Candidate 12]]-Audit[[#This Row],[Candidate 12]], "")</f>
        <v/>
      </c>
      <c r="AQ586" s="18">
        <f>SUMIF(Audit[[#This Row],[Difference Winner]:[Difference Candidate 12]], "&gt;0")</f>
        <v>0</v>
      </c>
      <c r="AR586" s="18">
        <f>SUM(Audit[[#This Row],[Difference Winner]:[Difference Candidate 12]])</f>
        <v>0</v>
      </c>
      <c r="AS586" s="18">
        <f>IF(Audit[[#This Row],[Times p Drawn - With Replacement]]&gt;0, IF(Audit[[#This Row],[Canceled Differences]]&lt;0, Audit[[#This Row],[Max Differences]]+ABS(Audit[[#This Row],[Canceled Differences]]), Audit[[#This Row],[Max Differences]]), 0)</f>
        <v>0</v>
      </c>
      <c r="AT586" s="18">
        <f>'Sampling Data'!AB586</f>
        <v>1.1307598077708327E-3</v>
      </c>
      <c r="AU586" s="18">
        <f>IF(
      SUM(Audit[[#This Row],[Audit Losing Candidate]:[Audit Candidate 12]])
      &lt;&gt;0,
      (Audit[[#This Row],[Winning Candidate]]-Audit[[#This Row],[Losing Candidate]]-(Audit[[#This Row],[Audit Winning Candidate]]-Audit[[#This Row],[Audit Losing Candidate]]))/(Audit[[#Totals],[Winning Candidate]]-Audit[[#Totals],[Losing Candidate]]),
      0
)</f>
        <v>0</v>
      </c>
      <c r="AV5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8">
        <f>IF(Audit[[#This Row],[Max Relative Error (ep)]] = 0, 0, Audit[[#This Row],[Max Relative Error (ep)]]/Audit[[#This Row],[Error Bound (up) - Max. possible relative overstatement]])</f>
        <v>0</v>
      </c>
      <c r="BH5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6" s="18">
        <f t="shared" si="9"/>
        <v>1</v>
      </c>
      <c r="BJ586" s="18">
        <f>PRODUCT($BI$5:BI586)</f>
        <v>0.32656797278968008</v>
      </c>
      <c r="BK586" s="20">
        <f>1 - Audit[[#This Row],[K-M P Value]]</f>
        <v>0.67343202721031992</v>
      </c>
      <c r="BL586" s="18" t="str">
        <f>IF(Audit[[#This Row],[K-M P Value]]&gt;1-'General Info'!$B$12,"Continue", "Stop")</f>
        <v>Continue</v>
      </c>
      <c r="BM586" s="23" t="b">
        <f>IF(Audit[[#This Row],[Status - Continue or stop audit]] = "Continue", TRUE, IF(BL585 = "Continue", TRUE, FALSE))</f>
        <v>1</v>
      </c>
      <c r="BN586" s="23"/>
    </row>
    <row r="587" spans="1:66" ht="15" hidden="1" customHeight="1" x14ac:dyDescent="0.35">
      <c r="A587" s="18" t="str">
        <f>'Sampling Data'!AI587</f>
        <v/>
      </c>
      <c r="B587" s="18" t="str">
        <f>'Sampling Data'!A587</f>
        <v>0207 CIN 2-G   (ED)</v>
      </c>
      <c r="C587" s="18">
        <f>'Sampling Data'!B587</f>
        <v>44</v>
      </c>
      <c r="D587" s="18">
        <f>'Sampling Data'!C587</f>
        <v>8</v>
      </c>
      <c r="E587" s="19">
        <f>'Sampling Data'!D587</f>
        <v>0</v>
      </c>
      <c r="F587" s="19">
        <f>'Sampling Data'!E587</f>
        <v>0</v>
      </c>
      <c r="G587" s="19">
        <f>'Sampling Data'!F587</f>
        <v>0</v>
      </c>
      <c r="H587" s="19">
        <f>'Sampling Data'!G587</f>
        <v>0</v>
      </c>
      <c r="I587" s="19">
        <f>'Sampling Data'!H587</f>
        <v>0</v>
      </c>
      <c r="J587" s="19">
        <f>'Sampling Data'!I587</f>
        <v>0</v>
      </c>
      <c r="K587" s="19">
        <f>'Sampling Data'!J587</f>
        <v>0</v>
      </c>
      <c r="L587" s="19">
        <f>'Sampling Data'!K587</f>
        <v>0</v>
      </c>
      <c r="M587" s="19">
        <f>'Sampling Data'!L587</f>
        <v>0</v>
      </c>
      <c r="N587" s="19">
        <f>'Sampling Data'!M587</f>
        <v>0</v>
      </c>
      <c r="O587" s="18">
        <f>'Sampling Data'!N587</f>
        <v>0</v>
      </c>
      <c r="P587" s="18">
        <f>'Sampling Data'!O587</f>
        <v>0</v>
      </c>
      <c r="Q587" s="18">
        <f>'Sampling Data'!P587</f>
        <v>52</v>
      </c>
      <c r="R587" s="18">
        <f>'Sampling Data'!AJ587</f>
        <v>0</v>
      </c>
      <c r="S587" s="112"/>
      <c r="T587" s="112"/>
      <c r="U587" s="113"/>
      <c r="V587" s="113"/>
      <c r="W587" s="112"/>
      <c r="X587" s="112"/>
      <c r="Y587" s="112"/>
      <c r="Z587" s="112"/>
      <c r="AA587" s="15"/>
      <c r="AB587" s="15"/>
      <c r="AC587" s="15"/>
      <c r="AD587" s="15"/>
      <c r="AE587" s="114" t="str">
        <f>IF(NOT(ISBLANK(Audit[[#This Row],[Audit Winning Candidate]])), Audit[[#This Row],[Audit Winning Candidate]]-Audit[[#This Row],[Winning Candidate]], "")</f>
        <v/>
      </c>
      <c r="AF587" s="18" t="str">
        <f>IF(NOT(ISBLANK(Audit[[#This Row],[Audit Losing Candidate]])), Audit[[#This Row],[Audit Losing Candidate]]-Audit[[#This Row],[Losing Candidate]], "")</f>
        <v/>
      </c>
      <c r="AG587" s="18" t="str">
        <f>IF(NOT(ISBLANK(Audit[[#This Row],[Audit Candidate 3]])), Audit[[#This Row],[Audit Candidate 3]]-Audit[[#This Row],[Candidate 3]], "")</f>
        <v/>
      </c>
      <c r="AH587" s="18" t="str">
        <f>IF(NOT(ISBLANK(Audit[[#This Row],[Audit Candidate 4]])),Audit[[#This Row],[Audit Candidate 4]]-Audit[[#This Row],[Candidate 4]], "")</f>
        <v/>
      </c>
      <c r="AI587" s="18" t="str">
        <f>IF(NOT(ISBLANK(Audit[[#This Row],[Audit Candidate 5]])), Audit[[#This Row],[Audit Candidate 5]]-Audit[[#This Row],[Candidate 5]], "")</f>
        <v/>
      </c>
      <c r="AJ587" s="18" t="str">
        <f>IF(NOT(ISBLANK(Audit[[#This Row],[Audit Candidate 6]])), Audit[[#This Row],[Audit Candidate 6]]-Audit[[#This Row],[Candidate 6]], "")</f>
        <v/>
      </c>
      <c r="AK587" s="18" t="str">
        <f>IF(NOT(ISBLANK(Audit[[#This Row],[Audit Candidate 7]])), Audit[[#This Row],[Audit Candidate 7]]-Audit[[#This Row],[Candidate 7]], "")</f>
        <v/>
      </c>
      <c r="AL587" s="18" t="str">
        <f>IF(NOT(ISBLANK(Audit[[#This Row],[Audit Candidate 8]])), Audit[[#This Row],[Audit Candidate 8]]-Audit[[#This Row],[Candidate 8]], "")</f>
        <v/>
      </c>
      <c r="AM587" s="18" t="str">
        <f>IF(NOT(ISBLANK(Audit[[#This Row],[Audit Candidate 9]])), Audit[[#This Row],[Audit Candidate 9]]-Audit[[#This Row],[Candidate 9]], "")</f>
        <v/>
      </c>
      <c r="AN587" s="18" t="str">
        <f>IF(NOT(ISBLANK(Audit[[#This Row],[Audit Candidate 10]])), Audit[[#This Row],[Audit Candidate 10]]-Audit[[#This Row],[Candidate 10]], "")</f>
        <v/>
      </c>
      <c r="AO587" s="18" t="str">
        <f>IF(NOT(ISBLANK(Audit[[#This Row],[Audit Candidate 11]])), Audit[[#This Row],[Audit Candidate 11]]-Audit[[#This Row],[Candidate 11]], "")</f>
        <v/>
      </c>
      <c r="AP587" s="18" t="str">
        <f>IF(NOT(ISBLANK(Audit[[#This Row],[Audit Candidate 12]])), Audit[[#This Row],[Audit Candidate 12]]-Audit[[#This Row],[Candidate 12]], "")</f>
        <v/>
      </c>
      <c r="AQ587" s="18">
        <f>SUMIF(Audit[[#This Row],[Difference Winner]:[Difference Candidate 12]], "&gt;0")</f>
        <v>0</v>
      </c>
      <c r="AR587" s="18">
        <f>SUM(Audit[[#This Row],[Difference Winner]:[Difference Candidate 12]])</f>
        <v>0</v>
      </c>
      <c r="AS587" s="18">
        <f>IF(Audit[[#This Row],[Times p Drawn - With Replacement]]&gt;0, IF(Audit[[#This Row],[Canceled Differences]]&lt;0, Audit[[#This Row],[Max Differences]]+ABS(Audit[[#This Row],[Canceled Differences]]), Audit[[#This Row],[Max Differences]]), 0)</f>
        <v>0</v>
      </c>
      <c r="AT587" s="18">
        <f>'Sampling Data'!AB587</f>
        <v>2.76407953010648E-3</v>
      </c>
      <c r="AU587" s="18">
        <f>IF(
      SUM(Audit[[#This Row],[Audit Losing Candidate]:[Audit Candidate 12]])
      &lt;&gt;0,
      (Audit[[#This Row],[Winning Candidate]]-Audit[[#This Row],[Losing Candidate]]-(Audit[[#This Row],[Audit Winning Candidate]]-Audit[[#This Row],[Audit Losing Candidate]]))/(Audit[[#Totals],[Winning Candidate]]-Audit[[#Totals],[Losing Candidate]]),
      0
)</f>
        <v>0</v>
      </c>
      <c r="AV5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8">
        <f>IF(Audit[[#This Row],[Max Relative Error (ep)]] = 0, 0, Audit[[#This Row],[Max Relative Error (ep)]]/Audit[[#This Row],[Error Bound (up) - Max. possible relative overstatement]])</f>
        <v>0</v>
      </c>
      <c r="BH5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7" s="18">
        <f t="shared" si="9"/>
        <v>1</v>
      </c>
      <c r="BJ587" s="18">
        <f>PRODUCT($BI$5:BI587)</f>
        <v>0.32656797278968008</v>
      </c>
      <c r="BK587" s="20">
        <f>1 - Audit[[#This Row],[K-M P Value]]</f>
        <v>0.67343202721031992</v>
      </c>
      <c r="BL587" s="18" t="str">
        <f>IF(Audit[[#This Row],[K-M P Value]]&gt;1-'General Info'!$B$12,"Continue", "Stop")</f>
        <v>Continue</v>
      </c>
      <c r="BM587" s="23" t="b">
        <f>IF(Audit[[#This Row],[Status - Continue or stop audit]] = "Continue", TRUE, IF(BL586 = "Continue", TRUE, FALSE))</f>
        <v>1</v>
      </c>
      <c r="BN587" s="23"/>
    </row>
    <row r="588" spans="1:66" ht="15" hidden="1" customHeight="1" x14ac:dyDescent="0.35">
      <c r="A588" s="18" t="str">
        <f>'Sampling Data'!AI588</f>
        <v/>
      </c>
      <c r="B588" s="18" t="str">
        <f>'Sampling Data'!A588</f>
        <v>0208 CIN 2-H   (ED)</v>
      </c>
      <c r="C588" s="18">
        <f>'Sampling Data'!B588</f>
        <v>10</v>
      </c>
      <c r="D588" s="18">
        <f>'Sampling Data'!C588</f>
        <v>2</v>
      </c>
      <c r="E588" s="19">
        <f>'Sampling Data'!D588</f>
        <v>0</v>
      </c>
      <c r="F588" s="19">
        <f>'Sampling Data'!E588</f>
        <v>0</v>
      </c>
      <c r="G588" s="19">
        <f>'Sampling Data'!F588</f>
        <v>0</v>
      </c>
      <c r="H588" s="19">
        <f>'Sampling Data'!G588</f>
        <v>0</v>
      </c>
      <c r="I588" s="19">
        <f>'Sampling Data'!H588</f>
        <v>0</v>
      </c>
      <c r="J588" s="19">
        <f>'Sampling Data'!I588</f>
        <v>0</v>
      </c>
      <c r="K588" s="19">
        <f>'Sampling Data'!J588</f>
        <v>0</v>
      </c>
      <c r="L588" s="19">
        <f>'Sampling Data'!K588</f>
        <v>0</v>
      </c>
      <c r="M588" s="19">
        <f>'Sampling Data'!L588</f>
        <v>0</v>
      </c>
      <c r="N588" s="19">
        <f>'Sampling Data'!M588</f>
        <v>0</v>
      </c>
      <c r="O588" s="18">
        <f>'Sampling Data'!N588</f>
        <v>0</v>
      </c>
      <c r="P588" s="18">
        <f>'Sampling Data'!O588</f>
        <v>0</v>
      </c>
      <c r="Q588" s="18">
        <f>'Sampling Data'!P588</f>
        <v>12</v>
      </c>
      <c r="R588" s="18">
        <f>'Sampling Data'!AJ588</f>
        <v>0</v>
      </c>
      <c r="S588" s="112"/>
      <c r="T588" s="112"/>
      <c r="U588" s="113"/>
      <c r="V588" s="113"/>
      <c r="W588" s="112"/>
      <c r="X588" s="112"/>
      <c r="Y588" s="112"/>
      <c r="Z588" s="112"/>
      <c r="AA588" s="15"/>
      <c r="AB588" s="15"/>
      <c r="AC588" s="15"/>
      <c r="AD588" s="15"/>
      <c r="AE588" s="114" t="str">
        <f>IF(NOT(ISBLANK(Audit[[#This Row],[Audit Winning Candidate]])), Audit[[#This Row],[Audit Winning Candidate]]-Audit[[#This Row],[Winning Candidate]], "")</f>
        <v/>
      </c>
      <c r="AF588" s="18" t="str">
        <f>IF(NOT(ISBLANK(Audit[[#This Row],[Audit Losing Candidate]])), Audit[[#This Row],[Audit Losing Candidate]]-Audit[[#This Row],[Losing Candidate]], "")</f>
        <v/>
      </c>
      <c r="AG588" s="18" t="str">
        <f>IF(NOT(ISBLANK(Audit[[#This Row],[Audit Candidate 3]])), Audit[[#This Row],[Audit Candidate 3]]-Audit[[#This Row],[Candidate 3]], "")</f>
        <v/>
      </c>
      <c r="AH588" s="18" t="str">
        <f>IF(NOT(ISBLANK(Audit[[#This Row],[Audit Candidate 4]])),Audit[[#This Row],[Audit Candidate 4]]-Audit[[#This Row],[Candidate 4]], "")</f>
        <v/>
      </c>
      <c r="AI588" s="18" t="str">
        <f>IF(NOT(ISBLANK(Audit[[#This Row],[Audit Candidate 5]])), Audit[[#This Row],[Audit Candidate 5]]-Audit[[#This Row],[Candidate 5]], "")</f>
        <v/>
      </c>
      <c r="AJ588" s="18" t="str">
        <f>IF(NOT(ISBLANK(Audit[[#This Row],[Audit Candidate 6]])), Audit[[#This Row],[Audit Candidate 6]]-Audit[[#This Row],[Candidate 6]], "")</f>
        <v/>
      </c>
      <c r="AK588" s="18" t="str">
        <f>IF(NOT(ISBLANK(Audit[[#This Row],[Audit Candidate 7]])), Audit[[#This Row],[Audit Candidate 7]]-Audit[[#This Row],[Candidate 7]], "")</f>
        <v/>
      </c>
      <c r="AL588" s="18" t="str">
        <f>IF(NOT(ISBLANK(Audit[[#This Row],[Audit Candidate 8]])), Audit[[#This Row],[Audit Candidate 8]]-Audit[[#This Row],[Candidate 8]], "")</f>
        <v/>
      </c>
      <c r="AM588" s="18" t="str">
        <f>IF(NOT(ISBLANK(Audit[[#This Row],[Audit Candidate 9]])), Audit[[#This Row],[Audit Candidate 9]]-Audit[[#This Row],[Candidate 9]], "")</f>
        <v/>
      </c>
      <c r="AN588" s="18" t="str">
        <f>IF(NOT(ISBLANK(Audit[[#This Row],[Audit Candidate 10]])), Audit[[#This Row],[Audit Candidate 10]]-Audit[[#This Row],[Candidate 10]], "")</f>
        <v/>
      </c>
      <c r="AO588" s="18" t="str">
        <f>IF(NOT(ISBLANK(Audit[[#This Row],[Audit Candidate 11]])), Audit[[#This Row],[Audit Candidate 11]]-Audit[[#This Row],[Candidate 11]], "")</f>
        <v/>
      </c>
      <c r="AP588" s="18" t="str">
        <f>IF(NOT(ISBLANK(Audit[[#This Row],[Audit Candidate 12]])), Audit[[#This Row],[Audit Candidate 12]]-Audit[[#This Row],[Candidate 12]], "")</f>
        <v/>
      </c>
      <c r="AQ588" s="18">
        <f>SUMIF(Audit[[#This Row],[Difference Winner]:[Difference Candidate 12]], "&gt;0")</f>
        <v>0</v>
      </c>
      <c r="AR588" s="18">
        <f>SUM(Audit[[#This Row],[Difference Winner]:[Difference Candidate 12]])</f>
        <v>0</v>
      </c>
      <c r="AS588" s="18">
        <f>IF(Audit[[#This Row],[Times p Drawn - With Replacement]]&gt;0, IF(Audit[[#This Row],[Canceled Differences]]&lt;0, Audit[[#This Row],[Max Differences]]+ABS(Audit[[#This Row],[Canceled Differences]]), Audit[[#This Row],[Max Differences]]), 0)</f>
        <v>0</v>
      </c>
      <c r="AT588" s="18">
        <f>'Sampling Data'!AB588</f>
        <v>6.2819989320601812E-4</v>
      </c>
      <c r="AU588" s="18">
        <f>IF(
      SUM(Audit[[#This Row],[Audit Losing Candidate]:[Audit Candidate 12]])
      &lt;&gt;0,
      (Audit[[#This Row],[Winning Candidate]]-Audit[[#This Row],[Losing Candidate]]-(Audit[[#This Row],[Audit Winning Candidate]]-Audit[[#This Row],[Audit Losing Candidate]]))/(Audit[[#Totals],[Winning Candidate]]-Audit[[#Totals],[Losing Candidate]]),
      0
)</f>
        <v>0</v>
      </c>
      <c r="AV5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8">
        <f>IF(Audit[[#This Row],[Max Relative Error (ep)]] = 0, 0, Audit[[#This Row],[Max Relative Error (ep)]]/Audit[[#This Row],[Error Bound (up) - Max. possible relative overstatement]])</f>
        <v>0</v>
      </c>
      <c r="BH5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8" s="18">
        <f t="shared" si="9"/>
        <v>1</v>
      </c>
      <c r="BJ588" s="18">
        <f>PRODUCT($BI$5:BI588)</f>
        <v>0.32656797278968008</v>
      </c>
      <c r="BK588" s="20">
        <f>1 - Audit[[#This Row],[K-M P Value]]</f>
        <v>0.67343202721031992</v>
      </c>
      <c r="BL588" s="18" t="str">
        <f>IF(Audit[[#This Row],[K-M P Value]]&gt;1-'General Info'!$B$12,"Continue", "Stop")</f>
        <v>Continue</v>
      </c>
      <c r="BM588" s="23" t="b">
        <f>IF(Audit[[#This Row],[Status - Continue or stop audit]] = "Continue", TRUE, IF(BL587 = "Continue", TRUE, FALSE))</f>
        <v>1</v>
      </c>
      <c r="BN588" s="23"/>
    </row>
    <row r="589" spans="1:66" ht="15" hidden="1" customHeight="1" x14ac:dyDescent="0.35">
      <c r="A589" s="18" t="str">
        <f>'Sampling Data'!AI589</f>
        <v/>
      </c>
      <c r="B589" s="18" t="str">
        <f>'Sampling Data'!A589</f>
        <v>0209 CIN 2-I   (ED)</v>
      </c>
      <c r="C589" s="18">
        <f>'Sampling Data'!B589</f>
        <v>38</v>
      </c>
      <c r="D589" s="18">
        <f>'Sampling Data'!C589</f>
        <v>6</v>
      </c>
      <c r="E589" s="19">
        <f>'Sampling Data'!D589</f>
        <v>0</v>
      </c>
      <c r="F589" s="19">
        <f>'Sampling Data'!E589</f>
        <v>0</v>
      </c>
      <c r="G589" s="19">
        <f>'Sampling Data'!F589</f>
        <v>0</v>
      </c>
      <c r="H589" s="19">
        <f>'Sampling Data'!G589</f>
        <v>0</v>
      </c>
      <c r="I589" s="19">
        <f>'Sampling Data'!H589</f>
        <v>0</v>
      </c>
      <c r="J589" s="19">
        <f>'Sampling Data'!I589</f>
        <v>0</v>
      </c>
      <c r="K589" s="19">
        <f>'Sampling Data'!J589</f>
        <v>0</v>
      </c>
      <c r="L589" s="19">
        <f>'Sampling Data'!K589</f>
        <v>0</v>
      </c>
      <c r="M589" s="19">
        <f>'Sampling Data'!L589</f>
        <v>0</v>
      </c>
      <c r="N589" s="19">
        <f>'Sampling Data'!M589</f>
        <v>0</v>
      </c>
      <c r="O589" s="18">
        <f>'Sampling Data'!N589</f>
        <v>0</v>
      </c>
      <c r="P589" s="18">
        <f>'Sampling Data'!O589</f>
        <v>2</v>
      </c>
      <c r="Q589" s="18">
        <f>'Sampling Data'!P589</f>
        <v>46</v>
      </c>
      <c r="R589" s="18">
        <f>'Sampling Data'!AJ589</f>
        <v>0</v>
      </c>
      <c r="S589" s="112"/>
      <c r="T589" s="112"/>
      <c r="U589" s="113"/>
      <c r="V589" s="113"/>
      <c r="W589" s="112"/>
      <c r="X589" s="112"/>
      <c r="Y589" s="112"/>
      <c r="Z589" s="112"/>
      <c r="AA589" s="15"/>
      <c r="AB589" s="15"/>
      <c r="AC589" s="15"/>
      <c r="AD589" s="15"/>
      <c r="AE589" s="114" t="str">
        <f>IF(NOT(ISBLANK(Audit[[#This Row],[Audit Winning Candidate]])), Audit[[#This Row],[Audit Winning Candidate]]-Audit[[#This Row],[Winning Candidate]], "")</f>
        <v/>
      </c>
      <c r="AF589" s="18" t="str">
        <f>IF(NOT(ISBLANK(Audit[[#This Row],[Audit Losing Candidate]])), Audit[[#This Row],[Audit Losing Candidate]]-Audit[[#This Row],[Losing Candidate]], "")</f>
        <v/>
      </c>
      <c r="AG589" s="18" t="str">
        <f>IF(NOT(ISBLANK(Audit[[#This Row],[Audit Candidate 3]])), Audit[[#This Row],[Audit Candidate 3]]-Audit[[#This Row],[Candidate 3]], "")</f>
        <v/>
      </c>
      <c r="AH589" s="18" t="str">
        <f>IF(NOT(ISBLANK(Audit[[#This Row],[Audit Candidate 4]])),Audit[[#This Row],[Audit Candidate 4]]-Audit[[#This Row],[Candidate 4]], "")</f>
        <v/>
      </c>
      <c r="AI589" s="18" t="str">
        <f>IF(NOT(ISBLANK(Audit[[#This Row],[Audit Candidate 5]])), Audit[[#This Row],[Audit Candidate 5]]-Audit[[#This Row],[Candidate 5]], "")</f>
        <v/>
      </c>
      <c r="AJ589" s="18" t="str">
        <f>IF(NOT(ISBLANK(Audit[[#This Row],[Audit Candidate 6]])), Audit[[#This Row],[Audit Candidate 6]]-Audit[[#This Row],[Candidate 6]], "")</f>
        <v/>
      </c>
      <c r="AK589" s="18" t="str">
        <f>IF(NOT(ISBLANK(Audit[[#This Row],[Audit Candidate 7]])), Audit[[#This Row],[Audit Candidate 7]]-Audit[[#This Row],[Candidate 7]], "")</f>
        <v/>
      </c>
      <c r="AL589" s="18" t="str">
        <f>IF(NOT(ISBLANK(Audit[[#This Row],[Audit Candidate 8]])), Audit[[#This Row],[Audit Candidate 8]]-Audit[[#This Row],[Candidate 8]], "")</f>
        <v/>
      </c>
      <c r="AM589" s="18" t="str">
        <f>IF(NOT(ISBLANK(Audit[[#This Row],[Audit Candidate 9]])), Audit[[#This Row],[Audit Candidate 9]]-Audit[[#This Row],[Candidate 9]], "")</f>
        <v/>
      </c>
      <c r="AN589" s="18" t="str">
        <f>IF(NOT(ISBLANK(Audit[[#This Row],[Audit Candidate 10]])), Audit[[#This Row],[Audit Candidate 10]]-Audit[[#This Row],[Candidate 10]], "")</f>
        <v/>
      </c>
      <c r="AO589" s="18" t="str">
        <f>IF(NOT(ISBLANK(Audit[[#This Row],[Audit Candidate 11]])), Audit[[#This Row],[Audit Candidate 11]]-Audit[[#This Row],[Candidate 11]], "")</f>
        <v/>
      </c>
      <c r="AP589" s="18" t="str">
        <f>IF(NOT(ISBLANK(Audit[[#This Row],[Audit Candidate 12]])), Audit[[#This Row],[Audit Candidate 12]]-Audit[[#This Row],[Candidate 12]], "")</f>
        <v/>
      </c>
      <c r="AQ589" s="18">
        <f>SUMIF(Audit[[#This Row],[Difference Winner]:[Difference Candidate 12]], "&gt;0")</f>
        <v>0</v>
      </c>
      <c r="AR589" s="18">
        <f>SUM(Audit[[#This Row],[Difference Winner]:[Difference Candidate 12]])</f>
        <v>0</v>
      </c>
      <c r="AS589" s="18">
        <f>IF(Audit[[#This Row],[Times p Drawn - With Replacement]]&gt;0, IF(Audit[[#This Row],[Canceled Differences]]&lt;0, Audit[[#This Row],[Max Differences]]+ABS(Audit[[#This Row],[Canceled Differences]]), Audit[[#This Row],[Max Differences]]), 0)</f>
        <v>0</v>
      </c>
      <c r="AT589" s="18">
        <f>'Sampling Data'!AB589</f>
        <v>2.4499795835034709E-3</v>
      </c>
      <c r="AU589" s="18">
        <f>IF(
      SUM(Audit[[#This Row],[Audit Losing Candidate]:[Audit Candidate 12]])
      &lt;&gt;0,
      (Audit[[#This Row],[Winning Candidate]]-Audit[[#This Row],[Losing Candidate]]-(Audit[[#This Row],[Audit Winning Candidate]]-Audit[[#This Row],[Audit Losing Candidate]]))/(Audit[[#Totals],[Winning Candidate]]-Audit[[#Totals],[Losing Candidate]]),
      0
)</f>
        <v>0</v>
      </c>
      <c r="AV5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8">
        <f>IF(Audit[[#This Row],[Max Relative Error (ep)]] = 0, 0, Audit[[#This Row],[Max Relative Error (ep)]]/Audit[[#This Row],[Error Bound (up) - Max. possible relative overstatement]])</f>
        <v>0</v>
      </c>
      <c r="BH5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89" s="18">
        <f t="shared" si="9"/>
        <v>1</v>
      </c>
      <c r="BJ589" s="18">
        <f>PRODUCT($BI$5:BI589)</f>
        <v>0.32656797278968008</v>
      </c>
      <c r="BK589" s="20">
        <f>1 - Audit[[#This Row],[K-M P Value]]</f>
        <v>0.67343202721031992</v>
      </c>
      <c r="BL589" s="18" t="str">
        <f>IF(Audit[[#This Row],[K-M P Value]]&gt;1-'General Info'!$B$12,"Continue", "Stop")</f>
        <v>Continue</v>
      </c>
      <c r="BM589" s="23" t="b">
        <f>IF(Audit[[#This Row],[Status - Continue or stop audit]] = "Continue", TRUE, IF(BL588 = "Continue", TRUE, FALSE))</f>
        <v>1</v>
      </c>
      <c r="BN589" s="23"/>
    </row>
    <row r="590" spans="1:66" ht="15" hidden="1" customHeight="1" x14ac:dyDescent="0.35">
      <c r="A590" s="18" t="str">
        <f>'Sampling Data'!AI590</f>
        <v/>
      </c>
      <c r="B590" s="18" t="str">
        <f>'Sampling Data'!A590</f>
        <v>0210 CIN 2-J   (ED)</v>
      </c>
      <c r="C590" s="18">
        <f>'Sampling Data'!B590</f>
        <v>31</v>
      </c>
      <c r="D590" s="18">
        <f>'Sampling Data'!C590</f>
        <v>8</v>
      </c>
      <c r="E590" s="19">
        <f>'Sampling Data'!D590</f>
        <v>0</v>
      </c>
      <c r="F590" s="19">
        <f>'Sampling Data'!E590</f>
        <v>0</v>
      </c>
      <c r="G590" s="19">
        <f>'Sampling Data'!F590</f>
        <v>0</v>
      </c>
      <c r="H590" s="19">
        <f>'Sampling Data'!G590</f>
        <v>0</v>
      </c>
      <c r="I590" s="19">
        <f>'Sampling Data'!H590</f>
        <v>0</v>
      </c>
      <c r="J590" s="19">
        <f>'Sampling Data'!I590</f>
        <v>0</v>
      </c>
      <c r="K590" s="19">
        <f>'Sampling Data'!J590</f>
        <v>0</v>
      </c>
      <c r="L590" s="19">
        <f>'Sampling Data'!K590</f>
        <v>0</v>
      </c>
      <c r="M590" s="19">
        <f>'Sampling Data'!L590</f>
        <v>0</v>
      </c>
      <c r="N590" s="19">
        <f>'Sampling Data'!M590</f>
        <v>0</v>
      </c>
      <c r="O590" s="18">
        <f>'Sampling Data'!N590</f>
        <v>0</v>
      </c>
      <c r="P590" s="18">
        <f>'Sampling Data'!O590</f>
        <v>1</v>
      </c>
      <c r="Q590" s="18">
        <f>'Sampling Data'!P590</f>
        <v>40</v>
      </c>
      <c r="R590" s="18">
        <f>'Sampling Data'!AJ590</f>
        <v>0</v>
      </c>
      <c r="S590" s="112"/>
      <c r="T590" s="112"/>
      <c r="U590" s="113"/>
      <c r="V590" s="113"/>
      <c r="W590" s="112"/>
      <c r="X590" s="112"/>
      <c r="Y590" s="112"/>
      <c r="Z590" s="112"/>
      <c r="AA590" s="15"/>
      <c r="AB590" s="15"/>
      <c r="AC590" s="15"/>
      <c r="AD590" s="15"/>
      <c r="AE590" s="114" t="str">
        <f>IF(NOT(ISBLANK(Audit[[#This Row],[Audit Winning Candidate]])), Audit[[#This Row],[Audit Winning Candidate]]-Audit[[#This Row],[Winning Candidate]], "")</f>
        <v/>
      </c>
      <c r="AF590" s="18" t="str">
        <f>IF(NOT(ISBLANK(Audit[[#This Row],[Audit Losing Candidate]])), Audit[[#This Row],[Audit Losing Candidate]]-Audit[[#This Row],[Losing Candidate]], "")</f>
        <v/>
      </c>
      <c r="AG590" s="18" t="str">
        <f>IF(NOT(ISBLANK(Audit[[#This Row],[Audit Candidate 3]])), Audit[[#This Row],[Audit Candidate 3]]-Audit[[#This Row],[Candidate 3]], "")</f>
        <v/>
      </c>
      <c r="AH590" s="18" t="str">
        <f>IF(NOT(ISBLANK(Audit[[#This Row],[Audit Candidate 4]])),Audit[[#This Row],[Audit Candidate 4]]-Audit[[#This Row],[Candidate 4]], "")</f>
        <v/>
      </c>
      <c r="AI590" s="18" t="str">
        <f>IF(NOT(ISBLANK(Audit[[#This Row],[Audit Candidate 5]])), Audit[[#This Row],[Audit Candidate 5]]-Audit[[#This Row],[Candidate 5]], "")</f>
        <v/>
      </c>
      <c r="AJ590" s="18" t="str">
        <f>IF(NOT(ISBLANK(Audit[[#This Row],[Audit Candidate 6]])), Audit[[#This Row],[Audit Candidate 6]]-Audit[[#This Row],[Candidate 6]], "")</f>
        <v/>
      </c>
      <c r="AK590" s="18" t="str">
        <f>IF(NOT(ISBLANK(Audit[[#This Row],[Audit Candidate 7]])), Audit[[#This Row],[Audit Candidate 7]]-Audit[[#This Row],[Candidate 7]], "")</f>
        <v/>
      </c>
      <c r="AL590" s="18" t="str">
        <f>IF(NOT(ISBLANK(Audit[[#This Row],[Audit Candidate 8]])), Audit[[#This Row],[Audit Candidate 8]]-Audit[[#This Row],[Candidate 8]], "")</f>
        <v/>
      </c>
      <c r="AM590" s="18" t="str">
        <f>IF(NOT(ISBLANK(Audit[[#This Row],[Audit Candidate 9]])), Audit[[#This Row],[Audit Candidate 9]]-Audit[[#This Row],[Candidate 9]], "")</f>
        <v/>
      </c>
      <c r="AN590" s="18" t="str">
        <f>IF(NOT(ISBLANK(Audit[[#This Row],[Audit Candidate 10]])), Audit[[#This Row],[Audit Candidate 10]]-Audit[[#This Row],[Candidate 10]], "")</f>
        <v/>
      </c>
      <c r="AO590" s="18" t="str">
        <f>IF(NOT(ISBLANK(Audit[[#This Row],[Audit Candidate 11]])), Audit[[#This Row],[Audit Candidate 11]]-Audit[[#This Row],[Candidate 11]], "")</f>
        <v/>
      </c>
      <c r="AP590" s="18" t="str">
        <f>IF(NOT(ISBLANK(Audit[[#This Row],[Audit Candidate 12]])), Audit[[#This Row],[Audit Candidate 12]]-Audit[[#This Row],[Candidate 12]], "")</f>
        <v/>
      </c>
      <c r="AQ590" s="18">
        <f>SUMIF(Audit[[#This Row],[Difference Winner]:[Difference Candidate 12]], "&gt;0")</f>
        <v>0</v>
      </c>
      <c r="AR590" s="18">
        <f>SUM(Audit[[#This Row],[Difference Winner]:[Difference Candidate 12]])</f>
        <v>0</v>
      </c>
      <c r="AS590" s="18">
        <f>IF(Audit[[#This Row],[Times p Drawn - With Replacement]]&gt;0, IF(Audit[[#This Row],[Canceled Differences]]&lt;0, Audit[[#This Row],[Max Differences]]+ABS(Audit[[#This Row],[Canceled Differences]]), Audit[[#This Row],[Max Differences]]), 0)</f>
        <v>0</v>
      </c>
      <c r="AT590" s="18">
        <f>'Sampling Data'!AB590</f>
        <v>1.9788296635989571E-3</v>
      </c>
      <c r="AU590" s="18">
        <f>IF(
      SUM(Audit[[#This Row],[Audit Losing Candidate]:[Audit Candidate 12]])
      &lt;&gt;0,
      (Audit[[#This Row],[Winning Candidate]]-Audit[[#This Row],[Losing Candidate]]-(Audit[[#This Row],[Audit Winning Candidate]]-Audit[[#This Row],[Audit Losing Candidate]]))/(Audit[[#Totals],[Winning Candidate]]-Audit[[#Totals],[Losing Candidate]]),
      0
)</f>
        <v>0</v>
      </c>
      <c r="AV5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8">
        <f>IF(Audit[[#This Row],[Max Relative Error (ep)]] = 0, 0, Audit[[#This Row],[Max Relative Error (ep)]]/Audit[[#This Row],[Error Bound (up) - Max. possible relative overstatement]])</f>
        <v>0</v>
      </c>
      <c r="BH5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0" s="18">
        <f t="shared" si="9"/>
        <v>1</v>
      </c>
      <c r="BJ590" s="18">
        <f>PRODUCT($BI$5:BI590)</f>
        <v>0.32656797278968008</v>
      </c>
      <c r="BK590" s="20">
        <f>1 - Audit[[#This Row],[K-M P Value]]</f>
        <v>0.67343202721031992</v>
      </c>
      <c r="BL590" s="18" t="str">
        <f>IF(Audit[[#This Row],[K-M P Value]]&gt;1-'General Info'!$B$12,"Continue", "Stop")</f>
        <v>Continue</v>
      </c>
      <c r="BM590" s="23" t="b">
        <f>IF(Audit[[#This Row],[Status - Continue or stop audit]] = "Continue", TRUE, IF(BL589 = "Continue", TRUE, FALSE))</f>
        <v>1</v>
      </c>
      <c r="BN590" s="23"/>
    </row>
    <row r="591" spans="1:66" ht="15" hidden="1" customHeight="1" x14ac:dyDescent="0.35">
      <c r="A591" s="18" t="str">
        <f>'Sampling Data'!AI591</f>
        <v/>
      </c>
      <c r="B591" s="18" t="str">
        <f>'Sampling Data'!A591</f>
        <v>0211 CIN 2-K   (ED)</v>
      </c>
      <c r="C591" s="18">
        <f>'Sampling Data'!B591</f>
        <v>34</v>
      </c>
      <c r="D591" s="18">
        <f>'Sampling Data'!C591</f>
        <v>3</v>
      </c>
      <c r="E591" s="19">
        <f>'Sampling Data'!D591</f>
        <v>0</v>
      </c>
      <c r="F591" s="19">
        <f>'Sampling Data'!E591</f>
        <v>0</v>
      </c>
      <c r="G591" s="19">
        <f>'Sampling Data'!F591</f>
        <v>0</v>
      </c>
      <c r="H591" s="19">
        <f>'Sampling Data'!G591</f>
        <v>0</v>
      </c>
      <c r="I591" s="19">
        <f>'Sampling Data'!H591</f>
        <v>0</v>
      </c>
      <c r="J591" s="19">
        <f>'Sampling Data'!I591</f>
        <v>0</v>
      </c>
      <c r="K591" s="19">
        <f>'Sampling Data'!J591</f>
        <v>0</v>
      </c>
      <c r="L591" s="19">
        <f>'Sampling Data'!K591</f>
        <v>0</v>
      </c>
      <c r="M591" s="19">
        <f>'Sampling Data'!L591</f>
        <v>0</v>
      </c>
      <c r="N591" s="19">
        <f>'Sampling Data'!M591</f>
        <v>0</v>
      </c>
      <c r="O591" s="18">
        <f>'Sampling Data'!N591</f>
        <v>0</v>
      </c>
      <c r="P591" s="18">
        <f>'Sampling Data'!O591</f>
        <v>1</v>
      </c>
      <c r="Q591" s="18">
        <f>'Sampling Data'!P591</f>
        <v>38</v>
      </c>
      <c r="R591" s="18">
        <f>'Sampling Data'!AJ591</f>
        <v>0</v>
      </c>
      <c r="S591" s="112"/>
      <c r="T591" s="112"/>
      <c r="U591" s="113"/>
      <c r="V591" s="113"/>
      <c r="W591" s="112"/>
      <c r="X591" s="112"/>
      <c r="Y591" s="112"/>
      <c r="Z591" s="112"/>
      <c r="AA591" s="15"/>
      <c r="AB591" s="15"/>
      <c r="AC591" s="15"/>
      <c r="AD591" s="15"/>
      <c r="AE591" s="114" t="str">
        <f>IF(NOT(ISBLANK(Audit[[#This Row],[Audit Winning Candidate]])), Audit[[#This Row],[Audit Winning Candidate]]-Audit[[#This Row],[Winning Candidate]], "")</f>
        <v/>
      </c>
      <c r="AF591" s="18" t="str">
        <f>IF(NOT(ISBLANK(Audit[[#This Row],[Audit Losing Candidate]])), Audit[[#This Row],[Audit Losing Candidate]]-Audit[[#This Row],[Losing Candidate]], "")</f>
        <v/>
      </c>
      <c r="AG591" s="18" t="str">
        <f>IF(NOT(ISBLANK(Audit[[#This Row],[Audit Candidate 3]])), Audit[[#This Row],[Audit Candidate 3]]-Audit[[#This Row],[Candidate 3]], "")</f>
        <v/>
      </c>
      <c r="AH591" s="18" t="str">
        <f>IF(NOT(ISBLANK(Audit[[#This Row],[Audit Candidate 4]])),Audit[[#This Row],[Audit Candidate 4]]-Audit[[#This Row],[Candidate 4]], "")</f>
        <v/>
      </c>
      <c r="AI591" s="18" t="str">
        <f>IF(NOT(ISBLANK(Audit[[#This Row],[Audit Candidate 5]])), Audit[[#This Row],[Audit Candidate 5]]-Audit[[#This Row],[Candidate 5]], "")</f>
        <v/>
      </c>
      <c r="AJ591" s="18" t="str">
        <f>IF(NOT(ISBLANK(Audit[[#This Row],[Audit Candidate 6]])), Audit[[#This Row],[Audit Candidate 6]]-Audit[[#This Row],[Candidate 6]], "")</f>
        <v/>
      </c>
      <c r="AK591" s="18" t="str">
        <f>IF(NOT(ISBLANK(Audit[[#This Row],[Audit Candidate 7]])), Audit[[#This Row],[Audit Candidate 7]]-Audit[[#This Row],[Candidate 7]], "")</f>
        <v/>
      </c>
      <c r="AL591" s="18" t="str">
        <f>IF(NOT(ISBLANK(Audit[[#This Row],[Audit Candidate 8]])), Audit[[#This Row],[Audit Candidate 8]]-Audit[[#This Row],[Candidate 8]], "")</f>
        <v/>
      </c>
      <c r="AM591" s="18" t="str">
        <f>IF(NOT(ISBLANK(Audit[[#This Row],[Audit Candidate 9]])), Audit[[#This Row],[Audit Candidate 9]]-Audit[[#This Row],[Candidate 9]], "")</f>
        <v/>
      </c>
      <c r="AN591" s="18" t="str">
        <f>IF(NOT(ISBLANK(Audit[[#This Row],[Audit Candidate 10]])), Audit[[#This Row],[Audit Candidate 10]]-Audit[[#This Row],[Candidate 10]], "")</f>
        <v/>
      </c>
      <c r="AO591" s="18" t="str">
        <f>IF(NOT(ISBLANK(Audit[[#This Row],[Audit Candidate 11]])), Audit[[#This Row],[Audit Candidate 11]]-Audit[[#This Row],[Candidate 11]], "")</f>
        <v/>
      </c>
      <c r="AP591" s="18" t="str">
        <f>IF(NOT(ISBLANK(Audit[[#This Row],[Audit Candidate 12]])), Audit[[#This Row],[Audit Candidate 12]]-Audit[[#This Row],[Candidate 12]], "")</f>
        <v/>
      </c>
      <c r="AQ591" s="18">
        <f>SUMIF(Audit[[#This Row],[Difference Winner]:[Difference Candidate 12]], "&gt;0")</f>
        <v>0</v>
      </c>
      <c r="AR591" s="18">
        <f>SUM(Audit[[#This Row],[Difference Winner]:[Difference Candidate 12]])</f>
        <v>0</v>
      </c>
      <c r="AS591" s="18">
        <f>IF(Audit[[#This Row],[Times p Drawn - With Replacement]]&gt;0, IF(Audit[[#This Row],[Canceled Differences]]&lt;0, Audit[[#This Row],[Max Differences]]+ABS(Audit[[#This Row],[Canceled Differences]]), Audit[[#This Row],[Max Differences]]), 0)</f>
        <v>0</v>
      </c>
      <c r="AT591" s="18">
        <f>'Sampling Data'!AB591</f>
        <v>2.1672896315607626E-3</v>
      </c>
      <c r="AU591" s="18">
        <f>IF(
      SUM(Audit[[#This Row],[Audit Losing Candidate]:[Audit Candidate 12]])
      &lt;&gt;0,
      (Audit[[#This Row],[Winning Candidate]]-Audit[[#This Row],[Losing Candidate]]-(Audit[[#This Row],[Audit Winning Candidate]]-Audit[[#This Row],[Audit Losing Candidate]]))/(Audit[[#Totals],[Winning Candidate]]-Audit[[#Totals],[Losing Candidate]]),
      0
)</f>
        <v>0</v>
      </c>
      <c r="AV5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8">
        <f>IF(Audit[[#This Row],[Max Relative Error (ep)]] = 0, 0, Audit[[#This Row],[Max Relative Error (ep)]]/Audit[[#This Row],[Error Bound (up) - Max. possible relative overstatement]])</f>
        <v>0</v>
      </c>
      <c r="BH5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1" s="18">
        <f t="shared" ref="BI591:BI654" si="10">IF(ISERR(POWER(BH591,R591)), 0, POWER(BH591,R591))</f>
        <v>1</v>
      </c>
      <c r="BJ591" s="18">
        <f>PRODUCT($BI$5:BI591)</f>
        <v>0.32656797278968008</v>
      </c>
      <c r="BK591" s="20">
        <f>1 - Audit[[#This Row],[K-M P Value]]</f>
        <v>0.67343202721031992</v>
      </c>
      <c r="BL591" s="18" t="str">
        <f>IF(Audit[[#This Row],[K-M P Value]]&gt;1-'General Info'!$B$12,"Continue", "Stop")</f>
        <v>Continue</v>
      </c>
      <c r="BM591" s="23" t="b">
        <f>IF(Audit[[#This Row],[Status - Continue or stop audit]] = "Continue", TRUE, IF(BL590 = "Continue", TRUE, FALSE))</f>
        <v>1</v>
      </c>
      <c r="BN591" s="23"/>
    </row>
    <row r="592" spans="1:66" ht="15" hidden="1" customHeight="1" x14ac:dyDescent="0.35">
      <c r="A592" s="18" t="str">
        <f>'Sampling Data'!AI592</f>
        <v/>
      </c>
      <c r="B592" s="18" t="str">
        <f>'Sampling Data'!A592</f>
        <v>0301 CIN 3-A   (ED)</v>
      </c>
      <c r="C592" s="18">
        <f>'Sampling Data'!B592</f>
        <v>1</v>
      </c>
      <c r="D592" s="18">
        <f>'Sampling Data'!C592</f>
        <v>2</v>
      </c>
      <c r="E592" s="19">
        <f>'Sampling Data'!D592</f>
        <v>0</v>
      </c>
      <c r="F592" s="19">
        <f>'Sampling Data'!E592</f>
        <v>0</v>
      </c>
      <c r="G592" s="19">
        <f>'Sampling Data'!F592</f>
        <v>0</v>
      </c>
      <c r="H592" s="19">
        <f>'Sampling Data'!G592</f>
        <v>0</v>
      </c>
      <c r="I592" s="19">
        <f>'Sampling Data'!H592</f>
        <v>0</v>
      </c>
      <c r="J592" s="19">
        <f>'Sampling Data'!I592</f>
        <v>0</v>
      </c>
      <c r="K592" s="19">
        <f>'Sampling Data'!J592</f>
        <v>0</v>
      </c>
      <c r="L592" s="19">
        <f>'Sampling Data'!K592</f>
        <v>0</v>
      </c>
      <c r="M592" s="19">
        <f>'Sampling Data'!L592</f>
        <v>0</v>
      </c>
      <c r="N592" s="19">
        <f>'Sampling Data'!M592</f>
        <v>0</v>
      </c>
      <c r="O592" s="18">
        <f>'Sampling Data'!N592</f>
        <v>0</v>
      </c>
      <c r="P592" s="18">
        <f>'Sampling Data'!O592</f>
        <v>0</v>
      </c>
      <c r="Q592" s="18">
        <f>'Sampling Data'!P592</f>
        <v>3</v>
      </c>
      <c r="R592" s="18">
        <f>'Sampling Data'!AJ592</f>
        <v>0</v>
      </c>
      <c r="S592" s="112"/>
      <c r="T592" s="112"/>
      <c r="U592" s="113"/>
      <c r="V592" s="113"/>
      <c r="W592" s="112"/>
      <c r="X592" s="112"/>
      <c r="Y592" s="112"/>
      <c r="Z592" s="112"/>
      <c r="AA592" s="15"/>
      <c r="AB592" s="15"/>
      <c r="AC592" s="15"/>
      <c r="AD592" s="15"/>
      <c r="AE592" s="114" t="str">
        <f>IF(NOT(ISBLANK(Audit[[#This Row],[Audit Winning Candidate]])), Audit[[#This Row],[Audit Winning Candidate]]-Audit[[#This Row],[Winning Candidate]], "")</f>
        <v/>
      </c>
      <c r="AF592" s="18" t="str">
        <f>IF(NOT(ISBLANK(Audit[[#This Row],[Audit Losing Candidate]])), Audit[[#This Row],[Audit Losing Candidate]]-Audit[[#This Row],[Losing Candidate]], "")</f>
        <v/>
      </c>
      <c r="AG592" s="18" t="str">
        <f>IF(NOT(ISBLANK(Audit[[#This Row],[Audit Candidate 3]])), Audit[[#This Row],[Audit Candidate 3]]-Audit[[#This Row],[Candidate 3]], "")</f>
        <v/>
      </c>
      <c r="AH592" s="18" t="str">
        <f>IF(NOT(ISBLANK(Audit[[#This Row],[Audit Candidate 4]])),Audit[[#This Row],[Audit Candidate 4]]-Audit[[#This Row],[Candidate 4]], "")</f>
        <v/>
      </c>
      <c r="AI592" s="18" t="str">
        <f>IF(NOT(ISBLANK(Audit[[#This Row],[Audit Candidate 5]])), Audit[[#This Row],[Audit Candidate 5]]-Audit[[#This Row],[Candidate 5]], "")</f>
        <v/>
      </c>
      <c r="AJ592" s="18" t="str">
        <f>IF(NOT(ISBLANK(Audit[[#This Row],[Audit Candidate 6]])), Audit[[#This Row],[Audit Candidate 6]]-Audit[[#This Row],[Candidate 6]], "")</f>
        <v/>
      </c>
      <c r="AK592" s="18" t="str">
        <f>IF(NOT(ISBLANK(Audit[[#This Row],[Audit Candidate 7]])), Audit[[#This Row],[Audit Candidate 7]]-Audit[[#This Row],[Candidate 7]], "")</f>
        <v/>
      </c>
      <c r="AL592" s="18" t="str">
        <f>IF(NOT(ISBLANK(Audit[[#This Row],[Audit Candidate 8]])), Audit[[#This Row],[Audit Candidate 8]]-Audit[[#This Row],[Candidate 8]], "")</f>
        <v/>
      </c>
      <c r="AM592" s="18" t="str">
        <f>IF(NOT(ISBLANK(Audit[[#This Row],[Audit Candidate 9]])), Audit[[#This Row],[Audit Candidate 9]]-Audit[[#This Row],[Candidate 9]], "")</f>
        <v/>
      </c>
      <c r="AN592" s="18" t="str">
        <f>IF(NOT(ISBLANK(Audit[[#This Row],[Audit Candidate 10]])), Audit[[#This Row],[Audit Candidate 10]]-Audit[[#This Row],[Candidate 10]], "")</f>
        <v/>
      </c>
      <c r="AO592" s="18" t="str">
        <f>IF(NOT(ISBLANK(Audit[[#This Row],[Audit Candidate 11]])), Audit[[#This Row],[Audit Candidate 11]]-Audit[[#This Row],[Candidate 11]], "")</f>
        <v/>
      </c>
      <c r="AP592" s="18" t="str">
        <f>IF(NOT(ISBLANK(Audit[[#This Row],[Audit Candidate 12]])), Audit[[#This Row],[Audit Candidate 12]]-Audit[[#This Row],[Candidate 12]], "")</f>
        <v/>
      </c>
      <c r="AQ592" s="18">
        <f>SUMIF(Audit[[#This Row],[Difference Winner]:[Difference Candidate 12]], "&gt;0")</f>
        <v>0</v>
      </c>
      <c r="AR592" s="18">
        <f>SUM(Audit[[#This Row],[Difference Winner]:[Difference Candidate 12]])</f>
        <v>0</v>
      </c>
      <c r="AS592" s="18">
        <f>IF(Audit[[#This Row],[Times p Drawn - With Replacement]]&gt;0, IF(Audit[[#This Row],[Canceled Differences]]&lt;0, Audit[[#This Row],[Max Differences]]+ABS(Audit[[#This Row],[Canceled Differences]]), Audit[[#This Row],[Max Differences]]), 0)</f>
        <v>0</v>
      </c>
      <c r="AT592" s="18">
        <f>'Sampling Data'!AB592</f>
        <v>6.2819989320601809E-5</v>
      </c>
      <c r="AU592" s="18">
        <f>IF(
      SUM(Audit[[#This Row],[Audit Losing Candidate]:[Audit Candidate 12]])
      &lt;&gt;0,
      (Audit[[#This Row],[Winning Candidate]]-Audit[[#This Row],[Losing Candidate]]-(Audit[[#This Row],[Audit Winning Candidate]]-Audit[[#This Row],[Audit Losing Candidate]]))/(Audit[[#Totals],[Winning Candidate]]-Audit[[#Totals],[Losing Candidate]]),
      0
)</f>
        <v>0</v>
      </c>
      <c r="AV5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8">
        <f>IF(Audit[[#This Row],[Max Relative Error (ep)]] = 0, 0, Audit[[#This Row],[Max Relative Error (ep)]]/Audit[[#This Row],[Error Bound (up) - Max. possible relative overstatement]])</f>
        <v>0</v>
      </c>
      <c r="BH5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2" s="18">
        <f t="shared" si="10"/>
        <v>1</v>
      </c>
      <c r="BJ592" s="18">
        <f>PRODUCT($BI$5:BI592)</f>
        <v>0.32656797278968008</v>
      </c>
      <c r="BK592" s="20">
        <f>1 - Audit[[#This Row],[K-M P Value]]</f>
        <v>0.67343202721031992</v>
      </c>
      <c r="BL592" s="18" t="str">
        <f>IF(Audit[[#This Row],[K-M P Value]]&gt;1-'General Info'!$B$12,"Continue", "Stop")</f>
        <v>Continue</v>
      </c>
      <c r="BM592" s="23" t="b">
        <f>IF(Audit[[#This Row],[Status - Continue or stop audit]] = "Continue", TRUE, IF(BL591 = "Continue", TRUE, FALSE))</f>
        <v>1</v>
      </c>
      <c r="BN592" s="23"/>
    </row>
    <row r="593" spans="1:66" ht="15" hidden="1" customHeight="1" x14ac:dyDescent="0.35">
      <c r="A593" s="18" t="str">
        <f>'Sampling Data'!AI593</f>
        <v/>
      </c>
      <c r="B593" s="18" t="str">
        <f>'Sampling Data'!A593</f>
        <v>0302 CIN 3-B   (ED)</v>
      </c>
      <c r="C593" s="18">
        <f>'Sampling Data'!B593</f>
        <v>17</v>
      </c>
      <c r="D593" s="18">
        <f>'Sampling Data'!C593</f>
        <v>2</v>
      </c>
      <c r="E593" s="19">
        <f>'Sampling Data'!D593</f>
        <v>0</v>
      </c>
      <c r="F593" s="19">
        <f>'Sampling Data'!E593</f>
        <v>0</v>
      </c>
      <c r="G593" s="19">
        <f>'Sampling Data'!F593</f>
        <v>0</v>
      </c>
      <c r="H593" s="19">
        <f>'Sampling Data'!G593</f>
        <v>0</v>
      </c>
      <c r="I593" s="19">
        <f>'Sampling Data'!H593</f>
        <v>0</v>
      </c>
      <c r="J593" s="19">
        <f>'Sampling Data'!I593</f>
        <v>0</v>
      </c>
      <c r="K593" s="19">
        <f>'Sampling Data'!J593</f>
        <v>0</v>
      </c>
      <c r="L593" s="19">
        <f>'Sampling Data'!K593</f>
        <v>0</v>
      </c>
      <c r="M593" s="19">
        <f>'Sampling Data'!L593</f>
        <v>0</v>
      </c>
      <c r="N593" s="19">
        <f>'Sampling Data'!M593</f>
        <v>0</v>
      </c>
      <c r="O593" s="18">
        <f>'Sampling Data'!N593</f>
        <v>0</v>
      </c>
      <c r="P593" s="18">
        <f>'Sampling Data'!O593</f>
        <v>0</v>
      </c>
      <c r="Q593" s="18">
        <f>'Sampling Data'!P593</f>
        <v>19</v>
      </c>
      <c r="R593" s="18">
        <f>'Sampling Data'!AJ593</f>
        <v>0</v>
      </c>
      <c r="S593" s="112"/>
      <c r="T593" s="112"/>
      <c r="U593" s="113"/>
      <c r="V593" s="113"/>
      <c r="W593" s="112"/>
      <c r="X593" s="112"/>
      <c r="Y593" s="112"/>
      <c r="Z593" s="112"/>
      <c r="AA593" s="15"/>
      <c r="AB593" s="15"/>
      <c r="AC593" s="15"/>
      <c r="AD593" s="15"/>
      <c r="AE593" s="114" t="str">
        <f>IF(NOT(ISBLANK(Audit[[#This Row],[Audit Winning Candidate]])), Audit[[#This Row],[Audit Winning Candidate]]-Audit[[#This Row],[Winning Candidate]], "")</f>
        <v/>
      </c>
      <c r="AF593" s="18" t="str">
        <f>IF(NOT(ISBLANK(Audit[[#This Row],[Audit Losing Candidate]])), Audit[[#This Row],[Audit Losing Candidate]]-Audit[[#This Row],[Losing Candidate]], "")</f>
        <v/>
      </c>
      <c r="AG593" s="18" t="str">
        <f>IF(NOT(ISBLANK(Audit[[#This Row],[Audit Candidate 3]])), Audit[[#This Row],[Audit Candidate 3]]-Audit[[#This Row],[Candidate 3]], "")</f>
        <v/>
      </c>
      <c r="AH593" s="18" t="str">
        <f>IF(NOT(ISBLANK(Audit[[#This Row],[Audit Candidate 4]])),Audit[[#This Row],[Audit Candidate 4]]-Audit[[#This Row],[Candidate 4]], "")</f>
        <v/>
      </c>
      <c r="AI593" s="18" t="str">
        <f>IF(NOT(ISBLANK(Audit[[#This Row],[Audit Candidate 5]])), Audit[[#This Row],[Audit Candidate 5]]-Audit[[#This Row],[Candidate 5]], "")</f>
        <v/>
      </c>
      <c r="AJ593" s="18" t="str">
        <f>IF(NOT(ISBLANK(Audit[[#This Row],[Audit Candidate 6]])), Audit[[#This Row],[Audit Candidate 6]]-Audit[[#This Row],[Candidate 6]], "")</f>
        <v/>
      </c>
      <c r="AK593" s="18" t="str">
        <f>IF(NOT(ISBLANK(Audit[[#This Row],[Audit Candidate 7]])), Audit[[#This Row],[Audit Candidate 7]]-Audit[[#This Row],[Candidate 7]], "")</f>
        <v/>
      </c>
      <c r="AL593" s="18" t="str">
        <f>IF(NOT(ISBLANK(Audit[[#This Row],[Audit Candidate 8]])), Audit[[#This Row],[Audit Candidate 8]]-Audit[[#This Row],[Candidate 8]], "")</f>
        <v/>
      </c>
      <c r="AM593" s="18" t="str">
        <f>IF(NOT(ISBLANK(Audit[[#This Row],[Audit Candidate 9]])), Audit[[#This Row],[Audit Candidate 9]]-Audit[[#This Row],[Candidate 9]], "")</f>
        <v/>
      </c>
      <c r="AN593" s="18" t="str">
        <f>IF(NOT(ISBLANK(Audit[[#This Row],[Audit Candidate 10]])), Audit[[#This Row],[Audit Candidate 10]]-Audit[[#This Row],[Candidate 10]], "")</f>
        <v/>
      </c>
      <c r="AO593" s="18" t="str">
        <f>IF(NOT(ISBLANK(Audit[[#This Row],[Audit Candidate 11]])), Audit[[#This Row],[Audit Candidate 11]]-Audit[[#This Row],[Candidate 11]], "")</f>
        <v/>
      </c>
      <c r="AP593" s="18" t="str">
        <f>IF(NOT(ISBLANK(Audit[[#This Row],[Audit Candidate 12]])), Audit[[#This Row],[Audit Candidate 12]]-Audit[[#This Row],[Candidate 12]], "")</f>
        <v/>
      </c>
      <c r="AQ593" s="18">
        <f>SUMIF(Audit[[#This Row],[Difference Winner]:[Difference Candidate 12]], "&gt;0")</f>
        <v>0</v>
      </c>
      <c r="AR593" s="18">
        <f>SUM(Audit[[#This Row],[Difference Winner]:[Difference Candidate 12]])</f>
        <v>0</v>
      </c>
      <c r="AS593" s="18">
        <f>IF(Audit[[#This Row],[Times p Drawn - With Replacement]]&gt;0, IF(Audit[[#This Row],[Canceled Differences]]&lt;0, Audit[[#This Row],[Max Differences]]+ABS(Audit[[#This Row],[Canceled Differences]]), Audit[[#This Row],[Max Differences]]), 0)</f>
        <v>0</v>
      </c>
      <c r="AT593" s="18">
        <f>'Sampling Data'!AB593</f>
        <v>1.0679398184502309E-3</v>
      </c>
      <c r="AU593" s="18">
        <f>IF(
      SUM(Audit[[#This Row],[Audit Losing Candidate]:[Audit Candidate 12]])
      &lt;&gt;0,
      (Audit[[#This Row],[Winning Candidate]]-Audit[[#This Row],[Losing Candidate]]-(Audit[[#This Row],[Audit Winning Candidate]]-Audit[[#This Row],[Audit Losing Candidate]]))/(Audit[[#Totals],[Winning Candidate]]-Audit[[#Totals],[Losing Candidate]]),
      0
)</f>
        <v>0</v>
      </c>
      <c r="AV5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8">
        <f>IF(Audit[[#This Row],[Max Relative Error (ep)]] = 0, 0, Audit[[#This Row],[Max Relative Error (ep)]]/Audit[[#This Row],[Error Bound (up) - Max. possible relative overstatement]])</f>
        <v>0</v>
      </c>
      <c r="BH5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3" s="18">
        <f t="shared" si="10"/>
        <v>1</v>
      </c>
      <c r="BJ593" s="18">
        <f>PRODUCT($BI$5:BI593)</f>
        <v>0.32656797278968008</v>
      </c>
      <c r="BK593" s="20">
        <f>1 - Audit[[#This Row],[K-M P Value]]</f>
        <v>0.67343202721031992</v>
      </c>
      <c r="BL593" s="18" t="str">
        <f>IF(Audit[[#This Row],[K-M P Value]]&gt;1-'General Info'!$B$12,"Continue", "Stop")</f>
        <v>Continue</v>
      </c>
      <c r="BM593" s="23" t="b">
        <f>IF(Audit[[#This Row],[Status - Continue or stop audit]] = "Continue", TRUE, IF(BL592 = "Continue", TRUE, FALSE))</f>
        <v>1</v>
      </c>
      <c r="BN593" s="23"/>
    </row>
    <row r="594" spans="1:66" ht="15" hidden="1" customHeight="1" x14ac:dyDescent="0.35">
      <c r="A594" s="18" t="str">
        <f>'Sampling Data'!AI594</f>
        <v/>
      </c>
      <c r="B594" s="18" t="str">
        <f>'Sampling Data'!A594</f>
        <v>0303 CIN 3-C   (ED)</v>
      </c>
      <c r="C594" s="18">
        <f>'Sampling Data'!B594</f>
        <v>23</v>
      </c>
      <c r="D594" s="18">
        <f>'Sampling Data'!C594</f>
        <v>3</v>
      </c>
      <c r="E594" s="19">
        <f>'Sampling Data'!D594</f>
        <v>0</v>
      </c>
      <c r="F594" s="19">
        <f>'Sampling Data'!E594</f>
        <v>0</v>
      </c>
      <c r="G594" s="19">
        <f>'Sampling Data'!F594</f>
        <v>0</v>
      </c>
      <c r="H594" s="19">
        <f>'Sampling Data'!G594</f>
        <v>0</v>
      </c>
      <c r="I594" s="19">
        <f>'Sampling Data'!H594</f>
        <v>0</v>
      </c>
      <c r="J594" s="19">
        <f>'Sampling Data'!I594</f>
        <v>0</v>
      </c>
      <c r="K594" s="19">
        <f>'Sampling Data'!J594</f>
        <v>0</v>
      </c>
      <c r="L594" s="19">
        <f>'Sampling Data'!K594</f>
        <v>0</v>
      </c>
      <c r="M594" s="19">
        <f>'Sampling Data'!L594</f>
        <v>0</v>
      </c>
      <c r="N594" s="19">
        <f>'Sampling Data'!M594</f>
        <v>0</v>
      </c>
      <c r="O594" s="18">
        <f>'Sampling Data'!N594</f>
        <v>0</v>
      </c>
      <c r="P594" s="18">
        <f>'Sampling Data'!O594</f>
        <v>1</v>
      </c>
      <c r="Q594" s="18">
        <f>'Sampling Data'!P594</f>
        <v>27</v>
      </c>
      <c r="R594" s="18">
        <f>'Sampling Data'!AJ594</f>
        <v>0</v>
      </c>
      <c r="S594" s="112"/>
      <c r="T594" s="112"/>
      <c r="U594" s="113"/>
      <c r="V594" s="113"/>
      <c r="W594" s="112"/>
      <c r="X594" s="112"/>
      <c r="Y594" s="112"/>
      <c r="Z594" s="112"/>
      <c r="AA594" s="15"/>
      <c r="AB594" s="15"/>
      <c r="AC594" s="15"/>
      <c r="AD594" s="15"/>
      <c r="AE594" s="114" t="str">
        <f>IF(NOT(ISBLANK(Audit[[#This Row],[Audit Winning Candidate]])), Audit[[#This Row],[Audit Winning Candidate]]-Audit[[#This Row],[Winning Candidate]], "")</f>
        <v/>
      </c>
      <c r="AF594" s="18" t="str">
        <f>IF(NOT(ISBLANK(Audit[[#This Row],[Audit Losing Candidate]])), Audit[[#This Row],[Audit Losing Candidate]]-Audit[[#This Row],[Losing Candidate]], "")</f>
        <v/>
      </c>
      <c r="AG594" s="18" t="str">
        <f>IF(NOT(ISBLANK(Audit[[#This Row],[Audit Candidate 3]])), Audit[[#This Row],[Audit Candidate 3]]-Audit[[#This Row],[Candidate 3]], "")</f>
        <v/>
      </c>
      <c r="AH594" s="18" t="str">
        <f>IF(NOT(ISBLANK(Audit[[#This Row],[Audit Candidate 4]])),Audit[[#This Row],[Audit Candidate 4]]-Audit[[#This Row],[Candidate 4]], "")</f>
        <v/>
      </c>
      <c r="AI594" s="18" t="str">
        <f>IF(NOT(ISBLANK(Audit[[#This Row],[Audit Candidate 5]])), Audit[[#This Row],[Audit Candidate 5]]-Audit[[#This Row],[Candidate 5]], "")</f>
        <v/>
      </c>
      <c r="AJ594" s="18" t="str">
        <f>IF(NOT(ISBLANK(Audit[[#This Row],[Audit Candidate 6]])), Audit[[#This Row],[Audit Candidate 6]]-Audit[[#This Row],[Candidate 6]], "")</f>
        <v/>
      </c>
      <c r="AK594" s="18" t="str">
        <f>IF(NOT(ISBLANK(Audit[[#This Row],[Audit Candidate 7]])), Audit[[#This Row],[Audit Candidate 7]]-Audit[[#This Row],[Candidate 7]], "")</f>
        <v/>
      </c>
      <c r="AL594" s="18" t="str">
        <f>IF(NOT(ISBLANK(Audit[[#This Row],[Audit Candidate 8]])), Audit[[#This Row],[Audit Candidate 8]]-Audit[[#This Row],[Candidate 8]], "")</f>
        <v/>
      </c>
      <c r="AM594" s="18" t="str">
        <f>IF(NOT(ISBLANK(Audit[[#This Row],[Audit Candidate 9]])), Audit[[#This Row],[Audit Candidate 9]]-Audit[[#This Row],[Candidate 9]], "")</f>
        <v/>
      </c>
      <c r="AN594" s="18" t="str">
        <f>IF(NOT(ISBLANK(Audit[[#This Row],[Audit Candidate 10]])), Audit[[#This Row],[Audit Candidate 10]]-Audit[[#This Row],[Candidate 10]], "")</f>
        <v/>
      </c>
      <c r="AO594" s="18" t="str">
        <f>IF(NOT(ISBLANK(Audit[[#This Row],[Audit Candidate 11]])), Audit[[#This Row],[Audit Candidate 11]]-Audit[[#This Row],[Candidate 11]], "")</f>
        <v/>
      </c>
      <c r="AP594" s="18" t="str">
        <f>IF(NOT(ISBLANK(Audit[[#This Row],[Audit Candidate 12]])), Audit[[#This Row],[Audit Candidate 12]]-Audit[[#This Row],[Candidate 12]], "")</f>
        <v/>
      </c>
      <c r="AQ594" s="18">
        <f>SUMIF(Audit[[#This Row],[Difference Winner]:[Difference Candidate 12]], "&gt;0")</f>
        <v>0</v>
      </c>
      <c r="AR594" s="18">
        <f>SUM(Audit[[#This Row],[Difference Winner]:[Difference Candidate 12]])</f>
        <v>0</v>
      </c>
      <c r="AS594" s="18">
        <f>IF(Audit[[#This Row],[Times p Drawn - With Replacement]]&gt;0, IF(Audit[[#This Row],[Canceled Differences]]&lt;0, Audit[[#This Row],[Max Differences]]+ABS(Audit[[#This Row],[Canceled Differences]]), Audit[[#This Row],[Max Differences]]), 0)</f>
        <v>0</v>
      </c>
      <c r="AT594" s="18">
        <f>'Sampling Data'!AB594</f>
        <v>1.4762697490341428E-3</v>
      </c>
      <c r="AU594" s="18">
        <f>IF(
      SUM(Audit[[#This Row],[Audit Losing Candidate]:[Audit Candidate 12]])
      &lt;&gt;0,
      (Audit[[#This Row],[Winning Candidate]]-Audit[[#This Row],[Losing Candidate]]-(Audit[[#This Row],[Audit Winning Candidate]]-Audit[[#This Row],[Audit Losing Candidate]]))/(Audit[[#Totals],[Winning Candidate]]-Audit[[#Totals],[Losing Candidate]]),
      0
)</f>
        <v>0</v>
      </c>
      <c r="AV5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8">
        <f>IF(Audit[[#This Row],[Max Relative Error (ep)]] = 0, 0, Audit[[#This Row],[Max Relative Error (ep)]]/Audit[[#This Row],[Error Bound (up) - Max. possible relative overstatement]])</f>
        <v>0</v>
      </c>
      <c r="BH5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4" s="18">
        <f t="shared" si="10"/>
        <v>1</v>
      </c>
      <c r="BJ594" s="18">
        <f>PRODUCT($BI$5:BI594)</f>
        <v>0.32656797278968008</v>
      </c>
      <c r="BK594" s="20">
        <f>1 - Audit[[#This Row],[K-M P Value]]</f>
        <v>0.67343202721031992</v>
      </c>
      <c r="BL594" s="18" t="str">
        <f>IF(Audit[[#This Row],[K-M P Value]]&gt;1-'General Info'!$B$12,"Continue", "Stop")</f>
        <v>Continue</v>
      </c>
      <c r="BM594" s="23" t="b">
        <f>IF(Audit[[#This Row],[Status - Continue or stop audit]] = "Continue", TRUE, IF(BL593 = "Continue", TRUE, FALSE))</f>
        <v>1</v>
      </c>
      <c r="BN594" s="23"/>
    </row>
    <row r="595" spans="1:66" ht="15" hidden="1" customHeight="1" x14ac:dyDescent="0.35">
      <c r="A595" s="18" t="str">
        <f>'Sampling Data'!AI595</f>
        <v/>
      </c>
      <c r="B595" s="18" t="str">
        <f>'Sampling Data'!A595</f>
        <v>0304 CIN 3-D   (ED)</v>
      </c>
      <c r="C595" s="18">
        <f>'Sampling Data'!B595</f>
        <v>4</v>
      </c>
      <c r="D595" s="18">
        <f>'Sampling Data'!C595</f>
        <v>3</v>
      </c>
      <c r="E595" s="19">
        <f>'Sampling Data'!D595</f>
        <v>0</v>
      </c>
      <c r="F595" s="19">
        <f>'Sampling Data'!E595</f>
        <v>0</v>
      </c>
      <c r="G595" s="19">
        <f>'Sampling Data'!F595</f>
        <v>0</v>
      </c>
      <c r="H595" s="19">
        <f>'Sampling Data'!G595</f>
        <v>0</v>
      </c>
      <c r="I595" s="19">
        <f>'Sampling Data'!H595</f>
        <v>0</v>
      </c>
      <c r="J595" s="19">
        <f>'Sampling Data'!I595</f>
        <v>0</v>
      </c>
      <c r="K595" s="19">
        <f>'Sampling Data'!J595</f>
        <v>0</v>
      </c>
      <c r="L595" s="19">
        <f>'Sampling Data'!K595</f>
        <v>0</v>
      </c>
      <c r="M595" s="19">
        <f>'Sampling Data'!L595</f>
        <v>0</v>
      </c>
      <c r="N595" s="19">
        <f>'Sampling Data'!M595</f>
        <v>0</v>
      </c>
      <c r="O595" s="18">
        <f>'Sampling Data'!N595</f>
        <v>0</v>
      </c>
      <c r="P595" s="18">
        <f>'Sampling Data'!O595</f>
        <v>1</v>
      </c>
      <c r="Q595" s="18">
        <f>'Sampling Data'!P595</f>
        <v>8</v>
      </c>
      <c r="R595" s="18">
        <f>'Sampling Data'!AJ595</f>
        <v>0</v>
      </c>
      <c r="S595" s="112"/>
      <c r="T595" s="112"/>
      <c r="U595" s="113"/>
      <c r="V595" s="113"/>
      <c r="W595" s="112"/>
      <c r="X595" s="112"/>
      <c r="Y595" s="112"/>
      <c r="Z595" s="112"/>
      <c r="AA595" s="15"/>
      <c r="AB595" s="15"/>
      <c r="AC595" s="15"/>
      <c r="AD595" s="15"/>
      <c r="AE595" s="114" t="str">
        <f>IF(NOT(ISBLANK(Audit[[#This Row],[Audit Winning Candidate]])), Audit[[#This Row],[Audit Winning Candidate]]-Audit[[#This Row],[Winning Candidate]], "")</f>
        <v/>
      </c>
      <c r="AF595" s="18" t="str">
        <f>IF(NOT(ISBLANK(Audit[[#This Row],[Audit Losing Candidate]])), Audit[[#This Row],[Audit Losing Candidate]]-Audit[[#This Row],[Losing Candidate]], "")</f>
        <v/>
      </c>
      <c r="AG595" s="18" t="str">
        <f>IF(NOT(ISBLANK(Audit[[#This Row],[Audit Candidate 3]])), Audit[[#This Row],[Audit Candidate 3]]-Audit[[#This Row],[Candidate 3]], "")</f>
        <v/>
      </c>
      <c r="AH595" s="18" t="str">
        <f>IF(NOT(ISBLANK(Audit[[#This Row],[Audit Candidate 4]])),Audit[[#This Row],[Audit Candidate 4]]-Audit[[#This Row],[Candidate 4]], "")</f>
        <v/>
      </c>
      <c r="AI595" s="18" t="str">
        <f>IF(NOT(ISBLANK(Audit[[#This Row],[Audit Candidate 5]])), Audit[[#This Row],[Audit Candidate 5]]-Audit[[#This Row],[Candidate 5]], "")</f>
        <v/>
      </c>
      <c r="AJ595" s="18" t="str">
        <f>IF(NOT(ISBLANK(Audit[[#This Row],[Audit Candidate 6]])), Audit[[#This Row],[Audit Candidate 6]]-Audit[[#This Row],[Candidate 6]], "")</f>
        <v/>
      </c>
      <c r="AK595" s="18" t="str">
        <f>IF(NOT(ISBLANK(Audit[[#This Row],[Audit Candidate 7]])), Audit[[#This Row],[Audit Candidate 7]]-Audit[[#This Row],[Candidate 7]], "")</f>
        <v/>
      </c>
      <c r="AL595" s="18" t="str">
        <f>IF(NOT(ISBLANK(Audit[[#This Row],[Audit Candidate 8]])), Audit[[#This Row],[Audit Candidate 8]]-Audit[[#This Row],[Candidate 8]], "")</f>
        <v/>
      </c>
      <c r="AM595" s="18" t="str">
        <f>IF(NOT(ISBLANK(Audit[[#This Row],[Audit Candidate 9]])), Audit[[#This Row],[Audit Candidate 9]]-Audit[[#This Row],[Candidate 9]], "")</f>
        <v/>
      </c>
      <c r="AN595" s="18" t="str">
        <f>IF(NOT(ISBLANK(Audit[[#This Row],[Audit Candidate 10]])), Audit[[#This Row],[Audit Candidate 10]]-Audit[[#This Row],[Candidate 10]], "")</f>
        <v/>
      </c>
      <c r="AO595" s="18" t="str">
        <f>IF(NOT(ISBLANK(Audit[[#This Row],[Audit Candidate 11]])), Audit[[#This Row],[Audit Candidate 11]]-Audit[[#This Row],[Candidate 11]], "")</f>
        <v/>
      </c>
      <c r="AP595" s="18" t="str">
        <f>IF(NOT(ISBLANK(Audit[[#This Row],[Audit Candidate 12]])), Audit[[#This Row],[Audit Candidate 12]]-Audit[[#This Row],[Candidate 12]], "")</f>
        <v/>
      </c>
      <c r="AQ595" s="18">
        <f>SUMIF(Audit[[#This Row],[Difference Winner]:[Difference Candidate 12]], "&gt;0")</f>
        <v>0</v>
      </c>
      <c r="AR595" s="18">
        <f>SUM(Audit[[#This Row],[Difference Winner]:[Difference Candidate 12]])</f>
        <v>0</v>
      </c>
      <c r="AS595" s="18">
        <f>IF(Audit[[#This Row],[Times p Drawn - With Replacement]]&gt;0, IF(Audit[[#This Row],[Canceled Differences]]&lt;0, Audit[[#This Row],[Max Differences]]+ABS(Audit[[#This Row],[Canceled Differences]]), Audit[[#This Row],[Max Differences]]), 0)</f>
        <v>0</v>
      </c>
      <c r="AT595" s="18">
        <f>'Sampling Data'!AB595</f>
        <v>2.8268995194270818E-4</v>
      </c>
      <c r="AU595" s="18">
        <f>IF(
      SUM(Audit[[#This Row],[Audit Losing Candidate]:[Audit Candidate 12]])
      &lt;&gt;0,
      (Audit[[#This Row],[Winning Candidate]]-Audit[[#This Row],[Losing Candidate]]-(Audit[[#This Row],[Audit Winning Candidate]]-Audit[[#This Row],[Audit Losing Candidate]]))/(Audit[[#Totals],[Winning Candidate]]-Audit[[#Totals],[Losing Candidate]]),
      0
)</f>
        <v>0</v>
      </c>
      <c r="AV5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8">
        <f>IF(Audit[[#This Row],[Max Relative Error (ep)]] = 0, 0, Audit[[#This Row],[Max Relative Error (ep)]]/Audit[[#This Row],[Error Bound (up) - Max. possible relative overstatement]])</f>
        <v>0</v>
      </c>
      <c r="BH5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5" s="18">
        <f t="shared" si="10"/>
        <v>1</v>
      </c>
      <c r="BJ595" s="18">
        <f>PRODUCT($BI$5:BI595)</f>
        <v>0.32656797278968008</v>
      </c>
      <c r="BK595" s="20">
        <f>1 - Audit[[#This Row],[K-M P Value]]</f>
        <v>0.67343202721031992</v>
      </c>
      <c r="BL595" s="18" t="str">
        <f>IF(Audit[[#This Row],[K-M P Value]]&gt;1-'General Info'!$B$12,"Continue", "Stop")</f>
        <v>Continue</v>
      </c>
      <c r="BM595" s="23" t="b">
        <f>IF(Audit[[#This Row],[Status - Continue or stop audit]] = "Continue", TRUE, IF(BL594 = "Continue", TRUE, FALSE))</f>
        <v>1</v>
      </c>
      <c r="BN595" s="23"/>
    </row>
    <row r="596" spans="1:66" ht="15" hidden="1" customHeight="1" x14ac:dyDescent="0.35">
      <c r="A596" s="18" t="str">
        <f>'Sampling Data'!AI596</f>
        <v/>
      </c>
      <c r="B596" s="18" t="str">
        <f>'Sampling Data'!A596</f>
        <v>0305 CIN 3-E   (ED)</v>
      </c>
      <c r="C596" s="18">
        <f>'Sampling Data'!B596</f>
        <v>4</v>
      </c>
      <c r="D596" s="18">
        <f>'Sampling Data'!C596</f>
        <v>2</v>
      </c>
      <c r="E596" s="19">
        <f>'Sampling Data'!D596</f>
        <v>0</v>
      </c>
      <c r="F596" s="19">
        <f>'Sampling Data'!E596</f>
        <v>0</v>
      </c>
      <c r="G596" s="19">
        <f>'Sampling Data'!F596</f>
        <v>0</v>
      </c>
      <c r="H596" s="19">
        <f>'Sampling Data'!G596</f>
        <v>0</v>
      </c>
      <c r="I596" s="19">
        <f>'Sampling Data'!H596</f>
        <v>0</v>
      </c>
      <c r="J596" s="19">
        <f>'Sampling Data'!I596</f>
        <v>0</v>
      </c>
      <c r="K596" s="19">
        <f>'Sampling Data'!J596</f>
        <v>0</v>
      </c>
      <c r="L596" s="19">
        <f>'Sampling Data'!K596</f>
        <v>0</v>
      </c>
      <c r="M596" s="19">
        <f>'Sampling Data'!L596</f>
        <v>0</v>
      </c>
      <c r="N596" s="19">
        <f>'Sampling Data'!M596</f>
        <v>0</v>
      </c>
      <c r="O596" s="18">
        <f>'Sampling Data'!N596</f>
        <v>0</v>
      </c>
      <c r="P596" s="18">
        <f>'Sampling Data'!O596</f>
        <v>1</v>
      </c>
      <c r="Q596" s="18">
        <f>'Sampling Data'!P596</f>
        <v>7</v>
      </c>
      <c r="R596" s="18">
        <f>'Sampling Data'!AJ596</f>
        <v>0</v>
      </c>
      <c r="S596" s="112"/>
      <c r="T596" s="112"/>
      <c r="U596" s="113"/>
      <c r="V596" s="113"/>
      <c r="W596" s="112"/>
      <c r="X596" s="112"/>
      <c r="Y596" s="112"/>
      <c r="Z596" s="112"/>
      <c r="AA596" s="15"/>
      <c r="AB596" s="15"/>
      <c r="AC596" s="15"/>
      <c r="AD596" s="15"/>
      <c r="AE596" s="114" t="str">
        <f>IF(NOT(ISBLANK(Audit[[#This Row],[Audit Winning Candidate]])), Audit[[#This Row],[Audit Winning Candidate]]-Audit[[#This Row],[Winning Candidate]], "")</f>
        <v/>
      </c>
      <c r="AF596" s="18" t="str">
        <f>IF(NOT(ISBLANK(Audit[[#This Row],[Audit Losing Candidate]])), Audit[[#This Row],[Audit Losing Candidate]]-Audit[[#This Row],[Losing Candidate]], "")</f>
        <v/>
      </c>
      <c r="AG596" s="18" t="str">
        <f>IF(NOT(ISBLANK(Audit[[#This Row],[Audit Candidate 3]])), Audit[[#This Row],[Audit Candidate 3]]-Audit[[#This Row],[Candidate 3]], "")</f>
        <v/>
      </c>
      <c r="AH596" s="18" t="str">
        <f>IF(NOT(ISBLANK(Audit[[#This Row],[Audit Candidate 4]])),Audit[[#This Row],[Audit Candidate 4]]-Audit[[#This Row],[Candidate 4]], "")</f>
        <v/>
      </c>
      <c r="AI596" s="18" t="str">
        <f>IF(NOT(ISBLANK(Audit[[#This Row],[Audit Candidate 5]])), Audit[[#This Row],[Audit Candidate 5]]-Audit[[#This Row],[Candidate 5]], "")</f>
        <v/>
      </c>
      <c r="AJ596" s="18" t="str">
        <f>IF(NOT(ISBLANK(Audit[[#This Row],[Audit Candidate 6]])), Audit[[#This Row],[Audit Candidate 6]]-Audit[[#This Row],[Candidate 6]], "")</f>
        <v/>
      </c>
      <c r="AK596" s="18" t="str">
        <f>IF(NOT(ISBLANK(Audit[[#This Row],[Audit Candidate 7]])), Audit[[#This Row],[Audit Candidate 7]]-Audit[[#This Row],[Candidate 7]], "")</f>
        <v/>
      </c>
      <c r="AL596" s="18" t="str">
        <f>IF(NOT(ISBLANK(Audit[[#This Row],[Audit Candidate 8]])), Audit[[#This Row],[Audit Candidate 8]]-Audit[[#This Row],[Candidate 8]], "")</f>
        <v/>
      </c>
      <c r="AM596" s="18" t="str">
        <f>IF(NOT(ISBLANK(Audit[[#This Row],[Audit Candidate 9]])), Audit[[#This Row],[Audit Candidate 9]]-Audit[[#This Row],[Candidate 9]], "")</f>
        <v/>
      </c>
      <c r="AN596" s="18" t="str">
        <f>IF(NOT(ISBLANK(Audit[[#This Row],[Audit Candidate 10]])), Audit[[#This Row],[Audit Candidate 10]]-Audit[[#This Row],[Candidate 10]], "")</f>
        <v/>
      </c>
      <c r="AO596" s="18" t="str">
        <f>IF(NOT(ISBLANK(Audit[[#This Row],[Audit Candidate 11]])), Audit[[#This Row],[Audit Candidate 11]]-Audit[[#This Row],[Candidate 11]], "")</f>
        <v/>
      </c>
      <c r="AP596" s="18" t="str">
        <f>IF(NOT(ISBLANK(Audit[[#This Row],[Audit Candidate 12]])), Audit[[#This Row],[Audit Candidate 12]]-Audit[[#This Row],[Candidate 12]], "")</f>
        <v/>
      </c>
      <c r="AQ596" s="18">
        <f>SUMIF(Audit[[#This Row],[Difference Winner]:[Difference Candidate 12]], "&gt;0")</f>
        <v>0</v>
      </c>
      <c r="AR596" s="18">
        <f>SUM(Audit[[#This Row],[Difference Winner]:[Difference Candidate 12]])</f>
        <v>0</v>
      </c>
      <c r="AS596" s="18">
        <f>IF(Audit[[#This Row],[Times p Drawn - With Replacement]]&gt;0, IF(Audit[[#This Row],[Canceled Differences]]&lt;0, Audit[[#This Row],[Max Differences]]+ABS(Audit[[#This Row],[Canceled Differences]]), Audit[[#This Row],[Max Differences]]), 0)</f>
        <v>0</v>
      </c>
      <c r="AT596" s="18">
        <f>'Sampling Data'!AB596</f>
        <v>2.8268995194270818E-4</v>
      </c>
      <c r="AU596" s="18">
        <f>IF(
      SUM(Audit[[#This Row],[Audit Losing Candidate]:[Audit Candidate 12]])
      &lt;&gt;0,
      (Audit[[#This Row],[Winning Candidate]]-Audit[[#This Row],[Losing Candidate]]-(Audit[[#This Row],[Audit Winning Candidate]]-Audit[[#This Row],[Audit Losing Candidate]]))/(Audit[[#Totals],[Winning Candidate]]-Audit[[#Totals],[Losing Candidate]]),
      0
)</f>
        <v>0</v>
      </c>
      <c r="AV5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8">
        <f>IF(Audit[[#This Row],[Max Relative Error (ep)]] = 0, 0, Audit[[#This Row],[Max Relative Error (ep)]]/Audit[[#This Row],[Error Bound (up) - Max. possible relative overstatement]])</f>
        <v>0</v>
      </c>
      <c r="BH5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6" s="18">
        <f t="shared" si="10"/>
        <v>1</v>
      </c>
      <c r="BJ596" s="18">
        <f>PRODUCT($BI$5:BI596)</f>
        <v>0.32656797278968008</v>
      </c>
      <c r="BK596" s="20">
        <f>1 - Audit[[#This Row],[K-M P Value]]</f>
        <v>0.67343202721031992</v>
      </c>
      <c r="BL596" s="18" t="str">
        <f>IF(Audit[[#This Row],[K-M P Value]]&gt;1-'General Info'!$B$12,"Continue", "Stop")</f>
        <v>Continue</v>
      </c>
      <c r="BM596" s="23" t="b">
        <f>IF(Audit[[#This Row],[Status - Continue or stop audit]] = "Continue", TRUE, IF(BL595 = "Continue", TRUE, FALSE))</f>
        <v>1</v>
      </c>
      <c r="BN596" s="23"/>
    </row>
    <row r="597" spans="1:66" ht="15" hidden="1" customHeight="1" x14ac:dyDescent="0.35">
      <c r="A597" s="18" t="str">
        <f>'Sampling Data'!AI597</f>
        <v/>
      </c>
      <c r="B597" s="18" t="str">
        <f>'Sampling Data'!A597</f>
        <v>0401 CIN 4-A   (ED)</v>
      </c>
      <c r="C597" s="18">
        <f>'Sampling Data'!B597</f>
        <v>55</v>
      </c>
      <c r="D597" s="18">
        <f>'Sampling Data'!C597</f>
        <v>4</v>
      </c>
      <c r="E597" s="19">
        <f>'Sampling Data'!D597</f>
        <v>0</v>
      </c>
      <c r="F597" s="19">
        <f>'Sampling Data'!E597</f>
        <v>0</v>
      </c>
      <c r="G597" s="19">
        <f>'Sampling Data'!F597</f>
        <v>0</v>
      </c>
      <c r="H597" s="19">
        <f>'Sampling Data'!G597</f>
        <v>0</v>
      </c>
      <c r="I597" s="19">
        <f>'Sampling Data'!H597</f>
        <v>0</v>
      </c>
      <c r="J597" s="19">
        <f>'Sampling Data'!I597</f>
        <v>0</v>
      </c>
      <c r="K597" s="19">
        <f>'Sampling Data'!J597</f>
        <v>0</v>
      </c>
      <c r="L597" s="19">
        <f>'Sampling Data'!K597</f>
        <v>0</v>
      </c>
      <c r="M597" s="19">
        <f>'Sampling Data'!L597</f>
        <v>0</v>
      </c>
      <c r="N597" s="19">
        <f>'Sampling Data'!M597</f>
        <v>0</v>
      </c>
      <c r="O597" s="18">
        <f>'Sampling Data'!N597</f>
        <v>0</v>
      </c>
      <c r="P597" s="18">
        <f>'Sampling Data'!O597</f>
        <v>0</v>
      </c>
      <c r="Q597" s="18">
        <f>'Sampling Data'!P597</f>
        <v>59</v>
      </c>
      <c r="R597" s="18">
        <f>'Sampling Data'!AJ597</f>
        <v>0</v>
      </c>
      <c r="S597" s="112"/>
      <c r="T597" s="112"/>
      <c r="U597" s="113"/>
      <c r="V597" s="113"/>
      <c r="W597" s="112"/>
      <c r="X597" s="112"/>
      <c r="Y597" s="112"/>
      <c r="Z597" s="112"/>
      <c r="AA597" s="15"/>
      <c r="AB597" s="15"/>
      <c r="AC597" s="15"/>
      <c r="AD597" s="15"/>
      <c r="AE597" s="114" t="str">
        <f>IF(NOT(ISBLANK(Audit[[#This Row],[Audit Winning Candidate]])), Audit[[#This Row],[Audit Winning Candidate]]-Audit[[#This Row],[Winning Candidate]], "")</f>
        <v/>
      </c>
      <c r="AF597" s="18" t="str">
        <f>IF(NOT(ISBLANK(Audit[[#This Row],[Audit Losing Candidate]])), Audit[[#This Row],[Audit Losing Candidate]]-Audit[[#This Row],[Losing Candidate]], "")</f>
        <v/>
      </c>
      <c r="AG597" s="18" t="str">
        <f>IF(NOT(ISBLANK(Audit[[#This Row],[Audit Candidate 3]])), Audit[[#This Row],[Audit Candidate 3]]-Audit[[#This Row],[Candidate 3]], "")</f>
        <v/>
      </c>
      <c r="AH597" s="18" t="str">
        <f>IF(NOT(ISBLANK(Audit[[#This Row],[Audit Candidate 4]])),Audit[[#This Row],[Audit Candidate 4]]-Audit[[#This Row],[Candidate 4]], "")</f>
        <v/>
      </c>
      <c r="AI597" s="18" t="str">
        <f>IF(NOT(ISBLANK(Audit[[#This Row],[Audit Candidate 5]])), Audit[[#This Row],[Audit Candidate 5]]-Audit[[#This Row],[Candidate 5]], "")</f>
        <v/>
      </c>
      <c r="AJ597" s="18" t="str">
        <f>IF(NOT(ISBLANK(Audit[[#This Row],[Audit Candidate 6]])), Audit[[#This Row],[Audit Candidate 6]]-Audit[[#This Row],[Candidate 6]], "")</f>
        <v/>
      </c>
      <c r="AK597" s="18" t="str">
        <f>IF(NOT(ISBLANK(Audit[[#This Row],[Audit Candidate 7]])), Audit[[#This Row],[Audit Candidate 7]]-Audit[[#This Row],[Candidate 7]], "")</f>
        <v/>
      </c>
      <c r="AL597" s="18" t="str">
        <f>IF(NOT(ISBLANK(Audit[[#This Row],[Audit Candidate 8]])), Audit[[#This Row],[Audit Candidate 8]]-Audit[[#This Row],[Candidate 8]], "")</f>
        <v/>
      </c>
      <c r="AM597" s="18" t="str">
        <f>IF(NOT(ISBLANK(Audit[[#This Row],[Audit Candidate 9]])), Audit[[#This Row],[Audit Candidate 9]]-Audit[[#This Row],[Candidate 9]], "")</f>
        <v/>
      </c>
      <c r="AN597" s="18" t="str">
        <f>IF(NOT(ISBLANK(Audit[[#This Row],[Audit Candidate 10]])), Audit[[#This Row],[Audit Candidate 10]]-Audit[[#This Row],[Candidate 10]], "")</f>
        <v/>
      </c>
      <c r="AO597" s="18" t="str">
        <f>IF(NOT(ISBLANK(Audit[[#This Row],[Audit Candidate 11]])), Audit[[#This Row],[Audit Candidate 11]]-Audit[[#This Row],[Candidate 11]], "")</f>
        <v/>
      </c>
      <c r="AP597" s="18" t="str">
        <f>IF(NOT(ISBLANK(Audit[[#This Row],[Audit Candidate 12]])), Audit[[#This Row],[Audit Candidate 12]]-Audit[[#This Row],[Candidate 12]], "")</f>
        <v/>
      </c>
      <c r="AQ597" s="18">
        <f>SUMIF(Audit[[#This Row],[Difference Winner]:[Difference Candidate 12]], "&gt;0")</f>
        <v>0</v>
      </c>
      <c r="AR597" s="18">
        <f>SUM(Audit[[#This Row],[Difference Winner]:[Difference Candidate 12]])</f>
        <v>0</v>
      </c>
      <c r="AS597" s="18">
        <f>IF(Audit[[#This Row],[Times p Drawn - With Replacement]]&gt;0, IF(Audit[[#This Row],[Canceled Differences]]&lt;0, Audit[[#This Row],[Max Differences]]+ABS(Audit[[#This Row],[Canceled Differences]]), Audit[[#This Row],[Max Differences]]), 0)</f>
        <v>0</v>
      </c>
      <c r="AT597" s="18">
        <f>'Sampling Data'!AB597</f>
        <v>3.4550994126330997E-3</v>
      </c>
      <c r="AU597" s="18">
        <f>IF(
      SUM(Audit[[#This Row],[Audit Losing Candidate]:[Audit Candidate 12]])
      &lt;&gt;0,
      (Audit[[#This Row],[Winning Candidate]]-Audit[[#This Row],[Losing Candidate]]-(Audit[[#This Row],[Audit Winning Candidate]]-Audit[[#This Row],[Audit Losing Candidate]]))/(Audit[[#Totals],[Winning Candidate]]-Audit[[#Totals],[Losing Candidate]]),
      0
)</f>
        <v>0</v>
      </c>
      <c r="AV5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8">
        <f>IF(Audit[[#This Row],[Max Relative Error (ep)]] = 0, 0, Audit[[#This Row],[Max Relative Error (ep)]]/Audit[[#This Row],[Error Bound (up) - Max. possible relative overstatement]])</f>
        <v>0</v>
      </c>
      <c r="BH5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7" s="18">
        <f t="shared" si="10"/>
        <v>1</v>
      </c>
      <c r="BJ597" s="18">
        <f>PRODUCT($BI$5:BI597)</f>
        <v>0.32656797278968008</v>
      </c>
      <c r="BK597" s="20">
        <f>1 - Audit[[#This Row],[K-M P Value]]</f>
        <v>0.67343202721031992</v>
      </c>
      <c r="BL597" s="18" t="str">
        <f>IF(Audit[[#This Row],[K-M P Value]]&gt;1-'General Info'!$B$12,"Continue", "Stop")</f>
        <v>Continue</v>
      </c>
      <c r="BM597" s="23" t="b">
        <f>IF(Audit[[#This Row],[Status - Continue or stop audit]] = "Continue", TRUE, IF(BL596 = "Continue", TRUE, FALSE))</f>
        <v>1</v>
      </c>
      <c r="BN597" s="23"/>
    </row>
    <row r="598" spans="1:66" ht="15" hidden="1" customHeight="1" x14ac:dyDescent="0.35">
      <c r="A598" s="18" t="str">
        <f>'Sampling Data'!AI598</f>
        <v/>
      </c>
      <c r="B598" s="18" t="str">
        <f>'Sampling Data'!A598</f>
        <v>0402 CIN 4-B   (ED)</v>
      </c>
      <c r="C598" s="18">
        <f>'Sampling Data'!B598</f>
        <v>31</v>
      </c>
      <c r="D598" s="18">
        <f>'Sampling Data'!C598</f>
        <v>3</v>
      </c>
      <c r="E598" s="19">
        <f>'Sampling Data'!D598</f>
        <v>0</v>
      </c>
      <c r="F598" s="19">
        <f>'Sampling Data'!E598</f>
        <v>0</v>
      </c>
      <c r="G598" s="19">
        <f>'Sampling Data'!F598</f>
        <v>0</v>
      </c>
      <c r="H598" s="19">
        <f>'Sampling Data'!G598</f>
        <v>0</v>
      </c>
      <c r="I598" s="19">
        <f>'Sampling Data'!H598</f>
        <v>0</v>
      </c>
      <c r="J598" s="19">
        <f>'Sampling Data'!I598</f>
        <v>0</v>
      </c>
      <c r="K598" s="19">
        <f>'Sampling Data'!J598</f>
        <v>0</v>
      </c>
      <c r="L598" s="19">
        <f>'Sampling Data'!K598</f>
        <v>0</v>
      </c>
      <c r="M598" s="19">
        <f>'Sampling Data'!L598</f>
        <v>0</v>
      </c>
      <c r="N598" s="19">
        <f>'Sampling Data'!M598</f>
        <v>0</v>
      </c>
      <c r="O598" s="18">
        <f>'Sampling Data'!N598</f>
        <v>0</v>
      </c>
      <c r="P598" s="18">
        <f>'Sampling Data'!O598</f>
        <v>1</v>
      </c>
      <c r="Q598" s="18">
        <f>'Sampling Data'!P598</f>
        <v>35</v>
      </c>
      <c r="R598" s="18">
        <f>'Sampling Data'!AJ598</f>
        <v>0</v>
      </c>
      <c r="S598" s="112"/>
      <c r="T598" s="112"/>
      <c r="U598" s="113"/>
      <c r="V598" s="113"/>
      <c r="W598" s="112"/>
      <c r="X598" s="112"/>
      <c r="Y598" s="112"/>
      <c r="Z598" s="112"/>
      <c r="AA598" s="15"/>
      <c r="AB598" s="15"/>
      <c r="AC598" s="15"/>
      <c r="AD598" s="15"/>
      <c r="AE598" s="114" t="str">
        <f>IF(NOT(ISBLANK(Audit[[#This Row],[Audit Winning Candidate]])), Audit[[#This Row],[Audit Winning Candidate]]-Audit[[#This Row],[Winning Candidate]], "")</f>
        <v/>
      </c>
      <c r="AF598" s="18" t="str">
        <f>IF(NOT(ISBLANK(Audit[[#This Row],[Audit Losing Candidate]])), Audit[[#This Row],[Audit Losing Candidate]]-Audit[[#This Row],[Losing Candidate]], "")</f>
        <v/>
      </c>
      <c r="AG598" s="18" t="str">
        <f>IF(NOT(ISBLANK(Audit[[#This Row],[Audit Candidate 3]])), Audit[[#This Row],[Audit Candidate 3]]-Audit[[#This Row],[Candidate 3]], "")</f>
        <v/>
      </c>
      <c r="AH598" s="18" t="str">
        <f>IF(NOT(ISBLANK(Audit[[#This Row],[Audit Candidate 4]])),Audit[[#This Row],[Audit Candidate 4]]-Audit[[#This Row],[Candidate 4]], "")</f>
        <v/>
      </c>
      <c r="AI598" s="18" t="str">
        <f>IF(NOT(ISBLANK(Audit[[#This Row],[Audit Candidate 5]])), Audit[[#This Row],[Audit Candidate 5]]-Audit[[#This Row],[Candidate 5]], "")</f>
        <v/>
      </c>
      <c r="AJ598" s="18" t="str">
        <f>IF(NOT(ISBLANK(Audit[[#This Row],[Audit Candidate 6]])), Audit[[#This Row],[Audit Candidate 6]]-Audit[[#This Row],[Candidate 6]], "")</f>
        <v/>
      </c>
      <c r="AK598" s="18" t="str">
        <f>IF(NOT(ISBLANK(Audit[[#This Row],[Audit Candidate 7]])), Audit[[#This Row],[Audit Candidate 7]]-Audit[[#This Row],[Candidate 7]], "")</f>
        <v/>
      </c>
      <c r="AL598" s="18" t="str">
        <f>IF(NOT(ISBLANK(Audit[[#This Row],[Audit Candidate 8]])), Audit[[#This Row],[Audit Candidate 8]]-Audit[[#This Row],[Candidate 8]], "")</f>
        <v/>
      </c>
      <c r="AM598" s="18" t="str">
        <f>IF(NOT(ISBLANK(Audit[[#This Row],[Audit Candidate 9]])), Audit[[#This Row],[Audit Candidate 9]]-Audit[[#This Row],[Candidate 9]], "")</f>
        <v/>
      </c>
      <c r="AN598" s="18" t="str">
        <f>IF(NOT(ISBLANK(Audit[[#This Row],[Audit Candidate 10]])), Audit[[#This Row],[Audit Candidate 10]]-Audit[[#This Row],[Candidate 10]], "")</f>
        <v/>
      </c>
      <c r="AO598" s="18" t="str">
        <f>IF(NOT(ISBLANK(Audit[[#This Row],[Audit Candidate 11]])), Audit[[#This Row],[Audit Candidate 11]]-Audit[[#This Row],[Candidate 11]], "")</f>
        <v/>
      </c>
      <c r="AP598" s="18" t="str">
        <f>IF(NOT(ISBLANK(Audit[[#This Row],[Audit Candidate 12]])), Audit[[#This Row],[Audit Candidate 12]]-Audit[[#This Row],[Candidate 12]], "")</f>
        <v/>
      </c>
      <c r="AQ598" s="18">
        <f>SUMIF(Audit[[#This Row],[Difference Winner]:[Difference Candidate 12]], "&gt;0")</f>
        <v>0</v>
      </c>
      <c r="AR598" s="18">
        <f>SUM(Audit[[#This Row],[Difference Winner]:[Difference Candidate 12]])</f>
        <v>0</v>
      </c>
      <c r="AS598" s="18">
        <f>IF(Audit[[#This Row],[Times p Drawn - With Replacement]]&gt;0, IF(Audit[[#This Row],[Canceled Differences]]&lt;0, Audit[[#This Row],[Max Differences]]+ABS(Audit[[#This Row],[Canceled Differences]]), Audit[[#This Row],[Max Differences]]), 0)</f>
        <v>0</v>
      </c>
      <c r="AT598" s="18">
        <f>'Sampling Data'!AB598</f>
        <v>1.9788296635989571E-3</v>
      </c>
      <c r="AU598" s="18">
        <f>IF(
      SUM(Audit[[#This Row],[Audit Losing Candidate]:[Audit Candidate 12]])
      &lt;&gt;0,
      (Audit[[#This Row],[Winning Candidate]]-Audit[[#This Row],[Losing Candidate]]-(Audit[[#This Row],[Audit Winning Candidate]]-Audit[[#This Row],[Audit Losing Candidate]]))/(Audit[[#Totals],[Winning Candidate]]-Audit[[#Totals],[Losing Candidate]]),
      0
)</f>
        <v>0</v>
      </c>
      <c r="AV5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8">
        <f>IF(Audit[[#This Row],[Max Relative Error (ep)]] = 0, 0, Audit[[#This Row],[Max Relative Error (ep)]]/Audit[[#This Row],[Error Bound (up) - Max. possible relative overstatement]])</f>
        <v>0</v>
      </c>
      <c r="BH5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8" s="18">
        <f t="shared" si="10"/>
        <v>1</v>
      </c>
      <c r="BJ598" s="18">
        <f>PRODUCT($BI$5:BI598)</f>
        <v>0.32656797278968008</v>
      </c>
      <c r="BK598" s="20">
        <f>1 - Audit[[#This Row],[K-M P Value]]</f>
        <v>0.67343202721031992</v>
      </c>
      <c r="BL598" s="18" t="str">
        <f>IF(Audit[[#This Row],[K-M P Value]]&gt;1-'General Info'!$B$12,"Continue", "Stop")</f>
        <v>Continue</v>
      </c>
      <c r="BM598" s="23" t="b">
        <f>IF(Audit[[#This Row],[Status - Continue or stop audit]] = "Continue", TRUE, IF(BL597 = "Continue", TRUE, FALSE))</f>
        <v>1</v>
      </c>
      <c r="BN598" s="23"/>
    </row>
    <row r="599" spans="1:66" ht="15" hidden="1" customHeight="1" x14ac:dyDescent="0.35">
      <c r="A599" s="18" t="str">
        <f>'Sampling Data'!AI599</f>
        <v/>
      </c>
      <c r="B599" s="18" t="str">
        <f>'Sampling Data'!A599</f>
        <v>0403 CIN 4-C   (ED)</v>
      </c>
      <c r="C599" s="18">
        <f>'Sampling Data'!B599</f>
        <v>19</v>
      </c>
      <c r="D599" s="18">
        <f>'Sampling Data'!C599</f>
        <v>4</v>
      </c>
      <c r="E599" s="19">
        <f>'Sampling Data'!D599</f>
        <v>0</v>
      </c>
      <c r="F599" s="19">
        <f>'Sampling Data'!E599</f>
        <v>0</v>
      </c>
      <c r="G599" s="19">
        <f>'Sampling Data'!F599</f>
        <v>0</v>
      </c>
      <c r="H599" s="19">
        <f>'Sampling Data'!G599</f>
        <v>0</v>
      </c>
      <c r="I599" s="19">
        <f>'Sampling Data'!H599</f>
        <v>0</v>
      </c>
      <c r="J599" s="19">
        <f>'Sampling Data'!I599</f>
        <v>0</v>
      </c>
      <c r="K599" s="19">
        <f>'Sampling Data'!J599</f>
        <v>0</v>
      </c>
      <c r="L599" s="19">
        <f>'Sampling Data'!K599</f>
        <v>0</v>
      </c>
      <c r="M599" s="19">
        <f>'Sampling Data'!L599</f>
        <v>0</v>
      </c>
      <c r="N599" s="19">
        <f>'Sampling Data'!M599</f>
        <v>0</v>
      </c>
      <c r="O599" s="18">
        <f>'Sampling Data'!N599</f>
        <v>0</v>
      </c>
      <c r="P599" s="18">
        <f>'Sampling Data'!O599</f>
        <v>2</v>
      </c>
      <c r="Q599" s="18">
        <f>'Sampling Data'!P599</f>
        <v>25</v>
      </c>
      <c r="R599" s="18">
        <f>'Sampling Data'!AJ599</f>
        <v>0</v>
      </c>
      <c r="S599" s="112"/>
      <c r="T599" s="112"/>
      <c r="U599" s="113"/>
      <c r="V599" s="113"/>
      <c r="W599" s="112"/>
      <c r="X599" s="112"/>
      <c r="Y599" s="112"/>
      <c r="Z599" s="112"/>
      <c r="AA599" s="15"/>
      <c r="AB599" s="15"/>
      <c r="AC599" s="15"/>
      <c r="AD599" s="15"/>
      <c r="AE599" s="114" t="str">
        <f>IF(NOT(ISBLANK(Audit[[#This Row],[Audit Winning Candidate]])), Audit[[#This Row],[Audit Winning Candidate]]-Audit[[#This Row],[Winning Candidate]], "")</f>
        <v/>
      </c>
      <c r="AF599" s="18" t="str">
        <f>IF(NOT(ISBLANK(Audit[[#This Row],[Audit Losing Candidate]])), Audit[[#This Row],[Audit Losing Candidate]]-Audit[[#This Row],[Losing Candidate]], "")</f>
        <v/>
      </c>
      <c r="AG599" s="18" t="str">
        <f>IF(NOT(ISBLANK(Audit[[#This Row],[Audit Candidate 3]])), Audit[[#This Row],[Audit Candidate 3]]-Audit[[#This Row],[Candidate 3]], "")</f>
        <v/>
      </c>
      <c r="AH599" s="18" t="str">
        <f>IF(NOT(ISBLANK(Audit[[#This Row],[Audit Candidate 4]])),Audit[[#This Row],[Audit Candidate 4]]-Audit[[#This Row],[Candidate 4]], "")</f>
        <v/>
      </c>
      <c r="AI599" s="18" t="str">
        <f>IF(NOT(ISBLANK(Audit[[#This Row],[Audit Candidate 5]])), Audit[[#This Row],[Audit Candidate 5]]-Audit[[#This Row],[Candidate 5]], "")</f>
        <v/>
      </c>
      <c r="AJ599" s="18" t="str">
        <f>IF(NOT(ISBLANK(Audit[[#This Row],[Audit Candidate 6]])), Audit[[#This Row],[Audit Candidate 6]]-Audit[[#This Row],[Candidate 6]], "")</f>
        <v/>
      </c>
      <c r="AK599" s="18" t="str">
        <f>IF(NOT(ISBLANK(Audit[[#This Row],[Audit Candidate 7]])), Audit[[#This Row],[Audit Candidate 7]]-Audit[[#This Row],[Candidate 7]], "")</f>
        <v/>
      </c>
      <c r="AL599" s="18" t="str">
        <f>IF(NOT(ISBLANK(Audit[[#This Row],[Audit Candidate 8]])), Audit[[#This Row],[Audit Candidate 8]]-Audit[[#This Row],[Candidate 8]], "")</f>
        <v/>
      </c>
      <c r="AM599" s="18" t="str">
        <f>IF(NOT(ISBLANK(Audit[[#This Row],[Audit Candidate 9]])), Audit[[#This Row],[Audit Candidate 9]]-Audit[[#This Row],[Candidate 9]], "")</f>
        <v/>
      </c>
      <c r="AN599" s="18" t="str">
        <f>IF(NOT(ISBLANK(Audit[[#This Row],[Audit Candidate 10]])), Audit[[#This Row],[Audit Candidate 10]]-Audit[[#This Row],[Candidate 10]], "")</f>
        <v/>
      </c>
      <c r="AO599" s="18" t="str">
        <f>IF(NOT(ISBLANK(Audit[[#This Row],[Audit Candidate 11]])), Audit[[#This Row],[Audit Candidate 11]]-Audit[[#This Row],[Candidate 11]], "")</f>
        <v/>
      </c>
      <c r="AP599" s="18" t="str">
        <f>IF(NOT(ISBLANK(Audit[[#This Row],[Audit Candidate 12]])), Audit[[#This Row],[Audit Candidate 12]]-Audit[[#This Row],[Candidate 12]], "")</f>
        <v/>
      </c>
      <c r="AQ599" s="18">
        <f>SUMIF(Audit[[#This Row],[Difference Winner]:[Difference Candidate 12]], "&gt;0")</f>
        <v>0</v>
      </c>
      <c r="AR599" s="18">
        <f>SUM(Audit[[#This Row],[Difference Winner]:[Difference Candidate 12]])</f>
        <v>0</v>
      </c>
      <c r="AS599" s="18">
        <f>IF(Audit[[#This Row],[Times p Drawn - With Replacement]]&gt;0, IF(Audit[[#This Row],[Canceled Differences]]&lt;0, Audit[[#This Row],[Max Differences]]+ABS(Audit[[#This Row],[Canceled Differences]]), Audit[[#This Row],[Max Differences]]), 0)</f>
        <v>0</v>
      </c>
      <c r="AT599" s="18">
        <f>'Sampling Data'!AB599</f>
        <v>1.2563997864120362E-3</v>
      </c>
      <c r="AU599" s="18">
        <f>IF(
      SUM(Audit[[#This Row],[Audit Losing Candidate]:[Audit Candidate 12]])
      &lt;&gt;0,
      (Audit[[#This Row],[Winning Candidate]]-Audit[[#This Row],[Losing Candidate]]-(Audit[[#This Row],[Audit Winning Candidate]]-Audit[[#This Row],[Audit Losing Candidate]]))/(Audit[[#Totals],[Winning Candidate]]-Audit[[#Totals],[Losing Candidate]]),
      0
)</f>
        <v>0</v>
      </c>
      <c r="AV5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8">
        <f>IF(Audit[[#This Row],[Max Relative Error (ep)]] = 0, 0, Audit[[#This Row],[Max Relative Error (ep)]]/Audit[[#This Row],[Error Bound (up) - Max. possible relative overstatement]])</f>
        <v>0</v>
      </c>
      <c r="BH5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599" s="18">
        <f t="shared" si="10"/>
        <v>1</v>
      </c>
      <c r="BJ599" s="18">
        <f>PRODUCT($BI$5:BI599)</f>
        <v>0.32656797278968008</v>
      </c>
      <c r="BK599" s="20">
        <f>1 - Audit[[#This Row],[K-M P Value]]</f>
        <v>0.67343202721031992</v>
      </c>
      <c r="BL599" s="18" t="str">
        <f>IF(Audit[[#This Row],[K-M P Value]]&gt;1-'General Info'!$B$12,"Continue", "Stop")</f>
        <v>Continue</v>
      </c>
      <c r="BM599" s="23" t="b">
        <f>IF(Audit[[#This Row],[Status - Continue or stop audit]] = "Continue", TRUE, IF(BL598 = "Continue", TRUE, FALSE))</f>
        <v>1</v>
      </c>
      <c r="BN599" s="23"/>
    </row>
    <row r="600" spans="1:66" ht="15" hidden="1" customHeight="1" x14ac:dyDescent="0.35">
      <c r="A600" s="18" t="str">
        <f>'Sampling Data'!AI600</f>
        <v/>
      </c>
      <c r="B600" s="18" t="str">
        <f>'Sampling Data'!A600</f>
        <v>0404 CIN 4-D   (ED)</v>
      </c>
      <c r="C600" s="18">
        <f>'Sampling Data'!B600</f>
        <v>45</v>
      </c>
      <c r="D600" s="18">
        <f>'Sampling Data'!C600</f>
        <v>4</v>
      </c>
      <c r="E600" s="19">
        <f>'Sampling Data'!D600</f>
        <v>0</v>
      </c>
      <c r="F600" s="19">
        <f>'Sampling Data'!E600</f>
        <v>0</v>
      </c>
      <c r="G600" s="19">
        <f>'Sampling Data'!F600</f>
        <v>0</v>
      </c>
      <c r="H600" s="19">
        <f>'Sampling Data'!G600</f>
        <v>0</v>
      </c>
      <c r="I600" s="19">
        <f>'Sampling Data'!H600</f>
        <v>0</v>
      </c>
      <c r="J600" s="19">
        <f>'Sampling Data'!I600</f>
        <v>0</v>
      </c>
      <c r="K600" s="19">
        <f>'Sampling Data'!J600</f>
        <v>0</v>
      </c>
      <c r="L600" s="19">
        <f>'Sampling Data'!K600</f>
        <v>0</v>
      </c>
      <c r="M600" s="19">
        <f>'Sampling Data'!L600</f>
        <v>0</v>
      </c>
      <c r="N600" s="19">
        <f>'Sampling Data'!M600</f>
        <v>0</v>
      </c>
      <c r="O600" s="18">
        <f>'Sampling Data'!N600</f>
        <v>0</v>
      </c>
      <c r="P600" s="18">
        <f>'Sampling Data'!O600</f>
        <v>1</v>
      </c>
      <c r="Q600" s="18">
        <f>'Sampling Data'!P600</f>
        <v>50</v>
      </c>
      <c r="R600" s="18">
        <f>'Sampling Data'!AJ600</f>
        <v>0</v>
      </c>
      <c r="S600" s="112"/>
      <c r="T600" s="112"/>
      <c r="U600" s="113"/>
      <c r="V600" s="113"/>
      <c r="W600" s="112"/>
      <c r="X600" s="112"/>
      <c r="Y600" s="112"/>
      <c r="Z600" s="112"/>
      <c r="AA600" s="15"/>
      <c r="AB600" s="15"/>
      <c r="AC600" s="15"/>
      <c r="AD600" s="15"/>
      <c r="AE600" s="114" t="str">
        <f>IF(NOT(ISBLANK(Audit[[#This Row],[Audit Winning Candidate]])), Audit[[#This Row],[Audit Winning Candidate]]-Audit[[#This Row],[Winning Candidate]], "")</f>
        <v/>
      </c>
      <c r="AF600" s="18" t="str">
        <f>IF(NOT(ISBLANK(Audit[[#This Row],[Audit Losing Candidate]])), Audit[[#This Row],[Audit Losing Candidate]]-Audit[[#This Row],[Losing Candidate]], "")</f>
        <v/>
      </c>
      <c r="AG600" s="18" t="str">
        <f>IF(NOT(ISBLANK(Audit[[#This Row],[Audit Candidate 3]])), Audit[[#This Row],[Audit Candidate 3]]-Audit[[#This Row],[Candidate 3]], "")</f>
        <v/>
      </c>
      <c r="AH600" s="18" t="str">
        <f>IF(NOT(ISBLANK(Audit[[#This Row],[Audit Candidate 4]])),Audit[[#This Row],[Audit Candidate 4]]-Audit[[#This Row],[Candidate 4]], "")</f>
        <v/>
      </c>
      <c r="AI600" s="18" t="str">
        <f>IF(NOT(ISBLANK(Audit[[#This Row],[Audit Candidate 5]])), Audit[[#This Row],[Audit Candidate 5]]-Audit[[#This Row],[Candidate 5]], "")</f>
        <v/>
      </c>
      <c r="AJ600" s="18" t="str">
        <f>IF(NOT(ISBLANK(Audit[[#This Row],[Audit Candidate 6]])), Audit[[#This Row],[Audit Candidate 6]]-Audit[[#This Row],[Candidate 6]], "")</f>
        <v/>
      </c>
      <c r="AK600" s="18" t="str">
        <f>IF(NOT(ISBLANK(Audit[[#This Row],[Audit Candidate 7]])), Audit[[#This Row],[Audit Candidate 7]]-Audit[[#This Row],[Candidate 7]], "")</f>
        <v/>
      </c>
      <c r="AL600" s="18" t="str">
        <f>IF(NOT(ISBLANK(Audit[[#This Row],[Audit Candidate 8]])), Audit[[#This Row],[Audit Candidate 8]]-Audit[[#This Row],[Candidate 8]], "")</f>
        <v/>
      </c>
      <c r="AM600" s="18" t="str">
        <f>IF(NOT(ISBLANK(Audit[[#This Row],[Audit Candidate 9]])), Audit[[#This Row],[Audit Candidate 9]]-Audit[[#This Row],[Candidate 9]], "")</f>
        <v/>
      </c>
      <c r="AN600" s="18" t="str">
        <f>IF(NOT(ISBLANK(Audit[[#This Row],[Audit Candidate 10]])), Audit[[#This Row],[Audit Candidate 10]]-Audit[[#This Row],[Candidate 10]], "")</f>
        <v/>
      </c>
      <c r="AO600" s="18" t="str">
        <f>IF(NOT(ISBLANK(Audit[[#This Row],[Audit Candidate 11]])), Audit[[#This Row],[Audit Candidate 11]]-Audit[[#This Row],[Candidate 11]], "")</f>
        <v/>
      </c>
      <c r="AP600" s="18" t="str">
        <f>IF(NOT(ISBLANK(Audit[[#This Row],[Audit Candidate 12]])), Audit[[#This Row],[Audit Candidate 12]]-Audit[[#This Row],[Candidate 12]], "")</f>
        <v/>
      </c>
      <c r="AQ600" s="18">
        <f>SUMIF(Audit[[#This Row],[Difference Winner]:[Difference Candidate 12]], "&gt;0")</f>
        <v>0</v>
      </c>
      <c r="AR600" s="18">
        <f>SUM(Audit[[#This Row],[Difference Winner]:[Difference Candidate 12]])</f>
        <v>0</v>
      </c>
      <c r="AS600" s="18">
        <f>IF(Audit[[#This Row],[Times p Drawn - With Replacement]]&gt;0, IF(Audit[[#This Row],[Canceled Differences]]&lt;0, Audit[[#This Row],[Max Differences]]+ABS(Audit[[#This Row],[Canceled Differences]]), Audit[[#This Row],[Max Differences]]), 0)</f>
        <v>0</v>
      </c>
      <c r="AT600" s="18">
        <f>'Sampling Data'!AB600</f>
        <v>2.8583095140873828E-3</v>
      </c>
      <c r="AU600" s="18">
        <f>IF(
      SUM(Audit[[#This Row],[Audit Losing Candidate]:[Audit Candidate 12]])
      &lt;&gt;0,
      (Audit[[#This Row],[Winning Candidate]]-Audit[[#This Row],[Losing Candidate]]-(Audit[[#This Row],[Audit Winning Candidate]]-Audit[[#This Row],[Audit Losing Candidate]]))/(Audit[[#Totals],[Winning Candidate]]-Audit[[#Totals],[Losing Candidate]]),
      0
)</f>
        <v>0</v>
      </c>
      <c r="AV6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8">
        <f>IF(Audit[[#This Row],[Max Relative Error (ep)]] = 0, 0, Audit[[#This Row],[Max Relative Error (ep)]]/Audit[[#This Row],[Error Bound (up) - Max. possible relative overstatement]])</f>
        <v>0</v>
      </c>
      <c r="BH6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0" s="18">
        <f t="shared" si="10"/>
        <v>1</v>
      </c>
      <c r="BJ600" s="18">
        <f>PRODUCT($BI$5:BI600)</f>
        <v>0.32656797278968008</v>
      </c>
      <c r="BK600" s="20">
        <f>1 - Audit[[#This Row],[K-M P Value]]</f>
        <v>0.67343202721031992</v>
      </c>
      <c r="BL600" s="18" t="str">
        <f>IF(Audit[[#This Row],[K-M P Value]]&gt;1-'General Info'!$B$12,"Continue", "Stop")</f>
        <v>Continue</v>
      </c>
      <c r="BM600" s="23" t="b">
        <f>IF(Audit[[#This Row],[Status - Continue or stop audit]] = "Continue", TRUE, IF(BL599 = "Continue", TRUE, FALSE))</f>
        <v>1</v>
      </c>
      <c r="BN600" s="23"/>
    </row>
    <row r="601" spans="1:66" ht="15" hidden="1" customHeight="1" x14ac:dyDescent="0.35">
      <c r="A601" s="18" t="str">
        <f>'Sampling Data'!AI601</f>
        <v/>
      </c>
      <c r="B601" s="18" t="str">
        <f>'Sampling Data'!A601</f>
        <v>0405 CIN 4-E   (ED)</v>
      </c>
      <c r="C601" s="18">
        <f>'Sampling Data'!B601</f>
        <v>42</v>
      </c>
      <c r="D601" s="18">
        <f>'Sampling Data'!C601</f>
        <v>4</v>
      </c>
      <c r="E601" s="19">
        <f>'Sampling Data'!D601</f>
        <v>0</v>
      </c>
      <c r="F601" s="19">
        <f>'Sampling Data'!E601</f>
        <v>0</v>
      </c>
      <c r="G601" s="19">
        <f>'Sampling Data'!F601</f>
        <v>0</v>
      </c>
      <c r="H601" s="19">
        <f>'Sampling Data'!G601</f>
        <v>0</v>
      </c>
      <c r="I601" s="19">
        <f>'Sampling Data'!H601</f>
        <v>0</v>
      </c>
      <c r="J601" s="19">
        <f>'Sampling Data'!I601</f>
        <v>0</v>
      </c>
      <c r="K601" s="19">
        <f>'Sampling Data'!J601</f>
        <v>0</v>
      </c>
      <c r="L601" s="19">
        <f>'Sampling Data'!K601</f>
        <v>0</v>
      </c>
      <c r="M601" s="19">
        <f>'Sampling Data'!L601</f>
        <v>0</v>
      </c>
      <c r="N601" s="19">
        <f>'Sampling Data'!M601</f>
        <v>0</v>
      </c>
      <c r="O601" s="18">
        <f>'Sampling Data'!N601</f>
        <v>0</v>
      </c>
      <c r="P601" s="18">
        <f>'Sampling Data'!O601</f>
        <v>1</v>
      </c>
      <c r="Q601" s="18">
        <f>'Sampling Data'!P601</f>
        <v>47</v>
      </c>
      <c r="R601" s="18">
        <f>'Sampling Data'!AJ601</f>
        <v>0</v>
      </c>
      <c r="S601" s="112"/>
      <c r="T601" s="112"/>
      <c r="U601" s="113"/>
      <c r="V601" s="113"/>
      <c r="W601" s="112"/>
      <c r="X601" s="112"/>
      <c r="Y601" s="112"/>
      <c r="Z601" s="112"/>
      <c r="AA601" s="15"/>
      <c r="AB601" s="15"/>
      <c r="AC601" s="15"/>
      <c r="AD601" s="15"/>
      <c r="AE601" s="114" t="str">
        <f>IF(NOT(ISBLANK(Audit[[#This Row],[Audit Winning Candidate]])), Audit[[#This Row],[Audit Winning Candidate]]-Audit[[#This Row],[Winning Candidate]], "")</f>
        <v/>
      </c>
      <c r="AF601" s="18" t="str">
        <f>IF(NOT(ISBLANK(Audit[[#This Row],[Audit Losing Candidate]])), Audit[[#This Row],[Audit Losing Candidate]]-Audit[[#This Row],[Losing Candidate]], "")</f>
        <v/>
      </c>
      <c r="AG601" s="18" t="str">
        <f>IF(NOT(ISBLANK(Audit[[#This Row],[Audit Candidate 3]])), Audit[[#This Row],[Audit Candidate 3]]-Audit[[#This Row],[Candidate 3]], "")</f>
        <v/>
      </c>
      <c r="AH601" s="18" t="str">
        <f>IF(NOT(ISBLANK(Audit[[#This Row],[Audit Candidate 4]])),Audit[[#This Row],[Audit Candidate 4]]-Audit[[#This Row],[Candidate 4]], "")</f>
        <v/>
      </c>
      <c r="AI601" s="18" t="str">
        <f>IF(NOT(ISBLANK(Audit[[#This Row],[Audit Candidate 5]])), Audit[[#This Row],[Audit Candidate 5]]-Audit[[#This Row],[Candidate 5]], "")</f>
        <v/>
      </c>
      <c r="AJ601" s="18" t="str">
        <f>IF(NOT(ISBLANK(Audit[[#This Row],[Audit Candidate 6]])), Audit[[#This Row],[Audit Candidate 6]]-Audit[[#This Row],[Candidate 6]], "")</f>
        <v/>
      </c>
      <c r="AK601" s="18" t="str">
        <f>IF(NOT(ISBLANK(Audit[[#This Row],[Audit Candidate 7]])), Audit[[#This Row],[Audit Candidate 7]]-Audit[[#This Row],[Candidate 7]], "")</f>
        <v/>
      </c>
      <c r="AL601" s="18" t="str">
        <f>IF(NOT(ISBLANK(Audit[[#This Row],[Audit Candidate 8]])), Audit[[#This Row],[Audit Candidate 8]]-Audit[[#This Row],[Candidate 8]], "")</f>
        <v/>
      </c>
      <c r="AM601" s="18" t="str">
        <f>IF(NOT(ISBLANK(Audit[[#This Row],[Audit Candidate 9]])), Audit[[#This Row],[Audit Candidate 9]]-Audit[[#This Row],[Candidate 9]], "")</f>
        <v/>
      </c>
      <c r="AN601" s="18" t="str">
        <f>IF(NOT(ISBLANK(Audit[[#This Row],[Audit Candidate 10]])), Audit[[#This Row],[Audit Candidate 10]]-Audit[[#This Row],[Candidate 10]], "")</f>
        <v/>
      </c>
      <c r="AO601" s="18" t="str">
        <f>IF(NOT(ISBLANK(Audit[[#This Row],[Audit Candidate 11]])), Audit[[#This Row],[Audit Candidate 11]]-Audit[[#This Row],[Candidate 11]], "")</f>
        <v/>
      </c>
      <c r="AP601" s="18" t="str">
        <f>IF(NOT(ISBLANK(Audit[[#This Row],[Audit Candidate 12]])), Audit[[#This Row],[Audit Candidate 12]]-Audit[[#This Row],[Candidate 12]], "")</f>
        <v/>
      </c>
      <c r="AQ601" s="18">
        <f>SUMIF(Audit[[#This Row],[Difference Winner]:[Difference Candidate 12]], "&gt;0")</f>
        <v>0</v>
      </c>
      <c r="AR601" s="18">
        <f>SUM(Audit[[#This Row],[Difference Winner]:[Difference Candidate 12]])</f>
        <v>0</v>
      </c>
      <c r="AS601" s="18">
        <f>IF(Audit[[#This Row],[Times p Drawn - With Replacement]]&gt;0, IF(Audit[[#This Row],[Canceled Differences]]&lt;0, Audit[[#This Row],[Max Differences]]+ABS(Audit[[#This Row],[Canceled Differences]]), Audit[[#This Row],[Max Differences]]), 0)</f>
        <v>0</v>
      </c>
      <c r="AT601" s="18">
        <f>'Sampling Data'!AB601</f>
        <v>2.6698495461255772E-3</v>
      </c>
      <c r="AU601" s="18">
        <f>IF(
      SUM(Audit[[#This Row],[Audit Losing Candidate]:[Audit Candidate 12]])
      &lt;&gt;0,
      (Audit[[#This Row],[Winning Candidate]]-Audit[[#This Row],[Losing Candidate]]-(Audit[[#This Row],[Audit Winning Candidate]]-Audit[[#This Row],[Audit Losing Candidate]]))/(Audit[[#Totals],[Winning Candidate]]-Audit[[#Totals],[Losing Candidate]]),
      0
)</f>
        <v>0</v>
      </c>
      <c r="AV6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8">
        <f>IF(Audit[[#This Row],[Max Relative Error (ep)]] = 0, 0, Audit[[#This Row],[Max Relative Error (ep)]]/Audit[[#This Row],[Error Bound (up) - Max. possible relative overstatement]])</f>
        <v>0</v>
      </c>
      <c r="BH6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1" s="18">
        <f t="shared" si="10"/>
        <v>1</v>
      </c>
      <c r="BJ601" s="18">
        <f>PRODUCT($BI$5:BI601)</f>
        <v>0.32656797278968008</v>
      </c>
      <c r="BK601" s="20">
        <f>1 - Audit[[#This Row],[K-M P Value]]</f>
        <v>0.67343202721031992</v>
      </c>
      <c r="BL601" s="18" t="str">
        <f>IF(Audit[[#This Row],[K-M P Value]]&gt;1-'General Info'!$B$12,"Continue", "Stop")</f>
        <v>Continue</v>
      </c>
      <c r="BM601" s="23" t="b">
        <f>IF(Audit[[#This Row],[Status - Continue or stop audit]] = "Continue", TRUE, IF(BL600 = "Continue", TRUE, FALSE))</f>
        <v>1</v>
      </c>
      <c r="BN601" s="23"/>
    </row>
    <row r="602" spans="1:66" ht="15" hidden="1" customHeight="1" x14ac:dyDescent="0.35">
      <c r="A602" s="18" t="str">
        <f>'Sampling Data'!AI602</f>
        <v/>
      </c>
      <c r="B602" s="18" t="str">
        <f>'Sampling Data'!A602</f>
        <v>0406 CIN 4-F   (ED)</v>
      </c>
      <c r="C602" s="18">
        <f>'Sampling Data'!B602</f>
        <v>38</v>
      </c>
      <c r="D602" s="18">
        <f>'Sampling Data'!C602</f>
        <v>6</v>
      </c>
      <c r="E602" s="19">
        <f>'Sampling Data'!D602</f>
        <v>0</v>
      </c>
      <c r="F602" s="19">
        <f>'Sampling Data'!E602</f>
        <v>0</v>
      </c>
      <c r="G602" s="19">
        <f>'Sampling Data'!F602</f>
        <v>0</v>
      </c>
      <c r="H602" s="19">
        <f>'Sampling Data'!G602</f>
        <v>0</v>
      </c>
      <c r="I602" s="19">
        <f>'Sampling Data'!H602</f>
        <v>0</v>
      </c>
      <c r="J602" s="19">
        <f>'Sampling Data'!I602</f>
        <v>0</v>
      </c>
      <c r="K602" s="19">
        <f>'Sampling Data'!J602</f>
        <v>0</v>
      </c>
      <c r="L602" s="19">
        <f>'Sampling Data'!K602</f>
        <v>0</v>
      </c>
      <c r="M602" s="19">
        <f>'Sampling Data'!L602</f>
        <v>0</v>
      </c>
      <c r="N602" s="19">
        <f>'Sampling Data'!M602</f>
        <v>0</v>
      </c>
      <c r="O602" s="18">
        <f>'Sampling Data'!N602</f>
        <v>0</v>
      </c>
      <c r="P602" s="18">
        <f>'Sampling Data'!O602</f>
        <v>0</v>
      </c>
      <c r="Q602" s="18">
        <f>'Sampling Data'!P602</f>
        <v>44</v>
      </c>
      <c r="R602" s="18">
        <f>'Sampling Data'!AJ602</f>
        <v>0</v>
      </c>
      <c r="S602" s="112"/>
      <c r="T602" s="112"/>
      <c r="U602" s="113"/>
      <c r="V602" s="113"/>
      <c r="W602" s="112"/>
      <c r="X602" s="112"/>
      <c r="Y602" s="112"/>
      <c r="Z602" s="112"/>
      <c r="AA602" s="15"/>
      <c r="AB602" s="15"/>
      <c r="AC602" s="15"/>
      <c r="AD602" s="15"/>
      <c r="AE602" s="114" t="str">
        <f>IF(NOT(ISBLANK(Audit[[#This Row],[Audit Winning Candidate]])), Audit[[#This Row],[Audit Winning Candidate]]-Audit[[#This Row],[Winning Candidate]], "")</f>
        <v/>
      </c>
      <c r="AF602" s="18" t="str">
        <f>IF(NOT(ISBLANK(Audit[[#This Row],[Audit Losing Candidate]])), Audit[[#This Row],[Audit Losing Candidate]]-Audit[[#This Row],[Losing Candidate]], "")</f>
        <v/>
      </c>
      <c r="AG602" s="18" t="str">
        <f>IF(NOT(ISBLANK(Audit[[#This Row],[Audit Candidate 3]])), Audit[[#This Row],[Audit Candidate 3]]-Audit[[#This Row],[Candidate 3]], "")</f>
        <v/>
      </c>
      <c r="AH602" s="18" t="str">
        <f>IF(NOT(ISBLANK(Audit[[#This Row],[Audit Candidate 4]])),Audit[[#This Row],[Audit Candidate 4]]-Audit[[#This Row],[Candidate 4]], "")</f>
        <v/>
      </c>
      <c r="AI602" s="18" t="str">
        <f>IF(NOT(ISBLANK(Audit[[#This Row],[Audit Candidate 5]])), Audit[[#This Row],[Audit Candidate 5]]-Audit[[#This Row],[Candidate 5]], "")</f>
        <v/>
      </c>
      <c r="AJ602" s="18" t="str">
        <f>IF(NOT(ISBLANK(Audit[[#This Row],[Audit Candidate 6]])), Audit[[#This Row],[Audit Candidate 6]]-Audit[[#This Row],[Candidate 6]], "")</f>
        <v/>
      </c>
      <c r="AK602" s="18" t="str">
        <f>IF(NOT(ISBLANK(Audit[[#This Row],[Audit Candidate 7]])), Audit[[#This Row],[Audit Candidate 7]]-Audit[[#This Row],[Candidate 7]], "")</f>
        <v/>
      </c>
      <c r="AL602" s="18" t="str">
        <f>IF(NOT(ISBLANK(Audit[[#This Row],[Audit Candidate 8]])), Audit[[#This Row],[Audit Candidate 8]]-Audit[[#This Row],[Candidate 8]], "")</f>
        <v/>
      </c>
      <c r="AM602" s="18" t="str">
        <f>IF(NOT(ISBLANK(Audit[[#This Row],[Audit Candidate 9]])), Audit[[#This Row],[Audit Candidate 9]]-Audit[[#This Row],[Candidate 9]], "")</f>
        <v/>
      </c>
      <c r="AN602" s="18" t="str">
        <f>IF(NOT(ISBLANK(Audit[[#This Row],[Audit Candidate 10]])), Audit[[#This Row],[Audit Candidate 10]]-Audit[[#This Row],[Candidate 10]], "")</f>
        <v/>
      </c>
      <c r="AO602" s="18" t="str">
        <f>IF(NOT(ISBLANK(Audit[[#This Row],[Audit Candidate 11]])), Audit[[#This Row],[Audit Candidate 11]]-Audit[[#This Row],[Candidate 11]], "")</f>
        <v/>
      </c>
      <c r="AP602" s="18" t="str">
        <f>IF(NOT(ISBLANK(Audit[[#This Row],[Audit Candidate 12]])), Audit[[#This Row],[Audit Candidate 12]]-Audit[[#This Row],[Candidate 12]], "")</f>
        <v/>
      </c>
      <c r="AQ602" s="18">
        <f>SUMIF(Audit[[#This Row],[Difference Winner]:[Difference Candidate 12]], "&gt;0")</f>
        <v>0</v>
      </c>
      <c r="AR602" s="18">
        <f>SUM(Audit[[#This Row],[Difference Winner]:[Difference Candidate 12]])</f>
        <v>0</v>
      </c>
      <c r="AS602" s="18">
        <f>IF(Audit[[#This Row],[Times p Drawn - With Replacement]]&gt;0, IF(Audit[[#This Row],[Canceled Differences]]&lt;0, Audit[[#This Row],[Max Differences]]+ABS(Audit[[#This Row],[Canceled Differences]]), Audit[[#This Row],[Max Differences]]), 0)</f>
        <v>0</v>
      </c>
      <c r="AT602" s="18">
        <f>'Sampling Data'!AB602</f>
        <v>2.3871595941828689E-3</v>
      </c>
      <c r="AU602" s="18">
        <f>IF(
      SUM(Audit[[#This Row],[Audit Losing Candidate]:[Audit Candidate 12]])
      &lt;&gt;0,
      (Audit[[#This Row],[Winning Candidate]]-Audit[[#This Row],[Losing Candidate]]-(Audit[[#This Row],[Audit Winning Candidate]]-Audit[[#This Row],[Audit Losing Candidate]]))/(Audit[[#Totals],[Winning Candidate]]-Audit[[#Totals],[Losing Candidate]]),
      0
)</f>
        <v>0</v>
      </c>
      <c r="AV6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8">
        <f>IF(Audit[[#This Row],[Max Relative Error (ep)]] = 0, 0, Audit[[#This Row],[Max Relative Error (ep)]]/Audit[[#This Row],[Error Bound (up) - Max. possible relative overstatement]])</f>
        <v>0</v>
      </c>
      <c r="BH6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2" s="18">
        <f t="shared" si="10"/>
        <v>1</v>
      </c>
      <c r="BJ602" s="18">
        <f>PRODUCT($BI$5:BI602)</f>
        <v>0.32656797278968008</v>
      </c>
      <c r="BK602" s="20">
        <f>1 - Audit[[#This Row],[K-M P Value]]</f>
        <v>0.67343202721031992</v>
      </c>
      <c r="BL602" s="18" t="str">
        <f>IF(Audit[[#This Row],[K-M P Value]]&gt;1-'General Info'!$B$12,"Continue", "Stop")</f>
        <v>Continue</v>
      </c>
      <c r="BM602" s="23" t="b">
        <f>IF(Audit[[#This Row],[Status - Continue or stop audit]] = "Continue", TRUE, IF(BL601 = "Continue", TRUE, FALSE))</f>
        <v>1</v>
      </c>
      <c r="BN602" s="23"/>
    </row>
    <row r="603" spans="1:66" ht="15" hidden="1" customHeight="1" x14ac:dyDescent="0.35">
      <c r="A603" s="18" t="str">
        <f>'Sampling Data'!AI603</f>
        <v/>
      </c>
      <c r="B603" s="18" t="str">
        <f>'Sampling Data'!A603</f>
        <v>0407 CIN 4-G   (ED)</v>
      </c>
      <c r="C603" s="18">
        <f>'Sampling Data'!B603</f>
        <v>69</v>
      </c>
      <c r="D603" s="18">
        <f>'Sampling Data'!C603</f>
        <v>9</v>
      </c>
      <c r="E603" s="19">
        <f>'Sampling Data'!D603</f>
        <v>0</v>
      </c>
      <c r="F603" s="19">
        <f>'Sampling Data'!E603</f>
        <v>0</v>
      </c>
      <c r="G603" s="19">
        <f>'Sampling Data'!F603</f>
        <v>0</v>
      </c>
      <c r="H603" s="19">
        <f>'Sampling Data'!G603</f>
        <v>0</v>
      </c>
      <c r="I603" s="19">
        <f>'Sampling Data'!H603</f>
        <v>0</v>
      </c>
      <c r="J603" s="19">
        <f>'Sampling Data'!I603</f>
        <v>0</v>
      </c>
      <c r="K603" s="19">
        <f>'Sampling Data'!J603</f>
        <v>0</v>
      </c>
      <c r="L603" s="19">
        <f>'Sampling Data'!K603</f>
        <v>0</v>
      </c>
      <c r="M603" s="19">
        <f>'Sampling Data'!L603</f>
        <v>0</v>
      </c>
      <c r="N603" s="19">
        <f>'Sampling Data'!M603</f>
        <v>0</v>
      </c>
      <c r="O603" s="18">
        <f>'Sampling Data'!N603</f>
        <v>0</v>
      </c>
      <c r="P603" s="18">
        <f>'Sampling Data'!O603</f>
        <v>0</v>
      </c>
      <c r="Q603" s="18">
        <f>'Sampling Data'!P603</f>
        <v>78</v>
      </c>
      <c r="R603" s="18">
        <f>'Sampling Data'!AJ603</f>
        <v>0</v>
      </c>
      <c r="S603" s="112"/>
      <c r="T603" s="112"/>
      <c r="U603" s="113"/>
      <c r="V603" s="113"/>
      <c r="W603" s="112"/>
      <c r="X603" s="112"/>
      <c r="Y603" s="112"/>
      <c r="Z603" s="112"/>
      <c r="AA603" s="15"/>
      <c r="AB603" s="15"/>
      <c r="AC603" s="15"/>
      <c r="AD603" s="15"/>
      <c r="AE603" s="114" t="str">
        <f>IF(NOT(ISBLANK(Audit[[#This Row],[Audit Winning Candidate]])), Audit[[#This Row],[Audit Winning Candidate]]-Audit[[#This Row],[Winning Candidate]], "")</f>
        <v/>
      </c>
      <c r="AF603" s="18" t="str">
        <f>IF(NOT(ISBLANK(Audit[[#This Row],[Audit Losing Candidate]])), Audit[[#This Row],[Audit Losing Candidate]]-Audit[[#This Row],[Losing Candidate]], "")</f>
        <v/>
      </c>
      <c r="AG603" s="18" t="str">
        <f>IF(NOT(ISBLANK(Audit[[#This Row],[Audit Candidate 3]])), Audit[[#This Row],[Audit Candidate 3]]-Audit[[#This Row],[Candidate 3]], "")</f>
        <v/>
      </c>
      <c r="AH603" s="18" t="str">
        <f>IF(NOT(ISBLANK(Audit[[#This Row],[Audit Candidate 4]])),Audit[[#This Row],[Audit Candidate 4]]-Audit[[#This Row],[Candidate 4]], "")</f>
        <v/>
      </c>
      <c r="AI603" s="18" t="str">
        <f>IF(NOT(ISBLANK(Audit[[#This Row],[Audit Candidate 5]])), Audit[[#This Row],[Audit Candidate 5]]-Audit[[#This Row],[Candidate 5]], "")</f>
        <v/>
      </c>
      <c r="AJ603" s="18" t="str">
        <f>IF(NOT(ISBLANK(Audit[[#This Row],[Audit Candidate 6]])), Audit[[#This Row],[Audit Candidate 6]]-Audit[[#This Row],[Candidate 6]], "")</f>
        <v/>
      </c>
      <c r="AK603" s="18" t="str">
        <f>IF(NOT(ISBLANK(Audit[[#This Row],[Audit Candidate 7]])), Audit[[#This Row],[Audit Candidate 7]]-Audit[[#This Row],[Candidate 7]], "")</f>
        <v/>
      </c>
      <c r="AL603" s="18" t="str">
        <f>IF(NOT(ISBLANK(Audit[[#This Row],[Audit Candidate 8]])), Audit[[#This Row],[Audit Candidate 8]]-Audit[[#This Row],[Candidate 8]], "")</f>
        <v/>
      </c>
      <c r="AM603" s="18" t="str">
        <f>IF(NOT(ISBLANK(Audit[[#This Row],[Audit Candidate 9]])), Audit[[#This Row],[Audit Candidate 9]]-Audit[[#This Row],[Candidate 9]], "")</f>
        <v/>
      </c>
      <c r="AN603" s="18" t="str">
        <f>IF(NOT(ISBLANK(Audit[[#This Row],[Audit Candidate 10]])), Audit[[#This Row],[Audit Candidate 10]]-Audit[[#This Row],[Candidate 10]], "")</f>
        <v/>
      </c>
      <c r="AO603" s="18" t="str">
        <f>IF(NOT(ISBLANK(Audit[[#This Row],[Audit Candidate 11]])), Audit[[#This Row],[Audit Candidate 11]]-Audit[[#This Row],[Candidate 11]], "")</f>
        <v/>
      </c>
      <c r="AP603" s="18" t="str">
        <f>IF(NOT(ISBLANK(Audit[[#This Row],[Audit Candidate 12]])), Audit[[#This Row],[Audit Candidate 12]]-Audit[[#This Row],[Candidate 12]], "")</f>
        <v/>
      </c>
      <c r="AQ603" s="18">
        <f>SUMIF(Audit[[#This Row],[Difference Winner]:[Difference Candidate 12]], "&gt;0")</f>
        <v>0</v>
      </c>
      <c r="AR603" s="18">
        <f>SUM(Audit[[#This Row],[Difference Winner]:[Difference Candidate 12]])</f>
        <v>0</v>
      </c>
      <c r="AS603" s="18">
        <f>IF(Audit[[#This Row],[Times p Drawn - With Replacement]]&gt;0, IF(Audit[[#This Row],[Canceled Differences]]&lt;0, Audit[[#This Row],[Max Differences]]+ABS(Audit[[#This Row],[Canceled Differences]]), Audit[[#This Row],[Max Differences]]), 0)</f>
        <v>0</v>
      </c>
      <c r="AT603" s="18">
        <f>'Sampling Data'!AB603</f>
        <v>4.3345792631215253E-3</v>
      </c>
      <c r="AU603" s="18">
        <f>IF(
      SUM(Audit[[#This Row],[Audit Losing Candidate]:[Audit Candidate 12]])
      &lt;&gt;0,
      (Audit[[#This Row],[Winning Candidate]]-Audit[[#This Row],[Losing Candidate]]-(Audit[[#This Row],[Audit Winning Candidate]]-Audit[[#This Row],[Audit Losing Candidate]]))/(Audit[[#Totals],[Winning Candidate]]-Audit[[#Totals],[Losing Candidate]]),
      0
)</f>
        <v>0</v>
      </c>
      <c r="AV6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8">
        <f>IF(Audit[[#This Row],[Max Relative Error (ep)]] = 0, 0, Audit[[#This Row],[Max Relative Error (ep)]]/Audit[[#This Row],[Error Bound (up) - Max. possible relative overstatement]])</f>
        <v>0</v>
      </c>
      <c r="BH6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3" s="18">
        <f t="shared" si="10"/>
        <v>1</v>
      </c>
      <c r="BJ603" s="18">
        <f>PRODUCT($BI$5:BI603)</f>
        <v>0.32656797278968008</v>
      </c>
      <c r="BK603" s="20">
        <f>1 - Audit[[#This Row],[K-M P Value]]</f>
        <v>0.67343202721031992</v>
      </c>
      <c r="BL603" s="18" t="str">
        <f>IF(Audit[[#This Row],[K-M P Value]]&gt;1-'General Info'!$B$12,"Continue", "Stop")</f>
        <v>Continue</v>
      </c>
      <c r="BM603" s="23" t="b">
        <f>IF(Audit[[#This Row],[Status - Continue or stop audit]] = "Continue", TRUE, IF(BL602 = "Continue", TRUE, FALSE))</f>
        <v>1</v>
      </c>
      <c r="BN603" s="23"/>
    </row>
    <row r="604" spans="1:66" ht="15" hidden="1" customHeight="1" x14ac:dyDescent="0.35">
      <c r="A604" s="18" t="str">
        <f>'Sampling Data'!AI604</f>
        <v/>
      </c>
      <c r="B604" s="18" t="str">
        <f>'Sampling Data'!A604</f>
        <v>0408 CIN 4-H   (ED)</v>
      </c>
      <c r="C604" s="18">
        <f>'Sampling Data'!B604</f>
        <v>39</v>
      </c>
      <c r="D604" s="18">
        <f>'Sampling Data'!C604</f>
        <v>3</v>
      </c>
      <c r="E604" s="19">
        <f>'Sampling Data'!D604</f>
        <v>0</v>
      </c>
      <c r="F604" s="19">
        <f>'Sampling Data'!E604</f>
        <v>0</v>
      </c>
      <c r="G604" s="19">
        <f>'Sampling Data'!F604</f>
        <v>0</v>
      </c>
      <c r="H604" s="19">
        <f>'Sampling Data'!G604</f>
        <v>0</v>
      </c>
      <c r="I604" s="19">
        <f>'Sampling Data'!H604</f>
        <v>0</v>
      </c>
      <c r="J604" s="19">
        <f>'Sampling Data'!I604</f>
        <v>0</v>
      </c>
      <c r="K604" s="19">
        <f>'Sampling Data'!J604</f>
        <v>0</v>
      </c>
      <c r="L604" s="19">
        <f>'Sampling Data'!K604</f>
        <v>0</v>
      </c>
      <c r="M604" s="19">
        <f>'Sampling Data'!L604</f>
        <v>0</v>
      </c>
      <c r="N604" s="19">
        <f>'Sampling Data'!M604</f>
        <v>0</v>
      </c>
      <c r="O604" s="18">
        <f>'Sampling Data'!N604</f>
        <v>0</v>
      </c>
      <c r="P604" s="18">
        <f>'Sampling Data'!O604</f>
        <v>1</v>
      </c>
      <c r="Q604" s="18">
        <f>'Sampling Data'!P604</f>
        <v>43</v>
      </c>
      <c r="R604" s="18">
        <f>'Sampling Data'!AJ604</f>
        <v>0</v>
      </c>
      <c r="S604" s="112"/>
      <c r="T604" s="112"/>
      <c r="U604" s="113"/>
      <c r="V604" s="113"/>
      <c r="W604" s="112"/>
      <c r="X604" s="112"/>
      <c r="Y604" s="112"/>
      <c r="Z604" s="112"/>
      <c r="AA604" s="15"/>
      <c r="AB604" s="15"/>
      <c r="AC604" s="15"/>
      <c r="AD604" s="15"/>
      <c r="AE604" s="114" t="str">
        <f>IF(NOT(ISBLANK(Audit[[#This Row],[Audit Winning Candidate]])), Audit[[#This Row],[Audit Winning Candidate]]-Audit[[#This Row],[Winning Candidate]], "")</f>
        <v/>
      </c>
      <c r="AF604" s="18" t="str">
        <f>IF(NOT(ISBLANK(Audit[[#This Row],[Audit Losing Candidate]])), Audit[[#This Row],[Audit Losing Candidate]]-Audit[[#This Row],[Losing Candidate]], "")</f>
        <v/>
      </c>
      <c r="AG604" s="18" t="str">
        <f>IF(NOT(ISBLANK(Audit[[#This Row],[Audit Candidate 3]])), Audit[[#This Row],[Audit Candidate 3]]-Audit[[#This Row],[Candidate 3]], "")</f>
        <v/>
      </c>
      <c r="AH604" s="18" t="str">
        <f>IF(NOT(ISBLANK(Audit[[#This Row],[Audit Candidate 4]])),Audit[[#This Row],[Audit Candidate 4]]-Audit[[#This Row],[Candidate 4]], "")</f>
        <v/>
      </c>
      <c r="AI604" s="18" t="str">
        <f>IF(NOT(ISBLANK(Audit[[#This Row],[Audit Candidate 5]])), Audit[[#This Row],[Audit Candidate 5]]-Audit[[#This Row],[Candidate 5]], "")</f>
        <v/>
      </c>
      <c r="AJ604" s="18" t="str">
        <f>IF(NOT(ISBLANK(Audit[[#This Row],[Audit Candidate 6]])), Audit[[#This Row],[Audit Candidate 6]]-Audit[[#This Row],[Candidate 6]], "")</f>
        <v/>
      </c>
      <c r="AK604" s="18" t="str">
        <f>IF(NOT(ISBLANK(Audit[[#This Row],[Audit Candidate 7]])), Audit[[#This Row],[Audit Candidate 7]]-Audit[[#This Row],[Candidate 7]], "")</f>
        <v/>
      </c>
      <c r="AL604" s="18" t="str">
        <f>IF(NOT(ISBLANK(Audit[[#This Row],[Audit Candidate 8]])), Audit[[#This Row],[Audit Candidate 8]]-Audit[[#This Row],[Candidate 8]], "")</f>
        <v/>
      </c>
      <c r="AM604" s="18" t="str">
        <f>IF(NOT(ISBLANK(Audit[[#This Row],[Audit Candidate 9]])), Audit[[#This Row],[Audit Candidate 9]]-Audit[[#This Row],[Candidate 9]], "")</f>
        <v/>
      </c>
      <c r="AN604" s="18" t="str">
        <f>IF(NOT(ISBLANK(Audit[[#This Row],[Audit Candidate 10]])), Audit[[#This Row],[Audit Candidate 10]]-Audit[[#This Row],[Candidate 10]], "")</f>
        <v/>
      </c>
      <c r="AO604" s="18" t="str">
        <f>IF(NOT(ISBLANK(Audit[[#This Row],[Audit Candidate 11]])), Audit[[#This Row],[Audit Candidate 11]]-Audit[[#This Row],[Candidate 11]], "")</f>
        <v/>
      </c>
      <c r="AP604" s="18" t="str">
        <f>IF(NOT(ISBLANK(Audit[[#This Row],[Audit Candidate 12]])), Audit[[#This Row],[Audit Candidate 12]]-Audit[[#This Row],[Candidate 12]], "")</f>
        <v/>
      </c>
      <c r="AQ604" s="18">
        <f>SUMIF(Audit[[#This Row],[Difference Winner]:[Difference Candidate 12]], "&gt;0")</f>
        <v>0</v>
      </c>
      <c r="AR604" s="18">
        <f>SUM(Audit[[#This Row],[Difference Winner]:[Difference Candidate 12]])</f>
        <v>0</v>
      </c>
      <c r="AS604" s="18">
        <f>IF(Audit[[#This Row],[Times p Drawn - With Replacement]]&gt;0, IF(Audit[[#This Row],[Canceled Differences]]&lt;0, Audit[[#This Row],[Max Differences]]+ABS(Audit[[#This Row],[Canceled Differences]]), Audit[[#This Row],[Max Differences]]), 0)</f>
        <v>0</v>
      </c>
      <c r="AT604" s="18">
        <f>'Sampling Data'!AB604</f>
        <v>2.4813895781637717E-3</v>
      </c>
      <c r="AU604" s="18">
        <f>IF(
      SUM(Audit[[#This Row],[Audit Losing Candidate]:[Audit Candidate 12]])
      &lt;&gt;0,
      (Audit[[#This Row],[Winning Candidate]]-Audit[[#This Row],[Losing Candidate]]-(Audit[[#This Row],[Audit Winning Candidate]]-Audit[[#This Row],[Audit Losing Candidate]]))/(Audit[[#Totals],[Winning Candidate]]-Audit[[#Totals],[Losing Candidate]]),
      0
)</f>
        <v>0</v>
      </c>
      <c r="AV6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8">
        <f>IF(Audit[[#This Row],[Max Relative Error (ep)]] = 0, 0, Audit[[#This Row],[Max Relative Error (ep)]]/Audit[[#This Row],[Error Bound (up) - Max. possible relative overstatement]])</f>
        <v>0</v>
      </c>
      <c r="BH6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4" s="18">
        <f t="shared" si="10"/>
        <v>1</v>
      </c>
      <c r="BJ604" s="18">
        <f>PRODUCT($BI$5:BI604)</f>
        <v>0.32656797278968008</v>
      </c>
      <c r="BK604" s="20">
        <f>1 - Audit[[#This Row],[K-M P Value]]</f>
        <v>0.67343202721031992</v>
      </c>
      <c r="BL604" s="18" t="str">
        <f>IF(Audit[[#This Row],[K-M P Value]]&gt;1-'General Info'!$B$12,"Continue", "Stop")</f>
        <v>Continue</v>
      </c>
      <c r="BM604" s="23" t="b">
        <f>IF(Audit[[#This Row],[Status - Continue or stop audit]] = "Continue", TRUE, IF(BL603 = "Continue", TRUE, FALSE))</f>
        <v>1</v>
      </c>
      <c r="BN604" s="23"/>
    </row>
    <row r="605" spans="1:66" ht="15" hidden="1" customHeight="1" x14ac:dyDescent="0.35">
      <c r="A605" s="18" t="str">
        <f>'Sampling Data'!AI605</f>
        <v/>
      </c>
      <c r="B605" s="18" t="str">
        <f>'Sampling Data'!A605</f>
        <v>0501 CIN 5-A   (ED)</v>
      </c>
      <c r="C605" s="18">
        <f>'Sampling Data'!B605</f>
        <v>65</v>
      </c>
      <c r="D605" s="18">
        <f>'Sampling Data'!C605</f>
        <v>2</v>
      </c>
      <c r="E605" s="19">
        <f>'Sampling Data'!D605</f>
        <v>0</v>
      </c>
      <c r="F605" s="19">
        <f>'Sampling Data'!E605</f>
        <v>0</v>
      </c>
      <c r="G605" s="19">
        <f>'Sampling Data'!F605</f>
        <v>0</v>
      </c>
      <c r="H605" s="19">
        <f>'Sampling Data'!G605</f>
        <v>0</v>
      </c>
      <c r="I605" s="19">
        <f>'Sampling Data'!H605</f>
        <v>0</v>
      </c>
      <c r="J605" s="19">
        <f>'Sampling Data'!I605</f>
        <v>0</v>
      </c>
      <c r="K605" s="19">
        <f>'Sampling Data'!J605</f>
        <v>0</v>
      </c>
      <c r="L605" s="19">
        <f>'Sampling Data'!K605</f>
        <v>0</v>
      </c>
      <c r="M605" s="19">
        <f>'Sampling Data'!L605</f>
        <v>0</v>
      </c>
      <c r="N605" s="19">
        <f>'Sampling Data'!M605</f>
        <v>0</v>
      </c>
      <c r="O605" s="18">
        <f>'Sampling Data'!N605</f>
        <v>0</v>
      </c>
      <c r="P605" s="18">
        <f>'Sampling Data'!O605</f>
        <v>2</v>
      </c>
      <c r="Q605" s="18">
        <f>'Sampling Data'!P605</f>
        <v>69</v>
      </c>
      <c r="R605" s="18">
        <f>'Sampling Data'!AJ605</f>
        <v>0</v>
      </c>
      <c r="S605" s="112"/>
      <c r="T605" s="112"/>
      <c r="U605" s="113"/>
      <c r="V605" s="113"/>
      <c r="W605" s="112"/>
      <c r="X605" s="112"/>
      <c r="Y605" s="112"/>
      <c r="Z605" s="112"/>
      <c r="AA605" s="15"/>
      <c r="AB605" s="15"/>
      <c r="AC605" s="15"/>
      <c r="AD605" s="15"/>
      <c r="AE605" s="114" t="str">
        <f>IF(NOT(ISBLANK(Audit[[#This Row],[Audit Winning Candidate]])), Audit[[#This Row],[Audit Winning Candidate]]-Audit[[#This Row],[Winning Candidate]], "")</f>
        <v/>
      </c>
      <c r="AF605" s="18" t="str">
        <f>IF(NOT(ISBLANK(Audit[[#This Row],[Audit Losing Candidate]])), Audit[[#This Row],[Audit Losing Candidate]]-Audit[[#This Row],[Losing Candidate]], "")</f>
        <v/>
      </c>
      <c r="AG605" s="18" t="str">
        <f>IF(NOT(ISBLANK(Audit[[#This Row],[Audit Candidate 3]])), Audit[[#This Row],[Audit Candidate 3]]-Audit[[#This Row],[Candidate 3]], "")</f>
        <v/>
      </c>
      <c r="AH605" s="18" t="str">
        <f>IF(NOT(ISBLANK(Audit[[#This Row],[Audit Candidate 4]])),Audit[[#This Row],[Audit Candidate 4]]-Audit[[#This Row],[Candidate 4]], "")</f>
        <v/>
      </c>
      <c r="AI605" s="18" t="str">
        <f>IF(NOT(ISBLANK(Audit[[#This Row],[Audit Candidate 5]])), Audit[[#This Row],[Audit Candidate 5]]-Audit[[#This Row],[Candidate 5]], "")</f>
        <v/>
      </c>
      <c r="AJ605" s="18" t="str">
        <f>IF(NOT(ISBLANK(Audit[[#This Row],[Audit Candidate 6]])), Audit[[#This Row],[Audit Candidate 6]]-Audit[[#This Row],[Candidate 6]], "")</f>
        <v/>
      </c>
      <c r="AK605" s="18" t="str">
        <f>IF(NOT(ISBLANK(Audit[[#This Row],[Audit Candidate 7]])), Audit[[#This Row],[Audit Candidate 7]]-Audit[[#This Row],[Candidate 7]], "")</f>
        <v/>
      </c>
      <c r="AL605" s="18" t="str">
        <f>IF(NOT(ISBLANK(Audit[[#This Row],[Audit Candidate 8]])), Audit[[#This Row],[Audit Candidate 8]]-Audit[[#This Row],[Candidate 8]], "")</f>
        <v/>
      </c>
      <c r="AM605" s="18" t="str">
        <f>IF(NOT(ISBLANK(Audit[[#This Row],[Audit Candidate 9]])), Audit[[#This Row],[Audit Candidate 9]]-Audit[[#This Row],[Candidate 9]], "")</f>
        <v/>
      </c>
      <c r="AN605" s="18" t="str">
        <f>IF(NOT(ISBLANK(Audit[[#This Row],[Audit Candidate 10]])), Audit[[#This Row],[Audit Candidate 10]]-Audit[[#This Row],[Candidate 10]], "")</f>
        <v/>
      </c>
      <c r="AO605" s="18" t="str">
        <f>IF(NOT(ISBLANK(Audit[[#This Row],[Audit Candidate 11]])), Audit[[#This Row],[Audit Candidate 11]]-Audit[[#This Row],[Candidate 11]], "")</f>
        <v/>
      </c>
      <c r="AP605" s="18" t="str">
        <f>IF(NOT(ISBLANK(Audit[[#This Row],[Audit Candidate 12]])), Audit[[#This Row],[Audit Candidate 12]]-Audit[[#This Row],[Candidate 12]], "")</f>
        <v/>
      </c>
      <c r="AQ605" s="18">
        <f>SUMIF(Audit[[#This Row],[Difference Winner]:[Difference Candidate 12]], "&gt;0")</f>
        <v>0</v>
      </c>
      <c r="AR605" s="18">
        <f>SUM(Audit[[#This Row],[Difference Winner]:[Difference Candidate 12]])</f>
        <v>0</v>
      </c>
      <c r="AS605" s="18">
        <f>IF(Audit[[#This Row],[Times p Drawn - With Replacement]]&gt;0, IF(Audit[[#This Row],[Canceled Differences]]&lt;0, Audit[[#This Row],[Max Differences]]+ABS(Audit[[#This Row],[Canceled Differences]]), Audit[[#This Row],[Max Differences]]), 0)</f>
        <v>0</v>
      </c>
      <c r="AT605" s="18">
        <f>'Sampling Data'!AB605</f>
        <v>4.1461192951597198E-3</v>
      </c>
      <c r="AU605" s="18">
        <f>IF(
      SUM(Audit[[#This Row],[Audit Losing Candidate]:[Audit Candidate 12]])
      &lt;&gt;0,
      (Audit[[#This Row],[Winning Candidate]]-Audit[[#This Row],[Losing Candidate]]-(Audit[[#This Row],[Audit Winning Candidate]]-Audit[[#This Row],[Audit Losing Candidate]]))/(Audit[[#Totals],[Winning Candidate]]-Audit[[#Totals],[Losing Candidate]]),
      0
)</f>
        <v>0</v>
      </c>
      <c r="AV6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8">
        <f>IF(Audit[[#This Row],[Max Relative Error (ep)]] = 0, 0, Audit[[#This Row],[Max Relative Error (ep)]]/Audit[[#This Row],[Error Bound (up) - Max. possible relative overstatement]])</f>
        <v>0</v>
      </c>
      <c r="BH6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5" s="18">
        <f t="shared" si="10"/>
        <v>1</v>
      </c>
      <c r="BJ605" s="18">
        <f>PRODUCT($BI$5:BI605)</f>
        <v>0.32656797278968008</v>
      </c>
      <c r="BK605" s="20">
        <f>1 - Audit[[#This Row],[K-M P Value]]</f>
        <v>0.67343202721031992</v>
      </c>
      <c r="BL605" s="18" t="str">
        <f>IF(Audit[[#This Row],[K-M P Value]]&gt;1-'General Info'!$B$12,"Continue", "Stop")</f>
        <v>Continue</v>
      </c>
      <c r="BM605" s="23" t="b">
        <f>IF(Audit[[#This Row],[Status - Continue or stop audit]] = "Continue", TRUE, IF(BL604 = "Continue", TRUE, FALSE))</f>
        <v>1</v>
      </c>
      <c r="BN605" s="23"/>
    </row>
    <row r="606" spans="1:66" ht="15" hidden="1" customHeight="1" x14ac:dyDescent="0.35">
      <c r="A606" s="18" t="str">
        <f>'Sampling Data'!AI606</f>
        <v/>
      </c>
      <c r="B606" s="18" t="str">
        <f>'Sampling Data'!A606</f>
        <v>0502 CIN 5-B   (ED)</v>
      </c>
      <c r="C606" s="18">
        <f>'Sampling Data'!B606</f>
        <v>40</v>
      </c>
      <c r="D606" s="18">
        <f>'Sampling Data'!C606</f>
        <v>8</v>
      </c>
      <c r="E606" s="19">
        <f>'Sampling Data'!D606</f>
        <v>0</v>
      </c>
      <c r="F606" s="19">
        <f>'Sampling Data'!E606</f>
        <v>0</v>
      </c>
      <c r="G606" s="19">
        <f>'Sampling Data'!F606</f>
        <v>0</v>
      </c>
      <c r="H606" s="19">
        <f>'Sampling Data'!G606</f>
        <v>0</v>
      </c>
      <c r="I606" s="19">
        <f>'Sampling Data'!H606</f>
        <v>0</v>
      </c>
      <c r="J606" s="19">
        <f>'Sampling Data'!I606</f>
        <v>0</v>
      </c>
      <c r="K606" s="19">
        <f>'Sampling Data'!J606</f>
        <v>0</v>
      </c>
      <c r="L606" s="19">
        <f>'Sampling Data'!K606</f>
        <v>0</v>
      </c>
      <c r="M606" s="19">
        <f>'Sampling Data'!L606</f>
        <v>0</v>
      </c>
      <c r="N606" s="19">
        <f>'Sampling Data'!M606</f>
        <v>0</v>
      </c>
      <c r="O606" s="18">
        <f>'Sampling Data'!N606</f>
        <v>0</v>
      </c>
      <c r="P606" s="18">
        <f>'Sampling Data'!O606</f>
        <v>0</v>
      </c>
      <c r="Q606" s="18">
        <f>'Sampling Data'!P606</f>
        <v>48</v>
      </c>
      <c r="R606" s="18">
        <f>'Sampling Data'!AJ606</f>
        <v>0</v>
      </c>
      <c r="S606" s="112"/>
      <c r="T606" s="112"/>
      <c r="U606" s="113"/>
      <c r="V606" s="113"/>
      <c r="W606" s="112"/>
      <c r="X606" s="112"/>
      <c r="Y606" s="112"/>
      <c r="Z606" s="112"/>
      <c r="AA606" s="15"/>
      <c r="AB606" s="15"/>
      <c r="AC606" s="15"/>
      <c r="AD606" s="15"/>
      <c r="AE606" s="114" t="str">
        <f>IF(NOT(ISBLANK(Audit[[#This Row],[Audit Winning Candidate]])), Audit[[#This Row],[Audit Winning Candidate]]-Audit[[#This Row],[Winning Candidate]], "")</f>
        <v/>
      </c>
      <c r="AF606" s="18" t="str">
        <f>IF(NOT(ISBLANK(Audit[[#This Row],[Audit Losing Candidate]])), Audit[[#This Row],[Audit Losing Candidate]]-Audit[[#This Row],[Losing Candidate]], "")</f>
        <v/>
      </c>
      <c r="AG606" s="18" t="str">
        <f>IF(NOT(ISBLANK(Audit[[#This Row],[Audit Candidate 3]])), Audit[[#This Row],[Audit Candidate 3]]-Audit[[#This Row],[Candidate 3]], "")</f>
        <v/>
      </c>
      <c r="AH606" s="18" t="str">
        <f>IF(NOT(ISBLANK(Audit[[#This Row],[Audit Candidate 4]])),Audit[[#This Row],[Audit Candidate 4]]-Audit[[#This Row],[Candidate 4]], "")</f>
        <v/>
      </c>
      <c r="AI606" s="18" t="str">
        <f>IF(NOT(ISBLANK(Audit[[#This Row],[Audit Candidate 5]])), Audit[[#This Row],[Audit Candidate 5]]-Audit[[#This Row],[Candidate 5]], "")</f>
        <v/>
      </c>
      <c r="AJ606" s="18" t="str">
        <f>IF(NOT(ISBLANK(Audit[[#This Row],[Audit Candidate 6]])), Audit[[#This Row],[Audit Candidate 6]]-Audit[[#This Row],[Candidate 6]], "")</f>
        <v/>
      </c>
      <c r="AK606" s="18" t="str">
        <f>IF(NOT(ISBLANK(Audit[[#This Row],[Audit Candidate 7]])), Audit[[#This Row],[Audit Candidate 7]]-Audit[[#This Row],[Candidate 7]], "")</f>
        <v/>
      </c>
      <c r="AL606" s="18" t="str">
        <f>IF(NOT(ISBLANK(Audit[[#This Row],[Audit Candidate 8]])), Audit[[#This Row],[Audit Candidate 8]]-Audit[[#This Row],[Candidate 8]], "")</f>
        <v/>
      </c>
      <c r="AM606" s="18" t="str">
        <f>IF(NOT(ISBLANK(Audit[[#This Row],[Audit Candidate 9]])), Audit[[#This Row],[Audit Candidate 9]]-Audit[[#This Row],[Candidate 9]], "")</f>
        <v/>
      </c>
      <c r="AN606" s="18" t="str">
        <f>IF(NOT(ISBLANK(Audit[[#This Row],[Audit Candidate 10]])), Audit[[#This Row],[Audit Candidate 10]]-Audit[[#This Row],[Candidate 10]], "")</f>
        <v/>
      </c>
      <c r="AO606" s="18" t="str">
        <f>IF(NOT(ISBLANK(Audit[[#This Row],[Audit Candidate 11]])), Audit[[#This Row],[Audit Candidate 11]]-Audit[[#This Row],[Candidate 11]], "")</f>
        <v/>
      </c>
      <c r="AP606" s="18" t="str">
        <f>IF(NOT(ISBLANK(Audit[[#This Row],[Audit Candidate 12]])), Audit[[#This Row],[Audit Candidate 12]]-Audit[[#This Row],[Candidate 12]], "")</f>
        <v/>
      </c>
      <c r="AQ606" s="18">
        <f>SUMIF(Audit[[#This Row],[Difference Winner]:[Difference Candidate 12]], "&gt;0")</f>
        <v>0</v>
      </c>
      <c r="AR606" s="18">
        <f>SUM(Audit[[#This Row],[Difference Winner]:[Difference Candidate 12]])</f>
        <v>0</v>
      </c>
      <c r="AS606" s="18">
        <f>IF(Audit[[#This Row],[Times p Drawn - With Replacement]]&gt;0, IF(Audit[[#This Row],[Canceled Differences]]&lt;0, Audit[[#This Row],[Max Differences]]+ABS(Audit[[#This Row],[Canceled Differences]]), Audit[[#This Row],[Max Differences]]), 0)</f>
        <v>0</v>
      </c>
      <c r="AT606" s="18">
        <f>'Sampling Data'!AB606</f>
        <v>2.5127995728240725E-3</v>
      </c>
      <c r="AU606" s="18">
        <f>IF(
      SUM(Audit[[#This Row],[Audit Losing Candidate]:[Audit Candidate 12]])
      &lt;&gt;0,
      (Audit[[#This Row],[Winning Candidate]]-Audit[[#This Row],[Losing Candidate]]-(Audit[[#This Row],[Audit Winning Candidate]]-Audit[[#This Row],[Audit Losing Candidate]]))/(Audit[[#Totals],[Winning Candidate]]-Audit[[#Totals],[Losing Candidate]]),
      0
)</f>
        <v>0</v>
      </c>
      <c r="AV6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8">
        <f>IF(Audit[[#This Row],[Max Relative Error (ep)]] = 0, 0, Audit[[#This Row],[Max Relative Error (ep)]]/Audit[[#This Row],[Error Bound (up) - Max. possible relative overstatement]])</f>
        <v>0</v>
      </c>
      <c r="BH6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6" s="18">
        <f t="shared" si="10"/>
        <v>1</v>
      </c>
      <c r="BJ606" s="18">
        <f>PRODUCT($BI$5:BI606)</f>
        <v>0.32656797278968008</v>
      </c>
      <c r="BK606" s="20">
        <f>1 - Audit[[#This Row],[K-M P Value]]</f>
        <v>0.67343202721031992</v>
      </c>
      <c r="BL606" s="18" t="str">
        <f>IF(Audit[[#This Row],[K-M P Value]]&gt;1-'General Info'!$B$12,"Continue", "Stop")</f>
        <v>Continue</v>
      </c>
      <c r="BM606" s="23" t="b">
        <f>IF(Audit[[#This Row],[Status - Continue or stop audit]] = "Continue", TRUE, IF(BL605 = "Continue", TRUE, FALSE))</f>
        <v>1</v>
      </c>
      <c r="BN606" s="23"/>
    </row>
    <row r="607" spans="1:66" ht="15" hidden="1" customHeight="1" x14ac:dyDescent="0.35">
      <c r="A607" s="18" t="str">
        <f>'Sampling Data'!AI607</f>
        <v/>
      </c>
      <c r="B607" s="18" t="str">
        <f>'Sampling Data'!A607</f>
        <v>0503 CIN 5-C   (ED)</v>
      </c>
      <c r="C607" s="18">
        <f>'Sampling Data'!B607</f>
        <v>31</v>
      </c>
      <c r="D607" s="18">
        <f>'Sampling Data'!C607</f>
        <v>8</v>
      </c>
      <c r="E607" s="19">
        <f>'Sampling Data'!D607</f>
        <v>0</v>
      </c>
      <c r="F607" s="19">
        <f>'Sampling Data'!E607</f>
        <v>0</v>
      </c>
      <c r="G607" s="19">
        <f>'Sampling Data'!F607</f>
        <v>0</v>
      </c>
      <c r="H607" s="19">
        <f>'Sampling Data'!G607</f>
        <v>0</v>
      </c>
      <c r="I607" s="19">
        <f>'Sampling Data'!H607</f>
        <v>0</v>
      </c>
      <c r="J607" s="19">
        <f>'Sampling Data'!I607</f>
        <v>0</v>
      </c>
      <c r="K607" s="19">
        <f>'Sampling Data'!J607</f>
        <v>0</v>
      </c>
      <c r="L607" s="19">
        <f>'Sampling Data'!K607</f>
        <v>0</v>
      </c>
      <c r="M607" s="19">
        <f>'Sampling Data'!L607</f>
        <v>0</v>
      </c>
      <c r="N607" s="19">
        <f>'Sampling Data'!M607</f>
        <v>0</v>
      </c>
      <c r="O607" s="18">
        <f>'Sampling Data'!N607</f>
        <v>0</v>
      </c>
      <c r="P607" s="18">
        <f>'Sampling Data'!O607</f>
        <v>0</v>
      </c>
      <c r="Q607" s="18">
        <f>'Sampling Data'!P607</f>
        <v>39</v>
      </c>
      <c r="R607" s="18">
        <f>'Sampling Data'!AJ607</f>
        <v>0</v>
      </c>
      <c r="S607" s="112"/>
      <c r="T607" s="112"/>
      <c r="U607" s="113"/>
      <c r="V607" s="113"/>
      <c r="W607" s="112"/>
      <c r="X607" s="112"/>
      <c r="Y607" s="112"/>
      <c r="Z607" s="112"/>
      <c r="AA607" s="15"/>
      <c r="AB607" s="15"/>
      <c r="AC607" s="15"/>
      <c r="AD607" s="15"/>
      <c r="AE607" s="114" t="str">
        <f>IF(NOT(ISBLANK(Audit[[#This Row],[Audit Winning Candidate]])), Audit[[#This Row],[Audit Winning Candidate]]-Audit[[#This Row],[Winning Candidate]], "")</f>
        <v/>
      </c>
      <c r="AF607" s="18" t="str">
        <f>IF(NOT(ISBLANK(Audit[[#This Row],[Audit Losing Candidate]])), Audit[[#This Row],[Audit Losing Candidate]]-Audit[[#This Row],[Losing Candidate]], "")</f>
        <v/>
      </c>
      <c r="AG607" s="18" t="str">
        <f>IF(NOT(ISBLANK(Audit[[#This Row],[Audit Candidate 3]])), Audit[[#This Row],[Audit Candidate 3]]-Audit[[#This Row],[Candidate 3]], "")</f>
        <v/>
      </c>
      <c r="AH607" s="18" t="str">
        <f>IF(NOT(ISBLANK(Audit[[#This Row],[Audit Candidate 4]])),Audit[[#This Row],[Audit Candidate 4]]-Audit[[#This Row],[Candidate 4]], "")</f>
        <v/>
      </c>
      <c r="AI607" s="18" t="str">
        <f>IF(NOT(ISBLANK(Audit[[#This Row],[Audit Candidate 5]])), Audit[[#This Row],[Audit Candidate 5]]-Audit[[#This Row],[Candidate 5]], "")</f>
        <v/>
      </c>
      <c r="AJ607" s="18" t="str">
        <f>IF(NOT(ISBLANK(Audit[[#This Row],[Audit Candidate 6]])), Audit[[#This Row],[Audit Candidate 6]]-Audit[[#This Row],[Candidate 6]], "")</f>
        <v/>
      </c>
      <c r="AK607" s="18" t="str">
        <f>IF(NOT(ISBLANK(Audit[[#This Row],[Audit Candidate 7]])), Audit[[#This Row],[Audit Candidate 7]]-Audit[[#This Row],[Candidate 7]], "")</f>
        <v/>
      </c>
      <c r="AL607" s="18" t="str">
        <f>IF(NOT(ISBLANK(Audit[[#This Row],[Audit Candidate 8]])), Audit[[#This Row],[Audit Candidate 8]]-Audit[[#This Row],[Candidate 8]], "")</f>
        <v/>
      </c>
      <c r="AM607" s="18" t="str">
        <f>IF(NOT(ISBLANK(Audit[[#This Row],[Audit Candidate 9]])), Audit[[#This Row],[Audit Candidate 9]]-Audit[[#This Row],[Candidate 9]], "")</f>
        <v/>
      </c>
      <c r="AN607" s="18" t="str">
        <f>IF(NOT(ISBLANK(Audit[[#This Row],[Audit Candidate 10]])), Audit[[#This Row],[Audit Candidate 10]]-Audit[[#This Row],[Candidate 10]], "")</f>
        <v/>
      </c>
      <c r="AO607" s="18" t="str">
        <f>IF(NOT(ISBLANK(Audit[[#This Row],[Audit Candidate 11]])), Audit[[#This Row],[Audit Candidate 11]]-Audit[[#This Row],[Candidate 11]], "")</f>
        <v/>
      </c>
      <c r="AP607" s="18" t="str">
        <f>IF(NOT(ISBLANK(Audit[[#This Row],[Audit Candidate 12]])), Audit[[#This Row],[Audit Candidate 12]]-Audit[[#This Row],[Candidate 12]], "")</f>
        <v/>
      </c>
      <c r="AQ607" s="18">
        <f>SUMIF(Audit[[#This Row],[Difference Winner]:[Difference Candidate 12]], "&gt;0")</f>
        <v>0</v>
      </c>
      <c r="AR607" s="18">
        <f>SUM(Audit[[#This Row],[Difference Winner]:[Difference Candidate 12]])</f>
        <v>0</v>
      </c>
      <c r="AS607" s="18">
        <f>IF(Audit[[#This Row],[Times p Drawn - With Replacement]]&gt;0, IF(Audit[[#This Row],[Canceled Differences]]&lt;0, Audit[[#This Row],[Max Differences]]+ABS(Audit[[#This Row],[Canceled Differences]]), Audit[[#This Row],[Max Differences]]), 0)</f>
        <v>0</v>
      </c>
      <c r="AT607" s="18">
        <f>'Sampling Data'!AB607</f>
        <v>1.9474196689386564E-3</v>
      </c>
      <c r="AU607" s="18">
        <f>IF(
      SUM(Audit[[#This Row],[Audit Losing Candidate]:[Audit Candidate 12]])
      &lt;&gt;0,
      (Audit[[#This Row],[Winning Candidate]]-Audit[[#This Row],[Losing Candidate]]-(Audit[[#This Row],[Audit Winning Candidate]]-Audit[[#This Row],[Audit Losing Candidate]]))/(Audit[[#Totals],[Winning Candidate]]-Audit[[#Totals],[Losing Candidate]]),
      0
)</f>
        <v>0</v>
      </c>
      <c r="AV6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8">
        <f>IF(Audit[[#This Row],[Max Relative Error (ep)]] = 0, 0, Audit[[#This Row],[Max Relative Error (ep)]]/Audit[[#This Row],[Error Bound (up) - Max. possible relative overstatement]])</f>
        <v>0</v>
      </c>
      <c r="BH6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7" s="18">
        <f t="shared" si="10"/>
        <v>1</v>
      </c>
      <c r="BJ607" s="18">
        <f>PRODUCT($BI$5:BI607)</f>
        <v>0.32656797278968008</v>
      </c>
      <c r="BK607" s="20">
        <f>1 - Audit[[#This Row],[K-M P Value]]</f>
        <v>0.67343202721031992</v>
      </c>
      <c r="BL607" s="18" t="str">
        <f>IF(Audit[[#This Row],[K-M P Value]]&gt;1-'General Info'!$B$12,"Continue", "Stop")</f>
        <v>Continue</v>
      </c>
      <c r="BM607" s="23" t="b">
        <f>IF(Audit[[#This Row],[Status - Continue or stop audit]] = "Continue", TRUE, IF(BL606 = "Continue", TRUE, FALSE))</f>
        <v>1</v>
      </c>
      <c r="BN607" s="23"/>
    </row>
    <row r="608" spans="1:66" ht="15" hidden="1" customHeight="1" x14ac:dyDescent="0.35">
      <c r="A608" s="18" t="str">
        <f>'Sampling Data'!AI608</f>
        <v/>
      </c>
      <c r="B608" s="18" t="str">
        <f>'Sampling Data'!A608</f>
        <v>0504 CIN 5-D   (ED)</v>
      </c>
      <c r="C608" s="18">
        <f>'Sampling Data'!B608</f>
        <v>65</v>
      </c>
      <c r="D608" s="18">
        <f>'Sampling Data'!C608</f>
        <v>6</v>
      </c>
      <c r="E608" s="19">
        <f>'Sampling Data'!D608</f>
        <v>0</v>
      </c>
      <c r="F608" s="19">
        <f>'Sampling Data'!E608</f>
        <v>0</v>
      </c>
      <c r="G608" s="19">
        <f>'Sampling Data'!F608</f>
        <v>0</v>
      </c>
      <c r="H608" s="19">
        <f>'Sampling Data'!G608</f>
        <v>0</v>
      </c>
      <c r="I608" s="19">
        <f>'Sampling Data'!H608</f>
        <v>0</v>
      </c>
      <c r="J608" s="19">
        <f>'Sampling Data'!I608</f>
        <v>0</v>
      </c>
      <c r="K608" s="19">
        <f>'Sampling Data'!J608</f>
        <v>0</v>
      </c>
      <c r="L608" s="19">
        <f>'Sampling Data'!K608</f>
        <v>0</v>
      </c>
      <c r="M608" s="19">
        <f>'Sampling Data'!L608</f>
        <v>0</v>
      </c>
      <c r="N608" s="19">
        <f>'Sampling Data'!M608</f>
        <v>0</v>
      </c>
      <c r="O608" s="18">
        <f>'Sampling Data'!N608</f>
        <v>0</v>
      </c>
      <c r="P608" s="18">
        <f>'Sampling Data'!O608</f>
        <v>1</v>
      </c>
      <c r="Q608" s="18">
        <f>'Sampling Data'!P608</f>
        <v>72</v>
      </c>
      <c r="R608" s="18">
        <f>'Sampling Data'!AJ608</f>
        <v>0</v>
      </c>
      <c r="S608" s="112"/>
      <c r="T608" s="112"/>
      <c r="U608" s="113"/>
      <c r="V608" s="113"/>
      <c r="W608" s="112"/>
      <c r="X608" s="112"/>
      <c r="Y608" s="112"/>
      <c r="Z608" s="112"/>
      <c r="AA608" s="15"/>
      <c r="AB608" s="15"/>
      <c r="AC608" s="15"/>
      <c r="AD608" s="15"/>
      <c r="AE608" s="114" t="str">
        <f>IF(NOT(ISBLANK(Audit[[#This Row],[Audit Winning Candidate]])), Audit[[#This Row],[Audit Winning Candidate]]-Audit[[#This Row],[Winning Candidate]], "")</f>
        <v/>
      </c>
      <c r="AF608" s="18" t="str">
        <f>IF(NOT(ISBLANK(Audit[[#This Row],[Audit Losing Candidate]])), Audit[[#This Row],[Audit Losing Candidate]]-Audit[[#This Row],[Losing Candidate]], "")</f>
        <v/>
      </c>
      <c r="AG608" s="18" t="str">
        <f>IF(NOT(ISBLANK(Audit[[#This Row],[Audit Candidate 3]])), Audit[[#This Row],[Audit Candidate 3]]-Audit[[#This Row],[Candidate 3]], "")</f>
        <v/>
      </c>
      <c r="AH608" s="18" t="str">
        <f>IF(NOT(ISBLANK(Audit[[#This Row],[Audit Candidate 4]])),Audit[[#This Row],[Audit Candidate 4]]-Audit[[#This Row],[Candidate 4]], "")</f>
        <v/>
      </c>
      <c r="AI608" s="18" t="str">
        <f>IF(NOT(ISBLANK(Audit[[#This Row],[Audit Candidate 5]])), Audit[[#This Row],[Audit Candidate 5]]-Audit[[#This Row],[Candidate 5]], "")</f>
        <v/>
      </c>
      <c r="AJ608" s="18" t="str">
        <f>IF(NOT(ISBLANK(Audit[[#This Row],[Audit Candidate 6]])), Audit[[#This Row],[Audit Candidate 6]]-Audit[[#This Row],[Candidate 6]], "")</f>
        <v/>
      </c>
      <c r="AK608" s="18" t="str">
        <f>IF(NOT(ISBLANK(Audit[[#This Row],[Audit Candidate 7]])), Audit[[#This Row],[Audit Candidate 7]]-Audit[[#This Row],[Candidate 7]], "")</f>
        <v/>
      </c>
      <c r="AL608" s="18" t="str">
        <f>IF(NOT(ISBLANK(Audit[[#This Row],[Audit Candidate 8]])), Audit[[#This Row],[Audit Candidate 8]]-Audit[[#This Row],[Candidate 8]], "")</f>
        <v/>
      </c>
      <c r="AM608" s="18" t="str">
        <f>IF(NOT(ISBLANK(Audit[[#This Row],[Audit Candidate 9]])), Audit[[#This Row],[Audit Candidate 9]]-Audit[[#This Row],[Candidate 9]], "")</f>
        <v/>
      </c>
      <c r="AN608" s="18" t="str">
        <f>IF(NOT(ISBLANK(Audit[[#This Row],[Audit Candidate 10]])), Audit[[#This Row],[Audit Candidate 10]]-Audit[[#This Row],[Candidate 10]], "")</f>
        <v/>
      </c>
      <c r="AO608" s="18" t="str">
        <f>IF(NOT(ISBLANK(Audit[[#This Row],[Audit Candidate 11]])), Audit[[#This Row],[Audit Candidate 11]]-Audit[[#This Row],[Candidate 11]], "")</f>
        <v/>
      </c>
      <c r="AP608" s="18" t="str">
        <f>IF(NOT(ISBLANK(Audit[[#This Row],[Audit Candidate 12]])), Audit[[#This Row],[Audit Candidate 12]]-Audit[[#This Row],[Candidate 12]], "")</f>
        <v/>
      </c>
      <c r="AQ608" s="18">
        <f>SUMIF(Audit[[#This Row],[Difference Winner]:[Difference Candidate 12]], "&gt;0")</f>
        <v>0</v>
      </c>
      <c r="AR608" s="18">
        <f>SUM(Audit[[#This Row],[Difference Winner]:[Difference Candidate 12]])</f>
        <v>0</v>
      </c>
      <c r="AS608" s="18">
        <f>IF(Audit[[#This Row],[Times p Drawn - With Replacement]]&gt;0, IF(Audit[[#This Row],[Canceled Differences]]&lt;0, Audit[[#This Row],[Max Differences]]+ABS(Audit[[#This Row],[Canceled Differences]]), Audit[[#This Row],[Max Differences]]), 0)</f>
        <v>0</v>
      </c>
      <c r="AT608" s="18">
        <f>'Sampling Data'!AB608</f>
        <v>4.114709300499419E-3</v>
      </c>
      <c r="AU608" s="18">
        <f>IF(
      SUM(Audit[[#This Row],[Audit Losing Candidate]:[Audit Candidate 12]])
      &lt;&gt;0,
      (Audit[[#This Row],[Winning Candidate]]-Audit[[#This Row],[Losing Candidate]]-(Audit[[#This Row],[Audit Winning Candidate]]-Audit[[#This Row],[Audit Losing Candidate]]))/(Audit[[#Totals],[Winning Candidate]]-Audit[[#Totals],[Losing Candidate]]),
      0
)</f>
        <v>0</v>
      </c>
      <c r="AV6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8">
        <f>IF(Audit[[#This Row],[Max Relative Error (ep)]] = 0, 0, Audit[[#This Row],[Max Relative Error (ep)]]/Audit[[#This Row],[Error Bound (up) - Max. possible relative overstatement]])</f>
        <v>0</v>
      </c>
      <c r="BH6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8" s="18">
        <f t="shared" si="10"/>
        <v>1</v>
      </c>
      <c r="BJ608" s="18">
        <f>PRODUCT($BI$5:BI608)</f>
        <v>0.32656797278968008</v>
      </c>
      <c r="BK608" s="20">
        <f>1 - Audit[[#This Row],[K-M P Value]]</f>
        <v>0.67343202721031992</v>
      </c>
      <c r="BL608" s="18" t="str">
        <f>IF(Audit[[#This Row],[K-M P Value]]&gt;1-'General Info'!$B$12,"Continue", "Stop")</f>
        <v>Continue</v>
      </c>
      <c r="BM608" s="23" t="b">
        <f>IF(Audit[[#This Row],[Status - Continue or stop audit]] = "Continue", TRUE, IF(BL607 = "Continue", TRUE, FALSE))</f>
        <v>1</v>
      </c>
      <c r="BN608" s="23"/>
    </row>
    <row r="609" spans="1:66" ht="15" hidden="1" customHeight="1" x14ac:dyDescent="0.35">
      <c r="A609" s="18" t="str">
        <f>'Sampling Data'!AI609</f>
        <v/>
      </c>
      <c r="B609" s="18" t="str">
        <f>'Sampling Data'!A609</f>
        <v>0505 CIN 5-E   (ED)</v>
      </c>
      <c r="C609" s="18">
        <f>'Sampling Data'!B609</f>
        <v>38</v>
      </c>
      <c r="D609" s="18">
        <f>'Sampling Data'!C609</f>
        <v>3</v>
      </c>
      <c r="E609" s="19">
        <f>'Sampling Data'!D609</f>
        <v>0</v>
      </c>
      <c r="F609" s="19">
        <f>'Sampling Data'!E609</f>
        <v>0</v>
      </c>
      <c r="G609" s="19">
        <f>'Sampling Data'!F609</f>
        <v>0</v>
      </c>
      <c r="H609" s="19">
        <f>'Sampling Data'!G609</f>
        <v>0</v>
      </c>
      <c r="I609" s="19">
        <f>'Sampling Data'!H609</f>
        <v>0</v>
      </c>
      <c r="J609" s="19">
        <f>'Sampling Data'!I609</f>
        <v>0</v>
      </c>
      <c r="K609" s="19">
        <f>'Sampling Data'!J609</f>
        <v>0</v>
      </c>
      <c r="L609" s="19">
        <f>'Sampling Data'!K609</f>
        <v>0</v>
      </c>
      <c r="M609" s="19">
        <f>'Sampling Data'!L609</f>
        <v>0</v>
      </c>
      <c r="N609" s="19">
        <f>'Sampling Data'!M609</f>
        <v>0</v>
      </c>
      <c r="O609" s="18">
        <f>'Sampling Data'!N609</f>
        <v>0</v>
      </c>
      <c r="P609" s="18">
        <f>'Sampling Data'!O609</f>
        <v>3</v>
      </c>
      <c r="Q609" s="18">
        <f>'Sampling Data'!P609</f>
        <v>44</v>
      </c>
      <c r="R609" s="18">
        <f>'Sampling Data'!AJ609</f>
        <v>0</v>
      </c>
      <c r="S609" s="112"/>
      <c r="T609" s="112"/>
      <c r="U609" s="113"/>
      <c r="V609" s="113"/>
      <c r="W609" s="112"/>
      <c r="X609" s="112"/>
      <c r="Y609" s="112"/>
      <c r="Z609" s="112"/>
      <c r="AA609" s="15"/>
      <c r="AB609" s="15"/>
      <c r="AC609" s="15"/>
      <c r="AD609" s="15"/>
      <c r="AE609" s="114" t="str">
        <f>IF(NOT(ISBLANK(Audit[[#This Row],[Audit Winning Candidate]])), Audit[[#This Row],[Audit Winning Candidate]]-Audit[[#This Row],[Winning Candidate]], "")</f>
        <v/>
      </c>
      <c r="AF609" s="18" t="str">
        <f>IF(NOT(ISBLANK(Audit[[#This Row],[Audit Losing Candidate]])), Audit[[#This Row],[Audit Losing Candidate]]-Audit[[#This Row],[Losing Candidate]], "")</f>
        <v/>
      </c>
      <c r="AG609" s="18" t="str">
        <f>IF(NOT(ISBLANK(Audit[[#This Row],[Audit Candidate 3]])), Audit[[#This Row],[Audit Candidate 3]]-Audit[[#This Row],[Candidate 3]], "")</f>
        <v/>
      </c>
      <c r="AH609" s="18" t="str">
        <f>IF(NOT(ISBLANK(Audit[[#This Row],[Audit Candidate 4]])),Audit[[#This Row],[Audit Candidate 4]]-Audit[[#This Row],[Candidate 4]], "")</f>
        <v/>
      </c>
      <c r="AI609" s="18" t="str">
        <f>IF(NOT(ISBLANK(Audit[[#This Row],[Audit Candidate 5]])), Audit[[#This Row],[Audit Candidate 5]]-Audit[[#This Row],[Candidate 5]], "")</f>
        <v/>
      </c>
      <c r="AJ609" s="18" t="str">
        <f>IF(NOT(ISBLANK(Audit[[#This Row],[Audit Candidate 6]])), Audit[[#This Row],[Audit Candidate 6]]-Audit[[#This Row],[Candidate 6]], "")</f>
        <v/>
      </c>
      <c r="AK609" s="18" t="str">
        <f>IF(NOT(ISBLANK(Audit[[#This Row],[Audit Candidate 7]])), Audit[[#This Row],[Audit Candidate 7]]-Audit[[#This Row],[Candidate 7]], "")</f>
        <v/>
      </c>
      <c r="AL609" s="18" t="str">
        <f>IF(NOT(ISBLANK(Audit[[#This Row],[Audit Candidate 8]])), Audit[[#This Row],[Audit Candidate 8]]-Audit[[#This Row],[Candidate 8]], "")</f>
        <v/>
      </c>
      <c r="AM609" s="18" t="str">
        <f>IF(NOT(ISBLANK(Audit[[#This Row],[Audit Candidate 9]])), Audit[[#This Row],[Audit Candidate 9]]-Audit[[#This Row],[Candidate 9]], "")</f>
        <v/>
      </c>
      <c r="AN609" s="18" t="str">
        <f>IF(NOT(ISBLANK(Audit[[#This Row],[Audit Candidate 10]])), Audit[[#This Row],[Audit Candidate 10]]-Audit[[#This Row],[Candidate 10]], "")</f>
        <v/>
      </c>
      <c r="AO609" s="18" t="str">
        <f>IF(NOT(ISBLANK(Audit[[#This Row],[Audit Candidate 11]])), Audit[[#This Row],[Audit Candidate 11]]-Audit[[#This Row],[Candidate 11]], "")</f>
        <v/>
      </c>
      <c r="AP609" s="18" t="str">
        <f>IF(NOT(ISBLANK(Audit[[#This Row],[Audit Candidate 12]])), Audit[[#This Row],[Audit Candidate 12]]-Audit[[#This Row],[Candidate 12]], "")</f>
        <v/>
      </c>
      <c r="AQ609" s="18">
        <f>SUMIF(Audit[[#This Row],[Difference Winner]:[Difference Candidate 12]], "&gt;0")</f>
        <v>0</v>
      </c>
      <c r="AR609" s="18">
        <f>SUM(Audit[[#This Row],[Difference Winner]:[Difference Candidate 12]])</f>
        <v>0</v>
      </c>
      <c r="AS609" s="18">
        <f>IF(Audit[[#This Row],[Times p Drawn - With Replacement]]&gt;0, IF(Audit[[#This Row],[Canceled Differences]]&lt;0, Audit[[#This Row],[Max Differences]]+ABS(Audit[[#This Row],[Canceled Differences]]), Audit[[#This Row],[Max Differences]]), 0)</f>
        <v>0</v>
      </c>
      <c r="AT609" s="18">
        <f>'Sampling Data'!AB609</f>
        <v>2.4813895781637717E-3</v>
      </c>
      <c r="AU609" s="18">
        <f>IF(
      SUM(Audit[[#This Row],[Audit Losing Candidate]:[Audit Candidate 12]])
      &lt;&gt;0,
      (Audit[[#This Row],[Winning Candidate]]-Audit[[#This Row],[Losing Candidate]]-(Audit[[#This Row],[Audit Winning Candidate]]-Audit[[#This Row],[Audit Losing Candidate]]))/(Audit[[#Totals],[Winning Candidate]]-Audit[[#Totals],[Losing Candidate]]),
      0
)</f>
        <v>0</v>
      </c>
      <c r="AV6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8">
        <f>IF(Audit[[#This Row],[Max Relative Error (ep)]] = 0, 0, Audit[[#This Row],[Max Relative Error (ep)]]/Audit[[#This Row],[Error Bound (up) - Max. possible relative overstatement]])</f>
        <v>0</v>
      </c>
      <c r="BH6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09" s="18">
        <f t="shared" si="10"/>
        <v>1</v>
      </c>
      <c r="BJ609" s="18">
        <f>PRODUCT($BI$5:BI609)</f>
        <v>0.32656797278968008</v>
      </c>
      <c r="BK609" s="20">
        <f>1 - Audit[[#This Row],[K-M P Value]]</f>
        <v>0.67343202721031992</v>
      </c>
      <c r="BL609" s="18" t="str">
        <f>IF(Audit[[#This Row],[K-M P Value]]&gt;1-'General Info'!$B$12,"Continue", "Stop")</f>
        <v>Continue</v>
      </c>
      <c r="BM609" s="23" t="b">
        <f>IF(Audit[[#This Row],[Status - Continue or stop audit]] = "Continue", TRUE, IF(BL608 = "Continue", TRUE, FALSE))</f>
        <v>1</v>
      </c>
      <c r="BN609" s="23"/>
    </row>
    <row r="610" spans="1:66" ht="15" hidden="1" customHeight="1" x14ac:dyDescent="0.35">
      <c r="A610" s="18" t="str">
        <f>'Sampling Data'!AI610</f>
        <v/>
      </c>
      <c r="B610" s="18" t="str">
        <f>'Sampling Data'!A610</f>
        <v>0506 CIN 5-F   (ED)</v>
      </c>
      <c r="C610" s="18">
        <f>'Sampling Data'!B610</f>
        <v>32</v>
      </c>
      <c r="D610" s="18">
        <f>'Sampling Data'!C610</f>
        <v>6</v>
      </c>
      <c r="E610" s="19">
        <f>'Sampling Data'!D610</f>
        <v>0</v>
      </c>
      <c r="F610" s="19">
        <f>'Sampling Data'!E610</f>
        <v>0</v>
      </c>
      <c r="G610" s="19">
        <f>'Sampling Data'!F610</f>
        <v>0</v>
      </c>
      <c r="H610" s="19">
        <f>'Sampling Data'!G610</f>
        <v>0</v>
      </c>
      <c r="I610" s="19">
        <f>'Sampling Data'!H610</f>
        <v>0</v>
      </c>
      <c r="J610" s="19">
        <f>'Sampling Data'!I610</f>
        <v>0</v>
      </c>
      <c r="K610" s="19">
        <f>'Sampling Data'!J610</f>
        <v>0</v>
      </c>
      <c r="L610" s="19">
        <f>'Sampling Data'!K610</f>
        <v>0</v>
      </c>
      <c r="M610" s="19">
        <f>'Sampling Data'!L610</f>
        <v>0</v>
      </c>
      <c r="N610" s="19">
        <f>'Sampling Data'!M610</f>
        <v>0</v>
      </c>
      <c r="O610" s="18">
        <f>'Sampling Data'!N610</f>
        <v>0</v>
      </c>
      <c r="P610" s="18">
        <f>'Sampling Data'!O610</f>
        <v>0</v>
      </c>
      <c r="Q610" s="18">
        <f>'Sampling Data'!P610</f>
        <v>38</v>
      </c>
      <c r="R610" s="18">
        <f>'Sampling Data'!AJ610</f>
        <v>0</v>
      </c>
      <c r="S610" s="112"/>
      <c r="T610" s="112"/>
      <c r="U610" s="113"/>
      <c r="V610" s="113"/>
      <c r="W610" s="112"/>
      <c r="X610" s="112"/>
      <c r="Y610" s="112"/>
      <c r="Z610" s="112"/>
      <c r="AA610" s="15"/>
      <c r="AB610" s="15"/>
      <c r="AC610" s="15"/>
      <c r="AD610" s="15"/>
      <c r="AE610" s="114" t="str">
        <f>IF(NOT(ISBLANK(Audit[[#This Row],[Audit Winning Candidate]])), Audit[[#This Row],[Audit Winning Candidate]]-Audit[[#This Row],[Winning Candidate]], "")</f>
        <v/>
      </c>
      <c r="AF610" s="18" t="str">
        <f>IF(NOT(ISBLANK(Audit[[#This Row],[Audit Losing Candidate]])), Audit[[#This Row],[Audit Losing Candidate]]-Audit[[#This Row],[Losing Candidate]], "")</f>
        <v/>
      </c>
      <c r="AG610" s="18" t="str">
        <f>IF(NOT(ISBLANK(Audit[[#This Row],[Audit Candidate 3]])), Audit[[#This Row],[Audit Candidate 3]]-Audit[[#This Row],[Candidate 3]], "")</f>
        <v/>
      </c>
      <c r="AH610" s="18" t="str">
        <f>IF(NOT(ISBLANK(Audit[[#This Row],[Audit Candidate 4]])),Audit[[#This Row],[Audit Candidate 4]]-Audit[[#This Row],[Candidate 4]], "")</f>
        <v/>
      </c>
      <c r="AI610" s="18" t="str">
        <f>IF(NOT(ISBLANK(Audit[[#This Row],[Audit Candidate 5]])), Audit[[#This Row],[Audit Candidate 5]]-Audit[[#This Row],[Candidate 5]], "")</f>
        <v/>
      </c>
      <c r="AJ610" s="18" t="str">
        <f>IF(NOT(ISBLANK(Audit[[#This Row],[Audit Candidate 6]])), Audit[[#This Row],[Audit Candidate 6]]-Audit[[#This Row],[Candidate 6]], "")</f>
        <v/>
      </c>
      <c r="AK610" s="18" t="str">
        <f>IF(NOT(ISBLANK(Audit[[#This Row],[Audit Candidate 7]])), Audit[[#This Row],[Audit Candidate 7]]-Audit[[#This Row],[Candidate 7]], "")</f>
        <v/>
      </c>
      <c r="AL610" s="18" t="str">
        <f>IF(NOT(ISBLANK(Audit[[#This Row],[Audit Candidate 8]])), Audit[[#This Row],[Audit Candidate 8]]-Audit[[#This Row],[Candidate 8]], "")</f>
        <v/>
      </c>
      <c r="AM610" s="18" t="str">
        <f>IF(NOT(ISBLANK(Audit[[#This Row],[Audit Candidate 9]])), Audit[[#This Row],[Audit Candidate 9]]-Audit[[#This Row],[Candidate 9]], "")</f>
        <v/>
      </c>
      <c r="AN610" s="18" t="str">
        <f>IF(NOT(ISBLANK(Audit[[#This Row],[Audit Candidate 10]])), Audit[[#This Row],[Audit Candidate 10]]-Audit[[#This Row],[Candidate 10]], "")</f>
        <v/>
      </c>
      <c r="AO610" s="18" t="str">
        <f>IF(NOT(ISBLANK(Audit[[#This Row],[Audit Candidate 11]])), Audit[[#This Row],[Audit Candidate 11]]-Audit[[#This Row],[Candidate 11]], "")</f>
        <v/>
      </c>
      <c r="AP610" s="18" t="str">
        <f>IF(NOT(ISBLANK(Audit[[#This Row],[Audit Candidate 12]])), Audit[[#This Row],[Audit Candidate 12]]-Audit[[#This Row],[Candidate 12]], "")</f>
        <v/>
      </c>
      <c r="AQ610" s="18">
        <f>SUMIF(Audit[[#This Row],[Difference Winner]:[Difference Candidate 12]], "&gt;0")</f>
        <v>0</v>
      </c>
      <c r="AR610" s="18">
        <f>SUM(Audit[[#This Row],[Difference Winner]:[Difference Candidate 12]])</f>
        <v>0</v>
      </c>
      <c r="AS610" s="18">
        <f>IF(Audit[[#This Row],[Times p Drawn - With Replacement]]&gt;0, IF(Audit[[#This Row],[Canceled Differences]]&lt;0, Audit[[#This Row],[Max Differences]]+ABS(Audit[[#This Row],[Canceled Differences]]), Audit[[#This Row],[Max Differences]]), 0)</f>
        <v>0</v>
      </c>
      <c r="AT610" s="18">
        <f>'Sampling Data'!AB610</f>
        <v>2.0102396582592579E-3</v>
      </c>
      <c r="AU610" s="18">
        <f>IF(
      SUM(Audit[[#This Row],[Audit Losing Candidate]:[Audit Candidate 12]])
      &lt;&gt;0,
      (Audit[[#This Row],[Winning Candidate]]-Audit[[#This Row],[Losing Candidate]]-(Audit[[#This Row],[Audit Winning Candidate]]-Audit[[#This Row],[Audit Losing Candidate]]))/(Audit[[#Totals],[Winning Candidate]]-Audit[[#Totals],[Losing Candidate]]),
      0
)</f>
        <v>0</v>
      </c>
      <c r="AV6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8">
        <f>IF(Audit[[#This Row],[Max Relative Error (ep)]] = 0, 0, Audit[[#This Row],[Max Relative Error (ep)]]/Audit[[#This Row],[Error Bound (up) - Max. possible relative overstatement]])</f>
        <v>0</v>
      </c>
      <c r="BH6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0" s="18">
        <f t="shared" si="10"/>
        <v>1</v>
      </c>
      <c r="BJ610" s="18">
        <f>PRODUCT($BI$5:BI610)</f>
        <v>0.32656797278968008</v>
      </c>
      <c r="BK610" s="20">
        <f>1 - Audit[[#This Row],[K-M P Value]]</f>
        <v>0.67343202721031992</v>
      </c>
      <c r="BL610" s="18" t="str">
        <f>IF(Audit[[#This Row],[K-M P Value]]&gt;1-'General Info'!$B$12,"Continue", "Stop")</f>
        <v>Continue</v>
      </c>
      <c r="BM610" s="23" t="b">
        <f>IF(Audit[[#This Row],[Status - Continue or stop audit]] = "Continue", TRUE, IF(BL609 = "Continue", TRUE, FALSE))</f>
        <v>1</v>
      </c>
      <c r="BN610" s="23"/>
    </row>
    <row r="611" spans="1:66" ht="15" hidden="1" customHeight="1" x14ac:dyDescent="0.35">
      <c r="A611" s="18" t="str">
        <f>'Sampling Data'!AI611</f>
        <v/>
      </c>
      <c r="B611" s="18" t="str">
        <f>'Sampling Data'!A611</f>
        <v>0507 CIN 5-G   (ED)</v>
      </c>
      <c r="C611" s="18">
        <f>'Sampling Data'!B611</f>
        <v>58</v>
      </c>
      <c r="D611" s="18">
        <f>'Sampling Data'!C611</f>
        <v>4</v>
      </c>
      <c r="E611" s="19">
        <f>'Sampling Data'!D611</f>
        <v>0</v>
      </c>
      <c r="F611" s="19">
        <f>'Sampling Data'!E611</f>
        <v>0</v>
      </c>
      <c r="G611" s="19">
        <f>'Sampling Data'!F611</f>
        <v>0</v>
      </c>
      <c r="H611" s="19">
        <f>'Sampling Data'!G611</f>
        <v>0</v>
      </c>
      <c r="I611" s="19">
        <f>'Sampling Data'!H611</f>
        <v>0</v>
      </c>
      <c r="J611" s="19">
        <f>'Sampling Data'!I611</f>
        <v>0</v>
      </c>
      <c r="K611" s="19">
        <f>'Sampling Data'!J611</f>
        <v>0</v>
      </c>
      <c r="L611" s="19">
        <f>'Sampling Data'!K611</f>
        <v>0</v>
      </c>
      <c r="M611" s="19">
        <f>'Sampling Data'!L611</f>
        <v>0</v>
      </c>
      <c r="N611" s="19">
        <f>'Sampling Data'!M611</f>
        <v>0</v>
      </c>
      <c r="O611" s="18">
        <f>'Sampling Data'!N611</f>
        <v>0</v>
      </c>
      <c r="P611" s="18">
        <f>'Sampling Data'!O611</f>
        <v>2</v>
      </c>
      <c r="Q611" s="18">
        <f>'Sampling Data'!P611</f>
        <v>64</v>
      </c>
      <c r="R611" s="18">
        <f>'Sampling Data'!AJ611</f>
        <v>0</v>
      </c>
      <c r="S611" s="112"/>
      <c r="T611" s="112"/>
      <c r="U611" s="113"/>
      <c r="V611" s="113"/>
      <c r="W611" s="112"/>
      <c r="X611" s="112"/>
      <c r="Y611" s="112"/>
      <c r="Z611" s="112"/>
      <c r="AA611" s="15"/>
      <c r="AB611" s="15"/>
      <c r="AC611" s="15"/>
      <c r="AD611" s="15"/>
      <c r="AE611" s="114" t="str">
        <f>IF(NOT(ISBLANK(Audit[[#This Row],[Audit Winning Candidate]])), Audit[[#This Row],[Audit Winning Candidate]]-Audit[[#This Row],[Winning Candidate]], "")</f>
        <v/>
      </c>
      <c r="AF611" s="18" t="str">
        <f>IF(NOT(ISBLANK(Audit[[#This Row],[Audit Losing Candidate]])), Audit[[#This Row],[Audit Losing Candidate]]-Audit[[#This Row],[Losing Candidate]], "")</f>
        <v/>
      </c>
      <c r="AG611" s="18" t="str">
        <f>IF(NOT(ISBLANK(Audit[[#This Row],[Audit Candidate 3]])), Audit[[#This Row],[Audit Candidate 3]]-Audit[[#This Row],[Candidate 3]], "")</f>
        <v/>
      </c>
      <c r="AH611" s="18" t="str">
        <f>IF(NOT(ISBLANK(Audit[[#This Row],[Audit Candidate 4]])),Audit[[#This Row],[Audit Candidate 4]]-Audit[[#This Row],[Candidate 4]], "")</f>
        <v/>
      </c>
      <c r="AI611" s="18" t="str">
        <f>IF(NOT(ISBLANK(Audit[[#This Row],[Audit Candidate 5]])), Audit[[#This Row],[Audit Candidate 5]]-Audit[[#This Row],[Candidate 5]], "")</f>
        <v/>
      </c>
      <c r="AJ611" s="18" t="str">
        <f>IF(NOT(ISBLANK(Audit[[#This Row],[Audit Candidate 6]])), Audit[[#This Row],[Audit Candidate 6]]-Audit[[#This Row],[Candidate 6]], "")</f>
        <v/>
      </c>
      <c r="AK611" s="18" t="str">
        <f>IF(NOT(ISBLANK(Audit[[#This Row],[Audit Candidate 7]])), Audit[[#This Row],[Audit Candidate 7]]-Audit[[#This Row],[Candidate 7]], "")</f>
        <v/>
      </c>
      <c r="AL611" s="18" t="str">
        <f>IF(NOT(ISBLANK(Audit[[#This Row],[Audit Candidate 8]])), Audit[[#This Row],[Audit Candidate 8]]-Audit[[#This Row],[Candidate 8]], "")</f>
        <v/>
      </c>
      <c r="AM611" s="18" t="str">
        <f>IF(NOT(ISBLANK(Audit[[#This Row],[Audit Candidate 9]])), Audit[[#This Row],[Audit Candidate 9]]-Audit[[#This Row],[Candidate 9]], "")</f>
        <v/>
      </c>
      <c r="AN611" s="18" t="str">
        <f>IF(NOT(ISBLANK(Audit[[#This Row],[Audit Candidate 10]])), Audit[[#This Row],[Audit Candidate 10]]-Audit[[#This Row],[Candidate 10]], "")</f>
        <v/>
      </c>
      <c r="AO611" s="18" t="str">
        <f>IF(NOT(ISBLANK(Audit[[#This Row],[Audit Candidate 11]])), Audit[[#This Row],[Audit Candidate 11]]-Audit[[#This Row],[Candidate 11]], "")</f>
        <v/>
      </c>
      <c r="AP611" s="18" t="str">
        <f>IF(NOT(ISBLANK(Audit[[#This Row],[Audit Candidate 12]])), Audit[[#This Row],[Audit Candidate 12]]-Audit[[#This Row],[Candidate 12]], "")</f>
        <v/>
      </c>
      <c r="AQ611" s="18">
        <f>SUMIF(Audit[[#This Row],[Difference Winner]:[Difference Candidate 12]], "&gt;0")</f>
        <v>0</v>
      </c>
      <c r="AR611" s="18">
        <f>SUM(Audit[[#This Row],[Difference Winner]:[Difference Candidate 12]])</f>
        <v>0</v>
      </c>
      <c r="AS611" s="18">
        <f>IF(Audit[[#This Row],[Times p Drawn - With Replacement]]&gt;0, IF(Audit[[#This Row],[Canceled Differences]]&lt;0, Audit[[#This Row],[Max Differences]]+ABS(Audit[[#This Row],[Canceled Differences]]), Audit[[#This Row],[Max Differences]]), 0)</f>
        <v>0</v>
      </c>
      <c r="AT611" s="18">
        <f>'Sampling Data'!AB611</f>
        <v>3.7063793699155072E-3</v>
      </c>
      <c r="AU611" s="18">
        <f>IF(
      SUM(Audit[[#This Row],[Audit Losing Candidate]:[Audit Candidate 12]])
      &lt;&gt;0,
      (Audit[[#This Row],[Winning Candidate]]-Audit[[#This Row],[Losing Candidate]]-(Audit[[#This Row],[Audit Winning Candidate]]-Audit[[#This Row],[Audit Losing Candidate]]))/(Audit[[#Totals],[Winning Candidate]]-Audit[[#Totals],[Losing Candidate]]),
      0
)</f>
        <v>0</v>
      </c>
      <c r="AV6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8">
        <f>IF(Audit[[#This Row],[Max Relative Error (ep)]] = 0, 0, Audit[[#This Row],[Max Relative Error (ep)]]/Audit[[#This Row],[Error Bound (up) - Max. possible relative overstatement]])</f>
        <v>0</v>
      </c>
      <c r="BH6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1" s="18">
        <f t="shared" si="10"/>
        <v>1</v>
      </c>
      <c r="BJ611" s="18">
        <f>PRODUCT($BI$5:BI611)</f>
        <v>0.32656797278968008</v>
      </c>
      <c r="BK611" s="20">
        <f>1 - Audit[[#This Row],[K-M P Value]]</f>
        <v>0.67343202721031992</v>
      </c>
      <c r="BL611" s="18" t="str">
        <f>IF(Audit[[#This Row],[K-M P Value]]&gt;1-'General Info'!$B$12,"Continue", "Stop")</f>
        <v>Continue</v>
      </c>
      <c r="BM611" s="23" t="b">
        <f>IF(Audit[[#This Row],[Status - Continue or stop audit]] = "Continue", TRUE, IF(BL610 = "Continue", TRUE, FALSE))</f>
        <v>1</v>
      </c>
      <c r="BN611" s="23"/>
    </row>
    <row r="612" spans="1:66" ht="15" hidden="1" customHeight="1" x14ac:dyDescent="0.35">
      <c r="A612" s="18" t="str">
        <f>'Sampling Data'!AI612</f>
        <v/>
      </c>
      <c r="B612" s="18" t="str">
        <f>'Sampling Data'!A612</f>
        <v>0508 CIN 5-H   (ED)</v>
      </c>
      <c r="C612" s="18">
        <f>'Sampling Data'!B612</f>
        <v>6</v>
      </c>
      <c r="D612" s="18">
        <f>'Sampling Data'!C612</f>
        <v>0</v>
      </c>
      <c r="E612" s="19">
        <f>'Sampling Data'!D612</f>
        <v>0</v>
      </c>
      <c r="F612" s="19">
        <f>'Sampling Data'!E612</f>
        <v>0</v>
      </c>
      <c r="G612" s="19">
        <f>'Sampling Data'!F612</f>
        <v>0</v>
      </c>
      <c r="H612" s="19">
        <f>'Sampling Data'!G612</f>
        <v>0</v>
      </c>
      <c r="I612" s="19">
        <f>'Sampling Data'!H612</f>
        <v>0</v>
      </c>
      <c r="J612" s="19">
        <f>'Sampling Data'!I612</f>
        <v>0</v>
      </c>
      <c r="K612" s="19">
        <f>'Sampling Data'!J612</f>
        <v>0</v>
      </c>
      <c r="L612" s="19">
        <f>'Sampling Data'!K612</f>
        <v>0</v>
      </c>
      <c r="M612" s="19">
        <f>'Sampling Data'!L612</f>
        <v>0</v>
      </c>
      <c r="N612" s="19">
        <f>'Sampling Data'!M612</f>
        <v>0</v>
      </c>
      <c r="O612" s="18">
        <f>'Sampling Data'!N612</f>
        <v>0</v>
      </c>
      <c r="P612" s="18">
        <f>'Sampling Data'!O612</f>
        <v>0</v>
      </c>
      <c r="Q612" s="18">
        <f>'Sampling Data'!P612</f>
        <v>6</v>
      </c>
      <c r="R612" s="18">
        <f>'Sampling Data'!AJ612</f>
        <v>0</v>
      </c>
      <c r="S612" s="112"/>
      <c r="T612" s="112"/>
      <c r="U612" s="113"/>
      <c r="V612" s="113"/>
      <c r="W612" s="112"/>
      <c r="X612" s="112"/>
      <c r="Y612" s="112"/>
      <c r="Z612" s="112"/>
      <c r="AA612" s="15"/>
      <c r="AB612" s="15"/>
      <c r="AC612" s="15"/>
      <c r="AD612" s="15"/>
      <c r="AE612" s="114" t="str">
        <f>IF(NOT(ISBLANK(Audit[[#This Row],[Audit Winning Candidate]])), Audit[[#This Row],[Audit Winning Candidate]]-Audit[[#This Row],[Winning Candidate]], "")</f>
        <v/>
      </c>
      <c r="AF612" s="18" t="str">
        <f>IF(NOT(ISBLANK(Audit[[#This Row],[Audit Losing Candidate]])), Audit[[#This Row],[Audit Losing Candidate]]-Audit[[#This Row],[Losing Candidate]], "")</f>
        <v/>
      </c>
      <c r="AG612" s="18" t="str">
        <f>IF(NOT(ISBLANK(Audit[[#This Row],[Audit Candidate 3]])), Audit[[#This Row],[Audit Candidate 3]]-Audit[[#This Row],[Candidate 3]], "")</f>
        <v/>
      </c>
      <c r="AH612" s="18" t="str">
        <f>IF(NOT(ISBLANK(Audit[[#This Row],[Audit Candidate 4]])),Audit[[#This Row],[Audit Candidate 4]]-Audit[[#This Row],[Candidate 4]], "")</f>
        <v/>
      </c>
      <c r="AI612" s="18" t="str">
        <f>IF(NOT(ISBLANK(Audit[[#This Row],[Audit Candidate 5]])), Audit[[#This Row],[Audit Candidate 5]]-Audit[[#This Row],[Candidate 5]], "")</f>
        <v/>
      </c>
      <c r="AJ612" s="18" t="str">
        <f>IF(NOT(ISBLANK(Audit[[#This Row],[Audit Candidate 6]])), Audit[[#This Row],[Audit Candidate 6]]-Audit[[#This Row],[Candidate 6]], "")</f>
        <v/>
      </c>
      <c r="AK612" s="18" t="str">
        <f>IF(NOT(ISBLANK(Audit[[#This Row],[Audit Candidate 7]])), Audit[[#This Row],[Audit Candidate 7]]-Audit[[#This Row],[Candidate 7]], "")</f>
        <v/>
      </c>
      <c r="AL612" s="18" t="str">
        <f>IF(NOT(ISBLANK(Audit[[#This Row],[Audit Candidate 8]])), Audit[[#This Row],[Audit Candidate 8]]-Audit[[#This Row],[Candidate 8]], "")</f>
        <v/>
      </c>
      <c r="AM612" s="18" t="str">
        <f>IF(NOT(ISBLANK(Audit[[#This Row],[Audit Candidate 9]])), Audit[[#This Row],[Audit Candidate 9]]-Audit[[#This Row],[Candidate 9]], "")</f>
        <v/>
      </c>
      <c r="AN612" s="18" t="str">
        <f>IF(NOT(ISBLANK(Audit[[#This Row],[Audit Candidate 10]])), Audit[[#This Row],[Audit Candidate 10]]-Audit[[#This Row],[Candidate 10]], "")</f>
        <v/>
      </c>
      <c r="AO612" s="18" t="str">
        <f>IF(NOT(ISBLANK(Audit[[#This Row],[Audit Candidate 11]])), Audit[[#This Row],[Audit Candidate 11]]-Audit[[#This Row],[Candidate 11]], "")</f>
        <v/>
      </c>
      <c r="AP612" s="18" t="str">
        <f>IF(NOT(ISBLANK(Audit[[#This Row],[Audit Candidate 12]])), Audit[[#This Row],[Audit Candidate 12]]-Audit[[#This Row],[Candidate 12]], "")</f>
        <v/>
      </c>
      <c r="AQ612" s="18">
        <f>SUMIF(Audit[[#This Row],[Difference Winner]:[Difference Candidate 12]], "&gt;0")</f>
        <v>0</v>
      </c>
      <c r="AR612" s="18">
        <f>SUM(Audit[[#This Row],[Difference Winner]:[Difference Candidate 12]])</f>
        <v>0</v>
      </c>
      <c r="AS612" s="18">
        <f>IF(Audit[[#This Row],[Times p Drawn - With Replacement]]&gt;0, IF(Audit[[#This Row],[Canceled Differences]]&lt;0, Audit[[#This Row],[Max Differences]]+ABS(Audit[[#This Row],[Canceled Differences]]), Audit[[#This Row],[Max Differences]]), 0)</f>
        <v>0</v>
      </c>
      <c r="AT612" s="18">
        <f>'Sampling Data'!AB612</f>
        <v>3.7691993592361088E-4</v>
      </c>
      <c r="AU612" s="18">
        <f>IF(
      SUM(Audit[[#This Row],[Audit Losing Candidate]:[Audit Candidate 12]])
      &lt;&gt;0,
      (Audit[[#This Row],[Winning Candidate]]-Audit[[#This Row],[Losing Candidate]]-(Audit[[#This Row],[Audit Winning Candidate]]-Audit[[#This Row],[Audit Losing Candidate]]))/(Audit[[#Totals],[Winning Candidate]]-Audit[[#Totals],[Losing Candidate]]),
      0
)</f>
        <v>0</v>
      </c>
      <c r="AV6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8">
        <f>IF(Audit[[#This Row],[Max Relative Error (ep)]] = 0, 0, Audit[[#This Row],[Max Relative Error (ep)]]/Audit[[#This Row],[Error Bound (up) - Max. possible relative overstatement]])</f>
        <v>0</v>
      </c>
      <c r="BH6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2" s="18">
        <f t="shared" si="10"/>
        <v>1</v>
      </c>
      <c r="BJ612" s="18">
        <f>PRODUCT($BI$5:BI612)</f>
        <v>0.32656797278968008</v>
      </c>
      <c r="BK612" s="20">
        <f>1 - Audit[[#This Row],[K-M P Value]]</f>
        <v>0.67343202721031992</v>
      </c>
      <c r="BL612" s="18" t="str">
        <f>IF(Audit[[#This Row],[K-M P Value]]&gt;1-'General Info'!$B$12,"Continue", "Stop")</f>
        <v>Continue</v>
      </c>
      <c r="BM612" s="23" t="b">
        <f>IF(Audit[[#This Row],[Status - Continue or stop audit]] = "Continue", TRUE, IF(BL611 = "Continue", TRUE, FALSE))</f>
        <v>1</v>
      </c>
      <c r="BN612" s="23"/>
    </row>
    <row r="613" spans="1:66" ht="15" hidden="1" customHeight="1" x14ac:dyDescent="0.35">
      <c r="A613" s="18" t="str">
        <f>'Sampling Data'!AI613</f>
        <v/>
      </c>
      <c r="B613" s="18" t="str">
        <f>'Sampling Data'!A613</f>
        <v>0509 CIN 5-I   (ED)</v>
      </c>
      <c r="C613" s="18">
        <f>'Sampling Data'!B613</f>
        <v>75</v>
      </c>
      <c r="D613" s="18">
        <f>'Sampling Data'!C613</f>
        <v>3</v>
      </c>
      <c r="E613" s="19">
        <f>'Sampling Data'!D613</f>
        <v>0</v>
      </c>
      <c r="F613" s="19">
        <f>'Sampling Data'!E613</f>
        <v>0</v>
      </c>
      <c r="G613" s="19">
        <f>'Sampling Data'!F613</f>
        <v>0</v>
      </c>
      <c r="H613" s="19">
        <f>'Sampling Data'!G613</f>
        <v>0</v>
      </c>
      <c r="I613" s="19">
        <f>'Sampling Data'!H613</f>
        <v>0</v>
      </c>
      <c r="J613" s="19">
        <f>'Sampling Data'!I613</f>
        <v>0</v>
      </c>
      <c r="K613" s="19">
        <f>'Sampling Data'!J613</f>
        <v>0</v>
      </c>
      <c r="L613" s="19">
        <f>'Sampling Data'!K613</f>
        <v>0</v>
      </c>
      <c r="M613" s="19">
        <f>'Sampling Data'!L613</f>
        <v>0</v>
      </c>
      <c r="N613" s="19">
        <f>'Sampling Data'!M613</f>
        <v>0</v>
      </c>
      <c r="O613" s="18">
        <f>'Sampling Data'!N613</f>
        <v>0</v>
      </c>
      <c r="P613" s="18">
        <f>'Sampling Data'!O613</f>
        <v>3</v>
      </c>
      <c r="Q613" s="18">
        <f>'Sampling Data'!P613</f>
        <v>81</v>
      </c>
      <c r="R613" s="18">
        <f>'Sampling Data'!AJ613</f>
        <v>0</v>
      </c>
      <c r="S613" s="112"/>
      <c r="T613" s="112"/>
      <c r="U613" s="113"/>
      <c r="V613" s="113"/>
      <c r="W613" s="112"/>
      <c r="X613" s="112"/>
      <c r="Y613" s="112"/>
      <c r="Z613" s="112"/>
      <c r="AA613" s="15"/>
      <c r="AB613" s="15"/>
      <c r="AC613" s="15"/>
      <c r="AD613" s="15"/>
      <c r="AE613" s="114" t="str">
        <f>IF(NOT(ISBLANK(Audit[[#This Row],[Audit Winning Candidate]])), Audit[[#This Row],[Audit Winning Candidate]]-Audit[[#This Row],[Winning Candidate]], "")</f>
        <v/>
      </c>
      <c r="AF613" s="18" t="str">
        <f>IF(NOT(ISBLANK(Audit[[#This Row],[Audit Losing Candidate]])), Audit[[#This Row],[Audit Losing Candidate]]-Audit[[#This Row],[Losing Candidate]], "")</f>
        <v/>
      </c>
      <c r="AG613" s="18" t="str">
        <f>IF(NOT(ISBLANK(Audit[[#This Row],[Audit Candidate 3]])), Audit[[#This Row],[Audit Candidate 3]]-Audit[[#This Row],[Candidate 3]], "")</f>
        <v/>
      </c>
      <c r="AH613" s="18" t="str">
        <f>IF(NOT(ISBLANK(Audit[[#This Row],[Audit Candidate 4]])),Audit[[#This Row],[Audit Candidate 4]]-Audit[[#This Row],[Candidate 4]], "")</f>
        <v/>
      </c>
      <c r="AI613" s="18" t="str">
        <f>IF(NOT(ISBLANK(Audit[[#This Row],[Audit Candidate 5]])), Audit[[#This Row],[Audit Candidate 5]]-Audit[[#This Row],[Candidate 5]], "")</f>
        <v/>
      </c>
      <c r="AJ613" s="18" t="str">
        <f>IF(NOT(ISBLANK(Audit[[#This Row],[Audit Candidate 6]])), Audit[[#This Row],[Audit Candidate 6]]-Audit[[#This Row],[Candidate 6]], "")</f>
        <v/>
      </c>
      <c r="AK613" s="18" t="str">
        <f>IF(NOT(ISBLANK(Audit[[#This Row],[Audit Candidate 7]])), Audit[[#This Row],[Audit Candidate 7]]-Audit[[#This Row],[Candidate 7]], "")</f>
        <v/>
      </c>
      <c r="AL613" s="18" t="str">
        <f>IF(NOT(ISBLANK(Audit[[#This Row],[Audit Candidate 8]])), Audit[[#This Row],[Audit Candidate 8]]-Audit[[#This Row],[Candidate 8]], "")</f>
        <v/>
      </c>
      <c r="AM613" s="18" t="str">
        <f>IF(NOT(ISBLANK(Audit[[#This Row],[Audit Candidate 9]])), Audit[[#This Row],[Audit Candidate 9]]-Audit[[#This Row],[Candidate 9]], "")</f>
        <v/>
      </c>
      <c r="AN613" s="18" t="str">
        <f>IF(NOT(ISBLANK(Audit[[#This Row],[Audit Candidate 10]])), Audit[[#This Row],[Audit Candidate 10]]-Audit[[#This Row],[Candidate 10]], "")</f>
        <v/>
      </c>
      <c r="AO613" s="18" t="str">
        <f>IF(NOT(ISBLANK(Audit[[#This Row],[Audit Candidate 11]])), Audit[[#This Row],[Audit Candidate 11]]-Audit[[#This Row],[Candidate 11]], "")</f>
        <v/>
      </c>
      <c r="AP613" s="18" t="str">
        <f>IF(NOT(ISBLANK(Audit[[#This Row],[Audit Candidate 12]])), Audit[[#This Row],[Audit Candidate 12]]-Audit[[#This Row],[Candidate 12]], "")</f>
        <v/>
      </c>
      <c r="AQ613" s="18">
        <f>SUMIF(Audit[[#This Row],[Difference Winner]:[Difference Candidate 12]], "&gt;0")</f>
        <v>0</v>
      </c>
      <c r="AR613" s="18">
        <f>SUM(Audit[[#This Row],[Difference Winner]:[Difference Candidate 12]])</f>
        <v>0</v>
      </c>
      <c r="AS613" s="18">
        <f>IF(Audit[[#This Row],[Times p Drawn - With Replacement]]&gt;0, IF(Audit[[#This Row],[Canceled Differences]]&lt;0, Audit[[#This Row],[Max Differences]]+ABS(Audit[[#This Row],[Canceled Differences]]), Audit[[#This Row],[Max Differences]]), 0)</f>
        <v>0</v>
      </c>
      <c r="AT613" s="18">
        <f>'Sampling Data'!AB613</f>
        <v>4.8057291830260387E-3</v>
      </c>
      <c r="AU613" s="18">
        <f>IF(
      SUM(Audit[[#This Row],[Audit Losing Candidate]:[Audit Candidate 12]])
      &lt;&gt;0,
      (Audit[[#This Row],[Winning Candidate]]-Audit[[#This Row],[Losing Candidate]]-(Audit[[#This Row],[Audit Winning Candidate]]-Audit[[#This Row],[Audit Losing Candidate]]))/(Audit[[#Totals],[Winning Candidate]]-Audit[[#Totals],[Losing Candidate]]),
      0
)</f>
        <v>0</v>
      </c>
      <c r="AV6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8">
        <f>IF(Audit[[#This Row],[Max Relative Error (ep)]] = 0, 0, Audit[[#This Row],[Max Relative Error (ep)]]/Audit[[#This Row],[Error Bound (up) - Max. possible relative overstatement]])</f>
        <v>0</v>
      </c>
      <c r="BH6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3" s="18">
        <f t="shared" si="10"/>
        <v>1</v>
      </c>
      <c r="BJ613" s="18">
        <f>PRODUCT($BI$5:BI613)</f>
        <v>0.32656797278968008</v>
      </c>
      <c r="BK613" s="20">
        <f>1 - Audit[[#This Row],[K-M P Value]]</f>
        <v>0.67343202721031992</v>
      </c>
      <c r="BL613" s="18" t="str">
        <f>IF(Audit[[#This Row],[K-M P Value]]&gt;1-'General Info'!$B$12,"Continue", "Stop")</f>
        <v>Continue</v>
      </c>
      <c r="BM613" s="23" t="b">
        <f>IF(Audit[[#This Row],[Status - Continue or stop audit]] = "Continue", TRUE, IF(BL612 = "Continue", TRUE, FALSE))</f>
        <v>1</v>
      </c>
      <c r="BN613" s="23"/>
    </row>
    <row r="614" spans="1:66" ht="15" hidden="1" customHeight="1" x14ac:dyDescent="0.35">
      <c r="A614" s="18" t="str">
        <f>'Sampling Data'!AI614</f>
        <v/>
      </c>
      <c r="B614" s="18" t="str">
        <f>'Sampling Data'!A614</f>
        <v>0601 CIN 6-A   (ED)</v>
      </c>
      <c r="C614" s="18">
        <f>'Sampling Data'!B614</f>
        <v>30</v>
      </c>
      <c r="D614" s="18">
        <f>'Sampling Data'!C614</f>
        <v>8</v>
      </c>
      <c r="E614" s="19">
        <f>'Sampling Data'!D614</f>
        <v>0</v>
      </c>
      <c r="F614" s="19">
        <f>'Sampling Data'!E614</f>
        <v>0</v>
      </c>
      <c r="G614" s="19">
        <f>'Sampling Data'!F614</f>
        <v>0</v>
      </c>
      <c r="H614" s="19">
        <f>'Sampling Data'!G614</f>
        <v>0</v>
      </c>
      <c r="I614" s="19">
        <f>'Sampling Data'!H614</f>
        <v>0</v>
      </c>
      <c r="J614" s="19">
        <f>'Sampling Data'!I614</f>
        <v>0</v>
      </c>
      <c r="K614" s="19">
        <f>'Sampling Data'!J614</f>
        <v>0</v>
      </c>
      <c r="L614" s="19">
        <f>'Sampling Data'!K614</f>
        <v>0</v>
      </c>
      <c r="M614" s="19">
        <f>'Sampling Data'!L614</f>
        <v>0</v>
      </c>
      <c r="N614" s="19">
        <f>'Sampling Data'!M614</f>
        <v>0</v>
      </c>
      <c r="O614" s="18">
        <f>'Sampling Data'!N614</f>
        <v>0</v>
      </c>
      <c r="P614" s="18">
        <f>'Sampling Data'!O614</f>
        <v>0</v>
      </c>
      <c r="Q614" s="18">
        <f>'Sampling Data'!P614</f>
        <v>38</v>
      </c>
      <c r="R614" s="18">
        <f>'Sampling Data'!AJ614</f>
        <v>0</v>
      </c>
      <c r="S614" s="112"/>
      <c r="T614" s="112"/>
      <c r="U614" s="113"/>
      <c r="V614" s="113"/>
      <c r="W614" s="112"/>
      <c r="X614" s="112"/>
      <c r="Y614" s="112"/>
      <c r="Z614" s="112"/>
      <c r="AA614" s="15"/>
      <c r="AB614" s="15"/>
      <c r="AC614" s="15"/>
      <c r="AD614" s="15"/>
      <c r="AE614" s="114" t="str">
        <f>IF(NOT(ISBLANK(Audit[[#This Row],[Audit Winning Candidate]])), Audit[[#This Row],[Audit Winning Candidate]]-Audit[[#This Row],[Winning Candidate]], "")</f>
        <v/>
      </c>
      <c r="AF614" s="18" t="str">
        <f>IF(NOT(ISBLANK(Audit[[#This Row],[Audit Losing Candidate]])), Audit[[#This Row],[Audit Losing Candidate]]-Audit[[#This Row],[Losing Candidate]], "")</f>
        <v/>
      </c>
      <c r="AG614" s="18" t="str">
        <f>IF(NOT(ISBLANK(Audit[[#This Row],[Audit Candidate 3]])), Audit[[#This Row],[Audit Candidate 3]]-Audit[[#This Row],[Candidate 3]], "")</f>
        <v/>
      </c>
      <c r="AH614" s="18" t="str">
        <f>IF(NOT(ISBLANK(Audit[[#This Row],[Audit Candidate 4]])),Audit[[#This Row],[Audit Candidate 4]]-Audit[[#This Row],[Candidate 4]], "")</f>
        <v/>
      </c>
      <c r="AI614" s="18" t="str">
        <f>IF(NOT(ISBLANK(Audit[[#This Row],[Audit Candidate 5]])), Audit[[#This Row],[Audit Candidate 5]]-Audit[[#This Row],[Candidate 5]], "")</f>
        <v/>
      </c>
      <c r="AJ614" s="18" t="str">
        <f>IF(NOT(ISBLANK(Audit[[#This Row],[Audit Candidate 6]])), Audit[[#This Row],[Audit Candidate 6]]-Audit[[#This Row],[Candidate 6]], "")</f>
        <v/>
      </c>
      <c r="AK614" s="18" t="str">
        <f>IF(NOT(ISBLANK(Audit[[#This Row],[Audit Candidate 7]])), Audit[[#This Row],[Audit Candidate 7]]-Audit[[#This Row],[Candidate 7]], "")</f>
        <v/>
      </c>
      <c r="AL614" s="18" t="str">
        <f>IF(NOT(ISBLANK(Audit[[#This Row],[Audit Candidate 8]])), Audit[[#This Row],[Audit Candidate 8]]-Audit[[#This Row],[Candidate 8]], "")</f>
        <v/>
      </c>
      <c r="AM614" s="18" t="str">
        <f>IF(NOT(ISBLANK(Audit[[#This Row],[Audit Candidate 9]])), Audit[[#This Row],[Audit Candidate 9]]-Audit[[#This Row],[Candidate 9]], "")</f>
        <v/>
      </c>
      <c r="AN614" s="18" t="str">
        <f>IF(NOT(ISBLANK(Audit[[#This Row],[Audit Candidate 10]])), Audit[[#This Row],[Audit Candidate 10]]-Audit[[#This Row],[Candidate 10]], "")</f>
        <v/>
      </c>
      <c r="AO614" s="18" t="str">
        <f>IF(NOT(ISBLANK(Audit[[#This Row],[Audit Candidate 11]])), Audit[[#This Row],[Audit Candidate 11]]-Audit[[#This Row],[Candidate 11]], "")</f>
        <v/>
      </c>
      <c r="AP614" s="18" t="str">
        <f>IF(NOT(ISBLANK(Audit[[#This Row],[Audit Candidate 12]])), Audit[[#This Row],[Audit Candidate 12]]-Audit[[#This Row],[Candidate 12]], "")</f>
        <v/>
      </c>
      <c r="AQ614" s="18">
        <f>SUMIF(Audit[[#This Row],[Difference Winner]:[Difference Candidate 12]], "&gt;0")</f>
        <v>0</v>
      </c>
      <c r="AR614" s="18">
        <f>SUM(Audit[[#This Row],[Difference Winner]:[Difference Candidate 12]])</f>
        <v>0</v>
      </c>
      <c r="AS614" s="18">
        <f>IF(Audit[[#This Row],[Times p Drawn - With Replacement]]&gt;0, IF(Audit[[#This Row],[Canceled Differences]]&lt;0, Audit[[#This Row],[Max Differences]]+ABS(Audit[[#This Row],[Canceled Differences]]), Audit[[#This Row],[Max Differences]]), 0)</f>
        <v>0</v>
      </c>
      <c r="AT614" s="18">
        <f>'Sampling Data'!AB614</f>
        <v>1.8845996796180544E-3</v>
      </c>
      <c r="AU614" s="18">
        <f>IF(
      SUM(Audit[[#This Row],[Audit Losing Candidate]:[Audit Candidate 12]])
      &lt;&gt;0,
      (Audit[[#This Row],[Winning Candidate]]-Audit[[#This Row],[Losing Candidate]]-(Audit[[#This Row],[Audit Winning Candidate]]-Audit[[#This Row],[Audit Losing Candidate]]))/(Audit[[#Totals],[Winning Candidate]]-Audit[[#Totals],[Losing Candidate]]),
      0
)</f>
        <v>0</v>
      </c>
      <c r="AV6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8">
        <f>IF(Audit[[#This Row],[Max Relative Error (ep)]] = 0, 0, Audit[[#This Row],[Max Relative Error (ep)]]/Audit[[#This Row],[Error Bound (up) - Max. possible relative overstatement]])</f>
        <v>0</v>
      </c>
      <c r="BH6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4" s="18">
        <f t="shared" si="10"/>
        <v>1</v>
      </c>
      <c r="BJ614" s="18">
        <f>PRODUCT($BI$5:BI614)</f>
        <v>0.32656797278968008</v>
      </c>
      <c r="BK614" s="20">
        <f>1 - Audit[[#This Row],[K-M P Value]]</f>
        <v>0.67343202721031992</v>
      </c>
      <c r="BL614" s="18" t="str">
        <f>IF(Audit[[#This Row],[K-M P Value]]&gt;1-'General Info'!$B$12,"Continue", "Stop")</f>
        <v>Continue</v>
      </c>
      <c r="BM614" s="23" t="b">
        <f>IF(Audit[[#This Row],[Status - Continue or stop audit]] = "Continue", TRUE, IF(BL613 = "Continue", TRUE, FALSE))</f>
        <v>1</v>
      </c>
      <c r="BN614" s="23"/>
    </row>
    <row r="615" spans="1:66" ht="15" hidden="1" customHeight="1" x14ac:dyDescent="0.35">
      <c r="A615" s="18" t="str">
        <f>'Sampling Data'!AI615</f>
        <v/>
      </c>
      <c r="B615" s="18" t="str">
        <f>'Sampling Data'!A615</f>
        <v>0602 CIN 6-B   (ED)</v>
      </c>
      <c r="C615" s="18">
        <f>'Sampling Data'!B615</f>
        <v>15</v>
      </c>
      <c r="D615" s="18">
        <f>'Sampling Data'!C615</f>
        <v>5</v>
      </c>
      <c r="E615" s="19">
        <f>'Sampling Data'!D615</f>
        <v>0</v>
      </c>
      <c r="F615" s="19">
        <f>'Sampling Data'!E615</f>
        <v>0</v>
      </c>
      <c r="G615" s="19">
        <f>'Sampling Data'!F615</f>
        <v>0</v>
      </c>
      <c r="H615" s="19">
        <f>'Sampling Data'!G615</f>
        <v>0</v>
      </c>
      <c r="I615" s="19">
        <f>'Sampling Data'!H615</f>
        <v>0</v>
      </c>
      <c r="J615" s="19">
        <f>'Sampling Data'!I615</f>
        <v>0</v>
      </c>
      <c r="K615" s="19">
        <f>'Sampling Data'!J615</f>
        <v>0</v>
      </c>
      <c r="L615" s="19">
        <f>'Sampling Data'!K615</f>
        <v>0</v>
      </c>
      <c r="M615" s="19">
        <f>'Sampling Data'!L615</f>
        <v>0</v>
      </c>
      <c r="N615" s="19">
        <f>'Sampling Data'!M615</f>
        <v>0</v>
      </c>
      <c r="O615" s="18">
        <f>'Sampling Data'!N615</f>
        <v>0</v>
      </c>
      <c r="P615" s="18">
        <f>'Sampling Data'!O615</f>
        <v>0</v>
      </c>
      <c r="Q615" s="18">
        <f>'Sampling Data'!P615</f>
        <v>20</v>
      </c>
      <c r="R615" s="18">
        <f>'Sampling Data'!AJ615</f>
        <v>0</v>
      </c>
      <c r="S615" s="112"/>
      <c r="T615" s="112"/>
      <c r="U615" s="113"/>
      <c r="V615" s="113"/>
      <c r="W615" s="112"/>
      <c r="X615" s="112"/>
      <c r="Y615" s="112"/>
      <c r="Z615" s="112"/>
      <c r="AA615" s="15"/>
      <c r="AB615" s="15"/>
      <c r="AC615" s="15"/>
      <c r="AD615" s="15"/>
      <c r="AE615" s="114" t="str">
        <f>IF(NOT(ISBLANK(Audit[[#This Row],[Audit Winning Candidate]])), Audit[[#This Row],[Audit Winning Candidate]]-Audit[[#This Row],[Winning Candidate]], "")</f>
        <v/>
      </c>
      <c r="AF615" s="18" t="str">
        <f>IF(NOT(ISBLANK(Audit[[#This Row],[Audit Losing Candidate]])), Audit[[#This Row],[Audit Losing Candidate]]-Audit[[#This Row],[Losing Candidate]], "")</f>
        <v/>
      </c>
      <c r="AG615" s="18" t="str">
        <f>IF(NOT(ISBLANK(Audit[[#This Row],[Audit Candidate 3]])), Audit[[#This Row],[Audit Candidate 3]]-Audit[[#This Row],[Candidate 3]], "")</f>
        <v/>
      </c>
      <c r="AH615" s="18" t="str">
        <f>IF(NOT(ISBLANK(Audit[[#This Row],[Audit Candidate 4]])),Audit[[#This Row],[Audit Candidate 4]]-Audit[[#This Row],[Candidate 4]], "")</f>
        <v/>
      </c>
      <c r="AI615" s="18" t="str">
        <f>IF(NOT(ISBLANK(Audit[[#This Row],[Audit Candidate 5]])), Audit[[#This Row],[Audit Candidate 5]]-Audit[[#This Row],[Candidate 5]], "")</f>
        <v/>
      </c>
      <c r="AJ615" s="18" t="str">
        <f>IF(NOT(ISBLANK(Audit[[#This Row],[Audit Candidate 6]])), Audit[[#This Row],[Audit Candidate 6]]-Audit[[#This Row],[Candidate 6]], "")</f>
        <v/>
      </c>
      <c r="AK615" s="18" t="str">
        <f>IF(NOT(ISBLANK(Audit[[#This Row],[Audit Candidate 7]])), Audit[[#This Row],[Audit Candidate 7]]-Audit[[#This Row],[Candidate 7]], "")</f>
        <v/>
      </c>
      <c r="AL615" s="18" t="str">
        <f>IF(NOT(ISBLANK(Audit[[#This Row],[Audit Candidate 8]])), Audit[[#This Row],[Audit Candidate 8]]-Audit[[#This Row],[Candidate 8]], "")</f>
        <v/>
      </c>
      <c r="AM615" s="18" t="str">
        <f>IF(NOT(ISBLANK(Audit[[#This Row],[Audit Candidate 9]])), Audit[[#This Row],[Audit Candidate 9]]-Audit[[#This Row],[Candidate 9]], "")</f>
        <v/>
      </c>
      <c r="AN615" s="18" t="str">
        <f>IF(NOT(ISBLANK(Audit[[#This Row],[Audit Candidate 10]])), Audit[[#This Row],[Audit Candidate 10]]-Audit[[#This Row],[Candidate 10]], "")</f>
        <v/>
      </c>
      <c r="AO615" s="18" t="str">
        <f>IF(NOT(ISBLANK(Audit[[#This Row],[Audit Candidate 11]])), Audit[[#This Row],[Audit Candidate 11]]-Audit[[#This Row],[Candidate 11]], "")</f>
        <v/>
      </c>
      <c r="AP615" s="18" t="str">
        <f>IF(NOT(ISBLANK(Audit[[#This Row],[Audit Candidate 12]])), Audit[[#This Row],[Audit Candidate 12]]-Audit[[#This Row],[Candidate 12]], "")</f>
        <v/>
      </c>
      <c r="AQ615" s="18">
        <f>SUMIF(Audit[[#This Row],[Difference Winner]:[Difference Candidate 12]], "&gt;0")</f>
        <v>0</v>
      </c>
      <c r="AR615" s="18">
        <f>SUM(Audit[[#This Row],[Difference Winner]:[Difference Candidate 12]])</f>
        <v>0</v>
      </c>
      <c r="AS615" s="18">
        <f>IF(Audit[[#This Row],[Times p Drawn - With Replacement]]&gt;0, IF(Audit[[#This Row],[Canceled Differences]]&lt;0, Audit[[#This Row],[Max Differences]]+ABS(Audit[[#This Row],[Canceled Differences]]), Audit[[#This Row],[Max Differences]]), 0)</f>
        <v>0</v>
      </c>
      <c r="AT615" s="18">
        <f>'Sampling Data'!AB615</f>
        <v>9.4229983980902718E-4</v>
      </c>
      <c r="AU615" s="18">
        <f>IF(
      SUM(Audit[[#This Row],[Audit Losing Candidate]:[Audit Candidate 12]])
      &lt;&gt;0,
      (Audit[[#This Row],[Winning Candidate]]-Audit[[#This Row],[Losing Candidate]]-(Audit[[#This Row],[Audit Winning Candidate]]-Audit[[#This Row],[Audit Losing Candidate]]))/(Audit[[#Totals],[Winning Candidate]]-Audit[[#Totals],[Losing Candidate]]),
      0
)</f>
        <v>0</v>
      </c>
      <c r="AV6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8">
        <f>IF(Audit[[#This Row],[Max Relative Error (ep)]] = 0, 0, Audit[[#This Row],[Max Relative Error (ep)]]/Audit[[#This Row],[Error Bound (up) - Max. possible relative overstatement]])</f>
        <v>0</v>
      </c>
      <c r="BH6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5" s="18">
        <f t="shared" si="10"/>
        <v>1</v>
      </c>
      <c r="BJ615" s="18">
        <f>PRODUCT($BI$5:BI615)</f>
        <v>0.32656797278968008</v>
      </c>
      <c r="BK615" s="20">
        <f>1 - Audit[[#This Row],[K-M P Value]]</f>
        <v>0.67343202721031992</v>
      </c>
      <c r="BL615" s="18" t="str">
        <f>IF(Audit[[#This Row],[K-M P Value]]&gt;1-'General Info'!$B$12,"Continue", "Stop")</f>
        <v>Continue</v>
      </c>
      <c r="BM615" s="23" t="b">
        <f>IF(Audit[[#This Row],[Status - Continue or stop audit]] = "Continue", TRUE, IF(BL614 = "Continue", TRUE, FALSE))</f>
        <v>1</v>
      </c>
      <c r="BN615" s="23"/>
    </row>
    <row r="616" spans="1:66" ht="15" hidden="1" customHeight="1" x14ac:dyDescent="0.35">
      <c r="A616" s="18" t="str">
        <f>'Sampling Data'!AI616</f>
        <v/>
      </c>
      <c r="B616" s="18" t="str">
        <f>'Sampling Data'!A616</f>
        <v>0603 CIN 6-C   (ED)</v>
      </c>
      <c r="C616" s="18">
        <f>'Sampling Data'!B616</f>
        <v>8</v>
      </c>
      <c r="D616" s="18">
        <f>'Sampling Data'!C616</f>
        <v>3</v>
      </c>
      <c r="E616" s="19">
        <f>'Sampling Data'!D616</f>
        <v>0</v>
      </c>
      <c r="F616" s="19">
        <f>'Sampling Data'!E616</f>
        <v>0</v>
      </c>
      <c r="G616" s="19">
        <f>'Sampling Data'!F616</f>
        <v>0</v>
      </c>
      <c r="H616" s="19">
        <f>'Sampling Data'!G616</f>
        <v>0</v>
      </c>
      <c r="I616" s="19">
        <f>'Sampling Data'!H616</f>
        <v>0</v>
      </c>
      <c r="J616" s="19">
        <f>'Sampling Data'!I616</f>
        <v>0</v>
      </c>
      <c r="K616" s="19">
        <f>'Sampling Data'!J616</f>
        <v>0</v>
      </c>
      <c r="L616" s="19">
        <f>'Sampling Data'!K616</f>
        <v>0</v>
      </c>
      <c r="M616" s="19">
        <f>'Sampling Data'!L616</f>
        <v>0</v>
      </c>
      <c r="N616" s="19">
        <f>'Sampling Data'!M616</f>
        <v>0</v>
      </c>
      <c r="O616" s="18">
        <f>'Sampling Data'!N616</f>
        <v>0</v>
      </c>
      <c r="P616" s="18">
        <f>'Sampling Data'!O616</f>
        <v>0</v>
      </c>
      <c r="Q616" s="18">
        <f>'Sampling Data'!P616</f>
        <v>11</v>
      </c>
      <c r="R616" s="18">
        <f>'Sampling Data'!AJ616</f>
        <v>0</v>
      </c>
      <c r="S616" s="112"/>
      <c r="T616" s="112"/>
      <c r="U616" s="113"/>
      <c r="V616" s="113"/>
      <c r="W616" s="112"/>
      <c r="X616" s="112"/>
      <c r="Y616" s="112"/>
      <c r="Z616" s="112"/>
      <c r="AA616" s="15"/>
      <c r="AB616" s="15"/>
      <c r="AC616" s="15"/>
      <c r="AD616" s="15"/>
      <c r="AE616" s="114" t="str">
        <f>IF(NOT(ISBLANK(Audit[[#This Row],[Audit Winning Candidate]])), Audit[[#This Row],[Audit Winning Candidate]]-Audit[[#This Row],[Winning Candidate]], "")</f>
        <v/>
      </c>
      <c r="AF616" s="18" t="str">
        <f>IF(NOT(ISBLANK(Audit[[#This Row],[Audit Losing Candidate]])), Audit[[#This Row],[Audit Losing Candidate]]-Audit[[#This Row],[Losing Candidate]], "")</f>
        <v/>
      </c>
      <c r="AG616" s="18" t="str">
        <f>IF(NOT(ISBLANK(Audit[[#This Row],[Audit Candidate 3]])), Audit[[#This Row],[Audit Candidate 3]]-Audit[[#This Row],[Candidate 3]], "")</f>
        <v/>
      </c>
      <c r="AH616" s="18" t="str">
        <f>IF(NOT(ISBLANK(Audit[[#This Row],[Audit Candidate 4]])),Audit[[#This Row],[Audit Candidate 4]]-Audit[[#This Row],[Candidate 4]], "")</f>
        <v/>
      </c>
      <c r="AI616" s="18" t="str">
        <f>IF(NOT(ISBLANK(Audit[[#This Row],[Audit Candidate 5]])), Audit[[#This Row],[Audit Candidate 5]]-Audit[[#This Row],[Candidate 5]], "")</f>
        <v/>
      </c>
      <c r="AJ616" s="18" t="str">
        <f>IF(NOT(ISBLANK(Audit[[#This Row],[Audit Candidate 6]])), Audit[[#This Row],[Audit Candidate 6]]-Audit[[#This Row],[Candidate 6]], "")</f>
        <v/>
      </c>
      <c r="AK616" s="18" t="str">
        <f>IF(NOT(ISBLANK(Audit[[#This Row],[Audit Candidate 7]])), Audit[[#This Row],[Audit Candidate 7]]-Audit[[#This Row],[Candidate 7]], "")</f>
        <v/>
      </c>
      <c r="AL616" s="18" t="str">
        <f>IF(NOT(ISBLANK(Audit[[#This Row],[Audit Candidate 8]])), Audit[[#This Row],[Audit Candidate 8]]-Audit[[#This Row],[Candidate 8]], "")</f>
        <v/>
      </c>
      <c r="AM616" s="18" t="str">
        <f>IF(NOT(ISBLANK(Audit[[#This Row],[Audit Candidate 9]])), Audit[[#This Row],[Audit Candidate 9]]-Audit[[#This Row],[Candidate 9]], "")</f>
        <v/>
      </c>
      <c r="AN616" s="18" t="str">
        <f>IF(NOT(ISBLANK(Audit[[#This Row],[Audit Candidate 10]])), Audit[[#This Row],[Audit Candidate 10]]-Audit[[#This Row],[Candidate 10]], "")</f>
        <v/>
      </c>
      <c r="AO616" s="18" t="str">
        <f>IF(NOT(ISBLANK(Audit[[#This Row],[Audit Candidate 11]])), Audit[[#This Row],[Audit Candidate 11]]-Audit[[#This Row],[Candidate 11]], "")</f>
        <v/>
      </c>
      <c r="AP616" s="18" t="str">
        <f>IF(NOT(ISBLANK(Audit[[#This Row],[Audit Candidate 12]])), Audit[[#This Row],[Audit Candidate 12]]-Audit[[#This Row],[Candidate 12]], "")</f>
        <v/>
      </c>
      <c r="AQ616" s="18">
        <f>SUMIF(Audit[[#This Row],[Difference Winner]:[Difference Candidate 12]], "&gt;0")</f>
        <v>0</v>
      </c>
      <c r="AR616" s="18">
        <f>SUM(Audit[[#This Row],[Difference Winner]:[Difference Candidate 12]])</f>
        <v>0</v>
      </c>
      <c r="AS616" s="18">
        <f>IF(Audit[[#This Row],[Times p Drawn - With Replacement]]&gt;0, IF(Audit[[#This Row],[Canceled Differences]]&lt;0, Audit[[#This Row],[Max Differences]]+ABS(Audit[[#This Row],[Canceled Differences]]), Audit[[#This Row],[Max Differences]]), 0)</f>
        <v>0</v>
      </c>
      <c r="AT616" s="18">
        <f>'Sampling Data'!AB616</f>
        <v>5.0255991456481448E-4</v>
      </c>
      <c r="AU616" s="18">
        <f>IF(
      SUM(Audit[[#This Row],[Audit Losing Candidate]:[Audit Candidate 12]])
      &lt;&gt;0,
      (Audit[[#This Row],[Winning Candidate]]-Audit[[#This Row],[Losing Candidate]]-(Audit[[#This Row],[Audit Winning Candidate]]-Audit[[#This Row],[Audit Losing Candidate]]))/(Audit[[#Totals],[Winning Candidate]]-Audit[[#Totals],[Losing Candidate]]),
      0
)</f>
        <v>0</v>
      </c>
      <c r="AV6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8">
        <f>IF(Audit[[#This Row],[Max Relative Error (ep)]] = 0, 0, Audit[[#This Row],[Max Relative Error (ep)]]/Audit[[#This Row],[Error Bound (up) - Max. possible relative overstatement]])</f>
        <v>0</v>
      </c>
      <c r="BH6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6" s="18">
        <f t="shared" si="10"/>
        <v>1</v>
      </c>
      <c r="BJ616" s="18">
        <f>PRODUCT($BI$5:BI616)</f>
        <v>0.32656797278968008</v>
      </c>
      <c r="BK616" s="20">
        <f>1 - Audit[[#This Row],[K-M P Value]]</f>
        <v>0.67343202721031992</v>
      </c>
      <c r="BL616" s="18" t="str">
        <f>IF(Audit[[#This Row],[K-M P Value]]&gt;1-'General Info'!$B$12,"Continue", "Stop")</f>
        <v>Continue</v>
      </c>
      <c r="BM616" s="23" t="b">
        <f>IF(Audit[[#This Row],[Status - Continue or stop audit]] = "Continue", TRUE, IF(BL615 = "Continue", TRUE, FALSE))</f>
        <v>1</v>
      </c>
      <c r="BN616" s="23"/>
    </row>
    <row r="617" spans="1:66" ht="15" hidden="1" customHeight="1" x14ac:dyDescent="0.35">
      <c r="A617" s="18" t="str">
        <f>'Sampling Data'!AI617</f>
        <v/>
      </c>
      <c r="B617" s="18" t="str">
        <f>'Sampling Data'!A617</f>
        <v>0604 CIN 6-D   (ED)</v>
      </c>
      <c r="C617" s="18">
        <f>'Sampling Data'!B617</f>
        <v>4</v>
      </c>
      <c r="D617" s="18">
        <f>'Sampling Data'!C617</f>
        <v>2</v>
      </c>
      <c r="E617" s="19">
        <f>'Sampling Data'!D617</f>
        <v>0</v>
      </c>
      <c r="F617" s="19">
        <f>'Sampling Data'!E617</f>
        <v>0</v>
      </c>
      <c r="G617" s="19">
        <f>'Sampling Data'!F617</f>
        <v>0</v>
      </c>
      <c r="H617" s="19">
        <f>'Sampling Data'!G617</f>
        <v>0</v>
      </c>
      <c r="I617" s="19">
        <f>'Sampling Data'!H617</f>
        <v>0</v>
      </c>
      <c r="J617" s="19">
        <f>'Sampling Data'!I617</f>
        <v>0</v>
      </c>
      <c r="K617" s="19">
        <f>'Sampling Data'!J617</f>
        <v>0</v>
      </c>
      <c r="L617" s="19">
        <f>'Sampling Data'!K617</f>
        <v>0</v>
      </c>
      <c r="M617" s="19">
        <f>'Sampling Data'!L617</f>
        <v>0</v>
      </c>
      <c r="N617" s="19">
        <f>'Sampling Data'!M617</f>
        <v>0</v>
      </c>
      <c r="O617" s="18">
        <f>'Sampling Data'!N617</f>
        <v>0</v>
      </c>
      <c r="P617" s="18">
        <f>'Sampling Data'!O617</f>
        <v>1</v>
      </c>
      <c r="Q617" s="18">
        <f>'Sampling Data'!P617</f>
        <v>7</v>
      </c>
      <c r="R617" s="18">
        <f>'Sampling Data'!AJ617</f>
        <v>0</v>
      </c>
      <c r="S617" s="112"/>
      <c r="T617" s="112"/>
      <c r="U617" s="113"/>
      <c r="V617" s="113"/>
      <c r="W617" s="112"/>
      <c r="X617" s="112"/>
      <c r="Y617" s="112"/>
      <c r="Z617" s="112"/>
      <c r="AA617" s="15"/>
      <c r="AB617" s="15"/>
      <c r="AC617" s="15"/>
      <c r="AD617" s="15"/>
      <c r="AE617" s="114" t="str">
        <f>IF(NOT(ISBLANK(Audit[[#This Row],[Audit Winning Candidate]])), Audit[[#This Row],[Audit Winning Candidate]]-Audit[[#This Row],[Winning Candidate]], "")</f>
        <v/>
      </c>
      <c r="AF617" s="18" t="str">
        <f>IF(NOT(ISBLANK(Audit[[#This Row],[Audit Losing Candidate]])), Audit[[#This Row],[Audit Losing Candidate]]-Audit[[#This Row],[Losing Candidate]], "")</f>
        <v/>
      </c>
      <c r="AG617" s="18" t="str">
        <f>IF(NOT(ISBLANK(Audit[[#This Row],[Audit Candidate 3]])), Audit[[#This Row],[Audit Candidate 3]]-Audit[[#This Row],[Candidate 3]], "")</f>
        <v/>
      </c>
      <c r="AH617" s="18" t="str">
        <f>IF(NOT(ISBLANK(Audit[[#This Row],[Audit Candidate 4]])),Audit[[#This Row],[Audit Candidate 4]]-Audit[[#This Row],[Candidate 4]], "")</f>
        <v/>
      </c>
      <c r="AI617" s="18" t="str">
        <f>IF(NOT(ISBLANK(Audit[[#This Row],[Audit Candidate 5]])), Audit[[#This Row],[Audit Candidate 5]]-Audit[[#This Row],[Candidate 5]], "")</f>
        <v/>
      </c>
      <c r="AJ617" s="18" t="str">
        <f>IF(NOT(ISBLANK(Audit[[#This Row],[Audit Candidate 6]])), Audit[[#This Row],[Audit Candidate 6]]-Audit[[#This Row],[Candidate 6]], "")</f>
        <v/>
      </c>
      <c r="AK617" s="18" t="str">
        <f>IF(NOT(ISBLANK(Audit[[#This Row],[Audit Candidate 7]])), Audit[[#This Row],[Audit Candidate 7]]-Audit[[#This Row],[Candidate 7]], "")</f>
        <v/>
      </c>
      <c r="AL617" s="18" t="str">
        <f>IF(NOT(ISBLANK(Audit[[#This Row],[Audit Candidate 8]])), Audit[[#This Row],[Audit Candidate 8]]-Audit[[#This Row],[Candidate 8]], "")</f>
        <v/>
      </c>
      <c r="AM617" s="18" t="str">
        <f>IF(NOT(ISBLANK(Audit[[#This Row],[Audit Candidate 9]])), Audit[[#This Row],[Audit Candidate 9]]-Audit[[#This Row],[Candidate 9]], "")</f>
        <v/>
      </c>
      <c r="AN617" s="18" t="str">
        <f>IF(NOT(ISBLANK(Audit[[#This Row],[Audit Candidate 10]])), Audit[[#This Row],[Audit Candidate 10]]-Audit[[#This Row],[Candidate 10]], "")</f>
        <v/>
      </c>
      <c r="AO617" s="18" t="str">
        <f>IF(NOT(ISBLANK(Audit[[#This Row],[Audit Candidate 11]])), Audit[[#This Row],[Audit Candidate 11]]-Audit[[#This Row],[Candidate 11]], "")</f>
        <v/>
      </c>
      <c r="AP617" s="18" t="str">
        <f>IF(NOT(ISBLANK(Audit[[#This Row],[Audit Candidate 12]])), Audit[[#This Row],[Audit Candidate 12]]-Audit[[#This Row],[Candidate 12]], "")</f>
        <v/>
      </c>
      <c r="AQ617" s="18">
        <f>SUMIF(Audit[[#This Row],[Difference Winner]:[Difference Candidate 12]], "&gt;0")</f>
        <v>0</v>
      </c>
      <c r="AR617" s="18">
        <f>SUM(Audit[[#This Row],[Difference Winner]:[Difference Candidate 12]])</f>
        <v>0</v>
      </c>
      <c r="AS617" s="18">
        <f>IF(Audit[[#This Row],[Times p Drawn - With Replacement]]&gt;0, IF(Audit[[#This Row],[Canceled Differences]]&lt;0, Audit[[#This Row],[Max Differences]]+ABS(Audit[[#This Row],[Canceled Differences]]), Audit[[#This Row],[Max Differences]]), 0)</f>
        <v>0</v>
      </c>
      <c r="AT617" s="18">
        <f>'Sampling Data'!AB617</f>
        <v>2.8268995194270818E-4</v>
      </c>
      <c r="AU617" s="18">
        <f>IF(
      SUM(Audit[[#This Row],[Audit Losing Candidate]:[Audit Candidate 12]])
      &lt;&gt;0,
      (Audit[[#This Row],[Winning Candidate]]-Audit[[#This Row],[Losing Candidate]]-(Audit[[#This Row],[Audit Winning Candidate]]-Audit[[#This Row],[Audit Losing Candidate]]))/(Audit[[#Totals],[Winning Candidate]]-Audit[[#Totals],[Losing Candidate]]),
      0
)</f>
        <v>0</v>
      </c>
      <c r="AV6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8">
        <f>IF(Audit[[#This Row],[Max Relative Error (ep)]] = 0, 0, Audit[[#This Row],[Max Relative Error (ep)]]/Audit[[#This Row],[Error Bound (up) - Max. possible relative overstatement]])</f>
        <v>0</v>
      </c>
      <c r="BH6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7" s="18">
        <f t="shared" si="10"/>
        <v>1</v>
      </c>
      <c r="BJ617" s="18">
        <f>PRODUCT($BI$5:BI617)</f>
        <v>0.32656797278968008</v>
      </c>
      <c r="BK617" s="20">
        <f>1 - Audit[[#This Row],[K-M P Value]]</f>
        <v>0.67343202721031992</v>
      </c>
      <c r="BL617" s="18" t="str">
        <f>IF(Audit[[#This Row],[K-M P Value]]&gt;1-'General Info'!$B$12,"Continue", "Stop")</f>
        <v>Continue</v>
      </c>
      <c r="BM617" s="23" t="b">
        <f>IF(Audit[[#This Row],[Status - Continue or stop audit]] = "Continue", TRUE, IF(BL616 = "Continue", TRUE, FALSE))</f>
        <v>1</v>
      </c>
      <c r="BN617" s="23"/>
    </row>
    <row r="618" spans="1:66" ht="15" hidden="1" customHeight="1" x14ac:dyDescent="0.35">
      <c r="A618" s="18" t="str">
        <f>'Sampling Data'!AI618</f>
        <v/>
      </c>
      <c r="B618" s="18" t="str">
        <f>'Sampling Data'!A618</f>
        <v>0605 CIN 6-E   (ED)</v>
      </c>
      <c r="C618" s="18">
        <f>'Sampling Data'!B618</f>
        <v>26</v>
      </c>
      <c r="D618" s="18">
        <f>'Sampling Data'!C618</f>
        <v>6</v>
      </c>
      <c r="E618" s="19">
        <f>'Sampling Data'!D618</f>
        <v>0</v>
      </c>
      <c r="F618" s="19">
        <f>'Sampling Data'!E618</f>
        <v>0</v>
      </c>
      <c r="G618" s="19">
        <f>'Sampling Data'!F618</f>
        <v>0</v>
      </c>
      <c r="H618" s="19">
        <f>'Sampling Data'!G618</f>
        <v>0</v>
      </c>
      <c r="I618" s="19">
        <f>'Sampling Data'!H618</f>
        <v>0</v>
      </c>
      <c r="J618" s="19">
        <f>'Sampling Data'!I618</f>
        <v>0</v>
      </c>
      <c r="K618" s="19">
        <f>'Sampling Data'!J618</f>
        <v>0</v>
      </c>
      <c r="L618" s="19">
        <f>'Sampling Data'!K618</f>
        <v>0</v>
      </c>
      <c r="M618" s="19">
        <f>'Sampling Data'!L618</f>
        <v>0</v>
      </c>
      <c r="N618" s="19">
        <f>'Sampling Data'!M618</f>
        <v>0</v>
      </c>
      <c r="O618" s="18">
        <f>'Sampling Data'!N618</f>
        <v>0</v>
      </c>
      <c r="P618" s="18">
        <f>'Sampling Data'!O618</f>
        <v>0</v>
      </c>
      <c r="Q618" s="18">
        <f>'Sampling Data'!P618</f>
        <v>32</v>
      </c>
      <c r="R618" s="18">
        <f>'Sampling Data'!AJ618</f>
        <v>0</v>
      </c>
      <c r="S618" s="112"/>
      <c r="T618" s="112"/>
      <c r="U618" s="113"/>
      <c r="V618" s="113"/>
      <c r="W618" s="112"/>
      <c r="X618" s="112"/>
      <c r="Y618" s="112"/>
      <c r="Z618" s="112"/>
      <c r="AA618" s="15"/>
      <c r="AB618" s="15"/>
      <c r="AC618" s="15"/>
      <c r="AD618" s="15"/>
      <c r="AE618" s="114" t="str">
        <f>IF(NOT(ISBLANK(Audit[[#This Row],[Audit Winning Candidate]])), Audit[[#This Row],[Audit Winning Candidate]]-Audit[[#This Row],[Winning Candidate]], "")</f>
        <v/>
      </c>
      <c r="AF618" s="18" t="str">
        <f>IF(NOT(ISBLANK(Audit[[#This Row],[Audit Losing Candidate]])), Audit[[#This Row],[Audit Losing Candidate]]-Audit[[#This Row],[Losing Candidate]], "")</f>
        <v/>
      </c>
      <c r="AG618" s="18" t="str">
        <f>IF(NOT(ISBLANK(Audit[[#This Row],[Audit Candidate 3]])), Audit[[#This Row],[Audit Candidate 3]]-Audit[[#This Row],[Candidate 3]], "")</f>
        <v/>
      </c>
      <c r="AH618" s="18" t="str">
        <f>IF(NOT(ISBLANK(Audit[[#This Row],[Audit Candidate 4]])),Audit[[#This Row],[Audit Candidate 4]]-Audit[[#This Row],[Candidate 4]], "")</f>
        <v/>
      </c>
      <c r="AI618" s="18" t="str">
        <f>IF(NOT(ISBLANK(Audit[[#This Row],[Audit Candidate 5]])), Audit[[#This Row],[Audit Candidate 5]]-Audit[[#This Row],[Candidate 5]], "")</f>
        <v/>
      </c>
      <c r="AJ618" s="18" t="str">
        <f>IF(NOT(ISBLANK(Audit[[#This Row],[Audit Candidate 6]])), Audit[[#This Row],[Audit Candidate 6]]-Audit[[#This Row],[Candidate 6]], "")</f>
        <v/>
      </c>
      <c r="AK618" s="18" t="str">
        <f>IF(NOT(ISBLANK(Audit[[#This Row],[Audit Candidate 7]])), Audit[[#This Row],[Audit Candidate 7]]-Audit[[#This Row],[Candidate 7]], "")</f>
        <v/>
      </c>
      <c r="AL618" s="18" t="str">
        <f>IF(NOT(ISBLANK(Audit[[#This Row],[Audit Candidate 8]])), Audit[[#This Row],[Audit Candidate 8]]-Audit[[#This Row],[Candidate 8]], "")</f>
        <v/>
      </c>
      <c r="AM618" s="18" t="str">
        <f>IF(NOT(ISBLANK(Audit[[#This Row],[Audit Candidate 9]])), Audit[[#This Row],[Audit Candidate 9]]-Audit[[#This Row],[Candidate 9]], "")</f>
        <v/>
      </c>
      <c r="AN618" s="18" t="str">
        <f>IF(NOT(ISBLANK(Audit[[#This Row],[Audit Candidate 10]])), Audit[[#This Row],[Audit Candidate 10]]-Audit[[#This Row],[Candidate 10]], "")</f>
        <v/>
      </c>
      <c r="AO618" s="18" t="str">
        <f>IF(NOT(ISBLANK(Audit[[#This Row],[Audit Candidate 11]])), Audit[[#This Row],[Audit Candidate 11]]-Audit[[#This Row],[Candidate 11]], "")</f>
        <v/>
      </c>
      <c r="AP618" s="18" t="str">
        <f>IF(NOT(ISBLANK(Audit[[#This Row],[Audit Candidate 12]])), Audit[[#This Row],[Audit Candidate 12]]-Audit[[#This Row],[Candidate 12]], "")</f>
        <v/>
      </c>
      <c r="AQ618" s="18">
        <f>SUMIF(Audit[[#This Row],[Difference Winner]:[Difference Candidate 12]], "&gt;0")</f>
        <v>0</v>
      </c>
      <c r="AR618" s="18">
        <f>SUM(Audit[[#This Row],[Difference Winner]:[Difference Candidate 12]])</f>
        <v>0</v>
      </c>
      <c r="AS618" s="18">
        <f>IF(Audit[[#This Row],[Times p Drawn - With Replacement]]&gt;0, IF(Audit[[#This Row],[Canceled Differences]]&lt;0, Audit[[#This Row],[Max Differences]]+ABS(Audit[[#This Row],[Canceled Differences]]), Audit[[#This Row],[Max Differences]]), 0)</f>
        <v>0</v>
      </c>
      <c r="AT618" s="18">
        <f>'Sampling Data'!AB618</f>
        <v>1.6333197223356473E-3</v>
      </c>
      <c r="AU618" s="18">
        <f>IF(
      SUM(Audit[[#This Row],[Audit Losing Candidate]:[Audit Candidate 12]])
      &lt;&gt;0,
      (Audit[[#This Row],[Winning Candidate]]-Audit[[#This Row],[Losing Candidate]]-(Audit[[#This Row],[Audit Winning Candidate]]-Audit[[#This Row],[Audit Losing Candidate]]))/(Audit[[#Totals],[Winning Candidate]]-Audit[[#Totals],[Losing Candidate]]),
      0
)</f>
        <v>0</v>
      </c>
      <c r="AV6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8">
        <f>IF(Audit[[#This Row],[Max Relative Error (ep)]] = 0, 0, Audit[[#This Row],[Max Relative Error (ep)]]/Audit[[#This Row],[Error Bound (up) - Max. possible relative overstatement]])</f>
        <v>0</v>
      </c>
      <c r="BH6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8" s="18">
        <f t="shared" si="10"/>
        <v>1</v>
      </c>
      <c r="BJ618" s="18">
        <f>PRODUCT($BI$5:BI618)</f>
        <v>0.32656797278968008</v>
      </c>
      <c r="BK618" s="20">
        <f>1 - Audit[[#This Row],[K-M P Value]]</f>
        <v>0.67343202721031992</v>
      </c>
      <c r="BL618" s="18" t="str">
        <f>IF(Audit[[#This Row],[K-M P Value]]&gt;1-'General Info'!$B$12,"Continue", "Stop")</f>
        <v>Continue</v>
      </c>
      <c r="BM618" s="23" t="b">
        <f>IF(Audit[[#This Row],[Status - Continue or stop audit]] = "Continue", TRUE, IF(BL617 = "Continue", TRUE, FALSE))</f>
        <v>1</v>
      </c>
      <c r="BN618" s="23"/>
    </row>
    <row r="619" spans="1:66" ht="15" hidden="1" customHeight="1" x14ac:dyDescent="0.35">
      <c r="A619" s="18" t="str">
        <f>'Sampling Data'!AI619</f>
        <v/>
      </c>
      <c r="B619" s="18" t="str">
        <f>'Sampling Data'!A619</f>
        <v>0701 CIN 7-A   (ED)</v>
      </c>
      <c r="C619" s="18">
        <f>'Sampling Data'!B619</f>
        <v>6</v>
      </c>
      <c r="D619" s="18">
        <f>'Sampling Data'!C619</f>
        <v>1</v>
      </c>
      <c r="E619" s="19">
        <f>'Sampling Data'!D619</f>
        <v>0</v>
      </c>
      <c r="F619" s="19">
        <f>'Sampling Data'!E619</f>
        <v>0</v>
      </c>
      <c r="G619" s="19">
        <f>'Sampling Data'!F619</f>
        <v>0</v>
      </c>
      <c r="H619" s="19">
        <f>'Sampling Data'!G619</f>
        <v>0</v>
      </c>
      <c r="I619" s="19">
        <f>'Sampling Data'!H619</f>
        <v>0</v>
      </c>
      <c r="J619" s="19">
        <f>'Sampling Data'!I619</f>
        <v>0</v>
      </c>
      <c r="K619" s="19">
        <f>'Sampling Data'!J619</f>
        <v>0</v>
      </c>
      <c r="L619" s="19">
        <f>'Sampling Data'!K619</f>
        <v>0</v>
      </c>
      <c r="M619" s="19">
        <f>'Sampling Data'!L619</f>
        <v>0</v>
      </c>
      <c r="N619" s="19">
        <f>'Sampling Data'!M619</f>
        <v>0</v>
      </c>
      <c r="O619" s="18">
        <f>'Sampling Data'!N619</f>
        <v>0</v>
      </c>
      <c r="P619" s="18">
        <f>'Sampling Data'!O619</f>
        <v>0</v>
      </c>
      <c r="Q619" s="18">
        <f>'Sampling Data'!P619</f>
        <v>7</v>
      </c>
      <c r="R619" s="18">
        <f>'Sampling Data'!AJ619</f>
        <v>0</v>
      </c>
      <c r="S619" s="112"/>
      <c r="T619" s="112"/>
      <c r="U619" s="113"/>
      <c r="V619" s="113"/>
      <c r="W619" s="112"/>
      <c r="X619" s="112"/>
      <c r="Y619" s="112"/>
      <c r="Z619" s="112"/>
      <c r="AA619" s="15"/>
      <c r="AB619" s="15"/>
      <c r="AC619" s="15"/>
      <c r="AD619" s="15"/>
      <c r="AE619" s="114" t="str">
        <f>IF(NOT(ISBLANK(Audit[[#This Row],[Audit Winning Candidate]])), Audit[[#This Row],[Audit Winning Candidate]]-Audit[[#This Row],[Winning Candidate]], "")</f>
        <v/>
      </c>
      <c r="AF619" s="18" t="str">
        <f>IF(NOT(ISBLANK(Audit[[#This Row],[Audit Losing Candidate]])), Audit[[#This Row],[Audit Losing Candidate]]-Audit[[#This Row],[Losing Candidate]], "")</f>
        <v/>
      </c>
      <c r="AG619" s="18" t="str">
        <f>IF(NOT(ISBLANK(Audit[[#This Row],[Audit Candidate 3]])), Audit[[#This Row],[Audit Candidate 3]]-Audit[[#This Row],[Candidate 3]], "")</f>
        <v/>
      </c>
      <c r="AH619" s="18" t="str">
        <f>IF(NOT(ISBLANK(Audit[[#This Row],[Audit Candidate 4]])),Audit[[#This Row],[Audit Candidate 4]]-Audit[[#This Row],[Candidate 4]], "")</f>
        <v/>
      </c>
      <c r="AI619" s="18" t="str">
        <f>IF(NOT(ISBLANK(Audit[[#This Row],[Audit Candidate 5]])), Audit[[#This Row],[Audit Candidate 5]]-Audit[[#This Row],[Candidate 5]], "")</f>
        <v/>
      </c>
      <c r="AJ619" s="18" t="str">
        <f>IF(NOT(ISBLANK(Audit[[#This Row],[Audit Candidate 6]])), Audit[[#This Row],[Audit Candidate 6]]-Audit[[#This Row],[Candidate 6]], "")</f>
        <v/>
      </c>
      <c r="AK619" s="18" t="str">
        <f>IF(NOT(ISBLANK(Audit[[#This Row],[Audit Candidate 7]])), Audit[[#This Row],[Audit Candidate 7]]-Audit[[#This Row],[Candidate 7]], "")</f>
        <v/>
      </c>
      <c r="AL619" s="18" t="str">
        <f>IF(NOT(ISBLANK(Audit[[#This Row],[Audit Candidate 8]])), Audit[[#This Row],[Audit Candidate 8]]-Audit[[#This Row],[Candidate 8]], "")</f>
        <v/>
      </c>
      <c r="AM619" s="18" t="str">
        <f>IF(NOT(ISBLANK(Audit[[#This Row],[Audit Candidate 9]])), Audit[[#This Row],[Audit Candidate 9]]-Audit[[#This Row],[Candidate 9]], "")</f>
        <v/>
      </c>
      <c r="AN619" s="18" t="str">
        <f>IF(NOT(ISBLANK(Audit[[#This Row],[Audit Candidate 10]])), Audit[[#This Row],[Audit Candidate 10]]-Audit[[#This Row],[Candidate 10]], "")</f>
        <v/>
      </c>
      <c r="AO619" s="18" t="str">
        <f>IF(NOT(ISBLANK(Audit[[#This Row],[Audit Candidate 11]])), Audit[[#This Row],[Audit Candidate 11]]-Audit[[#This Row],[Candidate 11]], "")</f>
        <v/>
      </c>
      <c r="AP619" s="18" t="str">
        <f>IF(NOT(ISBLANK(Audit[[#This Row],[Audit Candidate 12]])), Audit[[#This Row],[Audit Candidate 12]]-Audit[[#This Row],[Candidate 12]], "")</f>
        <v/>
      </c>
      <c r="AQ619" s="18">
        <f>SUMIF(Audit[[#This Row],[Difference Winner]:[Difference Candidate 12]], "&gt;0")</f>
        <v>0</v>
      </c>
      <c r="AR619" s="18">
        <f>SUM(Audit[[#This Row],[Difference Winner]:[Difference Candidate 12]])</f>
        <v>0</v>
      </c>
      <c r="AS619" s="18">
        <f>IF(Audit[[#This Row],[Times p Drawn - With Replacement]]&gt;0, IF(Audit[[#This Row],[Canceled Differences]]&lt;0, Audit[[#This Row],[Max Differences]]+ABS(Audit[[#This Row],[Canceled Differences]]), Audit[[#This Row],[Max Differences]]), 0)</f>
        <v>0</v>
      </c>
      <c r="AT619" s="18">
        <f>'Sampling Data'!AB619</f>
        <v>3.7691993592361088E-4</v>
      </c>
      <c r="AU619" s="18">
        <f>IF(
      SUM(Audit[[#This Row],[Audit Losing Candidate]:[Audit Candidate 12]])
      &lt;&gt;0,
      (Audit[[#This Row],[Winning Candidate]]-Audit[[#This Row],[Losing Candidate]]-(Audit[[#This Row],[Audit Winning Candidate]]-Audit[[#This Row],[Audit Losing Candidate]]))/(Audit[[#Totals],[Winning Candidate]]-Audit[[#Totals],[Losing Candidate]]),
      0
)</f>
        <v>0</v>
      </c>
      <c r="AV6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8">
        <f>IF(Audit[[#This Row],[Max Relative Error (ep)]] = 0, 0, Audit[[#This Row],[Max Relative Error (ep)]]/Audit[[#This Row],[Error Bound (up) - Max. possible relative overstatement]])</f>
        <v>0</v>
      </c>
      <c r="BH6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19" s="18">
        <f t="shared" si="10"/>
        <v>1</v>
      </c>
      <c r="BJ619" s="18">
        <f>PRODUCT($BI$5:BI619)</f>
        <v>0.32656797278968008</v>
      </c>
      <c r="BK619" s="20">
        <f>1 - Audit[[#This Row],[K-M P Value]]</f>
        <v>0.67343202721031992</v>
      </c>
      <c r="BL619" s="18" t="str">
        <f>IF(Audit[[#This Row],[K-M P Value]]&gt;1-'General Info'!$B$12,"Continue", "Stop")</f>
        <v>Continue</v>
      </c>
      <c r="BM619" s="23" t="b">
        <f>IF(Audit[[#This Row],[Status - Continue or stop audit]] = "Continue", TRUE, IF(BL618 = "Continue", TRUE, FALSE))</f>
        <v>1</v>
      </c>
      <c r="BN619" s="23"/>
    </row>
    <row r="620" spans="1:66" ht="15" hidden="1" customHeight="1" x14ac:dyDescent="0.35">
      <c r="A620" s="18" t="str">
        <f>'Sampling Data'!AI620</f>
        <v/>
      </c>
      <c r="B620" s="18" t="str">
        <f>'Sampling Data'!A620</f>
        <v>0702 CIN 7-B   (ED)</v>
      </c>
      <c r="C620" s="18">
        <f>'Sampling Data'!B620</f>
        <v>0</v>
      </c>
      <c r="D620" s="18">
        <f>'Sampling Data'!C620</f>
        <v>3</v>
      </c>
      <c r="E620" s="19">
        <f>'Sampling Data'!D620</f>
        <v>0</v>
      </c>
      <c r="F620" s="19">
        <f>'Sampling Data'!E620</f>
        <v>0</v>
      </c>
      <c r="G620" s="19">
        <f>'Sampling Data'!F620</f>
        <v>0</v>
      </c>
      <c r="H620" s="19">
        <f>'Sampling Data'!G620</f>
        <v>0</v>
      </c>
      <c r="I620" s="19">
        <f>'Sampling Data'!H620</f>
        <v>0</v>
      </c>
      <c r="J620" s="19">
        <f>'Sampling Data'!I620</f>
        <v>0</v>
      </c>
      <c r="K620" s="19">
        <f>'Sampling Data'!J620</f>
        <v>0</v>
      </c>
      <c r="L620" s="19">
        <f>'Sampling Data'!K620</f>
        <v>0</v>
      </c>
      <c r="M620" s="19">
        <f>'Sampling Data'!L620</f>
        <v>0</v>
      </c>
      <c r="N620" s="19">
        <f>'Sampling Data'!M620</f>
        <v>0</v>
      </c>
      <c r="O620" s="18">
        <f>'Sampling Data'!N620</f>
        <v>0</v>
      </c>
      <c r="P620" s="18">
        <f>'Sampling Data'!O620</f>
        <v>1</v>
      </c>
      <c r="Q620" s="18">
        <f>'Sampling Data'!P620</f>
        <v>4</v>
      </c>
      <c r="R620" s="18">
        <f>'Sampling Data'!AJ620</f>
        <v>0</v>
      </c>
      <c r="S620" s="112"/>
      <c r="T620" s="112"/>
      <c r="U620" s="113"/>
      <c r="V620" s="113"/>
      <c r="W620" s="112"/>
      <c r="X620" s="112"/>
      <c r="Y620" s="112"/>
      <c r="Z620" s="112"/>
      <c r="AA620" s="15"/>
      <c r="AB620" s="15"/>
      <c r="AC620" s="15"/>
      <c r="AD620" s="15"/>
      <c r="AE620" s="114" t="str">
        <f>IF(NOT(ISBLANK(Audit[[#This Row],[Audit Winning Candidate]])), Audit[[#This Row],[Audit Winning Candidate]]-Audit[[#This Row],[Winning Candidate]], "")</f>
        <v/>
      </c>
      <c r="AF620" s="18" t="str">
        <f>IF(NOT(ISBLANK(Audit[[#This Row],[Audit Losing Candidate]])), Audit[[#This Row],[Audit Losing Candidate]]-Audit[[#This Row],[Losing Candidate]], "")</f>
        <v/>
      </c>
      <c r="AG620" s="18" t="str">
        <f>IF(NOT(ISBLANK(Audit[[#This Row],[Audit Candidate 3]])), Audit[[#This Row],[Audit Candidate 3]]-Audit[[#This Row],[Candidate 3]], "")</f>
        <v/>
      </c>
      <c r="AH620" s="18" t="str">
        <f>IF(NOT(ISBLANK(Audit[[#This Row],[Audit Candidate 4]])),Audit[[#This Row],[Audit Candidate 4]]-Audit[[#This Row],[Candidate 4]], "")</f>
        <v/>
      </c>
      <c r="AI620" s="18" t="str">
        <f>IF(NOT(ISBLANK(Audit[[#This Row],[Audit Candidate 5]])), Audit[[#This Row],[Audit Candidate 5]]-Audit[[#This Row],[Candidate 5]], "")</f>
        <v/>
      </c>
      <c r="AJ620" s="18" t="str">
        <f>IF(NOT(ISBLANK(Audit[[#This Row],[Audit Candidate 6]])), Audit[[#This Row],[Audit Candidate 6]]-Audit[[#This Row],[Candidate 6]], "")</f>
        <v/>
      </c>
      <c r="AK620" s="18" t="str">
        <f>IF(NOT(ISBLANK(Audit[[#This Row],[Audit Candidate 7]])), Audit[[#This Row],[Audit Candidate 7]]-Audit[[#This Row],[Candidate 7]], "")</f>
        <v/>
      </c>
      <c r="AL620" s="18" t="str">
        <f>IF(NOT(ISBLANK(Audit[[#This Row],[Audit Candidate 8]])), Audit[[#This Row],[Audit Candidate 8]]-Audit[[#This Row],[Candidate 8]], "")</f>
        <v/>
      </c>
      <c r="AM620" s="18" t="str">
        <f>IF(NOT(ISBLANK(Audit[[#This Row],[Audit Candidate 9]])), Audit[[#This Row],[Audit Candidate 9]]-Audit[[#This Row],[Candidate 9]], "")</f>
        <v/>
      </c>
      <c r="AN620" s="18" t="str">
        <f>IF(NOT(ISBLANK(Audit[[#This Row],[Audit Candidate 10]])), Audit[[#This Row],[Audit Candidate 10]]-Audit[[#This Row],[Candidate 10]], "")</f>
        <v/>
      </c>
      <c r="AO620" s="18" t="str">
        <f>IF(NOT(ISBLANK(Audit[[#This Row],[Audit Candidate 11]])), Audit[[#This Row],[Audit Candidate 11]]-Audit[[#This Row],[Candidate 11]], "")</f>
        <v/>
      </c>
      <c r="AP620" s="18" t="str">
        <f>IF(NOT(ISBLANK(Audit[[#This Row],[Audit Candidate 12]])), Audit[[#This Row],[Audit Candidate 12]]-Audit[[#This Row],[Candidate 12]], "")</f>
        <v/>
      </c>
      <c r="AQ620" s="18">
        <f>SUMIF(Audit[[#This Row],[Difference Winner]:[Difference Candidate 12]], "&gt;0")</f>
        <v>0</v>
      </c>
      <c r="AR620" s="18">
        <f>SUM(Audit[[#This Row],[Difference Winner]:[Difference Candidate 12]])</f>
        <v>0</v>
      </c>
      <c r="AS620" s="18">
        <f>IF(Audit[[#This Row],[Times p Drawn - With Replacement]]&gt;0, IF(Audit[[#This Row],[Canceled Differences]]&lt;0, Audit[[#This Row],[Max Differences]]+ABS(Audit[[#This Row],[Canceled Differences]]), Audit[[#This Row],[Max Differences]]), 0)</f>
        <v>0</v>
      </c>
      <c r="AT620" s="18">
        <f>'Sampling Data'!AB620</f>
        <v>3.1409994660300905E-5</v>
      </c>
      <c r="AU620" s="18">
        <f>IF(
      SUM(Audit[[#This Row],[Audit Losing Candidate]:[Audit Candidate 12]])
      &lt;&gt;0,
      (Audit[[#This Row],[Winning Candidate]]-Audit[[#This Row],[Losing Candidate]]-(Audit[[#This Row],[Audit Winning Candidate]]-Audit[[#This Row],[Audit Losing Candidate]]))/(Audit[[#Totals],[Winning Candidate]]-Audit[[#Totals],[Losing Candidate]]),
      0
)</f>
        <v>0</v>
      </c>
      <c r="AV6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8">
        <f>IF(Audit[[#This Row],[Max Relative Error (ep)]] = 0, 0, Audit[[#This Row],[Max Relative Error (ep)]]/Audit[[#This Row],[Error Bound (up) - Max. possible relative overstatement]])</f>
        <v>0</v>
      </c>
      <c r="BH6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0" s="18">
        <f t="shared" si="10"/>
        <v>1</v>
      </c>
      <c r="BJ620" s="18">
        <f>PRODUCT($BI$5:BI620)</f>
        <v>0.32656797278968008</v>
      </c>
      <c r="BK620" s="20">
        <f>1 - Audit[[#This Row],[K-M P Value]]</f>
        <v>0.67343202721031992</v>
      </c>
      <c r="BL620" s="18" t="str">
        <f>IF(Audit[[#This Row],[K-M P Value]]&gt;1-'General Info'!$B$12,"Continue", "Stop")</f>
        <v>Continue</v>
      </c>
      <c r="BM620" s="23" t="b">
        <f>IF(Audit[[#This Row],[Status - Continue or stop audit]] = "Continue", TRUE, IF(BL619 = "Continue", TRUE, FALSE))</f>
        <v>1</v>
      </c>
      <c r="BN620" s="23"/>
    </row>
    <row r="621" spans="1:66" ht="15" hidden="1" customHeight="1" x14ac:dyDescent="0.35">
      <c r="A621" s="18" t="str">
        <f>'Sampling Data'!AI621</f>
        <v/>
      </c>
      <c r="B621" s="18" t="str">
        <f>'Sampling Data'!A621</f>
        <v>0703 CIN 7-C   (ED)</v>
      </c>
      <c r="C621" s="18">
        <f>'Sampling Data'!B621</f>
        <v>0</v>
      </c>
      <c r="D621" s="18">
        <f>'Sampling Data'!C621</f>
        <v>0</v>
      </c>
      <c r="E621" s="19">
        <f>'Sampling Data'!D621</f>
        <v>0</v>
      </c>
      <c r="F621" s="19">
        <f>'Sampling Data'!E621</f>
        <v>0</v>
      </c>
      <c r="G621" s="19">
        <f>'Sampling Data'!F621</f>
        <v>0</v>
      </c>
      <c r="H621" s="19">
        <f>'Sampling Data'!G621</f>
        <v>0</v>
      </c>
      <c r="I621" s="19">
        <f>'Sampling Data'!H621</f>
        <v>0</v>
      </c>
      <c r="J621" s="19">
        <f>'Sampling Data'!I621</f>
        <v>0</v>
      </c>
      <c r="K621" s="19">
        <f>'Sampling Data'!J621</f>
        <v>0</v>
      </c>
      <c r="L621" s="19">
        <f>'Sampling Data'!K621</f>
        <v>0</v>
      </c>
      <c r="M621" s="19">
        <f>'Sampling Data'!L621</f>
        <v>0</v>
      </c>
      <c r="N621" s="19">
        <f>'Sampling Data'!M621</f>
        <v>0</v>
      </c>
      <c r="O621" s="18">
        <f>'Sampling Data'!N621</f>
        <v>0</v>
      </c>
      <c r="P621" s="18">
        <f>'Sampling Data'!O621</f>
        <v>0</v>
      </c>
      <c r="Q621" s="18">
        <f>'Sampling Data'!P621</f>
        <v>0</v>
      </c>
      <c r="R621" s="18">
        <f>'Sampling Data'!AJ621</f>
        <v>0</v>
      </c>
      <c r="S621" s="112"/>
      <c r="T621" s="112"/>
      <c r="U621" s="113"/>
      <c r="V621" s="113"/>
      <c r="W621" s="112"/>
      <c r="X621" s="112"/>
      <c r="Y621" s="112"/>
      <c r="Z621" s="112"/>
      <c r="AA621" s="15"/>
      <c r="AB621" s="15"/>
      <c r="AC621" s="15"/>
      <c r="AD621" s="15"/>
      <c r="AE621" s="114" t="str">
        <f>IF(NOT(ISBLANK(Audit[[#This Row],[Audit Winning Candidate]])), Audit[[#This Row],[Audit Winning Candidate]]-Audit[[#This Row],[Winning Candidate]], "")</f>
        <v/>
      </c>
      <c r="AF621" s="18" t="str">
        <f>IF(NOT(ISBLANK(Audit[[#This Row],[Audit Losing Candidate]])), Audit[[#This Row],[Audit Losing Candidate]]-Audit[[#This Row],[Losing Candidate]], "")</f>
        <v/>
      </c>
      <c r="AG621" s="18" t="str">
        <f>IF(NOT(ISBLANK(Audit[[#This Row],[Audit Candidate 3]])), Audit[[#This Row],[Audit Candidate 3]]-Audit[[#This Row],[Candidate 3]], "")</f>
        <v/>
      </c>
      <c r="AH621" s="18" t="str">
        <f>IF(NOT(ISBLANK(Audit[[#This Row],[Audit Candidate 4]])),Audit[[#This Row],[Audit Candidate 4]]-Audit[[#This Row],[Candidate 4]], "")</f>
        <v/>
      </c>
      <c r="AI621" s="18" t="str">
        <f>IF(NOT(ISBLANK(Audit[[#This Row],[Audit Candidate 5]])), Audit[[#This Row],[Audit Candidate 5]]-Audit[[#This Row],[Candidate 5]], "")</f>
        <v/>
      </c>
      <c r="AJ621" s="18" t="str">
        <f>IF(NOT(ISBLANK(Audit[[#This Row],[Audit Candidate 6]])), Audit[[#This Row],[Audit Candidate 6]]-Audit[[#This Row],[Candidate 6]], "")</f>
        <v/>
      </c>
      <c r="AK621" s="18" t="str">
        <f>IF(NOT(ISBLANK(Audit[[#This Row],[Audit Candidate 7]])), Audit[[#This Row],[Audit Candidate 7]]-Audit[[#This Row],[Candidate 7]], "")</f>
        <v/>
      </c>
      <c r="AL621" s="18" t="str">
        <f>IF(NOT(ISBLANK(Audit[[#This Row],[Audit Candidate 8]])), Audit[[#This Row],[Audit Candidate 8]]-Audit[[#This Row],[Candidate 8]], "")</f>
        <v/>
      </c>
      <c r="AM621" s="18" t="str">
        <f>IF(NOT(ISBLANK(Audit[[#This Row],[Audit Candidate 9]])), Audit[[#This Row],[Audit Candidate 9]]-Audit[[#This Row],[Candidate 9]], "")</f>
        <v/>
      </c>
      <c r="AN621" s="18" t="str">
        <f>IF(NOT(ISBLANK(Audit[[#This Row],[Audit Candidate 10]])), Audit[[#This Row],[Audit Candidate 10]]-Audit[[#This Row],[Candidate 10]], "")</f>
        <v/>
      </c>
      <c r="AO621" s="18" t="str">
        <f>IF(NOT(ISBLANK(Audit[[#This Row],[Audit Candidate 11]])), Audit[[#This Row],[Audit Candidate 11]]-Audit[[#This Row],[Candidate 11]], "")</f>
        <v/>
      </c>
      <c r="AP621" s="18" t="str">
        <f>IF(NOT(ISBLANK(Audit[[#This Row],[Audit Candidate 12]])), Audit[[#This Row],[Audit Candidate 12]]-Audit[[#This Row],[Candidate 12]], "")</f>
        <v/>
      </c>
      <c r="AQ621" s="18">
        <f>SUMIF(Audit[[#This Row],[Difference Winner]:[Difference Candidate 12]], "&gt;0")</f>
        <v>0</v>
      </c>
      <c r="AR621" s="18">
        <f>SUM(Audit[[#This Row],[Difference Winner]:[Difference Candidate 12]])</f>
        <v>0</v>
      </c>
      <c r="AS621" s="18">
        <f>IF(Audit[[#This Row],[Times p Drawn - With Replacement]]&gt;0, IF(Audit[[#This Row],[Canceled Differences]]&lt;0, Audit[[#This Row],[Max Differences]]+ABS(Audit[[#This Row],[Canceled Differences]]), Audit[[#This Row],[Max Differences]]), 0)</f>
        <v>0</v>
      </c>
      <c r="AT621" s="18">
        <f>'Sampling Data'!AB621</f>
        <v>0</v>
      </c>
      <c r="AU621" s="18">
        <f>IF(
      SUM(Audit[[#This Row],[Audit Losing Candidate]:[Audit Candidate 12]])
      &lt;&gt;0,
      (Audit[[#This Row],[Winning Candidate]]-Audit[[#This Row],[Losing Candidate]]-(Audit[[#This Row],[Audit Winning Candidate]]-Audit[[#This Row],[Audit Losing Candidate]]))/(Audit[[#Totals],[Winning Candidate]]-Audit[[#Totals],[Losing Candidate]]),
      0
)</f>
        <v>0</v>
      </c>
      <c r="AV6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8">
        <f>IF(Audit[[#This Row],[Max Relative Error (ep)]] = 0, 0, Audit[[#This Row],[Max Relative Error (ep)]]/Audit[[#This Row],[Error Bound (up) - Max. possible relative overstatement]])</f>
        <v>0</v>
      </c>
      <c r="BH6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1" s="18">
        <f t="shared" si="10"/>
        <v>1</v>
      </c>
      <c r="BJ621" s="18">
        <f>PRODUCT($BI$5:BI621)</f>
        <v>0.32656797278968008</v>
      </c>
      <c r="BK621" s="20">
        <f>1 - Audit[[#This Row],[K-M P Value]]</f>
        <v>0.67343202721031992</v>
      </c>
      <c r="BL621" s="18" t="str">
        <f>IF(Audit[[#This Row],[K-M P Value]]&gt;1-'General Info'!$B$12,"Continue", "Stop")</f>
        <v>Continue</v>
      </c>
      <c r="BM621" s="23" t="b">
        <f>IF(Audit[[#This Row],[Status - Continue or stop audit]] = "Continue", TRUE, IF(BL620 = "Continue", TRUE, FALSE))</f>
        <v>1</v>
      </c>
      <c r="BN621" s="23"/>
    </row>
    <row r="622" spans="1:66" ht="15" hidden="1" customHeight="1" x14ac:dyDescent="0.35">
      <c r="A622" s="18" t="str">
        <f>'Sampling Data'!AI622</f>
        <v/>
      </c>
      <c r="B622" s="18" t="str">
        <f>'Sampling Data'!A622</f>
        <v>0704 CIN 7-D   (ED)</v>
      </c>
      <c r="C622" s="18">
        <f>'Sampling Data'!B622</f>
        <v>3</v>
      </c>
      <c r="D622" s="18">
        <f>'Sampling Data'!C622</f>
        <v>0</v>
      </c>
      <c r="E622" s="19">
        <f>'Sampling Data'!D622</f>
        <v>0</v>
      </c>
      <c r="F622" s="19">
        <f>'Sampling Data'!E622</f>
        <v>0</v>
      </c>
      <c r="G622" s="19">
        <f>'Sampling Data'!F622</f>
        <v>0</v>
      </c>
      <c r="H622" s="19">
        <f>'Sampling Data'!G622</f>
        <v>0</v>
      </c>
      <c r="I622" s="19">
        <f>'Sampling Data'!H622</f>
        <v>0</v>
      </c>
      <c r="J622" s="19">
        <f>'Sampling Data'!I622</f>
        <v>0</v>
      </c>
      <c r="K622" s="19">
        <f>'Sampling Data'!J622</f>
        <v>0</v>
      </c>
      <c r="L622" s="19">
        <f>'Sampling Data'!K622</f>
        <v>0</v>
      </c>
      <c r="M622" s="19">
        <f>'Sampling Data'!L622</f>
        <v>0</v>
      </c>
      <c r="N622" s="19">
        <f>'Sampling Data'!M622</f>
        <v>0</v>
      </c>
      <c r="O622" s="18">
        <f>'Sampling Data'!N622</f>
        <v>0</v>
      </c>
      <c r="P622" s="18">
        <f>'Sampling Data'!O622</f>
        <v>0</v>
      </c>
      <c r="Q622" s="18">
        <f>'Sampling Data'!P622</f>
        <v>3</v>
      </c>
      <c r="R622" s="18">
        <f>'Sampling Data'!AJ622</f>
        <v>0</v>
      </c>
      <c r="S622" s="112"/>
      <c r="T622" s="112"/>
      <c r="U622" s="113"/>
      <c r="V622" s="113"/>
      <c r="W622" s="112"/>
      <c r="X622" s="112"/>
      <c r="Y622" s="112"/>
      <c r="Z622" s="112"/>
      <c r="AA622" s="15"/>
      <c r="AB622" s="15"/>
      <c r="AC622" s="15"/>
      <c r="AD622" s="15"/>
      <c r="AE622" s="114" t="str">
        <f>IF(NOT(ISBLANK(Audit[[#This Row],[Audit Winning Candidate]])), Audit[[#This Row],[Audit Winning Candidate]]-Audit[[#This Row],[Winning Candidate]], "")</f>
        <v/>
      </c>
      <c r="AF622" s="18" t="str">
        <f>IF(NOT(ISBLANK(Audit[[#This Row],[Audit Losing Candidate]])), Audit[[#This Row],[Audit Losing Candidate]]-Audit[[#This Row],[Losing Candidate]], "")</f>
        <v/>
      </c>
      <c r="AG622" s="18" t="str">
        <f>IF(NOT(ISBLANK(Audit[[#This Row],[Audit Candidate 3]])), Audit[[#This Row],[Audit Candidate 3]]-Audit[[#This Row],[Candidate 3]], "")</f>
        <v/>
      </c>
      <c r="AH622" s="18" t="str">
        <f>IF(NOT(ISBLANK(Audit[[#This Row],[Audit Candidate 4]])),Audit[[#This Row],[Audit Candidate 4]]-Audit[[#This Row],[Candidate 4]], "")</f>
        <v/>
      </c>
      <c r="AI622" s="18" t="str">
        <f>IF(NOT(ISBLANK(Audit[[#This Row],[Audit Candidate 5]])), Audit[[#This Row],[Audit Candidate 5]]-Audit[[#This Row],[Candidate 5]], "")</f>
        <v/>
      </c>
      <c r="AJ622" s="18" t="str">
        <f>IF(NOT(ISBLANK(Audit[[#This Row],[Audit Candidate 6]])), Audit[[#This Row],[Audit Candidate 6]]-Audit[[#This Row],[Candidate 6]], "")</f>
        <v/>
      </c>
      <c r="AK622" s="18" t="str">
        <f>IF(NOT(ISBLANK(Audit[[#This Row],[Audit Candidate 7]])), Audit[[#This Row],[Audit Candidate 7]]-Audit[[#This Row],[Candidate 7]], "")</f>
        <v/>
      </c>
      <c r="AL622" s="18" t="str">
        <f>IF(NOT(ISBLANK(Audit[[#This Row],[Audit Candidate 8]])), Audit[[#This Row],[Audit Candidate 8]]-Audit[[#This Row],[Candidate 8]], "")</f>
        <v/>
      </c>
      <c r="AM622" s="18" t="str">
        <f>IF(NOT(ISBLANK(Audit[[#This Row],[Audit Candidate 9]])), Audit[[#This Row],[Audit Candidate 9]]-Audit[[#This Row],[Candidate 9]], "")</f>
        <v/>
      </c>
      <c r="AN622" s="18" t="str">
        <f>IF(NOT(ISBLANK(Audit[[#This Row],[Audit Candidate 10]])), Audit[[#This Row],[Audit Candidate 10]]-Audit[[#This Row],[Candidate 10]], "")</f>
        <v/>
      </c>
      <c r="AO622" s="18" t="str">
        <f>IF(NOT(ISBLANK(Audit[[#This Row],[Audit Candidate 11]])), Audit[[#This Row],[Audit Candidate 11]]-Audit[[#This Row],[Candidate 11]], "")</f>
        <v/>
      </c>
      <c r="AP622" s="18" t="str">
        <f>IF(NOT(ISBLANK(Audit[[#This Row],[Audit Candidate 12]])), Audit[[#This Row],[Audit Candidate 12]]-Audit[[#This Row],[Candidate 12]], "")</f>
        <v/>
      </c>
      <c r="AQ622" s="18">
        <f>SUMIF(Audit[[#This Row],[Difference Winner]:[Difference Candidate 12]], "&gt;0")</f>
        <v>0</v>
      </c>
      <c r="AR622" s="18">
        <f>SUM(Audit[[#This Row],[Difference Winner]:[Difference Candidate 12]])</f>
        <v>0</v>
      </c>
      <c r="AS622" s="18">
        <f>IF(Audit[[#This Row],[Times p Drawn - With Replacement]]&gt;0, IF(Audit[[#This Row],[Canceled Differences]]&lt;0, Audit[[#This Row],[Max Differences]]+ABS(Audit[[#This Row],[Canceled Differences]]), Audit[[#This Row],[Max Differences]]), 0)</f>
        <v>0</v>
      </c>
      <c r="AT622" s="18">
        <f>'Sampling Data'!AB622</f>
        <v>1.8845996796180544E-4</v>
      </c>
      <c r="AU622" s="18">
        <f>IF(
      SUM(Audit[[#This Row],[Audit Losing Candidate]:[Audit Candidate 12]])
      &lt;&gt;0,
      (Audit[[#This Row],[Winning Candidate]]-Audit[[#This Row],[Losing Candidate]]-(Audit[[#This Row],[Audit Winning Candidate]]-Audit[[#This Row],[Audit Losing Candidate]]))/(Audit[[#Totals],[Winning Candidate]]-Audit[[#Totals],[Losing Candidate]]),
      0
)</f>
        <v>0</v>
      </c>
      <c r="AV6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8">
        <f>IF(Audit[[#This Row],[Max Relative Error (ep)]] = 0, 0, Audit[[#This Row],[Max Relative Error (ep)]]/Audit[[#This Row],[Error Bound (up) - Max. possible relative overstatement]])</f>
        <v>0</v>
      </c>
      <c r="BH6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2" s="18">
        <f t="shared" si="10"/>
        <v>1</v>
      </c>
      <c r="BJ622" s="18">
        <f>PRODUCT($BI$5:BI622)</f>
        <v>0.32656797278968008</v>
      </c>
      <c r="BK622" s="20">
        <f>1 - Audit[[#This Row],[K-M P Value]]</f>
        <v>0.67343202721031992</v>
      </c>
      <c r="BL622" s="18" t="str">
        <f>IF(Audit[[#This Row],[K-M P Value]]&gt;1-'General Info'!$B$12,"Continue", "Stop")</f>
        <v>Continue</v>
      </c>
      <c r="BM622" s="23" t="b">
        <f>IF(Audit[[#This Row],[Status - Continue or stop audit]] = "Continue", TRUE, IF(BL621 = "Continue", TRUE, FALSE))</f>
        <v>1</v>
      </c>
      <c r="BN622" s="23"/>
    </row>
    <row r="623" spans="1:66" ht="15" hidden="1" customHeight="1" x14ac:dyDescent="0.35">
      <c r="A623" s="18" t="str">
        <f>'Sampling Data'!AI623</f>
        <v/>
      </c>
      <c r="B623" s="18" t="str">
        <f>'Sampling Data'!A623</f>
        <v>0705 CIN 7-E   (ED)</v>
      </c>
      <c r="C623" s="18">
        <f>'Sampling Data'!B623</f>
        <v>1</v>
      </c>
      <c r="D623" s="18">
        <f>'Sampling Data'!C623</f>
        <v>0</v>
      </c>
      <c r="E623" s="19">
        <f>'Sampling Data'!D623</f>
        <v>0</v>
      </c>
      <c r="F623" s="19">
        <f>'Sampling Data'!E623</f>
        <v>0</v>
      </c>
      <c r="G623" s="19">
        <f>'Sampling Data'!F623</f>
        <v>0</v>
      </c>
      <c r="H623" s="19">
        <f>'Sampling Data'!G623</f>
        <v>0</v>
      </c>
      <c r="I623" s="19">
        <f>'Sampling Data'!H623</f>
        <v>0</v>
      </c>
      <c r="J623" s="19">
        <f>'Sampling Data'!I623</f>
        <v>0</v>
      </c>
      <c r="K623" s="19">
        <f>'Sampling Data'!J623</f>
        <v>0</v>
      </c>
      <c r="L623" s="19">
        <f>'Sampling Data'!K623</f>
        <v>0</v>
      </c>
      <c r="M623" s="19">
        <f>'Sampling Data'!L623</f>
        <v>0</v>
      </c>
      <c r="N623" s="19">
        <f>'Sampling Data'!M623</f>
        <v>0</v>
      </c>
      <c r="O623" s="18">
        <f>'Sampling Data'!N623</f>
        <v>0</v>
      </c>
      <c r="P623" s="18">
        <f>'Sampling Data'!O623</f>
        <v>2</v>
      </c>
      <c r="Q623" s="18">
        <f>'Sampling Data'!P623</f>
        <v>3</v>
      </c>
      <c r="R623" s="18">
        <f>'Sampling Data'!AJ623</f>
        <v>0</v>
      </c>
      <c r="S623" s="112"/>
      <c r="T623" s="112"/>
      <c r="U623" s="113"/>
      <c r="V623" s="113"/>
      <c r="W623" s="112"/>
      <c r="X623" s="112"/>
      <c r="Y623" s="112"/>
      <c r="Z623" s="112"/>
      <c r="AA623" s="15"/>
      <c r="AB623" s="15"/>
      <c r="AC623" s="15"/>
      <c r="AD623" s="15"/>
      <c r="AE623" s="114" t="str">
        <f>IF(NOT(ISBLANK(Audit[[#This Row],[Audit Winning Candidate]])), Audit[[#This Row],[Audit Winning Candidate]]-Audit[[#This Row],[Winning Candidate]], "")</f>
        <v/>
      </c>
      <c r="AF623" s="18" t="str">
        <f>IF(NOT(ISBLANK(Audit[[#This Row],[Audit Losing Candidate]])), Audit[[#This Row],[Audit Losing Candidate]]-Audit[[#This Row],[Losing Candidate]], "")</f>
        <v/>
      </c>
      <c r="AG623" s="18" t="str">
        <f>IF(NOT(ISBLANK(Audit[[#This Row],[Audit Candidate 3]])), Audit[[#This Row],[Audit Candidate 3]]-Audit[[#This Row],[Candidate 3]], "")</f>
        <v/>
      </c>
      <c r="AH623" s="18" t="str">
        <f>IF(NOT(ISBLANK(Audit[[#This Row],[Audit Candidate 4]])),Audit[[#This Row],[Audit Candidate 4]]-Audit[[#This Row],[Candidate 4]], "")</f>
        <v/>
      </c>
      <c r="AI623" s="18" t="str">
        <f>IF(NOT(ISBLANK(Audit[[#This Row],[Audit Candidate 5]])), Audit[[#This Row],[Audit Candidate 5]]-Audit[[#This Row],[Candidate 5]], "")</f>
        <v/>
      </c>
      <c r="AJ623" s="18" t="str">
        <f>IF(NOT(ISBLANK(Audit[[#This Row],[Audit Candidate 6]])), Audit[[#This Row],[Audit Candidate 6]]-Audit[[#This Row],[Candidate 6]], "")</f>
        <v/>
      </c>
      <c r="AK623" s="18" t="str">
        <f>IF(NOT(ISBLANK(Audit[[#This Row],[Audit Candidate 7]])), Audit[[#This Row],[Audit Candidate 7]]-Audit[[#This Row],[Candidate 7]], "")</f>
        <v/>
      </c>
      <c r="AL623" s="18" t="str">
        <f>IF(NOT(ISBLANK(Audit[[#This Row],[Audit Candidate 8]])), Audit[[#This Row],[Audit Candidate 8]]-Audit[[#This Row],[Candidate 8]], "")</f>
        <v/>
      </c>
      <c r="AM623" s="18" t="str">
        <f>IF(NOT(ISBLANK(Audit[[#This Row],[Audit Candidate 9]])), Audit[[#This Row],[Audit Candidate 9]]-Audit[[#This Row],[Candidate 9]], "")</f>
        <v/>
      </c>
      <c r="AN623" s="18" t="str">
        <f>IF(NOT(ISBLANK(Audit[[#This Row],[Audit Candidate 10]])), Audit[[#This Row],[Audit Candidate 10]]-Audit[[#This Row],[Candidate 10]], "")</f>
        <v/>
      </c>
      <c r="AO623" s="18" t="str">
        <f>IF(NOT(ISBLANK(Audit[[#This Row],[Audit Candidate 11]])), Audit[[#This Row],[Audit Candidate 11]]-Audit[[#This Row],[Candidate 11]], "")</f>
        <v/>
      </c>
      <c r="AP623" s="18" t="str">
        <f>IF(NOT(ISBLANK(Audit[[#This Row],[Audit Candidate 12]])), Audit[[#This Row],[Audit Candidate 12]]-Audit[[#This Row],[Candidate 12]], "")</f>
        <v/>
      </c>
      <c r="AQ623" s="18">
        <f>SUMIF(Audit[[#This Row],[Difference Winner]:[Difference Candidate 12]], "&gt;0")</f>
        <v>0</v>
      </c>
      <c r="AR623" s="18">
        <f>SUM(Audit[[#This Row],[Difference Winner]:[Difference Candidate 12]])</f>
        <v>0</v>
      </c>
      <c r="AS623" s="18">
        <f>IF(Audit[[#This Row],[Times p Drawn - With Replacement]]&gt;0, IF(Audit[[#This Row],[Canceled Differences]]&lt;0, Audit[[#This Row],[Max Differences]]+ABS(Audit[[#This Row],[Canceled Differences]]), Audit[[#This Row],[Max Differences]]), 0)</f>
        <v>0</v>
      </c>
      <c r="AT623" s="18">
        <f>'Sampling Data'!AB623</f>
        <v>1.2563997864120362E-4</v>
      </c>
      <c r="AU623" s="18">
        <f>IF(
      SUM(Audit[[#This Row],[Audit Losing Candidate]:[Audit Candidate 12]])
      &lt;&gt;0,
      (Audit[[#This Row],[Winning Candidate]]-Audit[[#This Row],[Losing Candidate]]-(Audit[[#This Row],[Audit Winning Candidate]]-Audit[[#This Row],[Audit Losing Candidate]]))/(Audit[[#Totals],[Winning Candidate]]-Audit[[#Totals],[Losing Candidate]]),
      0
)</f>
        <v>0</v>
      </c>
      <c r="AV6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8">
        <f>IF(Audit[[#This Row],[Max Relative Error (ep)]] = 0, 0, Audit[[#This Row],[Max Relative Error (ep)]]/Audit[[#This Row],[Error Bound (up) - Max. possible relative overstatement]])</f>
        <v>0</v>
      </c>
      <c r="BH6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3" s="18">
        <f t="shared" si="10"/>
        <v>1</v>
      </c>
      <c r="BJ623" s="18">
        <f>PRODUCT($BI$5:BI623)</f>
        <v>0.32656797278968008</v>
      </c>
      <c r="BK623" s="20">
        <f>1 - Audit[[#This Row],[K-M P Value]]</f>
        <v>0.67343202721031992</v>
      </c>
      <c r="BL623" s="18" t="str">
        <f>IF(Audit[[#This Row],[K-M P Value]]&gt;1-'General Info'!$B$12,"Continue", "Stop")</f>
        <v>Continue</v>
      </c>
      <c r="BM623" s="23" t="b">
        <f>IF(Audit[[#This Row],[Status - Continue or stop audit]] = "Continue", TRUE, IF(BL622 = "Continue", TRUE, FALSE))</f>
        <v>1</v>
      </c>
      <c r="BN623" s="23"/>
    </row>
    <row r="624" spans="1:66" ht="15" hidden="1" customHeight="1" x14ac:dyDescent="0.35">
      <c r="A624" s="18" t="str">
        <f>'Sampling Data'!AI624</f>
        <v/>
      </c>
      <c r="B624" s="18" t="str">
        <f>'Sampling Data'!A624</f>
        <v>0706 CIN 7-F   (ED)</v>
      </c>
      <c r="C624" s="18">
        <f>'Sampling Data'!B624</f>
        <v>1</v>
      </c>
      <c r="D624" s="18">
        <f>'Sampling Data'!C624</f>
        <v>1</v>
      </c>
      <c r="E624" s="19">
        <f>'Sampling Data'!D624</f>
        <v>0</v>
      </c>
      <c r="F624" s="19">
        <f>'Sampling Data'!E624</f>
        <v>0</v>
      </c>
      <c r="G624" s="19">
        <f>'Sampling Data'!F624</f>
        <v>0</v>
      </c>
      <c r="H624" s="19">
        <f>'Sampling Data'!G624</f>
        <v>0</v>
      </c>
      <c r="I624" s="19">
        <f>'Sampling Data'!H624</f>
        <v>0</v>
      </c>
      <c r="J624" s="19">
        <f>'Sampling Data'!I624</f>
        <v>0</v>
      </c>
      <c r="K624" s="19">
        <f>'Sampling Data'!J624</f>
        <v>0</v>
      </c>
      <c r="L624" s="19">
        <f>'Sampling Data'!K624</f>
        <v>0</v>
      </c>
      <c r="M624" s="19">
        <f>'Sampling Data'!L624</f>
        <v>0</v>
      </c>
      <c r="N624" s="19">
        <f>'Sampling Data'!M624</f>
        <v>0</v>
      </c>
      <c r="O624" s="18">
        <f>'Sampling Data'!N624</f>
        <v>0</v>
      </c>
      <c r="P624" s="18">
        <f>'Sampling Data'!O624</f>
        <v>0</v>
      </c>
      <c r="Q624" s="18">
        <f>'Sampling Data'!P624</f>
        <v>2</v>
      </c>
      <c r="R624" s="18">
        <f>'Sampling Data'!AJ624</f>
        <v>0</v>
      </c>
      <c r="S624" s="112"/>
      <c r="T624" s="112"/>
      <c r="U624" s="113"/>
      <c r="V624" s="113"/>
      <c r="W624" s="112"/>
      <c r="X624" s="112"/>
      <c r="Y624" s="112"/>
      <c r="Z624" s="112"/>
      <c r="AA624" s="15"/>
      <c r="AB624" s="15"/>
      <c r="AC624" s="15"/>
      <c r="AD624" s="15"/>
      <c r="AE624" s="114" t="str">
        <f>IF(NOT(ISBLANK(Audit[[#This Row],[Audit Winning Candidate]])), Audit[[#This Row],[Audit Winning Candidate]]-Audit[[#This Row],[Winning Candidate]], "")</f>
        <v/>
      </c>
      <c r="AF624" s="18" t="str">
        <f>IF(NOT(ISBLANK(Audit[[#This Row],[Audit Losing Candidate]])), Audit[[#This Row],[Audit Losing Candidate]]-Audit[[#This Row],[Losing Candidate]], "")</f>
        <v/>
      </c>
      <c r="AG624" s="18" t="str">
        <f>IF(NOT(ISBLANK(Audit[[#This Row],[Audit Candidate 3]])), Audit[[#This Row],[Audit Candidate 3]]-Audit[[#This Row],[Candidate 3]], "")</f>
        <v/>
      </c>
      <c r="AH624" s="18" t="str">
        <f>IF(NOT(ISBLANK(Audit[[#This Row],[Audit Candidate 4]])),Audit[[#This Row],[Audit Candidate 4]]-Audit[[#This Row],[Candidate 4]], "")</f>
        <v/>
      </c>
      <c r="AI624" s="18" t="str">
        <f>IF(NOT(ISBLANK(Audit[[#This Row],[Audit Candidate 5]])), Audit[[#This Row],[Audit Candidate 5]]-Audit[[#This Row],[Candidate 5]], "")</f>
        <v/>
      </c>
      <c r="AJ624" s="18" t="str">
        <f>IF(NOT(ISBLANK(Audit[[#This Row],[Audit Candidate 6]])), Audit[[#This Row],[Audit Candidate 6]]-Audit[[#This Row],[Candidate 6]], "")</f>
        <v/>
      </c>
      <c r="AK624" s="18" t="str">
        <f>IF(NOT(ISBLANK(Audit[[#This Row],[Audit Candidate 7]])), Audit[[#This Row],[Audit Candidate 7]]-Audit[[#This Row],[Candidate 7]], "")</f>
        <v/>
      </c>
      <c r="AL624" s="18" t="str">
        <f>IF(NOT(ISBLANK(Audit[[#This Row],[Audit Candidate 8]])), Audit[[#This Row],[Audit Candidate 8]]-Audit[[#This Row],[Candidate 8]], "")</f>
        <v/>
      </c>
      <c r="AM624" s="18" t="str">
        <f>IF(NOT(ISBLANK(Audit[[#This Row],[Audit Candidate 9]])), Audit[[#This Row],[Audit Candidate 9]]-Audit[[#This Row],[Candidate 9]], "")</f>
        <v/>
      </c>
      <c r="AN624" s="18" t="str">
        <f>IF(NOT(ISBLANK(Audit[[#This Row],[Audit Candidate 10]])), Audit[[#This Row],[Audit Candidate 10]]-Audit[[#This Row],[Candidate 10]], "")</f>
        <v/>
      </c>
      <c r="AO624" s="18" t="str">
        <f>IF(NOT(ISBLANK(Audit[[#This Row],[Audit Candidate 11]])), Audit[[#This Row],[Audit Candidate 11]]-Audit[[#This Row],[Candidate 11]], "")</f>
        <v/>
      </c>
      <c r="AP624" s="18" t="str">
        <f>IF(NOT(ISBLANK(Audit[[#This Row],[Audit Candidate 12]])), Audit[[#This Row],[Audit Candidate 12]]-Audit[[#This Row],[Candidate 12]], "")</f>
        <v/>
      </c>
      <c r="AQ624" s="18">
        <f>SUMIF(Audit[[#This Row],[Difference Winner]:[Difference Candidate 12]], "&gt;0")</f>
        <v>0</v>
      </c>
      <c r="AR624" s="18">
        <f>SUM(Audit[[#This Row],[Difference Winner]:[Difference Candidate 12]])</f>
        <v>0</v>
      </c>
      <c r="AS624" s="18">
        <f>IF(Audit[[#This Row],[Times p Drawn - With Replacement]]&gt;0, IF(Audit[[#This Row],[Canceled Differences]]&lt;0, Audit[[#This Row],[Max Differences]]+ABS(Audit[[#This Row],[Canceled Differences]]), Audit[[#This Row],[Max Differences]]), 0)</f>
        <v>0</v>
      </c>
      <c r="AT624" s="18">
        <f>'Sampling Data'!AB624</f>
        <v>6.2819989320601809E-5</v>
      </c>
      <c r="AU624" s="18">
        <f>IF(
      SUM(Audit[[#This Row],[Audit Losing Candidate]:[Audit Candidate 12]])
      &lt;&gt;0,
      (Audit[[#This Row],[Winning Candidate]]-Audit[[#This Row],[Losing Candidate]]-(Audit[[#This Row],[Audit Winning Candidate]]-Audit[[#This Row],[Audit Losing Candidate]]))/(Audit[[#Totals],[Winning Candidate]]-Audit[[#Totals],[Losing Candidate]]),
      0
)</f>
        <v>0</v>
      </c>
      <c r="AV6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8">
        <f>IF(Audit[[#This Row],[Max Relative Error (ep)]] = 0, 0, Audit[[#This Row],[Max Relative Error (ep)]]/Audit[[#This Row],[Error Bound (up) - Max. possible relative overstatement]])</f>
        <v>0</v>
      </c>
      <c r="BH6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4" s="18">
        <f t="shared" si="10"/>
        <v>1</v>
      </c>
      <c r="BJ624" s="18">
        <f>PRODUCT($BI$5:BI624)</f>
        <v>0.32656797278968008</v>
      </c>
      <c r="BK624" s="20">
        <f>1 - Audit[[#This Row],[K-M P Value]]</f>
        <v>0.67343202721031992</v>
      </c>
      <c r="BL624" s="18" t="str">
        <f>IF(Audit[[#This Row],[K-M P Value]]&gt;1-'General Info'!$B$12,"Continue", "Stop")</f>
        <v>Continue</v>
      </c>
      <c r="BM624" s="23" t="b">
        <f>IF(Audit[[#This Row],[Status - Continue or stop audit]] = "Continue", TRUE, IF(BL623 = "Continue", TRUE, FALSE))</f>
        <v>1</v>
      </c>
      <c r="BN624" s="23"/>
    </row>
    <row r="625" spans="1:66" ht="15" hidden="1" customHeight="1" x14ac:dyDescent="0.35">
      <c r="A625" s="18" t="str">
        <f>'Sampling Data'!AI625</f>
        <v/>
      </c>
      <c r="B625" s="18" t="str">
        <f>'Sampling Data'!A625</f>
        <v>0707 CIN 7-G   (ED)</v>
      </c>
      <c r="C625" s="18">
        <f>'Sampling Data'!B625</f>
        <v>3</v>
      </c>
      <c r="D625" s="18">
        <f>'Sampling Data'!C625</f>
        <v>0</v>
      </c>
      <c r="E625" s="19">
        <f>'Sampling Data'!D625</f>
        <v>0</v>
      </c>
      <c r="F625" s="19">
        <f>'Sampling Data'!E625</f>
        <v>0</v>
      </c>
      <c r="G625" s="19">
        <f>'Sampling Data'!F625</f>
        <v>0</v>
      </c>
      <c r="H625" s="19">
        <f>'Sampling Data'!G625</f>
        <v>0</v>
      </c>
      <c r="I625" s="19">
        <f>'Sampling Data'!H625</f>
        <v>0</v>
      </c>
      <c r="J625" s="19">
        <f>'Sampling Data'!I625</f>
        <v>0</v>
      </c>
      <c r="K625" s="19">
        <f>'Sampling Data'!J625</f>
        <v>0</v>
      </c>
      <c r="L625" s="19">
        <f>'Sampling Data'!K625</f>
        <v>0</v>
      </c>
      <c r="M625" s="19">
        <f>'Sampling Data'!L625</f>
        <v>0</v>
      </c>
      <c r="N625" s="19">
        <f>'Sampling Data'!M625</f>
        <v>0</v>
      </c>
      <c r="O625" s="18">
        <f>'Sampling Data'!N625</f>
        <v>0</v>
      </c>
      <c r="P625" s="18">
        <f>'Sampling Data'!O625</f>
        <v>1</v>
      </c>
      <c r="Q625" s="18">
        <f>'Sampling Data'!P625</f>
        <v>4</v>
      </c>
      <c r="R625" s="18">
        <f>'Sampling Data'!AJ625</f>
        <v>0</v>
      </c>
      <c r="S625" s="112"/>
      <c r="T625" s="112"/>
      <c r="U625" s="113"/>
      <c r="V625" s="113"/>
      <c r="W625" s="112"/>
      <c r="X625" s="112"/>
      <c r="Y625" s="112"/>
      <c r="Z625" s="112"/>
      <c r="AA625" s="15"/>
      <c r="AB625" s="15"/>
      <c r="AC625" s="15"/>
      <c r="AD625" s="15"/>
      <c r="AE625" s="114" t="str">
        <f>IF(NOT(ISBLANK(Audit[[#This Row],[Audit Winning Candidate]])), Audit[[#This Row],[Audit Winning Candidate]]-Audit[[#This Row],[Winning Candidate]], "")</f>
        <v/>
      </c>
      <c r="AF625" s="18" t="str">
        <f>IF(NOT(ISBLANK(Audit[[#This Row],[Audit Losing Candidate]])), Audit[[#This Row],[Audit Losing Candidate]]-Audit[[#This Row],[Losing Candidate]], "")</f>
        <v/>
      </c>
      <c r="AG625" s="18" t="str">
        <f>IF(NOT(ISBLANK(Audit[[#This Row],[Audit Candidate 3]])), Audit[[#This Row],[Audit Candidate 3]]-Audit[[#This Row],[Candidate 3]], "")</f>
        <v/>
      </c>
      <c r="AH625" s="18" t="str">
        <f>IF(NOT(ISBLANK(Audit[[#This Row],[Audit Candidate 4]])),Audit[[#This Row],[Audit Candidate 4]]-Audit[[#This Row],[Candidate 4]], "")</f>
        <v/>
      </c>
      <c r="AI625" s="18" t="str">
        <f>IF(NOT(ISBLANK(Audit[[#This Row],[Audit Candidate 5]])), Audit[[#This Row],[Audit Candidate 5]]-Audit[[#This Row],[Candidate 5]], "")</f>
        <v/>
      </c>
      <c r="AJ625" s="18" t="str">
        <f>IF(NOT(ISBLANK(Audit[[#This Row],[Audit Candidate 6]])), Audit[[#This Row],[Audit Candidate 6]]-Audit[[#This Row],[Candidate 6]], "")</f>
        <v/>
      </c>
      <c r="AK625" s="18" t="str">
        <f>IF(NOT(ISBLANK(Audit[[#This Row],[Audit Candidate 7]])), Audit[[#This Row],[Audit Candidate 7]]-Audit[[#This Row],[Candidate 7]], "")</f>
        <v/>
      </c>
      <c r="AL625" s="18" t="str">
        <f>IF(NOT(ISBLANK(Audit[[#This Row],[Audit Candidate 8]])), Audit[[#This Row],[Audit Candidate 8]]-Audit[[#This Row],[Candidate 8]], "")</f>
        <v/>
      </c>
      <c r="AM625" s="18" t="str">
        <f>IF(NOT(ISBLANK(Audit[[#This Row],[Audit Candidate 9]])), Audit[[#This Row],[Audit Candidate 9]]-Audit[[#This Row],[Candidate 9]], "")</f>
        <v/>
      </c>
      <c r="AN625" s="18" t="str">
        <f>IF(NOT(ISBLANK(Audit[[#This Row],[Audit Candidate 10]])), Audit[[#This Row],[Audit Candidate 10]]-Audit[[#This Row],[Candidate 10]], "")</f>
        <v/>
      </c>
      <c r="AO625" s="18" t="str">
        <f>IF(NOT(ISBLANK(Audit[[#This Row],[Audit Candidate 11]])), Audit[[#This Row],[Audit Candidate 11]]-Audit[[#This Row],[Candidate 11]], "")</f>
        <v/>
      </c>
      <c r="AP625" s="18" t="str">
        <f>IF(NOT(ISBLANK(Audit[[#This Row],[Audit Candidate 12]])), Audit[[#This Row],[Audit Candidate 12]]-Audit[[#This Row],[Candidate 12]], "")</f>
        <v/>
      </c>
      <c r="AQ625" s="18">
        <f>SUMIF(Audit[[#This Row],[Difference Winner]:[Difference Candidate 12]], "&gt;0")</f>
        <v>0</v>
      </c>
      <c r="AR625" s="18">
        <f>SUM(Audit[[#This Row],[Difference Winner]:[Difference Candidate 12]])</f>
        <v>0</v>
      </c>
      <c r="AS625" s="18">
        <f>IF(Audit[[#This Row],[Times p Drawn - With Replacement]]&gt;0, IF(Audit[[#This Row],[Canceled Differences]]&lt;0, Audit[[#This Row],[Max Differences]]+ABS(Audit[[#This Row],[Canceled Differences]]), Audit[[#This Row],[Max Differences]]), 0)</f>
        <v>0</v>
      </c>
      <c r="AT625" s="18">
        <f>'Sampling Data'!AB625</f>
        <v>2.1986996262210635E-4</v>
      </c>
      <c r="AU625" s="18">
        <f>IF(
      SUM(Audit[[#This Row],[Audit Losing Candidate]:[Audit Candidate 12]])
      &lt;&gt;0,
      (Audit[[#This Row],[Winning Candidate]]-Audit[[#This Row],[Losing Candidate]]-(Audit[[#This Row],[Audit Winning Candidate]]-Audit[[#This Row],[Audit Losing Candidate]]))/(Audit[[#Totals],[Winning Candidate]]-Audit[[#Totals],[Losing Candidate]]),
      0
)</f>
        <v>0</v>
      </c>
      <c r="AV6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8">
        <f>IF(Audit[[#This Row],[Max Relative Error (ep)]] = 0, 0, Audit[[#This Row],[Max Relative Error (ep)]]/Audit[[#This Row],[Error Bound (up) - Max. possible relative overstatement]])</f>
        <v>0</v>
      </c>
      <c r="BH6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5" s="18">
        <f t="shared" si="10"/>
        <v>1</v>
      </c>
      <c r="BJ625" s="18">
        <f>PRODUCT($BI$5:BI625)</f>
        <v>0.32656797278968008</v>
      </c>
      <c r="BK625" s="20">
        <f>1 - Audit[[#This Row],[K-M P Value]]</f>
        <v>0.67343202721031992</v>
      </c>
      <c r="BL625" s="18" t="str">
        <f>IF(Audit[[#This Row],[K-M P Value]]&gt;1-'General Info'!$B$12,"Continue", "Stop")</f>
        <v>Continue</v>
      </c>
      <c r="BM625" s="23" t="b">
        <f>IF(Audit[[#This Row],[Status - Continue or stop audit]] = "Continue", TRUE, IF(BL624 = "Continue", TRUE, FALSE))</f>
        <v>1</v>
      </c>
      <c r="BN625" s="23"/>
    </row>
    <row r="626" spans="1:66" ht="15" hidden="1" customHeight="1" x14ac:dyDescent="0.35">
      <c r="A626" s="18" t="str">
        <f>'Sampling Data'!AI626</f>
        <v/>
      </c>
      <c r="B626" s="18" t="str">
        <f>'Sampling Data'!A626</f>
        <v>0708 CIN 7-H   (ED)</v>
      </c>
      <c r="C626" s="18">
        <f>'Sampling Data'!B626</f>
        <v>6</v>
      </c>
      <c r="D626" s="18">
        <f>'Sampling Data'!C626</f>
        <v>0</v>
      </c>
      <c r="E626" s="19">
        <f>'Sampling Data'!D626</f>
        <v>0</v>
      </c>
      <c r="F626" s="19">
        <f>'Sampling Data'!E626</f>
        <v>0</v>
      </c>
      <c r="G626" s="19">
        <f>'Sampling Data'!F626</f>
        <v>0</v>
      </c>
      <c r="H626" s="19">
        <f>'Sampling Data'!G626</f>
        <v>0</v>
      </c>
      <c r="I626" s="19">
        <f>'Sampling Data'!H626</f>
        <v>0</v>
      </c>
      <c r="J626" s="19">
        <f>'Sampling Data'!I626</f>
        <v>0</v>
      </c>
      <c r="K626" s="19">
        <f>'Sampling Data'!J626</f>
        <v>0</v>
      </c>
      <c r="L626" s="19">
        <f>'Sampling Data'!K626</f>
        <v>0</v>
      </c>
      <c r="M626" s="19">
        <f>'Sampling Data'!L626</f>
        <v>0</v>
      </c>
      <c r="N626" s="19">
        <f>'Sampling Data'!M626</f>
        <v>0</v>
      </c>
      <c r="O626" s="18">
        <f>'Sampling Data'!N626</f>
        <v>0</v>
      </c>
      <c r="P626" s="18">
        <f>'Sampling Data'!O626</f>
        <v>0</v>
      </c>
      <c r="Q626" s="18">
        <f>'Sampling Data'!P626</f>
        <v>6</v>
      </c>
      <c r="R626" s="18">
        <f>'Sampling Data'!AJ626</f>
        <v>0</v>
      </c>
      <c r="S626" s="112"/>
      <c r="T626" s="112"/>
      <c r="U626" s="113"/>
      <c r="V626" s="113"/>
      <c r="W626" s="112"/>
      <c r="X626" s="112"/>
      <c r="Y626" s="112"/>
      <c r="Z626" s="112"/>
      <c r="AA626" s="15"/>
      <c r="AB626" s="15"/>
      <c r="AC626" s="15"/>
      <c r="AD626" s="15"/>
      <c r="AE626" s="114" t="str">
        <f>IF(NOT(ISBLANK(Audit[[#This Row],[Audit Winning Candidate]])), Audit[[#This Row],[Audit Winning Candidate]]-Audit[[#This Row],[Winning Candidate]], "")</f>
        <v/>
      </c>
      <c r="AF626" s="18" t="str">
        <f>IF(NOT(ISBLANK(Audit[[#This Row],[Audit Losing Candidate]])), Audit[[#This Row],[Audit Losing Candidate]]-Audit[[#This Row],[Losing Candidate]], "")</f>
        <v/>
      </c>
      <c r="AG626" s="18" t="str">
        <f>IF(NOT(ISBLANK(Audit[[#This Row],[Audit Candidate 3]])), Audit[[#This Row],[Audit Candidate 3]]-Audit[[#This Row],[Candidate 3]], "")</f>
        <v/>
      </c>
      <c r="AH626" s="18" t="str">
        <f>IF(NOT(ISBLANK(Audit[[#This Row],[Audit Candidate 4]])),Audit[[#This Row],[Audit Candidate 4]]-Audit[[#This Row],[Candidate 4]], "")</f>
        <v/>
      </c>
      <c r="AI626" s="18" t="str">
        <f>IF(NOT(ISBLANK(Audit[[#This Row],[Audit Candidate 5]])), Audit[[#This Row],[Audit Candidate 5]]-Audit[[#This Row],[Candidate 5]], "")</f>
        <v/>
      </c>
      <c r="AJ626" s="18" t="str">
        <f>IF(NOT(ISBLANK(Audit[[#This Row],[Audit Candidate 6]])), Audit[[#This Row],[Audit Candidate 6]]-Audit[[#This Row],[Candidate 6]], "")</f>
        <v/>
      </c>
      <c r="AK626" s="18" t="str">
        <f>IF(NOT(ISBLANK(Audit[[#This Row],[Audit Candidate 7]])), Audit[[#This Row],[Audit Candidate 7]]-Audit[[#This Row],[Candidate 7]], "")</f>
        <v/>
      </c>
      <c r="AL626" s="18" t="str">
        <f>IF(NOT(ISBLANK(Audit[[#This Row],[Audit Candidate 8]])), Audit[[#This Row],[Audit Candidate 8]]-Audit[[#This Row],[Candidate 8]], "")</f>
        <v/>
      </c>
      <c r="AM626" s="18" t="str">
        <f>IF(NOT(ISBLANK(Audit[[#This Row],[Audit Candidate 9]])), Audit[[#This Row],[Audit Candidate 9]]-Audit[[#This Row],[Candidate 9]], "")</f>
        <v/>
      </c>
      <c r="AN626" s="18" t="str">
        <f>IF(NOT(ISBLANK(Audit[[#This Row],[Audit Candidate 10]])), Audit[[#This Row],[Audit Candidate 10]]-Audit[[#This Row],[Candidate 10]], "")</f>
        <v/>
      </c>
      <c r="AO626" s="18" t="str">
        <f>IF(NOT(ISBLANK(Audit[[#This Row],[Audit Candidate 11]])), Audit[[#This Row],[Audit Candidate 11]]-Audit[[#This Row],[Candidate 11]], "")</f>
        <v/>
      </c>
      <c r="AP626" s="18" t="str">
        <f>IF(NOT(ISBLANK(Audit[[#This Row],[Audit Candidate 12]])), Audit[[#This Row],[Audit Candidate 12]]-Audit[[#This Row],[Candidate 12]], "")</f>
        <v/>
      </c>
      <c r="AQ626" s="18">
        <f>SUMIF(Audit[[#This Row],[Difference Winner]:[Difference Candidate 12]], "&gt;0")</f>
        <v>0</v>
      </c>
      <c r="AR626" s="18">
        <f>SUM(Audit[[#This Row],[Difference Winner]:[Difference Candidate 12]])</f>
        <v>0</v>
      </c>
      <c r="AS626" s="18">
        <f>IF(Audit[[#This Row],[Times p Drawn - With Replacement]]&gt;0, IF(Audit[[#This Row],[Canceled Differences]]&lt;0, Audit[[#This Row],[Max Differences]]+ABS(Audit[[#This Row],[Canceled Differences]]), Audit[[#This Row],[Max Differences]]), 0)</f>
        <v>0</v>
      </c>
      <c r="AT626" s="18">
        <f>'Sampling Data'!AB626</f>
        <v>3.7691993592361088E-4</v>
      </c>
      <c r="AU626" s="18">
        <f>IF(
      SUM(Audit[[#This Row],[Audit Losing Candidate]:[Audit Candidate 12]])
      &lt;&gt;0,
      (Audit[[#This Row],[Winning Candidate]]-Audit[[#This Row],[Losing Candidate]]-(Audit[[#This Row],[Audit Winning Candidate]]-Audit[[#This Row],[Audit Losing Candidate]]))/(Audit[[#Totals],[Winning Candidate]]-Audit[[#Totals],[Losing Candidate]]),
      0
)</f>
        <v>0</v>
      </c>
      <c r="AV6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8">
        <f>IF(Audit[[#This Row],[Max Relative Error (ep)]] = 0, 0, Audit[[#This Row],[Max Relative Error (ep)]]/Audit[[#This Row],[Error Bound (up) - Max. possible relative overstatement]])</f>
        <v>0</v>
      </c>
      <c r="BH6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6" s="18">
        <f t="shared" si="10"/>
        <v>1</v>
      </c>
      <c r="BJ626" s="18">
        <f>PRODUCT($BI$5:BI626)</f>
        <v>0.32656797278968008</v>
      </c>
      <c r="BK626" s="20">
        <f>1 - Audit[[#This Row],[K-M P Value]]</f>
        <v>0.67343202721031992</v>
      </c>
      <c r="BL626" s="18" t="str">
        <f>IF(Audit[[#This Row],[K-M P Value]]&gt;1-'General Info'!$B$12,"Continue", "Stop")</f>
        <v>Continue</v>
      </c>
      <c r="BM626" s="23" t="b">
        <f>IF(Audit[[#This Row],[Status - Continue or stop audit]] = "Continue", TRUE, IF(BL625 = "Continue", TRUE, FALSE))</f>
        <v>1</v>
      </c>
      <c r="BN626" s="23"/>
    </row>
    <row r="627" spans="1:66" ht="15" hidden="1" customHeight="1" x14ac:dyDescent="0.35">
      <c r="A627" s="18" t="str">
        <f>'Sampling Data'!AI627</f>
        <v/>
      </c>
      <c r="B627" s="18" t="str">
        <f>'Sampling Data'!A627</f>
        <v>0709 CIN 7-I   (ED)</v>
      </c>
      <c r="C627" s="18">
        <f>'Sampling Data'!B627</f>
        <v>5</v>
      </c>
      <c r="D627" s="18">
        <f>'Sampling Data'!C627</f>
        <v>3</v>
      </c>
      <c r="E627" s="19">
        <f>'Sampling Data'!D627</f>
        <v>0</v>
      </c>
      <c r="F627" s="19">
        <f>'Sampling Data'!E627</f>
        <v>0</v>
      </c>
      <c r="G627" s="19">
        <f>'Sampling Data'!F627</f>
        <v>0</v>
      </c>
      <c r="H627" s="19">
        <f>'Sampling Data'!G627</f>
        <v>0</v>
      </c>
      <c r="I627" s="19">
        <f>'Sampling Data'!H627</f>
        <v>0</v>
      </c>
      <c r="J627" s="19">
        <f>'Sampling Data'!I627</f>
        <v>0</v>
      </c>
      <c r="K627" s="19">
        <f>'Sampling Data'!J627</f>
        <v>0</v>
      </c>
      <c r="L627" s="19">
        <f>'Sampling Data'!K627</f>
        <v>0</v>
      </c>
      <c r="M627" s="19">
        <f>'Sampling Data'!L627</f>
        <v>0</v>
      </c>
      <c r="N627" s="19">
        <f>'Sampling Data'!M627</f>
        <v>0</v>
      </c>
      <c r="O627" s="18">
        <f>'Sampling Data'!N627</f>
        <v>0</v>
      </c>
      <c r="P627" s="18">
        <f>'Sampling Data'!O627</f>
        <v>0</v>
      </c>
      <c r="Q627" s="18">
        <f>'Sampling Data'!P627</f>
        <v>8</v>
      </c>
      <c r="R627" s="18">
        <f>'Sampling Data'!AJ627</f>
        <v>0</v>
      </c>
      <c r="S627" s="112"/>
      <c r="T627" s="112"/>
      <c r="U627" s="113"/>
      <c r="V627" s="113"/>
      <c r="W627" s="112"/>
      <c r="X627" s="112"/>
      <c r="Y627" s="112"/>
      <c r="Z627" s="112"/>
      <c r="AA627" s="15"/>
      <c r="AB627" s="15"/>
      <c r="AC627" s="15"/>
      <c r="AD627" s="15"/>
      <c r="AE627" s="114" t="str">
        <f>IF(NOT(ISBLANK(Audit[[#This Row],[Audit Winning Candidate]])), Audit[[#This Row],[Audit Winning Candidate]]-Audit[[#This Row],[Winning Candidate]], "")</f>
        <v/>
      </c>
      <c r="AF627" s="18" t="str">
        <f>IF(NOT(ISBLANK(Audit[[#This Row],[Audit Losing Candidate]])), Audit[[#This Row],[Audit Losing Candidate]]-Audit[[#This Row],[Losing Candidate]], "")</f>
        <v/>
      </c>
      <c r="AG627" s="18" t="str">
        <f>IF(NOT(ISBLANK(Audit[[#This Row],[Audit Candidate 3]])), Audit[[#This Row],[Audit Candidate 3]]-Audit[[#This Row],[Candidate 3]], "")</f>
        <v/>
      </c>
      <c r="AH627" s="18" t="str">
        <f>IF(NOT(ISBLANK(Audit[[#This Row],[Audit Candidate 4]])),Audit[[#This Row],[Audit Candidate 4]]-Audit[[#This Row],[Candidate 4]], "")</f>
        <v/>
      </c>
      <c r="AI627" s="18" t="str">
        <f>IF(NOT(ISBLANK(Audit[[#This Row],[Audit Candidate 5]])), Audit[[#This Row],[Audit Candidate 5]]-Audit[[#This Row],[Candidate 5]], "")</f>
        <v/>
      </c>
      <c r="AJ627" s="18" t="str">
        <f>IF(NOT(ISBLANK(Audit[[#This Row],[Audit Candidate 6]])), Audit[[#This Row],[Audit Candidate 6]]-Audit[[#This Row],[Candidate 6]], "")</f>
        <v/>
      </c>
      <c r="AK627" s="18" t="str">
        <f>IF(NOT(ISBLANK(Audit[[#This Row],[Audit Candidate 7]])), Audit[[#This Row],[Audit Candidate 7]]-Audit[[#This Row],[Candidate 7]], "")</f>
        <v/>
      </c>
      <c r="AL627" s="18" t="str">
        <f>IF(NOT(ISBLANK(Audit[[#This Row],[Audit Candidate 8]])), Audit[[#This Row],[Audit Candidate 8]]-Audit[[#This Row],[Candidate 8]], "")</f>
        <v/>
      </c>
      <c r="AM627" s="18" t="str">
        <f>IF(NOT(ISBLANK(Audit[[#This Row],[Audit Candidate 9]])), Audit[[#This Row],[Audit Candidate 9]]-Audit[[#This Row],[Candidate 9]], "")</f>
        <v/>
      </c>
      <c r="AN627" s="18" t="str">
        <f>IF(NOT(ISBLANK(Audit[[#This Row],[Audit Candidate 10]])), Audit[[#This Row],[Audit Candidate 10]]-Audit[[#This Row],[Candidate 10]], "")</f>
        <v/>
      </c>
      <c r="AO627" s="18" t="str">
        <f>IF(NOT(ISBLANK(Audit[[#This Row],[Audit Candidate 11]])), Audit[[#This Row],[Audit Candidate 11]]-Audit[[#This Row],[Candidate 11]], "")</f>
        <v/>
      </c>
      <c r="AP627" s="18" t="str">
        <f>IF(NOT(ISBLANK(Audit[[#This Row],[Audit Candidate 12]])), Audit[[#This Row],[Audit Candidate 12]]-Audit[[#This Row],[Candidate 12]], "")</f>
        <v/>
      </c>
      <c r="AQ627" s="18">
        <f>SUMIF(Audit[[#This Row],[Difference Winner]:[Difference Candidate 12]], "&gt;0")</f>
        <v>0</v>
      </c>
      <c r="AR627" s="18">
        <f>SUM(Audit[[#This Row],[Difference Winner]:[Difference Candidate 12]])</f>
        <v>0</v>
      </c>
      <c r="AS627" s="18">
        <f>IF(Audit[[#This Row],[Times p Drawn - With Replacement]]&gt;0, IF(Audit[[#This Row],[Canceled Differences]]&lt;0, Audit[[#This Row],[Max Differences]]+ABS(Audit[[#This Row],[Canceled Differences]]), Audit[[#This Row],[Max Differences]]), 0)</f>
        <v>0</v>
      </c>
      <c r="AT627" s="18">
        <f>'Sampling Data'!AB627</f>
        <v>3.1409994660300906E-4</v>
      </c>
      <c r="AU627" s="18">
        <f>IF(
      SUM(Audit[[#This Row],[Audit Losing Candidate]:[Audit Candidate 12]])
      &lt;&gt;0,
      (Audit[[#This Row],[Winning Candidate]]-Audit[[#This Row],[Losing Candidate]]-(Audit[[#This Row],[Audit Winning Candidate]]-Audit[[#This Row],[Audit Losing Candidate]]))/(Audit[[#Totals],[Winning Candidate]]-Audit[[#Totals],[Losing Candidate]]),
      0
)</f>
        <v>0</v>
      </c>
      <c r="AV6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8">
        <f>IF(Audit[[#This Row],[Max Relative Error (ep)]] = 0, 0, Audit[[#This Row],[Max Relative Error (ep)]]/Audit[[#This Row],[Error Bound (up) - Max. possible relative overstatement]])</f>
        <v>0</v>
      </c>
      <c r="BH6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7" s="18">
        <f t="shared" si="10"/>
        <v>1</v>
      </c>
      <c r="BJ627" s="18">
        <f>PRODUCT($BI$5:BI627)</f>
        <v>0.32656797278968008</v>
      </c>
      <c r="BK627" s="20">
        <f>1 - Audit[[#This Row],[K-M P Value]]</f>
        <v>0.67343202721031992</v>
      </c>
      <c r="BL627" s="18" t="str">
        <f>IF(Audit[[#This Row],[K-M P Value]]&gt;1-'General Info'!$B$12,"Continue", "Stop")</f>
        <v>Continue</v>
      </c>
      <c r="BM627" s="23" t="b">
        <f>IF(Audit[[#This Row],[Status - Continue or stop audit]] = "Continue", TRUE, IF(BL626 = "Continue", TRUE, FALSE))</f>
        <v>1</v>
      </c>
      <c r="BN627" s="23"/>
    </row>
    <row r="628" spans="1:66" ht="15" hidden="1" customHeight="1" x14ac:dyDescent="0.35">
      <c r="A628" s="18" t="str">
        <f>'Sampling Data'!AI628</f>
        <v/>
      </c>
      <c r="B628" s="18" t="str">
        <f>'Sampling Data'!A628</f>
        <v>0710 CIN 7-J   (ED)</v>
      </c>
      <c r="C628" s="18">
        <f>'Sampling Data'!B628</f>
        <v>2</v>
      </c>
      <c r="D628" s="18">
        <f>'Sampling Data'!C628</f>
        <v>1</v>
      </c>
      <c r="E628" s="19">
        <f>'Sampling Data'!D628</f>
        <v>0</v>
      </c>
      <c r="F628" s="19">
        <f>'Sampling Data'!E628</f>
        <v>0</v>
      </c>
      <c r="G628" s="19">
        <f>'Sampling Data'!F628</f>
        <v>0</v>
      </c>
      <c r="H628" s="19">
        <f>'Sampling Data'!G628</f>
        <v>0</v>
      </c>
      <c r="I628" s="19">
        <f>'Sampling Data'!H628</f>
        <v>0</v>
      </c>
      <c r="J628" s="19">
        <f>'Sampling Data'!I628</f>
        <v>0</v>
      </c>
      <c r="K628" s="19">
        <f>'Sampling Data'!J628</f>
        <v>0</v>
      </c>
      <c r="L628" s="19">
        <f>'Sampling Data'!K628</f>
        <v>0</v>
      </c>
      <c r="M628" s="19">
        <f>'Sampling Data'!L628</f>
        <v>0</v>
      </c>
      <c r="N628" s="19">
        <f>'Sampling Data'!M628</f>
        <v>0</v>
      </c>
      <c r="O628" s="18">
        <f>'Sampling Data'!N628</f>
        <v>0</v>
      </c>
      <c r="P628" s="18">
        <f>'Sampling Data'!O628</f>
        <v>0</v>
      </c>
      <c r="Q628" s="18">
        <f>'Sampling Data'!P628</f>
        <v>3</v>
      </c>
      <c r="R628" s="18">
        <f>'Sampling Data'!AJ628</f>
        <v>0</v>
      </c>
      <c r="S628" s="112"/>
      <c r="T628" s="112"/>
      <c r="U628" s="113"/>
      <c r="V628" s="113"/>
      <c r="W628" s="112"/>
      <c r="X628" s="112"/>
      <c r="Y628" s="112"/>
      <c r="Z628" s="112"/>
      <c r="AA628" s="15"/>
      <c r="AB628" s="15"/>
      <c r="AC628" s="15"/>
      <c r="AD628" s="15"/>
      <c r="AE628" s="114" t="str">
        <f>IF(NOT(ISBLANK(Audit[[#This Row],[Audit Winning Candidate]])), Audit[[#This Row],[Audit Winning Candidate]]-Audit[[#This Row],[Winning Candidate]], "")</f>
        <v/>
      </c>
      <c r="AF628" s="18" t="str">
        <f>IF(NOT(ISBLANK(Audit[[#This Row],[Audit Losing Candidate]])), Audit[[#This Row],[Audit Losing Candidate]]-Audit[[#This Row],[Losing Candidate]], "")</f>
        <v/>
      </c>
      <c r="AG628" s="18" t="str">
        <f>IF(NOT(ISBLANK(Audit[[#This Row],[Audit Candidate 3]])), Audit[[#This Row],[Audit Candidate 3]]-Audit[[#This Row],[Candidate 3]], "")</f>
        <v/>
      </c>
      <c r="AH628" s="18" t="str">
        <f>IF(NOT(ISBLANK(Audit[[#This Row],[Audit Candidate 4]])),Audit[[#This Row],[Audit Candidate 4]]-Audit[[#This Row],[Candidate 4]], "")</f>
        <v/>
      </c>
      <c r="AI628" s="18" t="str">
        <f>IF(NOT(ISBLANK(Audit[[#This Row],[Audit Candidate 5]])), Audit[[#This Row],[Audit Candidate 5]]-Audit[[#This Row],[Candidate 5]], "")</f>
        <v/>
      </c>
      <c r="AJ628" s="18" t="str">
        <f>IF(NOT(ISBLANK(Audit[[#This Row],[Audit Candidate 6]])), Audit[[#This Row],[Audit Candidate 6]]-Audit[[#This Row],[Candidate 6]], "")</f>
        <v/>
      </c>
      <c r="AK628" s="18" t="str">
        <f>IF(NOT(ISBLANK(Audit[[#This Row],[Audit Candidate 7]])), Audit[[#This Row],[Audit Candidate 7]]-Audit[[#This Row],[Candidate 7]], "")</f>
        <v/>
      </c>
      <c r="AL628" s="18" t="str">
        <f>IF(NOT(ISBLANK(Audit[[#This Row],[Audit Candidate 8]])), Audit[[#This Row],[Audit Candidate 8]]-Audit[[#This Row],[Candidate 8]], "")</f>
        <v/>
      </c>
      <c r="AM628" s="18" t="str">
        <f>IF(NOT(ISBLANK(Audit[[#This Row],[Audit Candidate 9]])), Audit[[#This Row],[Audit Candidate 9]]-Audit[[#This Row],[Candidate 9]], "")</f>
        <v/>
      </c>
      <c r="AN628" s="18" t="str">
        <f>IF(NOT(ISBLANK(Audit[[#This Row],[Audit Candidate 10]])), Audit[[#This Row],[Audit Candidate 10]]-Audit[[#This Row],[Candidate 10]], "")</f>
        <v/>
      </c>
      <c r="AO628" s="18" t="str">
        <f>IF(NOT(ISBLANK(Audit[[#This Row],[Audit Candidate 11]])), Audit[[#This Row],[Audit Candidate 11]]-Audit[[#This Row],[Candidate 11]], "")</f>
        <v/>
      </c>
      <c r="AP628" s="18" t="str">
        <f>IF(NOT(ISBLANK(Audit[[#This Row],[Audit Candidate 12]])), Audit[[#This Row],[Audit Candidate 12]]-Audit[[#This Row],[Candidate 12]], "")</f>
        <v/>
      </c>
      <c r="AQ628" s="18">
        <f>SUMIF(Audit[[#This Row],[Difference Winner]:[Difference Candidate 12]], "&gt;0")</f>
        <v>0</v>
      </c>
      <c r="AR628" s="18">
        <f>SUM(Audit[[#This Row],[Difference Winner]:[Difference Candidate 12]])</f>
        <v>0</v>
      </c>
      <c r="AS628" s="18">
        <f>IF(Audit[[#This Row],[Times p Drawn - With Replacement]]&gt;0, IF(Audit[[#This Row],[Canceled Differences]]&lt;0, Audit[[#This Row],[Max Differences]]+ABS(Audit[[#This Row],[Canceled Differences]]), Audit[[#This Row],[Max Differences]]), 0)</f>
        <v>0</v>
      </c>
      <c r="AT628" s="18">
        <f>'Sampling Data'!AB628</f>
        <v>1.2563997864120362E-4</v>
      </c>
      <c r="AU628" s="18">
        <f>IF(
      SUM(Audit[[#This Row],[Audit Losing Candidate]:[Audit Candidate 12]])
      &lt;&gt;0,
      (Audit[[#This Row],[Winning Candidate]]-Audit[[#This Row],[Losing Candidate]]-(Audit[[#This Row],[Audit Winning Candidate]]-Audit[[#This Row],[Audit Losing Candidate]]))/(Audit[[#Totals],[Winning Candidate]]-Audit[[#Totals],[Losing Candidate]]),
      0
)</f>
        <v>0</v>
      </c>
      <c r="AV6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8">
        <f>IF(Audit[[#This Row],[Max Relative Error (ep)]] = 0, 0, Audit[[#This Row],[Max Relative Error (ep)]]/Audit[[#This Row],[Error Bound (up) - Max. possible relative overstatement]])</f>
        <v>0</v>
      </c>
      <c r="BH6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8" s="18">
        <f t="shared" si="10"/>
        <v>1</v>
      </c>
      <c r="BJ628" s="18">
        <f>PRODUCT($BI$5:BI628)</f>
        <v>0.32656797278968008</v>
      </c>
      <c r="BK628" s="20">
        <f>1 - Audit[[#This Row],[K-M P Value]]</f>
        <v>0.67343202721031992</v>
      </c>
      <c r="BL628" s="18" t="str">
        <f>IF(Audit[[#This Row],[K-M P Value]]&gt;1-'General Info'!$B$12,"Continue", "Stop")</f>
        <v>Continue</v>
      </c>
      <c r="BM628" s="23" t="b">
        <f>IF(Audit[[#This Row],[Status - Continue or stop audit]] = "Continue", TRUE, IF(BL627 = "Continue", TRUE, FALSE))</f>
        <v>1</v>
      </c>
      <c r="BN628" s="23"/>
    </row>
    <row r="629" spans="1:66" ht="15" hidden="1" customHeight="1" x14ac:dyDescent="0.35">
      <c r="A629" s="18" t="str">
        <f>'Sampling Data'!AI629</f>
        <v/>
      </c>
      <c r="B629" s="18" t="str">
        <f>'Sampling Data'!A629</f>
        <v>0711 CIN 7-K   (ED)</v>
      </c>
      <c r="C629" s="18">
        <f>'Sampling Data'!B629</f>
        <v>6</v>
      </c>
      <c r="D629" s="18">
        <f>'Sampling Data'!C629</f>
        <v>0</v>
      </c>
      <c r="E629" s="19">
        <f>'Sampling Data'!D629</f>
        <v>0</v>
      </c>
      <c r="F629" s="19">
        <f>'Sampling Data'!E629</f>
        <v>0</v>
      </c>
      <c r="G629" s="19">
        <f>'Sampling Data'!F629</f>
        <v>0</v>
      </c>
      <c r="H629" s="19">
        <f>'Sampling Data'!G629</f>
        <v>0</v>
      </c>
      <c r="I629" s="19">
        <f>'Sampling Data'!H629</f>
        <v>0</v>
      </c>
      <c r="J629" s="19">
        <f>'Sampling Data'!I629</f>
        <v>0</v>
      </c>
      <c r="K629" s="19">
        <f>'Sampling Data'!J629</f>
        <v>0</v>
      </c>
      <c r="L629" s="19">
        <f>'Sampling Data'!K629</f>
        <v>0</v>
      </c>
      <c r="M629" s="19">
        <f>'Sampling Data'!L629</f>
        <v>0</v>
      </c>
      <c r="N629" s="19">
        <f>'Sampling Data'!M629</f>
        <v>0</v>
      </c>
      <c r="O629" s="18">
        <f>'Sampling Data'!N629</f>
        <v>0</v>
      </c>
      <c r="P629" s="18">
        <f>'Sampling Data'!O629</f>
        <v>0</v>
      </c>
      <c r="Q629" s="18">
        <f>'Sampling Data'!P629</f>
        <v>6</v>
      </c>
      <c r="R629" s="18">
        <f>'Sampling Data'!AJ629</f>
        <v>0</v>
      </c>
      <c r="S629" s="112"/>
      <c r="T629" s="112"/>
      <c r="U629" s="113"/>
      <c r="V629" s="113"/>
      <c r="W629" s="112"/>
      <c r="X629" s="112"/>
      <c r="Y629" s="112"/>
      <c r="Z629" s="112"/>
      <c r="AA629" s="15"/>
      <c r="AB629" s="15"/>
      <c r="AC629" s="15"/>
      <c r="AD629" s="15"/>
      <c r="AE629" s="114" t="str">
        <f>IF(NOT(ISBLANK(Audit[[#This Row],[Audit Winning Candidate]])), Audit[[#This Row],[Audit Winning Candidate]]-Audit[[#This Row],[Winning Candidate]], "")</f>
        <v/>
      </c>
      <c r="AF629" s="18" t="str">
        <f>IF(NOT(ISBLANK(Audit[[#This Row],[Audit Losing Candidate]])), Audit[[#This Row],[Audit Losing Candidate]]-Audit[[#This Row],[Losing Candidate]], "")</f>
        <v/>
      </c>
      <c r="AG629" s="18" t="str">
        <f>IF(NOT(ISBLANK(Audit[[#This Row],[Audit Candidate 3]])), Audit[[#This Row],[Audit Candidate 3]]-Audit[[#This Row],[Candidate 3]], "")</f>
        <v/>
      </c>
      <c r="AH629" s="18" t="str">
        <f>IF(NOT(ISBLANK(Audit[[#This Row],[Audit Candidate 4]])),Audit[[#This Row],[Audit Candidate 4]]-Audit[[#This Row],[Candidate 4]], "")</f>
        <v/>
      </c>
      <c r="AI629" s="18" t="str">
        <f>IF(NOT(ISBLANK(Audit[[#This Row],[Audit Candidate 5]])), Audit[[#This Row],[Audit Candidate 5]]-Audit[[#This Row],[Candidate 5]], "")</f>
        <v/>
      </c>
      <c r="AJ629" s="18" t="str">
        <f>IF(NOT(ISBLANK(Audit[[#This Row],[Audit Candidate 6]])), Audit[[#This Row],[Audit Candidate 6]]-Audit[[#This Row],[Candidate 6]], "")</f>
        <v/>
      </c>
      <c r="AK629" s="18" t="str">
        <f>IF(NOT(ISBLANK(Audit[[#This Row],[Audit Candidate 7]])), Audit[[#This Row],[Audit Candidate 7]]-Audit[[#This Row],[Candidate 7]], "")</f>
        <v/>
      </c>
      <c r="AL629" s="18" t="str">
        <f>IF(NOT(ISBLANK(Audit[[#This Row],[Audit Candidate 8]])), Audit[[#This Row],[Audit Candidate 8]]-Audit[[#This Row],[Candidate 8]], "")</f>
        <v/>
      </c>
      <c r="AM629" s="18" t="str">
        <f>IF(NOT(ISBLANK(Audit[[#This Row],[Audit Candidate 9]])), Audit[[#This Row],[Audit Candidate 9]]-Audit[[#This Row],[Candidate 9]], "")</f>
        <v/>
      </c>
      <c r="AN629" s="18" t="str">
        <f>IF(NOT(ISBLANK(Audit[[#This Row],[Audit Candidate 10]])), Audit[[#This Row],[Audit Candidate 10]]-Audit[[#This Row],[Candidate 10]], "")</f>
        <v/>
      </c>
      <c r="AO629" s="18" t="str">
        <f>IF(NOT(ISBLANK(Audit[[#This Row],[Audit Candidate 11]])), Audit[[#This Row],[Audit Candidate 11]]-Audit[[#This Row],[Candidate 11]], "")</f>
        <v/>
      </c>
      <c r="AP629" s="18" t="str">
        <f>IF(NOT(ISBLANK(Audit[[#This Row],[Audit Candidate 12]])), Audit[[#This Row],[Audit Candidate 12]]-Audit[[#This Row],[Candidate 12]], "")</f>
        <v/>
      </c>
      <c r="AQ629" s="18">
        <f>SUMIF(Audit[[#This Row],[Difference Winner]:[Difference Candidate 12]], "&gt;0")</f>
        <v>0</v>
      </c>
      <c r="AR629" s="18">
        <f>SUM(Audit[[#This Row],[Difference Winner]:[Difference Candidate 12]])</f>
        <v>0</v>
      </c>
      <c r="AS629" s="18">
        <f>IF(Audit[[#This Row],[Times p Drawn - With Replacement]]&gt;0, IF(Audit[[#This Row],[Canceled Differences]]&lt;0, Audit[[#This Row],[Max Differences]]+ABS(Audit[[#This Row],[Canceled Differences]]), Audit[[#This Row],[Max Differences]]), 0)</f>
        <v>0</v>
      </c>
      <c r="AT629" s="18">
        <f>'Sampling Data'!AB629</f>
        <v>3.7691993592361088E-4</v>
      </c>
      <c r="AU629" s="18">
        <f>IF(
      SUM(Audit[[#This Row],[Audit Losing Candidate]:[Audit Candidate 12]])
      &lt;&gt;0,
      (Audit[[#This Row],[Winning Candidate]]-Audit[[#This Row],[Losing Candidate]]-(Audit[[#This Row],[Audit Winning Candidate]]-Audit[[#This Row],[Audit Losing Candidate]]))/(Audit[[#Totals],[Winning Candidate]]-Audit[[#Totals],[Losing Candidate]]),
      0
)</f>
        <v>0</v>
      </c>
      <c r="AV6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8">
        <f>IF(Audit[[#This Row],[Max Relative Error (ep)]] = 0, 0, Audit[[#This Row],[Max Relative Error (ep)]]/Audit[[#This Row],[Error Bound (up) - Max. possible relative overstatement]])</f>
        <v>0</v>
      </c>
      <c r="BH6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29" s="18">
        <f t="shared" si="10"/>
        <v>1</v>
      </c>
      <c r="BJ629" s="18">
        <f>PRODUCT($BI$5:BI629)</f>
        <v>0.32656797278968008</v>
      </c>
      <c r="BK629" s="20">
        <f>1 - Audit[[#This Row],[K-M P Value]]</f>
        <v>0.67343202721031992</v>
      </c>
      <c r="BL629" s="18" t="str">
        <f>IF(Audit[[#This Row],[K-M P Value]]&gt;1-'General Info'!$B$12,"Continue", "Stop")</f>
        <v>Continue</v>
      </c>
      <c r="BM629" s="23" t="b">
        <f>IF(Audit[[#This Row],[Status - Continue or stop audit]] = "Continue", TRUE, IF(BL628 = "Continue", TRUE, FALSE))</f>
        <v>1</v>
      </c>
      <c r="BN629" s="23"/>
    </row>
    <row r="630" spans="1:66" ht="15" hidden="1" customHeight="1" x14ac:dyDescent="0.35">
      <c r="A630" s="18" t="str">
        <f>'Sampling Data'!AI630</f>
        <v/>
      </c>
      <c r="B630" s="18" t="str">
        <f>'Sampling Data'!A630</f>
        <v>0801 CIN 8-A   (ED)</v>
      </c>
      <c r="C630" s="18">
        <f>'Sampling Data'!B630</f>
        <v>6</v>
      </c>
      <c r="D630" s="18">
        <f>'Sampling Data'!C630</f>
        <v>2</v>
      </c>
      <c r="E630" s="19">
        <f>'Sampling Data'!D630</f>
        <v>0</v>
      </c>
      <c r="F630" s="19">
        <f>'Sampling Data'!E630</f>
        <v>0</v>
      </c>
      <c r="G630" s="19">
        <f>'Sampling Data'!F630</f>
        <v>0</v>
      </c>
      <c r="H630" s="19">
        <f>'Sampling Data'!G630</f>
        <v>0</v>
      </c>
      <c r="I630" s="19">
        <f>'Sampling Data'!H630</f>
        <v>0</v>
      </c>
      <c r="J630" s="19">
        <f>'Sampling Data'!I630</f>
        <v>0</v>
      </c>
      <c r="K630" s="19">
        <f>'Sampling Data'!J630</f>
        <v>0</v>
      </c>
      <c r="L630" s="19">
        <f>'Sampling Data'!K630</f>
        <v>0</v>
      </c>
      <c r="M630" s="19">
        <f>'Sampling Data'!L630</f>
        <v>0</v>
      </c>
      <c r="N630" s="19">
        <f>'Sampling Data'!M630</f>
        <v>0</v>
      </c>
      <c r="O630" s="18">
        <f>'Sampling Data'!N630</f>
        <v>0</v>
      </c>
      <c r="P630" s="18">
        <f>'Sampling Data'!O630</f>
        <v>0</v>
      </c>
      <c r="Q630" s="18">
        <f>'Sampling Data'!P630</f>
        <v>8</v>
      </c>
      <c r="R630" s="18">
        <f>'Sampling Data'!AJ630</f>
        <v>0</v>
      </c>
      <c r="S630" s="112"/>
      <c r="T630" s="112"/>
      <c r="U630" s="113"/>
      <c r="V630" s="113"/>
      <c r="W630" s="112"/>
      <c r="X630" s="112"/>
      <c r="Y630" s="112"/>
      <c r="Z630" s="112"/>
      <c r="AA630" s="15"/>
      <c r="AB630" s="15"/>
      <c r="AC630" s="15"/>
      <c r="AD630" s="15"/>
      <c r="AE630" s="114" t="str">
        <f>IF(NOT(ISBLANK(Audit[[#This Row],[Audit Winning Candidate]])), Audit[[#This Row],[Audit Winning Candidate]]-Audit[[#This Row],[Winning Candidate]], "")</f>
        <v/>
      </c>
      <c r="AF630" s="18" t="str">
        <f>IF(NOT(ISBLANK(Audit[[#This Row],[Audit Losing Candidate]])), Audit[[#This Row],[Audit Losing Candidate]]-Audit[[#This Row],[Losing Candidate]], "")</f>
        <v/>
      </c>
      <c r="AG630" s="18" t="str">
        <f>IF(NOT(ISBLANK(Audit[[#This Row],[Audit Candidate 3]])), Audit[[#This Row],[Audit Candidate 3]]-Audit[[#This Row],[Candidate 3]], "")</f>
        <v/>
      </c>
      <c r="AH630" s="18" t="str">
        <f>IF(NOT(ISBLANK(Audit[[#This Row],[Audit Candidate 4]])),Audit[[#This Row],[Audit Candidate 4]]-Audit[[#This Row],[Candidate 4]], "")</f>
        <v/>
      </c>
      <c r="AI630" s="18" t="str">
        <f>IF(NOT(ISBLANK(Audit[[#This Row],[Audit Candidate 5]])), Audit[[#This Row],[Audit Candidate 5]]-Audit[[#This Row],[Candidate 5]], "")</f>
        <v/>
      </c>
      <c r="AJ630" s="18" t="str">
        <f>IF(NOT(ISBLANK(Audit[[#This Row],[Audit Candidate 6]])), Audit[[#This Row],[Audit Candidate 6]]-Audit[[#This Row],[Candidate 6]], "")</f>
        <v/>
      </c>
      <c r="AK630" s="18" t="str">
        <f>IF(NOT(ISBLANK(Audit[[#This Row],[Audit Candidate 7]])), Audit[[#This Row],[Audit Candidate 7]]-Audit[[#This Row],[Candidate 7]], "")</f>
        <v/>
      </c>
      <c r="AL630" s="18" t="str">
        <f>IF(NOT(ISBLANK(Audit[[#This Row],[Audit Candidate 8]])), Audit[[#This Row],[Audit Candidate 8]]-Audit[[#This Row],[Candidate 8]], "")</f>
        <v/>
      </c>
      <c r="AM630" s="18" t="str">
        <f>IF(NOT(ISBLANK(Audit[[#This Row],[Audit Candidate 9]])), Audit[[#This Row],[Audit Candidate 9]]-Audit[[#This Row],[Candidate 9]], "")</f>
        <v/>
      </c>
      <c r="AN630" s="18" t="str">
        <f>IF(NOT(ISBLANK(Audit[[#This Row],[Audit Candidate 10]])), Audit[[#This Row],[Audit Candidate 10]]-Audit[[#This Row],[Candidate 10]], "")</f>
        <v/>
      </c>
      <c r="AO630" s="18" t="str">
        <f>IF(NOT(ISBLANK(Audit[[#This Row],[Audit Candidate 11]])), Audit[[#This Row],[Audit Candidate 11]]-Audit[[#This Row],[Candidate 11]], "")</f>
        <v/>
      </c>
      <c r="AP630" s="18" t="str">
        <f>IF(NOT(ISBLANK(Audit[[#This Row],[Audit Candidate 12]])), Audit[[#This Row],[Audit Candidate 12]]-Audit[[#This Row],[Candidate 12]], "")</f>
        <v/>
      </c>
      <c r="AQ630" s="18">
        <f>SUMIF(Audit[[#This Row],[Difference Winner]:[Difference Candidate 12]], "&gt;0")</f>
        <v>0</v>
      </c>
      <c r="AR630" s="18">
        <f>SUM(Audit[[#This Row],[Difference Winner]:[Difference Candidate 12]])</f>
        <v>0</v>
      </c>
      <c r="AS630" s="18">
        <f>IF(Audit[[#This Row],[Times p Drawn - With Replacement]]&gt;0, IF(Audit[[#This Row],[Canceled Differences]]&lt;0, Audit[[#This Row],[Max Differences]]+ABS(Audit[[#This Row],[Canceled Differences]]), Audit[[#This Row],[Max Differences]]), 0)</f>
        <v>0</v>
      </c>
      <c r="AT630" s="18">
        <f>'Sampling Data'!AB630</f>
        <v>3.7691993592361088E-4</v>
      </c>
      <c r="AU630" s="18">
        <f>IF(
      SUM(Audit[[#This Row],[Audit Losing Candidate]:[Audit Candidate 12]])
      &lt;&gt;0,
      (Audit[[#This Row],[Winning Candidate]]-Audit[[#This Row],[Losing Candidate]]-(Audit[[#This Row],[Audit Winning Candidate]]-Audit[[#This Row],[Audit Losing Candidate]]))/(Audit[[#Totals],[Winning Candidate]]-Audit[[#Totals],[Losing Candidate]]),
      0
)</f>
        <v>0</v>
      </c>
      <c r="AV6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8">
        <f>IF(Audit[[#This Row],[Max Relative Error (ep)]] = 0, 0, Audit[[#This Row],[Max Relative Error (ep)]]/Audit[[#This Row],[Error Bound (up) - Max. possible relative overstatement]])</f>
        <v>0</v>
      </c>
      <c r="BH6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0" s="18">
        <f t="shared" si="10"/>
        <v>1</v>
      </c>
      <c r="BJ630" s="18">
        <f>PRODUCT($BI$5:BI630)</f>
        <v>0.32656797278968008</v>
      </c>
      <c r="BK630" s="20">
        <f>1 - Audit[[#This Row],[K-M P Value]]</f>
        <v>0.67343202721031992</v>
      </c>
      <c r="BL630" s="18" t="str">
        <f>IF(Audit[[#This Row],[K-M P Value]]&gt;1-'General Info'!$B$12,"Continue", "Stop")</f>
        <v>Continue</v>
      </c>
      <c r="BM630" s="23" t="b">
        <f>IF(Audit[[#This Row],[Status - Continue or stop audit]] = "Continue", TRUE, IF(BL629 = "Continue", TRUE, FALSE))</f>
        <v>1</v>
      </c>
      <c r="BN630" s="23"/>
    </row>
    <row r="631" spans="1:66" ht="15" hidden="1" customHeight="1" x14ac:dyDescent="0.35">
      <c r="A631" s="18" t="str">
        <f>'Sampling Data'!AI631</f>
        <v/>
      </c>
      <c r="B631" s="18" t="str">
        <f>'Sampling Data'!A631</f>
        <v>0802 CIN 8-B   (ED)</v>
      </c>
      <c r="C631" s="18">
        <f>'Sampling Data'!B631</f>
        <v>26</v>
      </c>
      <c r="D631" s="18">
        <f>'Sampling Data'!C631</f>
        <v>5</v>
      </c>
      <c r="E631" s="19">
        <f>'Sampling Data'!D631</f>
        <v>0</v>
      </c>
      <c r="F631" s="19">
        <f>'Sampling Data'!E631</f>
        <v>0</v>
      </c>
      <c r="G631" s="19">
        <f>'Sampling Data'!F631</f>
        <v>0</v>
      </c>
      <c r="H631" s="19">
        <f>'Sampling Data'!G631</f>
        <v>0</v>
      </c>
      <c r="I631" s="19">
        <f>'Sampling Data'!H631</f>
        <v>0</v>
      </c>
      <c r="J631" s="19">
        <f>'Sampling Data'!I631</f>
        <v>0</v>
      </c>
      <c r="K631" s="19">
        <f>'Sampling Data'!J631</f>
        <v>0</v>
      </c>
      <c r="L631" s="19">
        <f>'Sampling Data'!K631</f>
        <v>0</v>
      </c>
      <c r="M631" s="19">
        <f>'Sampling Data'!L631</f>
        <v>0</v>
      </c>
      <c r="N631" s="19">
        <f>'Sampling Data'!M631</f>
        <v>0</v>
      </c>
      <c r="O631" s="18">
        <f>'Sampling Data'!N631</f>
        <v>0</v>
      </c>
      <c r="P631" s="18">
        <f>'Sampling Data'!O631</f>
        <v>1</v>
      </c>
      <c r="Q631" s="18">
        <f>'Sampling Data'!P631</f>
        <v>32</v>
      </c>
      <c r="R631" s="18">
        <f>'Sampling Data'!AJ631</f>
        <v>0</v>
      </c>
      <c r="S631" s="112"/>
      <c r="T631" s="112"/>
      <c r="U631" s="113"/>
      <c r="V631" s="113"/>
      <c r="W631" s="112"/>
      <c r="X631" s="112"/>
      <c r="Y631" s="112"/>
      <c r="Z631" s="112"/>
      <c r="AA631" s="15"/>
      <c r="AB631" s="15"/>
      <c r="AC631" s="15"/>
      <c r="AD631" s="15"/>
      <c r="AE631" s="114" t="str">
        <f>IF(NOT(ISBLANK(Audit[[#This Row],[Audit Winning Candidate]])), Audit[[#This Row],[Audit Winning Candidate]]-Audit[[#This Row],[Winning Candidate]], "")</f>
        <v/>
      </c>
      <c r="AF631" s="18" t="str">
        <f>IF(NOT(ISBLANK(Audit[[#This Row],[Audit Losing Candidate]])), Audit[[#This Row],[Audit Losing Candidate]]-Audit[[#This Row],[Losing Candidate]], "")</f>
        <v/>
      </c>
      <c r="AG631" s="18" t="str">
        <f>IF(NOT(ISBLANK(Audit[[#This Row],[Audit Candidate 3]])), Audit[[#This Row],[Audit Candidate 3]]-Audit[[#This Row],[Candidate 3]], "")</f>
        <v/>
      </c>
      <c r="AH631" s="18" t="str">
        <f>IF(NOT(ISBLANK(Audit[[#This Row],[Audit Candidate 4]])),Audit[[#This Row],[Audit Candidate 4]]-Audit[[#This Row],[Candidate 4]], "")</f>
        <v/>
      </c>
      <c r="AI631" s="18" t="str">
        <f>IF(NOT(ISBLANK(Audit[[#This Row],[Audit Candidate 5]])), Audit[[#This Row],[Audit Candidate 5]]-Audit[[#This Row],[Candidate 5]], "")</f>
        <v/>
      </c>
      <c r="AJ631" s="18" t="str">
        <f>IF(NOT(ISBLANK(Audit[[#This Row],[Audit Candidate 6]])), Audit[[#This Row],[Audit Candidate 6]]-Audit[[#This Row],[Candidate 6]], "")</f>
        <v/>
      </c>
      <c r="AK631" s="18" t="str">
        <f>IF(NOT(ISBLANK(Audit[[#This Row],[Audit Candidate 7]])), Audit[[#This Row],[Audit Candidate 7]]-Audit[[#This Row],[Candidate 7]], "")</f>
        <v/>
      </c>
      <c r="AL631" s="18" t="str">
        <f>IF(NOT(ISBLANK(Audit[[#This Row],[Audit Candidate 8]])), Audit[[#This Row],[Audit Candidate 8]]-Audit[[#This Row],[Candidate 8]], "")</f>
        <v/>
      </c>
      <c r="AM631" s="18" t="str">
        <f>IF(NOT(ISBLANK(Audit[[#This Row],[Audit Candidate 9]])), Audit[[#This Row],[Audit Candidate 9]]-Audit[[#This Row],[Candidate 9]], "")</f>
        <v/>
      </c>
      <c r="AN631" s="18" t="str">
        <f>IF(NOT(ISBLANK(Audit[[#This Row],[Audit Candidate 10]])), Audit[[#This Row],[Audit Candidate 10]]-Audit[[#This Row],[Candidate 10]], "")</f>
        <v/>
      </c>
      <c r="AO631" s="18" t="str">
        <f>IF(NOT(ISBLANK(Audit[[#This Row],[Audit Candidate 11]])), Audit[[#This Row],[Audit Candidate 11]]-Audit[[#This Row],[Candidate 11]], "")</f>
        <v/>
      </c>
      <c r="AP631" s="18" t="str">
        <f>IF(NOT(ISBLANK(Audit[[#This Row],[Audit Candidate 12]])), Audit[[#This Row],[Audit Candidate 12]]-Audit[[#This Row],[Candidate 12]], "")</f>
        <v/>
      </c>
      <c r="AQ631" s="18">
        <f>SUMIF(Audit[[#This Row],[Difference Winner]:[Difference Candidate 12]], "&gt;0")</f>
        <v>0</v>
      </c>
      <c r="AR631" s="18">
        <f>SUM(Audit[[#This Row],[Difference Winner]:[Difference Candidate 12]])</f>
        <v>0</v>
      </c>
      <c r="AS631" s="18">
        <f>IF(Audit[[#This Row],[Times p Drawn - With Replacement]]&gt;0, IF(Audit[[#This Row],[Canceled Differences]]&lt;0, Audit[[#This Row],[Max Differences]]+ABS(Audit[[#This Row],[Canceled Differences]]), Audit[[#This Row],[Max Differences]]), 0)</f>
        <v>0</v>
      </c>
      <c r="AT631" s="18">
        <f>'Sampling Data'!AB631</f>
        <v>1.6647297169959481E-3</v>
      </c>
      <c r="AU631" s="18">
        <f>IF(
      SUM(Audit[[#This Row],[Audit Losing Candidate]:[Audit Candidate 12]])
      &lt;&gt;0,
      (Audit[[#This Row],[Winning Candidate]]-Audit[[#This Row],[Losing Candidate]]-(Audit[[#This Row],[Audit Winning Candidate]]-Audit[[#This Row],[Audit Losing Candidate]]))/(Audit[[#Totals],[Winning Candidate]]-Audit[[#Totals],[Losing Candidate]]),
      0
)</f>
        <v>0</v>
      </c>
      <c r="AV6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8">
        <f>IF(Audit[[#This Row],[Max Relative Error (ep)]] = 0, 0, Audit[[#This Row],[Max Relative Error (ep)]]/Audit[[#This Row],[Error Bound (up) - Max. possible relative overstatement]])</f>
        <v>0</v>
      </c>
      <c r="BH6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1" s="18">
        <f t="shared" si="10"/>
        <v>1</v>
      </c>
      <c r="BJ631" s="18">
        <f>PRODUCT($BI$5:BI631)</f>
        <v>0.32656797278968008</v>
      </c>
      <c r="BK631" s="20">
        <f>1 - Audit[[#This Row],[K-M P Value]]</f>
        <v>0.67343202721031992</v>
      </c>
      <c r="BL631" s="18" t="str">
        <f>IF(Audit[[#This Row],[K-M P Value]]&gt;1-'General Info'!$B$12,"Continue", "Stop")</f>
        <v>Continue</v>
      </c>
      <c r="BM631" s="23" t="b">
        <f>IF(Audit[[#This Row],[Status - Continue or stop audit]] = "Continue", TRUE, IF(BL630 = "Continue", TRUE, FALSE))</f>
        <v>1</v>
      </c>
      <c r="BN631" s="23"/>
    </row>
    <row r="632" spans="1:66" ht="15" hidden="1" customHeight="1" x14ac:dyDescent="0.35">
      <c r="A632" s="18" t="str">
        <f>'Sampling Data'!AI632</f>
        <v/>
      </c>
      <c r="B632" s="18" t="str">
        <f>'Sampling Data'!A632</f>
        <v>0803 CIN 8-C   (ED)</v>
      </c>
      <c r="C632" s="18">
        <f>'Sampling Data'!B632</f>
        <v>82</v>
      </c>
      <c r="D632" s="18">
        <f>'Sampling Data'!C632</f>
        <v>5</v>
      </c>
      <c r="E632" s="19">
        <f>'Sampling Data'!D632</f>
        <v>0</v>
      </c>
      <c r="F632" s="19">
        <f>'Sampling Data'!E632</f>
        <v>0</v>
      </c>
      <c r="G632" s="19">
        <f>'Sampling Data'!F632</f>
        <v>0</v>
      </c>
      <c r="H632" s="19">
        <f>'Sampling Data'!G632</f>
        <v>0</v>
      </c>
      <c r="I632" s="19">
        <f>'Sampling Data'!H632</f>
        <v>0</v>
      </c>
      <c r="J632" s="19">
        <f>'Sampling Data'!I632</f>
        <v>0</v>
      </c>
      <c r="K632" s="19">
        <f>'Sampling Data'!J632</f>
        <v>0</v>
      </c>
      <c r="L632" s="19">
        <f>'Sampling Data'!K632</f>
        <v>0</v>
      </c>
      <c r="M632" s="19">
        <f>'Sampling Data'!L632</f>
        <v>0</v>
      </c>
      <c r="N632" s="19">
        <f>'Sampling Data'!M632</f>
        <v>0</v>
      </c>
      <c r="O632" s="18">
        <f>'Sampling Data'!N632</f>
        <v>0</v>
      </c>
      <c r="P632" s="18">
        <f>'Sampling Data'!O632</f>
        <v>0</v>
      </c>
      <c r="Q632" s="18">
        <f>'Sampling Data'!P632</f>
        <v>87</v>
      </c>
      <c r="R632" s="18">
        <f>'Sampling Data'!AJ632</f>
        <v>0</v>
      </c>
      <c r="S632" s="112"/>
      <c r="T632" s="112"/>
      <c r="U632" s="113"/>
      <c r="V632" s="113"/>
      <c r="W632" s="112"/>
      <c r="X632" s="112"/>
      <c r="Y632" s="112"/>
      <c r="Z632" s="112"/>
      <c r="AA632" s="15"/>
      <c r="AB632" s="15"/>
      <c r="AC632" s="15"/>
      <c r="AD632" s="15"/>
      <c r="AE632" s="114" t="str">
        <f>IF(NOT(ISBLANK(Audit[[#This Row],[Audit Winning Candidate]])), Audit[[#This Row],[Audit Winning Candidate]]-Audit[[#This Row],[Winning Candidate]], "")</f>
        <v/>
      </c>
      <c r="AF632" s="18" t="str">
        <f>IF(NOT(ISBLANK(Audit[[#This Row],[Audit Losing Candidate]])), Audit[[#This Row],[Audit Losing Candidate]]-Audit[[#This Row],[Losing Candidate]], "")</f>
        <v/>
      </c>
      <c r="AG632" s="18" t="str">
        <f>IF(NOT(ISBLANK(Audit[[#This Row],[Audit Candidate 3]])), Audit[[#This Row],[Audit Candidate 3]]-Audit[[#This Row],[Candidate 3]], "")</f>
        <v/>
      </c>
      <c r="AH632" s="18" t="str">
        <f>IF(NOT(ISBLANK(Audit[[#This Row],[Audit Candidate 4]])),Audit[[#This Row],[Audit Candidate 4]]-Audit[[#This Row],[Candidate 4]], "")</f>
        <v/>
      </c>
      <c r="AI632" s="18" t="str">
        <f>IF(NOT(ISBLANK(Audit[[#This Row],[Audit Candidate 5]])), Audit[[#This Row],[Audit Candidate 5]]-Audit[[#This Row],[Candidate 5]], "")</f>
        <v/>
      </c>
      <c r="AJ632" s="18" t="str">
        <f>IF(NOT(ISBLANK(Audit[[#This Row],[Audit Candidate 6]])), Audit[[#This Row],[Audit Candidate 6]]-Audit[[#This Row],[Candidate 6]], "")</f>
        <v/>
      </c>
      <c r="AK632" s="18" t="str">
        <f>IF(NOT(ISBLANK(Audit[[#This Row],[Audit Candidate 7]])), Audit[[#This Row],[Audit Candidate 7]]-Audit[[#This Row],[Candidate 7]], "")</f>
        <v/>
      </c>
      <c r="AL632" s="18" t="str">
        <f>IF(NOT(ISBLANK(Audit[[#This Row],[Audit Candidate 8]])), Audit[[#This Row],[Audit Candidate 8]]-Audit[[#This Row],[Candidate 8]], "")</f>
        <v/>
      </c>
      <c r="AM632" s="18" t="str">
        <f>IF(NOT(ISBLANK(Audit[[#This Row],[Audit Candidate 9]])), Audit[[#This Row],[Audit Candidate 9]]-Audit[[#This Row],[Candidate 9]], "")</f>
        <v/>
      </c>
      <c r="AN632" s="18" t="str">
        <f>IF(NOT(ISBLANK(Audit[[#This Row],[Audit Candidate 10]])), Audit[[#This Row],[Audit Candidate 10]]-Audit[[#This Row],[Candidate 10]], "")</f>
        <v/>
      </c>
      <c r="AO632" s="18" t="str">
        <f>IF(NOT(ISBLANK(Audit[[#This Row],[Audit Candidate 11]])), Audit[[#This Row],[Audit Candidate 11]]-Audit[[#This Row],[Candidate 11]], "")</f>
        <v/>
      </c>
      <c r="AP632" s="18" t="str">
        <f>IF(NOT(ISBLANK(Audit[[#This Row],[Audit Candidate 12]])), Audit[[#This Row],[Audit Candidate 12]]-Audit[[#This Row],[Candidate 12]], "")</f>
        <v/>
      </c>
      <c r="AQ632" s="18">
        <f>SUMIF(Audit[[#This Row],[Difference Winner]:[Difference Candidate 12]], "&gt;0")</f>
        <v>0</v>
      </c>
      <c r="AR632" s="18">
        <f>SUM(Audit[[#This Row],[Difference Winner]:[Difference Candidate 12]])</f>
        <v>0</v>
      </c>
      <c r="AS632" s="18">
        <f>IF(Audit[[#This Row],[Times p Drawn - With Replacement]]&gt;0, IF(Audit[[#This Row],[Canceled Differences]]&lt;0, Audit[[#This Row],[Max Differences]]+ABS(Audit[[#This Row],[Canceled Differences]]), Audit[[#This Row],[Max Differences]]), 0)</f>
        <v>0</v>
      </c>
      <c r="AT632" s="18">
        <f>'Sampling Data'!AB632</f>
        <v>5.1512391242893489E-3</v>
      </c>
      <c r="AU632" s="18">
        <f>IF(
      SUM(Audit[[#This Row],[Audit Losing Candidate]:[Audit Candidate 12]])
      &lt;&gt;0,
      (Audit[[#This Row],[Winning Candidate]]-Audit[[#This Row],[Losing Candidate]]-(Audit[[#This Row],[Audit Winning Candidate]]-Audit[[#This Row],[Audit Losing Candidate]]))/(Audit[[#Totals],[Winning Candidate]]-Audit[[#Totals],[Losing Candidate]]),
      0
)</f>
        <v>0</v>
      </c>
      <c r="AV6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8">
        <f>IF(Audit[[#This Row],[Max Relative Error (ep)]] = 0, 0, Audit[[#This Row],[Max Relative Error (ep)]]/Audit[[#This Row],[Error Bound (up) - Max. possible relative overstatement]])</f>
        <v>0</v>
      </c>
      <c r="BH6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2" s="18">
        <f t="shared" si="10"/>
        <v>1</v>
      </c>
      <c r="BJ632" s="18">
        <f>PRODUCT($BI$5:BI632)</f>
        <v>0.32656797278968008</v>
      </c>
      <c r="BK632" s="20">
        <f>1 - Audit[[#This Row],[K-M P Value]]</f>
        <v>0.67343202721031992</v>
      </c>
      <c r="BL632" s="18" t="str">
        <f>IF(Audit[[#This Row],[K-M P Value]]&gt;1-'General Info'!$B$12,"Continue", "Stop")</f>
        <v>Continue</v>
      </c>
      <c r="BM632" s="23" t="b">
        <f>IF(Audit[[#This Row],[Status - Continue or stop audit]] = "Continue", TRUE, IF(BL631 = "Continue", TRUE, FALSE))</f>
        <v>1</v>
      </c>
      <c r="BN632" s="23"/>
    </row>
    <row r="633" spans="1:66" ht="15" hidden="1" customHeight="1" x14ac:dyDescent="0.35">
      <c r="A633" s="18" t="str">
        <f>'Sampling Data'!AI633</f>
        <v/>
      </c>
      <c r="B633" s="18" t="str">
        <f>'Sampling Data'!A633</f>
        <v>0804 CIN 8-D   (ED)</v>
      </c>
      <c r="C633" s="18">
        <f>'Sampling Data'!B633</f>
        <v>10</v>
      </c>
      <c r="D633" s="18">
        <f>'Sampling Data'!C633</f>
        <v>1</v>
      </c>
      <c r="E633" s="19">
        <f>'Sampling Data'!D633</f>
        <v>0</v>
      </c>
      <c r="F633" s="19">
        <f>'Sampling Data'!E633</f>
        <v>0</v>
      </c>
      <c r="G633" s="19">
        <f>'Sampling Data'!F633</f>
        <v>0</v>
      </c>
      <c r="H633" s="19">
        <f>'Sampling Data'!G633</f>
        <v>0</v>
      </c>
      <c r="I633" s="19">
        <f>'Sampling Data'!H633</f>
        <v>0</v>
      </c>
      <c r="J633" s="19">
        <f>'Sampling Data'!I633</f>
        <v>0</v>
      </c>
      <c r="K633" s="19">
        <f>'Sampling Data'!J633</f>
        <v>0</v>
      </c>
      <c r="L633" s="19">
        <f>'Sampling Data'!K633</f>
        <v>0</v>
      </c>
      <c r="M633" s="19">
        <f>'Sampling Data'!L633</f>
        <v>0</v>
      </c>
      <c r="N633" s="19">
        <f>'Sampling Data'!M633</f>
        <v>0</v>
      </c>
      <c r="O633" s="18">
        <f>'Sampling Data'!N633</f>
        <v>0</v>
      </c>
      <c r="P633" s="18">
        <f>'Sampling Data'!O633</f>
        <v>2</v>
      </c>
      <c r="Q633" s="18">
        <f>'Sampling Data'!P633</f>
        <v>13</v>
      </c>
      <c r="R633" s="18">
        <f>'Sampling Data'!AJ633</f>
        <v>0</v>
      </c>
      <c r="S633" s="112"/>
      <c r="T633" s="112"/>
      <c r="U633" s="113"/>
      <c r="V633" s="113"/>
      <c r="W633" s="112"/>
      <c r="X633" s="112"/>
      <c r="Y633" s="112"/>
      <c r="Z633" s="112"/>
      <c r="AA633" s="15"/>
      <c r="AB633" s="15"/>
      <c r="AC633" s="15"/>
      <c r="AD633" s="15"/>
      <c r="AE633" s="114" t="str">
        <f>IF(NOT(ISBLANK(Audit[[#This Row],[Audit Winning Candidate]])), Audit[[#This Row],[Audit Winning Candidate]]-Audit[[#This Row],[Winning Candidate]], "")</f>
        <v/>
      </c>
      <c r="AF633" s="18" t="str">
        <f>IF(NOT(ISBLANK(Audit[[#This Row],[Audit Losing Candidate]])), Audit[[#This Row],[Audit Losing Candidate]]-Audit[[#This Row],[Losing Candidate]], "")</f>
        <v/>
      </c>
      <c r="AG633" s="18" t="str">
        <f>IF(NOT(ISBLANK(Audit[[#This Row],[Audit Candidate 3]])), Audit[[#This Row],[Audit Candidate 3]]-Audit[[#This Row],[Candidate 3]], "")</f>
        <v/>
      </c>
      <c r="AH633" s="18" t="str">
        <f>IF(NOT(ISBLANK(Audit[[#This Row],[Audit Candidate 4]])),Audit[[#This Row],[Audit Candidate 4]]-Audit[[#This Row],[Candidate 4]], "")</f>
        <v/>
      </c>
      <c r="AI633" s="18" t="str">
        <f>IF(NOT(ISBLANK(Audit[[#This Row],[Audit Candidate 5]])), Audit[[#This Row],[Audit Candidate 5]]-Audit[[#This Row],[Candidate 5]], "")</f>
        <v/>
      </c>
      <c r="AJ633" s="18" t="str">
        <f>IF(NOT(ISBLANK(Audit[[#This Row],[Audit Candidate 6]])), Audit[[#This Row],[Audit Candidate 6]]-Audit[[#This Row],[Candidate 6]], "")</f>
        <v/>
      </c>
      <c r="AK633" s="18" t="str">
        <f>IF(NOT(ISBLANK(Audit[[#This Row],[Audit Candidate 7]])), Audit[[#This Row],[Audit Candidate 7]]-Audit[[#This Row],[Candidate 7]], "")</f>
        <v/>
      </c>
      <c r="AL633" s="18" t="str">
        <f>IF(NOT(ISBLANK(Audit[[#This Row],[Audit Candidate 8]])), Audit[[#This Row],[Audit Candidate 8]]-Audit[[#This Row],[Candidate 8]], "")</f>
        <v/>
      </c>
      <c r="AM633" s="18" t="str">
        <f>IF(NOT(ISBLANK(Audit[[#This Row],[Audit Candidate 9]])), Audit[[#This Row],[Audit Candidate 9]]-Audit[[#This Row],[Candidate 9]], "")</f>
        <v/>
      </c>
      <c r="AN633" s="18" t="str">
        <f>IF(NOT(ISBLANK(Audit[[#This Row],[Audit Candidate 10]])), Audit[[#This Row],[Audit Candidate 10]]-Audit[[#This Row],[Candidate 10]], "")</f>
        <v/>
      </c>
      <c r="AO633" s="18" t="str">
        <f>IF(NOT(ISBLANK(Audit[[#This Row],[Audit Candidate 11]])), Audit[[#This Row],[Audit Candidate 11]]-Audit[[#This Row],[Candidate 11]], "")</f>
        <v/>
      </c>
      <c r="AP633" s="18" t="str">
        <f>IF(NOT(ISBLANK(Audit[[#This Row],[Audit Candidate 12]])), Audit[[#This Row],[Audit Candidate 12]]-Audit[[#This Row],[Candidate 12]], "")</f>
        <v/>
      </c>
      <c r="AQ633" s="18">
        <f>SUMIF(Audit[[#This Row],[Difference Winner]:[Difference Candidate 12]], "&gt;0")</f>
        <v>0</v>
      </c>
      <c r="AR633" s="18">
        <f>SUM(Audit[[#This Row],[Difference Winner]:[Difference Candidate 12]])</f>
        <v>0</v>
      </c>
      <c r="AS633" s="18">
        <f>IF(Audit[[#This Row],[Times p Drawn - With Replacement]]&gt;0, IF(Audit[[#This Row],[Canceled Differences]]&lt;0, Audit[[#This Row],[Max Differences]]+ABS(Audit[[#This Row],[Canceled Differences]]), Audit[[#This Row],[Max Differences]]), 0)</f>
        <v>0</v>
      </c>
      <c r="AT633" s="18">
        <f>'Sampling Data'!AB633</f>
        <v>6.9101988252662E-4</v>
      </c>
      <c r="AU633" s="18">
        <f>IF(
      SUM(Audit[[#This Row],[Audit Losing Candidate]:[Audit Candidate 12]])
      &lt;&gt;0,
      (Audit[[#This Row],[Winning Candidate]]-Audit[[#This Row],[Losing Candidate]]-(Audit[[#This Row],[Audit Winning Candidate]]-Audit[[#This Row],[Audit Losing Candidate]]))/(Audit[[#Totals],[Winning Candidate]]-Audit[[#Totals],[Losing Candidate]]),
      0
)</f>
        <v>0</v>
      </c>
      <c r="AV6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8">
        <f>IF(Audit[[#This Row],[Max Relative Error (ep)]] = 0, 0, Audit[[#This Row],[Max Relative Error (ep)]]/Audit[[#This Row],[Error Bound (up) - Max. possible relative overstatement]])</f>
        <v>0</v>
      </c>
      <c r="BH6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3" s="18">
        <f t="shared" si="10"/>
        <v>1</v>
      </c>
      <c r="BJ633" s="18">
        <f>PRODUCT($BI$5:BI633)</f>
        <v>0.32656797278968008</v>
      </c>
      <c r="BK633" s="20">
        <f>1 - Audit[[#This Row],[K-M P Value]]</f>
        <v>0.67343202721031992</v>
      </c>
      <c r="BL633" s="18" t="str">
        <f>IF(Audit[[#This Row],[K-M P Value]]&gt;1-'General Info'!$B$12,"Continue", "Stop")</f>
        <v>Continue</v>
      </c>
      <c r="BM633" s="23" t="b">
        <f>IF(Audit[[#This Row],[Status - Continue or stop audit]] = "Continue", TRUE, IF(BL632 = "Continue", TRUE, FALSE))</f>
        <v>1</v>
      </c>
      <c r="BN633" s="23"/>
    </row>
    <row r="634" spans="1:66" ht="15" hidden="1" customHeight="1" x14ac:dyDescent="0.35">
      <c r="A634" s="18" t="str">
        <f>'Sampling Data'!AI634</f>
        <v/>
      </c>
      <c r="B634" s="18" t="str">
        <f>'Sampling Data'!A634</f>
        <v>0901 CIN 9-A   (ED)</v>
      </c>
      <c r="C634" s="18">
        <f>'Sampling Data'!B634</f>
        <v>0</v>
      </c>
      <c r="D634" s="18">
        <f>'Sampling Data'!C634</f>
        <v>1</v>
      </c>
      <c r="E634" s="19">
        <f>'Sampling Data'!D634</f>
        <v>0</v>
      </c>
      <c r="F634" s="19">
        <f>'Sampling Data'!E634</f>
        <v>0</v>
      </c>
      <c r="G634" s="19">
        <f>'Sampling Data'!F634</f>
        <v>0</v>
      </c>
      <c r="H634" s="19">
        <f>'Sampling Data'!G634</f>
        <v>0</v>
      </c>
      <c r="I634" s="19">
        <f>'Sampling Data'!H634</f>
        <v>0</v>
      </c>
      <c r="J634" s="19">
        <f>'Sampling Data'!I634</f>
        <v>0</v>
      </c>
      <c r="K634" s="19">
        <f>'Sampling Data'!J634</f>
        <v>0</v>
      </c>
      <c r="L634" s="19">
        <f>'Sampling Data'!K634</f>
        <v>0</v>
      </c>
      <c r="M634" s="19">
        <f>'Sampling Data'!L634</f>
        <v>0</v>
      </c>
      <c r="N634" s="19">
        <f>'Sampling Data'!M634</f>
        <v>0</v>
      </c>
      <c r="O634" s="18">
        <f>'Sampling Data'!N634</f>
        <v>0</v>
      </c>
      <c r="P634" s="18">
        <f>'Sampling Data'!O634</f>
        <v>0</v>
      </c>
      <c r="Q634" s="18">
        <f>'Sampling Data'!P634</f>
        <v>1</v>
      </c>
      <c r="R634" s="18">
        <f>'Sampling Data'!AJ634</f>
        <v>0</v>
      </c>
      <c r="S634" s="112"/>
      <c r="T634" s="112"/>
      <c r="U634" s="113"/>
      <c r="V634" s="113"/>
      <c r="W634" s="112"/>
      <c r="X634" s="112"/>
      <c r="Y634" s="112"/>
      <c r="Z634" s="112"/>
      <c r="AA634" s="15"/>
      <c r="AB634" s="15"/>
      <c r="AC634" s="15"/>
      <c r="AD634" s="15"/>
      <c r="AE634" s="114" t="str">
        <f>IF(NOT(ISBLANK(Audit[[#This Row],[Audit Winning Candidate]])), Audit[[#This Row],[Audit Winning Candidate]]-Audit[[#This Row],[Winning Candidate]], "")</f>
        <v/>
      </c>
      <c r="AF634" s="18" t="str">
        <f>IF(NOT(ISBLANK(Audit[[#This Row],[Audit Losing Candidate]])), Audit[[#This Row],[Audit Losing Candidate]]-Audit[[#This Row],[Losing Candidate]], "")</f>
        <v/>
      </c>
      <c r="AG634" s="18" t="str">
        <f>IF(NOT(ISBLANK(Audit[[#This Row],[Audit Candidate 3]])), Audit[[#This Row],[Audit Candidate 3]]-Audit[[#This Row],[Candidate 3]], "")</f>
        <v/>
      </c>
      <c r="AH634" s="18" t="str">
        <f>IF(NOT(ISBLANK(Audit[[#This Row],[Audit Candidate 4]])),Audit[[#This Row],[Audit Candidate 4]]-Audit[[#This Row],[Candidate 4]], "")</f>
        <v/>
      </c>
      <c r="AI634" s="18" t="str">
        <f>IF(NOT(ISBLANK(Audit[[#This Row],[Audit Candidate 5]])), Audit[[#This Row],[Audit Candidate 5]]-Audit[[#This Row],[Candidate 5]], "")</f>
        <v/>
      </c>
      <c r="AJ634" s="18" t="str">
        <f>IF(NOT(ISBLANK(Audit[[#This Row],[Audit Candidate 6]])), Audit[[#This Row],[Audit Candidate 6]]-Audit[[#This Row],[Candidate 6]], "")</f>
        <v/>
      </c>
      <c r="AK634" s="18" t="str">
        <f>IF(NOT(ISBLANK(Audit[[#This Row],[Audit Candidate 7]])), Audit[[#This Row],[Audit Candidate 7]]-Audit[[#This Row],[Candidate 7]], "")</f>
        <v/>
      </c>
      <c r="AL634" s="18" t="str">
        <f>IF(NOT(ISBLANK(Audit[[#This Row],[Audit Candidate 8]])), Audit[[#This Row],[Audit Candidate 8]]-Audit[[#This Row],[Candidate 8]], "")</f>
        <v/>
      </c>
      <c r="AM634" s="18" t="str">
        <f>IF(NOT(ISBLANK(Audit[[#This Row],[Audit Candidate 9]])), Audit[[#This Row],[Audit Candidate 9]]-Audit[[#This Row],[Candidate 9]], "")</f>
        <v/>
      </c>
      <c r="AN634" s="18" t="str">
        <f>IF(NOT(ISBLANK(Audit[[#This Row],[Audit Candidate 10]])), Audit[[#This Row],[Audit Candidate 10]]-Audit[[#This Row],[Candidate 10]], "")</f>
        <v/>
      </c>
      <c r="AO634" s="18" t="str">
        <f>IF(NOT(ISBLANK(Audit[[#This Row],[Audit Candidate 11]])), Audit[[#This Row],[Audit Candidate 11]]-Audit[[#This Row],[Candidate 11]], "")</f>
        <v/>
      </c>
      <c r="AP634" s="18" t="str">
        <f>IF(NOT(ISBLANK(Audit[[#This Row],[Audit Candidate 12]])), Audit[[#This Row],[Audit Candidate 12]]-Audit[[#This Row],[Candidate 12]], "")</f>
        <v/>
      </c>
      <c r="AQ634" s="18">
        <f>SUMIF(Audit[[#This Row],[Difference Winner]:[Difference Candidate 12]], "&gt;0")</f>
        <v>0</v>
      </c>
      <c r="AR634" s="18">
        <f>SUM(Audit[[#This Row],[Difference Winner]:[Difference Candidate 12]])</f>
        <v>0</v>
      </c>
      <c r="AS634" s="18">
        <f>IF(Audit[[#This Row],[Times p Drawn - With Replacement]]&gt;0, IF(Audit[[#This Row],[Canceled Differences]]&lt;0, Audit[[#This Row],[Max Differences]]+ABS(Audit[[#This Row],[Canceled Differences]]), Audit[[#This Row],[Max Differences]]), 0)</f>
        <v>0</v>
      </c>
      <c r="AT634" s="18">
        <f>'Sampling Data'!AB634</f>
        <v>0</v>
      </c>
      <c r="AU634" s="18">
        <f>IF(
      SUM(Audit[[#This Row],[Audit Losing Candidate]:[Audit Candidate 12]])
      &lt;&gt;0,
      (Audit[[#This Row],[Winning Candidate]]-Audit[[#This Row],[Losing Candidate]]-(Audit[[#This Row],[Audit Winning Candidate]]-Audit[[#This Row],[Audit Losing Candidate]]))/(Audit[[#Totals],[Winning Candidate]]-Audit[[#Totals],[Losing Candidate]]),
      0
)</f>
        <v>0</v>
      </c>
      <c r="AV6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8">
        <f>IF(Audit[[#This Row],[Max Relative Error (ep)]] = 0, 0, Audit[[#This Row],[Max Relative Error (ep)]]/Audit[[#This Row],[Error Bound (up) - Max. possible relative overstatement]])</f>
        <v>0</v>
      </c>
      <c r="BH6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4" s="18">
        <f t="shared" si="10"/>
        <v>1</v>
      </c>
      <c r="BJ634" s="18">
        <f>PRODUCT($BI$5:BI634)</f>
        <v>0.32656797278968008</v>
      </c>
      <c r="BK634" s="20">
        <f>1 - Audit[[#This Row],[K-M P Value]]</f>
        <v>0.67343202721031992</v>
      </c>
      <c r="BL634" s="18" t="str">
        <f>IF(Audit[[#This Row],[K-M P Value]]&gt;1-'General Info'!$B$12,"Continue", "Stop")</f>
        <v>Continue</v>
      </c>
      <c r="BM634" s="23" t="b">
        <f>IF(Audit[[#This Row],[Status - Continue or stop audit]] = "Continue", TRUE, IF(BL633 = "Continue", TRUE, FALSE))</f>
        <v>1</v>
      </c>
      <c r="BN634" s="23"/>
    </row>
    <row r="635" spans="1:66" ht="15" hidden="1" customHeight="1" x14ac:dyDescent="0.35">
      <c r="A635" s="18" t="str">
        <f>'Sampling Data'!AI635</f>
        <v/>
      </c>
      <c r="B635" s="18" t="str">
        <f>'Sampling Data'!A635</f>
        <v>0902 CIN 9-B   (ED)</v>
      </c>
      <c r="C635" s="18">
        <f>'Sampling Data'!B635</f>
        <v>33</v>
      </c>
      <c r="D635" s="18">
        <f>'Sampling Data'!C635</f>
        <v>7</v>
      </c>
      <c r="E635" s="19">
        <f>'Sampling Data'!D635</f>
        <v>0</v>
      </c>
      <c r="F635" s="19">
        <f>'Sampling Data'!E635</f>
        <v>0</v>
      </c>
      <c r="G635" s="19">
        <f>'Sampling Data'!F635</f>
        <v>0</v>
      </c>
      <c r="H635" s="19">
        <f>'Sampling Data'!G635</f>
        <v>0</v>
      </c>
      <c r="I635" s="19">
        <f>'Sampling Data'!H635</f>
        <v>0</v>
      </c>
      <c r="J635" s="19">
        <f>'Sampling Data'!I635</f>
        <v>0</v>
      </c>
      <c r="K635" s="19">
        <f>'Sampling Data'!J635</f>
        <v>0</v>
      </c>
      <c r="L635" s="19">
        <f>'Sampling Data'!K635</f>
        <v>0</v>
      </c>
      <c r="M635" s="19">
        <f>'Sampling Data'!L635</f>
        <v>0</v>
      </c>
      <c r="N635" s="19">
        <f>'Sampling Data'!M635</f>
        <v>0</v>
      </c>
      <c r="O635" s="18">
        <f>'Sampling Data'!N635</f>
        <v>0</v>
      </c>
      <c r="P635" s="18">
        <f>'Sampling Data'!O635</f>
        <v>0</v>
      </c>
      <c r="Q635" s="18">
        <f>'Sampling Data'!P635</f>
        <v>40</v>
      </c>
      <c r="R635" s="18">
        <f>'Sampling Data'!AJ635</f>
        <v>0</v>
      </c>
      <c r="S635" s="112"/>
      <c r="T635" s="112"/>
      <c r="U635" s="113"/>
      <c r="V635" s="113"/>
      <c r="W635" s="112"/>
      <c r="X635" s="112"/>
      <c r="Y635" s="112"/>
      <c r="Z635" s="112"/>
      <c r="AA635" s="15"/>
      <c r="AB635" s="15"/>
      <c r="AC635" s="15"/>
      <c r="AD635" s="15"/>
      <c r="AE635" s="114" t="str">
        <f>IF(NOT(ISBLANK(Audit[[#This Row],[Audit Winning Candidate]])), Audit[[#This Row],[Audit Winning Candidate]]-Audit[[#This Row],[Winning Candidate]], "")</f>
        <v/>
      </c>
      <c r="AF635" s="18" t="str">
        <f>IF(NOT(ISBLANK(Audit[[#This Row],[Audit Losing Candidate]])), Audit[[#This Row],[Audit Losing Candidate]]-Audit[[#This Row],[Losing Candidate]], "")</f>
        <v/>
      </c>
      <c r="AG635" s="18" t="str">
        <f>IF(NOT(ISBLANK(Audit[[#This Row],[Audit Candidate 3]])), Audit[[#This Row],[Audit Candidate 3]]-Audit[[#This Row],[Candidate 3]], "")</f>
        <v/>
      </c>
      <c r="AH635" s="18" t="str">
        <f>IF(NOT(ISBLANK(Audit[[#This Row],[Audit Candidate 4]])),Audit[[#This Row],[Audit Candidate 4]]-Audit[[#This Row],[Candidate 4]], "")</f>
        <v/>
      </c>
      <c r="AI635" s="18" t="str">
        <f>IF(NOT(ISBLANK(Audit[[#This Row],[Audit Candidate 5]])), Audit[[#This Row],[Audit Candidate 5]]-Audit[[#This Row],[Candidate 5]], "")</f>
        <v/>
      </c>
      <c r="AJ635" s="18" t="str">
        <f>IF(NOT(ISBLANK(Audit[[#This Row],[Audit Candidate 6]])), Audit[[#This Row],[Audit Candidate 6]]-Audit[[#This Row],[Candidate 6]], "")</f>
        <v/>
      </c>
      <c r="AK635" s="18" t="str">
        <f>IF(NOT(ISBLANK(Audit[[#This Row],[Audit Candidate 7]])), Audit[[#This Row],[Audit Candidate 7]]-Audit[[#This Row],[Candidate 7]], "")</f>
        <v/>
      </c>
      <c r="AL635" s="18" t="str">
        <f>IF(NOT(ISBLANK(Audit[[#This Row],[Audit Candidate 8]])), Audit[[#This Row],[Audit Candidate 8]]-Audit[[#This Row],[Candidate 8]], "")</f>
        <v/>
      </c>
      <c r="AM635" s="18" t="str">
        <f>IF(NOT(ISBLANK(Audit[[#This Row],[Audit Candidate 9]])), Audit[[#This Row],[Audit Candidate 9]]-Audit[[#This Row],[Candidate 9]], "")</f>
        <v/>
      </c>
      <c r="AN635" s="18" t="str">
        <f>IF(NOT(ISBLANK(Audit[[#This Row],[Audit Candidate 10]])), Audit[[#This Row],[Audit Candidate 10]]-Audit[[#This Row],[Candidate 10]], "")</f>
        <v/>
      </c>
      <c r="AO635" s="18" t="str">
        <f>IF(NOT(ISBLANK(Audit[[#This Row],[Audit Candidate 11]])), Audit[[#This Row],[Audit Candidate 11]]-Audit[[#This Row],[Candidate 11]], "")</f>
        <v/>
      </c>
      <c r="AP635" s="18" t="str">
        <f>IF(NOT(ISBLANK(Audit[[#This Row],[Audit Candidate 12]])), Audit[[#This Row],[Audit Candidate 12]]-Audit[[#This Row],[Candidate 12]], "")</f>
        <v/>
      </c>
      <c r="AQ635" s="18">
        <f>SUMIF(Audit[[#This Row],[Difference Winner]:[Difference Candidate 12]], "&gt;0")</f>
        <v>0</v>
      </c>
      <c r="AR635" s="18">
        <f>SUM(Audit[[#This Row],[Difference Winner]:[Difference Candidate 12]])</f>
        <v>0</v>
      </c>
      <c r="AS635" s="18">
        <f>IF(Audit[[#This Row],[Times p Drawn - With Replacement]]&gt;0, IF(Audit[[#This Row],[Canceled Differences]]&lt;0, Audit[[#This Row],[Max Differences]]+ABS(Audit[[#This Row],[Canceled Differences]]), Audit[[#This Row],[Max Differences]]), 0)</f>
        <v>0</v>
      </c>
      <c r="AT635" s="18">
        <f>'Sampling Data'!AB635</f>
        <v>2.0730596475798599E-3</v>
      </c>
      <c r="AU635" s="18">
        <f>IF(
      SUM(Audit[[#This Row],[Audit Losing Candidate]:[Audit Candidate 12]])
      &lt;&gt;0,
      (Audit[[#This Row],[Winning Candidate]]-Audit[[#This Row],[Losing Candidate]]-(Audit[[#This Row],[Audit Winning Candidate]]-Audit[[#This Row],[Audit Losing Candidate]]))/(Audit[[#Totals],[Winning Candidate]]-Audit[[#Totals],[Losing Candidate]]),
      0
)</f>
        <v>0</v>
      </c>
      <c r="AV6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8">
        <f>IF(Audit[[#This Row],[Max Relative Error (ep)]] = 0, 0, Audit[[#This Row],[Max Relative Error (ep)]]/Audit[[#This Row],[Error Bound (up) - Max. possible relative overstatement]])</f>
        <v>0</v>
      </c>
      <c r="BH6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5" s="18">
        <f t="shared" si="10"/>
        <v>1</v>
      </c>
      <c r="BJ635" s="18">
        <f>PRODUCT($BI$5:BI635)</f>
        <v>0.32656797278968008</v>
      </c>
      <c r="BK635" s="20">
        <f>1 - Audit[[#This Row],[K-M P Value]]</f>
        <v>0.67343202721031992</v>
      </c>
      <c r="BL635" s="18" t="str">
        <f>IF(Audit[[#This Row],[K-M P Value]]&gt;1-'General Info'!$B$12,"Continue", "Stop")</f>
        <v>Continue</v>
      </c>
      <c r="BM635" s="23" t="b">
        <f>IF(Audit[[#This Row],[Status - Continue or stop audit]] = "Continue", TRUE, IF(BL634 = "Continue", TRUE, FALSE))</f>
        <v>1</v>
      </c>
      <c r="BN635" s="23"/>
    </row>
    <row r="636" spans="1:66" ht="15" hidden="1" customHeight="1" x14ac:dyDescent="0.35">
      <c r="A636" s="18" t="str">
        <f>'Sampling Data'!AI636</f>
        <v/>
      </c>
      <c r="B636" s="18" t="str">
        <f>'Sampling Data'!A636</f>
        <v>0903 CIN 9-C   (ED)</v>
      </c>
      <c r="C636" s="18">
        <f>'Sampling Data'!B636</f>
        <v>12</v>
      </c>
      <c r="D636" s="18">
        <f>'Sampling Data'!C636</f>
        <v>0</v>
      </c>
      <c r="E636" s="19">
        <f>'Sampling Data'!D636</f>
        <v>0</v>
      </c>
      <c r="F636" s="19">
        <f>'Sampling Data'!E636</f>
        <v>0</v>
      </c>
      <c r="G636" s="19">
        <f>'Sampling Data'!F636</f>
        <v>0</v>
      </c>
      <c r="H636" s="19">
        <f>'Sampling Data'!G636</f>
        <v>0</v>
      </c>
      <c r="I636" s="19">
        <f>'Sampling Data'!H636</f>
        <v>0</v>
      </c>
      <c r="J636" s="19">
        <f>'Sampling Data'!I636</f>
        <v>0</v>
      </c>
      <c r="K636" s="19">
        <f>'Sampling Data'!J636</f>
        <v>0</v>
      </c>
      <c r="L636" s="19">
        <f>'Sampling Data'!K636</f>
        <v>0</v>
      </c>
      <c r="M636" s="19">
        <f>'Sampling Data'!L636</f>
        <v>0</v>
      </c>
      <c r="N636" s="19">
        <f>'Sampling Data'!M636</f>
        <v>0</v>
      </c>
      <c r="O636" s="18">
        <f>'Sampling Data'!N636</f>
        <v>0</v>
      </c>
      <c r="P636" s="18">
        <f>'Sampling Data'!O636</f>
        <v>0</v>
      </c>
      <c r="Q636" s="18">
        <f>'Sampling Data'!P636</f>
        <v>12</v>
      </c>
      <c r="R636" s="18">
        <f>'Sampling Data'!AJ636</f>
        <v>0</v>
      </c>
      <c r="S636" s="112"/>
      <c r="T636" s="112"/>
      <c r="U636" s="113"/>
      <c r="V636" s="113"/>
      <c r="W636" s="112"/>
      <c r="X636" s="112"/>
      <c r="Y636" s="112"/>
      <c r="Z636" s="112"/>
      <c r="AA636" s="15"/>
      <c r="AB636" s="15"/>
      <c r="AC636" s="15"/>
      <c r="AD636" s="15"/>
      <c r="AE636" s="114" t="str">
        <f>IF(NOT(ISBLANK(Audit[[#This Row],[Audit Winning Candidate]])), Audit[[#This Row],[Audit Winning Candidate]]-Audit[[#This Row],[Winning Candidate]], "")</f>
        <v/>
      </c>
      <c r="AF636" s="18" t="str">
        <f>IF(NOT(ISBLANK(Audit[[#This Row],[Audit Losing Candidate]])), Audit[[#This Row],[Audit Losing Candidate]]-Audit[[#This Row],[Losing Candidate]], "")</f>
        <v/>
      </c>
      <c r="AG636" s="18" t="str">
        <f>IF(NOT(ISBLANK(Audit[[#This Row],[Audit Candidate 3]])), Audit[[#This Row],[Audit Candidate 3]]-Audit[[#This Row],[Candidate 3]], "")</f>
        <v/>
      </c>
      <c r="AH636" s="18" t="str">
        <f>IF(NOT(ISBLANK(Audit[[#This Row],[Audit Candidate 4]])),Audit[[#This Row],[Audit Candidate 4]]-Audit[[#This Row],[Candidate 4]], "")</f>
        <v/>
      </c>
      <c r="AI636" s="18" t="str">
        <f>IF(NOT(ISBLANK(Audit[[#This Row],[Audit Candidate 5]])), Audit[[#This Row],[Audit Candidate 5]]-Audit[[#This Row],[Candidate 5]], "")</f>
        <v/>
      </c>
      <c r="AJ636" s="18" t="str">
        <f>IF(NOT(ISBLANK(Audit[[#This Row],[Audit Candidate 6]])), Audit[[#This Row],[Audit Candidate 6]]-Audit[[#This Row],[Candidate 6]], "")</f>
        <v/>
      </c>
      <c r="AK636" s="18" t="str">
        <f>IF(NOT(ISBLANK(Audit[[#This Row],[Audit Candidate 7]])), Audit[[#This Row],[Audit Candidate 7]]-Audit[[#This Row],[Candidate 7]], "")</f>
        <v/>
      </c>
      <c r="AL636" s="18" t="str">
        <f>IF(NOT(ISBLANK(Audit[[#This Row],[Audit Candidate 8]])), Audit[[#This Row],[Audit Candidate 8]]-Audit[[#This Row],[Candidate 8]], "")</f>
        <v/>
      </c>
      <c r="AM636" s="18" t="str">
        <f>IF(NOT(ISBLANK(Audit[[#This Row],[Audit Candidate 9]])), Audit[[#This Row],[Audit Candidate 9]]-Audit[[#This Row],[Candidate 9]], "")</f>
        <v/>
      </c>
      <c r="AN636" s="18" t="str">
        <f>IF(NOT(ISBLANK(Audit[[#This Row],[Audit Candidate 10]])), Audit[[#This Row],[Audit Candidate 10]]-Audit[[#This Row],[Candidate 10]], "")</f>
        <v/>
      </c>
      <c r="AO636" s="18" t="str">
        <f>IF(NOT(ISBLANK(Audit[[#This Row],[Audit Candidate 11]])), Audit[[#This Row],[Audit Candidate 11]]-Audit[[#This Row],[Candidate 11]], "")</f>
        <v/>
      </c>
      <c r="AP636" s="18" t="str">
        <f>IF(NOT(ISBLANK(Audit[[#This Row],[Audit Candidate 12]])), Audit[[#This Row],[Audit Candidate 12]]-Audit[[#This Row],[Candidate 12]], "")</f>
        <v/>
      </c>
      <c r="AQ636" s="18">
        <f>SUMIF(Audit[[#This Row],[Difference Winner]:[Difference Candidate 12]], "&gt;0")</f>
        <v>0</v>
      </c>
      <c r="AR636" s="18">
        <f>SUM(Audit[[#This Row],[Difference Winner]:[Difference Candidate 12]])</f>
        <v>0</v>
      </c>
      <c r="AS636" s="18">
        <f>IF(Audit[[#This Row],[Times p Drawn - With Replacement]]&gt;0, IF(Audit[[#This Row],[Canceled Differences]]&lt;0, Audit[[#This Row],[Max Differences]]+ABS(Audit[[#This Row],[Canceled Differences]]), Audit[[#This Row],[Max Differences]]), 0)</f>
        <v>0</v>
      </c>
      <c r="AT636" s="18">
        <f>'Sampling Data'!AB636</f>
        <v>7.5383987184722177E-4</v>
      </c>
      <c r="AU636" s="18">
        <f>IF(
      SUM(Audit[[#This Row],[Audit Losing Candidate]:[Audit Candidate 12]])
      &lt;&gt;0,
      (Audit[[#This Row],[Winning Candidate]]-Audit[[#This Row],[Losing Candidate]]-(Audit[[#This Row],[Audit Winning Candidate]]-Audit[[#This Row],[Audit Losing Candidate]]))/(Audit[[#Totals],[Winning Candidate]]-Audit[[#Totals],[Losing Candidate]]),
      0
)</f>
        <v>0</v>
      </c>
      <c r="AV6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8">
        <f>IF(Audit[[#This Row],[Max Relative Error (ep)]] = 0, 0, Audit[[#This Row],[Max Relative Error (ep)]]/Audit[[#This Row],[Error Bound (up) - Max. possible relative overstatement]])</f>
        <v>0</v>
      </c>
      <c r="BH6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6" s="18">
        <f t="shared" si="10"/>
        <v>1</v>
      </c>
      <c r="BJ636" s="18">
        <f>PRODUCT($BI$5:BI636)</f>
        <v>0.32656797278968008</v>
      </c>
      <c r="BK636" s="20">
        <f>1 - Audit[[#This Row],[K-M P Value]]</f>
        <v>0.67343202721031992</v>
      </c>
      <c r="BL636" s="18" t="str">
        <f>IF(Audit[[#This Row],[K-M P Value]]&gt;1-'General Info'!$B$12,"Continue", "Stop")</f>
        <v>Continue</v>
      </c>
      <c r="BM636" s="23" t="b">
        <f>IF(Audit[[#This Row],[Status - Continue or stop audit]] = "Continue", TRUE, IF(BL635 = "Continue", TRUE, FALSE))</f>
        <v>1</v>
      </c>
      <c r="BN636" s="23"/>
    </row>
    <row r="637" spans="1:66" ht="15" hidden="1" customHeight="1" x14ac:dyDescent="0.35">
      <c r="A637" s="18" t="str">
        <f>'Sampling Data'!AI637</f>
        <v/>
      </c>
      <c r="B637" s="18" t="str">
        <f>'Sampling Data'!A637</f>
        <v>0904 CIN 9-D   (ED)</v>
      </c>
      <c r="C637" s="18">
        <f>'Sampling Data'!B637</f>
        <v>2</v>
      </c>
      <c r="D637" s="18">
        <f>'Sampling Data'!C637</f>
        <v>0</v>
      </c>
      <c r="E637" s="19">
        <f>'Sampling Data'!D637</f>
        <v>0</v>
      </c>
      <c r="F637" s="19">
        <f>'Sampling Data'!E637</f>
        <v>0</v>
      </c>
      <c r="G637" s="19">
        <f>'Sampling Data'!F637</f>
        <v>0</v>
      </c>
      <c r="H637" s="19">
        <f>'Sampling Data'!G637</f>
        <v>0</v>
      </c>
      <c r="I637" s="19">
        <f>'Sampling Data'!H637</f>
        <v>0</v>
      </c>
      <c r="J637" s="19">
        <f>'Sampling Data'!I637</f>
        <v>0</v>
      </c>
      <c r="K637" s="19">
        <f>'Sampling Data'!J637</f>
        <v>0</v>
      </c>
      <c r="L637" s="19">
        <f>'Sampling Data'!K637</f>
        <v>0</v>
      </c>
      <c r="M637" s="19">
        <f>'Sampling Data'!L637</f>
        <v>0</v>
      </c>
      <c r="N637" s="19">
        <f>'Sampling Data'!M637</f>
        <v>0</v>
      </c>
      <c r="O637" s="18">
        <f>'Sampling Data'!N637</f>
        <v>0</v>
      </c>
      <c r="P637" s="18">
        <f>'Sampling Data'!O637</f>
        <v>0</v>
      </c>
      <c r="Q637" s="18">
        <f>'Sampling Data'!P637</f>
        <v>2</v>
      </c>
      <c r="R637" s="18">
        <f>'Sampling Data'!AJ637</f>
        <v>0</v>
      </c>
      <c r="S637" s="112"/>
      <c r="T637" s="112"/>
      <c r="U637" s="113"/>
      <c r="V637" s="113"/>
      <c r="W637" s="112"/>
      <c r="X637" s="112"/>
      <c r="Y637" s="112"/>
      <c r="Z637" s="112"/>
      <c r="AA637" s="15"/>
      <c r="AB637" s="15"/>
      <c r="AC637" s="15"/>
      <c r="AD637" s="15"/>
      <c r="AE637" s="114" t="str">
        <f>IF(NOT(ISBLANK(Audit[[#This Row],[Audit Winning Candidate]])), Audit[[#This Row],[Audit Winning Candidate]]-Audit[[#This Row],[Winning Candidate]], "")</f>
        <v/>
      </c>
      <c r="AF637" s="18" t="str">
        <f>IF(NOT(ISBLANK(Audit[[#This Row],[Audit Losing Candidate]])), Audit[[#This Row],[Audit Losing Candidate]]-Audit[[#This Row],[Losing Candidate]], "")</f>
        <v/>
      </c>
      <c r="AG637" s="18" t="str">
        <f>IF(NOT(ISBLANK(Audit[[#This Row],[Audit Candidate 3]])), Audit[[#This Row],[Audit Candidate 3]]-Audit[[#This Row],[Candidate 3]], "")</f>
        <v/>
      </c>
      <c r="AH637" s="18" t="str">
        <f>IF(NOT(ISBLANK(Audit[[#This Row],[Audit Candidate 4]])),Audit[[#This Row],[Audit Candidate 4]]-Audit[[#This Row],[Candidate 4]], "")</f>
        <v/>
      </c>
      <c r="AI637" s="18" t="str">
        <f>IF(NOT(ISBLANK(Audit[[#This Row],[Audit Candidate 5]])), Audit[[#This Row],[Audit Candidate 5]]-Audit[[#This Row],[Candidate 5]], "")</f>
        <v/>
      </c>
      <c r="AJ637" s="18" t="str">
        <f>IF(NOT(ISBLANK(Audit[[#This Row],[Audit Candidate 6]])), Audit[[#This Row],[Audit Candidate 6]]-Audit[[#This Row],[Candidate 6]], "")</f>
        <v/>
      </c>
      <c r="AK637" s="18" t="str">
        <f>IF(NOT(ISBLANK(Audit[[#This Row],[Audit Candidate 7]])), Audit[[#This Row],[Audit Candidate 7]]-Audit[[#This Row],[Candidate 7]], "")</f>
        <v/>
      </c>
      <c r="AL637" s="18" t="str">
        <f>IF(NOT(ISBLANK(Audit[[#This Row],[Audit Candidate 8]])), Audit[[#This Row],[Audit Candidate 8]]-Audit[[#This Row],[Candidate 8]], "")</f>
        <v/>
      </c>
      <c r="AM637" s="18" t="str">
        <f>IF(NOT(ISBLANK(Audit[[#This Row],[Audit Candidate 9]])), Audit[[#This Row],[Audit Candidate 9]]-Audit[[#This Row],[Candidate 9]], "")</f>
        <v/>
      </c>
      <c r="AN637" s="18" t="str">
        <f>IF(NOT(ISBLANK(Audit[[#This Row],[Audit Candidate 10]])), Audit[[#This Row],[Audit Candidate 10]]-Audit[[#This Row],[Candidate 10]], "")</f>
        <v/>
      </c>
      <c r="AO637" s="18" t="str">
        <f>IF(NOT(ISBLANK(Audit[[#This Row],[Audit Candidate 11]])), Audit[[#This Row],[Audit Candidate 11]]-Audit[[#This Row],[Candidate 11]], "")</f>
        <v/>
      </c>
      <c r="AP637" s="18" t="str">
        <f>IF(NOT(ISBLANK(Audit[[#This Row],[Audit Candidate 12]])), Audit[[#This Row],[Audit Candidate 12]]-Audit[[#This Row],[Candidate 12]], "")</f>
        <v/>
      </c>
      <c r="AQ637" s="18">
        <f>SUMIF(Audit[[#This Row],[Difference Winner]:[Difference Candidate 12]], "&gt;0")</f>
        <v>0</v>
      </c>
      <c r="AR637" s="18">
        <f>SUM(Audit[[#This Row],[Difference Winner]:[Difference Candidate 12]])</f>
        <v>0</v>
      </c>
      <c r="AS637" s="18">
        <f>IF(Audit[[#This Row],[Times p Drawn - With Replacement]]&gt;0, IF(Audit[[#This Row],[Canceled Differences]]&lt;0, Audit[[#This Row],[Max Differences]]+ABS(Audit[[#This Row],[Canceled Differences]]), Audit[[#This Row],[Max Differences]]), 0)</f>
        <v>0</v>
      </c>
      <c r="AT637" s="18">
        <f>'Sampling Data'!AB637</f>
        <v>1.2563997864120362E-4</v>
      </c>
      <c r="AU637" s="18">
        <f>IF(
      SUM(Audit[[#This Row],[Audit Losing Candidate]:[Audit Candidate 12]])
      &lt;&gt;0,
      (Audit[[#This Row],[Winning Candidate]]-Audit[[#This Row],[Losing Candidate]]-(Audit[[#This Row],[Audit Winning Candidate]]-Audit[[#This Row],[Audit Losing Candidate]]))/(Audit[[#Totals],[Winning Candidate]]-Audit[[#Totals],[Losing Candidate]]),
      0
)</f>
        <v>0</v>
      </c>
      <c r="AV6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8">
        <f>IF(Audit[[#This Row],[Max Relative Error (ep)]] = 0, 0, Audit[[#This Row],[Max Relative Error (ep)]]/Audit[[#This Row],[Error Bound (up) - Max. possible relative overstatement]])</f>
        <v>0</v>
      </c>
      <c r="BH6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7" s="18">
        <f t="shared" si="10"/>
        <v>1</v>
      </c>
      <c r="BJ637" s="18">
        <f>PRODUCT($BI$5:BI637)</f>
        <v>0.32656797278968008</v>
      </c>
      <c r="BK637" s="20">
        <f>1 - Audit[[#This Row],[K-M P Value]]</f>
        <v>0.67343202721031992</v>
      </c>
      <c r="BL637" s="18" t="str">
        <f>IF(Audit[[#This Row],[K-M P Value]]&gt;1-'General Info'!$B$12,"Continue", "Stop")</f>
        <v>Continue</v>
      </c>
      <c r="BM637" s="23" t="b">
        <f>IF(Audit[[#This Row],[Status - Continue or stop audit]] = "Continue", TRUE, IF(BL636 = "Continue", TRUE, FALSE))</f>
        <v>1</v>
      </c>
      <c r="BN637" s="23"/>
    </row>
    <row r="638" spans="1:66" ht="15" hidden="1" customHeight="1" x14ac:dyDescent="0.35">
      <c r="A638" s="18" t="str">
        <f>'Sampling Data'!AI638</f>
        <v/>
      </c>
      <c r="B638" s="18" t="str">
        <f>'Sampling Data'!A638</f>
        <v>1001 CIN 10-A   (ED)</v>
      </c>
      <c r="C638" s="18">
        <f>'Sampling Data'!B638</f>
        <v>33</v>
      </c>
      <c r="D638" s="18">
        <f>'Sampling Data'!C638</f>
        <v>6</v>
      </c>
      <c r="E638" s="19">
        <f>'Sampling Data'!D638</f>
        <v>0</v>
      </c>
      <c r="F638" s="19">
        <f>'Sampling Data'!E638</f>
        <v>0</v>
      </c>
      <c r="G638" s="19">
        <f>'Sampling Data'!F638</f>
        <v>0</v>
      </c>
      <c r="H638" s="19">
        <f>'Sampling Data'!G638</f>
        <v>0</v>
      </c>
      <c r="I638" s="19">
        <f>'Sampling Data'!H638</f>
        <v>0</v>
      </c>
      <c r="J638" s="19">
        <f>'Sampling Data'!I638</f>
        <v>0</v>
      </c>
      <c r="K638" s="19">
        <f>'Sampling Data'!J638</f>
        <v>0</v>
      </c>
      <c r="L638" s="19">
        <f>'Sampling Data'!K638</f>
        <v>0</v>
      </c>
      <c r="M638" s="19">
        <f>'Sampling Data'!L638</f>
        <v>0</v>
      </c>
      <c r="N638" s="19">
        <f>'Sampling Data'!M638</f>
        <v>0</v>
      </c>
      <c r="O638" s="18">
        <f>'Sampling Data'!N638</f>
        <v>0</v>
      </c>
      <c r="P638" s="18">
        <f>'Sampling Data'!O638</f>
        <v>2</v>
      </c>
      <c r="Q638" s="18">
        <f>'Sampling Data'!P638</f>
        <v>41</v>
      </c>
      <c r="R638" s="18">
        <f>'Sampling Data'!AJ638</f>
        <v>0</v>
      </c>
      <c r="S638" s="112"/>
      <c r="T638" s="112"/>
      <c r="U638" s="113"/>
      <c r="V638" s="113"/>
      <c r="W638" s="112"/>
      <c r="X638" s="112"/>
      <c r="Y638" s="112"/>
      <c r="Z638" s="112"/>
      <c r="AA638" s="15"/>
      <c r="AB638" s="15"/>
      <c r="AC638" s="15"/>
      <c r="AD638" s="15"/>
      <c r="AE638" s="114" t="str">
        <f>IF(NOT(ISBLANK(Audit[[#This Row],[Audit Winning Candidate]])), Audit[[#This Row],[Audit Winning Candidate]]-Audit[[#This Row],[Winning Candidate]], "")</f>
        <v/>
      </c>
      <c r="AF638" s="18" t="str">
        <f>IF(NOT(ISBLANK(Audit[[#This Row],[Audit Losing Candidate]])), Audit[[#This Row],[Audit Losing Candidate]]-Audit[[#This Row],[Losing Candidate]], "")</f>
        <v/>
      </c>
      <c r="AG638" s="18" t="str">
        <f>IF(NOT(ISBLANK(Audit[[#This Row],[Audit Candidate 3]])), Audit[[#This Row],[Audit Candidate 3]]-Audit[[#This Row],[Candidate 3]], "")</f>
        <v/>
      </c>
      <c r="AH638" s="18" t="str">
        <f>IF(NOT(ISBLANK(Audit[[#This Row],[Audit Candidate 4]])),Audit[[#This Row],[Audit Candidate 4]]-Audit[[#This Row],[Candidate 4]], "")</f>
        <v/>
      </c>
      <c r="AI638" s="18" t="str">
        <f>IF(NOT(ISBLANK(Audit[[#This Row],[Audit Candidate 5]])), Audit[[#This Row],[Audit Candidate 5]]-Audit[[#This Row],[Candidate 5]], "")</f>
        <v/>
      </c>
      <c r="AJ638" s="18" t="str">
        <f>IF(NOT(ISBLANK(Audit[[#This Row],[Audit Candidate 6]])), Audit[[#This Row],[Audit Candidate 6]]-Audit[[#This Row],[Candidate 6]], "")</f>
        <v/>
      </c>
      <c r="AK638" s="18" t="str">
        <f>IF(NOT(ISBLANK(Audit[[#This Row],[Audit Candidate 7]])), Audit[[#This Row],[Audit Candidate 7]]-Audit[[#This Row],[Candidate 7]], "")</f>
        <v/>
      </c>
      <c r="AL638" s="18" t="str">
        <f>IF(NOT(ISBLANK(Audit[[#This Row],[Audit Candidate 8]])), Audit[[#This Row],[Audit Candidate 8]]-Audit[[#This Row],[Candidate 8]], "")</f>
        <v/>
      </c>
      <c r="AM638" s="18" t="str">
        <f>IF(NOT(ISBLANK(Audit[[#This Row],[Audit Candidate 9]])), Audit[[#This Row],[Audit Candidate 9]]-Audit[[#This Row],[Candidate 9]], "")</f>
        <v/>
      </c>
      <c r="AN638" s="18" t="str">
        <f>IF(NOT(ISBLANK(Audit[[#This Row],[Audit Candidate 10]])), Audit[[#This Row],[Audit Candidate 10]]-Audit[[#This Row],[Candidate 10]], "")</f>
        <v/>
      </c>
      <c r="AO638" s="18" t="str">
        <f>IF(NOT(ISBLANK(Audit[[#This Row],[Audit Candidate 11]])), Audit[[#This Row],[Audit Candidate 11]]-Audit[[#This Row],[Candidate 11]], "")</f>
        <v/>
      </c>
      <c r="AP638" s="18" t="str">
        <f>IF(NOT(ISBLANK(Audit[[#This Row],[Audit Candidate 12]])), Audit[[#This Row],[Audit Candidate 12]]-Audit[[#This Row],[Candidate 12]], "")</f>
        <v/>
      </c>
      <c r="AQ638" s="18">
        <f>SUMIF(Audit[[#This Row],[Difference Winner]:[Difference Candidate 12]], "&gt;0")</f>
        <v>0</v>
      </c>
      <c r="AR638" s="18">
        <f>SUM(Audit[[#This Row],[Difference Winner]:[Difference Candidate 12]])</f>
        <v>0</v>
      </c>
      <c r="AS638" s="18">
        <f>IF(Audit[[#This Row],[Times p Drawn - With Replacement]]&gt;0, IF(Audit[[#This Row],[Canceled Differences]]&lt;0, Audit[[#This Row],[Max Differences]]+ABS(Audit[[#This Row],[Canceled Differences]]), Audit[[#This Row],[Max Differences]]), 0)</f>
        <v>0</v>
      </c>
      <c r="AT638" s="18">
        <f>'Sampling Data'!AB638</f>
        <v>2.1358796369004619E-3</v>
      </c>
      <c r="AU638" s="18">
        <f>IF(
      SUM(Audit[[#This Row],[Audit Losing Candidate]:[Audit Candidate 12]])
      &lt;&gt;0,
      (Audit[[#This Row],[Winning Candidate]]-Audit[[#This Row],[Losing Candidate]]-(Audit[[#This Row],[Audit Winning Candidate]]-Audit[[#This Row],[Audit Losing Candidate]]))/(Audit[[#Totals],[Winning Candidate]]-Audit[[#Totals],[Losing Candidate]]),
      0
)</f>
        <v>0</v>
      </c>
      <c r="AV6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8">
        <f>IF(Audit[[#This Row],[Max Relative Error (ep)]] = 0, 0, Audit[[#This Row],[Max Relative Error (ep)]]/Audit[[#This Row],[Error Bound (up) - Max. possible relative overstatement]])</f>
        <v>0</v>
      </c>
      <c r="BH6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8" s="18">
        <f t="shared" si="10"/>
        <v>1</v>
      </c>
      <c r="BJ638" s="18">
        <f>PRODUCT($BI$5:BI638)</f>
        <v>0.32656797278968008</v>
      </c>
      <c r="BK638" s="20">
        <f>1 - Audit[[#This Row],[K-M P Value]]</f>
        <v>0.67343202721031992</v>
      </c>
      <c r="BL638" s="18" t="str">
        <f>IF(Audit[[#This Row],[K-M P Value]]&gt;1-'General Info'!$B$12,"Continue", "Stop")</f>
        <v>Continue</v>
      </c>
      <c r="BM638" s="23" t="b">
        <f>IF(Audit[[#This Row],[Status - Continue or stop audit]] = "Continue", TRUE, IF(BL637 = "Continue", TRUE, FALSE))</f>
        <v>1</v>
      </c>
      <c r="BN638" s="23"/>
    </row>
    <row r="639" spans="1:66" ht="15" hidden="1" customHeight="1" x14ac:dyDescent="0.35">
      <c r="A639" s="18" t="str">
        <f>'Sampling Data'!AI639</f>
        <v/>
      </c>
      <c r="B639" s="18" t="str">
        <f>'Sampling Data'!A639</f>
        <v>1002 CIN 10-B   (ED)</v>
      </c>
      <c r="C639" s="18">
        <f>'Sampling Data'!B639</f>
        <v>3</v>
      </c>
      <c r="D639" s="18">
        <f>'Sampling Data'!C639</f>
        <v>1</v>
      </c>
      <c r="E639" s="19">
        <f>'Sampling Data'!D639</f>
        <v>0</v>
      </c>
      <c r="F639" s="19">
        <f>'Sampling Data'!E639</f>
        <v>0</v>
      </c>
      <c r="G639" s="19">
        <f>'Sampling Data'!F639</f>
        <v>0</v>
      </c>
      <c r="H639" s="19">
        <f>'Sampling Data'!G639</f>
        <v>0</v>
      </c>
      <c r="I639" s="19">
        <f>'Sampling Data'!H639</f>
        <v>0</v>
      </c>
      <c r="J639" s="19">
        <f>'Sampling Data'!I639</f>
        <v>0</v>
      </c>
      <c r="K639" s="19">
        <f>'Sampling Data'!J639</f>
        <v>0</v>
      </c>
      <c r="L639" s="19">
        <f>'Sampling Data'!K639</f>
        <v>0</v>
      </c>
      <c r="M639" s="19">
        <f>'Sampling Data'!L639</f>
        <v>0</v>
      </c>
      <c r="N639" s="19">
        <f>'Sampling Data'!M639</f>
        <v>0</v>
      </c>
      <c r="O639" s="18">
        <f>'Sampling Data'!N639</f>
        <v>0</v>
      </c>
      <c r="P639" s="18">
        <f>'Sampling Data'!O639</f>
        <v>0</v>
      </c>
      <c r="Q639" s="18">
        <f>'Sampling Data'!P639</f>
        <v>4</v>
      </c>
      <c r="R639" s="18">
        <f>'Sampling Data'!AJ639</f>
        <v>0</v>
      </c>
      <c r="S639" s="112"/>
      <c r="T639" s="112"/>
      <c r="U639" s="113"/>
      <c r="V639" s="113"/>
      <c r="W639" s="112"/>
      <c r="X639" s="112"/>
      <c r="Y639" s="112"/>
      <c r="Z639" s="112"/>
      <c r="AA639" s="15"/>
      <c r="AB639" s="15"/>
      <c r="AC639" s="15"/>
      <c r="AD639" s="15"/>
      <c r="AE639" s="114" t="str">
        <f>IF(NOT(ISBLANK(Audit[[#This Row],[Audit Winning Candidate]])), Audit[[#This Row],[Audit Winning Candidate]]-Audit[[#This Row],[Winning Candidate]], "")</f>
        <v/>
      </c>
      <c r="AF639" s="18" t="str">
        <f>IF(NOT(ISBLANK(Audit[[#This Row],[Audit Losing Candidate]])), Audit[[#This Row],[Audit Losing Candidate]]-Audit[[#This Row],[Losing Candidate]], "")</f>
        <v/>
      </c>
      <c r="AG639" s="18" t="str">
        <f>IF(NOT(ISBLANK(Audit[[#This Row],[Audit Candidate 3]])), Audit[[#This Row],[Audit Candidate 3]]-Audit[[#This Row],[Candidate 3]], "")</f>
        <v/>
      </c>
      <c r="AH639" s="18" t="str">
        <f>IF(NOT(ISBLANK(Audit[[#This Row],[Audit Candidate 4]])),Audit[[#This Row],[Audit Candidate 4]]-Audit[[#This Row],[Candidate 4]], "")</f>
        <v/>
      </c>
      <c r="AI639" s="18" t="str">
        <f>IF(NOT(ISBLANK(Audit[[#This Row],[Audit Candidate 5]])), Audit[[#This Row],[Audit Candidate 5]]-Audit[[#This Row],[Candidate 5]], "")</f>
        <v/>
      </c>
      <c r="AJ639" s="18" t="str">
        <f>IF(NOT(ISBLANK(Audit[[#This Row],[Audit Candidate 6]])), Audit[[#This Row],[Audit Candidate 6]]-Audit[[#This Row],[Candidate 6]], "")</f>
        <v/>
      </c>
      <c r="AK639" s="18" t="str">
        <f>IF(NOT(ISBLANK(Audit[[#This Row],[Audit Candidate 7]])), Audit[[#This Row],[Audit Candidate 7]]-Audit[[#This Row],[Candidate 7]], "")</f>
        <v/>
      </c>
      <c r="AL639" s="18" t="str">
        <f>IF(NOT(ISBLANK(Audit[[#This Row],[Audit Candidate 8]])), Audit[[#This Row],[Audit Candidate 8]]-Audit[[#This Row],[Candidate 8]], "")</f>
        <v/>
      </c>
      <c r="AM639" s="18" t="str">
        <f>IF(NOT(ISBLANK(Audit[[#This Row],[Audit Candidate 9]])), Audit[[#This Row],[Audit Candidate 9]]-Audit[[#This Row],[Candidate 9]], "")</f>
        <v/>
      </c>
      <c r="AN639" s="18" t="str">
        <f>IF(NOT(ISBLANK(Audit[[#This Row],[Audit Candidate 10]])), Audit[[#This Row],[Audit Candidate 10]]-Audit[[#This Row],[Candidate 10]], "")</f>
        <v/>
      </c>
      <c r="AO639" s="18" t="str">
        <f>IF(NOT(ISBLANK(Audit[[#This Row],[Audit Candidate 11]])), Audit[[#This Row],[Audit Candidate 11]]-Audit[[#This Row],[Candidate 11]], "")</f>
        <v/>
      </c>
      <c r="AP639" s="18" t="str">
        <f>IF(NOT(ISBLANK(Audit[[#This Row],[Audit Candidate 12]])), Audit[[#This Row],[Audit Candidate 12]]-Audit[[#This Row],[Candidate 12]], "")</f>
        <v/>
      </c>
      <c r="AQ639" s="18">
        <f>SUMIF(Audit[[#This Row],[Difference Winner]:[Difference Candidate 12]], "&gt;0")</f>
        <v>0</v>
      </c>
      <c r="AR639" s="18">
        <f>SUM(Audit[[#This Row],[Difference Winner]:[Difference Candidate 12]])</f>
        <v>0</v>
      </c>
      <c r="AS639" s="18">
        <f>IF(Audit[[#This Row],[Times p Drawn - With Replacement]]&gt;0, IF(Audit[[#This Row],[Canceled Differences]]&lt;0, Audit[[#This Row],[Max Differences]]+ABS(Audit[[#This Row],[Canceled Differences]]), Audit[[#This Row],[Max Differences]]), 0)</f>
        <v>0</v>
      </c>
      <c r="AT639" s="18">
        <f>'Sampling Data'!AB639</f>
        <v>1.8845996796180544E-4</v>
      </c>
      <c r="AU639" s="18">
        <f>IF(
      SUM(Audit[[#This Row],[Audit Losing Candidate]:[Audit Candidate 12]])
      &lt;&gt;0,
      (Audit[[#This Row],[Winning Candidate]]-Audit[[#This Row],[Losing Candidate]]-(Audit[[#This Row],[Audit Winning Candidate]]-Audit[[#This Row],[Audit Losing Candidate]]))/(Audit[[#Totals],[Winning Candidate]]-Audit[[#Totals],[Losing Candidate]]),
      0
)</f>
        <v>0</v>
      </c>
      <c r="AV6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8">
        <f>IF(Audit[[#This Row],[Max Relative Error (ep)]] = 0, 0, Audit[[#This Row],[Max Relative Error (ep)]]/Audit[[#This Row],[Error Bound (up) - Max. possible relative overstatement]])</f>
        <v>0</v>
      </c>
      <c r="BH6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39" s="18">
        <f t="shared" si="10"/>
        <v>1</v>
      </c>
      <c r="BJ639" s="18">
        <f>PRODUCT($BI$5:BI639)</f>
        <v>0.32656797278968008</v>
      </c>
      <c r="BK639" s="20">
        <f>1 - Audit[[#This Row],[K-M P Value]]</f>
        <v>0.67343202721031992</v>
      </c>
      <c r="BL639" s="18" t="str">
        <f>IF(Audit[[#This Row],[K-M P Value]]&gt;1-'General Info'!$B$12,"Continue", "Stop")</f>
        <v>Continue</v>
      </c>
      <c r="BM639" s="23" t="b">
        <f>IF(Audit[[#This Row],[Status - Continue or stop audit]] = "Continue", TRUE, IF(BL638 = "Continue", TRUE, FALSE))</f>
        <v>1</v>
      </c>
      <c r="BN639" s="23"/>
    </row>
    <row r="640" spans="1:66" ht="15" hidden="1" customHeight="1" x14ac:dyDescent="0.35">
      <c r="A640" s="18" t="str">
        <f>'Sampling Data'!AI640</f>
        <v/>
      </c>
      <c r="B640" s="18" t="str">
        <f>'Sampling Data'!A640</f>
        <v>1003 CIN 10-C   (ED)</v>
      </c>
      <c r="C640" s="18">
        <f>'Sampling Data'!B640</f>
        <v>6</v>
      </c>
      <c r="D640" s="18">
        <f>'Sampling Data'!C640</f>
        <v>0</v>
      </c>
      <c r="E640" s="19">
        <f>'Sampling Data'!D640</f>
        <v>0</v>
      </c>
      <c r="F640" s="19">
        <f>'Sampling Data'!E640</f>
        <v>0</v>
      </c>
      <c r="G640" s="19">
        <f>'Sampling Data'!F640</f>
        <v>0</v>
      </c>
      <c r="H640" s="19">
        <f>'Sampling Data'!G640</f>
        <v>0</v>
      </c>
      <c r="I640" s="19">
        <f>'Sampling Data'!H640</f>
        <v>0</v>
      </c>
      <c r="J640" s="19">
        <f>'Sampling Data'!I640</f>
        <v>0</v>
      </c>
      <c r="K640" s="19">
        <f>'Sampling Data'!J640</f>
        <v>0</v>
      </c>
      <c r="L640" s="19">
        <f>'Sampling Data'!K640</f>
        <v>0</v>
      </c>
      <c r="M640" s="19">
        <f>'Sampling Data'!L640</f>
        <v>0</v>
      </c>
      <c r="N640" s="19">
        <f>'Sampling Data'!M640</f>
        <v>0</v>
      </c>
      <c r="O640" s="18">
        <f>'Sampling Data'!N640</f>
        <v>0</v>
      </c>
      <c r="P640" s="18">
        <f>'Sampling Data'!O640</f>
        <v>0</v>
      </c>
      <c r="Q640" s="18">
        <f>'Sampling Data'!P640</f>
        <v>6</v>
      </c>
      <c r="R640" s="18">
        <f>'Sampling Data'!AJ640</f>
        <v>0</v>
      </c>
      <c r="S640" s="112"/>
      <c r="T640" s="112"/>
      <c r="U640" s="113"/>
      <c r="V640" s="113"/>
      <c r="W640" s="112"/>
      <c r="X640" s="112"/>
      <c r="Y640" s="112"/>
      <c r="Z640" s="112"/>
      <c r="AA640" s="15"/>
      <c r="AB640" s="15"/>
      <c r="AC640" s="15"/>
      <c r="AD640" s="15"/>
      <c r="AE640" s="114" t="str">
        <f>IF(NOT(ISBLANK(Audit[[#This Row],[Audit Winning Candidate]])), Audit[[#This Row],[Audit Winning Candidate]]-Audit[[#This Row],[Winning Candidate]], "")</f>
        <v/>
      </c>
      <c r="AF640" s="18" t="str">
        <f>IF(NOT(ISBLANK(Audit[[#This Row],[Audit Losing Candidate]])), Audit[[#This Row],[Audit Losing Candidate]]-Audit[[#This Row],[Losing Candidate]], "")</f>
        <v/>
      </c>
      <c r="AG640" s="18" t="str">
        <f>IF(NOT(ISBLANK(Audit[[#This Row],[Audit Candidate 3]])), Audit[[#This Row],[Audit Candidate 3]]-Audit[[#This Row],[Candidate 3]], "")</f>
        <v/>
      </c>
      <c r="AH640" s="18" t="str">
        <f>IF(NOT(ISBLANK(Audit[[#This Row],[Audit Candidate 4]])),Audit[[#This Row],[Audit Candidate 4]]-Audit[[#This Row],[Candidate 4]], "")</f>
        <v/>
      </c>
      <c r="AI640" s="18" t="str">
        <f>IF(NOT(ISBLANK(Audit[[#This Row],[Audit Candidate 5]])), Audit[[#This Row],[Audit Candidate 5]]-Audit[[#This Row],[Candidate 5]], "")</f>
        <v/>
      </c>
      <c r="AJ640" s="18" t="str">
        <f>IF(NOT(ISBLANK(Audit[[#This Row],[Audit Candidate 6]])), Audit[[#This Row],[Audit Candidate 6]]-Audit[[#This Row],[Candidate 6]], "")</f>
        <v/>
      </c>
      <c r="AK640" s="18" t="str">
        <f>IF(NOT(ISBLANK(Audit[[#This Row],[Audit Candidate 7]])), Audit[[#This Row],[Audit Candidate 7]]-Audit[[#This Row],[Candidate 7]], "")</f>
        <v/>
      </c>
      <c r="AL640" s="18" t="str">
        <f>IF(NOT(ISBLANK(Audit[[#This Row],[Audit Candidate 8]])), Audit[[#This Row],[Audit Candidate 8]]-Audit[[#This Row],[Candidate 8]], "")</f>
        <v/>
      </c>
      <c r="AM640" s="18" t="str">
        <f>IF(NOT(ISBLANK(Audit[[#This Row],[Audit Candidate 9]])), Audit[[#This Row],[Audit Candidate 9]]-Audit[[#This Row],[Candidate 9]], "")</f>
        <v/>
      </c>
      <c r="AN640" s="18" t="str">
        <f>IF(NOT(ISBLANK(Audit[[#This Row],[Audit Candidate 10]])), Audit[[#This Row],[Audit Candidate 10]]-Audit[[#This Row],[Candidate 10]], "")</f>
        <v/>
      </c>
      <c r="AO640" s="18" t="str">
        <f>IF(NOT(ISBLANK(Audit[[#This Row],[Audit Candidate 11]])), Audit[[#This Row],[Audit Candidate 11]]-Audit[[#This Row],[Candidate 11]], "")</f>
        <v/>
      </c>
      <c r="AP640" s="18" t="str">
        <f>IF(NOT(ISBLANK(Audit[[#This Row],[Audit Candidate 12]])), Audit[[#This Row],[Audit Candidate 12]]-Audit[[#This Row],[Candidate 12]], "")</f>
        <v/>
      </c>
      <c r="AQ640" s="18">
        <f>SUMIF(Audit[[#This Row],[Difference Winner]:[Difference Candidate 12]], "&gt;0")</f>
        <v>0</v>
      </c>
      <c r="AR640" s="18">
        <f>SUM(Audit[[#This Row],[Difference Winner]:[Difference Candidate 12]])</f>
        <v>0</v>
      </c>
      <c r="AS640" s="18">
        <f>IF(Audit[[#This Row],[Times p Drawn - With Replacement]]&gt;0, IF(Audit[[#This Row],[Canceled Differences]]&lt;0, Audit[[#This Row],[Max Differences]]+ABS(Audit[[#This Row],[Canceled Differences]]), Audit[[#This Row],[Max Differences]]), 0)</f>
        <v>0</v>
      </c>
      <c r="AT640" s="18">
        <f>'Sampling Data'!AB640</f>
        <v>3.7691993592361088E-4</v>
      </c>
      <c r="AU640" s="18">
        <f>IF(
      SUM(Audit[[#This Row],[Audit Losing Candidate]:[Audit Candidate 12]])
      &lt;&gt;0,
      (Audit[[#This Row],[Winning Candidate]]-Audit[[#This Row],[Losing Candidate]]-(Audit[[#This Row],[Audit Winning Candidate]]-Audit[[#This Row],[Audit Losing Candidate]]))/(Audit[[#Totals],[Winning Candidate]]-Audit[[#Totals],[Losing Candidate]]),
      0
)</f>
        <v>0</v>
      </c>
      <c r="AV6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8">
        <f>IF(Audit[[#This Row],[Max Relative Error (ep)]] = 0, 0, Audit[[#This Row],[Max Relative Error (ep)]]/Audit[[#This Row],[Error Bound (up) - Max. possible relative overstatement]])</f>
        <v>0</v>
      </c>
      <c r="BH6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0" s="18">
        <f t="shared" si="10"/>
        <v>1</v>
      </c>
      <c r="BJ640" s="18">
        <f>PRODUCT($BI$5:BI640)</f>
        <v>0.32656797278968008</v>
      </c>
      <c r="BK640" s="20">
        <f>1 - Audit[[#This Row],[K-M P Value]]</f>
        <v>0.67343202721031992</v>
      </c>
      <c r="BL640" s="18" t="str">
        <f>IF(Audit[[#This Row],[K-M P Value]]&gt;1-'General Info'!$B$12,"Continue", "Stop")</f>
        <v>Continue</v>
      </c>
      <c r="BM640" s="23" t="b">
        <f>IF(Audit[[#This Row],[Status - Continue or stop audit]] = "Continue", TRUE, IF(BL639 = "Continue", TRUE, FALSE))</f>
        <v>1</v>
      </c>
      <c r="BN640" s="23"/>
    </row>
    <row r="641" spans="1:66" ht="15" hidden="1" customHeight="1" x14ac:dyDescent="0.35">
      <c r="A641" s="18" t="str">
        <f>'Sampling Data'!AI641</f>
        <v/>
      </c>
      <c r="B641" s="18" t="str">
        <f>'Sampling Data'!A641</f>
        <v>1101 CIN 11-A   (ED)</v>
      </c>
      <c r="C641" s="18">
        <f>'Sampling Data'!B641</f>
        <v>13</v>
      </c>
      <c r="D641" s="18">
        <f>'Sampling Data'!C641</f>
        <v>4</v>
      </c>
      <c r="E641" s="19">
        <f>'Sampling Data'!D641</f>
        <v>0</v>
      </c>
      <c r="F641" s="19">
        <f>'Sampling Data'!E641</f>
        <v>0</v>
      </c>
      <c r="G641" s="19">
        <f>'Sampling Data'!F641</f>
        <v>0</v>
      </c>
      <c r="H641" s="19">
        <f>'Sampling Data'!G641</f>
        <v>0</v>
      </c>
      <c r="I641" s="19">
        <f>'Sampling Data'!H641</f>
        <v>0</v>
      </c>
      <c r="J641" s="19">
        <f>'Sampling Data'!I641</f>
        <v>0</v>
      </c>
      <c r="K641" s="19">
        <f>'Sampling Data'!J641</f>
        <v>0</v>
      </c>
      <c r="L641" s="19">
        <f>'Sampling Data'!K641</f>
        <v>0</v>
      </c>
      <c r="M641" s="19">
        <f>'Sampling Data'!L641</f>
        <v>0</v>
      </c>
      <c r="N641" s="19">
        <f>'Sampling Data'!M641</f>
        <v>0</v>
      </c>
      <c r="O641" s="18">
        <f>'Sampling Data'!N641</f>
        <v>0</v>
      </c>
      <c r="P641" s="18">
        <f>'Sampling Data'!O641</f>
        <v>1</v>
      </c>
      <c r="Q641" s="18">
        <f>'Sampling Data'!P641</f>
        <v>18</v>
      </c>
      <c r="R641" s="18">
        <f>'Sampling Data'!AJ641</f>
        <v>0</v>
      </c>
      <c r="S641" s="112"/>
      <c r="T641" s="112"/>
      <c r="U641" s="113"/>
      <c r="V641" s="113"/>
      <c r="W641" s="112"/>
      <c r="X641" s="112"/>
      <c r="Y641" s="112"/>
      <c r="Z641" s="112"/>
      <c r="AA641" s="15"/>
      <c r="AB641" s="15"/>
      <c r="AC641" s="15"/>
      <c r="AD641" s="15"/>
      <c r="AE641" s="114" t="str">
        <f>IF(NOT(ISBLANK(Audit[[#This Row],[Audit Winning Candidate]])), Audit[[#This Row],[Audit Winning Candidate]]-Audit[[#This Row],[Winning Candidate]], "")</f>
        <v/>
      </c>
      <c r="AF641" s="18" t="str">
        <f>IF(NOT(ISBLANK(Audit[[#This Row],[Audit Losing Candidate]])), Audit[[#This Row],[Audit Losing Candidate]]-Audit[[#This Row],[Losing Candidate]], "")</f>
        <v/>
      </c>
      <c r="AG641" s="18" t="str">
        <f>IF(NOT(ISBLANK(Audit[[#This Row],[Audit Candidate 3]])), Audit[[#This Row],[Audit Candidate 3]]-Audit[[#This Row],[Candidate 3]], "")</f>
        <v/>
      </c>
      <c r="AH641" s="18" t="str">
        <f>IF(NOT(ISBLANK(Audit[[#This Row],[Audit Candidate 4]])),Audit[[#This Row],[Audit Candidate 4]]-Audit[[#This Row],[Candidate 4]], "")</f>
        <v/>
      </c>
      <c r="AI641" s="18" t="str">
        <f>IF(NOT(ISBLANK(Audit[[#This Row],[Audit Candidate 5]])), Audit[[#This Row],[Audit Candidate 5]]-Audit[[#This Row],[Candidate 5]], "")</f>
        <v/>
      </c>
      <c r="AJ641" s="18" t="str">
        <f>IF(NOT(ISBLANK(Audit[[#This Row],[Audit Candidate 6]])), Audit[[#This Row],[Audit Candidate 6]]-Audit[[#This Row],[Candidate 6]], "")</f>
        <v/>
      </c>
      <c r="AK641" s="18" t="str">
        <f>IF(NOT(ISBLANK(Audit[[#This Row],[Audit Candidate 7]])), Audit[[#This Row],[Audit Candidate 7]]-Audit[[#This Row],[Candidate 7]], "")</f>
        <v/>
      </c>
      <c r="AL641" s="18" t="str">
        <f>IF(NOT(ISBLANK(Audit[[#This Row],[Audit Candidate 8]])), Audit[[#This Row],[Audit Candidate 8]]-Audit[[#This Row],[Candidate 8]], "")</f>
        <v/>
      </c>
      <c r="AM641" s="18" t="str">
        <f>IF(NOT(ISBLANK(Audit[[#This Row],[Audit Candidate 9]])), Audit[[#This Row],[Audit Candidate 9]]-Audit[[#This Row],[Candidate 9]], "")</f>
        <v/>
      </c>
      <c r="AN641" s="18" t="str">
        <f>IF(NOT(ISBLANK(Audit[[#This Row],[Audit Candidate 10]])), Audit[[#This Row],[Audit Candidate 10]]-Audit[[#This Row],[Candidate 10]], "")</f>
        <v/>
      </c>
      <c r="AO641" s="18" t="str">
        <f>IF(NOT(ISBLANK(Audit[[#This Row],[Audit Candidate 11]])), Audit[[#This Row],[Audit Candidate 11]]-Audit[[#This Row],[Candidate 11]], "")</f>
        <v/>
      </c>
      <c r="AP641" s="18" t="str">
        <f>IF(NOT(ISBLANK(Audit[[#This Row],[Audit Candidate 12]])), Audit[[#This Row],[Audit Candidate 12]]-Audit[[#This Row],[Candidate 12]], "")</f>
        <v/>
      </c>
      <c r="AQ641" s="18">
        <f>SUMIF(Audit[[#This Row],[Difference Winner]:[Difference Candidate 12]], "&gt;0")</f>
        <v>0</v>
      </c>
      <c r="AR641" s="18">
        <f>SUM(Audit[[#This Row],[Difference Winner]:[Difference Candidate 12]])</f>
        <v>0</v>
      </c>
      <c r="AS641" s="18">
        <f>IF(Audit[[#This Row],[Times p Drawn - With Replacement]]&gt;0, IF(Audit[[#This Row],[Canceled Differences]]&lt;0, Audit[[#This Row],[Max Differences]]+ABS(Audit[[#This Row],[Canceled Differences]]), Audit[[#This Row],[Max Differences]]), 0)</f>
        <v>0</v>
      </c>
      <c r="AT641" s="18">
        <f>'Sampling Data'!AB641</f>
        <v>8.4806985582812453E-4</v>
      </c>
      <c r="AU641" s="18">
        <f>IF(
      SUM(Audit[[#This Row],[Audit Losing Candidate]:[Audit Candidate 12]])
      &lt;&gt;0,
      (Audit[[#This Row],[Winning Candidate]]-Audit[[#This Row],[Losing Candidate]]-(Audit[[#This Row],[Audit Winning Candidate]]-Audit[[#This Row],[Audit Losing Candidate]]))/(Audit[[#Totals],[Winning Candidate]]-Audit[[#Totals],[Losing Candidate]]),
      0
)</f>
        <v>0</v>
      </c>
      <c r="AV6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8">
        <f>IF(Audit[[#This Row],[Max Relative Error (ep)]] = 0, 0, Audit[[#This Row],[Max Relative Error (ep)]]/Audit[[#This Row],[Error Bound (up) - Max. possible relative overstatement]])</f>
        <v>0</v>
      </c>
      <c r="BH6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1" s="18">
        <f t="shared" si="10"/>
        <v>1</v>
      </c>
      <c r="BJ641" s="18">
        <f>PRODUCT($BI$5:BI641)</f>
        <v>0.32656797278968008</v>
      </c>
      <c r="BK641" s="20">
        <f>1 - Audit[[#This Row],[K-M P Value]]</f>
        <v>0.67343202721031992</v>
      </c>
      <c r="BL641" s="18" t="str">
        <f>IF(Audit[[#This Row],[K-M P Value]]&gt;1-'General Info'!$B$12,"Continue", "Stop")</f>
        <v>Continue</v>
      </c>
      <c r="BM641" s="23" t="b">
        <f>IF(Audit[[#This Row],[Status - Continue or stop audit]] = "Continue", TRUE, IF(BL640 = "Continue", TRUE, FALSE))</f>
        <v>1</v>
      </c>
      <c r="BN641" s="23"/>
    </row>
    <row r="642" spans="1:66" ht="15" hidden="1" customHeight="1" x14ac:dyDescent="0.35">
      <c r="A642" s="18" t="str">
        <f>'Sampling Data'!AI642</f>
        <v/>
      </c>
      <c r="B642" s="18" t="str">
        <f>'Sampling Data'!A642</f>
        <v>1102 CIN 11-B   (ED)</v>
      </c>
      <c r="C642" s="18">
        <f>'Sampling Data'!B642</f>
        <v>8</v>
      </c>
      <c r="D642" s="18">
        <f>'Sampling Data'!C642</f>
        <v>1</v>
      </c>
      <c r="E642" s="19">
        <f>'Sampling Data'!D642</f>
        <v>0</v>
      </c>
      <c r="F642" s="19">
        <f>'Sampling Data'!E642</f>
        <v>0</v>
      </c>
      <c r="G642" s="19">
        <f>'Sampling Data'!F642</f>
        <v>0</v>
      </c>
      <c r="H642" s="19">
        <f>'Sampling Data'!G642</f>
        <v>0</v>
      </c>
      <c r="I642" s="19">
        <f>'Sampling Data'!H642</f>
        <v>0</v>
      </c>
      <c r="J642" s="19">
        <f>'Sampling Data'!I642</f>
        <v>0</v>
      </c>
      <c r="K642" s="19">
        <f>'Sampling Data'!J642</f>
        <v>0</v>
      </c>
      <c r="L642" s="19">
        <f>'Sampling Data'!K642</f>
        <v>0</v>
      </c>
      <c r="M642" s="19">
        <f>'Sampling Data'!L642</f>
        <v>0</v>
      </c>
      <c r="N642" s="19">
        <f>'Sampling Data'!M642</f>
        <v>0</v>
      </c>
      <c r="O642" s="18">
        <f>'Sampling Data'!N642</f>
        <v>0</v>
      </c>
      <c r="P642" s="18">
        <f>'Sampling Data'!O642</f>
        <v>0</v>
      </c>
      <c r="Q642" s="18">
        <f>'Sampling Data'!P642</f>
        <v>9</v>
      </c>
      <c r="R642" s="18">
        <f>'Sampling Data'!AJ642</f>
        <v>0</v>
      </c>
      <c r="S642" s="112"/>
      <c r="T642" s="112"/>
      <c r="U642" s="113"/>
      <c r="V642" s="113"/>
      <c r="W642" s="112"/>
      <c r="X642" s="112"/>
      <c r="Y642" s="112"/>
      <c r="Z642" s="112"/>
      <c r="AA642" s="15"/>
      <c r="AB642" s="15"/>
      <c r="AC642" s="15"/>
      <c r="AD642" s="15"/>
      <c r="AE642" s="114" t="str">
        <f>IF(NOT(ISBLANK(Audit[[#This Row],[Audit Winning Candidate]])), Audit[[#This Row],[Audit Winning Candidate]]-Audit[[#This Row],[Winning Candidate]], "")</f>
        <v/>
      </c>
      <c r="AF642" s="18" t="str">
        <f>IF(NOT(ISBLANK(Audit[[#This Row],[Audit Losing Candidate]])), Audit[[#This Row],[Audit Losing Candidate]]-Audit[[#This Row],[Losing Candidate]], "")</f>
        <v/>
      </c>
      <c r="AG642" s="18" t="str">
        <f>IF(NOT(ISBLANK(Audit[[#This Row],[Audit Candidate 3]])), Audit[[#This Row],[Audit Candidate 3]]-Audit[[#This Row],[Candidate 3]], "")</f>
        <v/>
      </c>
      <c r="AH642" s="18" t="str">
        <f>IF(NOT(ISBLANK(Audit[[#This Row],[Audit Candidate 4]])),Audit[[#This Row],[Audit Candidate 4]]-Audit[[#This Row],[Candidate 4]], "")</f>
        <v/>
      </c>
      <c r="AI642" s="18" t="str">
        <f>IF(NOT(ISBLANK(Audit[[#This Row],[Audit Candidate 5]])), Audit[[#This Row],[Audit Candidate 5]]-Audit[[#This Row],[Candidate 5]], "")</f>
        <v/>
      </c>
      <c r="AJ642" s="18" t="str">
        <f>IF(NOT(ISBLANK(Audit[[#This Row],[Audit Candidate 6]])), Audit[[#This Row],[Audit Candidate 6]]-Audit[[#This Row],[Candidate 6]], "")</f>
        <v/>
      </c>
      <c r="AK642" s="18" t="str">
        <f>IF(NOT(ISBLANK(Audit[[#This Row],[Audit Candidate 7]])), Audit[[#This Row],[Audit Candidate 7]]-Audit[[#This Row],[Candidate 7]], "")</f>
        <v/>
      </c>
      <c r="AL642" s="18" t="str">
        <f>IF(NOT(ISBLANK(Audit[[#This Row],[Audit Candidate 8]])), Audit[[#This Row],[Audit Candidate 8]]-Audit[[#This Row],[Candidate 8]], "")</f>
        <v/>
      </c>
      <c r="AM642" s="18" t="str">
        <f>IF(NOT(ISBLANK(Audit[[#This Row],[Audit Candidate 9]])), Audit[[#This Row],[Audit Candidate 9]]-Audit[[#This Row],[Candidate 9]], "")</f>
        <v/>
      </c>
      <c r="AN642" s="18" t="str">
        <f>IF(NOT(ISBLANK(Audit[[#This Row],[Audit Candidate 10]])), Audit[[#This Row],[Audit Candidate 10]]-Audit[[#This Row],[Candidate 10]], "")</f>
        <v/>
      </c>
      <c r="AO642" s="18" t="str">
        <f>IF(NOT(ISBLANK(Audit[[#This Row],[Audit Candidate 11]])), Audit[[#This Row],[Audit Candidate 11]]-Audit[[#This Row],[Candidate 11]], "")</f>
        <v/>
      </c>
      <c r="AP642" s="18" t="str">
        <f>IF(NOT(ISBLANK(Audit[[#This Row],[Audit Candidate 12]])), Audit[[#This Row],[Audit Candidate 12]]-Audit[[#This Row],[Candidate 12]], "")</f>
        <v/>
      </c>
      <c r="AQ642" s="18">
        <f>SUMIF(Audit[[#This Row],[Difference Winner]:[Difference Candidate 12]], "&gt;0")</f>
        <v>0</v>
      </c>
      <c r="AR642" s="18">
        <f>SUM(Audit[[#This Row],[Difference Winner]:[Difference Candidate 12]])</f>
        <v>0</v>
      </c>
      <c r="AS642" s="18">
        <f>IF(Audit[[#This Row],[Times p Drawn - With Replacement]]&gt;0, IF(Audit[[#This Row],[Canceled Differences]]&lt;0, Audit[[#This Row],[Max Differences]]+ABS(Audit[[#This Row],[Canceled Differences]]), Audit[[#This Row],[Max Differences]]), 0)</f>
        <v>0</v>
      </c>
      <c r="AT642" s="18">
        <f>'Sampling Data'!AB642</f>
        <v>5.0255991456481448E-4</v>
      </c>
      <c r="AU642" s="18">
        <f>IF(
      SUM(Audit[[#This Row],[Audit Losing Candidate]:[Audit Candidate 12]])
      &lt;&gt;0,
      (Audit[[#This Row],[Winning Candidate]]-Audit[[#This Row],[Losing Candidate]]-(Audit[[#This Row],[Audit Winning Candidate]]-Audit[[#This Row],[Audit Losing Candidate]]))/(Audit[[#Totals],[Winning Candidate]]-Audit[[#Totals],[Losing Candidate]]),
      0
)</f>
        <v>0</v>
      </c>
      <c r="AV6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8">
        <f>IF(Audit[[#This Row],[Max Relative Error (ep)]] = 0, 0, Audit[[#This Row],[Max Relative Error (ep)]]/Audit[[#This Row],[Error Bound (up) - Max. possible relative overstatement]])</f>
        <v>0</v>
      </c>
      <c r="BH6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2" s="18">
        <f t="shared" si="10"/>
        <v>1</v>
      </c>
      <c r="BJ642" s="18">
        <f>PRODUCT($BI$5:BI642)</f>
        <v>0.32656797278968008</v>
      </c>
      <c r="BK642" s="20">
        <f>1 - Audit[[#This Row],[K-M P Value]]</f>
        <v>0.67343202721031992</v>
      </c>
      <c r="BL642" s="18" t="str">
        <f>IF(Audit[[#This Row],[K-M P Value]]&gt;1-'General Info'!$B$12,"Continue", "Stop")</f>
        <v>Continue</v>
      </c>
      <c r="BM642" s="23" t="b">
        <f>IF(Audit[[#This Row],[Status - Continue or stop audit]] = "Continue", TRUE, IF(BL641 = "Continue", TRUE, FALSE))</f>
        <v>1</v>
      </c>
      <c r="BN642" s="23"/>
    </row>
    <row r="643" spans="1:66" ht="15" hidden="1" customHeight="1" x14ac:dyDescent="0.35">
      <c r="A643" s="18" t="str">
        <f>'Sampling Data'!AI643</f>
        <v/>
      </c>
      <c r="B643" s="18" t="str">
        <f>'Sampling Data'!A643</f>
        <v>1103 CIN 11-C   (ED)</v>
      </c>
      <c r="C643" s="18">
        <f>'Sampling Data'!B643</f>
        <v>2</v>
      </c>
      <c r="D643" s="18">
        <f>'Sampling Data'!C643</f>
        <v>2</v>
      </c>
      <c r="E643" s="19">
        <f>'Sampling Data'!D643</f>
        <v>0</v>
      </c>
      <c r="F643" s="19">
        <f>'Sampling Data'!E643</f>
        <v>0</v>
      </c>
      <c r="G643" s="19">
        <f>'Sampling Data'!F643</f>
        <v>0</v>
      </c>
      <c r="H643" s="19">
        <f>'Sampling Data'!G643</f>
        <v>0</v>
      </c>
      <c r="I643" s="19">
        <f>'Sampling Data'!H643</f>
        <v>0</v>
      </c>
      <c r="J643" s="19">
        <f>'Sampling Data'!I643</f>
        <v>0</v>
      </c>
      <c r="K643" s="19">
        <f>'Sampling Data'!J643</f>
        <v>0</v>
      </c>
      <c r="L643" s="19">
        <f>'Sampling Data'!K643</f>
        <v>0</v>
      </c>
      <c r="M643" s="19">
        <f>'Sampling Data'!L643</f>
        <v>0</v>
      </c>
      <c r="N643" s="19">
        <f>'Sampling Data'!M643</f>
        <v>0</v>
      </c>
      <c r="O643" s="18">
        <f>'Sampling Data'!N643</f>
        <v>0</v>
      </c>
      <c r="P643" s="18">
        <f>'Sampling Data'!O643</f>
        <v>0</v>
      </c>
      <c r="Q643" s="18">
        <f>'Sampling Data'!P643</f>
        <v>4</v>
      </c>
      <c r="R643" s="18">
        <f>'Sampling Data'!AJ643</f>
        <v>0</v>
      </c>
      <c r="S643" s="112"/>
      <c r="T643" s="112"/>
      <c r="U643" s="113"/>
      <c r="V643" s="113"/>
      <c r="W643" s="112"/>
      <c r="X643" s="112"/>
      <c r="Y643" s="112"/>
      <c r="Z643" s="112"/>
      <c r="AA643" s="15"/>
      <c r="AB643" s="15"/>
      <c r="AC643" s="15"/>
      <c r="AD643" s="15"/>
      <c r="AE643" s="114" t="str">
        <f>IF(NOT(ISBLANK(Audit[[#This Row],[Audit Winning Candidate]])), Audit[[#This Row],[Audit Winning Candidate]]-Audit[[#This Row],[Winning Candidate]], "")</f>
        <v/>
      </c>
      <c r="AF643" s="18" t="str">
        <f>IF(NOT(ISBLANK(Audit[[#This Row],[Audit Losing Candidate]])), Audit[[#This Row],[Audit Losing Candidate]]-Audit[[#This Row],[Losing Candidate]], "")</f>
        <v/>
      </c>
      <c r="AG643" s="18" t="str">
        <f>IF(NOT(ISBLANK(Audit[[#This Row],[Audit Candidate 3]])), Audit[[#This Row],[Audit Candidate 3]]-Audit[[#This Row],[Candidate 3]], "")</f>
        <v/>
      </c>
      <c r="AH643" s="18" t="str">
        <f>IF(NOT(ISBLANK(Audit[[#This Row],[Audit Candidate 4]])),Audit[[#This Row],[Audit Candidate 4]]-Audit[[#This Row],[Candidate 4]], "")</f>
        <v/>
      </c>
      <c r="AI643" s="18" t="str">
        <f>IF(NOT(ISBLANK(Audit[[#This Row],[Audit Candidate 5]])), Audit[[#This Row],[Audit Candidate 5]]-Audit[[#This Row],[Candidate 5]], "")</f>
        <v/>
      </c>
      <c r="AJ643" s="18" t="str">
        <f>IF(NOT(ISBLANK(Audit[[#This Row],[Audit Candidate 6]])), Audit[[#This Row],[Audit Candidate 6]]-Audit[[#This Row],[Candidate 6]], "")</f>
        <v/>
      </c>
      <c r="AK643" s="18" t="str">
        <f>IF(NOT(ISBLANK(Audit[[#This Row],[Audit Candidate 7]])), Audit[[#This Row],[Audit Candidate 7]]-Audit[[#This Row],[Candidate 7]], "")</f>
        <v/>
      </c>
      <c r="AL643" s="18" t="str">
        <f>IF(NOT(ISBLANK(Audit[[#This Row],[Audit Candidate 8]])), Audit[[#This Row],[Audit Candidate 8]]-Audit[[#This Row],[Candidate 8]], "")</f>
        <v/>
      </c>
      <c r="AM643" s="18" t="str">
        <f>IF(NOT(ISBLANK(Audit[[#This Row],[Audit Candidate 9]])), Audit[[#This Row],[Audit Candidate 9]]-Audit[[#This Row],[Candidate 9]], "")</f>
        <v/>
      </c>
      <c r="AN643" s="18" t="str">
        <f>IF(NOT(ISBLANK(Audit[[#This Row],[Audit Candidate 10]])), Audit[[#This Row],[Audit Candidate 10]]-Audit[[#This Row],[Candidate 10]], "")</f>
        <v/>
      </c>
      <c r="AO643" s="18" t="str">
        <f>IF(NOT(ISBLANK(Audit[[#This Row],[Audit Candidate 11]])), Audit[[#This Row],[Audit Candidate 11]]-Audit[[#This Row],[Candidate 11]], "")</f>
        <v/>
      </c>
      <c r="AP643" s="18" t="str">
        <f>IF(NOT(ISBLANK(Audit[[#This Row],[Audit Candidate 12]])), Audit[[#This Row],[Audit Candidate 12]]-Audit[[#This Row],[Candidate 12]], "")</f>
        <v/>
      </c>
      <c r="AQ643" s="18">
        <f>SUMIF(Audit[[#This Row],[Difference Winner]:[Difference Candidate 12]], "&gt;0")</f>
        <v>0</v>
      </c>
      <c r="AR643" s="18">
        <f>SUM(Audit[[#This Row],[Difference Winner]:[Difference Candidate 12]])</f>
        <v>0</v>
      </c>
      <c r="AS643" s="18">
        <f>IF(Audit[[#This Row],[Times p Drawn - With Replacement]]&gt;0, IF(Audit[[#This Row],[Canceled Differences]]&lt;0, Audit[[#This Row],[Max Differences]]+ABS(Audit[[#This Row],[Canceled Differences]]), Audit[[#This Row],[Max Differences]]), 0)</f>
        <v>0</v>
      </c>
      <c r="AT643" s="18">
        <f>'Sampling Data'!AB643</f>
        <v>1.2563997864120362E-4</v>
      </c>
      <c r="AU643" s="18">
        <f>IF(
      SUM(Audit[[#This Row],[Audit Losing Candidate]:[Audit Candidate 12]])
      &lt;&gt;0,
      (Audit[[#This Row],[Winning Candidate]]-Audit[[#This Row],[Losing Candidate]]-(Audit[[#This Row],[Audit Winning Candidate]]-Audit[[#This Row],[Audit Losing Candidate]]))/(Audit[[#Totals],[Winning Candidate]]-Audit[[#Totals],[Losing Candidate]]),
      0
)</f>
        <v>0</v>
      </c>
      <c r="AV6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8">
        <f>IF(Audit[[#This Row],[Max Relative Error (ep)]] = 0, 0, Audit[[#This Row],[Max Relative Error (ep)]]/Audit[[#This Row],[Error Bound (up) - Max. possible relative overstatement]])</f>
        <v>0</v>
      </c>
      <c r="BH6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3" s="18">
        <f t="shared" si="10"/>
        <v>1</v>
      </c>
      <c r="BJ643" s="18">
        <f>PRODUCT($BI$5:BI643)</f>
        <v>0.32656797278968008</v>
      </c>
      <c r="BK643" s="20">
        <f>1 - Audit[[#This Row],[K-M P Value]]</f>
        <v>0.67343202721031992</v>
      </c>
      <c r="BL643" s="18" t="str">
        <f>IF(Audit[[#This Row],[K-M P Value]]&gt;1-'General Info'!$B$12,"Continue", "Stop")</f>
        <v>Continue</v>
      </c>
      <c r="BM643" s="23" t="b">
        <f>IF(Audit[[#This Row],[Status - Continue or stop audit]] = "Continue", TRUE, IF(BL642 = "Continue", TRUE, FALSE))</f>
        <v>1</v>
      </c>
      <c r="BN643" s="23"/>
    </row>
    <row r="644" spans="1:66" ht="15" hidden="1" customHeight="1" x14ac:dyDescent="0.35">
      <c r="A644" s="18" t="str">
        <f>'Sampling Data'!AI644</f>
        <v/>
      </c>
      <c r="B644" s="18" t="str">
        <f>'Sampling Data'!A644</f>
        <v>1104 CIN 11-D   (ED)</v>
      </c>
      <c r="C644" s="18">
        <f>'Sampling Data'!B644</f>
        <v>9</v>
      </c>
      <c r="D644" s="18">
        <f>'Sampling Data'!C644</f>
        <v>1</v>
      </c>
      <c r="E644" s="19">
        <f>'Sampling Data'!D644</f>
        <v>0</v>
      </c>
      <c r="F644" s="19">
        <f>'Sampling Data'!E644</f>
        <v>0</v>
      </c>
      <c r="G644" s="19">
        <f>'Sampling Data'!F644</f>
        <v>0</v>
      </c>
      <c r="H644" s="19">
        <f>'Sampling Data'!G644</f>
        <v>0</v>
      </c>
      <c r="I644" s="19">
        <f>'Sampling Data'!H644</f>
        <v>0</v>
      </c>
      <c r="J644" s="19">
        <f>'Sampling Data'!I644</f>
        <v>0</v>
      </c>
      <c r="K644" s="19">
        <f>'Sampling Data'!J644</f>
        <v>0</v>
      </c>
      <c r="L644" s="19">
        <f>'Sampling Data'!K644</f>
        <v>0</v>
      </c>
      <c r="M644" s="19">
        <f>'Sampling Data'!L644</f>
        <v>0</v>
      </c>
      <c r="N644" s="19">
        <f>'Sampling Data'!M644</f>
        <v>0</v>
      </c>
      <c r="O644" s="18">
        <f>'Sampling Data'!N644</f>
        <v>0</v>
      </c>
      <c r="P644" s="18">
        <f>'Sampling Data'!O644</f>
        <v>0</v>
      </c>
      <c r="Q644" s="18">
        <f>'Sampling Data'!P644</f>
        <v>10</v>
      </c>
      <c r="R644" s="18">
        <f>'Sampling Data'!AJ644</f>
        <v>0</v>
      </c>
      <c r="S644" s="112"/>
      <c r="T644" s="112"/>
      <c r="U644" s="113"/>
      <c r="V644" s="113"/>
      <c r="W644" s="112"/>
      <c r="X644" s="112"/>
      <c r="Y644" s="112"/>
      <c r="Z644" s="112"/>
      <c r="AA644" s="15"/>
      <c r="AB644" s="15"/>
      <c r="AC644" s="15"/>
      <c r="AD644" s="15"/>
      <c r="AE644" s="114" t="str">
        <f>IF(NOT(ISBLANK(Audit[[#This Row],[Audit Winning Candidate]])), Audit[[#This Row],[Audit Winning Candidate]]-Audit[[#This Row],[Winning Candidate]], "")</f>
        <v/>
      </c>
      <c r="AF644" s="18" t="str">
        <f>IF(NOT(ISBLANK(Audit[[#This Row],[Audit Losing Candidate]])), Audit[[#This Row],[Audit Losing Candidate]]-Audit[[#This Row],[Losing Candidate]], "")</f>
        <v/>
      </c>
      <c r="AG644" s="18" t="str">
        <f>IF(NOT(ISBLANK(Audit[[#This Row],[Audit Candidate 3]])), Audit[[#This Row],[Audit Candidate 3]]-Audit[[#This Row],[Candidate 3]], "")</f>
        <v/>
      </c>
      <c r="AH644" s="18" t="str">
        <f>IF(NOT(ISBLANK(Audit[[#This Row],[Audit Candidate 4]])),Audit[[#This Row],[Audit Candidate 4]]-Audit[[#This Row],[Candidate 4]], "")</f>
        <v/>
      </c>
      <c r="AI644" s="18" t="str">
        <f>IF(NOT(ISBLANK(Audit[[#This Row],[Audit Candidate 5]])), Audit[[#This Row],[Audit Candidate 5]]-Audit[[#This Row],[Candidate 5]], "")</f>
        <v/>
      </c>
      <c r="AJ644" s="18" t="str">
        <f>IF(NOT(ISBLANK(Audit[[#This Row],[Audit Candidate 6]])), Audit[[#This Row],[Audit Candidate 6]]-Audit[[#This Row],[Candidate 6]], "")</f>
        <v/>
      </c>
      <c r="AK644" s="18" t="str">
        <f>IF(NOT(ISBLANK(Audit[[#This Row],[Audit Candidate 7]])), Audit[[#This Row],[Audit Candidate 7]]-Audit[[#This Row],[Candidate 7]], "")</f>
        <v/>
      </c>
      <c r="AL644" s="18" t="str">
        <f>IF(NOT(ISBLANK(Audit[[#This Row],[Audit Candidate 8]])), Audit[[#This Row],[Audit Candidate 8]]-Audit[[#This Row],[Candidate 8]], "")</f>
        <v/>
      </c>
      <c r="AM644" s="18" t="str">
        <f>IF(NOT(ISBLANK(Audit[[#This Row],[Audit Candidate 9]])), Audit[[#This Row],[Audit Candidate 9]]-Audit[[#This Row],[Candidate 9]], "")</f>
        <v/>
      </c>
      <c r="AN644" s="18" t="str">
        <f>IF(NOT(ISBLANK(Audit[[#This Row],[Audit Candidate 10]])), Audit[[#This Row],[Audit Candidate 10]]-Audit[[#This Row],[Candidate 10]], "")</f>
        <v/>
      </c>
      <c r="AO644" s="18" t="str">
        <f>IF(NOT(ISBLANK(Audit[[#This Row],[Audit Candidate 11]])), Audit[[#This Row],[Audit Candidate 11]]-Audit[[#This Row],[Candidate 11]], "")</f>
        <v/>
      </c>
      <c r="AP644" s="18" t="str">
        <f>IF(NOT(ISBLANK(Audit[[#This Row],[Audit Candidate 12]])), Audit[[#This Row],[Audit Candidate 12]]-Audit[[#This Row],[Candidate 12]], "")</f>
        <v/>
      </c>
      <c r="AQ644" s="18">
        <f>SUMIF(Audit[[#This Row],[Difference Winner]:[Difference Candidate 12]], "&gt;0")</f>
        <v>0</v>
      </c>
      <c r="AR644" s="18">
        <f>SUM(Audit[[#This Row],[Difference Winner]:[Difference Candidate 12]])</f>
        <v>0</v>
      </c>
      <c r="AS644" s="18">
        <f>IF(Audit[[#This Row],[Times p Drawn - With Replacement]]&gt;0, IF(Audit[[#This Row],[Canceled Differences]]&lt;0, Audit[[#This Row],[Max Differences]]+ABS(Audit[[#This Row],[Canceled Differences]]), Audit[[#This Row],[Max Differences]]), 0)</f>
        <v>0</v>
      </c>
      <c r="AT644" s="18">
        <f>'Sampling Data'!AB644</f>
        <v>5.6537990388541635E-4</v>
      </c>
      <c r="AU644" s="18">
        <f>IF(
      SUM(Audit[[#This Row],[Audit Losing Candidate]:[Audit Candidate 12]])
      &lt;&gt;0,
      (Audit[[#This Row],[Winning Candidate]]-Audit[[#This Row],[Losing Candidate]]-(Audit[[#This Row],[Audit Winning Candidate]]-Audit[[#This Row],[Audit Losing Candidate]]))/(Audit[[#Totals],[Winning Candidate]]-Audit[[#Totals],[Losing Candidate]]),
      0
)</f>
        <v>0</v>
      </c>
      <c r="AV6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8">
        <f>IF(Audit[[#This Row],[Max Relative Error (ep)]] = 0, 0, Audit[[#This Row],[Max Relative Error (ep)]]/Audit[[#This Row],[Error Bound (up) - Max. possible relative overstatement]])</f>
        <v>0</v>
      </c>
      <c r="BH6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4" s="18">
        <f t="shared" si="10"/>
        <v>1</v>
      </c>
      <c r="BJ644" s="18">
        <f>PRODUCT($BI$5:BI644)</f>
        <v>0.32656797278968008</v>
      </c>
      <c r="BK644" s="20">
        <f>1 - Audit[[#This Row],[K-M P Value]]</f>
        <v>0.67343202721031992</v>
      </c>
      <c r="BL644" s="18" t="str">
        <f>IF(Audit[[#This Row],[K-M P Value]]&gt;1-'General Info'!$B$12,"Continue", "Stop")</f>
        <v>Continue</v>
      </c>
      <c r="BM644" s="23" t="b">
        <f>IF(Audit[[#This Row],[Status - Continue or stop audit]] = "Continue", TRUE, IF(BL643 = "Continue", TRUE, FALSE))</f>
        <v>1</v>
      </c>
      <c r="BN644" s="23"/>
    </row>
    <row r="645" spans="1:66" ht="15" hidden="1" customHeight="1" x14ac:dyDescent="0.35">
      <c r="A645" s="18" t="str">
        <f>'Sampling Data'!AI645</f>
        <v/>
      </c>
      <c r="B645" s="18" t="str">
        <f>'Sampling Data'!A645</f>
        <v>1201 CIN 12-A   (ED)</v>
      </c>
      <c r="C645" s="18">
        <f>'Sampling Data'!B645</f>
        <v>8</v>
      </c>
      <c r="D645" s="18">
        <f>'Sampling Data'!C645</f>
        <v>2</v>
      </c>
      <c r="E645" s="19">
        <f>'Sampling Data'!D645</f>
        <v>0</v>
      </c>
      <c r="F645" s="19">
        <f>'Sampling Data'!E645</f>
        <v>0</v>
      </c>
      <c r="G645" s="19">
        <f>'Sampling Data'!F645</f>
        <v>0</v>
      </c>
      <c r="H645" s="19">
        <f>'Sampling Data'!G645</f>
        <v>0</v>
      </c>
      <c r="I645" s="19">
        <f>'Sampling Data'!H645</f>
        <v>0</v>
      </c>
      <c r="J645" s="19">
        <f>'Sampling Data'!I645</f>
        <v>0</v>
      </c>
      <c r="K645" s="19">
        <f>'Sampling Data'!J645</f>
        <v>0</v>
      </c>
      <c r="L645" s="19">
        <f>'Sampling Data'!K645</f>
        <v>0</v>
      </c>
      <c r="M645" s="19">
        <f>'Sampling Data'!L645</f>
        <v>0</v>
      </c>
      <c r="N645" s="19">
        <f>'Sampling Data'!M645</f>
        <v>0</v>
      </c>
      <c r="O645" s="18">
        <f>'Sampling Data'!N645</f>
        <v>0</v>
      </c>
      <c r="P645" s="18">
        <f>'Sampling Data'!O645</f>
        <v>1</v>
      </c>
      <c r="Q645" s="18">
        <f>'Sampling Data'!P645</f>
        <v>11</v>
      </c>
      <c r="R645" s="18">
        <f>'Sampling Data'!AJ645</f>
        <v>0</v>
      </c>
      <c r="S645" s="112"/>
      <c r="T645" s="112"/>
      <c r="U645" s="113"/>
      <c r="V645" s="113"/>
      <c r="W645" s="112"/>
      <c r="X645" s="112"/>
      <c r="Y645" s="112"/>
      <c r="Z645" s="112"/>
      <c r="AA645" s="15"/>
      <c r="AB645" s="15"/>
      <c r="AC645" s="15"/>
      <c r="AD645" s="15"/>
      <c r="AE645" s="114" t="str">
        <f>IF(NOT(ISBLANK(Audit[[#This Row],[Audit Winning Candidate]])), Audit[[#This Row],[Audit Winning Candidate]]-Audit[[#This Row],[Winning Candidate]], "")</f>
        <v/>
      </c>
      <c r="AF645" s="18" t="str">
        <f>IF(NOT(ISBLANK(Audit[[#This Row],[Audit Losing Candidate]])), Audit[[#This Row],[Audit Losing Candidate]]-Audit[[#This Row],[Losing Candidate]], "")</f>
        <v/>
      </c>
      <c r="AG645" s="18" t="str">
        <f>IF(NOT(ISBLANK(Audit[[#This Row],[Audit Candidate 3]])), Audit[[#This Row],[Audit Candidate 3]]-Audit[[#This Row],[Candidate 3]], "")</f>
        <v/>
      </c>
      <c r="AH645" s="18" t="str">
        <f>IF(NOT(ISBLANK(Audit[[#This Row],[Audit Candidate 4]])),Audit[[#This Row],[Audit Candidate 4]]-Audit[[#This Row],[Candidate 4]], "")</f>
        <v/>
      </c>
      <c r="AI645" s="18" t="str">
        <f>IF(NOT(ISBLANK(Audit[[#This Row],[Audit Candidate 5]])), Audit[[#This Row],[Audit Candidate 5]]-Audit[[#This Row],[Candidate 5]], "")</f>
        <v/>
      </c>
      <c r="AJ645" s="18" t="str">
        <f>IF(NOT(ISBLANK(Audit[[#This Row],[Audit Candidate 6]])), Audit[[#This Row],[Audit Candidate 6]]-Audit[[#This Row],[Candidate 6]], "")</f>
        <v/>
      </c>
      <c r="AK645" s="18" t="str">
        <f>IF(NOT(ISBLANK(Audit[[#This Row],[Audit Candidate 7]])), Audit[[#This Row],[Audit Candidate 7]]-Audit[[#This Row],[Candidate 7]], "")</f>
        <v/>
      </c>
      <c r="AL645" s="18" t="str">
        <f>IF(NOT(ISBLANK(Audit[[#This Row],[Audit Candidate 8]])), Audit[[#This Row],[Audit Candidate 8]]-Audit[[#This Row],[Candidate 8]], "")</f>
        <v/>
      </c>
      <c r="AM645" s="18" t="str">
        <f>IF(NOT(ISBLANK(Audit[[#This Row],[Audit Candidate 9]])), Audit[[#This Row],[Audit Candidate 9]]-Audit[[#This Row],[Candidate 9]], "")</f>
        <v/>
      </c>
      <c r="AN645" s="18" t="str">
        <f>IF(NOT(ISBLANK(Audit[[#This Row],[Audit Candidate 10]])), Audit[[#This Row],[Audit Candidate 10]]-Audit[[#This Row],[Candidate 10]], "")</f>
        <v/>
      </c>
      <c r="AO645" s="18" t="str">
        <f>IF(NOT(ISBLANK(Audit[[#This Row],[Audit Candidate 11]])), Audit[[#This Row],[Audit Candidate 11]]-Audit[[#This Row],[Candidate 11]], "")</f>
        <v/>
      </c>
      <c r="AP645" s="18" t="str">
        <f>IF(NOT(ISBLANK(Audit[[#This Row],[Audit Candidate 12]])), Audit[[#This Row],[Audit Candidate 12]]-Audit[[#This Row],[Candidate 12]], "")</f>
        <v/>
      </c>
      <c r="AQ645" s="18">
        <f>SUMIF(Audit[[#This Row],[Difference Winner]:[Difference Candidate 12]], "&gt;0")</f>
        <v>0</v>
      </c>
      <c r="AR645" s="18">
        <f>SUM(Audit[[#This Row],[Difference Winner]:[Difference Candidate 12]])</f>
        <v>0</v>
      </c>
      <c r="AS645" s="18">
        <f>IF(Audit[[#This Row],[Times p Drawn - With Replacement]]&gt;0, IF(Audit[[#This Row],[Canceled Differences]]&lt;0, Audit[[#This Row],[Max Differences]]+ABS(Audit[[#This Row],[Canceled Differences]]), Audit[[#This Row],[Max Differences]]), 0)</f>
        <v>0</v>
      </c>
      <c r="AT645" s="18">
        <f>'Sampling Data'!AB645</f>
        <v>5.3396990922511547E-4</v>
      </c>
      <c r="AU645" s="18">
        <f>IF(
      SUM(Audit[[#This Row],[Audit Losing Candidate]:[Audit Candidate 12]])
      &lt;&gt;0,
      (Audit[[#This Row],[Winning Candidate]]-Audit[[#This Row],[Losing Candidate]]-(Audit[[#This Row],[Audit Winning Candidate]]-Audit[[#This Row],[Audit Losing Candidate]]))/(Audit[[#Totals],[Winning Candidate]]-Audit[[#Totals],[Losing Candidate]]),
      0
)</f>
        <v>0</v>
      </c>
      <c r="AV6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8">
        <f>IF(Audit[[#This Row],[Max Relative Error (ep)]] = 0, 0, Audit[[#This Row],[Max Relative Error (ep)]]/Audit[[#This Row],[Error Bound (up) - Max. possible relative overstatement]])</f>
        <v>0</v>
      </c>
      <c r="BH6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5" s="18">
        <f t="shared" si="10"/>
        <v>1</v>
      </c>
      <c r="BJ645" s="18">
        <f>PRODUCT($BI$5:BI645)</f>
        <v>0.32656797278968008</v>
      </c>
      <c r="BK645" s="20">
        <f>1 - Audit[[#This Row],[K-M P Value]]</f>
        <v>0.67343202721031992</v>
      </c>
      <c r="BL645" s="18" t="str">
        <f>IF(Audit[[#This Row],[K-M P Value]]&gt;1-'General Info'!$B$12,"Continue", "Stop")</f>
        <v>Continue</v>
      </c>
      <c r="BM645" s="23" t="b">
        <f>IF(Audit[[#This Row],[Status - Continue or stop audit]] = "Continue", TRUE, IF(BL644 = "Continue", TRUE, FALSE))</f>
        <v>1</v>
      </c>
      <c r="BN645" s="23"/>
    </row>
    <row r="646" spans="1:66" ht="15" hidden="1" customHeight="1" x14ac:dyDescent="0.35">
      <c r="A646" s="18" t="str">
        <f>'Sampling Data'!AI646</f>
        <v/>
      </c>
      <c r="B646" s="18" t="str">
        <f>'Sampling Data'!A646</f>
        <v>1202 CIN 12-B   (ED)</v>
      </c>
      <c r="C646" s="18">
        <f>'Sampling Data'!B646</f>
        <v>0</v>
      </c>
      <c r="D646" s="18">
        <f>'Sampling Data'!C646</f>
        <v>0</v>
      </c>
      <c r="E646" s="19">
        <f>'Sampling Data'!D646</f>
        <v>0</v>
      </c>
      <c r="F646" s="19">
        <f>'Sampling Data'!E646</f>
        <v>0</v>
      </c>
      <c r="G646" s="19">
        <f>'Sampling Data'!F646</f>
        <v>0</v>
      </c>
      <c r="H646" s="19">
        <f>'Sampling Data'!G646</f>
        <v>0</v>
      </c>
      <c r="I646" s="19">
        <f>'Sampling Data'!H646</f>
        <v>0</v>
      </c>
      <c r="J646" s="19">
        <f>'Sampling Data'!I646</f>
        <v>0</v>
      </c>
      <c r="K646" s="19">
        <f>'Sampling Data'!J646</f>
        <v>0</v>
      </c>
      <c r="L646" s="19">
        <f>'Sampling Data'!K646</f>
        <v>0</v>
      </c>
      <c r="M646" s="19">
        <f>'Sampling Data'!L646</f>
        <v>0</v>
      </c>
      <c r="N646" s="19">
        <f>'Sampling Data'!M646</f>
        <v>0</v>
      </c>
      <c r="O646" s="18">
        <f>'Sampling Data'!N646</f>
        <v>0</v>
      </c>
      <c r="P646" s="18">
        <f>'Sampling Data'!O646</f>
        <v>0</v>
      </c>
      <c r="Q646" s="18">
        <f>'Sampling Data'!P646</f>
        <v>0</v>
      </c>
      <c r="R646" s="18">
        <f>'Sampling Data'!AJ646</f>
        <v>0</v>
      </c>
      <c r="S646" s="112"/>
      <c r="T646" s="112"/>
      <c r="U646" s="113"/>
      <c r="V646" s="113"/>
      <c r="W646" s="112"/>
      <c r="X646" s="112"/>
      <c r="Y646" s="112"/>
      <c r="Z646" s="112"/>
      <c r="AA646" s="15"/>
      <c r="AB646" s="15"/>
      <c r="AC646" s="15"/>
      <c r="AD646" s="15"/>
      <c r="AE646" s="114" t="str">
        <f>IF(NOT(ISBLANK(Audit[[#This Row],[Audit Winning Candidate]])), Audit[[#This Row],[Audit Winning Candidate]]-Audit[[#This Row],[Winning Candidate]], "")</f>
        <v/>
      </c>
      <c r="AF646" s="18" t="str">
        <f>IF(NOT(ISBLANK(Audit[[#This Row],[Audit Losing Candidate]])), Audit[[#This Row],[Audit Losing Candidate]]-Audit[[#This Row],[Losing Candidate]], "")</f>
        <v/>
      </c>
      <c r="AG646" s="18" t="str">
        <f>IF(NOT(ISBLANK(Audit[[#This Row],[Audit Candidate 3]])), Audit[[#This Row],[Audit Candidate 3]]-Audit[[#This Row],[Candidate 3]], "")</f>
        <v/>
      </c>
      <c r="AH646" s="18" t="str">
        <f>IF(NOT(ISBLANK(Audit[[#This Row],[Audit Candidate 4]])),Audit[[#This Row],[Audit Candidate 4]]-Audit[[#This Row],[Candidate 4]], "")</f>
        <v/>
      </c>
      <c r="AI646" s="18" t="str">
        <f>IF(NOT(ISBLANK(Audit[[#This Row],[Audit Candidate 5]])), Audit[[#This Row],[Audit Candidate 5]]-Audit[[#This Row],[Candidate 5]], "")</f>
        <v/>
      </c>
      <c r="AJ646" s="18" t="str">
        <f>IF(NOT(ISBLANK(Audit[[#This Row],[Audit Candidate 6]])), Audit[[#This Row],[Audit Candidate 6]]-Audit[[#This Row],[Candidate 6]], "")</f>
        <v/>
      </c>
      <c r="AK646" s="18" t="str">
        <f>IF(NOT(ISBLANK(Audit[[#This Row],[Audit Candidate 7]])), Audit[[#This Row],[Audit Candidate 7]]-Audit[[#This Row],[Candidate 7]], "")</f>
        <v/>
      </c>
      <c r="AL646" s="18" t="str">
        <f>IF(NOT(ISBLANK(Audit[[#This Row],[Audit Candidate 8]])), Audit[[#This Row],[Audit Candidate 8]]-Audit[[#This Row],[Candidate 8]], "")</f>
        <v/>
      </c>
      <c r="AM646" s="18" t="str">
        <f>IF(NOT(ISBLANK(Audit[[#This Row],[Audit Candidate 9]])), Audit[[#This Row],[Audit Candidate 9]]-Audit[[#This Row],[Candidate 9]], "")</f>
        <v/>
      </c>
      <c r="AN646" s="18" t="str">
        <f>IF(NOT(ISBLANK(Audit[[#This Row],[Audit Candidate 10]])), Audit[[#This Row],[Audit Candidate 10]]-Audit[[#This Row],[Candidate 10]], "")</f>
        <v/>
      </c>
      <c r="AO646" s="18" t="str">
        <f>IF(NOT(ISBLANK(Audit[[#This Row],[Audit Candidate 11]])), Audit[[#This Row],[Audit Candidate 11]]-Audit[[#This Row],[Candidate 11]], "")</f>
        <v/>
      </c>
      <c r="AP646" s="18" t="str">
        <f>IF(NOT(ISBLANK(Audit[[#This Row],[Audit Candidate 12]])), Audit[[#This Row],[Audit Candidate 12]]-Audit[[#This Row],[Candidate 12]], "")</f>
        <v/>
      </c>
      <c r="AQ646" s="18">
        <f>SUMIF(Audit[[#This Row],[Difference Winner]:[Difference Candidate 12]], "&gt;0")</f>
        <v>0</v>
      </c>
      <c r="AR646" s="18">
        <f>SUM(Audit[[#This Row],[Difference Winner]:[Difference Candidate 12]])</f>
        <v>0</v>
      </c>
      <c r="AS646" s="18">
        <f>IF(Audit[[#This Row],[Times p Drawn - With Replacement]]&gt;0, IF(Audit[[#This Row],[Canceled Differences]]&lt;0, Audit[[#This Row],[Max Differences]]+ABS(Audit[[#This Row],[Canceled Differences]]), Audit[[#This Row],[Max Differences]]), 0)</f>
        <v>0</v>
      </c>
      <c r="AT646" s="18">
        <f>'Sampling Data'!AB646</f>
        <v>0</v>
      </c>
      <c r="AU646" s="18">
        <f>IF(
      SUM(Audit[[#This Row],[Audit Losing Candidate]:[Audit Candidate 12]])
      &lt;&gt;0,
      (Audit[[#This Row],[Winning Candidate]]-Audit[[#This Row],[Losing Candidate]]-(Audit[[#This Row],[Audit Winning Candidate]]-Audit[[#This Row],[Audit Losing Candidate]]))/(Audit[[#Totals],[Winning Candidate]]-Audit[[#Totals],[Losing Candidate]]),
      0
)</f>
        <v>0</v>
      </c>
      <c r="AV6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8">
        <f>IF(Audit[[#This Row],[Max Relative Error (ep)]] = 0, 0, Audit[[#This Row],[Max Relative Error (ep)]]/Audit[[#This Row],[Error Bound (up) - Max. possible relative overstatement]])</f>
        <v>0</v>
      </c>
      <c r="BH6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6" s="18">
        <f t="shared" si="10"/>
        <v>1</v>
      </c>
      <c r="BJ646" s="18">
        <f>PRODUCT($BI$5:BI646)</f>
        <v>0.32656797278968008</v>
      </c>
      <c r="BK646" s="20">
        <f>1 - Audit[[#This Row],[K-M P Value]]</f>
        <v>0.67343202721031992</v>
      </c>
      <c r="BL646" s="18" t="str">
        <f>IF(Audit[[#This Row],[K-M P Value]]&gt;1-'General Info'!$B$12,"Continue", "Stop")</f>
        <v>Continue</v>
      </c>
      <c r="BM646" s="23" t="b">
        <f>IF(Audit[[#This Row],[Status - Continue or stop audit]] = "Continue", TRUE, IF(BL645 = "Continue", TRUE, FALSE))</f>
        <v>1</v>
      </c>
      <c r="BN646" s="23"/>
    </row>
    <row r="647" spans="1:66" ht="15" hidden="1" customHeight="1" x14ac:dyDescent="0.35">
      <c r="A647" s="18" t="str">
        <f>'Sampling Data'!AI647</f>
        <v/>
      </c>
      <c r="B647" s="18" t="str">
        <f>'Sampling Data'!A647</f>
        <v>1203 CIN 12-C   (ED)</v>
      </c>
      <c r="C647" s="18">
        <f>'Sampling Data'!B647</f>
        <v>1</v>
      </c>
      <c r="D647" s="18">
        <f>'Sampling Data'!C647</f>
        <v>1</v>
      </c>
      <c r="E647" s="19">
        <f>'Sampling Data'!D647</f>
        <v>0</v>
      </c>
      <c r="F647" s="19">
        <f>'Sampling Data'!E647</f>
        <v>0</v>
      </c>
      <c r="G647" s="19">
        <f>'Sampling Data'!F647</f>
        <v>0</v>
      </c>
      <c r="H647" s="19">
        <f>'Sampling Data'!G647</f>
        <v>0</v>
      </c>
      <c r="I647" s="19">
        <f>'Sampling Data'!H647</f>
        <v>0</v>
      </c>
      <c r="J647" s="19">
        <f>'Sampling Data'!I647</f>
        <v>0</v>
      </c>
      <c r="K647" s="19">
        <f>'Sampling Data'!J647</f>
        <v>0</v>
      </c>
      <c r="L647" s="19">
        <f>'Sampling Data'!K647</f>
        <v>0</v>
      </c>
      <c r="M647" s="19">
        <f>'Sampling Data'!L647</f>
        <v>0</v>
      </c>
      <c r="N647" s="19">
        <f>'Sampling Data'!M647</f>
        <v>0</v>
      </c>
      <c r="O647" s="18">
        <f>'Sampling Data'!N647</f>
        <v>0</v>
      </c>
      <c r="P647" s="18">
        <f>'Sampling Data'!O647</f>
        <v>0</v>
      </c>
      <c r="Q647" s="18">
        <f>'Sampling Data'!P647</f>
        <v>2</v>
      </c>
      <c r="R647" s="18">
        <f>'Sampling Data'!AJ647</f>
        <v>0</v>
      </c>
      <c r="S647" s="112"/>
      <c r="T647" s="112"/>
      <c r="U647" s="113"/>
      <c r="V647" s="113"/>
      <c r="W647" s="112"/>
      <c r="X647" s="112"/>
      <c r="Y647" s="112"/>
      <c r="Z647" s="112"/>
      <c r="AA647" s="15"/>
      <c r="AB647" s="15"/>
      <c r="AC647" s="15"/>
      <c r="AD647" s="15"/>
      <c r="AE647" s="114" t="str">
        <f>IF(NOT(ISBLANK(Audit[[#This Row],[Audit Winning Candidate]])), Audit[[#This Row],[Audit Winning Candidate]]-Audit[[#This Row],[Winning Candidate]], "")</f>
        <v/>
      </c>
      <c r="AF647" s="18" t="str">
        <f>IF(NOT(ISBLANK(Audit[[#This Row],[Audit Losing Candidate]])), Audit[[#This Row],[Audit Losing Candidate]]-Audit[[#This Row],[Losing Candidate]], "")</f>
        <v/>
      </c>
      <c r="AG647" s="18" t="str">
        <f>IF(NOT(ISBLANK(Audit[[#This Row],[Audit Candidate 3]])), Audit[[#This Row],[Audit Candidate 3]]-Audit[[#This Row],[Candidate 3]], "")</f>
        <v/>
      </c>
      <c r="AH647" s="18" t="str">
        <f>IF(NOT(ISBLANK(Audit[[#This Row],[Audit Candidate 4]])),Audit[[#This Row],[Audit Candidate 4]]-Audit[[#This Row],[Candidate 4]], "")</f>
        <v/>
      </c>
      <c r="AI647" s="18" t="str">
        <f>IF(NOT(ISBLANK(Audit[[#This Row],[Audit Candidate 5]])), Audit[[#This Row],[Audit Candidate 5]]-Audit[[#This Row],[Candidate 5]], "")</f>
        <v/>
      </c>
      <c r="AJ647" s="18" t="str">
        <f>IF(NOT(ISBLANK(Audit[[#This Row],[Audit Candidate 6]])), Audit[[#This Row],[Audit Candidate 6]]-Audit[[#This Row],[Candidate 6]], "")</f>
        <v/>
      </c>
      <c r="AK647" s="18" t="str">
        <f>IF(NOT(ISBLANK(Audit[[#This Row],[Audit Candidate 7]])), Audit[[#This Row],[Audit Candidate 7]]-Audit[[#This Row],[Candidate 7]], "")</f>
        <v/>
      </c>
      <c r="AL647" s="18" t="str">
        <f>IF(NOT(ISBLANK(Audit[[#This Row],[Audit Candidate 8]])), Audit[[#This Row],[Audit Candidate 8]]-Audit[[#This Row],[Candidate 8]], "")</f>
        <v/>
      </c>
      <c r="AM647" s="18" t="str">
        <f>IF(NOT(ISBLANK(Audit[[#This Row],[Audit Candidate 9]])), Audit[[#This Row],[Audit Candidate 9]]-Audit[[#This Row],[Candidate 9]], "")</f>
        <v/>
      </c>
      <c r="AN647" s="18" t="str">
        <f>IF(NOT(ISBLANK(Audit[[#This Row],[Audit Candidate 10]])), Audit[[#This Row],[Audit Candidate 10]]-Audit[[#This Row],[Candidate 10]], "")</f>
        <v/>
      </c>
      <c r="AO647" s="18" t="str">
        <f>IF(NOT(ISBLANK(Audit[[#This Row],[Audit Candidate 11]])), Audit[[#This Row],[Audit Candidate 11]]-Audit[[#This Row],[Candidate 11]], "")</f>
        <v/>
      </c>
      <c r="AP647" s="18" t="str">
        <f>IF(NOT(ISBLANK(Audit[[#This Row],[Audit Candidate 12]])), Audit[[#This Row],[Audit Candidate 12]]-Audit[[#This Row],[Candidate 12]], "")</f>
        <v/>
      </c>
      <c r="AQ647" s="18">
        <f>SUMIF(Audit[[#This Row],[Difference Winner]:[Difference Candidate 12]], "&gt;0")</f>
        <v>0</v>
      </c>
      <c r="AR647" s="18">
        <f>SUM(Audit[[#This Row],[Difference Winner]:[Difference Candidate 12]])</f>
        <v>0</v>
      </c>
      <c r="AS647" s="18">
        <f>IF(Audit[[#This Row],[Times p Drawn - With Replacement]]&gt;0, IF(Audit[[#This Row],[Canceled Differences]]&lt;0, Audit[[#This Row],[Max Differences]]+ABS(Audit[[#This Row],[Canceled Differences]]), Audit[[#This Row],[Max Differences]]), 0)</f>
        <v>0</v>
      </c>
      <c r="AT647" s="18">
        <f>'Sampling Data'!AB647</f>
        <v>6.2819989320601809E-5</v>
      </c>
      <c r="AU647" s="18">
        <f>IF(
      SUM(Audit[[#This Row],[Audit Losing Candidate]:[Audit Candidate 12]])
      &lt;&gt;0,
      (Audit[[#This Row],[Winning Candidate]]-Audit[[#This Row],[Losing Candidate]]-(Audit[[#This Row],[Audit Winning Candidate]]-Audit[[#This Row],[Audit Losing Candidate]]))/(Audit[[#Totals],[Winning Candidate]]-Audit[[#Totals],[Losing Candidate]]),
      0
)</f>
        <v>0</v>
      </c>
      <c r="AV6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8">
        <f>IF(Audit[[#This Row],[Max Relative Error (ep)]] = 0, 0, Audit[[#This Row],[Max Relative Error (ep)]]/Audit[[#This Row],[Error Bound (up) - Max. possible relative overstatement]])</f>
        <v>0</v>
      </c>
      <c r="BH6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7" s="18">
        <f t="shared" si="10"/>
        <v>1</v>
      </c>
      <c r="BJ647" s="18">
        <f>PRODUCT($BI$5:BI647)</f>
        <v>0.32656797278968008</v>
      </c>
      <c r="BK647" s="20">
        <f>1 - Audit[[#This Row],[K-M P Value]]</f>
        <v>0.67343202721031992</v>
      </c>
      <c r="BL647" s="18" t="str">
        <f>IF(Audit[[#This Row],[K-M P Value]]&gt;1-'General Info'!$B$12,"Continue", "Stop")</f>
        <v>Continue</v>
      </c>
      <c r="BM647" s="23" t="b">
        <f>IF(Audit[[#This Row],[Status - Continue or stop audit]] = "Continue", TRUE, IF(BL646 = "Continue", TRUE, FALSE))</f>
        <v>1</v>
      </c>
      <c r="BN647" s="23"/>
    </row>
    <row r="648" spans="1:66" ht="15" hidden="1" customHeight="1" x14ac:dyDescent="0.35">
      <c r="A648" s="18" t="str">
        <f>'Sampling Data'!AI648</f>
        <v/>
      </c>
      <c r="B648" s="18" t="str">
        <f>'Sampling Data'!A648</f>
        <v>1204 CIN 12-D   (ED)</v>
      </c>
      <c r="C648" s="18">
        <f>'Sampling Data'!B648</f>
        <v>4</v>
      </c>
      <c r="D648" s="18">
        <f>'Sampling Data'!C648</f>
        <v>0</v>
      </c>
      <c r="E648" s="19">
        <f>'Sampling Data'!D648</f>
        <v>0</v>
      </c>
      <c r="F648" s="19">
        <f>'Sampling Data'!E648</f>
        <v>0</v>
      </c>
      <c r="G648" s="19">
        <f>'Sampling Data'!F648</f>
        <v>0</v>
      </c>
      <c r="H648" s="19">
        <f>'Sampling Data'!G648</f>
        <v>0</v>
      </c>
      <c r="I648" s="19">
        <f>'Sampling Data'!H648</f>
        <v>0</v>
      </c>
      <c r="J648" s="19">
        <f>'Sampling Data'!I648</f>
        <v>0</v>
      </c>
      <c r="K648" s="19">
        <f>'Sampling Data'!J648</f>
        <v>0</v>
      </c>
      <c r="L648" s="19">
        <f>'Sampling Data'!K648</f>
        <v>0</v>
      </c>
      <c r="M648" s="19">
        <f>'Sampling Data'!L648</f>
        <v>0</v>
      </c>
      <c r="N648" s="19">
        <f>'Sampling Data'!M648</f>
        <v>0</v>
      </c>
      <c r="O648" s="18">
        <f>'Sampling Data'!N648</f>
        <v>0</v>
      </c>
      <c r="P648" s="18">
        <f>'Sampling Data'!O648</f>
        <v>0</v>
      </c>
      <c r="Q648" s="18">
        <f>'Sampling Data'!P648</f>
        <v>4</v>
      </c>
      <c r="R648" s="18">
        <f>'Sampling Data'!AJ648</f>
        <v>0</v>
      </c>
      <c r="S648" s="112"/>
      <c r="T648" s="112"/>
      <c r="U648" s="113"/>
      <c r="V648" s="113"/>
      <c r="W648" s="112"/>
      <c r="X648" s="112"/>
      <c r="Y648" s="112"/>
      <c r="Z648" s="112"/>
      <c r="AA648" s="15"/>
      <c r="AB648" s="15"/>
      <c r="AC648" s="15"/>
      <c r="AD648" s="15"/>
      <c r="AE648" s="114" t="str">
        <f>IF(NOT(ISBLANK(Audit[[#This Row],[Audit Winning Candidate]])), Audit[[#This Row],[Audit Winning Candidate]]-Audit[[#This Row],[Winning Candidate]], "")</f>
        <v/>
      </c>
      <c r="AF648" s="18" t="str">
        <f>IF(NOT(ISBLANK(Audit[[#This Row],[Audit Losing Candidate]])), Audit[[#This Row],[Audit Losing Candidate]]-Audit[[#This Row],[Losing Candidate]], "")</f>
        <v/>
      </c>
      <c r="AG648" s="18" t="str">
        <f>IF(NOT(ISBLANK(Audit[[#This Row],[Audit Candidate 3]])), Audit[[#This Row],[Audit Candidate 3]]-Audit[[#This Row],[Candidate 3]], "")</f>
        <v/>
      </c>
      <c r="AH648" s="18" t="str">
        <f>IF(NOT(ISBLANK(Audit[[#This Row],[Audit Candidate 4]])),Audit[[#This Row],[Audit Candidate 4]]-Audit[[#This Row],[Candidate 4]], "")</f>
        <v/>
      </c>
      <c r="AI648" s="18" t="str">
        <f>IF(NOT(ISBLANK(Audit[[#This Row],[Audit Candidate 5]])), Audit[[#This Row],[Audit Candidate 5]]-Audit[[#This Row],[Candidate 5]], "")</f>
        <v/>
      </c>
      <c r="AJ648" s="18" t="str">
        <f>IF(NOT(ISBLANK(Audit[[#This Row],[Audit Candidate 6]])), Audit[[#This Row],[Audit Candidate 6]]-Audit[[#This Row],[Candidate 6]], "")</f>
        <v/>
      </c>
      <c r="AK648" s="18" t="str">
        <f>IF(NOT(ISBLANK(Audit[[#This Row],[Audit Candidate 7]])), Audit[[#This Row],[Audit Candidate 7]]-Audit[[#This Row],[Candidate 7]], "")</f>
        <v/>
      </c>
      <c r="AL648" s="18" t="str">
        <f>IF(NOT(ISBLANK(Audit[[#This Row],[Audit Candidate 8]])), Audit[[#This Row],[Audit Candidate 8]]-Audit[[#This Row],[Candidate 8]], "")</f>
        <v/>
      </c>
      <c r="AM648" s="18" t="str">
        <f>IF(NOT(ISBLANK(Audit[[#This Row],[Audit Candidate 9]])), Audit[[#This Row],[Audit Candidate 9]]-Audit[[#This Row],[Candidate 9]], "")</f>
        <v/>
      </c>
      <c r="AN648" s="18" t="str">
        <f>IF(NOT(ISBLANK(Audit[[#This Row],[Audit Candidate 10]])), Audit[[#This Row],[Audit Candidate 10]]-Audit[[#This Row],[Candidate 10]], "")</f>
        <v/>
      </c>
      <c r="AO648" s="18" t="str">
        <f>IF(NOT(ISBLANK(Audit[[#This Row],[Audit Candidate 11]])), Audit[[#This Row],[Audit Candidate 11]]-Audit[[#This Row],[Candidate 11]], "")</f>
        <v/>
      </c>
      <c r="AP648" s="18" t="str">
        <f>IF(NOT(ISBLANK(Audit[[#This Row],[Audit Candidate 12]])), Audit[[#This Row],[Audit Candidate 12]]-Audit[[#This Row],[Candidate 12]], "")</f>
        <v/>
      </c>
      <c r="AQ648" s="18">
        <f>SUMIF(Audit[[#This Row],[Difference Winner]:[Difference Candidate 12]], "&gt;0")</f>
        <v>0</v>
      </c>
      <c r="AR648" s="18">
        <f>SUM(Audit[[#This Row],[Difference Winner]:[Difference Candidate 12]])</f>
        <v>0</v>
      </c>
      <c r="AS648" s="18">
        <f>IF(Audit[[#This Row],[Times p Drawn - With Replacement]]&gt;0, IF(Audit[[#This Row],[Canceled Differences]]&lt;0, Audit[[#This Row],[Max Differences]]+ABS(Audit[[#This Row],[Canceled Differences]]), Audit[[#This Row],[Max Differences]]), 0)</f>
        <v>0</v>
      </c>
      <c r="AT648" s="18">
        <f>'Sampling Data'!AB648</f>
        <v>2.5127995728240724E-4</v>
      </c>
      <c r="AU648" s="18">
        <f>IF(
      SUM(Audit[[#This Row],[Audit Losing Candidate]:[Audit Candidate 12]])
      &lt;&gt;0,
      (Audit[[#This Row],[Winning Candidate]]-Audit[[#This Row],[Losing Candidate]]-(Audit[[#This Row],[Audit Winning Candidate]]-Audit[[#This Row],[Audit Losing Candidate]]))/(Audit[[#Totals],[Winning Candidate]]-Audit[[#Totals],[Losing Candidate]]),
      0
)</f>
        <v>0</v>
      </c>
      <c r="AV6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8">
        <f>IF(Audit[[#This Row],[Max Relative Error (ep)]] = 0, 0, Audit[[#This Row],[Max Relative Error (ep)]]/Audit[[#This Row],[Error Bound (up) - Max. possible relative overstatement]])</f>
        <v>0</v>
      </c>
      <c r="BH6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8" s="18">
        <f t="shared" si="10"/>
        <v>1</v>
      </c>
      <c r="BJ648" s="18">
        <f>PRODUCT($BI$5:BI648)</f>
        <v>0.32656797278968008</v>
      </c>
      <c r="BK648" s="20">
        <f>1 - Audit[[#This Row],[K-M P Value]]</f>
        <v>0.67343202721031992</v>
      </c>
      <c r="BL648" s="18" t="str">
        <f>IF(Audit[[#This Row],[K-M P Value]]&gt;1-'General Info'!$B$12,"Continue", "Stop")</f>
        <v>Continue</v>
      </c>
      <c r="BM648" s="23" t="b">
        <f>IF(Audit[[#This Row],[Status - Continue or stop audit]] = "Continue", TRUE, IF(BL647 = "Continue", TRUE, FALSE))</f>
        <v>1</v>
      </c>
      <c r="BN648" s="23"/>
    </row>
    <row r="649" spans="1:66" ht="15" hidden="1" customHeight="1" x14ac:dyDescent="0.35">
      <c r="A649" s="18" t="str">
        <f>'Sampling Data'!AI649</f>
        <v/>
      </c>
      <c r="B649" s="18" t="str">
        <f>'Sampling Data'!A649</f>
        <v>1205 CIN 12-E   (ED)</v>
      </c>
      <c r="C649" s="18">
        <f>'Sampling Data'!B649</f>
        <v>4</v>
      </c>
      <c r="D649" s="18">
        <f>'Sampling Data'!C649</f>
        <v>0</v>
      </c>
      <c r="E649" s="19">
        <f>'Sampling Data'!D649</f>
        <v>0</v>
      </c>
      <c r="F649" s="19">
        <f>'Sampling Data'!E649</f>
        <v>0</v>
      </c>
      <c r="G649" s="19">
        <f>'Sampling Data'!F649</f>
        <v>0</v>
      </c>
      <c r="H649" s="19">
        <f>'Sampling Data'!G649</f>
        <v>0</v>
      </c>
      <c r="I649" s="19">
        <f>'Sampling Data'!H649</f>
        <v>0</v>
      </c>
      <c r="J649" s="19">
        <f>'Sampling Data'!I649</f>
        <v>0</v>
      </c>
      <c r="K649" s="19">
        <f>'Sampling Data'!J649</f>
        <v>0</v>
      </c>
      <c r="L649" s="19">
        <f>'Sampling Data'!K649</f>
        <v>0</v>
      </c>
      <c r="M649" s="19">
        <f>'Sampling Data'!L649</f>
        <v>0</v>
      </c>
      <c r="N649" s="19">
        <f>'Sampling Data'!M649</f>
        <v>0</v>
      </c>
      <c r="O649" s="18">
        <f>'Sampling Data'!N649</f>
        <v>0</v>
      </c>
      <c r="P649" s="18">
        <f>'Sampling Data'!O649</f>
        <v>0</v>
      </c>
      <c r="Q649" s="18">
        <f>'Sampling Data'!P649</f>
        <v>4</v>
      </c>
      <c r="R649" s="18">
        <f>'Sampling Data'!AJ649</f>
        <v>0</v>
      </c>
      <c r="S649" s="112"/>
      <c r="T649" s="112"/>
      <c r="U649" s="113"/>
      <c r="V649" s="113"/>
      <c r="W649" s="112"/>
      <c r="X649" s="112"/>
      <c r="Y649" s="112"/>
      <c r="Z649" s="112"/>
      <c r="AA649" s="15"/>
      <c r="AB649" s="15"/>
      <c r="AC649" s="15"/>
      <c r="AD649" s="15"/>
      <c r="AE649" s="114" t="str">
        <f>IF(NOT(ISBLANK(Audit[[#This Row],[Audit Winning Candidate]])), Audit[[#This Row],[Audit Winning Candidate]]-Audit[[#This Row],[Winning Candidate]], "")</f>
        <v/>
      </c>
      <c r="AF649" s="18" t="str">
        <f>IF(NOT(ISBLANK(Audit[[#This Row],[Audit Losing Candidate]])), Audit[[#This Row],[Audit Losing Candidate]]-Audit[[#This Row],[Losing Candidate]], "")</f>
        <v/>
      </c>
      <c r="AG649" s="18" t="str">
        <f>IF(NOT(ISBLANK(Audit[[#This Row],[Audit Candidate 3]])), Audit[[#This Row],[Audit Candidate 3]]-Audit[[#This Row],[Candidate 3]], "")</f>
        <v/>
      </c>
      <c r="AH649" s="18" t="str">
        <f>IF(NOT(ISBLANK(Audit[[#This Row],[Audit Candidate 4]])),Audit[[#This Row],[Audit Candidate 4]]-Audit[[#This Row],[Candidate 4]], "")</f>
        <v/>
      </c>
      <c r="AI649" s="18" t="str">
        <f>IF(NOT(ISBLANK(Audit[[#This Row],[Audit Candidate 5]])), Audit[[#This Row],[Audit Candidate 5]]-Audit[[#This Row],[Candidate 5]], "")</f>
        <v/>
      </c>
      <c r="AJ649" s="18" t="str">
        <f>IF(NOT(ISBLANK(Audit[[#This Row],[Audit Candidate 6]])), Audit[[#This Row],[Audit Candidate 6]]-Audit[[#This Row],[Candidate 6]], "")</f>
        <v/>
      </c>
      <c r="AK649" s="18" t="str">
        <f>IF(NOT(ISBLANK(Audit[[#This Row],[Audit Candidate 7]])), Audit[[#This Row],[Audit Candidate 7]]-Audit[[#This Row],[Candidate 7]], "")</f>
        <v/>
      </c>
      <c r="AL649" s="18" t="str">
        <f>IF(NOT(ISBLANK(Audit[[#This Row],[Audit Candidate 8]])), Audit[[#This Row],[Audit Candidate 8]]-Audit[[#This Row],[Candidate 8]], "")</f>
        <v/>
      </c>
      <c r="AM649" s="18" t="str">
        <f>IF(NOT(ISBLANK(Audit[[#This Row],[Audit Candidate 9]])), Audit[[#This Row],[Audit Candidate 9]]-Audit[[#This Row],[Candidate 9]], "")</f>
        <v/>
      </c>
      <c r="AN649" s="18" t="str">
        <f>IF(NOT(ISBLANK(Audit[[#This Row],[Audit Candidate 10]])), Audit[[#This Row],[Audit Candidate 10]]-Audit[[#This Row],[Candidate 10]], "")</f>
        <v/>
      </c>
      <c r="AO649" s="18" t="str">
        <f>IF(NOT(ISBLANK(Audit[[#This Row],[Audit Candidate 11]])), Audit[[#This Row],[Audit Candidate 11]]-Audit[[#This Row],[Candidate 11]], "")</f>
        <v/>
      </c>
      <c r="AP649" s="18" t="str">
        <f>IF(NOT(ISBLANK(Audit[[#This Row],[Audit Candidate 12]])), Audit[[#This Row],[Audit Candidate 12]]-Audit[[#This Row],[Candidate 12]], "")</f>
        <v/>
      </c>
      <c r="AQ649" s="18">
        <f>SUMIF(Audit[[#This Row],[Difference Winner]:[Difference Candidate 12]], "&gt;0")</f>
        <v>0</v>
      </c>
      <c r="AR649" s="18">
        <f>SUM(Audit[[#This Row],[Difference Winner]:[Difference Candidate 12]])</f>
        <v>0</v>
      </c>
      <c r="AS649" s="18">
        <f>IF(Audit[[#This Row],[Times p Drawn - With Replacement]]&gt;0, IF(Audit[[#This Row],[Canceled Differences]]&lt;0, Audit[[#This Row],[Max Differences]]+ABS(Audit[[#This Row],[Canceled Differences]]), Audit[[#This Row],[Max Differences]]), 0)</f>
        <v>0</v>
      </c>
      <c r="AT649" s="18">
        <f>'Sampling Data'!AB649</f>
        <v>2.5127995728240724E-4</v>
      </c>
      <c r="AU649" s="18">
        <f>IF(
      SUM(Audit[[#This Row],[Audit Losing Candidate]:[Audit Candidate 12]])
      &lt;&gt;0,
      (Audit[[#This Row],[Winning Candidate]]-Audit[[#This Row],[Losing Candidate]]-(Audit[[#This Row],[Audit Winning Candidate]]-Audit[[#This Row],[Audit Losing Candidate]]))/(Audit[[#Totals],[Winning Candidate]]-Audit[[#Totals],[Losing Candidate]]),
      0
)</f>
        <v>0</v>
      </c>
      <c r="AV6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8">
        <f>IF(Audit[[#This Row],[Max Relative Error (ep)]] = 0, 0, Audit[[#This Row],[Max Relative Error (ep)]]/Audit[[#This Row],[Error Bound (up) - Max. possible relative overstatement]])</f>
        <v>0</v>
      </c>
      <c r="BH6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49" s="18">
        <f t="shared" si="10"/>
        <v>1</v>
      </c>
      <c r="BJ649" s="18">
        <f>PRODUCT($BI$5:BI649)</f>
        <v>0.32656797278968008</v>
      </c>
      <c r="BK649" s="20">
        <f>1 - Audit[[#This Row],[K-M P Value]]</f>
        <v>0.67343202721031992</v>
      </c>
      <c r="BL649" s="18" t="str">
        <f>IF(Audit[[#This Row],[K-M P Value]]&gt;1-'General Info'!$B$12,"Continue", "Stop")</f>
        <v>Continue</v>
      </c>
      <c r="BM649" s="23" t="b">
        <f>IF(Audit[[#This Row],[Status - Continue or stop audit]] = "Continue", TRUE, IF(BL648 = "Continue", TRUE, FALSE))</f>
        <v>1</v>
      </c>
      <c r="BN649" s="23"/>
    </row>
    <row r="650" spans="1:66" ht="15" hidden="1" customHeight="1" x14ac:dyDescent="0.35">
      <c r="A650" s="18" t="str">
        <f>'Sampling Data'!AI650</f>
        <v/>
      </c>
      <c r="B650" s="18" t="str">
        <f>'Sampling Data'!A650</f>
        <v>1301 CIN 13-A   (ED)</v>
      </c>
      <c r="C650" s="18">
        <f>'Sampling Data'!B650</f>
        <v>1</v>
      </c>
      <c r="D650" s="18">
        <f>'Sampling Data'!C650</f>
        <v>0</v>
      </c>
      <c r="E650" s="19">
        <f>'Sampling Data'!D650</f>
        <v>0</v>
      </c>
      <c r="F650" s="19">
        <f>'Sampling Data'!E650</f>
        <v>0</v>
      </c>
      <c r="G650" s="19">
        <f>'Sampling Data'!F650</f>
        <v>0</v>
      </c>
      <c r="H650" s="19">
        <f>'Sampling Data'!G650</f>
        <v>0</v>
      </c>
      <c r="I650" s="19">
        <f>'Sampling Data'!H650</f>
        <v>0</v>
      </c>
      <c r="J650" s="19">
        <f>'Sampling Data'!I650</f>
        <v>0</v>
      </c>
      <c r="K650" s="19">
        <f>'Sampling Data'!J650</f>
        <v>0</v>
      </c>
      <c r="L650" s="19">
        <f>'Sampling Data'!K650</f>
        <v>0</v>
      </c>
      <c r="M650" s="19">
        <f>'Sampling Data'!L650</f>
        <v>0</v>
      </c>
      <c r="N650" s="19">
        <f>'Sampling Data'!M650</f>
        <v>0</v>
      </c>
      <c r="O650" s="18">
        <f>'Sampling Data'!N650</f>
        <v>0</v>
      </c>
      <c r="P650" s="18">
        <f>'Sampling Data'!O650</f>
        <v>0</v>
      </c>
      <c r="Q650" s="18">
        <f>'Sampling Data'!P650</f>
        <v>1</v>
      </c>
      <c r="R650" s="18">
        <f>'Sampling Data'!AJ650</f>
        <v>0</v>
      </c>
      <c r="S650" s="112"/>
      <c r="T650" s="112"/>
      <c r="U650" s="113"/>
      <c r="V650" s="113"/>
      <c r="W650" s="112"/>
      <c r="X650" s="112"/>
      <c r="Y650" s="112"/>
      <c r="Z650" s="112"/>
      <c r="AA650" s="15"/>
      <c r="AB650" s="15"/>
      <c r="AC650" s="15"/>
      <c r="AD650" s="15"/>
      <c r="AE650" s="114" t="str">
        <f>IF(NOT(ISBLANK(Audit[[#This Row],[Audit Winning Candidate]])), Audit[[#This Row],[Audit Winning Candidate]]-Audit[[#This Row],[Winning Candidate]], "")</f>
        <v/>
      </c>
      <c r="AF650" s="18" t="str">
        <f>IF(NOT(ISBLANK(Audit[[#This Row],[Audit Losing Candidate]])), Audit[[#This Row],[Audit Losing Candidate]]-Audit[[#This Row],[Losing Candidate]], "")</f>
        <v/>
      </c>
      <c r="AG650" s="18" t="str">
        <f>IF(NOT(ISBLANK(Audit[[#This Row],[Audit Candidate 3]])), Audit[[#This Row],[Audit Candidate 3]]-Audit[[#This Row],[Candidate 3]], "")</f>
        <v/>
      </c>
      <c r="AH650" s="18" t="str">
        <f>IF(NOT(ISBLANK(Audit[[#This Row],[Audit Candidate 4]])),Audit[[#This Row],[Audit Candidate 4]]-Audit[[#This Row],[Candidate 4]], "")</f>
        <v/>
      </c>
      <c r="AI650" s="18" t="str">
        <f>IF(NOT(ISBLANK(Audit[[#This Row],[Audit Candidate 5]])), Audit[[#This Row],[Audit Candidate 5]]-Audit[[#This Row],[Candidate 5]], "")</f>
        <v/>
      </c>
      <c r="AJ650" s="18" t="str">
        <f>IF(NOT(ISBLANK(Audit[[#This Row],[Audit Candidate 6]])), Audit[[#This Row],[Audit Candidate 6]]-Audit[[#This Row],[Candidate 6]], "")</f>
        <v/>
      </c>
      <c r="AK650" s="18" t="str">
        <f>IF(NOT(ISBLANK(Audit[[#This Row],[Audit Candidate 7]])), Audit[[#This Row],[Audit Candidate 7]]-Audit[[#This Row],[Candidate 7]], "")</f>
        <v/>
      </c>
      <c r="AL650" s="18" t="str">
        <f>IF(NOT(ISBLANK(Audit[[#This Row],[Audit Candidate 8]])), Audit[[#This Row],[Audit Candidate 8]]-Audit[[#This Row],[Candidate 8]], "")</f>
        <v/>
      </c>
      <c r="AM650" s="18" t="str">
        <f>IF(NOT(ISBLANK(Audit[[#This Row],[Audit Candidate 9]])), Audit[[#This Row],[Audit Candidate 9]]-Audit[[#This Row],[Candidate 9]], "")</f>
        <v/>
      </c>
      <c r="AN650" s="18" t="str">
        <f>IF(NOT(ISBLANK(Audit[[#This Row],[Audit Candidate 10]])), Audit[[#This Row],[Audit Candidate 10]]-Audit[[#This Row],[Candidate 10]], "")</f>
        <v/>
      </c>
      <c r="AO650" s="18" t="str">
        <f>IF(NOT(ISBLANK(Audit[[#This Row],[Audit Candidate 11]])), Audit[[#This Row],[Audit Candidate 11]]-Audit[[#This Row],[Candidate 11]], "")</f>
        <v/>
      </c>
      <c r="AP650" s="18" t="str">
        <f>IF(NOT(ISBLANK(Audit[[#This Row],[Audit Candidate 12]])), Audit[[#This Row],[Audit Candidate 12]]-Audit[[#This Row],[Candidate 12]], "")</f>
        <v/>
      </c>
      <c r="AQ650" s="18">
        <f>SUMIF(Audit[[#This Row],[Difference Winner]:[Difference Candidate 12]], "&gt;0")</f>
        <v>0</v>
      </c>
      <c r="AR650" s="18">
        <f>SUM(Audit[[#This Row],[Difference Winner]:[Difference Candidate 12]])</f>
        <v>0</v>
      </c>
      <c r="AS650" s="18">
        <f>IF(Audit[[#This Row],[Times p Drawn - With Replacement]]&gt;0, IF(Audit[[#This Row],[Canceled Differences]]&lt;0, Audit[[#This Row],[Max Differences]]+ABS(Audit[[#This Row],[Canceled Differences]]), Audit[[#This Row],[Max Differences]]), 0)</f>
        <v>0</v>
      </c>
      <c r="AT650" s="18">
        <f>'Sampling Data'!AB650</f>
        <v>6.2819989320601809E-5</v>
      </c>
      <c r="AU650" s="18">
        <f>IF(
      SUM(Audit[[#This Row],[Audit Losing Candidate]:[Audit Candidate 12]])
      &lt;&gt;0,
      (Audit[[#This Row],[Winning Candidate]]-Audit[[#This Row],[Losing Candidate]]-(Audit[[#This Row],[Audit Winning Candidate]]-Audit[[#This Row],[Audit Losing Candidate]]))/(Audit[[#Totals],[Winning Candidate]]-Audit[[#Totals],[Losing Candidate]]),
      0
)</f>
        <v>0</v>
      </c>
      <c r="AV6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8">
        <f>IF(Audit[[#This Row],[Max Relative Error (ep)]] = 0, 0, Audit[[#This Row],[Max Relative Error (ep)]]/Audit[[#This Row],[Error Bound (up) - Max. possible relative overstatement]])</f>
        <v>0</v>
      </c>
      <c r="BH6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0" s="18">
        <f t="shared" si="10"/>
        <v>1</v>
      </c>
      <c r="BJ650" s="18">
        <f>PRODUCT($BI$5:BI650)</f>
        <v>0.32656797278968008</v>
      </c>
      <c r="BK650" s="20">
        <f>1 - Audit[[#This Row],[K-M P Value]]</f>
        <v>0.67343202721031992</v>
      </c>
      <c r="BL650" s="18" t="str">
        <f>IF(Audit[[#This Row],[K-M P Value]]&gt;1-'General Info'!$B$12,"Continue", "Stop")</f>
        <v>Continue</v>
      </c>
      <c r="BM650" s="23" t="b">
        <f>IF(Audit[[#This Row],[Status - Continue or stop audit]] = "Continue", TRUE, IF(BL649 = "Continue", TRUE, FALSE))</f>
        <v>1</v>
      </c>
      <c r="BN650" s="23"/>
    </row>
    <row r="651" spans="1:66" ht="15" hidden="1" customHeight="1" x14ac:dyDescent="0.35">
      <c r="A651" s="18" t="str">
        <f>'Sampling Data'!AI651</f>
        <v/>
      </c>
      <c r="B651" s="18" t="str">
        <f>'Sampling Data'!A651</f>
        <v>1302 CIN 13-B   (ED)</v>
      </c>
      <c r="C651" s="18">
        <f>'Sampling Data'!B651</f>
        <v>9</v>
      </c>
      <c r="D651" s="18">
        <f>'Sampling Data'!C651</f>
        <v>1</v>
      </c>
      <c r="E651" s="19">
        <f>'Sampling Data'!D651</f>
        <v>0</v>
      </c>
      <c r="F651" s="19">
        <f>'Sampling Data'!E651</f>
        <v>0</v>
      </c>
      <c r="G651" s="19">
        <f>'Sampling Data'!F651</f>
        <v>0</v>
      </c>
      <c r="H651" s="19">
        <f>'Sampling Data'!G651</f>
        <v>0</v>
      </c>
      <c r="I651" s="19">
        <f>'Sampling Data'!H651</f>
        <v>0</v>
      </c>
      <c r="J651" s="19">
        <f>'Sampling Data'!I651</f>
        <v>0</v>
      </c>
      <c r="K651" s="19">
        <f>'Sampling Data'!J651</f>
        <v>0</v>
      </c>
      <c r="L651" s="19">
        <f>'Sampling Data'!K651</f>
        <v>0</v>
      </c>
      <c r="M651" s="19">
        <f>'Sampling Data'!L651</f>
        <v>0</v>
      </c>
      <c r="N651" s="19">
        <f>'Sampling Data'!M651</f>
        <v>0</v>
      </c>
      <c r="O651" s="18">
        <f>'Sampling Data'!N651</f>
        <v>0</v>
      </c>
      <c r="P651" s="18">
        <f>'Sampling Data'!O651</f>
        <v>0</v>
      </c>
      <c r="Q651" s="18">
        <f>'Sampling Data'!P651</f>
        <v>10</v>
      </c>
      <c r="R651" s="18">
        <f>'Sampling Data'!AJ651</f>
        <v>0</v>
      </c>
      <c r="S651" s="112"/>
      <c r="T651" s="112"/>
      <c r="U651" s="113"/>
      <c r="V651" s="113"/>
      <c r="W651" s="112"/>
      <c r="X651" s="112"/>
      <c r="Y651" s="112"/>
      <c r="Z651" s="112"/>
      <c r="AA651" s="15"/>
      <c r="AB651" s="15"/>
      <c r="AC651" s="15"/>
      <c r="AD651" s="15"/>
      <c r="AE651" s="114" t="str">
        <f>IF(NOT(ISBLANK(Audit[[#This Row],[Audit Winning Candidate]])), Audit[[#This Row],[Audit Winning Candidate]]-Audit[[#This Row],[Winning Candidate]], "")</f>
        <v/>
      </c>
      <c r="AF651" s="18" t="str">
        <f>IF(NOT(ISBLANK(Audit[[#This Row],[Audit Losing Candidate]])), Audit[[#This Row],[Audit Losing Candidate]]-Audit[[#This Row],[Losing Candidate]], "")</f>
        <v/>
      </c>
      <c r="AG651" s="18" t="str">
        <f>IF(NOT(ISBLANK(Audit[[#This Row],[Audit Candidate 3]])), Audit[[#This Row],[Audit Candidate 3]]-Audit[[#This Row],[Candidate 3]], "")</f>
        <v/>
      </c>
      <c r="AH651" s="18" t="str">
        <f>IF(NOT(ISBLANK(Audit[[#This Row],[Audit Candidate 4]])),Audit[[#This Row],[Audit Candidate 4]]-Audit[[#This Row],[Candidate 4]], "")</f>
        <v/>
      </c>
      <c r="AI651" s="18" t="str">
        <f>IF(NOT(ISBLANK(Audit[[#This Row],[Audit Candidate 5]])), Audit[[#This Row],[Audit Candidate 5]]-Audit[[#This Row],[Candidate 5]], "")</f>
        <v/>
      </c>
      <c r="AJ651" s="18" t="str">
        <f>IF(NOT(ISBLANK(Audit[[#This Row],[Audit Candidate 6]])), Audit[[#This Row],[Audit Candidate 6]]-Audit[[#This Row],[Candidate 6]], "")</f>
        <v/>
      </c>
      <c r="AK651" s="18" t="str">
        <f>IF(NOT(ISBLANK(Audit[[#This Row],[Audit Candidate 7]])), Audit[[#This Row],[Audit Candidate 7]]-Audit[[#This Row],[Candidate 7]], "")</f>
        <v/>
      </c>
      <c r="AL651" s="18" t="str">
        <f>IF(NOT(ISBLANK(Audit[[#This Row],[Audit Candidate 8]])), Audit[[#This Row],[Audit Candidate 8]]-Audit[[#This Row],[Candidate 8]], "")</f>
        <v/>
      </c>
      <c r="AM651" s="18" t="str">
        <f>IF(NOT(ISBLANK(Audit[[#This Row],[Audit Candidate 9]])), Audit[[#This Row],[Audit Candidate 9]]-Audit[[#This Row],[Candidate 9]], "")</f>
        <v/>
      </c>
      <c r="AN651" s="18" t="str">
        <f>IF(NOT(ISBLANK(Audit[[#This Row],[Audit Candidate 10]])), Audit[[#This Row],[Audit Candidate 10]]-Audit[[#This Row],[Candidate 10]], "")</f>
        <v/>
      </c>
      <c r="AO651" s="18" t="str">
        <f>IF(NOT(ISBLANK(Audit[[#This Row],[Audit Candidate 11]])), Audit[[#This Row],[Audit Candidate 11]]-Audit[[#This Row],[Candidate 11]], "")</f>
        <v/>
      </c>
      <c r="AP651" s="18" t="str">
        <f>IF(NOT(ISBLANK(Audit[[#This Row],[Audit Candidate 12]])), Audit[[#This Row],[Audit Candidate 12]]-Audit[[#This Row],[Candidate 12]], "")</f>
        <v/>
      </c>
      <c r="AQ651" s="18">
        <f>SUMIF(Audit[[#This Row],[Difference Winner]:[Difference Candidate 12]], "&gt;0")</f>
        <v>0</v>
      </c>
      <c r="AR651" s="18">
        <f>SUM(Audit[[#This Row],[Difference Winner]:[Difference Candidate 12]])</f>
        <v>0</v>
      </c>
      <c r="AS651" s="18">
        <f>IF(Audit[[#This Row],[Times p Drawn - With Replacement]]&gt;0, IF(Audit[[#This Row],[Canceled Differences]]&lt;0, Audit[[#This Row],[Max Differences]]+ABS(Audit[[#This Row],[Canceled Differences]]), Audit[[#This Row],[Max Differences]]), 0)</f>
        <v>0</v>
      </c>
      <c r="AT651" s="18">
        <f>'Sampling Data'!AB651</f>
        <v>5.6537990388541635E-4</v>
      </c>
      <c r="AU651" s="18">
        <f>IF(
      SUM(Audit[[#This Row],[Audit Losing Candidate]:[Audit Candidate 12]])
      &lt;&gt;0,
      (Audit[[#This Row],[Winning Candidate]]-Audit[[#This Row],[Losing Candidate]]-(Audit[[#This Row],[Audit Winning Candidate]]-Audit[[#This Row],[Audit Losing Candidate]]))/(Audit[[#Totals],[Winning Candidate]]-Audit[[#Totals],[Losing Candidate]]),
      0
)</f>
        <v>0</v>
      </c>
      <c r="AV6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8">
        <f>IF(Audit[[#This Row],[Max Relative Error (ep)]] = 0, 0, Audit[[#This Row],[Max Relative Error (ep)]]/Audit[[#This Row],[Error Bound (up) - Max. possible relative overstatement]])</f>
        <v>0</v>
      </c>
      <c r="BH6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1" s="18">
        <f t="shared" si="10"/>
        <v>1</v>
      </c>
      <c r="BJ651" s="18">
        <f>PRODUCT($BI$5:BI651)</f>
        <v>0.32656797278968008</v>
      </c>
      <c r="BK651" s="20">
        <f>1 - Audit[[#This Row],[K-M P Value]]</f>
        <v>0.67343202721031992</v>
      </c>
      <c r="BL651" s="18" t="str">
        <f>IF(Audit[[#This Row],[K-M P Value]]&gt;1-'General Info'!$B$12,"Continue", "Stop")</f>
        <v>Continue</v>
      </c>
      <c r="BM651" s="23" t="b">
        <f>IF(Audit[[#This Row],[Status - Continue or stop audit]] = "Continue", TRUE, IF(BL650 = "Continue", TRUE, FALSE))</f>
        <v>1</v>
      </c>
      <c r="BN651" s="23"/>
    </row>
    <row r="652" spans="1:66" ht="15" hidden="1" customHeight="1" x14ac:dyDescent="0.35">
      <c r="A652" s="18" t="str">
        <f>'Sampling Data'!AI652</f>
        <v/>
      </c>
      <c r="B652" s="18" t="str">
        <f>'Sampling Data'!A652</f>
        <v>1303 CIN 13-C   (ED)</v>
      </c>
      <c r="C652" s="18">
        <f>'Sampling Data'!B652</f>
        <v>2</v>
      </c>
      <c r="D652" s="18">
        <f>'Sampling Data'!C652</f>
        <v>1</v>
      </c>
      <c r="E652" s="19">
        <f>'Sampling Data'!D652</f>
        <v>0</v>
      </c>
      <c r="F652" s="19">
        <f>'Sampling Data'!E652</f>
        <v>0</v>
      </c>
      <c r="G652" s="19">
        <f>'Sampling Data'!F652</f>
        <v>0</v>
      </c>
      <c r="H652" s="19">
        <f>'Sampling Data'!G652</f>
        <v>0</v>
      </c>
      <c r="I652" s="19">
        <f>'Sampling Data'!H652</f>
        <v>0</v>
      </c>
      <c r="J652" s="19">
        <f>'Sampling Data'!I652</f>
        <v>0</v>
      </c>
      <c r="K652" s="19">
        <f>'Sampling Data'!J652</f>
        <v>0</v>
      </c>
      <c r="L652" s="19">
        <f>'Sampling Data'!K652</f>
        <v>0</v>
      </c>
      <c r="M652" s="19">
        <f>'Sampling Data'!L652</f>
        <v>0</v>
      </c>
      <c r="N652" s="19">
        <f>'Sampling Data'!M652</f>
        <v>0</v>
      </c>
      <c r="O652" s="18">
        <f>'Sampling Data'!N652</f>
        <v>0</v>
      </c>
      <c r="P652" s="18">
        <f>'Sampling Data'!O652</f>
        <v>0</v>
      </c>
      <c r="Q652" s="18">
        <f>'Sampling Data'!P652</f>
        <v>3</v>
      </c>
      <c r="R652" s="18">
        <f>'Sampling Data'!AJ652</f>
        <v>0</v>
      </c>
      <c r="S652" s="112"/>
      <c r="T652" s="112"/>
      <c r="U652" s="113"/>
      <c r="V652" s="113"/>
      <c r="W652" s="112"/>
      <c r="X652" s="112"/>
      <c r="Y652" s="112"/>
      <c r="Z652" s="112"/>
      <c r="AA652" s="15"/>
      <c r="AB652" s="15"/>
      <c r="AC652" s="15"/>
      <c r="AD652" s="15"/>
      <c r="AE652" s="114" t="str">
        <f>IF(NOT(ISBLANK(Audit[[#This Row],[Audit Winning Candidate]])), Audit[[#This Row],[Audit Winning Candidate]]-Audit[[#This Row],[Winning Candidate]], "")</f>
        <v/>
      </c>
      <c r="AF652" s="18" t="str">
        <f>IF(NOT(ISBLANK(Audit[[#This Row],[Audit Losing Candidate]])), Audit[[#This Row],[Audit Losing Candidate]]-Audit[[#This Row],[Losing Candidate]], "")</f>
        <v/>
      </c>
      <c r="AG652" s="18" t="str">
        <f>IF(NOT(ISBLANK(Audit[[#This Row],[Audit Candidate 3]])), Audit[[#This Row],[Audit Candidate 3]]-Audit[[#This Row],[Candidate 3]], "")</f>
        <v/>
      </c>
      <c r="AH652" s="18" t="str">
        <f>IF(NOT(ISBLANK(Audit[[#This Row],[Audit Candidate 4]])),Audit[[#This Row],[Audit Candidate 4]]-Audit[[#This Row],[Candidate 4]], "")</f>
        <v/>
      </c>
      <c r="AI652" s="18" t="str">
        <f>IF(NOT(ISBLANK(Audit[[#This Row],[Audit Candidate 5]])), Audit[[#This Row],[Audit Candidate 5]]-Audit[[#This Row],[Candidate 5]], "")</f>
        <v/>
      </c>
      <c r="AJ652" s="18" t="str">
        <f>IF(NOT(ISBLANK(Audit[[#This Row],[Audit Candidate 6]])), Audit[[#This Row],[Audit Candidate 6]]-Audit[[#This Row],[Candidate 6]], "")</f>
        <v/>
      </c>
      <c r="AK652" s="18" t="str">
        <f>IF(NOT(ISBLANK(Audit[[#This Row],[Audit Candidate 7]])), Audit[[#This Row],[Audit Candidate 7]]-Audit[[#This Row],[Candidate 7]], "")</f>
        <v/>
      </c>
      <c r="AL652" s="18" t="str">
        <f>IF(NOT(ISBLANK(Audit[[#This Row],[Audit Candidate 8]])), Audit[[#This Row],[Audit Candidate 8]]-Audit[[#This Row],[Candidate 8]], "")</f>
        <v/>
      </c>
      <c r="AM652" s="18" t="str">
        <f>IF(NOT(ISBLANK(Audit[[#This Row],[Audit Candidate 9]])), Audit[[#This Row],[Audit Candidate 9]]-Audit[[#This Row],[Candidate 9]], "")</f>
        <v/>
      </c>
      <c r="AN652" s="18" t="str">
        <f>IF(NOT(ISBLANK(Audit[[#This Row],[Audit Candidate 10]])), Audit[[#This Row],[Audit Candidate 10]]-Audit[[#This Row],[Candidate 10]], "")</f>
        <v/>
      </c>
      <c r="AO652" s="18" t="str">
        <f>IF(NOT(ISBLANK(Audit[[#This Row],[Audit Candidate 11]])), Audit[[#This Row],[Audit Candidate 11]]-Audit[[#This Row],[Candidate 11]], "")</f>
        <v/>
      </c>
      <c r="AP652" s="18" t="str">
        <f>IF(NOT(ISBLANK(Audit[[#This Row],[Audit Candidate 12]])), Audit[[#This Row],[Audit Candidate 12]]-Audit[[#This Row],[Candidate 12]], "")</f>
        <v/>
      </c>
      <c r="AQ652" s="18">
        <f>SUMIF(Audit[[#This Row],[Difference Winner]:[Difference Candidate 12]], "&gt;0")</f>
        <v>0</v>
      </c>
      <c r="AR652" s="18">
        <f>SUM(Audit[[#This Row],[Difference Winner]:[Difference Candidate 12]])</f>
        <v>0</v>
      </c>
      <c r="AS652" s="18">
        <f>IF(Audit[[#This Row],[Times p Drawn - With Replacement]]&gt;0, IF(Audit[[#This Row],[Canceled Differences]]&lt;0, Audit[[#This Row],[Max Differences]]+ABS(Audit[[#This Row],[Canceled Differences]]), Audit[[#This Row],[Max Differences]]), 0)</f>
        <v>0</v>
      </c>
      <c r="AT652" s="18">
        <f>'Sampling Data'!AB652</f>
        <v>1.2563997864120362E-4</v>
      </c>
      <c r="AU652" s="18">
        <f>IF(
      SUM(Audit[[#This Row],[Audit Losing Candidate]:[Audit Candidate 12]])
      &lt;&gt;0,
      (Audit[[#This Row],[Winning Candidate]]-Audit[[#This Row],[Losing Candidate]]-(Audit[[#This Row],[Audit Winning Candidate]]-Audit[[#This Row],[Audit Losing Candidate]]))/(Audit[[#Totals],[Winning Candidate]]-Audit[[#Totals],[Losing Candidate]]),
      0
)</f>
        <v>0</v>
      </c>
      <c r="AV6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8">
        <f>IF(Audit[[#This Row],[Max Relative Error (ep)]] = 0, 0, Audit[[#This Row],[Max Relative Error (ep)]]/Audit[[#This Row],[Error Bound (up) - Max. possible relative overstatement]])</f>
        <v>0</v>
      </c>
      <c r="BH6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2" s="18">
        <f t="shared" si="10"/>
        <v>1</v>
      </c>
      <c r="BJ652" s="18">
        <f>PRODUCT($BI$5:BI652)</f>
        <v>0.32656797278968008</v>
      </c>
      <c r="BK652" s="20">
        <f>1 - Audit[[#This Row],[K-M P Value]]</f>
        <v>0.67343202721031992</v>
      </c>
      <c r="BL652" s="18" t="str">
        <f>IF(Audit[[#This Row],[K-M P Value]]&gt;1-'General Info'!$B$12,"Continue", "Stop")</f>
        <v>Continue</v>
      </c>
      <c r="BM652" s="23" t="b">
        <f>IF(Audit[[#This Row],[Status - Continue or stop audit]] = "Continue", TRUE, IF(BL651 = "Continue", TRUE, FALSE))</f>
        <v>1</v>
      </c>
      <c r="BN652" s="23"/>
    </row>
    <row r="653" spans="1:66" ht="15" hidden="1" customHeight="1" x14ac:dyDescent="0.35">
      <c r="A653" s="18" t="str">
        <f>'Sampling Data'!AI653</f>
        <v/>
      </c>
      <c r="B653" s="18" t="str">
        <f>'Sampling Data'!A653</f>
        <v>1304 CIN 13-D   (ED)</v>
      </c>
      <c r="C653" s="18">
        <f>'Sampling Data'!B653</f>
        <v>1</v>
      </c>
      <c r="D653" s="18">
        <f>'Sampling Data'!C653</f>
        <v>2</v>
      </c>
      <c r="E653" s="19">
        <f>'Sampling Data'!D653</f>
        <v>0</v>
      </c>
      <c r="F653" s="19">
        <f>'Sampling Data'!E653</f>
        <v>0</v>
      </c>
      <c r="G653" s="19">
        <f>'Sampling Data'!F653</f>
        <v>0</v>
      </c>
      <c r="H653" s="19">
        <f>'Sampling Data'!G653</f>
        <v>0</v>
      </c>
      <c r="I653" s="19">
        <f>'Sampling Data'!H653</f>
        <v>0</v>
      </c>
      <c r="J653" s="19">
        <f>'Sampling Data'!I653</f>
        <v>0</v>
      </c>
      <c r="K653" s="19">
        <f>'Sampling Data'!J653</f>
        <v>0</v>
      </c>
      <c r="L653" s="19">
        <f>'Sampling Data'!K653</f>
        <v>0</v>
      </c>
      <c r="M653" s="19">
        <f>'Sampling Data'!L653</f>
        <v>0</v>
      </c>
      <c r="N653" s="19">
        <f>'Sampling Data'!M653</f>
        <v>0</v>
      </c>
      <c r="O653" s="18">
        <f>'Sampling Data'!N653</f>
        <v>0</v>
      </c>
      <c r="P653" s="18">
        <f>'Sampling Data'!O653</f>
        <v>1</v>
      </c>
      <c r="Q653" s="18">
        <f>'Sampling Data'!P653</f>
        <v>4</v>
      </c>
      <c r="R653" s="18">
        <f>'Sampling Data'!AJ653</f>
        <v>0</v>
      </c>
      <c r="S653" s="112"/>
      <c r="T653" s="112"/>
      <c r="U653" s="113"/>
      <c r="V653" s="113"/>
      <c r="W653" s="112"/>
      <c r="X653" s="112"/>
      <c r="Y653" s="112"/>
      <c r="Z653" s="112"/>
      <c r="AA653" s="15"/>
      <c r="AB653" s="15"/>
      <c r="AC653" s="15"/>
      <c r="AD653" s="15"/>
      <c r="AE653" s="114" t="str">
        <f>IF(NOT(ISBLANK(Audit[[#This Row],[Audit Winning Candidate]])), Audit[[#This Row],[Audit Winning Candidate]]-Audit[[#This Row],[Winning Candidate]], "")</f>
        <v/>
      </c>
      <c r="AF653" s="18" t="str">
        <f>IF(NOT(ISBLANK(Audit[[#This Row],[Audit Losing Candidate]])), Audit[[#This Row],[Audit Losing Candidate]]-Audit[[#This Row],[Losing Candidate]], "")</f>
        <v/>
      </c>
      <c r="AG653" s="18" t="str">
        <f>IF(NOT(ISBLANK(Audit[[#This Row],[Audit Candidate 3]])), Audit[[#This Row],[Audit Candidate 3]]-Audit[[#This Row],[Candidate 3]], "")</f>
        <v/>
      </c>
      <c r="AH653" s="18" t="str">
        <f>IF(NOT(ISBLANK(Audit[[#This Row],[Audit Candidate 4]])),Audit[[#This Row],[Audit Candidate 4]]-Audit[[#This Row],[Candidate 4]], "")</f>
        <v/>
      </c>
      <c r="AI653" s="18" t="str">
        <f>IF(NOT(ISBLANK(Audit[[#This Row],[Audit Candidate 5]])), Audit[[#This Row],[Audit Candidate 5]]-Audit[[#This Row],[Candidate 5]], "")</f>
        <v/>
      </c>
      <c r="AJ653" s="18" t="str">
        <f>IF(NOT(ISBLANK(Audit[[#This Row],[Audit Candidate 6]])), Audit[[#This Row],[Audit Candidate 6]]-Audit[[#This Row],[Candidate 6]], "")</f>
        <v/>
      </c>
      <c r="AK653" s="18" t="str">
        <f>IF(NOT(ISBLANK(Audit[[#This Row],[Audit Candidate 7]])), Audit[[#This Row],[Audit Candidate 7]]-Audit[[#This Row],[Candidate 7]], "")</f>
        <v/>
      </c>
      <c r="AL653" s="18" t="str">
        <f>IF(NOT(ISBLANK(Audit[[#This Row],[Audit Candidate 8]])), Audit[[#This Row],[Audit Candidate 8]]-Audit[[#This Row],[Candidate 8]], "")</f>
        <v/>
      </c>
      <c r="AM653" s="18" t="str">
        <f>IF(NOT(ISBLANK(Audit[[#This Row],[Audit Candidate 9]])), Audit[[#This Row],[Audit Candidate 9]]-Audit[[#This Row],[Candidate 9]], "")</f>
        <v/>
      </c>
      <c r="AN653" s="18" t="str">
        <f>IF(NOT(ISBLANK(Audit[[#This Row],[Audit Candidate 10]])), Audit[[#This Row],[Audit Candidate 10]]-Audit[[#This Row],[Candidate 10]], "")</f>
        <v/>
      </c>
      <c r="AO653" s="18" t="str">
        <f>IF(NOT(ISBLANK(Audit[[#This Row],[Audit Candidate 11]])), Audit[[#This Row],[Audit Candidate 11]]-Audit[[#This Row],[Candidate 11]], "")</f>
        <v/>
      </c>
      <c r="AP653" s="18" t="str">
        <f>IF(NOT(ISBLANK(Audit[[#This Row],[Audit Candidate 12]])), Audit[[#This Row],[Audit Candidate 12]]-Audit[[#This Row],[Candidate 12]], "")</f>
        <v/>
      </c>
      <c r="AQ653" s="18">
        <f>SUMIF(Audit[[#This Row],[Difference Winner]:[Difference Candidate 12]], "&gt;0")</f>
        <v>0</v>
      </c>
      <c r="AR653" s="18">
        <f>SUM(Audit[[#This Row],[Difference Winner]:[Difference Candidate 12]])</f>
        <v>0</v>
      </c>
      <c r="AS653" s="18">
        <f>IF(Audit[[#This Row],[Times p Drawn - With Replacement]]&gt;0, IF(Audit[[#This Row],[Canceled Differences]]&lt;0, Audit[[#This Row],[Max Differences]]+ABS(Audit[[#This Row],[Canceled Differences]]), Audit[[#This Row],[Max Differences]]), 0)</f>
        <v>0</v>
      </c>
      <c r="AT653" s="18">
        <f>'Sampling Data'!AB653</f>
        <v>9.4229983980902721E-5</v>
      </c>
      <c r="AU653" s="18">
        <f>IF(
      SUM(Audit[[#This Row],[Audit Losing Candidate]:[Audit Candidate 12]])
      &lt;&gt;0,
      (Audit[[#This Row],[Winning Candidate]]-Audit[[#This Row],[Losing Candidate]]-(Audit[[#This Row],[Audit Winning Candidate]]-Audit[[#This Row],[Audit Losing Candidate]]))/(Audit[[#Totals],[Winning Candidate]]-Audit[[#Totals],[Losing Candidate]]),
      0
)</f>
        <v>0</v>
      </c>
      <c r="AV6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8">
        <f>IF(Audit[[#This Row],[Max Relative Error (ep)]] = 0, 0, Audit[[#This Row],[Max Relative Error (ep)]]/Audit[[#This Row],[Error Bound (up) - Max. possible relative overstatement]])</f>
        <v>0</v>
      </c>
      <c r="BH6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3" s="18">
        <f t="shared" si="10"/>
        <v>1</v>
      </c>
      <c r="BJ653" s="18">
        <f>PRODUCT($BI$5:BI653)</f>
        <v>0.32656797278968008</v>
      </c>
      <c r="BK653" s="20">
        <f>1 - Audit[[#This Row],[K-M P Value]]</f>
        <v>0.67343202721031992</v>
      </c>
      <c r="BL653" s="18" t="str">
        <f>IF(Audit[[#This Row],[K-M P Value]]&gt;1-'General Info'!$B$12,"Continue", "Stop")</f>
        <v>Continue</v>
      </c>
      <c r="BM653" s="23" t="b">
        <f>IF(Audit[[#This Row],[Status - Continue or stop audit]] = "Continue", TRUE, IF(BL652 = "Continue", TRUE, FALSE))</f>
        <v>1</v>
      </c>
      <c r="BN653" s="23"/>
    </row>
    <row r="654" spans="1:66" ht="15" hidden="1" customHeight="1" x14ac:dyDescent="0.35">
      <c r="A654" s="18" t="str">
        <f>'Sampling Data'!AI654</f>
        <v/>
      </c>
      <c r="B654" s="18" t="str">
        <f>'Sampling Data'!A654</f>
        <v>1305 CIN 13-E   (ED)</v>
      </c>
      <c r="C654" s="18">
        <f>'Sampling Data'!B654</f>
        <v>14</v>
      </c>
      <c r="D654" s="18">
        <f>'Sampling Data'!C654</f>
        <v>3</v>
      </c>
      <c r="E654" s="19">
        <f>'Sampling Data'!D654</f>
        <v>0</v>
      </c>
      <c r="F654" s="19">
        <f>'Sampling Data'!E654</f>
        <v>0</v>
      </c>
      <c r="G654" s="19">
        <f>'Sampling Data'!F654</f>
        <v>0</v>
      </c>
      <c r="H654" s="19">
        <f>'Sampling Data'!G654</f>
        <v>0</v>
      </c>
      <c r="I654" s="19">
        <f>'Sampling Data'!H654</f>
        <v>0</v>
      </c>
      <c r="J654" s="19">
        <f>'Sampling Data'!I654</f>
        <v>0</v>
      </c>
      <c r="K654" s="19">
        <f>'Sampling Data'!J654</f>
        <v>0</v>
      </c>
      <c r="L654" s="19">
        <f>'Sampling Data'!K654</f>
        <v>0</v>
      </c>
      <c r="M654" s="19">
        <f>'Sampling Data'!L654</f>
        <v>0</v>
      </c>
      <c r="N654" s="19">
        <f>'Sampling Data'!M654</f>
        <v>0</v>
      </c>
      <c r="O654" s="18">
        <f>'Sampling Data'!N654</f>
        <v>0</v>
      </c>
      <c r="P654" s="18">
        <f>'Sampling Data'!O654</f>
        <v>0</v>
      </c>
      <c r="Q654" s="18">
        <f>'Sampling Data'!P654</f>
        <v>17</v>
      </c>
      <c r="R654" s="18">
        <f>'Sampling Data'!AJ654</f>
        <v>0</v>
      </c>
      <c r="S654" s="112"/>
      <c r="T654" s="112"/>
      <c r="U654" s="113"/>
      <c r="V654" s="113"/>
      <c r="W654" s="112"/>
      <c r="X654" s="112"/>
      <c r="Y654" s="112"/>
      <c r="Z654" s="112"/>
      <c r="AA654" s="15"/>
      <c r="AB654" s="15"/>
      <c r="AC654" s="15"/>
      <c r="AD654" s="15"/>
      <c r="AE654" s="114" t="str">
        <f>IF(NOT(ISBLANK(Audit[[#This Row],[Audit Winning Candidate]])), Audit[[#This Row],[Audit Winning Candidate]]-Audit[[#This Row],[Winning Candidate]], "")</f>
        <v/>
      </c>
      <c r="AF654" s="18" t="str">
        <f>IF(NOT(ISBLANK(Audit[[#This Row],[Audit Losing Candidate]])), Audit[[#This Row],[Audit Losing Candidate]]-Audit[[#This Row],[Losing Candidate]], "")</f>
        <v/>
      </c>
      <c r="AG654" s="18" t="str">
        <f>IF(NOT(ISBLANK(Audit[[#This Row],[Audit Candidate 3]])), Audit[[#This Row],[Audit Candidate 3]]-Audit[[#This Row],[Candidate 3]], "")</f>
        <v/>
      </c>
      <c r="AH654" s="18" t="str">
        <f>IF(NOT(ISBLANK(Audit[[#This Row],[Audit Candidate 4]])),Audit[[#This Row],[Audit Candidate 4]]-Audit[[#This Row],[Candidate 4]], "")</f>
        <v/>
      </c>
      <c r="AI654" s="18" t="str">
        <f>IF(NOT(ISBLANK(Audit[[#This Row],[Audit Candidate 5]])), Audit[[#This Row],[Audit Candidate 5]]-Audit[[#This Row],[Candidate 5]], "")</f>
        <v/>
      </c>
      <c r="AJ654" s="18" t="str">
        <f>IF(NOT(ISBLANK(Audit[[#This Row],[Audit Candidate 6]])), Audit[[#This Row],[Audit Candidate 6]]-Audit[[#This Row],[Candidate 6]], "")</f>
        <v/>
      </c>
      <c r="AK654" s="18" t="str">
        <f>IF(NOT(ISBLANK(Audit[[#This Row],[Audit Candidate 7]])), Audit[[#This Row],[Audit Candidate 7]]-Audit[[#This Row],[Candidate 7]], "")</f>
        <v/>
      </c>
      <c r="AL654" s="18" t="str">
        <f>IF(NOT(ISBLANK(Audit[[#This Row],[Audit Candidate 8]])), Audit[[#This Row],[Audit Candidate 8]]-Audit[[#This Row],[Candidate 8]], "")</f>
        <v/>
      </c>
      <c r="AM654" s="18" t="str">
        <f>IF(NOT(ISBLANK(Audit[[#This Row],[Audit Candidate 9]])), Audit[[#This Row],[Audit Candidate 9]]-Audit[[#This Row],[Candidate 9]], "")</f>
        <v/>
      </c>
      <c r="AN654" s="18" t="str">
        <f>IF(NOT(ISBLANK(Audit[[#This Row],[Audit Candidate 10]])), Audit[[#This Row],[Audit Candidate 10]]-Audit[[#This Row],[Candidate 10]], "")</f>
        <v/>
      </c>
      <c r="AO654" s="18" t="str">
        <f>IF(NOT(ISBLANK(Audit[[#This Row],[Audit Candidate 11]])), Audit[[#This Row],[Audit Candidate 11]]-Audit[[#This Row],[Candidate 11]], "")</f>
        <v/>
      </c>
      <c r="AP654" s="18" t="str">
        <f>IF(NOT(ISBLANK(Audit[[#This Row],[Audit Candidate 12]])), Audit[[#This Row],[Audit Candidate 12]]-Audit[[#This Row],[Candidate 12]], "")</f>
        <v/>
      </c>
      <c r="AQ654" s="18">
        <f>SUMIF(Audit[[#This Row],[Difference Winner]:[Difference Candidate 12]], "&gt;0")</f>
        <v>0</v>
      </c>
      <c r="AR654" s="18">
        <f>SUM(Audit[[#This Row],[Difference Winner]:[Difference Candidate 12]])</f>
        <v>0</v>
      </c>
      <c r="AS654" s="18">
        <f>IF(Audit[[#This Row],[Times p Drawn - With Replacement]]&gt;0, IF(Audit[[#This Row],[Canceled Differences]]&lt;0, Audit[[#This Row],[Max Differences]]+ABS(Audit[[#This Row],[Canceled Differences]]), Audit[[#This Row],[Max Differences]]), 0)</f>
        <v>0</v>
      </c>
      <c r="AT654" s="18">
        <f>'Sampling Data'!AB654</f>
        <v>8.7947985048842541E-4</v>
      </c>
      <c r="AU654" s="18">
        <f>IF(
      SUM(Audit[[#This Row],[Audit Losing Candidate]:[Audit Candidate 12]])
      &lt;&gt;0,
      (Audit[[#This Row],[Winning Candidate]]-Audit[[#This Row],[Losing Candidate]]-(Audit[[#This Row],[Audit Winning Candidate]]-Audit[[#This Row],[Audit Losing Candidate]]))/(Audit[[#Totals],[Winning Candidate]]-Audit[[#Totals],[Losing Candidate]]),
      0
)</f>
        <v>0</v>
      </c>
      <c r="AV6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8">
        <f>IF(Audit[[#This Row],[Max Relative Error (ep)]] = 0, 0, Audit[[#This Row],[Max Relative Error (ep)]]/Audit[[#This Row],[Error Bound (up) - Max. possible relative overstatement]])</f>
        <v>0</v>
      </c>
      <c r="BH6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4" s="18">
        <f t="shared" si="10"/>
        <v>1</v>
      </c>
      <c r="BJ654" s="18">
        <f>PRODUCT($BI$5:BI654)</f>
        <v>0.32656797278968008</v>
      </c>
      <c r="BK654" s="20">
        <f>1 - Audit[[#This Row],[K-M P Value]]</f>
        <v>0.67343202721031992</v>
      </c>
      <c r="BL654" s="18" t="str">
        <f>IF(Audit[[#This Row],[K-M P Value]]&gt;1-'General Info'!$B$12,"Continue", "Stop")</f>
        <v>Continue</v>
      </c>
      <c r="BM654" s="23" t="b">
        <f>IF(Audit[[#This Row],[Status - Continue or stop audit]] = "Continue", TRUE, IF(BL653 = "Continue", TRUE, FALSE))</f>
        <v>1</v>
      </c>
      <c r="BN654" s="23"/>
    </row>
    <row r="655" spans="1:66" ht="15" hidden="1" customHeight="1" x14ac:dyDescent="0.35">
      <c r="A655" s="18" t="str">
        <f>'Sampling Data'!AI655</f>
        <v/>
      </c>
      <c r="B655" s="18" t="str">
        <f>'Sampling Data'!A655</f>
        <v>1306 CIN 13-F   (ED)</v>
      </c>
      <c r="C655" s="18">
        <f>'Sampling Data'!B655</f>
        <v>2</v>
      </c>
      <c r="D655" s="18">
        <f>'Sampling Data'!C655</f>
        <v>1</v>
      </c>
      <c r="E655" s="19">
        <f>'Sampling Data'!D655</f>
        <v>0</v>
      </c>
      <c r="F655" s="19">
        <f>'Sampling Data'!E655</f>
        <v>0</v>
      </c>
      <c r="G655" s="19">
        <f>'Sampling Data'!F655</f>
        <v>0</v>
      </c>
      <c r="H655" s="19">
        <f>'Sampling Data'!G655</f>
        <v>0</v>
      </c>
      <c r="I655" s="19">
        <f>'Sampling Data'!H655</f>
        <v>0</v>
      </c>
      <c r="J655" s="19">
        <f>'Sampling Data'!I655</f>
        <v>0</v>
      </c>
      <c r="K655" s="19">
        <f>'Sampling Data'!J655</f>
        <v>0</v>
      </c>
      <c r="L655" s="19">
        <f>'Sampling Data'!K655</f>
        <v>0</v>
      </c>
      <c r="M655" s="19">
        <f>'Sampling Data'!L655</f>
        <v>0</v>
      </c>
      <c r="N655" s="19">
        <f>'Sampling Data'!M655</f>
        <v>0</v>
      </c>
      <c r="O655" s="18">
        <f>'Sampling Data'!N655</f>
        <v>0</v>
      </c>
      <c r="P655" s="18">
        <f>'Sampling Data'!O655</f>
        <v>0</v>
      </c>
      <c r="Q655" s="18">
        <f>'Sampling Data'!P655</f>
        <v>3</v>
      </c>
      <c r="R655" s="18">
        <f>'Sampling Data'!AJ655</f>
        <v>0</v>
      </c>
      <c r="S655" s="112"/>
      <c r="T655" s="112"/>
      <c r="U655" s="113"/>
      <c r="V655" s="113"/>
      <c r="W655" s="112"/>
      <c r="X655" s="112"/>
      <c r="Y655" s="112"/>
      <c r="Z655" s="112"/>
      <c r="AA655" s="15"/>
      <c r="AB655" s="15"/>
      <c r="AC655" s="15"/>
      <c r="AD655" s="15"/>
      <c r="AE655" s="114" t="str">
        <f>IF(NOT(ISBLANK(Audit[[#This Row],[Audit Winning Candidate]])), Audit[[#This Row],[Audit Winning Candidate]]-Audit[[#This Row],[Winning Candidate]], "")</f>
        <v/>
      </c>
      <c r="AF655" s="18" t="str">
        <f>IF(NOT(ISBLANK(Audit[[#This Row],[Audit Losing Candidate]])), Audit[[#This Row],[Audit Losing Candidate]]-Audit[[#This Row],[Losing Candidate]], "")</f>
        <v/>
      </c>
      <c r="AG655" s="18" t="str">
        <f>IF(NOT(ISBLANK(Audit[[#This Row],[Audit Candidate 3]])), Audit[[#This Row],[Audit Candidate 3]]-Audit[[#This Row],[Candidate 3]], "")</f>
        <v/>
      </c>
      <c r="AH655" s="18" t="str">
        <f>IF(NOT(ISBLANK(Audit[[#This Row],[Audit Candidate 4]])),Audit[[#This Row],[Audit Candidate 4]]-Audit[[#This Row],[Candidate 4]], "")</f>
        <v/>
      </c>
      <c r="AI655" s="18" t="str">
        <f>IF(NOT(ISBLANK(Audit[[#This Row],[Audit Candidate 5]])), Audit[[#This Row],[Audit Candidate 5]]-Audit[[#This Row],[Candidate 5]], "")</f>
        <v/>
      </c>
      <c r="AJ655" s="18" t="str">
        <f>IF(NOT(ISBLANK(Audit[[#This Row],[Audit Candidate 6]])), Audit[[#This Row],[Audit Candidate 6]]-Audit[[#This Row],[Candidate 6]], "")</f>
        <v/>
      </c>
      <c r="AK655" s="18" t="str">
        <f>IF(NOT(ISBLANK(Audit[[#This Row],[Audit Candidate 7]])), Audit[[#This Row],[Audit Candidate 7]]-Audit[[#This Row],[Candidate 7]], "")</f>
        <v/>
      </c>
      <c r="AL655" s="18" t="str">
        <f>IF(NOT(ISBLANK(Audit[[#This Row],[Audit Candidate 8]])), Audit[[#This Row],[Audit Candidate 8]]-Audit[[#This Row],[Candidate 8]], "")</f>
        <v/>
      </c>
      <c r="AM655" s="18" t="str">
        <f>IF(NOT(ISBLANK(Audit[[#This Row],[Audit Candidate 9]])), Audit[[#This Row],[Audit Candidate 9]]-Audit[[#This Row],[Candidate 9]], "")</f>
        <v/>
      </c>
      <c r="AN655" s="18" t="str">
        <f>IF(NOT(ISBLANK(Audit[[#This Row],[Audit Candidate 10]])), Audit[[#This Row],[Audit Candidate 10]]-Audit[[#This Row],[Candidate 10]], "")</f>
        <v/>
      </c>
      <c r="AO655" s="18" t="str">
        <f>IF(NOT(ISBLANK(Audit[[#This Row],[Audit Candidate 11]])), Audit[[#This Row],[Audit Candidate 11]]-Audit[[#This Row],[Candidate 11]], "")</f>
        <v/>
      </c>
      <c r="AP655" s="18" t="str">
        <f>IF(NOT(ISBLANK(Audit[[#This Row],[Audit Candidate 12]])), Audit[[#This Row],[Audit Candidate 12]]-Audit[[#This Row],[Candidate 12]], "")</f>
        <v/>
      </c>
      <c r="AQ655" s="18">
        <f>SUMIF(Audit[[#This Row],[Difference Winner]:[Difference Candidate 12]], "&gt;0")</f>
        <v>0</v>
      </c>
      <c r="AR655" s="18">
        <f>SUM(Audit[[#This Row],[Difference Winner]:[Difference Candidate 12]])</f>
        <v>0</v>
      </c>
      <c r="AS655" s="18">
        <f>IF(Audit[[#This Row],[Times p Drawn - With Replacement]]&gt;0, IF(Audit[[#This Row],[Canceled Differences]]&lt;0, Audit[[#This Row],[Max Differences]]+ABS(Audit[[#This Row],[Canceled Differences]]), Audit[[#This Row],[Max Differences]]), 0)</f>
        <v>0</v>
      </c>
      <c r="AT655" s="18">
        <f>'Sampling Data'!AB655</f>
        <v>1.2563997864120362E-4</v>
      </c>
      <c r="AU655" s="18">
        <f>IF(
      SUM(Audit[[#This Row],[Audit Losing Candidate]:[Audit Candidate 12]])
      &lt;&gt;0,
      (Audit[[#This Row],[Winning Candidate]]-Audit[[#This Row],[Losing Candidate]]-(Audit[[#This Row],[Audit Winning Candidate]]-Audit[[#This Row],[Audit Losing Candidate]]))/(Audit[[#Totals],[Winning Candidate]]-Audit[[#Totals],[Losing Candidate]]),
      0
)</f>
        <v>0</v>
      </c>
      <c r="AV6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8">
        <f>IF(Audit[[#This Row],[Max Relative Error (ep)]] = 0, 0, Audit[[#This Row],[Max Relative Error (ep)]]/Audit[[#This Row],[Error Bound (up) - Max. possible relative overstatement]])</f>
        <v>0</v>
      </c>
      <c r="BH6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5" s="18">
        <f t="shared" ref="BI655:BI718" si="11">IF(ISERR(POWER(BH655,R655)), 0, POWER(BH655,R655))</f>
        <v>1</v>
      </c>
      <c r="BJ655" s="18">
        <f>PRODUCT($BI$5:BI655)</f>
        <v>0.32656797278968008</v>
      </c>
      <c r="BK655" s="20">
        <f>1 - Audit[[#This Row],[K-M P Value]]</f>
        <v>0.67343202721031992</v>
      </c>
      <c r="BL655" s="18" t="str">
        <f>IF(Audit[[#This Row],[K-M P Value]]&gt;1-'General Info'!$B$12,"Continue", "Stop")</f>
        <v>Continue</v>
      </c>
      <c r="BM655" s="23" t="b">
        <f>IF(Audit[[#This Row],[Status - Continue or stop audit]] = "Continue", TRUE, IF(BL654 = "Continue", TRUE, FALSE))</f>
        <v>1</v>
      </c>
      <c r="BN655" s="23"/>
    </row>
    <row r="656" spans="1:66" ht="15" hidden="1" customHeight="1" x14ac:dyDescent="0.35">
      <c r="A656" s="18" t="str">
        <f>'Sampling Data'!AI656</f>
        <v/>
      </c>
      <c r="B656" s="18" t="str">
        <f>'Sampling Data'!A656</f>
        <v>1307 CIN 13-G   (ED)</v>
      </c>
      <c r="C656" s="18">
        <f>'Sampling Data'!B656</f>
        <v>5</v>
      </c>
      <c r="D656" s="18">
        <f>'Sampling Data'!C656</f>
        <v>1</v>
      </c>
      <c r="E656" s="19">
        <f>'Sampling Data'!D656</f>
        <v>0</v>
      </c>
      <c r="F656" s="19">
        <f>'Sampling Data'!E656</f>
        <v>0</v>
      </c>
      <c r="G656" s="19">
        <f>'Sampling Data'!F656</f>
        <v>0</v>
      </c>
      <c r="H656" s="19">
        <f>'Sampling Data'!G656</f>
        <v>0</v>
      </c>
      <c r="I656" s="19">
        <f>'Sampling Data'!H656</f>
        <v>0</v>
      </c>
      <c r="J656" s="19">
        <f>'Sampling Data'!I656</f>
        <v>0</v>
      </c>
      <c r="K656" s="19">
        <f>'Sampling Data'!J656</f>
        <v>0</v>
      </c>
      <c r="L656" s="19">
        <f>'Sampling Data'!K656</f>
        <v>0</v>
      </c>
      <c r="M656" s="19">
        <f>'Sampling Data'!L656</f>
        <v>0</v>
      </c>
      <c r="N656" s="19">
        <f>'Sampling Data'!M656</f>
        <v>0</v>
      </c>
      <c r="O656" s="18">
        <f>'Sampling Data'!N656</f>
        <v>0</v>
      </c>
      <c r="P656" s="18">
        <f>'Sampling Data'!O656</f>
        <v>0</v>
      </c>
      <c r="Q656" s="18">
        <f>'Sampling Data'!P656</f>
        <v>6</v>
      </c>
      <c r="R656" s="18">
        <f>'Sampling Data'!AJ656</f>
        <v>0</v>
      </c>
      <c r="S656" s="112"/>
      <c r="T656" s="112"/>
      <c r="U656" s="113"/>
      <c r="V656" s="113"/>
      <c r="W656" s="112"/>
      <c r="X656" s="112"/>
      <c r="Y656" s="112"/>
      <c r="Z656" s="112"/>
      <c r="AA656" s="15"/>
      <c r="AB656" s="15"/>
      <c r="AC656" s="15"/>
      <c r="AD656" s="15"/>
      <c r="AE656" s="114" t="str">
        <f>IF(NOT(ISBLANK(Audit[[#This Row],[Audit Winning Candidate]])), Audit[[#This Row],[Audit Winning Candidate]]-Audit[[#This Row],[Winning Candidate]], "")</f>
        <v/>
      </c>
      <c r="AF656" s="18" t="str">
        <f>IF(NOT(ISBLANK(Audit[[#This Row],[Audit Losing Candidate]])), Audit[[#This Row],[Audit Losing Candidate]]-Audit[[#This Row],[Losing Candidate]], "")</f>
        <v/>
      </c>
      <c r="AG656" s="18" t="str">
        <f>IF(NOT(ISBLANK(Audit[[#This Row],[Audit Candidate 3]])), Audit[[#This Row],[Audit Candidate 3]]-Audit[[#This Row],[Candidate 3]], "")</f>
        <v/>
      </c>
      <c r="AH656" s="18" t="str">
        <f>IF(NOT(ISBLANK(Audit[[#This Row],[Audit Candidate 4]])),Audit[[#This Row],[Audit Candidate 4]]-Audit[[#This Row],[Candidate 4]], "")</f>
        <v/>
      </c>
      <c r="AI656" s="18" t="str">
        <f>IF(NOT(ISBLANK(Audit[[#This Row],[Audit Candidate 5]])), Audit[[#This Row],[Audit Candidate 5]]-Audit[[#This Row],[Candidate 5]], "")</f>
        <v/>
      </c>
      <c r="AJ656" s="18" t="str">
        <f>IF(NOT(ISBLANK(Audit[[#This Row],[Audit Candidate 6]])), Audit[[#This Row],[Audit Candidate 6]]-Audit[[#This Row],[Candidate 6]], "")</f>
        <v/>
      </c>
      <c r="AK656" s="18" t="str">
        <f>IF(NOT(ISBLANK(Audit[[#This Row],[Audit Candidate 7]])), Audit[[#This Row],[Audit Candidate 7]]-Audit[[#This Row],[Candidate 7]], "")</f>
        <v/>
      </c>
      <c r="AL656" s="18" t="str">
        <f>IF(NOT(ISBLANK(Audit[[#This Row],[Audit Candidate 8]])), Audit[[#This Row],[Audit Candidate 8]]-Audit[[#This Row],[Candidate 8]], "")</f>
        <v/>
      </c>
      <c r="AM656" s="18" t="str">
        <f>IF(NOT(ISBLANK(Audit[[#This Row],[Audit Candidate 9]])), Audit[[#This Row],[Audit Candidate 9]]-Audit[[#This Row],[Candidate 9]], "")</f>
        <v/>
      </c>
      <c r="AN656" s="18" t="str">
        <f>IF(NOT(ISBLANK(Audit[[#This Row],[Audit Candidate 10]])), Audit[[#This Row],[Audit Candidate 10]]-Audit[[#This Row],[Candidate 10]], "")</f>
        <v/>
      </c>
      <c r="AO656" s="18" t="str">
        <f>IF(NOT(ISBLANK(Audit[[#This Row],[Audit Candidate 11]])), Audit[[#This Row],[Audit Candidate 11]]-Audit[[#This Row],[Candidate 11]], "")</f>
        <v/>
      </c>
      <c r="AP656" s="18" t="str">
        <f>IF(NOT(ISBLANK(Audit[[#This Row],[Audit Candidate 12]])), Audit[[#This Row],[Audit Candidate 12]]-Audit[[#This Row],[Candidate 12]], "")</f>
        <v/>
      </c>
      <c r="AQ656" s="18">
        <f>SUMIF(Audit[[#This Row],[Difference Winner]:[Difference Candidate 12]], "&gt;0")</f>
        <v>0</v>
      </c>
      <c r="AR656" s="18">
        <f>SUM(Audit[[#This Row],[Difference Winner]:[Difference Candidate 12]])</f>
        <v>0</v>
      </c>
      <c r="AS656" s="18">
        <f>IF(Audit[[#This Row],[Times p Drawn - With Replacement]]&gt;0, IF(Audit[[#This Row],[Canceled Differences]]&lt;0, Audit[[#This Row],[Max Differences]]+ABS(Audit[[#This Row],[Canceled Differences]]), Audit[[#This Row],[Max Differences]]), 0)</f>
        <v>0</v>
      </c>
      <c r="AT656" s="18">
        <f>'Sampling Data'!AB656</f>
        <v>3.1409994660300906E-4</v>
      </c>
      <c r="AU656" s="18">
        <f>IF(
      SUM(Audit[[#This Row],[Audit Losing Candidate]:[Audit Candidate 12]])
      &lt;&gt;0,
      (Audit[[#This Row],[Winning Candidate]]-Audit[[#This Row],[Losing Candidate]]-(Audit[[#This Row],[Audit Winning Candidate]]-Audit[[#This Row],[Audit Losing Candidate]]))/(Audit[[#Totals],[Winning Candidate]]-Audit[[#Totals],[Losing Candidate]]),
      0
)</f>
        <v>0</v>
      </c>
      <c r="AV6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8">
        <f>IF(Audit[[#This Row],[Max Relative Error (ep)]] = 0, 0, Audit[[#This Row],[Max Relative Error (ep)]]/Audit[[#This Row],[Error Bound (up) - Max. possible relative overstatement]])</f>
        <v>0</v>
      </c>
      <c r="BH6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6" s="18">
        <f t="shared" si="11"/>
        <v>1</v>
      </c>
      <c r="BJ656" s="18">
        <f>PRODUCT($BI$5:BI656)</f>
        <v>0.32656797278968008</v>
      </c>
      <c r="BK656" s="20">
        <f>1 - Audit[[#This Row],[K-M P Value]]</f>
        <v>0.67343202721031992</v>
      </c>
      <c r="BL656" s="18" t="str">
        <f>IF(Audit[[#This Row],[K-M P Value]]&gt;1-'General Info'!$B$12,"Continue", "Stop")</f>
        <v>Continue</v>
      </c>
      <c r="BM656" s="23" t="b">
        <f>IF(Audit[[#This Row],[Status - Continue or stop audit]] = "Continue", TRUE, IF(BL655 = "Continue", TRUE, FALSE))</f>
        <v>1</v>
      </c>
      <c r="BN656" s="23"/>
    </row>
    <row r="657" spans="1:66" ht="15" hidden="1" customHeight="1" x14ac:dyDescent="0.35">
      <c r="A657" s="18" t="str">
        <f>'Sampling Data'!AI657</f>
        <v/>
      </c>
      <c r="B657" s="18" t="str">
        <f>'Sampling Data'!A657</f>
        <v>1308 CIN 13-H   (ED)</v>
      </c>
      <c r="C657" s="18">
        <f>'Sampling Data'!B657</f>
        <v>2</v>
      </c>
      <c r="D657" s="18">
        <f>'Sampling Data'!C657</f>
        <v>1</v>
      </c>
      <c r="E657" s="19">
        <f>'Sampling Data'!D657</f>
        <v>0</v>
      </c>
      <c r="F657" s="19">
        <f>'Sampling Data'!E657</f>
        <v>0</v>
      </c>
      <c r="G657" s="19">
        <f>'Sampling Data'!F657</f>
        <v>0</v>
      </c>
      <c r="H657" s="19">
        <f>'Sampling Data'!G657</f>
        <v>0</v>
      </c>
      <c r="I657" s="19">
        <f>'Sampling Data'!H657</f>
        <v>0</v>
      </c>
      <c r="J657" s="19">
        <f>'Sampling Data'!I657</f>
        <v>0</v>
      </c>
      <c r="K657" s="19">
        <f>'Sampling Data'!J657</f>
        <v>0</v>
      </c>
      <c r="L657" s="19">
        <f>'Sampling Data'!K657</f>
        <v>0</v>
      </c>
      <c r="M657" s="19">
        <f>'Sampling Data'!L657</f>
        <v>0</v>
      </c>
      <c r="N657" s="19">
        <f>'Sampling Data'!M657</f>
        <v>0</v>
      </c>
      <c r="O657" s="18">
        <f>'Sampling Data'!N657</f>
        <v>0</v>
      </c>
      <c r="P657" s="18">
        <f>'Sampling Data'!O657</f>
        <v>0</v>
      </c>
      <c r="Q657" s="18">
        <f>'Sampling Data'!P657</f>
        <v>3</v>
      </c>
      <c r="R657" s="18">
        <f>'Sampling Data'!AJ657</f>
        <v>0</v>
      </c>
      <c r="S657" s="112"/>
      <c r="T657" s="112"/>
      <c r="U657" s="113"/>
      <c r="V657" s="113"/>
      <c r="W657" s="112"/>
      <c r="X657" s="112"/>
      <c r="Y657" s="112"/>
      <c r="Z657" s="112"/>
      <c r="AA657" s="15"/>
      <c r="AB657" s="15"/>
      <c r="AC657" s="15"/>
      <c r="AD657" s="15"/>
      <c r="AE657" s="114" t="str">
        <f>IF(NOT(ISBLANK(Audit[[#This Row],[Audit Winning Candidate]])), Audit[[#This Row],[Audit Winning Candidate]]-Audit[[#This Row],[Winning Candidate]], "")</f>
        <v/>
      </c>
      <c r="AF657" s="18" t="str">
        <f>IF(NOT(ISBLANK(Audit[[#This Row],[Audit Losing Candidate]])), Audit[[#This Row],[Audit Losing Candidate]]-Audit[[#This Row],[Losing Candidate]], "")</f>
        <v/>
      </c>
      <c r="AG657" s="18" t="str">
        <f>IF(NOT(ISBLANK(Audit[[#This Row],[Audit Candidate 3]])), Audit[[#This Row],[Audit Candidate 3]]-Audit[[#This Row],[Candidate 3]], "")</f>
        <v/>
      </c>
      <c r="AH657" s="18" t="str">
        <f>IF(NOT(ISBLANK(Audit[[#This Row],[Audit Candidate 4]])),Audit[[#This Row],[Audit Candidate 4]]-Audit[[#This Row],[Candidate 4]], "")</f>
        <v/>
      </c>
      <c r="AI657" s="18" t="str">
        <f>IF(NOT(ISBLANK(Audit[[#This Row],[Audit Candidate 5]])), Audit[[#This Row],[Audit Candidate 5]]-Audit[[#This Row],[Candidate 5]], "")</f>
        <v/>
      </c>
      <c r="AJ657" s="18" t="str">
        <f>IF(NOT(ISBLANK(Audit[[#This Row],[Audit Candidate 6]])), Audit[[#This Row],[Audit Candidate 6]]-Audit[[#This Row],[Candidate 6]], "")</f>
        <v/>
      </c>
      <c r="AK657" s="18" t="str">
        <f>IF(NOT(ISBLANK(Audit[[#This Row],[Audit Candidate 7]])), Audit[[#This Row],[Audit Candidate 7]]-Audit[[#This Row],[Candidate 7]], "")</f>
        <v/>
      </c>
      <c r="AL657" s="18" t="str">
        <f>IF(NOT(ISBLANK(Audit[[#This Row],[Audit Candidate 8]])), Audit[[#This Row],[Audit Candidate 8]]-Audit[[#This Row],[Candidate 8]], "")</f>
        <v/>
      </c>
      <c r="AM657" s="18" t="str">
        <f>IF(NOT(ISBLANK(Audit[[#This Row],[Audit Candidate 9]])), Audit[[#This Row],[Audit Candidate 9]]-Audit[[#This Row],[Candidate 9]], "")</f>
        <v/>
      </c>
      <c r="AN657" s="18" t="str">
        <f>IF(NOT(ISBLANK(Audit[[#This Row],[Audit Candidate 10]])), Audit[[#This Row],[Audit Candidate 10]]-Audit[[#This Row],[Candidate 10]], "")</f>
        <v/>
      </c>
      <c r="AO657" s="18" t="str">
        <f>IF(NOT(ISBLANK(Audit[[#This Row],[Audit Candidate 11]])), Audit[[#This Row],[Audit Candidate 11]]-Audit[[#This Row],[Candidate 11]], "")</f>
        <v/>
      </c>
      <c r="AP657" s="18" t="str">
        <f>IF(NOT(ISBLANK(Audit[[#This Row],[Audit Candidate 12]])), Audit[[#This Row],[Audit Candidate 12]]-Audit[[#This Row],[Candidate 12]], "")</f>
        <v/>
      </c>
      <c r="AQ657" s="18">
        <f>SUMIF(Audit[[#This Row],[Difference Winner]:[Difference Candidate 12]], "&gt;0")</f>
        <v>0</v>
      </c>
      <c r="AR657" s="18">
        <f>SUM(Audit[[#This Row],[Difference Winner]:[Difference Candidate 12]])</f>
        <v>0</v>
      </c>
      <c r="AS657" s="18">
        <f>IF(Audit[[#This Row],[Times p Drawn - With Replacement]]&gt;0, IF(Audit[[#This Row],[Canceled Differences]]&lt;0, Audit[[#This Row],[Max Differences]]+ABS(Audit[[#This Row],[Canceled Differences]]), Audit[[#This Row],[Max Differences]]), 0)</f>
        <v>0</v>
      </c>
      <c r="AT657" s="18">
        <f>'Sampling Data'!AB657</f>
        <v>1.2563997864120362E-4</v>
      </c>
      <c r="AU657" s="18">
        <f>IF(
      SUM(Audit[[#This Row],[Audit Losing Candidate]:[Audit Candidate 12]])
      &lt;&gt;0,
      (Audit[[#This Row],[Winning Candidate]]-Audit[[#This Row],[Losing Candidate]]-(Audit[[#This Row],[Audit Winning Candidate]]-Audit[[#This Row],[Audit Losing Candidate]]))/(Audit[[#Totals],[Winning Candidate]]-Audit[[#Totals],[Losing Candidate]]),
      0
)</f>
        <v>0</v>
      </c>
      <c r="AV6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8">
        <f>IF(Audit[[#This Row],[Max Relative Error (ep)]] = 0, 0, Audit[[#This Row],[Max Relative Error (ep)]]/Audit[[#This Row],[Error Bound (up) - Max. possible relative overstatement]])</f>
        <v>0</v>
      </c>
      <c r="BH6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7" s="18">
        <f t="shared" si="11"/>
        <v>1</v>
      </c>
      <c r="BJ657" s="18">
        <f>PRODUCT($BI$5:BI657)</f>
        <v>0.32656797278968008</v>
      </c>
      <c r="BK657" s="20">
        <f>1 - Audit[[#This Row],[K-M P Value]]</f>
        <v>0.67343202721031992</v>
      </c>
      <c r="BL657" s="18" t="str">
        <f>IF(Audit[[#This Row],[K-M P Value]]&gt;1-'General Info'!$B$12,"Continue", "Stop")</f>
        <v>Continue</v>
      </c>
      <c r="BM657" s="23" t="b">
        <f>IF(Audit[[#This Row],[Status - Continue or stop audit]] = "Continue", TRUE, IF(BL656 = "Continue", TRUE, FALSE))</f>
        <v>1</v>
      </c>
      <c r="BN657" s="23"/>
    </row>
    <row r="658" spans="1:66" ht="15" hidden="1" customHeight="1" x14ac:dyDescent="0.35">
      <c r="A658" s="18" t="str">
        <f>'Sampling Data'!AI658</f>
        <v/>
      </c>
      <c r="B658" s="18" t="str">
        <f>'Sampling Data'!A658</f>
        <v>1401 CIN 14-A   (ED)</v>
      </c>
      <c r="C658" s="18">
        <f>'Sampling Data'!B658</f>
        <v>18</v>
      </c>
      <c r="D658" s="18">
        <f>'Sampling Data'!C658</f>
        <v>9</v>
      </c>
      <c r="E658" s="19">
        <f>'Sampling Data'!D658</f>
        <v>0</v>
      </c>
      <c r="F658" s="19">
        <f>'Sampling Data'!E658</f>
        <v>0</v>
      </c>
      <c r="G658" s="19">
        <f>'Sampling Data'!F658</f>
        <v>0</v>
      </c>
      <c r="H658" s="19">
        <f>'Sampling Data'!G658</f>
        <v>0</v>
      </c>
      <c r="I658" s="19">
        <f>'Sampling Data'!H658</f>
        <v>0</v>
      </c>
      <c r="J658" s="19">
        <f>'Sampling Data'!I658</f>
        <v>0</v>
      </c>
      <c r="K658" s="19">
        <f>'Sampling Data'!J658</f>
        <v>0</v>
      </c>
      <c r="L658" s="19">
        <f>'Sampling Data'!K658</f>
        <v>0</v>
      </c>
      <c r="M658" s="19">
        <f>'Sampling Data'!L658</f>
        <v>0</v>
      </c>
      <c r="N658" s="19">
        <f>'Sampling Data'!M658</f>
        <v>0</v>
      </c>
      <c r="O658" s="18">
        <f>'Sampling Data'!N658</f>
        <v>0</v>
      </c>
      <c r="P658" s="18">
        <f>'Sampling Data'!O658</f>
        <v>0</v>
      </c>
      <c r="Q658" s="18">
        <f>'Sampling Data'!P658</f>
        <v>27</v>
      </c>
      <c r="R658" s="18">
        <f>'Sampling Data'!AJ658</f>
        <v>0</v>
      </c>
      <c r="S658" s="112"/>
      <c r="T658" s="112"/>
      <c r="U658" s="113"/>
      <c r="V658" s="113"/>
      <c r="W658" s="112"/>
      <c r="X658" s="112"/>
      <c r="Y658" s="112"/>
      <c r="Z658" s="112"/>
      <c r="AA658" s="15"/>
      <c r="AB658" s="15"/>
      <c r="AC658" s="15"/>
      <c r="AD658" s="15"/>
      <c r="AE658" s="114" t="str">
        <f>IF(NOT(ISBLANK(Audit[[#This Row],[Audit Winning Candidate]])), Audit[[#This Row],[Audit Winning Candidate]]-Audit[[#This Row],[Winning Candidate]], "")</f>
        <v/>
      </c>
      <c r="AF658" s="18" t="str">
        <f>IF(NOT(ISBLANK(Audit[[#This Row],[Audit Losing Candidate]])), Audit[[#This Row],[Audit Losing Candidate]]-Audit[[#This Row],[Losing Candidate]], "")</f>
        <v/>
      </c>
      <c r="AG658" s="18" t="str">
        <f>IF(NOT(ISBLANK(Audit[[#This Row],[Audit Candidate 3]])), Audit[[#This Row],[Audit Candidate 3]]-Audit[[#This Row],[Candidate 3]], "")</f>
        <v/>
      </c>
      <c r="AH658" s="18" t="str">
        <f>IF(NOT(ISBLANK(Audit[[#This Row],[Audit Candidate 4]])),Audit[[#This Row],[Audit Candidate 4]]-Audit[[#This Row],[Candidate 4]], "")</f>
        <v/>
      </c>
      <c r="AI658" s="18" t="str">
        <f>IF(NOT(ISBLANK(Audit[[#This Row],[Audit Candidate 5]])), Audit[[#This Row],[Audit Candidate 5]]-Audit[[#This Row],[Candidate 5]], "")</f>
        <v/>
      </c>
      <c r="AJ658" s="18" t="str">
        <f>IF(NOT(ISBLANK(Audit[[#This Row],[Audit Candidate 6]])), Audit[[#This Row],[Audit Candidate 6]]-Audit[[#This Row],[Candidate 6]], "")</f>
        <v/>
      </c>
      <c r="AK658" s="18" t="str">
        <f>IF(NOT(ISBLANK(Audit[[#This Row],[Audit Candidate 7]])), Audit[[#This Row],[Audit Candidate 7]]-Audit[[#This Row],[Candidate 7]], "")</f>
        <v/>
      </c>
      <c r="AL658" s="18" t="str">
        <f>IF(NOT(ISBLANK(Audit[[#This Row],[Audit Candidate 8]])), Audit[[#This Row],[Audit Candidate 8]]-Audit[[#This Row],[Candidate 8]], "")</f>
        <v/>
      </c>
      <c r="AM658" s="18" t="str">
        <f>IF(NOT(ISBLANK(Audit[[#This Row],[Audit Candidate 9]])), Audit[[#This Row],[Audit Candidate 9]]-Audit[[#This Row],[Candidate 9]], "")</f>
        <v/>
      </c>
      <c r="AN658" s="18" t="str">
        <f>IF(NOT(ISBLANK(Audit[[#This Row],[Audit Candidate 10]])), Audit[[#This Row],[Audit Candidate 10]]-Audit[[#This Row],[Candidate 10]], "")</f>
        <v/>
      </c>
      <c r="AO658" s="18" t="str">
        <f>IF(NOT(ISBLANK(Audit[[#This Row],[Audit Candidate 11]])), Audit[[#This Row],[Audit Candidate 11]]-Audit[[#This Row],[Candidate 11]], "")</f>
        <v/>
      </c>
      <c r="AP658" s="18" t="str">
        <f>IF(NOT(ISBLANK(Audit[[#This Row],[Audit Candidate 12]])), Audit[[#This Row],[Audit Candidate 12]]-Audit[[#This Row],[Candidate 12]], "")</f>
        <v/>
      </c>
      <c r="AQ658" s="18">
        <f>SUMIF(Audit[[#This Row],[Difference Winner]:[Difference Candidate 12]], "&gt;0")</f>
        <v>0</v>
      </c>
      <c r="AR658" s="18">
        <f>SUM(Audit[[#This Row],[Difference Winner]:[Difference Candidate 12]])</f>
        <v>0</v>
      </c>
      <c r="AS658" s="18">
        <f>IF(Audit[[#This Row],[Times p Drawn - With Replacement]]&gt;0, IF(Audit[[#This Row],[Canceled Differences]]&lt;0, Audit[[#This Row],[Max Differences]]+ABS(Audit[[#This Row],[Canceled Differences]]), Audit[[#This Row],[Max Differences]]), 0)</f>
        <v>0</v>
      </c>
      <c r="AT658" s="18">
        <f>'Sampling Data'!AB658</f>
        <v>1.1307598077708327E-3</v>
      </c>
      <c r="AU658" s="18">
        <f>IF(
      SUM(Audit[[#This Row],[Audit Losing Candidate]:[Audit Candidate 12]])
      &lt;&gt;0,
      (Audit[[#This Row],[Winning Candidate]]-Audit[[#This Row],[Losing Candidate]]-(Audit[[#This Row],[Audit Winning Candidate]]-Audit[[#This Row],[Audit Losing Candidate]]))/(Audit[[#Totals],[Winning Candidate]]-Audit[[#Totals],[Losing Candidate]]),
      0
)</f>
        <v>0</v>
      </c>
      <c r="AV6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8">
        <f>IF(Audit[[#This Row],[Max Relative Error (ep)]] = 0, 0, Audit[[#This Row],[Max Relative Error (ep)]]/Audit[[#This Row],[Error Bound (up) - Max. possible relative overstatement]])</f>
        <v>0</v>
      </c>
      <c r="BH6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8" s="18">
        <f t="shared" si="11"/>
        <v>1</v>
      </c>
      <c r="BJ658" s="18">
        <f>PRODUCT($BI$5:BI658)</f>
        <v>0.32656797278968008</v>
      </c>
      <c r="BK658" s="20">
        <f>1 - Audit[[#This Row],[K-M P Value]]</f>
        <v>0.67343202721031992</v>
      </c>
      <c r="BL658" s="18" t="str">
        <f>IF(Audit[[#This Row],[K-M P Value]]&gt;1-'General Info'!$B$12,"Continue", "Stop")</f>
        <v>Continue</v>
      </c>
      <c r="BM658" s="23" t="b">
        <f>IF(Audit[[#This Row],[Status - Continue or stop audit]] = "Continue", TRUE, IF(BL657 = "Continue", TRUE, FALSE))</f>
        <v>1</v>
      </c>
      <c r="BN658" s="23"/>
    </row>
    <row r="659" spans="1:66" ht="15" hidden="1" customHeight="1" x14ac:dyDescent="0.35">
      <c r="A659" s="18" t="str">
        <f>'Sampling Data'!AI659</f>
        <v/>
      </c>
      <c r="B659" s="18" t="str">
        <f>'Sampling Data'!A659</f>
        <v>1402 CIN 14-B   (ED)</v>
      </c>
      <c r="C659" s="18">
        <f>'Sampling Data'!B659</f>
        <v>3</v>
      </c>
      <c r="D659" s="18">
        <f>'Sampling Data'!C659</f>
        <v>3</v>
      </c>
      <c r="E659" s="19">
        <f>'Sampling Data'!D659</f>
        <v>0</v>
      </c>
      <c r="F659" s="19">
        <f>'Sampling Data'!E659</f>
        <v>0</v>
      </c>
      <c r="G659" s="19">
        <f>'Sampling Data'!F659</f>
        <v>0</v>
      </c>
      <c r="H659" s="19">
        <f>'Sampling Data'!G659</f>
        <v>0</v>
      </c>
      <c r="I659" s="19">
        <f>'Sampling Data'!H659</f>
        <v>0</v>
      </c>
      <c r="J659" s="19">
        <f>'Sampling Data'!I659</f>
        <v>0</v>
      </c>
      <c r="K659" s="19">
        <f>'Sampling Data'!J659</f>
        <v>0</v>
      </c>
      <c r="L659" s="19">
        <f>'Sampling Data'!K659</f>
        <v>0</v>
      </c>
      <c r="M659" s="19">
        <f>'Sampling Data'!L659</f>
        <v>0</v>
      </c>
      <c r="N659" s="19">
        <f>'Sampling Data'!M659</f>
        <v>0</v>
      </c>
      <c r="O659" s="18">
        <f>'Sampling Data'!N659</f>
        <v>0</v>
      </c>
      <c r="P659" s="18">
        <f>'Sampling Data'!O659</f>
        <v>0</v>
      </c>
      <c r="Q659" s="18">
        <f>'Sampling Data'!P659</f>
        <v>6</v>
      </c>
      <c r="R659" s="18">
        <f>'Sampling Data'!AJ659</f>
        <v>0</v>
      </c>
      <c r="S659" s="112"/>
      <c r="T659" s="112"/>
      <c r="U659" s="113"/>
      <c r="V659" s="113"/>
      <c r="W659" s="112"/>
      <c r="X659" s="112"/>
      <c r="Y659" s="112"/>
      <c r="Z659" s="112"/>
      <c r="AA659" s="15"/>
      <c r="AB659" s="15"/>
      <c r="AC659" s="15"/>
      <c r="AD659" s="15"/>
      <c r="AE659" s="114" t="str">
        <f>IF(NOT(ISBLANK(Audit[[#This Row],[Audit Winning Candidate]])), Audit[[#This Row],[Audit Winning Candidate]]-Audit[[#This Row],[Winning Candidate]], "")</f>
        <v/>
      </c>
      <c r="AF659" s="18" t="str">
        <f>IF(NOT(ISBLANK(Audit[[#This Row],[Audit Losing Candidate]])), Audit[[#This Row],[Audit Losing Candidate]]-Audit[[#This Row],[Losing Candidate]], "")</f>
        <v/>
      </c>
      <c r="AG659" s="18" t="str">
        <f>IF(NOT(ISBLANK(Audit[[#This Row],[Audit Candidate 3]])), Audit[[#This Row],[Audit Candidate 3]]-Audit[[#This Row],[Candidate 3]], "")</f>
        <v/>
      </c>
      <c r="AH659" s="18" t="str">
        <f>IF(NOT(ISBLANK(Audit[[#This Row],[Audit Candidate 4]])),Audit[[#This Row],[Audit Candidate 4]]-Audit[[#This Row],[Candidate 4]], "")</f>
        <v/>
      </c>
      <c r="AI659" s="18" t="str">
        <f>IF(NOT(ISBLANK(Audit[[#This Row],[Audit Candidate 5]])), Audit[[#This Row],[Audit Candidate 5]]-Audit[[#This Row],[Candidate 5]], "")</f>
        <v/>
      </c>
      <c r="AJ659" s="18" t="str">
        <f>IF(NOT(ISBLANK(Audit[[#This Row],[Audit Candidate 6]])), Audit[[#This Row],[Audit Candidate 6]]-Audit[[#This Row],[Candidate 6]], "")</f>
        <v/>
      </c>
      <c r="AK659" s="18" t="str">
        <f>IF(NOT(ISBLANK(Audit[[#This Row],[Audit Candidate 7]])), Audit[[#This Row],[Audit Candidate 7]]-Audit[[#This Row],[Candidate 7]], "")</f>
        <v/>
      </c>
      <c r="AL659" s="18" t="str">
        <f>IF(NOT(ISBLANK(Audit[[#This Row],[Audit Candidate 8]])), Audit[[#This Row],[Audit Candidate 8]]-Audit[[#This Row],[Candidate 8]], "")</f>
        <v/>
      </c>
      <c r="AM659" s="18" t="str">
        <f>IF(NOT(ISBLANK(Audit[[#This Row],[Audit Candidate 9]])), Audit[[#This Row],[Audit Candidate 9]]-Audit[[#This Row],[Candidate 9]], "")</f>
        <v/>
      </c>
      <c r="AN659" s="18" t="str">
        <f>IF(NOT(ISBLANK(Audit[[#This Row],[Audit Candidate 10]])), Audit[[#This Row],[Audit Candidate 10]]-Audit[[#This Row],[Candidate 10]], "")</f>
        <v/>
      </c>
      <c r="AO659" s="18" t="str">
        <f>IF(NOT(ISBLANK(Audit[[#This Row],[Audit Candidate 11]])), Audit[[#This Row],[Audit Candidate 11]]-Audit[[#This Row],[Candidate 11]], "")</f>
        <v/>
      </c>
      <c r="AP659" s="18" t="str">
        <f>IF(NOT(ISBLANK(Audit[[#This Row],[Audit Candidate 12]])), Audit[[#This Row],[Audit Candidate 12]]-Audit[[#This Row],[Candidate 12]], "")</f>
        <v/>
      </c>
      <c r="AQ659" s="18">
        <f>SUMIF(Audit[[#This Row],[Difference Winner]:[Difference Candidate 12]], "&gt;0")</f>
        <v>0</v>
      </c>
      <c r="AR659" s="18">
        <f>SUM(Audit[[#This Row],[Difference Winner]:[Difference Candidate 12]])</f>
        <v>0</v>
      </c>
      <c r="AS659" s="18">
        <f>IF(Audit[[#This Row],[Times p Drawn - With Replacement]]&gt;0, IF(Audit[[#This Row],[Canceled Differences]]&lt;0, Audit[[#This Row],[Max Differences]]+ABS(Audit[[#This Row],[Canceled Differences]]), Audit[[#This Row],[Max Differences]]), 0)</f>
        <v>0</v>
      </c>
      <c r="AT659" s="18">
        <f>'Sampling Data'!AB659</f>
        <v>1.8845996796180544E-4</v>
      </c>
      <c r="AU659" s="18">
        <f>IF(
      SUM(Audit[[#This Row],[Audit Losing Candidate]:[Audit Candidate 12]])
      &lt;&gt;0,
      (Audit[[#This Row],[Winning Candidate]]-Audit[[#This Row],[Losing Candidate]]-(Audit[[#This Row],[Audit Winning Candidate]]-Audit[[#This Row],[Audit Losing Candidate]]))/(Audit[[#Totals],[Winning Candidate]]-Audit[[#Totals],[Losing Candidate]]),
      0
)</f>
        <v>0</v>
      </c>
      <c r="AV6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8">
        <f>IF(Audit[[#This Row],[Max Relative Error (ep)]] = 0, 0, Audit[[#This Row],[Max Relative Error (ep)]]/Audit[[#This Row],[Error Bound (up) - Max. possible relative overstatement]])</f>
        <v>0</v>
      </c>
      <c r="BH6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59" s="18">
        <f t="shared" si="11"/>
        <v>1</v>
      </c>
      <c r="BJ659" s="18">
        <f>PRODUCT($BI$5:BI659)</f>
        <v>0.32656797278968008</v>
      </c>
      <c r="BK659" s="20">
        <f>1 - Audit[[#This Row],[K-M P Value]]</f>
        <v>0.67343202721031992</v>
      </c>
      <c r="BL659" s="18" t="str">
        <f>IF(Audit[[#This Row],[K-M P Value]]&gt;1-'General Info'!$B$12,"Continue", "Stop")</f>
        <v>Continue</v>
      </c>
      <c r="BM659" s="23" t="b">
        <f>IF(Audit[[#This Row],[Status - Continue or stop audit]] = "Continue", TRUE, IF(BL658 = "Continue", TRUE, FALSE))</f>
        <v>1</v>
      </c>
      <c r="BN659" s="23"/>
    </row>
    <row r="660" spans="1:66" ht="15" hidden="1" customHeight="1" x14ac:dyDescent="0.35">
      <c r="A660" s="18" t="str">
        <f>'Sampling Data'!AI660</f>
        <v/>
      </c>
      <c r="B660" s="18" t="str">
        <f>'Sampling Data'!A660</f>
        <v>1403 CIN 14-C   (ED)</v>
      </c>
      <c r="C660" s="18">
        <f>'Sampling Data'!B660</f>
        <v>9</v>
      </c>
      <c r="D660" s="18">
        <f>'Sampling Data'!C660</f>
        <v>2</v>
      </c>
      <c r="E660" s="19">
        <f>'Sampling Data'!D660</f>
        <v>0</v>
      </c>
      <c r="F660" s="19">
        <f>'Sampling Data'!E660</f>
        <v>0</v>
      </c>
      <c r="G660" s="19">
        <f>'Sampling Data'!F660</f>
        <v>0</v>
      </c>
      <c r="H660" s="19">
        <f>'Sampling Data'!G660</f>
        <v>0</v>
      </c>
      <c r="I660" s="19">
        <f>'Sampling Data'!H660</f>
        <v>0</v>
      </c>
      <c r="J660" s="19">
        <f>'Sampling Data'!I660</f>
        <v>0</v>
      </c>
      <c r="K660" s="19">
        <f>'Sampling Data'!J660</f>
        <v>0</v>
      </c>
      <c r="L660" s="19">
        <f>'Sampling Data'!K660</f>
        <v>0</v>
      </c>
      <c r="M660" s="19">
        <f>'Sampling Data'!L660</f>
        <v>0</v>
      </c>
      <c r="N660" s="19">
        <f>'Sampling Data'!M660</f>
        <v>0</v>
      </c>
      <c r="O660" s="18">
        <f>'Sampling Data'!N660</f>
        <v>0</v>
      </c>
      <c r="P660" s="18">
        <f>'Sampling Data'!O660</f>
        <v>0</v>
      </c>
      <c r="Q660" s="18">
        <f>'Sampling Data'!P660</f>
        <v>11</v>
      </c>
      <c r="R660" s="18">
        <f>'Sampling Data'!AJ660</f>
        <v>0</v>
      </c>
      <c r="S660" s="112"/>
      <c r="T660" s="112"/>
      <c r="U660" s="113"/>
      <c r="V660" s="113"/>
      <c r="W660" s="112"/>
      <c r="X660" s="112"/>
      <c r="Y660" s="112"/>
      <c r="Z660" s="112"/>
      <c r="AA660" s="15"/>
      <c r="AB660" s="15"/>
      <c r="AC660" s="15"/>
      <c r="AD660" s="15"/>
      <c r="AE660" s="114" t="str">
        <f>IF(NOT(ISBLANK(Audit[[#This Row],[Audit Winning Candidate]])), Audit[[#This Row],[Audit Winning Candidate]]-Audit[[#This Row],[Winning Candidate]], "")</f>
        <v/>
      </c>
      <c r="AF660" s="18" t="str">
        <f>IF(NOT(ISBLANK(Audit[[#This Row],[Audit Losing Candidate]])), Audit[[#This Row],[Audit Losing Candidate]]-Audit[[#This Row],[Losing Candidate]], "")</f>
        <v/>
      </c>
      <c r="AG660" s="18" t="str">
        <f>IF(NOT(ISBLANK(Audit[[#This Row],[Audit Candidate 3]])), Audit[[#This Row],[Audit Candidate 3]]-Audit[[#This Row],[Candidate 3]], "")</f>
        <v/>
      </c>
      <c r="AH660" s="18" t="str">
        <f>IF(NOT(ISBLANK(Audit[[#This Row],[Audit Candidate 4]])),Audit[[#This Row],[Audit Candidate 4]]-Audit[[#This Row],[Candidate 4]], "")</f>
        <v/>
      </c>
      <c r="AI660" s="18" t="str">
        <f>IF(NOT(ISBLANK(Audit[[#This Row],[Audit Candidate 5]])), Audit[[#This Row],[Audit Candidate 5]]-Audit[[#This Row],[Candidate 5]], "")</f>
        <v/>
      </c>
      <c r="AJ660" s="18" t="str">
        <f>IF(NOT(ISBLANK(Audit[[#This Row],[Audit Candidate 6]])), Audit[[#This Row],[Audit Candidate 6]]-Audit[[#This Row],[Candidate 6]], "")</f>
        <v/>
      </c>
      <c r="AK660" s="18" t="str">
        <f>IF(NOT(ISBLANK(Audit[[#This Row],[Audit Candidate 7]])), Audit[[#This Row],[Audit Candidate 7]]-Audit[[#This Row],[Candidate 7]], "")</f>
        <v/>
      </c>
      <c r="AL660" s="18" t="str">
        <f>IF(NOT(ISBLANK(Audit[[#This Row],[Audit Candidate 8]])), Audit[[#This Row],[Audit Candidate 8]]-Audit[[#This Row],[Candidate 8]], "")</f>
        <v/>
      </c>
      <c r="AM660" s="18" t="str">
        <f>IF(NOT(ISBLANK(Audit[[#This Row],[Audit Candidate 9]])), Audit[[#This Row],[Audit Candidate 9]]-Audit[[#This Row],[Candidate 9]], "")</f>
        <v/>
      </c>
      <c r="AN660" s="18" t="str">
        <f>IF(NOT(ISBLANK(Audit[[#This Row],[Audit Candidate 10]])), Audit[[#This Row],[Audit Candidate 10]]-Audit[[#This Row],[Candidate 10]], "")</f>
        <v/>
      </c>
      <c r="AO660" s="18" t="str">
        <f>IF(NOT(ISBLANK(Audit[[#This Row],[Audit Candidate 11]])), Audit[[#This Row],[Audit Candidate 11]]-Audit[[#This Row],[Candidate 11]], "")</f>
        <v/>
      </c>
      <c r="AP660" s="18" t="str">
        <f>IF(NOT(ISBLANK(Audit[[#This Row],[Audit Candidate 12]])), Audit[[#This Row],[Audit Candidate 12]]-Audit[[#This Row],[Candidate 12]], "")</f>
        <v/>
      </c>
      <c r="AQ660" s="18">
        <f>SUMIF(Audit[[#This Row],[Difference Winner]:[Difference Candidate 12]], "&gt;0")</f>
        <v>0</v>
      </c>
      <c r="AR660" s="18">
        <f>SUM(Audit[[#This Row],[Difference Winner]:[Difference Candidate 12]])</f>
        <v>0</v>
      </c>
      <c r="AS660" s="18">
        <f>IF(Audit[[#This Row],[Times p Drawn - With Replacement]]&gt;0, IF(Audit[[#This Row],[Canceled Differences]]&lt;0, Audit[[#This Row],[Max Differences]]+ABS(Audit[[#This Row],[Canceled Differences]]), Audit[[#This Row],[Max Differences]]), 0)</f>
        <v>0</v>
      </c>
      <c r="AT660" s="18">
        <f>'Sampling Data'!AB660</f>
        <v>5.6537990388541635E-4</v>
      </c>
      <c r="AU660" s="18">
        <f>IF(
      SUM(Audit[[#This Row],[Audit Losing Candidate]:[Audit Candidate 12]])
      &lt;&gt;0,
      (Audit[[#This Row],[Winning Candidate]]-Audit[[#This Row],[Losing Candidate]]-(Audit[[#This Row],[Audit Winning Candidate]]-Audit[[#This Row],[Audit Losing Candidate]]))/(Audit[[#Totals],[Winning Candidate]]-Audit[[#Totals],[Losing Candidate]]),
      0
)</f>
        <v>0</v>
      </c>
      <c r="AV6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8">
        <f>IF(Audit[[#This Row],[Max Relative Error (ep)]] = 0, 0, Audit[[#This Row],[Max Relative Error (ep)]]/Audit[[#This Row],[Error Bound (up) - Max. possible relative overstatement]])</f>
        <v>0</v>
      </c>
      <c r="BH6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0" s="18">
        <f t="shared" si="11"/>
        <v>1</v>
      </c>
      <c r="BJ660" s="18">
        <f>PRODUCT($BI$5:BI660)</f>
        <v>0.32656797278968008</v>
      </c>
      <c r="BK660" s="20">
        <f>1 - Audit[[#This Row],[K-M P Value]]</f>
        <v>0.67343202721031992</v>
      </c>
      <c r="BL660" s="18" t="str">
        <f>IF(Audit[[#This Row],[K-M P Value]]&gt;1-'General Info'!$B$12,"Continue", "Stop")</f>
        <v>Continue</v>
      </c>
      <c r="BM660" s="23" t="b">
        <f>IF(Audit[[#This Row],[Status - Continue or stop audit]] = "Continue", TRUE, IF(BL659 = "Continue", TRUE, FALSE))</f>
        <v>1</v>
      </c>
      <c r="BN660" s="23"/>
    </row>
    <row r="661" spans="1:66" ht="15" hidden="1" customHeight="1" x14ac:dyDescent="0.35">
      <c r="A661" s="18" t="str">
        <f>'Sampling Data'!AI661</f>
        <v/>
      </c>
      <c r="B661" s="18" t="str">
        <f>'Sampling Data'!A661</f>
        <v>1404 CIN 14-D   (ED)</v>
      </c>
      <c r="C661" s="18">
        <f>'Sampling Data'!B661</f>
        <v>18</v>
      </c>
      <c r="D661" s="18">
        <f>'Sampling Data'!C661</f>
        <v>2</v>
      </c>
      <c r="E661" s="19">
        <f>'Sampling Data'!D661</f>
        <v>0</v>
      </c>
      <c r="F661" s="19">
        <f>'Sampling Data'!E661</f>
        <v>0</v>
      </c>
      <c r="G661" s="19">
        <f>'Sampling Data'!F661</f>
        <v>0</v>
      </c>
      <c r="H661" s="19">
        <f>'Sampling Data'!G661</f>
        <v>0</v>
      </c>
      <c r="I661" s="19">
        <f>'Sampling Data'!H661</f>
        <v>0</v>
      </c>
      <c r="J661" s="19">
        <f>'Sampling Data'!I661</f>
        <v>0</v>
      </c>
      <c r="K661" s="19">
        <f>'Sampling Data'!J661</f>
        <v>0</v>
      </c>
      <c r="L661" s="19">
        <f>'Sampling Data'!K661</f>
        <v>0</v>
      </c>
      <c r="M661" s="19">
        <f>'Sampling Data'!L661</f>
        <v>0</v>
      </c>
      <c r="N661" s="19">
        <f>'Sampling Data'!M661</f>
        <v>0</v>
      </c>
      <c r="O661" s="18">
        <f>'Sampling Data'!N661</f>
        <v>0</v>
      </c>
      <c r="P661" s="18">
        <f>'Sampling Data'!O661</f>
        <v>1</v>
      </c>
      <c r="Q661" s="18">
        <f>'Sampling Data'!P661</f>
        <v>21</v>
      </c>
      <c r="R661" s="18">
        <f>'Sampling Data'!AJ661</f>
        <v>0</v>
      </c>
      <c r="S661" s="112"/>
      <c r="T661" s="112"/>
      <c r="U661" s="113"/>
      <c r="V661" s="113"/>
      <c r="W661" s="112"/>
      <c r="X661" s="112"/>
      <c r="Y661" s="112"/>
      <c r="Z661" s="112"/>
      <c r="AA661" s="15"/>
      <c r="AB661" s="15"/>
      <c r="AC661" s="15"/>
      <c r="AD661" s="15"/>
      <c r="AE661" s="114" t="str">
        <f>IF(NOT(ISBLANK(Audit[[#This Row],[Audit Winning Candidate]])), Audit[[#This Row],[Audit Winning Candidate]]-Audit[[#This Row],[Winning Candidate]], "")</f>
        <v/>
      </c>
      <c r="AF661" s="18" t="str">
        <f>IF(NOT(ISBLANK(Audit[[#This Row],[Audit Losing Candidate]])), Audit[[#This Row],[Audit Losing Candidate]]-Audit[[#This Row],[Losing Candidate]], "")</f>
        <v/>
      </c>
      <c r="AG661" s="18" t="str">
        <f>IF(NOT(ISBLANK(Audit[[#This Row],[Audit Candidate 3]])), Audit[[#This Row],[Audit Candidate 3]]-Audit[[#This Row],[Candidate 3]], "")</f>
        <v/>
      </c>
      <c r="AH661" s="18" t="str">
        <f>IF(NOT(ISBLANK(Audit[[#This Row],[Audit Candidate 4]])),Audit[[#This Row],[Audit Candidate 4]]-Audit[[#This Row],[Candidate 4]], "")</f>
        <v/>
      </c>
      <c r="AI661" s="18" t="str">
        <f>IF(NOT(ISBLANK(Audit[[#This Row],[Audit Candidate 5]])), Audit[[#This Row],[Audit Candidate 5]]-Audit[[#This Row],[Candidate 5]], "")</f>
        <v/>
      </c>
      <c r="AJ661" s="18" t="str">
        <f>IF(NOT(ISBLANK(Audit[[#This Row],[Audit Candidate 6]])), Audit[[#This Row],[Audit Candidate 6]]-Audit[[#This Row],[Candidate 6]], "")</f>
        <v/>
      </c>
      <c r="AK661" s="18" t="str">
        <f>IF(NOT(ISBLANK(Audit[[#This Row],[Audit Candidate 7]])), Audit[[#This Row],[Audit Candidate 7]]-Audit[[#This Row],[Candidate 7]], "")</f>
        <v/>
      </c>
      <c r="AL661" s="18" t="str">
        <f>IF(NOT(ISBLANK(Audit[[#This Row],[Audit Candidate 8]])), Audit[[#This Row],[Audit Candidate 8]]-Audit[[#This Row],[Candidate 8]], "")</f>
        <v/>
      </c>
      <c r="AM661" s="18" t="str">
        <f>IF(NOT(ISBLANK(Audit[[#This Row],[Audit Candidate 9]])), Audit[[#This Row],[Audit Candidate 9]]-Audit[[#This Row],[Candidate 9]], "")</f>
        <v/>
      </c>
      <c r="AN661" s="18" t="str">
        <f>IF(NOT(ISBLANK(Audit[[#This Row],[Audit Candidate 10]])), Audit[[#This Row],[Audit Candidate 10]]-Audit[[#This Row],[Candidate 10]], "")</f>
        <v/>
      </c>
      <c r="AO661" s="18" t="str">
        <f>IF(NOT(ISBLANK(Audit[[#This Row],[Audit Candidate 11]])), Audit[[#This Row],[Audit Candidate 11]]-Audit[[#This Row],[Candidate 11]], "")</f>
        <v/>
      </c>
      <c r="AP661" s="18" t="str">
        <f>IF(NOT(ISBLANK(Audit[[#This Row],[Audit Candidate 12]])), Audit[[#This Row],[Audit Candidate 12]]-Audit[[#This Row],[Candidate 12]], "")</f>
        <v/>
      </c>
      <c r="AQ661" s="18">
        <f>SUMIF(Audit[[#This Row],[Difference Winner]:[Difference Candidate 12]], "&gt;0")</f>
        <v>0</v>
      </c>
      <c r="AR661" s="18">
        <f>SUM(Audit[[#This Row],[Difference Winner]:[Difference Candidate 12]])</f>
        <v>0</v>
      </c>
      <c r="AS661" s="18">
        <f>IF(Audit[[#This Row],[Times p Drawn - With Replacement]]&gt;0, IF(Audit[[#This Row],[Canceled Differences]]&lt;0, Audit[[#This Row],[Max Differences]]+ABS(Audit[[#This Row],[Canceled Differences]]), Audit[[#This Row],[Max Differences]]), 0)</f>
        <v>0</v>
      </c>
      <c r="AT661" s="18">
        <f>'Sampling Data'!AB661</f>
        <v>1.1621698024311335E-3</v>
      </c>
      <c r="AU661" s="18">
        <f>IF(
      SUM(Audit[[#This Row],[Audit Losing Candidate]:[Audit Candidate 12]])
      &lt;&gt;0,
      (Audit[[#This Row],[Winning Candidate]]-Audit[[#This Row],[Losing Candidate]]-(Audit[[#This Row],[Audit Winning Candidate]]-Audit[[#This Row],[Audit Losing Candidate]]))/(Audit[[#Totals],[Winning Candidate]]-Audit[[#Totals],[Losing Candidate]]),
      0
)</f>
        <v>0</v>
      </c>
      <c r="AV6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8">
        <f>IF(Audit[[#This Row],[Max Relative Error (ep)]] = 0, 0, Audit[[#This Row],[Max Relative Error (ep)]]/Audit[[#This Row],[Error Bound (up) - Max. possible relative overstatement]])</f>
        <v>0</v>
      </c>
      <c r="BH6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1" s="18">
        <f t="shared" si="11"/>
        <v>1</v>
      </c>
      <c r="BJ661" s="18">
        <f>PRODUCT($BI$5:BI661)</f>
        <v>0.32656797278968008</v>
      </c>
      <c r="BK661" s="20">
        <f>1 - Audit[[#This Row],[K-M P Value]]</f>
        <v>0.67343202721031992</v>
      </c>
      <c r="BL661" s="18" t="str">
        <f>IF(Audit[[#This Row],[K-M P Value]]&gt;1-'General Info'!$B$12,"Continue", "Stop")</f>
        <v>Continue</v>
      </c>
      <c r="BM661" s="23" t="b">
        <f>IF(Audit[[#This Row],[Status - Continue or stop audit]] = "Continue", TRUE, IF(BL660 = "Continue", TRUE, FALSE))</f>
        <v>1</v>
      </c>
      <c r="BN661" s="23"/>
    </row>
    <row r="662" spans="1:66" ht="15" hidden="1" customHeight="1" x14ac:dyDescent="0.35">
      <c r="A662" s="18" t="str">
        <f>'Sampling Data'!AI662</f>
        <v/>
      </c>
      <c r="B662" s="18" t="str">
        <f>'Sampling Data'!A662</f>
        <v>1405 CIN 14-E   (ED)</v>
      </c>
      <c r="C662" s="18">
        <f>'Sampling Data'!B662</f>
        <v>12</v>
      </c>
      <c r="D662" s="18">
        <f>'Sampling Data'!C662</f>
        <v>5</v>
      </c>
      <c r="E662" s="19">
        <f>'Sampling Data'!D662</f>
        <v>0</v>
      </c>
      <c r="F662" s="19">
        <f>'Sampling Data'!E662</f>
        <v>0</v>
      </c>
      <c r="G662" s="19">
        <f>'Sampling Data'!F662</f>
        <v>0</v>
      </c>
      <c r="H662" s="19">
        <f>'Sampling Data'!G662</f>
        <v>0</v>
      </c>
      <c r="I662" s="19">
        <f>'Sampling Data'!H662</f>
        <v>0</v>
      </c>
      <c r="J662" s="19">
        <f>'Sampling Data'!I662</f>
        <v>0</v>
      </c>
      <c r="K662" s="19">
        <f>'Sampling Data'!J662</f>
        <v>0</v>
      </c>
      <c r="L662" s="19">
        <f>'Sampling Data'!K662</f>
        <v>0</v>
      </c>
      <c r="M662" s="19">
        <f>'Sampling Data'!L662</f>
        <v>0</v>
      </c>
      <c r="N662" s="19">
        <f>'Sampling Data'!M662</f>
        <v>0</v>
      </c>
      <c r="O662" s="18">
        <f>'Sampling Data'!N662</f>
        <v>0</v>
      </c>
      <c r="P662" s="18">
        <f>'Sampling Data'!O662</f>
        <v>1</v>
      </c>
      <c r="Q662" s="18">
        <f>'Sampling Data'!P662</f>
        <v>18</v>
      </c>
      <c r="R662" s="18">
        <f>'Sampling Data'!AJ662</f>
        <v>0</v>
      </c>
      <c r="S662" s="112"/>
      <c r="T662" s="112"/>
      <c r="U662" s="113"/>
      <c r="V662" s="113"/>
      <c r="W662" s="112"/>
      <c r="X662" s="112"/>
      <c r="Y662" s="112"/>
      <c r="Z662" s="112"/>
      <c r="AA662" s="15"/>
      <c r="AB662" s="15"/>
      <c r="AC662" s="15"/>
      <c r="AD662" s="15"/>
      <c r="AE662" s="114" t="str">
        <f>IF(NOT(ISBLANK(Audit[[#This Row],[Audit Winning Candidate]])), Audit[[#This Row],[Audit Winning Candidate]]-Audit[[#This Row],[Winning Candidate]], "")</f>
        <v/>
      </c>
      <c r="AF662" s="18" t="str">
        <f>IF(NOT(ISBLANK(Audit[[#This Row],[Audit Losing Candidate]])), Audit[[#This Row],[Audit Losing Candidate]]-Audit[[#This Row],[Losing Candidate]], "")</f>
        <v/>
      </c>
      <c r="AG662" s="18" t="str">
        <f>IF(NOT(ISBLANK(Audit[[#This Row],[Audit Candidate 3]])), Audit[[#This Row],[Audit Candidate 3]]-Audit[[#This Row],[Candidate 3]], "")</f>
        <v/>
      </c>
      <c r="AH662" s="18" t="str">
        <f>IF(NOT(ISBLANK(Audit[[#This Row],[Audit Candidate 4]])),Audit[[#This Row],[Audit Candidate 4]]-Audit[[#This Row],[Candidate 4]], "")</f>
        <v/>
      </c>
      <c r="AI662" s="18" t="str">
        <f>IF(NOT(ISBLANK(Audit[[#This Row],[Audit Candidate 5]])), Audit[[#This Row],[Audit Candidate 5]]-Audit[[#This Row],[Candidate 5]], "")</f>
        <v/>
      </c>
      <c r="AJ662" s="18" t="str">
        <f>IF(NOT(ISBLANK(Audit[[#This Row],[Audit Candidate 6]])), Audit[[#This Row],[Audit Candidate 6]]-Audit[[#This Row],[Candidate 6]], "")</f>
        <v/>
      </c>
      <c r="AK662" s="18" t="str">
        <f>IF(NOT(ISBLANK(Audit[[#This Row],[Audit Candidate 7]])), Audit[[#This Row],[Audit Candidate 7]]-Audit[[#This Row],[Candidate 7]], "")</f>
        <v/>
      </c>
      <c r="AL662" s="18" t="str">
        <f>IF(NOT(ISBLANK(Audit[[#This Row],[Audit Candidate 8]])), Audit[[#This Row],[Audit Candidate 8]]-Audit[[#This Row],[Candidate 8]], "")</f>
        <v/>
      </c>
      <c r="AM662" s="18" t="str">
        <f>IF(NOT(ISBLANK(Audit[[#This Row],[Audit Candidate 9]])), Audit[[#This Row],[Audit Candidate 9]]-Audit[[#This Row],[Candidate 9]], "")</f>
        <v/>
      </c>
      <c r="AN662" s="18" t="str">
        <f>IF(NOT(ISBLANK(Audit[[#This Row],[Audit Candidate 10]])), Audit[[#This Row],[Audit Candidate 10]]-Audit[[#This Row],[Candidate 10]], "")</f>
        <v/>
      </c>
      <c r="AO662" s="18" t="str">
        <f>IF(NOT(ISBLANK(Audit[[#This Row],[Audit Candidate 11]])), Audit[[#This Row],[Audit Candidate 11]]-Audit[[#This Row],[Candidate 11]], "")</f>
        <v/>
      </c>
      <c r="AP662" s="18" t="str">
        <f>IF(NOT(ISBLANK(Audit[[#This Row],[Audit Candidate 12]])), Audit[[#This Row],[Audit Candidate 12]]-Audit[[#This Row],[Candidate 12]], "")</f>
        <v/>
      </c>
      <c r="AQ662" s="18">
        <f>SUMIF(Audit[[#This Row],[Difference Winner]:[Difference Candidate 12]], "&gt;0")</f>
        <v>0</v>
      </c>
      <c r="AR662" s="18">
        <f>SUM(Audit[[#This Row],[Difference Winner]:[Difference Candidate 12]])</f>
        <v>0</v>
      </c>
      <c r="AS662" s="18">
        <f>IF(Audit[[#This Row],[Times p Drawn - With Replacement]]&gt;0, IF(Audit[[#This Row],[Canceled Differences]]&lt;0, Audit[[#This Row],[Max Differences]]+ABS(Audit[[#This Row],[Canceled Differences]]), Audit[[#This Row],[Max Differences]]), 0)</f>
        <v>0</v>
      </c>
      <c r="AT662" s="18">
        <f>'Sampling Data'!AB662</f>
        <v>7.8524986650752265E-4</v>
      </c>
      <c r="AU662" s="18">
        <f>IF(
      SUM(Audit[[#This Row],[Audit Losing Candidate]:[Audit Candidate 12]])
      &lt;&gt;0,
      (Audit[[#This Row],[Winning Candidate]]-Audit[[#This Row],[Losing Candidate]]-(Audit[[#This Row],[Audit Winning Candidate]]-Audit[[#This Row],[Audit Losing Candidate]]))/(Audit[[#Totals],[Winning Candidate]]-Audit[[#Totals],[Losing Candidate]]),
      0
)</f>
        <v>0</v>
      </c>
      <c r="AV6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8">
        <f>IF(Audit[[#This Row],[Max Relative Error (ep)]] = 0, 0, Audit[[#This Row],[Max Relative Error (ep)]]/Audit[[#This Row],[Error Bound (up) - Max. possible relative overstatement]])</f>
        <v>0</v>
      </c>
      <c r="BH6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2" s="18">
        <f t="shared" si="11"/>
        <v>1</v>
      </c>
      <c r="BJ662" s="18">
        <f>PRODUCT($BI$5:BI662)</f>
        <v>0.32656797278968008</v>
      </c>
      <c r="BK662" s="20">
        <f>1 - Audit[[#This Row],[K-M P Value]]</f>
        <v>0.67343202721031992</v>
      </c>
      <c r="BL662" s="18" t="str">
        <f>IF(Audit[[#This Row],[K-M P Value]]&gt;1-'General Info'!$B$12,"Continue", "Stop")</f>
        <v>Continue</v>
      </c>
      <c r="BM662" s="23" t="b">
        <f>IF(Audit[[#This Row],[Status - Continue or stop audit]] = "Continue", TRUE, IF(BL661 = "Continue", TRUE, FALSE))</f>
        <v>1</v>
      </c>
      <c r="BN662" s="23"/>
    </row>
    <row r="663" spans="1:66" ht="15" hidden="1" customHeight="1" x14ac:dyDescent="0.35">
      <c r="A663" s="18" t="str">
        <f>'Sampling Data'!AI663</f>
        <v/>
      </c>
      <c r="B663" s="18" t="str">
        <f>'Sampling Data'!A663</f>
        <v>1406 CIN 14-F   (ED)</v>
      </c>
      <c r="C663" s="18">
        <f>'Sampling Data'!B663</f>
        <v>21</v>
      </c>
      <c r="D663" s="18">
        <f>'Sampling Data'!C663</f>
        <v>3</v>
      </c>
      <c r="E663" s="19">
        <f>'Sampling Data'!D663</f>
        <v>0</v>
      </c>
      <c r="F663" s="19">
        <f>'Sampling Data'!E663</f>
        <v>0</v>
      </c>
      <c r="G663" s="19">
        <f>'Sampling Data'!F663</f>
        <v>0</v>
      </c>
      <c r="H663" s="19">
        <f>'Sampling Data'!G663</f>
        <v>0</v>
      </c>
      <c r="I663" s="19">
        <f>'Sampling Data'!H663</f>
        <v>0</v>
      </c>
      <c r="J663" s="19">
        <f>'Sampling Data'!I663</f>
        <v>0</v>
      </c>
      <c r="K663" s="19">
        <f>'Sampling Data'!J663</f>
        <v>0</v>
      </c>
      <c r="L663" s="19">
        <f>'Sampling Data'!K663</f>
        <v>0</v>
      </c>
      <c r="M663" s="19">
        <f>'Sampling Data'!L663</f>
        <v>0</v>
      </c>
      <c r="N663" s="19">
        <f>'Sampling Data'!M663</f>
        <v>0</v>
      </c>
      <c r="O663" s="18">
        <f>'Sampling Data'!N663</f>
        <v>0</v>
      </c>
      <c r="P663" s="18">
        <f>'Sampling Data'!O663</f>
        <v>1</v>
      </c>
      <c r="Q663" s="18">
        <f>'Sampling Data'!P663</f>
        <v>25</v>
      </c>
      <c r="R663" s="18">
        <f>'Sampling Data'!AJ663</f>
        <v>0</v>
      </c>
      <c r="S663" s="112"/>
      <c r="T663" s="112"/>
      <c r="U663" s="113"/>
      <c r="V663" s="113"/>
      <c r="W663" s="112"/>
      <c r="X663" s="112"/>
      <c r="Y663" s="112"/>
      <c r="Z663" s="112"/>
      <c r="AA663" s="15"/>
      <c r="AB663" s="15"/>
      <c r="AC663" s="15"/>
      <c r="AD663" s="15"/>
      <c r="AE663" s="114" t="str">
        <f>IF(NOT(ISBLANK(Audit[[#This Row],[Audit Winning Candidate]])), Audit[[#This Row],[Audit Winning Candidate]]-Audit[[#This Row],[Winning Candidate]], "")</f>
        <v/>
      </c>
      <c r="AF663" s="18" t="str">
        <f>IF(NOT(ISBLANK(Audit[[#This Row],[Audit Losing Candidate]])), Audit[[#This Row],[Audit Losing Candidate]]-Audit[[#This Row],[Losing Candidate]], "")</f>
        <v/>
      </c>
      <c r="AG663" s="18" t="str">
        <f>IF(NOT(ISBLANK(Audit[[#This Row],[Audit Candidate 3]])), Audit[[#This Row],[Audit Candidate 3]]-Audit[[#This Row],[Candidate 3]], "")</f>
        <v/>
      </c>
      <c r="AH663" s="18" t="str">
        <f>IF(NOT(ISBLANK(Audit[[#This Row],[Audit Candidate 4]])),Audit[[#This Row],[Audit Candidate 4]]-Audit[[#This Row],[Candidate 4]], "")</f>
        <v/>
      </c>
      <c r="AI663" s="18" t="str">
        <f>IF(NOT(ISBLANK(Audit[[#This Row],[Audit Candidate 5]])), Audit[[#This Row],[Audit Candidate 5]]-Audit[[#This Row],[Candidate 5]], "")</f>
        <v/>
      </c>
      <c r="AJ663" s="18" t="str">
        <f>IF(NOT(ISBLANK(Audit[[#This Row],[Audit Candidate 6]])), Audit[[#This Row],[Audit Candidate 6]]-Audit[[#This Row],[Candidate 6]], "")</f>
        <v/>
      </c>
      <c r="AK663" s="18" t="str">
        <f>IF(NOT(ISBLANK(Audit[[#This Row],[Audit Candidate 7]])), Audit[[#This Row],[Audit Candidate 7]]-Audit[[#This Row],[Candidate 7]], "")</f>
        <v/>
      </c>
      <c r="AL663" s="18" t="str">
        <f>IF(NOT(ISBLANK(Audit[[#This Row],[Audit Candidate 8]])), Audit[[#This Row],[Audit Candidate 8]]-Audit[[#This Row],[Candidate 8]], "")</f>
        <v/>
      </c>
      <c r="AM663" s="18" t="str">
        <f>IF(NOT(ISBLANK(Audit[[#This Row],[Audit Candidate 9]])), Audit[[#This Row],[Audit Candidate 9]]-Audit[[#This Row],[Candidate 9]], "")</f>
        <v/>
      </c>
      <c r="AN663" s="18" t="str">
        <f>IF(NOT(ISBLANK(Audit[[#This Row],[Audit Candidate 10]])), Audit[[#This Row],[Audit Candidate 10]]-Audit[[#This Row],[Candidate 10]], "")</f>
        <v/>
      </c>
      <c r="AO663" s="18" t="str">
        <f>IF(NOT(ISBLANK(Audit[[#This Row],[Audit Candidate 11]])), Audit[[#This Row],[Audit Candidate 11]]-Audit[[#This Row],[Candidate 11]], "")</f>
        <v/>
      </c>
      <c r="AP663" s="18" t="str">
        <f>IF(NOT(ISBLANK(Audit[[#This Row],[Audit Candidate 12]])), Audit[[#This Row],[Audit Candidate 12]]-Audit[[#This Row],[Candidate 12]], "")</f>
        <v/>
      </c>
      <c r="AQ663" s="18">
        <f>SUMIF(Audit[[#This Row],[Difference Winner]:[Difference Candidate 12]], "&gt;0")</f>
        <v>0</v>
      </c>
      <c r="AR663" s="18">
        <f>SUM(Audit[[#This Row],[Difference Winner]:[Difference Candidate 12]])</f>
        <v>0</v>
      </c>
      <c r="AS663" s="18">
        <f>IF(Audit[[#This Row],[Times p Drawn - With Replacement]]&gt;0, IF(Audit[[#This Row],[Canceled Differences]]&lt;0, Audit[[#This Row],[Max Differences]]+ABS(Audit[[#This Row],[Canceled Differences]]), Audit[[#This Row],[Max Differences]]), 0)</f>
        <v>0</v>
      </c>
      <c r="AT663" s="18">
        <f>'Sampling Data'!AB663</f>
        <v>1.350629770392939E-3</v>
      </c>
      <c r="AU663" s="18">
        <f>IF(
      SUM(Audit[[#This Row],[Audit Losing Candidate]:[Audit Candidate 12]])
      &lt;&gt;0,
      (Audit[[#This Row],[Winning Candidate]]-Audit[[#This Row],[Losing Candidate]]-(Audit[[#This Row],[Audit Winning Candidate]]-Audit[[#This Row],[Audit Losing Candidate]]))/(Audit[[#Totals],[Winning Candidate]]-Audit[[#Totals],[Losing Candidate]]),
      0
)</f>
        <v>0</v>
      </c>
      <c r="AV6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8">
        <f>IF(Audit[[#This Row],[Max Relative Error (ep)]] = 0, 0, Audit[[#This Row],[Max Relative Error (ep)]]/Audit[[#This Row],[Error Bound (up) - Max. possible relative overstatement]])</f>
        <v>0</v>
      </c>
      <c r="BH6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3" s="18">
        <f t="shared" si="11"/>
        <v>1</v>
      </c>
      <c r="BJ663" s="18">
        <f>PRODUCT($BI$5:BI663)</f>
        <v>0.32656797278968008</v>
      </c>
      <c r="BK663" s="20">
        <f>1 - Audit[[#This Row],[K-M P Value]]</f>
        <v>0.67343202721031992</v>
      </c>
      <c r="BL663" s="18" t="str">
        <f>IF(Audit[[#This Row],[K-M P Value]]&gt;1-'General Info'!$B$12,"Continue", "Stop")</f>
        <v>Continue</v>
      </c>
      <c r="BM663" s="23" t="b">
        <f>IF(Audit[[#This Row],[Status - Continue or stop audit]] = "Continue", TRUE, IF(BL662 = "Continue", TRUE, FALSE))</f>
        <v>1</v>
      </c>
      <c r="BN663" s="23"/>
    </row>
    <row r="664" spans="1:66" ht="15" hidden="1" customHeight="1" x14ac:dyDescent="0.35">
      <c r="A664" s="18" t="str">
        <f>'Sampling Data'!AI664</f>
        <v/>
      </c>
      <c r="B664" s="18" t="str">
        <f>'Sampling Data'!A664</f>
        <v>1407 CIN 14-G   (ED)</v>
      </c>
      <c r="C664" s="18">
        <f>'Sampling Data'!B664</f>
        <v>19</v>
      </c>
      <c r="D664" s="18">
        <f>'Sampling Data'!C664</f>
        <v>4</v>
      </c>
      <c r="E664" s="19">
        <f>'Sampling Data'!D664</f>
        <v>0</v>
      </c>
      <c r="F664" s="19">
        <f>'Sampling Data'!E664</f>
        <v>0</v>
      </c>
      <c r="G664" s="19">
        <f>'Sampling Data'!F664</f>
        <v>0</v>
      </c>
      <c r="H664" s="19">
        <f>'Sampling Data'!G664</f>
        <v>0</v>
      </c>
      <c r="I664" s="19">
        <f>'Sampling Data'!H664</f>
        <v>0</v>
      </c>
      <c r="J664" s="19">
        <f>'Sampling Data'!I664</f>
        <v>0</v>
      </c>
      <c r="K664" s="19">
        <f>'Sampling Data'!J664</f>
        <v>0</v>
      </c>
      <c r="L664" s="19">
        <f>'Sampling Data'!K664</f>
        <v>0</v>
      </c>
      <c r="M664" s="19">
        <f>'Sampling Data'!L664</f>
        <v>0</v>
      </c>
      <c r="N664" s="19">
        <f>'Sampling Data'!M664</f>
        <v>0</v>
      </c>
      <c r="O664" s="18">
        <f>'Sampling Data'!N664</f>
        <v>0</v>
      </c>
      <c r="P664" s="18">
        <f>'Sampling Data'!O664</f>
        <v>2</v>
      </c>
      <c r="Q664" s="18">
        <f>'Sampling Data'!P664</f>
        <v>25</v>
      </c>
      <c r="R664" s="18">
        <f>'Sampling Data'!AJ664</f>
        <v>0</v>
      </c>
      <c r="S664" s="112"/>
      <c r="T664" s="112"/>
      <c r="U664" s="113"/>
      <c r="V664" s="113"/>
      <c r="W664" s="112"/>
      <c r="X664" s="112"/>
      <c r="Y664" s="112"/>
      <c r="Z664" s="112"/>
      <c r="AA664" s="15"/>
      <c r="AB664" s="15"/>
      <c r="AC664" s="15"/>
      <c r="AD664" s="15"/>
      <c r="AE664" s="114" t="str">
        <f>IF(NOT(ISBLANK(Audit[[#This Row],[Audit Winning Candidate]])), Audit[[#This Row],[Audit Winning Candidate]]-Audit[[#This Row],[Winning Candidate]], "")</f>
        <v/>
      </c>
      <c r="AF664" s="18" t="str">
        <f>IF(NOT(ISBLANK(Audit[[#This Row],[Audit Losing Candidate]])), Audit[[#This Row],[Audit Losing Candidate]]-Audit[[#This Row],[Losing Candidate]], "")</f>
        <v/>
      </c>
      <c r="AG664" s="18" t="str">
        <f>IF(NOT(ISBLANK(Audit[[#This Row],[Audit Candidate 3]])), Audit[[#This Row],[Audit Candidate 3]]-Audit[[#This Row],[Candidate 3]], "")</f>
        <v/>
      </c>
      <c r="AH664" s="18" t="str">
        <f>IF(NOT(ISBLANK(Audit[[#This Row],[Audit Candidate 4]])),Audit[[#This Row],[Audit Candidate 4]]-Audit[[#This Row],[Candidate 4]], "")</f>
        <v/>
      </c>
      <c r="AI664" s="18" t="str">
        <f>IF(NOT(ISBLANK(Audit[[#This Row],[Audit Candidate 5]])), Audit[[#This Row],[Audit Candidate 5]]-Audit[[#This Row],[Candidate 5]], "")</f>
        <v/>
      </c>
      <c r="AJ664" s="18" t="str">
        <f>IF(NOT(ISBLANK(Audit[[#This Row],[Audit Candidate 6]])), Audit[[#This Row],[Audit Candidate 6]]-Audit[[#This Row],[Candidate 6]], "")</f>
        <v/>
      </c>
      <c r="AK664" s="18" t="str">
        <f>IF(NOT(ISBLANK(Audit[[#This Row],[Audit Candidate 7]])), Audit[[#This Row],[Audit Candidate 7]]-Audit[[#This Row],[Candidate 7]], "")</f>
        <v/>
      </c>
      <c r="AL664" s="18" t="str">
        <f>IF(NOT(ISBLANK(Audit[[#This Row],[Audit Candidate 8]])), Audit[[#This Row],[Audit Candidate 8]]-Audit[[#This Row],[Candidate 8]], "")</f>
        <v/>
      </c>
      <c r="AM664" s="18" t="str">
        <f>IF(NOT(ISBLANK(Audit[[#This Row],[Audit Candidate 9]])), Audit[[#This Row],[Audit Candidate 9]]-Audit[[#This Row],[Candidate 9]], "")</f>
        <v/>
      </c>
      <c r="AN664" s="18" t="str">
        <f>IF(NOT(ISBLANK(Audit[[#This Row],[Audit Candidate 10]])), Audit[[#This Row],[Audit Candidate 10]]-Audit[[#This Row],[Candidate 10]], "")</f>
        <v/>
      </c>
      <c r="AO664" s="18" t="str">
        <f>IF(NOT(ISBLANK(Audit[[#This Row],[Audit Candidate 11]])), Audit[[#This Row],[Audit Candidate 11]]-Audit[[#This Row],[Candidate 11]], "")</f>
        <v/>
      </c>
      <c r="AP664" s="18" t="str">
        <f>IF(NOT(ISBLANK(Audit[[#This Row],[Audit Candidate 12]])), Audit[[#This Row],[Audit Candidate 12]]-Audit[[#This Row],[Candidate 12]], "")</f>
        <v/>
      </c>
      <c r="AQ664" s="18">
        <f>SUMIF(Audit[[#This Row],[Difference Winner]:[Difference Candidate 12]], "&gt;0")</f>
        <v>0</v>
      </c>
      <c r="AR664" s="18">
        <f>SUM(Audit[[#This Row],[Difference Winner]:[Difference Candidate 12]])</f>
        <v>0</v>
      </c>
      <c r="AS664" s="18">
        <f>IF(Audit[[#This Row],[Times p Drawn - With Replacement]]&gt;0, IF(Audit[[#This Row],[Canceled Differences]]&lt;0, Audit[[#This Row],[Max Differences]]+ABS(Audit[[#This Row],[Canceled Differences]]), Audit[[#This Row],[Max Differences]]), 0)</f>
        <v>0</v>
      </c>
      <c r="AT664" s="18">
        <f>'Sampling Data'!AB664</f>
        <v>1.2563997864120362E-3</v>
      </c>
      <c r="AU664" s="18">
        <f>IF(
      SUM(Audit[[#This Row],[Audit Losing Candidate]:[Audit Candidate 12]])
      &lt;&gt;0,
      (Audit[[#This Row],[Winning Candidate]]-Audit[[#This Row],[Losing Candidate]]-(Audit[[#This Row],[Audit Winning Candidate]]-Audit[[#This Row],[Audit Losing Candidate]]))/(Audit[[#Totals],[Winning Candidate]]-Audit[[#Totals],[Losing Candidate]]),
      0
)</f>
        <v>0</v>
      </c>
      <c r="AV6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8">
        <f>IF(Audit[[#This Row],[Max Relative Error (ep)]] = 0, 0, Audit[[#This Row],[Max Relative Error (ep)]]/Audit[[#This Row],[Error Bound (up) - Max. possible relative overstatement]])</f>
        <v>0</v>
      </c>
      <c r="BH6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4" s="18">
        <f t="shared" si="11"/>
        <v>1</v>
      </c>
      <c r="BJ664" s="18">
        <f>PRODUCT($BI$5:BI664)</f>
        <v>0.32656797278968008</v>
      </c>
      <c r="BK664" s="20">
        <f>1 - Audit[[#This Row],[K-M P Value]]</f>
        <v>0.67343202721031992</v>
      </c>
      <c r="BL664" s="18" t="str">
        <f>IF(Audit[[#This Row],[K-M P Value]]&gt;1-'General Info'!$B$12,"Continue", "Stop")</f>
        <v>Continue</v>
      </c>
      <c r="BM664" s="23" t="b">
        <f>IF(Audit[[#This Row],[Status - Continue or stop audit]] = "Continue", TRUE, IF(BL663 = "Continue", TRUE, FALSE))</f>
        <v>1</v>
      </c>
      <c r="BN664" s="23"/>
    </row>
    <row r="665" spans="1:66" ht="15" hidden="1" customHeight="1" x14ac:dyDescent="0.35">
      <c r="A665" s="18" t="str">
        <f>'Sampling Data'!AI665</f>
        <v/>
      </c>
      <c r="B665" s="18" t="str">
        <f>'Sampling Data'!A665</f>
        <v>1408 CIN 14-H   (ED)</v>
      </c>
      <c r="C665" s="18">
        <f>'Sampling Data'!B665</f>
        <v>30</v>
      </c>
      <c r="D665" s="18">
        <f>'Sampling Data'!C665</f>
        <v>6</v>
      </c>
      <c r="E665" s="19">
        <f>'Sampling Data'!D665</f>
        <v>0</v>
      </c>
      <c r="F665" s="19">
        <f>'Sampling Data'!E665</f>
        <v>0</v>
      </c>
      <c r="G665" s="19">
        <f>'Sampling Data'!F665</f>
        <v>0</v>
      </c>
      <c r="H665" s="19">
        <f>'Sampling Data'!G665</f>
        <v>0</v>
      </c>
      <c r="I665" s="19">
        <f>'Sampling Data'!H665</f>
        <v>0</v>
      </c>
      <c r="J665" s="19">
        <f>'Sampling Data'!I665</f>
        <v>0</v>
      </c>
      <c r="K665" s="19">
        <f>'Sampling Data'!J665</f>
        <v>0</v>
      </c>
      <c r="L665" s="19">
        <f>'Sampling Data'!K665</f>
        <v>0</v>
      </c>
      <c r="M665" s="19">
        <f>'Sampling Data'!L665</f>
        <v>0</v>
      </c>
      <c r="N665" s="19">
        <f>'Sampling Data'!M665</f>
        <v>0</v>
      </c>
      <c r="O665" s="18">
        <f>'Sampling Data'!N665</f>
        <v>0</v>
      </c>
      <c r="P665" s="18">
        <f>'Sampling Data'!O665</f>
        <v>0</v>
      </c>
      <c r="Q665" s="18">
        <f>'Sampling Data'!P665</f>
        <v>36</v>
      </c>
      <c r="R665" s="18">
        <f>'Sampling Data'!AJ665</f>
        <v>0</v>
      </c>
      <c r="S665" s="112"/>
      <c r="T665" s="112"/>
      <c r="U665" s="113"/>
      <c r="V665" s="113"/>
      <c r="W665" s="112"/>
      <c r="X665" s="112"/>
      <c r="Y665" s="112"/>
      <c r="Z665" s="112"/>
      <c r="AA665" s="15"/>
      <c r="AB665" s="15"/>
      <c r="AC665" s="15"/>
      <c r="AD665" s="15"/>
      <c r="AE665" s="114" t="str">
        <f>IF(NOT(ISBLANK(Audit[[#This Row],[Audit Winning Candidate]])), Audit[[#This Row],[Audit Winning Candidate]]-Audit[[#This Row],[Winning Candidate]], "")</f>
        <v/>
      </c>
      <c r="AF665" s="18" t="str">
        <f>IF(NOT(ISBLANK(Audit[[#This Row],[Audit Losing Candidate]])), Audit[[#This Row],[Audit Losing Candidate]]-Audit[[#This Row],[Losing Candidate]], "")</f>
        <v/>
      </c>
      <c r="AG665" s="18" t="str">
        <f>IF(NOT(ISBLANK(Audit[[#This Row],[Audit Candidate 3]])), Audit[[#This Row],[Audit Candidate 3]]-Audit[[#This Row],[Candidate 3]], "")</f>
        <v/>
      </c>
      <c r="AH665" s="18" t="str">
        <f>IF(NOT(ISBLANK(Audit[[#This Row],[Audit Candidate 4]])),Audit[[#This Row],[Audit Candidate 4]]-Audit[[#This Row],[Candidate 4]], "")</f>
        <v/>
      </c>
      <c r="AI665" s="18" t="str">
        <f>IF(NOT(ISBLANK(Audit[[#This Row],[Audit Candidate 5]])), Audit[[#This Row],[Audit Candidate 5]]-Audit[[#This Row],[Candidate 5]], "")</f>
        <v/>
      </c>
      <c r="AJ665" s="18" t="str">
        <f>IF(NOT(ISBLANK(Audit[[#This Row],[Audit Candidate 6]])), Audit[[#This Row],[Audit Candidate 6]]-Audit[[#This Row],[Candidate 6]], "")</f>
        <v/>
      </c>
      <c r="AK665" s="18" t="str">
        <f>IF(NOT(ISBLANK(Audit[[#This Row],[Audit Candidate 7]])), Audit[[#This Row],[Audit Candidate 7]]-Audit[[#This Row],[Candidate 7]], "")</f>
        <v/>
      </c>
      <c r="AL665" s="18" t="str">
        <f>IF(NOT(ISBLANK(Audit[[#This Row],[Audit Candidate 8]])), Audit[[#This Row],[Audit Candidate 8]]-Audit[[#This Row],[Candidate 8]], "")</f>
        <v/>
      </c>
      <c r="AM665" s="18" t="str">
        <f>IF(NOT(ISBLANK(Audit[[#This Row],[Audit Candidate 9]])), Audit[[#This Row],[Audit Candidate 9]]-Audit[[#This Row],[Candidate 9]], "")</f>
        <v/>
      </c>
      <c r="AN665" s="18" t="str">
        <f>IF(NOT(ISBLANK(Audit[[#This Row],[Audit Candidate 10]])), Audit[[#This Row],[Audit Candidate 10]]-Audit[[#This Row],[Candidate 10]], "")</f>
        <v/>
      </c>
      <c r="AO665" s="18" t="str">
        <f>IF(NOT(ISBLANK(Audit[[#This Row],[Audit Candidate 11]])), Audit[[#This Row],[Audit Candidate 11]]-Audit[[#This Row],[Candidate 11]], "")</f>
        <v/>
      </c>
      <c r="AP665" s="18" t="str">
        <f>IF(NOT(ISBLANK(Audit[[#This Row],[Audit Candidate 12]])), Audit[[#This Row],[Audit Candidate 12]]-Audit[[#This Row],[Candidate 12]], "")</f>
        <v/>
      </c>
      <c r="AQ665" s="18">
        <f>SUMIF(Audit[[#This Row],[Difference Winner]:[Difference Candidate 12]], "&gt;0")</f>
        <v>0</v>
      </c>
      <c r="AR665" s="18">
        <f>SUM(Audit[[#This Row],[Difference Winner]:[Difference Candidate 12]])</f>
        <v>0</v>
      </c>
      <c r="AS665" s="18">
        <f>IF(Audit[[#This Row],[Times p Drawn - With Replacement]]&gt;0, IF(Audit[[#This Row],[Canceled Differences]]&lt;0, Audit[[#This Row],[Max Differences]]+ABS(Audit[[#This Row],[Canceled Differences]]), Audit[[#This Row],[Max Differences]]), 0)</f>
        <v>0</v>
      </c>
      <c r="AT665" s="18">
        <f>'Sampling Data'!AB665</f>
        <v>1.8845996796180544E-3</v>
      </c>
      <c r="AU665" s="18">
        <f>IF(
      SUM(Audit[[#This Row],[Audit Losing Candidate]:[Audit Candidate 12]])
      &lt;&gt;0,
      (Audit[[#This Row],[Winning Candidate]]-Audit[[#This Row],[Losing Candidate]]-(Audit[[#This Row],[Audit Winning Candidate]]-Audit[[#This Row],[Audit Losing Candidate]]))/(Audit[[#Totals],[Winning Candidate]]-Audit[[#Totals],[Losing Candidate]]),
      0
)</f>
        <v>0</v>
      </c>
      <c r="AV6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8">
        <f>IF(Audit[[#This Row],[Max Relative Error (ep)]] = 0, 0, Audit[[#This Row],[Max Relative Error (ep)]]/Audit[[#This Row],[Error Bound (up) - Max. possible relative overstatement]])</f>
        <v>0</v>
      </c>
      <c r="BH6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5" s="18">
        <f t="shared" si="11"/>
        <v>1</v>
      </c>
      <c r="BJ665" s="18">
        <f>PRODUCT($BI$5:BI665)</f>
        <v>0.32656797278968008</v>
      </c>
      <c r="BK665" s="20">
        <f>1 - Audit[[#This Row],[K-M P Value]]</f>
        <v>0.67343202721031992</v>
      </c>
      <c r="BL665" s="18" t="str">
        <f>IF(Audit[[#This Row],[K-M P Value]]&gt;1-'General Info'!$B$12,"Continue", "Stop")</f>
        <v>Continue</v>
      </c>
      <c r="BM665" s="23" t="b">
        <f>IF(Audit[[#This Row],[Status - Continue or stop audit]] = "Continue", TRUE, IF(BL664 = "Continue", TRUE, FALSE))</f>
        <v>1</v>
      </c>
      <c r="BN665" s="23"/>
    </row>
    <row r="666" spans="1:66" ht="15" hidden="1" customHeight="1" x14ac:dyDescent="0.35">
      <c r="A666" s="18" t="str">
        <f>'Sampling Data'!AI666</f>
        <v/>
      </c>
      <c r="B666" s="18" t="str">
        <f>'Sampling Data'!A666</f>
        <v>1409 CIN 14-I   (ED)</v>
      </c>
      <c r="C666" s="18">
        <f>'Sampling Data'!B666</f>
        <v>8</v>
      </c>
      <c r="D666" s="18">
        <f>'Sampling Data'!C666</f>
        <v>2</v>
      </c>
      <c r="E666" s="19">
        <f>'Sampling Data'!D666</f>
        <v>0</v>
      </c>
      <c r="F666" s="19">
        <f>'Sampling Data'!E666</f>
        <v>0</v>
      </c>
      <c r="G666" s="19">
        <f>'Sampling Data'!F666</f>
        <v>0</v>
      </c>
      <c r="H666" s="19">
        <f>'Sampling Data'!G666</f>
        <v>0</v>
      </c>
      <c r="I666" s="19">
        <f>'Sampling Data'!H666</f>
        <v>0</v>
      </c>
      <c r="J666" s="19">
        <f>'Sampling Data'!I666</f>
        <v>0</v>
      </c>
      <c r="K666" s="19">
        <f>'Sampling Data'!J666</f>
        <v>0</v>
      </c>
      <c r="L666" s="19">
        <f>'Sampling Data'!K666</f>
        <v>0</v>
      </c>
      <c r="M666" s="19">
        <f>'Sampling Data'!L666</f>
        <v>0</v>
      </c>
      <c r="N666" s="19">
        <f>'Sampling Data'!M666</f>
        <v>0</v>
      </c>
      <c r="O666" s="18">
        <f>'Sampling Data'!N666</f>
        <v>0</v>
      </c>
      <c r="P666" s="18">
        <f>'Sampling Data'!O666</f>
        <v>0</v>
      </c>
      <c r="Q666" s="18">
        <f>'Sampling Data'!P666</f>
        <v>10</v>
      </c>
      <c r="R666" s="18">
        <f>'Sampling Data'!AJ666</f>
        <v>0</v>
      </c>
      <c r="S666" s="112"/>
      <c r="T666" s="112"/>
      <c r="U666" s="113"/>
      <c r="V666" s="113"/>
      <c r="W666" s="112"/>
      <c r="X666" s="112"/>
      <c r="Y666" s="112"/>
      <c r="Z666" s="112"/>
      <c r="AA666" s="15"/>
      <c r="AB666" s="15"/>
      <c r="AC666" s="15"/>
      <c r="AD666" s="15"/>
      <c r="AE666" s="114" t="str">
        <f>IF(NOT(ISBLANK(Audit[[#This Row],[Audit Winning Candidate]])), Audit[[#This Row],[Audit Winning Candidate]]-Audit[[#This Row],[Winning Candidate]], "")</f>
        <v/>
      </c>
      <c r="AF666" s="18" t="str">
        <f>IF(NOT(ISBLANK(Audit[[#This Row],[Audit Losing Candidate]])), Audit[[#This Row],[Audit Losing Candidate]]-Audit[[#This Row],[Losing Candidate]], "")</f>
        <v/>
      </c>
      <c r="AG666" s="18" t="str">
        <f>IF(NOT(ISBLANK(Audit[[#This Row],[Audit Candidate 3]])), Audit[[#This Row],[Audit Candidate 3]]-Audit[[#This Row],[Candidate 3]], "")</f>
        <v/>
      </c>
      <c r="AH666" s="18" t="str">
        <f>IF(NOT(ISBLANK(Audit[[#This Row],[Audit Candidate 4]])),Audit[[#This Row],[Audit Candidate 4]]-Audit[[#This Row],[Candidate 4]], "")</f>
        <v/>
      </c>
      <c r="AI666" s="18" t="str">
        <f>IF(NOT(ISBLANK(Audit[[#This Row],[Audit Candidate 5]])), Audit[[#This Row],[Audit Candidate 5]]-Audit[[#This Row],[Candidate 5]], "")</f>
        <v/>
      </c>
      <c r="AJ666" s="18" t="str">
        <f>IF(NOT(ISBLANK(Audit[[#This Row],[Audit Candidate 6]])), Audit[[#This Row],[Audit Candidate 6]]-Audit[[#This Row],[Candidate 6]], "")</f>
        <v/>
      </c>
      <c r="AK666" s="18" t="str">
        <f>IF(NOT(ISBLANK(Audit[[#This Row],[Audit Candidate 7]])), Audit[[#This Row],[Audit Candidate 7]]-Audit[[#This Row],[Candidate 7]], "")</f>
        <v/>
      </c>
      <c r="AL666" s="18" t="str">
        <f>IF(NOT(ISBLANK(Audit[[#This Row],[Audit Candidate 8]])), Audit[[#This Row],[Audit Candidate 8]]-Audit[[#This Row],[Candidate 8]], "")</f>
        <v/>
      </c>
      <c r="AM666" s="18" t="str">
        <f>IF(NOT(ISBLANK(Audit[[#This Row],[Audit Candidate 9]])), Audit[[#This Row],[Audit Candidate 9]]-Audit[[#This Row],[Candidate 9]], "")</f>
        <v/>
      </c>
      <c r="AN666" s="18" t="str">
        <f>IF(NOT(ISBLANK(Audit[[#This Row],[Audit Candidate 10]])), Audit[[#This Row],[Audit Candidate 10]]-Audit[[#This Row],[Candidate 10]], "")</f>
        <v/>
      </c>
      <c r="AO666" s="18" t="str">
        <f>IF(NOT(ISBLANK(Audit[[#This Row],[Audit Candidate 11]])), Audit[[#This Row],[Audit Candidate 11]]-Audit[[#This Row],[Candidate 11]], "")</f>
        <v/>
      </c>
      <c r="AP666" s="18" t="str">
        <f>IF(NOT(ISBLANK(Audit[[#This Row],[Audit Candidate 12]])), Audit[[#This Row],[Audit Candidate 12]]-Audit[[#This Row],[Candidate 12]], "")</f>
        <v/>
      </c>
      <c r="AQ666" s="18">
        <f>SUMIF(Audit[[#This Row],[Difference Winner]:[Difference Candidate 12]], "&gt;0")</f>
        <v>0</v>
      </c>
      <c r="AR666" s="18">
        <f>SUM(Audit[[#This Row],[Difference Winner]:[Difference Candidate 12]])</f>
        <v>0</v>
      </c>
      <c r="AS666" s="18">
        <f>IF(Audit[[#This Row],[Times p Drawn - With Replacement]]&gt;0, IF(Audit[[#This Row],[Canceled Differences]]&lt;0, Audit[[#This Row],[Max Differences]]+ABS(Audit[[#This Row],[Canceled Differences]]), Audit[[#This Row],[Max Differences]]), 0)</f>
        <v>0</v>
      </c>
      <c r="AT666" s="18">
        <f>'Sampling Data'!AB666</f>
        <v>5.0255991456481448E-4</v>
      </c>
      <c r="AU666" s="18">
        <f>IF(
      SUM(Audit[[#This Row],[Audit Losing Candidate]:[Audit Candidate 12]])
      &lt;&gt;0,
      (Audit[[#This Row],[Winning Candidate]]-Audit[[#This Row],[Losing Candidate]]-(Audit[[#This Row],[Audit Winning Candidate]]-Audit[[#This Row],[Audit Losing Candidate]]))/(Audit[[#Totals],[Winning Candidate]]-Audit[[#Totals],[Losing Candidate]]),
      0
)</f>
        <v>0</v>
      </c>
      <c r="AV6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8">
        <f>IF(Audit[[#This Row],[Max Relative Error (ep)]] = 0, 0, Audit[[#This Row],[Max Relative Error (ep)]]/Audit[[#This Row],[Error Bound (up) - Max. possible relative overstatement]])</f>
        <v>0</v>
      </c>
      <c r="BH6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6" s="18">
        <f t="shared" si="11"/>
        <v>1</v>
      </c>
      <c r="BJ666" s="18">
        <f>PRODUCT($BI$5:BI666)</f>
        <v>0.32656797278968008</v>
      </c>
      <c r="BK666" s="20">
        <f>1 - Audit[[#This Row],[K-M P Value]]</f>
        <v>0.67343202721031992</v>
      </c>
      <c r="BL666" s="18" t="str">
        <f>IF(Audit[[#This Row],[K-M P Value]]&gt;1-'General Info'!$B$12,"Continue", "Stop")</f>
        <v>Continue</v>
      </c>
      <c r="BM666" s="23" t="b">
        <f>IF(Audit[[#This Row],[Status - Continue or stop audit]] = "Continue", TRUE, IF(BL665 = "Continue", TRUE, FALSE))</f>
        <v>1</v>
      </c>
      <c r="BN666" s="23"/>
    </row>
    <row r="667" spans="1:66" ht="15" hidden="1" customHeight="1" x14ac:dyDescent="0.35">
      <c r="A667" s="18" t="str">
        <f>'Sampling Data'!AI667</f>
        <v/>
      </c>
      <c r="B667" s="18" t="str">
        <f>'Sampling Data'!A667</f>
        <v>1501 CIN 15-A   (ED)</v>
      </c>
      <c r="C667" s="18">
        <f>'Sampling Data'!B667</f>
        <v>7</v>
      </c>
      <c r="D667" s="18">
        <f>'Sampling Data'!C667</f>
        <v>3</v>
      </c>
      <c r="E667" s="19">
        <f>'Sampling Data'!D667</f>
        <v>0</v>
      </c>
      <c r="F667" s="19">
        <f>'Sampling Data'!E667</f>
        <v>0</v>
      </c>
      <c r="G667" s="19">
        <f>'Sampling Data'!F667</f>
        <v>0</v>
      </c>
      <c r="H667" s="19">
        <f>'Sampling Data'!G667</f>
        <v>0</v>
      </c>
      <c r="I667" s="19">
        <f>'Sampling Data'!H667</f>
        <v>0</v>
      </c>
      <c r="J667" s="19">
        <f>'Sampling Data'!I667</f>
        <v>0</v>
      </c>
      <c r="K667" s="19">
        <f>'Sampling Data'!J667</f>
        <v>0</v>
      </c>
      <c r="L667" s="19">
        <f>'Sampling Data'!K667</f>
        <v>0</v>
      </c>
      <c r="M667" s="19">
        <f>'Sampling Data'!L667</f>
        <v>0</v>
      </c>
      <c r="N667" s="19">
        <f>'Sampling Data'!M667</f>
        <v>0</v>
      </c>
      <c r="O667" s="18">
        <f>'Sampling Data'!N667</f>
        <v>0</v>
      </c>
      <c r="P667" s="18">
        <f>'Sampling Data'!O667</f>
        <v>0</v>
      </c>
      <c r="Q667" s="18">
        <f>'Sampling Data'!P667</f>
        <v>10</v>
      </c>
      <c r="R667" s="18">
        <f>'Sampling Data'!AJ667</f>
        <v>0</v>
      </c>
      <c r="S667" s="112"/>
      <c r="T667" s="112"/>
      <c r="U667" s="113"/>
      <c r="V667" s="113"/>
      <c r="W667" s="112"/>
      <c r="X667" s="112"/>
      <c r="Y667" s="112"/>
      <c r="Z667" s="112"/>
      <c r="AA667" s="15"/>
      <c r="AB667" s="15"/>
      <c r="AC667" s="15"/>
      <c r="AD667" s="15"/>
      <c r="AE667" s="114" t="str">
        <f>IF(NOT(ISBLANK(Audit[[#This Row],[Audit Winning Candidate]])), Audit[[#This Row],[Audit Winning Candidate]]-Audit[[#This Row],[Winning Candidate]], "")</f>
        <v/>
      </c>
      <c r="AF667" s="18" t="str">
        <f>IF(NOT(ISBLANK(Audit[[#This Row],[Audit Losing Candidate]])), Audit[[#This Row],[Audit Losing Candidate]]-Audit[[#This Row],[Losing Candidate]], "")</f>
        <v/>
      </c>
      <c r="AG667" s="18" t="str">
        <f>IF(NOT(ISBLANK(Audit[[#This Row],[Audit Candidate 3]])), Audit[[#This Row],[Audit Candidate 3]]-Audit[[#This Row],[Candidate 3]], "")</f>
        <v/>
      </c>
      <c r="AH667" s="18" t="str">
        <f>IF(NOT(ISBLANK(Audit[[#This Row],[Audit Candidate 4]])),Audit[[#This Row],[Audit Candidate 4]]-Audit[[#This Row],[Candidate 4]], "")</f>
        <v/>
      </c>
      <c r="AI667" s="18" t="str">
        <f>IF(NOT(ISBLANK(Audit[[#This Row],[Audit Candidate 5]])), Audit[[#This Row],[Audit Candidate 5]]-Audit[[#This Row],[Candidate 5]], "")</f>
        <v/>
      </c>
      <c r="AJ667" s="18" t="str">
        <f>IF(NOT(ISBLANK(Audit[[#This Row],[Audit Candidate 6]])), Audit[[#This Row],[Audit Candidate 6]]-Audit[[#This Row],[Candidate 6]], "")</f>
        <v/>
      </c>
      <c r="AK667" s="18" t="str">
        <f>IF(NOT(ISBLANK(Audit[[#This Row],[Audit Candidate 7]])), Audit[[#This Row],[Audit Candidate 7]]-Audit[[#This Row],[Candidate 7]], "")</f>
        <v/>
      </c>
      <c r="AL667" s="18" t="str">
        <f>IF(NOT(ISBLANK(Audit[[#This Row],[Audit Candidate 8]])), Audit[[#This Row],[Audit Candidate 8]]-Audit[[#This Row],[Candidate 8]], "")</f>
        <v/>
      </c>
      <c r="AM667" s="18" t="str">
        <f>IF(NOT(ISBLANK(Audit[[#This Row],[Audit Candidate 9]])), Audit[[#This Row],[Audit Candidate 9]]-Audit[[#This Row],[Candidate 9]], "")</f>
        <v/>
      </c>
      <c r="AN667" s="18" t="str">
        <f>IF(NOT(ISBLANK(Audit[[#This Row],[Audit Candidate 10]])), Audit[[#This Row],[Audit Candidate 10]]-Audit[[#This Row],[Candidate 10]], "")</f>
        <v/>
      </c>
      <c r="AO667" s="18" t="str">
        <f>IF(NOT(ISBLANK(Audit[[#This Row],[Audit Candidate 11]])), Audit[[#This Row],[Audit Candidate 11]]-Audit[[#This Row],[Candidate 11]], "")</f>
        <v/>
      </c>
      <c r="AP667" s="18" t="str">
        <f>IF(NOT(ISBLANK(Audit[[#This Row],[Audit Candidate 12]])), Audit[[#This Row],[Audit Candidate 12]]-Audit[[#This Row],[Candidate 12]], "")</f>
        <v/>
      </c>
      <c r="AQ667" s="18">
        <f>SUMIF(Audit[[#This Row],[Difference Winner]:[Difference Candidate 12]], "&gt;0")</f>
        <v>0</v>
      </c>
      <c r="AR667" s="18">
        <f>SUM(Audit[[#This Row],[Difference Winner]:[Difference Candidate 12]])</f>
        <v>0</v>
      </c>
      <c r="AS667" s="18">
        <f>IF(Audit[[#This Row],[Times p Drawn - With Replacement]]&gt;0, IF(Audit[[#This Row],[Canceled Differences]]&lt;0, Audit[[#This Row],[Max Differences]]+ABS(Audit[[#This Row],[Canceled Differences]]), Audit[[#This Row],[Max Differences]]), 0)</f>
        <v>0</v>
      </c>
      <c r="AT667" s="18">
        <f>'Sampling Data'!AB667</f>
        <v>4.3973992524421271E-4</v>
      </c>
      <c r="AU667" s="18">
        <f>IF(
      SUM(Audit[[#This Row],[Audit Losing Candidate]:[Audit Candidate 12]])
      &lt;&gt;0,
      (Audit[[#This Row],[Winning Candidate]]-Audit[[#This Row],[Losing Candidate]]-(Audit[[#This Row],[Audit Winning Candidate]]-Audit[[#This Row],[Audit Losing Candidate]]))/(Audit[[#Totals],[Winning Candidate]]-Audit[[#Totals],[Losing Candidate]]),
      0
)</f>
        <v>0</v>
      </c>
      <c r="AV6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8">
        <f>IF(Audit[[#This Row],[Max Relative Error (ep)]] = 0, 0, Audit[[#This Row],[Max Relative Error (ep)]]/Audit[[#This Row],[Error Bound (up) - Max. possible relative overstatement]])</f>
        <v>0</v>
      </c>
      <c r="BH6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7" s="18">
        <f t="shared" si="11"/>
        <v>1</v>
      </c>
      <c r="BJ667" s="18">
        <f>PRODUCT($BI$5:BI667)</f>
        <v>0.32656797278968008</v>
      </c>
      <c r="BK667" s="20">
        <f>1 - Audit[[#This Row],[K-M P Value]]</f>
        <v>0.67343202721031992</v>
      </c>
      <c r="BL667" s="18" t="str">
        <f>IF(Audit[[#This Row],[K-M P Value]]&gt;1-'General Info'!$B$12,"Continue", "Stop")</f>
        <v>Continue</v>
      </c>
      <c r="BM667" s="23" t="b">
        <f>IF(Audit[[#This Row],[Status - Continue or stop audit]] = "Continue", TRUE, IF(BL666 = "Continue", TRUE, FALSE))</f>
        <v>1</v>
      </c>
      <c r="BN667" s="23"/>
    </row>
    <row r="668" spans="1:66" ht="15" hidden="1" customHeight="1" x14ac:dyDescent="0.35">
      <c r="A668" s="18" t="str">
        <f>'Sampling Data'!AI668</f>
        <v/>
      </c>
      <c r="B668" s="18" t="str">
        <f>'Sampling Data'!A668</f>
        <v>1502 CIN 15-B   (ED)</v>
      </c>
      <c r="C668" s="18">
        <f>'Sampling Data'!B668</f>
        <v>15</v>
      </c>
      <c r="D668" s="18">
        <f>'Sampling Data'!C668</f>
        <v>3</v>
      </c>
      <c r="E668" s="19">
        <f>'Sampling Data'!D668</f>
        <v>0</v>
      </c>
      <c r="F668" s="19">
        <f>'Sampling Data'!E668</f>
        <v>0</v>
      </c>
      <c r="G668" s="19">
        <f>'Sampling Data'!F668</f>
        <v>0</v>
      </c>
      <c r="H668" s="19">
        <f>'Sampling Data'!G668</f>
        <v>0</v>
      </c>
      <c r="I668" s="19">
        <f>'Sampling Data'!H668</f>
        <v>0</v>
      </c>
      <c r="J668" s="19">
        <f>'Sampling Data'!I668</f>
        <v>0</v>
      </c>
      <c r="K668" s="19">
        <f>'Sampling Data'!J668</f>
        <v>0</v>
      </c>
      <c r="L668" s="19">
        <f>'Sampling Data'!K668</f>
        <v>0</v>
      </c>
      <c r="M668" s="19">
        <f>'Sampling Data'!L668</f>
        <v>0</v>
      </c>
      <c r="N668" s="19">
        <f>'Sampling Data'!M668</f>
        <v>0</v>
      </c>
      <c r="O668" s="18">
        <f>'Sampling Data'!N668</f>
        <v>0</v>
      </c>
      <c r="P668" s="18">
        <f>'Sampling Data'!O668</f>
        <v>0</v>
      </c>
      <c r="Q668" s="18">
        <f>'Sampling Data'!P668</f>
        <v>18</v>
      </c>
      <c r="R668" s="18">
        <f>'Sampling Data'!AJ668</f>
        <v>0</v>
      </c>
      <c r="S668" s="112"/>
      <c r="T668" s="112"/>
      <c r="U668" s="113"/>
      <c r="V668" s="113"/>
      <c r="W668" s="112"/>
      <c r="X668" s="112"/>
      <c r="Y668" s="112"/>
      <c r="Z668" s="112"/>
      <c r="AA668" s="15"/>
      <c r="AB668" s="15"/>
      <c r="AC668" s="15"/>
      <c r="AD668" s="15"/>
      <c r="AE668" s="114" t="str">
        <f>IF(NOT(ISBLANK(Audit[[#This Row],[Audit Winning Candidate]])), Audit[[#This Row],[Audit Winning Candidate]]-Audit[[#This Row],[Winning Candidate]], "")</f>
        <v/>
      </c>
      <c r="AF668" s="18" t="str">
        <f>IF(NOT(ISBLANK(Audit[[#This Row],[Audit Losing Candidate]])), Audit[[#This Row],[Audit Losing Candidate]]-Audit[[#This Row],[Losing Candidate]], "")</f>
        <v/>
      </c>
      <c r="AG668" s="18" t="str">
        <f>IF(NOT(ISBLANK(Audit[[#This Row],[Audit Candidate 3]])), Audit[[#This Row],[Audit Candidate 3]]-Audit[[#This Row],[Candidate 3]], "")</f>
        <v/>
      </c>
      <c r="AH668" s="18" t="str">
        <f>IF(NOT(ISBLANK(Audit[[#This Row],[Audit Candidate 4]])),Audit[[#This Row],[Audit Candidate 4]]-Audit[[#This Row],[Candidate 4]], "")</f>
        <v/>
      </c>
      <c r="AI668" s="18" t="str">
        <f>IF(NOT(ISBLANK(Audit[[#This Row],[Audit Candidate 5]])), Audit[[#This Row],[Audit Candidate 5]]-Audit[[#This Row],[Candidate 5]], "")</f>
        <v/>
      </c>
      <c r="AJ668" s="18" t="str">
        <f>IF(NOT(ISBLANK(Audit[[#This Row],[Audit Candidate 6]])), Audit[[#This Row],[Audit Candidate 6]]-Audit[[#This Row],[Candidate 6]], "")</f>
        <v/>
      </c>
      <c r="AK668" s="18" t="str">
        <f>IF(NOT(ISBLANK(Audit[[#This Row],[Audit Candidate 7]])), Audit[[#This Row],[Audit Candidate 7]]-Audit[[#This Row],[Candidate 7]], "")</f>
        <v/>
      </c>
      <c r="AL668" s="18" t="str">
        <f>IF(NOT(ISBLANK(Audit[[#This Row],[Audit Candidate 8]])), Audit[[#This Row],[Audit Candidate 8]]-Audit[[#This Row],[Candidate 8]], "")</f>
        <v/>
      </c>
      <c r="AM668" s="18" t="str">
        <f>IF(NOT(ISBLANK(Audit[[#This Row],[Audit Candidate 9]])), Audit[[#This Row],[Audit Candidate 9]]-Audit[[#This Row],[Candidate 9]], "")</f>
        <v/>
      </c>
      <c r="AN668" s="18" t="str">
        <f>IF(NOT(ISBLANK(Audit[[#This Row],[Audit Candidate 10]])), Audit[[#This Row],[Audit Candidate 10]]-Audit[[#This Row],[Candidate 10]], "")</f>
        <v/>
      </c>
      <c r="AO668" s="18" t="str">
        <f>IF(NOT(ISBLANK(Audit[[#This Row],[Audit Candidate 11]])), Audit[[#This Row],[Audit Candidate 11]]-Audit[[#This Row],[Candidate 11]], "")</f>
        <v/>
      </c>
      <c r="AP668" s="18" t="str">
        <f>IF(NOT(ISBLANK(Audit[[#This Row],[Audit Candidate 12]])), Audit[[#This Row],[Audit Candidate 12]]-Audit[[#This Row],[Candidate 12]], "")</f>
        <v/>
      </c>
      <c r="AQ668" s="18">
        <f>SUMIF(Audit[[#This Row],[Difference Winner]:[Difference Candidate 12]], "&gt;0")</f>
        <v>0</v>
      </c>
      <c r="AR668" s="18">
        <f>SUM(Audit[[#This Row],[Difference Winner]:[Difference Candidate 12]])</f>
        <v>0</v>
      </c>
      <c r="AS668" s="18">
        <f>IF(Audit[[#This Row],[Times p Drawn - With Replacement]]&gt;0, IF(Audit[[#This Row],[Canceled Differences]]&lt;0, Audit[[#This Row],[Max Differences]]+ABS(Audit[[#This Row],[Canceled Differences]]), Audit[[#This Row],[Max Differences]]), 0)</f>
        <v>0</v>
      </c>
      <c r="AT668" s="18">
        <f>'Sampling Data'!AB668</f>
        <v>9.4229983980902718E-4</v>
      </c>
      <c r="AU668" s="18">
        <f>IF(
      SUM(Audit[[#This Row],[Audit Losing Candidate]:[Audit Candidate 12]])
      &lt;&gt;0,
      (Audit[[#This Row],[Winning Candidate]]-Audit[[#This Row],[Losing Candidate]]-(Audit[[#This Row],[Audit Winning Candidate]]-Audit[[#This Row],[Audit Losing Candidate]]))/(Audit[[#Totals],[Winning Candidate]]-Audit[[#Totals],[Losing Candidate]]),
      0
)</f>
        <v>0</v>
      </c>
      <c r="AV6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8">
        <f>IF(Audit[[#This Row],[Max Relative Error (ep)]] = 0, 0, Audit[[#This Row],[Max Relative Error (ep)]]/Audit[[#This Row],[Error Bound (up) - Max. possible relative overstatement]])</f>
        <v>0</v>
      </c>
      <c r="BH6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8" s="18">
        <f t="shared" si="11"/>
        <v>1</v>
      </c>
      <c r="BJ668" s="18">
        <f>PRODUCT($BI$5:BI668)</f>
        <v>0.32656797278968008</v>
      </c>
      <c r="BK668" s="20">
        <f>1 - Audit[[#This Row],[K-M P Value]]</f>
        <v>0.67343202721031992</v>
      </c>
      <c r="BL668" s="18" t="str">
        <f>IF(Audit[[#This Row],[K-M P Value]]&gt;1-'General Info'!$B$12,"Continue", "Stop")</f>
        <v>Continue</v>
      </c>
      <c r="BM668" s="23" t="b">
        <f>IF(Audit[[#This Row],[Status - Continue or stop audit]] = "Continue", TRUE, IF(BL667 = "Continue", TRUE, FALSE))</f>
        <v>1</v>
      </c>
      <c r="BN668" s="23"/>
    </row>
    <row r="669" spans="1:66" ht="15" hidden="1" customHeight="1" x14ac:dyDescent="0.35">
      <c r="A669" s="18" t="str">
        <f>'Sampling Data'!AI669</f>
        <v/>
      </c>
      <c r="B669" s="18" t="str">
        <f>'Sampling Data'!A669</f>
        <v>1503 CIN 15-C   (ED)</v>
      </c>
      <c r="C669" s="18">
        <f>'Sampling Data'!B669</f>
        <v>2</v>
      </c>
      <c r="D669" s="18">
        <f>'Sampling Data'!C669</f>
        <v>1</v>
      </c>
      <c r="E669" s="19">
        <f>'Sampling Data'!D669</f>
        <v>0</v>
      </c>
      <c r="F669" s="19">
        <f>'Sampling Data'!E669</f>
        <v>0</v>
      </c>
      <c r="G669" s="19">
        <f>'Sampling Data'!F669</f>
        <v>0</v>
      </c>
      <c r="H669" s="19">
        <f>'Sampling Data'!G669</f>
        <v>0</v>
      </c>
      <c r="I669" s="19">
        <f>'Sampling Data'!H669</f>
        <v>0</v>
      </c>
      <c r="J669" s="19">
        <f>'Sampling Data'!I669</f>
        <v>0</v>
      </c>
      <c r="K669" s="19">
        <f>'Sampling Data'!J669</f>
        <v>0</v>
      </c>
      <c r="L669" s="19">
        <f>'Sampling Data'!K669</f>
        <v>0</v>
      </c>
      <c r="M669" s="19">
        <f>'Sampling Data'!L669</f>
        <v>0</v>
      </c>
      <c r="N669" s="19">
        <f>'Sampling Data'!M669</f>
        <v>0</v>
      </c>
      <c r="O669" s="18">
        <f>'Sampling Data'!N669</f>
        <v>0</v>
      </c>
      <c r="P669" s="18">
        <f>'Sampling Data'!O669</f>
        <v>0</v>
      </c>
      <c r="Q669" s="18">
        <f>'Sampling Data'!P669</f>
        <v>3</v>
      </c>
      <c r="R669" s="18">
        <f>'Sampling Data'!AJ669</f>
        <v>0</v>
      </c>
      <c r="S669" s="112"/>
      <c r="T669" s="112"/>
      <c r="U669" s="113"/>
      <c r="V669" s="113"/>
      <c r="W669" s="112"/>
      <c r="X669" s="112"/>
      <c r="Y669" s="112"/>
      <c r="Z669" s="112"/>
      <c r="AA669" s="15"/>
      <c r="AB669" s="15"/>
      <c r="AC669" s="15"/>
      <c r="AD669" s="15"/>
      <c r="AE669" s="114" t="str">
        <f>IF(NOT(ISBLANK(Audit[[#This Row],[Audit Winning Candidate]])), Audit[[#This Row],[Audit Winning Candidate]]-Audit[[#This Row],[Winning Candidate]], "")</f>
        <v/>
      </c>
      <c r="AF669" s="18" t="str">
        <f>IF(NOT(ISBLANK(Audit[[#This Row],[Audit Losing Candidate]])), Audit[[#This Row],[Audit Losing Candidate]]-Audit[[#This Row],[Losing Candidate]], "")</f>
        <v/>
      </c>
      <c r="AG669" s="18" t="str">
        <f>IF(NOT(ISBLANK(Audit[[#This Row],[Audit Candidate 3]])), Audit[[#This Row],[Audit Candidate 3]]-Audit[[#This Row],[Candidate 3]], "")</f>
        <v/>
      </c>
      <c r="AH669" s="18" t="str">
        <f>IF(NOT(ISBLANK(Audit[[#This Row],[Audit Candidate 4]])),Audit[[#This Row],[Audit Candidate 4]]-Audit[[#This Row],[Candidate 4]], "")</f>
        <v/>
      </c>
      <c r="AI669" s="18" t="str">
        <f>IF(NOT(ISBLANK(Audit[[#This Row],[Audit Candidate 5]])), Audit[[#This Row],[Audit Candidate 5]]-Audit[[#This Row],[Candidate 5]], "")</f>
        <v/>
      </c>
      <c r="AJ669" s="18" t="str">
        <f>IF(NOT(ISBLANK(Audit[[#This Row],[Audit Candidate 6]])), Audit[[#This Row],[Audit Candidate 6]]-Audit[[#This Row],[Candidate 6]], "")</f>
        <v/>
      </c>
      <c r="AK669" s="18" t="str">
        <f>IF(NOT(ISBLANK(Audit[[#This Row],[Audit Candidate 7]])), Audit[[#This Row],[Audit Candidate 7]]-Audit[[#This Row],[Candidate 7]], "")</f>
        <v/>
      </c>
      <c r="AL669" s="18" t="str">
        <f>IF(NOT(ISBLANK(Audit[[#This Row],[Audit Candidate 8]])), Audit[[#This Row],[Audit Candidate 8]]-Audit[[#This Row],[Candidate 8]], "")</f>
        <v/>
      </c>
      <c r="AM669" s="18" t="str">
        <f>IF(NOT(ISBLANK(Audit[[#This Row],[Audit Candidate 9]])), Audit[[#This Row],[Audit Candidate 9]]-Audit[[#This Row],[Candidate 9]], "")</f>
        <v/>
      </c>
      <c r="AN669" s="18" t="str">
        <f>IF(NOT(ISBLANK(Audit[[#This Row],[Audit Candidate 10]])), Audit[[#This Row],[Audit Candidate 10]]-Audit[[#This Row],[Candidate 10]], "")</f>
        <v/>
      </c>
      <c r="AO669" s="18" t="str">
        <f>IF(NOT(ISBLANK(Audit[[#This Row],[Audit Candidate 11]])), Audit[[#This Row],[Audit Candidate 11]]-Audit[[#This Row],[Candidate 11]], "")</f>
        <v/>
      </c>
      <c r="AP669" s="18" t="str">
        <f>IF(NOT(ISBLANK(Audit[[#This Row],[Audit Candidate 12]])), Audit[[#This Row],[Audit Candidate 12]]-Audit[[#This Row],[Candidate 12]], "")</f>
        <v/>
      </c>
      <c r="AQ669" s="18">
        <f>SUMIF(Audit[[#This Row],[Difference Winner]:[Difference Candidate 12]], "&gt;0")</f>
        <v>0</v>
      </c>
      <c r="AR669" s="18">
        <f>SUM(Audit[[#This Row],[Difference Winner]:[Difference Candidate 12]])</f>
        <v>0</v>
      </c>
      <c r="AS669" s="18">
        <f>IF(Audit[[#This Row],[Times p Drawn - With Replacement]]&gt;0, IF(Audit[[#This Row],[Canceled Differences]]&lt;0, Audit[[#This Row],[Max Differences]]+ABS(Audit[[#This Row],[Canceled Differences]]), Audit[[#This Row],[Max Differences]]), 0)</f>
        <v>0</v>
      </c>
      <c r="AT669" s="18">
        <f>'Sampling Data'!AB669</f>
        <v>1.2563997864120362E-4</v>
      </c>
      <c r="AU669" s="18">
        <f>IF(
      SUM(Audit[[#This Row],[Audit Losing Candidate]:[Audit Candidate 12]])
      &lt;&gt;0,
      (Audit[[#This Row],[Winning Candidate]]-Audit[[#This Row],[Losing Candidate]]-(Audit[[#This Row],[Audit Winning Candidate]]-Audit[[#This Row],[Audit Losing Candidate]]))/(Audit[[#Totals],[Winning Candidate]]-Audit[[#Totals],[Losing Candidate]]),
      0
)</f>
        <v>0</v>
      </c>
      <c r="AV6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8">
        <f>IF(Audit[[#This Row],[Max Relative Error (ep)]] = 0, 0, Audit[[#This Row],[Max Relative Error (ep)]]/Audit[[#This Row],[Error Bound (up) - Max. possible relative overstatement]])</f>
        <v>0</v>
      </c>
      <c r="BH6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69" s="18">
        <f t="shared" si="11"/>
        <v>1</v>
      </c>
      <c r="BJ669" s="18">
        <f>PRODUCT($BI$5:BI669)</f>
        <v>0.32656797278968008</v>
      </c>
      <c r="BK669" s="20">
        <f>1 - Audit[[#This Row],[K-M P Value]]</f>
        <v>0.67343202721031992</v>
      </c>
      <c r="BL669" s="18" t="str">
        <f>IF(Audit[[#This Row],[K-M P Value]]&gt;1-'General Info'!$B$12,"Continue", "Stop")</f>
        <v>Continue</v>
      </c>
      <c r="BM669" s="23" t="b">
        <f>IF(Audit[[#This Row],[Status - Continue or stop audit]] = "Continue", TRUE, IF(BL668 = "Continue", TRUE, FALSE))</f>
        <v>1</v>
      </c>
      <c r="BN669" s="23"/>
    </row>
    <row r="670" spans="1:66" ht="15" hidden="1" customHeight="1" x14ac:dyDescent="0.35">
      <c r="A670" s="18" t="str">
        <f>'Sampling Data'!AI670</f>
        <v/>
      </c>
      <c r="B670" s="18" t="str">
        <f>'Sampling Data'!A670</f>
        <v>1504 CIN 15-D   (ED)</v>
      </c>
      <c r="C670" s="18">
        <f>'Sampling Data'!B670</f>
        <v>6</v>
      </c>
      <c r="D670" s="18">
        <f>'Sampling Data'!C670</f>
        <v>0</v>
      </c>
      <c r="E670" s="19">
        <f>'Sampling Data'!D670</f>
        <v>0</v>
      </c>
      <c r="F670" s="19">
        <f>'Sampling Data'!E670</f>
        <v>0</v>
      </c>
      <c r="G670" s="19">
        <f>'Sampling Data'!F670</f>
        <v>0</v>
      </c>
      <c r="H670" s="19">
        <f>'Sampling Data'!G670</f>
        <v>0</v>
      </c>
      <c r="I670" s="19">
        <f>'Sampling Data'!H670</f>
        <v>0</v>
      </c>
      <c r="J670" s="19">
        <f>'Sampling Data'!I670</f>
        <v>0</v>
      </c>
      <c r="K670" s="19">
        <f>'Sampling Data'!J670</f>
        <v>0</v>
      </c>
      <c r="L670" s="19">
        <f>'Sampling Data'!K670</f>
        <v>0</v>
      </c>
      <c r="M670" s="19">
        <f>'Sampling Data'!L670</f>
        <v>0</v>
      </c>
      <c r="N670" s="19">
        <f>'Sampling Data'!M670</f>
        <v>0</v>
      </c>
      <c r="O670" s="18">
        <f>'Sampling Data'!N670</f>
        <v>0</v>
      </c>
      <c r="P670" s="18">
        <f>'Sampling Data'!O670</f>
        <v>2</v>
      </c>
      <c r="Q670" s="18">
        <f>'Sampling Data'!P670</f>
        <v>8</v>
      </c>
      <c r="R670" s="18">
        <f>'Sampling Data'!AJ670</f>
        <v>0</v>
      </c>
      <c r="S670" s="112"/>
      <c r="T670" s="112"/>
      <c r="U670" s="113"/>
      <c r="V670" s="113"/>
      <c r="W670" s="112"/>
      <c r="X670" s="112"/>
      <c r="Y670" s="112"/>
      <c r="Z670" s="112"/>
      <c r="AA670" s="15"/>
      <c r="AB670" s="15"/>
      <c r="AC670" s="15"/>
      <c r="AD670" s="15"/>
      <c r="AE670" s="114" t="str">
        <f>IF(NOT(ISBLANK(Audit[[#This Row],[Audit Winning Candidate]])), Audit[[#This Row],[Audit Winning Candidate]]-Audit[[#This Row],[Winning Candidate]], "")</f>
        <v/>
      </c>
      <c r="AF670" s="18" t="str">
        <f>IF(NOT(ISBLANK(Audit[[#This Row],[Audit Losing Candidate]])), Audit[[#This Row],[Audit Losing Candidate]]-Audit[[#This Row],[Losing Candidate]], "")</f>
        <v/>
      </c>
      <c r="AG670" s="18" t="str">
        <f>IF(NOT(ISBLANK(Audit[[#This Row],[Audit Candidate 3]])), Audit[[#This Row],[Audit Candidate 3]]-Audit[[#This Row],[Candidate 3]], "")</f>
        <v/>
      </c>
      <c r="AH670" s="18" t="str">
        <f>IF(NOT(ISBLANK(Audit[[#This Row],[Audit Candidate 4]])),Audit[[#This Row],[Audit Candidate 4]]-Audit[[#This Row],[Candidate 4]], "")</f>
        <v/>
      </c>
      <c r="AI670" s="18" t="str">
        <f>IF(NOT(ISBLANK(Audit[[#This Row],[Audit Candidate 5]])), Audit[[#This Row],[Audit Candidate 5]]-Audit[[#This Row],[Candidate 5]], "")</f>
        <v/>
      </c>
      <c r="AJ670" s="18" t="str">
        <f>IF(NOT(ISBLANK(Audit[[#This Row],[Audit Candidate 6]])), Audit[[#This Row],[Audit Candidate 6]]-Audit[[#This Row],[Candidate 6]], "")</f>
        <v/>
      </c>
      <c r="AK670" s="18" t="str">
        <f>IF(NOT(ISBLANK(Audit[[#This Row],[Audit Candidate 7]])), Audit[[#This Row],[Audit Candidate 7]]-Audit[[#This Row],[Candidate 7]], "")</f>
        <v/>
      </c>
      <c r="AL670" s="18" t="str">
        <f>IF(NOT(ISBLANK(Audit[[#This Row],[Audit Candidate 8]])), Audit[[#This Row],[Audit Candidate 8]]-Audit[[#This Row],[Candidate 8]], "")</f>
        <v/>
      </c>
      <c r="AM670" s="18" t="str">
        <f>IF(NOT(ISBLANK(Audit[[#This Row],[Audit Candidate 9]])), Audit[[#This Row],[Audit Candidate 9]]-Audit[[#This Row],[Candidate 9]], "")</f>
        <v/>
      </c>
      <c r="AN670" s="18" t="str">
        <f>IF(NOT(ISBLANK(Audit[[#This Row],[Audit Candidate 10]])), Audit[[#This Row],[Audit Candidate 10]]-Audit[[#This Row],[Candidate 10]], "")</f>
        <v/>
      </c>
      <c r="AO670" s="18" t="str">
        <f>IF(NOT(ISBLANK(Audit[[#This Row],[Audit Candidate 11]])), Audit[[#This Row],[Audit Candidate 11]]-Audit[[#This Row],[Candidate 11]], "")</f>
        <v/>
      </c>
      <c r="AP670" s="18" t="str">
        <f>IF(NOT(ISBLANK(Audit[[#This Row],[Audit Candidate 12]])), Audit[[#This Row],[Audit Candidate 12]]-Audit[[#This Row],[Candidate 12]], "")</f>
        <v/>
      </c>
      <c r="AQ670" s="18">
        <f>SUMIF(Audit[[#This Row],[Difference Winner]:[Difference Candidate 12]], "&gt;0")</f>
        <v>0</v>
      </c>
      <c r="AR670" s="18">
        <f>SUM(Audit[[#This Row],[Difference Winner]:[Difference Candidate 12]])</f>
        <v>0</v>
      </c>
      <c r="AS670" s="18">
        <f>IF(Audit[[#This Row],[Times p Drawn - With Replacement]]&gt;0, IF(Audit[[#This Row],[Canceled Differences]]&lt;0, Audit[[#This Row],[Max Differences]]+ABS(Audit[[#This Row],[Canceled Differences]]), Audit[[#This Row],[Max Differences]]), 0)</f>
        <v>0</v>
      </c>
      <c r="AT670" s="18">
        <f>'Sampling Data'!AB670</f>
        <v>4.3973992524421271E-4</v>
      </c>
      <c r="AU670" s="18">
        <f>IF(
      SUM(Audit[[#This Row],[Audit Losing Candidate]:[Audit Candidate 12]])
      &lt;&gt;0,
      (Audit[[#This Row],[Winning Candidate]]-Audit[[#This Row],[Losing Candidate]]-(Audit[[#This Row],[Audit Winning Candidate]]-Audit[[#This Row],[Audit Losing Candidate]]))/(Audit[[#Totals],[Winning Candidate]]-Audit[[#Totals],[Losing Candidate]]),
      0
)</f>
        <v>0</v>
      </c>
      <c r="AV6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8">
        <f>IF(Audit[[#This Row],[Max Relative Error (ep)]] = 0, 0, Audit[[#This Row],[Max Relative Error (ep)]]/Audit[[#This Row],[Error Bound (up) - Max. possible relative overstatement]])</f>
        <v>0</v>
      </c>
      <c r="BH6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0" s="18">
        <f t="shared" si="11"/>
        <v>1</v>
      </c>
      <c r="BJ670" s="18">
        <f>PRODUCT($BI$5:BI670)</f>
        <v>0.32656797278968008</v>
      </c>
      <c r="BK670" s="20">
        <f>1 - Audit[[#This Row],[K-M P Value]]</f>
        <v>0.67343202721031992</v>
      </c>
      <c r="BL670" s="18" t="str">
        <f>IF(Audit[[#This Row],[K-M P Value]]&gt;1-'General Info'!$B$12,"Continue", "Stop")</f>
        <v>Continue</v>
      </c>
      <c r="BM670" s="23" t="b">
        <f>IF(Audit[[#This Row],[Status - Continue or stop audit]] = "Continue", TRUE, IF(BL669 = "Continue", TRUE, FALSE))</f>
        <v>1</v>
      </c>
      <c r="BN670" s="23"/>
    </row>
    <row r="671" spans="1:66" ht="15" hidden="1" customHeight="1" x14ac:dyDescent="0.35">
      <c r="A671" s="18" t="str">
        <f>'Sampling Data'!AI671</f>
        <v/>
      </c>
      <c r="B671" s="18" t="str">
        <f>'Sampling Data'!A671</f>
        <v>1505 CIN 15-E   (ED)</v>
      </c>
      <c r="C671" s="18">
        <f>'Sampling Data'!B671</f>
        <v>8</v>
      </c>
      <c r="D671" s="18">
        <f>'Sampling Data'!C671</f>
        <v>3</v>
      </c>
      <c r="E671" s="19">
        <f>'Sampling Data'!D671</f>
        <v>0</v>
      </c>
      <c r="F671" s="19">
        <f>'Sampling Data'!E671</f>
        <v>0</v>
      </c>
      <c r="G671" s="19">
        <f>'Sampling Data'!F671</f>
        <v>0</v>
      </c>
      <c r="H671" s="19">
        <f>'Sampling Data'!G671</f>
        <v>0</v>
      </c>
      <c r="I671" s="19">
        <f>'Sampling Data'!H671</f>
        <v>0</v>
      </c>
      <c r="J671" s="19">
        <f>'Sampling Data'!I671</f>
        <v>0</v>
      </c>
      <c r="K671" s="19">
        <f>'Sampling Data'!J671</f>
        <v>0</v>
      </c>
      <c r="L671" s="19">
        <f>'Sampling Data'!K671</f>
        <v>0</v>
      </c>
      <c r="M671" s="19">
        <f>'Sampling Data'!L671</f>
        <v>0</v>
      </c>
      <c r="N671" s="19">
        <f>'Sampling Data'!M671</f>
        <v>0</v>
      </c>
      <c r="O671" s="18">
        <f>'Sampling Data'!N671</f>
        <v>0</v>
      </c>
      <c r="P671" s="18">
        <f>'Sampling Data'!O671</f>
        <v>0</v>
      </c>
      <c r="Q671" s="18">
        <f>'Sampling Data'!P671</f>
        <v>11</v>
      </c>
      <c r="R671" s="18">
        <f>'Sampling Data'!AJ671</f>
        <v>0</v>
      </c>
      <c r="S671" s="112"/>
      <c r="T671" s="112"/>
      <c r="U671" s="113"/>
      <c r="V671" s="113"/>
      <c r="W671" s="112"/>
      <c r="X671" s="112"/>
      <c r="Y671" s="112"/>
      <c r="Z671" s="112"/>
      <c r="AA671" s="15"/>
      <c r="AB671" s="15"/>
      <c r="AC671" s="15"/>
      <c r="AD671" s="15"/>
      <c r="AE671" s="114" t="str">
        <f>IF(NOT(ISBLANK(Audit[[#This Row],[Audit Winning Candidate]])), Audit[[#This Row],[Audit Winning Candidate]]-Audit[[#This Row],[Winning Candidate]], "")</f>
        <v/>
      </c>
      <c r="AF671" s="18" t="str">
        <f>IF(NOT(ISBLANK(Audit[[#This Row],[Audit Losing Candidate]])), Audit[[#This Row],[Audit Losing Candidate]]-Audit[[#This Row],[Losing Candidate]], "")</f>
        <v/>
      </c>
      <c r="AG671" s="18" t="str">
        <f>IF(NOT(ISBLANK(Audit[[#This Row],[Audit Candidate 3]])), Audit[[#This Row],[Audit Candidate 3]]-Audit[[#This Row],[Candidate 3]], "")</f>
        <v/>
      </c>
      <c r="AH671" s="18" t="str">
        <f>IF(NOT(ISBLANK(Audit[[#This Row],[Audit Candidate 4]])),Audit[[#This Row],[Audit Candidate 4]]-Audit[[#This Row],[Candidate 4]], "")</f>
        <v/>
      </c>
      <c r="AI671" s="18" t="str">
        <f>IF(NOT(ISBLANK(Audit[[#This Row],[Audit Candidate 5]])), Audit[[#This Row],[Audit Candidate 5]]-Audit[[#This Row],[Candidate 5]], "")</f>
        <v/>
      </c>
      <c r="AJ671" s="18" t="str">
        <f>IF(NOT(ISBLANK(Audit[[#This Row],[Audit Candidate 6]])), Audit[[#This Row],[Audit Candidate 6]]-Audit[[#This Row],[Candidate 6]], "")</f>
        <v/>
      </c>
      <c r="AK671" s="18" t="str">
        <f>IF(NOT(ISBLANK(Audit[[#This Row],[Audit Candidate 7]])), Audit[[#This Row],[Audit Candidate 7]]-Audit[[#This Row],[Candidate 7]], "")</f>
        <v/>
      </c>
      <c r="AL671" s="18" t="str">
        <f>IF(NOT(ISBLANK(Audit[[#This Row],[Audit Candidate 8]])), Audit[[#This Row],[Audit Candidate 8]]-Audit[[#This Row],[Candidate 8]], "")</f>
        <v/>
      </c>
      <c r="AM671" s="18" t="str">
        <f>IF(NOT(ISBLANK(Audit[[#This Row],[Audit Candidate 9]])), Audit[[#This Row],[Audit Candidate 9]]-Audit[[#This Row],[Candidate 9]], "")</f>
        <v/>
      </c>
      <c r="AN671" s="18" t="str">
        <f>IF(NOT(ISBLANK(Audit[[#This Row],[Audit Candidate 10]])), Audit[[#This Row],[Audit Candidate 10]]-Audit[[#This Row],[Candidate 10]], "")</f>
        <v/>
      </c>
      <c r="AO671" s="18" t="str">
        <f>IF(NOT(ISBLANK(Audit[[#This Row],[Audit Candidate 11]])), Audit[[#This Row],[Audit Candidate 11]]-Audit[[#This Row],[Candidate 11]], "")</f>
        <v/>
      </c>
      <c r="AP671" s="18" t="str">
        <f>IF(NOT(ISBLANK(Audit[[#This Row],[Audit Candidate 12]])), Audit[[#This Row],[Audit Candidate 12]]-Audit[[#This Row],[Candidate 12]], "")</f>
        <v/>
      </c>
      <c r="AQ671" s="18">
        <f>SUMIF(Audit[[#This Row],[Difference Winner]:[Difference Candidate 12]], "&gt;0")</f>
        <v>0</v>
      </c>
      <c r="AR671" s="18">
        <f>SUM(Audit[[#This Row],[Difference Winner]:[Difference Candidate 12]])</f>
        <v>0</v>
      </c>
      <c r="AS671" s="18">
        <f>IF(Audit[[#This Row],[Times p Drawn - With Replacement]]&gt;0, IF(Audit[[#This Row],[Canceled Differences]]&lt;0, Audit[[#This Row],[Max Differences]]+ABS(Audit[[#This Row],[Canceled Differences]]), Audit[[#This Row],[Max Differences]]), 0)</f>
        <v>0</v>
      </c>
      <c r="AT671" s="18">
        <f>'Sampling Data'!AB671</f>
        <v>5.0255991456481448E-4</v>
      </c>
      <c r="AU671" s="18">
        <f>IF(
      SUM(Audit[[#This Row],[Audit Losing Candidate]:[Audit Candidate 12]])
      &lt;&gt;0,
      (Audit[[#This Row],[Winning Candidate]]-Audit[[#This Row],[Losing Candidate]]-(Audit[[#This Row],[Audit Winning Candidate]]-Audit[[#This Row],[Audit Losing Candidate]]))/(Audit[[#Totals],[Winning Candidate]]-Audit[[#Totals],[Losing Candidate]]),
      0
)</f>
        <v>0</v>
      </c>
      <c r="AV6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8">
        <f>IF(Audit[[#This Row],[Max Relative Error (ep)]] = 0, 0, Audit[[#This Row],[Max Relative Error (ep)]]/Audit[[#This Row],[Error Bound (up) - Max. possible relative overstatement]])</f>
        <v>0</v>
      </c>
      <c r="BH6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1" s="18">
        <f t="shared" si="11"/>
        <v>1</v>
      </c>
      <c r="BJ671" s="18">
        <f>PRODUCT($BI$5:BI671)</f>
        <v>0.32656797278968008</v>
      </c>
      <c r="BK671" s="20">
        <f>1 - Audit[[#This Row],[K-M P Value]]</f>
        <v>0.67343202721031992</v>
      </c>
      <c r="BL671" s="18" t="str">
        <f>IF(Audit[[#This Row],[K-M P Value]]&gt;1-'General Info'!$B$12,"Continue", "Stop")</f>
        <v>Continue</v>
      </c>
      <c r="BM671" s="23" t="b">
        <f>IF(Audit[[#This Row],[Status - Continue or stop audit]] = "Continue", TRUE, IF(BL670 = "Continue", TRUE, FALSE))</f>
        <v>1</v>
      </c>
      <c r="BN671" s="23"/>
    </row>
    <row r="672" spans="1:66" ht="15" hidden="1" customHeight="1" x14ac:dyDescent="0.35">
      <c r="A672" s="18" t="str">
        <f>'Sampling Data'!AI672</f>
        <v/>
      </c>
      <c r="B672" s="18" t="str">
        <f>'Sampling Data'!A672</f>
        <v>1506 CIN 15-F   (ED)</v>
      </c>
      <c r="C672" s="18">
        <f>'Sampling Data'!B672</f>
        <v>3</v>
      </c>
      <c r="D672" s="18">
        <f>'Sampling Data'!C672</f>
        <v>1</v>
      </c>
      <c r="E672" s="19">
        <f>'Sampling Data'!D672</f>
        <v>0</v>
      </c>
      <c r="F672" s="19">
        <f>'Sampling Data'!E672</f>
        <v>0</v>
      </c>
      <c r="G672" s="19">
        <f>'Sampling Data'!F672</f>
        <v>0</v>
      </c>
      <c r="H672" s="19">
        <f>'Sampling Data'!G672</f>
        <v>0</v>
      </c>
      <c r="I672" s="19">
        <f>'Sampling Data'!H672</f>
        <v>0</v>
      </c>
      <c r="J672" s="19">
        <f>'Sampling Data'!I672</f>
        <v>0</v>
      </c>
      <c r="K672" s="19">
        <f>'Sampling Data'!J672</f>
        <v>0</v>
      </c>
      <c r="L672" s="19">
        <f>'Sampling Data'!K672</f>
        <v>0</v>
      </c>
      <c r="M672" s="19">
        <f>'Sampling Data'!L672</f>
        <v>0</v>
      </c>
      <c r="N672" s="19">
        <f>'Sampling Data'!M672</f>
        <v>0</v>
      </c>
      <c r="O672" s="18">
        <f>'Sampling Data'!N672</f>
        <v>0</v>
      </c>
      <c r="P672" s="18">
        <f>'Sampling Data'!O672</f>
        <v>0</v>
      </c>
      <c r="Q672" s="18">
        <f>'Sampling Data'!P672</f>
        <v>4</v>
      </c>
      <c r="R672" s="18">
        <f>'Sampling Data'!AJ672</f>
        <v>0</v>
      </c>
      <c r="S672" s="112"/>
      <c r="T672" s="112"/>
      <c r="U672" s="113"/>
      <c r="V672" s="113"/>
      <c r="W672" s="112"/>
      <c r="X672" s="112"/>
      <c r="Y672" s="112"/>
      <c r="Z672" s="112"/>
      <c r="AA672" s="15"/>
      <c r="AB672" s="15"/>
      <c r="AC672" s="15"/>
      <c r="AD672" s="15"/>
      <c r="AE672" s="114" t="str">
        <f>IF(NOT(ISBLANK(Audit[[#This Row],[Audit Winning Candidate]])), Audit[[#This Row],[Audit Winning Candidate]]-Audit[[#This Row],[Winning Candidate]], "")</f>
        <v/>
      </c>
      <c r="AF672" s="18" t="str">
        <f>IF(NOT(ISBLANK(Audit[[#This Row],[Audit Losing Candidate]])), Audit[[#This Row],[Audit Losing Candidate]]-Audit[[#This Row],[Losing Candidate]], "")</f>
        <v/>
      </c>
      <c r="AG672" s="18" t="str">
        <f>IF(NOT(ISBLANK(Audit[[#This Row],[Audit Candidate 3]])), Audit[[#This Row],[Audit Candidate 3]]-Audit[[#This Row],[Candidate 3]], "")</f>
        <v/>
      </c>
      <c r="AH672" s="18" t="str">
        <f>IF(NOT(ISBLANK(Audit[[#This Row],[Audit Candidate 4]])),Audit[[#This Row],[Audit Candidate 4]]-Audit[[#This Row],[Candidate 4]], "")</f>
        <v/>
      </c>
      <c r="AI672" s="18" t="str">
        <f>IF(NOT(ISBLANK(Audit[[#This Row],[Audit Candidate 5]])), Audit[[#This Row],[Audit Candidate 5]]-Audit[[#This Row],[Candidate 5]], "")</f>
        <v/>
      </c>
      <c r="AJ672" s="18" t="str">
        <f>IF(NOT(ISBLANK(Audit[[#This Row],[Audit Candidate 6]])), Audit[[#This Row],[Audit Candidate 6]]-Audit[[#This Row],[Candidate 6]], "")</f>
        <v/>
      </c>
      <c r="AK672" s="18" t="str">
        <f>IF(NOT(ISBLANK(Audit[[#This Row],[Audit Candidate 7]])), Audit[[#This Row],[Audit Candidate 7]]-Audit[[#This Row],[Candidate 7]], "")</f>
        <v/>
      </c>
      <c r="AL672" s="18" t="str">
        <f>IF(NOT(ISBLANK(Audit[[#This Row],[Audit Candidate 8]])), Audit[[#This Row],[Audit Candidate 8]]-Audit[[#This Row],[Candidate 8]], "")</f>
        <v/>
      </c>
      <c r="AM672" s="18" t="str">
        <f>IF(NOT(ISBLANK(Audit[[#This Row],[Audit Candidate 9]])), Audit[[#This Row],[Audit Candidate 9]]-Audit[[#This Row],[Candidate 9]], "")</f>
        <v/>
      </c>
      <c r="AN672" s="18" t="str">
        <f>IF(NOT(ISBLANK(Audit[[#This Row],[Audit Candidate 10]])), Audit[[#This Row],[Audit Candidate 10]]-Audit[[#This Row],[Candidate 10]], "")</f>
        <v/>
      </c>
      <c r="AO672" s="18" t="str">
        <f>IF(NOT(ISBLANK(Audit[[#This Row],[Audit Candidate 11]])), Audit[[#This Row],[Audit Candidate 11]]-Audit[[#This Row],[Candidate 11]], "")</f>
        <v/>
      </c>
      <c r="AP672" s="18" t="str">
        <f>IF(NOT(ISBLANK(Audit[[#This Row],[Audit Candidate 12]])), Audit[[#This Row],[Audit Candidate 12]]-Audit[[#This Row],[Candidate 12]], "")</f>
        <v/>
      </c>
      <c r="AQ672" s="18">
        <f>SUMIF(Audit[[#This Row],[Difference Winner]:[Difference Candidate 12]], "&gt;0")</f>
        <v>0</v>
      </c>
      <c r="AR672" s="18">
        <f>SUM(Audit[[#This Row],[Difference Winner]:[Difference Candidate 12]])</f>
        <v>0</v>
      </c>
      <c r="AS672" s="18">
        <f>IF(Audit[[#This Row],[Times p Drawn - With Replacement]]&gt;0, IF(Audit[[#This Row],[Canceled Differences]]&lt;0, Audit[[#This Row],[Max Differences]]+ABS(Audit[[#This Row],[Canceled Differences]]), Audit[[#This Row],[Max Differences]]), 0)</f>
        <v>0</v>
      </c>
      <c r="AT672" s="18">
        <f>'Sampling Data'!AB672</f>
        <v>1.8845996796180544E-4</v>
      </c>
      <c r="AU672" s="18">
        <f>IF(
      SUM(Audit[[#This Row],[Audit Losing Candidate]:[Audit Candidate 12]])
      &lt;&gt;0,
      (Audit[[#This Row],[Winning Candidate]]-Audit[[#This Row],[Losing Candidate]]-(Audit[[#This Row],[Audit Winning Candidate]]-Audit[[#This Row],[Audit Losing Candidate]]))/(Audit[[#Totals],[Winning Candidate]]-Audit[[#Totals],[Losing Candidate]]),
      0
)</f>
        <v>0</v>
      </c>
      <c r="AV6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8">
        <f>IF(Audit[[#This Row],[Max Relative Error (ep)]] = 0, 0, Audit[[#This Row],[Max Relative Error (ep)]]/Audit[[#This Row],[Error Bound (up) - Max. possible relative overstatement]])</f>
        <v>0</v>
      </c>
      <c r="BH6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2" s="18">
        <f t="shared" si="11"/>
        <v>1</v>
      </c>
      <c r="BJ672" s="18">
        <f>PRODUCT($BI$5:BI672)</f>
        <v>0.32656797278968008</v>
      </c>
      <c r="BK672" s="20">
        <f>1 - Audit[[#This Row],[K-M P Value]]</f>
        <v>0.67343202721031992</v>
      </c>
      <c r="BL672" s="18" t="str">
        <f>IF(Audit[[#This Row],[K-M P Value]]&gt;1-'General Info'!$B$12,"Continue", "Stop")</f>
        <v>Continue</v>
      </c>
      <c r="BM672" s="23" t="b">
        <f>IF(Audit[[#This Row],[Status - Continue or stop audit]] = "Continue", TRUE, IF(BL671 = "Continue", TRUE, FALSE))</f>
        <v>1</v>
      </c>
      <c r="BN672" s="23"/>
    </row>
    <row r="673" spans="1:66" ht="15" hidden="1" customHeight="1" x14ac:dyDescent="0.35">
      <c r="A673" s="18" t="str">
        <f>'Sampling Data'!AI673</f>
        <v/>
      </c>
      <c r="B673" s="18" t="str">
        <f>'Sampling Data'!A673</f>
        <v>1507 CIN 15-G   (ED)</v>
      </c>
      <c r="C673" s="18">
        <f>'Sampling Data'!B673</f>
        <v>11</v>
      </c>
      <c r="D673" s="18">
        <f>'Sampling Data'!C673</f>
        <v>1</v>
      </c>
      <c r="E673" s="19">
        <f>'Sampling Data'!D673</f>
        <v>0</v>
      </c>
      <c r="F673" s="19">
        <f>'Sampling Data'!E673</f>
        <v>0</v>
      </c>
      <c r="G673" s="19">
        <f>'Sampling Data'!F673</f>
        <v>0</v>
      </c>
      <c r="H673" s="19">
        <f>'Sampling Data'!G673</f>
        <v>0</v>
      </c>
      <c r="I673" s="19">
        <f>'Sampling Data'!H673</f>
        <v>0</v>
      </c>
      <c r="J673" s="19">
        <f>'Sampling Data'!I673</f>
        <v>0</v>
      </c>
      <c r="K673" s="19">
        <f>'Sampling Data'!J673</f>
        <v>0</v>
      </c>
      <c r="L673" s="19">
        <f>'Sampling Data'!K673</f>
        <v>0</v>
      </c>
      <c r="M673" s="19">
        <f>'Sampling Data'!L673</f>
        <v>0</v>
      </c>
      <c r="N673" s="19">
        <f>'Sampling Data'!M673</f>
        <v>0</v>
      </c>
      <c r="O673" s="18">
        <f>'Sampling Data'!N673</f>
        <v>0</v>
      </c>
      <c r="P673" s="18">
        <f>'Sampling Data'!O673</f>
        <v>1</v>
      </c>
      <c r="Q673" s="18">
        <f>'Sampling Data'!P673</f>
        <v>13</v>
      </c>
      <c r="R673" s="18">
        <f>'Sampling Data'!AJ673</f>
        <v>0</v>
      </c>
      <c r="S673" s="112"/>
      <c r="T673" s="112"/>
      <c r="U673" s="113"/>
      <c r="V673" s="113"/>
      <c r="W673" s="112"/>
      <c r="X673" s="112"/>
      <c r="Y673" s="112"/>
      <c r="Z673" s="112"/>
      <c r="AA673" s="15"/>
      <c r="AB673" s="15"/>
      <c r="AC673" s="15"/>
      <c r="AD673" s="15"/>
      <c r="AE673" s="114" t="str">
        <f>IF(NOT(ISBLANK(Audit[[#This Row],[Audit Winning Candidate]])), Audit[[#This Row],[Audit Winning Candidate]]-Audit[[#This Row],[Winning Candidate]], "")</f>
        <v/>
      </c>
      <c r="AF673" s="18" t="str">
        <f>IF(NOT(ISBLANK(Audit[[#This Row],[Audit Losing Candidate]])), Audit[[#This Row],[Audit Losing Candidate]]-Audit[[#This Row],[Losing Candidate]], "")</f>
        <v/>
      </c>
      <c r="AG673" s="18" t="str">
        <f>IF(NOT(ISBLANK(Audit[[#This Row],[Audit Candidate 3]])), Audit[[#This Row],[Audit Candidate 3]]-Audit[[#This Row],[Candidate 3]], "")</f>
        <v/>
      </c>
      <c r="AH673" s="18" t="str">
        <f>IF(NOT(ISBLANK(Audit[[#This Row],[Audit Candidate 4]])),Audit[[#This Row],[Audit Candidate 4]]-Audit[[#This Row],[Candidate 4]], "")</f>
        <v/>
      </c>
      <c r="AI673" s="18" t="str">
        <f>IF(NOT(ISBLANK(Audit[[#This Row],[Audit Candidate 5]])), Audit[[#This Row],[Audit Candidate 5]]-Audit[[#This Row],[Candidate 5]], "")</f>
        <v/>
      </c>
      <c r="AJ673" s="18" t="str">
        <f>IF(NOT(ISBLANK(Audit[[#This Row],[Audit Candidate 6]])), Audit[[#This Row],[Audit Candidate 6]]-Audit[[#This Row],[Candidate 6]], "")</f>
        <v/>
      </c>
      <c r="AK673" s="18" t="str">
        <f>IF(NOT(ISBLANK(Audit[[#This Row],[Audit Candidate 7]])), Audit[[#This Row],[Audit Candidate 7]]-Audit[[#This Row],[Candidate 7]], "")</f>
        <v/>
      </c>
      <c r="AL673" s="18" t="str">
        <f>IF(NOT(ISBLANK(Audit[[#This Row],[Audit Candidate 8]])), Audit[[#This Row],[Audit Candidate 8]]-Audit[[#This Row],[Candidate 8]], "")</f>
        <v/>
      </c>
      <c r="AM673" s="18" t="str">
        <f>IF(NOT(ISBLANK(Audit[[#This Row],[Audit Candidate 9]])), Audit[[#This Row],[Audit Candidate 9]]-Audit[[#This Row],[Candidate 9]], "")</f>
        <v/>
      </c>
      <c r="AN673" s="18" t="str">
        <f>IF(NOT(ISBLANK(Audit[[#This Row],[Audit Candidate 10]])), Audit[[#This Row],[Audit Candidate 10]]-Audit[[#This Row],[Candidate 10]], "")</f>
        <v/>
      </c>
      <c r="AO673" s="18" t="str">
        <f>IF(NOT(ISBLANK(Audit[[#This Row],[Audit Candidate 11]])), Audit[[#This Row],[Audit Candidate 11]]-Audit[[#This Row],[Candidate 11]], "")</f>
        <v/>
      </c>
      <c r="AP673" s="18" t="str">
        <f>IF(NOT(ISBLANK(Audit[[#This Row],[Audit Candidate 12]])), Audit[[#This Row],[Audit Candidate 12]]-Audit[[#This Row],[Candidate 12]], "")</f>
        <v/>
      </c>
      <c r="AQ673" s="18">
        <f>SUMIF(Audit[[#This Row],[Difference Winner]:[Difference Candidate 12]], "&gt;0")</f>
        <v>0</v>
      </c>
      <c r="AR673" s="18">
        <f>SUM(Audit[[#This Row],[Difference Winner]:[Difference Candidate 12]])</f>
        <v>0</v>
      </c>
      <c r="AS673" s="18">
        <f>IF(Audit[[#This Row],[Times p Drawn - With Replacement]]&gt;0, IF(Audit[[#This Row],[Canceled Differences]]&lt;0, Audit[[#This Row],[Max Differences]]+ABS(Audit[[#This Row],[Canceled Differences]]), Audit[[#This Row],[Max Differences]]), 0)</f>
        <v>0</v>
      </c>
      <c r="AT673" s="18">
        <f>'Sampling Data'!AB673</f>
        <v>7.2242987718692088E-4</v>
      </c>
      <c r="AU673" s="18">
        <f>IF(
      SUM(Audit[[#This Row],[Audit Losing Candidate]:[Audit Candidate 12]])
      &lt;&gt;0,
      (Audit[[#This Row],[Winning Candidate]]-Audit[[#This Row],[Losing Candidate]]-(Audit[[#This Row],[Audit Winning Candidate]]-Audit[[#This Row],[Audit Losing Candidate]]))/(Audit[[#Totals],[Winning Candidate]]-Audit[[#Totals],[Losing Candidate]]),
      0
)</f>
        <v>0</v>
      </c>
      <c r="AV6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8">
        <f>IF(Audit[[#This Row],[Max Relative Error (ep)]] = 0, 0, Audit[[#This Row],[Max Relative Error (ep)]]/Audit[[#This Row],[Error Bound (up) - Max. possible relative overstatement]])</f>
        <v>0</v>
      </c>
      <c r="BH6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3" s="18">
        <f t="shared" si="11"/>
        <v>1</v>
      </c>
      <c r="BJ673" s="18">
        <f>PRODUCT($BI$5:BI673)</f>
        <v>0.32656797278968008</v>
      </c>
      <c r="BK673" s="20">
        <f>1 - Audit[[#This Row],[K-M P Value]]</f>
        <v>0.67343202721031992</v>
      </c>
      <c r="BL673" s="18" t="str">
        <f>IF(Audit[[#This Row],[K-M P Value]]&gt;1-'General Info'!$B$12,"Continue", "Stop")</f>
        <v>Continue</v>
      </c>
      <c r="BM673" s="23" t="b">
        <f>IF(Audit[[#This Row],[Status - Continue or stop audit]] = "Continue", TRUE, IF(BL672 = "Continue", TRUE, FALSE))</f>
        <v>1</v>
      </c>
      <c r="BN673" s="23"/>
    </row>
    <row r="674" spans="1:66" ht="15" hidden="1" customHeight="1" x14ac:dyDescent="0.35">
      <c r="A674" s="18" t="str">
        <f>'Sampling Data'!AI674</f>
        <v/>
      </c>
      <c r="B674" s="18" t="str">
        <f>'Sampling Data'!A674</f>
        <v>1508 CIN 15-H   (ED)</v>
      </c>
      <c r="C674" s="18">
        <f>'Sampling Data'!B674</f>
        <v>35</v>
      </c>
      <c r="D674" s="18">
        <f>'Sampling Data'!C674</f>
        <v>7</v>
      </c>
      <c r="E674" s="19">
        <f>'Sampling Data'!D674</f>
        <v>0</v>
      </c>
      <c r="F674" s="19">
        <f>'Sampling Data'!E674</f>
        <v>0</v>
      </c>
      <c r="G674" s="19">
        <f>'Sampling Data'!F674</f>
        <v>0</v>
      </c>
      <c r="H674" s="19">
        <f>'Sampling Data'!G674</f>
        <v>0</v>
      </c>
      <c r="I674" s="19">
        <f>'Sampling Data'!H674</f>
        <v>0</v>
      </c>
      <c r="J674" s="19">
        <f>'Sampling Data'!I674</f>
        <v>0</v>
      </c>
      <c r="K674" s="19">
        <f>'Sampling Data'!J674</f>
        <v>0</v>
      </c>
      <c r="L674" s="19">
        <f>'Sampling Data'!K674</f>
        <v>0</v>
      </c>
      <c r="M674" s="19">
        <f>'Sampling Data'!L674</f>
        <v>0</v>
      </c>
      <c r="N674" s="19">
        <f>'Sampling Data'!M674</f>
        <v>0</v>
      </c>
      <c r="O674" s="18">
        <f>'Sampling Data'!N674</f>
        <v>0</v>
      </c>
      <c r="P674" s="18">
        <f>'Sampling Data'!O674</f>
        <v>1</v>
      </c>
      <c r="Q674" s="18">
        <f>'Sampling Data'!P674</f>
        <v>43</v>
      </c>
      <c r="R674" s="18">
        <f>'Sampling Data'!AJ674</f>
        <v>0</v>
      </c>
      <c r="S674" s="112"/>
      <c r="T674" s="112"/>
      <c r="U674" s="113"/>
      <c r="V674" s="113"/>
      <c r="W674" s="112"/>
      <c r="X674" s="112"/>
      <c r="Y674" s="112"/>
      <c r="Z674" s="112"/>
      <c r="AA674" s="15"/>
      <c r="AB674" s="15"/>
      <c r="AC674" s="15"/>
      <c r="AD674" s="15"/>
      <c r="AE674" s="114" t="str">
        <f>IF(NOT(ISBLANK(Audit[[#This Row],[Audit Winning Candidate]])), Audit[[#This Row],[Audit Winning Candidate]]-Audit[[#This Row],[Winning Candidate]], "")</f>
        <v/>
      </c>
      <c r="AF674" s="18" t="str">
        <f>IF(NOT(ISBLANK(Audit[[#This Row],[Audit Losing Candidate]])), Audit[[#This Row],[Audit Losing Candidate]]-Audit[[#This Row],[Losing Candidate]], "")</f>
        <v/>
      </c>
      <c r="AG674" s="18" t="str">
        <f>IF(NOT(ISBLANK(Audit[[#This Row],[Audit Candidate 3]])), Audit[[#This Row],[Audit Candidate 3]]-Audit[[#This Row],[Candidate 3]], "")</f>
        <v/>
      </c>
      <c r="AH674" s="18" t="str">
        <f>IF(NOT(ISBLANK(Audit[[#This Row],[Audit Candidate 4]])),Audit[[#This Row],[Audit Candidate 4]]-Audit[[#This Row],[Candidate 4]], "")</f>
        <v/>
      </c>
      <c r="AI674" s="18" t="str">
        <f>IF(NOT(ISBLANK(Audit[[#This Row],[Audit Candidate 5]])), Audit[[#This Row],[Audit Candidate 5]]-Audit[[#This Row],[Candidate 5]], "")</f>
        <v/>
      </c>
      <c r="AJ674" s="18" t="str">
        <f>IF(NOT(ISBLANK(Audit[[#This Row],[Audit Candidate 6]])), Audit[[#This Row],[Audit Candidate 6]]-Audit[[#This Row],[Candidate 6]], "")</f>
        <v/>
      </c>
      <c r="AK674" s="18" t="str">
        <f>IF(NOT(ISBLANK(Audit[[#This Row],[Audit Candidate 7]])), Audit[[#This Row],[Audit Candidate 7]]-Audit[[#This Row],[Candidate 7]], "")</f>
        <v/>
      </c>
      <c r="AL674" s="18" t="str">
        <f>IF(NOT(ISBLANK(Audit[[#This Row],[Audit Candidate 8]])), Audit[[#This Row],[Audit Candidate 8]]-Audit[[#This Row],[Candidate 8]], "")</f>
        <v/>
      </c>
      <c r="AM674" s="18" t="str">
        <f>IF(NOT(ISBLANK(Audit[[#This Row],[Audit Candidate 9]])), Audit[[#This Row],[Audit Candidate 9]]-Audit[[#This Row],[Candidate 9]], "")</f>
        <v/>
      </c>
      <c r="AN674" s="18" t="str">
        <f>IF(NOT(ISBLANK(Audit[[#This Row],[Audit Candidate 10]])), Audit[[#This Row],[Audit Candidate 10]]-Audit[[#This Row],[Candidate 10]], "")</f>
        <v/>
      </c>
      <c r="AO674" s="18" t="str">
        <f>IF(NOT(ISBLANK(Audit[[#This Row],[Audit Candidate 11]])), Audit[[#This Row],[Audit Candidate 11]]-Audit[[#This Row],[Candidate 11]], "")</f>
        <v/>
      </c>
      <c r="AP674" s="18" t="str">
        <f>IF(NOT(ISBLANK(Audit[[#This Row],[Audit Candidate 12]])), Audit[[#This Row],[Audit Candidate 12]]-Audit[[#This Row],[Candidate 12]], "")</f>
        <v/>
      </c>
      <c r="AQ674" s="18">
        <f>SUMIF(Audit[[#This Row],[Difference Winner]:[Difference Candidate 12]], "&gt;0")</f>
        <v>0</v>
      </c>
      <c r="AR674" s="18">
        <f>SUM(Audit[[#This Row],[Difference Winner]:[Difference Candidate 12]])</f>
        <v>0</v>
      </c>
      <c r="AS674" s="18">
        <f>IF(Audit[[#This Row],[Times p Drawn - With Replacement]]&gt;0, IF(Audit[[#This Row],[Canceled Differences]]&lt;0, Audit[[#This Row],[Max Differences]]+ABS(Audit[[#This Row],[Canceled Differences]]), Audit[[#This Row],[Max Differences]]), 0)</f>
        <v>0</v>
      </c>
      <c r="AT674" s="18">
        <f>'Sampling Data'!AB674</f>
        <v>2.2301096208813646E-3</v>
      </c>
      <c r="AU674" s="18">
        <f>IF(
      SUM(Audit[[#This Row],[Audit Losing Candidate]:[Audit Candidate 12]])
      &lt;&gt;0,
      (Audit[[#This Row],[Winning Candidate]]-Audit[[#This Row],[Losing Candidate]]-(Audit[[#This Row],[Audit Winning Candidate]]-Audit[[#This Row],[Audit Losing Candidate]]))/(Audit[[#Totals],[Winning Candidate]]-Audit[[#Totals],[Losing Candidate]]),
      0
)</f>
        <v>0</v>
      </c>
      <c r="AV6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8">
        <f>IF(Audit[[#This Row],[Max Relative Error (ep)]] = 0, 0, Audit[[#This Row],[Max Relative Error (ep)]]/Audit[[#This Row],[Error Bound (up) - Max. possible relative overstatement]])</f>
        <v>0</v>
      </c>
      <c r="BH6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4" s="18">
        <f t="shared" si="11"/>
        <v>1</v>
      </c>
      <c r="BJ674" s="18">
        <f>PRODUCT($BI$5:BI674)</f>
        <v>0.32656797278968008</v>
      </c>
      <c r="BK674" s="20">
        <f>1 - Audit[[#This Row],[K-M P Value]]</f>
        <v>0.67343202721031992</v>
      </c>
      <c r="BL674" s="18" t="str">
        <f>IF(Audit[[#This Row],[K-M P Value]]&gt;1-'General Info'!$B$12,"Continue", "Stop")</f>
        <v>Continue</v>
      </c>
      <c r="BM674" s="23" t="b">
        <f>IF(Audit[[#This Row],[Status - Continue or stop audit]] = "Continue", TRUE, IF(BL673 = "Continue", TRUE, FALSE))</f>
        <v>1</v>
      </c>
      <c r="BN674" s="23"/>
    </row>
    <row r="675" spans="1:66" ht="15" hidden="1" customHeight="1" x14ac:dyDescent="0.35">
      <c r="A675" s="18" t="str">
        <f>'Sampling Data'!AI675</f>
        <v/>
      </c>
      <c r="B675" s="18" t="str">
        <f>'Sampling Data'!A675</f>
        <v>1509 CIN 15-I   (ED)</v>
      </c>
      <c r="C675" s="18">
        <f>'Sampling Data'!B675</f>
        <v>14</v>
      </c>
      <c r="D675" s="18">
        <f>'Sampling Data'!C675</f>
        <v>4</v>
      </c>
      <c r="E675" s="19">
        <f>'Sampling Data'!D675</f>
        <v>0</v>
      </c>
      <c r="F675" s="19">
        <f>'Sampling Data'!E675</f>
        <v>0</v>
      </c>
      <c r="G675" s="19">
        <f>'Sampling Data'!F675</f>
        <v>0</v>
      </c>
      <c r="H675" s="19">
        <f>'Sampling Data'!G675</f>
        <v>0</v>
      </c>
      <c r="I675" s="19">
        <f>'Sampling Data'!H675</f>
        <v>0</v>
      </c>
      <c r="J675" s="19">
        <f>'Sampling Data'!I675</f>
        <v>0</v>
      </c>
      <c r="K675" s="19">
        <f>'Sampling Data'!J675</f>
        <v>0</v>
      </c>
      <c r="L675" s="19">
        <f>'Sampling Data'!K675</f>
        <v>0</v>
      </c>
      <c r="M675" s="19">
        <f>'Sampling Data'!L675</f>
        <v>0</v>
      </c>
      <c r="N675" s="19">
        <f>'Sampling Data'!M675</f>
        <v>0</v>
      </c>
      <c r="O675" s="18">
        <f>'Sampling Data'!N675</f>
        <v>0</v>
      </c>
      <c r="P675" s="18">
        <f>'Sampling Data'!O675</f>
        <v>0</v>
      </c>
      <c r="Q675" s="18">
        <f>'Sampling Data'!P675</f>
        <v>18</v>
      </c>
      <c r="R675" s="18">
        <f>'Sampling Data'!AJ675</f>
        <v>0</v>
      </c>
      <c r="S675" s="112"/>
      <c r="T675" s="112"/>
      <c r="U675" s="113"/>
      <c r="V675" s="113"/>
      <c r="W675" s="112"/>
      <c r="X675" s="112"/>
      <c r="Y675" s="112"/>
      <c r="Z675" s="112"/>
      <c r="AA675" s="15"/>
      <c r="AB675" s="15"/>
      <c r="AC675" s="15"/>
      <c r="AD675" s="15"/>
      <c r="AE675" s="114" t="str">
        <f>IF(NOT(ISBLANK(Audit[[#This Row],[Audit Winning Candidate]])), Audit[[#This Row],[Audit Winning Candidate]]-Audit[[#This Row],[Winning Candidate]], "")</f>
        <v/>
      </c>
      <c r="AF675" s="18" t="str">
        <f>IF(NOT(ISBLANK(Audit[[#This Row],[Audit Losing Candidate]])), Audit[[#This Row],[Audit Losing Candidate]]-Audit[[#This Row],[Losing Candidate]], "")</f>
        <v/>
      </c>
      <c r="AG675" s="18" t="str">
        <f>IF(NOT(ISBLANK(Audit[[#This Row],[Audit Candidate 3]])), Audit[[#This Row],[Audit Candidate 3]]-Audit[[#This Row],[Candidate 3]], "")</f>
        <v/>
      </c>
      <c r="AH675" s="18" t="str">
        <f>IF(NOT(ISBLANK(Audit[[#This Row],[Audit Candidate 4]])),Audit[[#This Row],[Audit Candidate 4]]-Audit[[#This Row],[Candidate 4]], "")</f>
        <v/>
      </c>
      <c r="AI675" s="18" t="str">
        <f>IF(NOT(ISBLANK(Audit[[#This Row],[Audit Candidate 5]])), Audit[[#This Row],[Audit Candidate 5]]-Audit[[#This Row],[Candidate 5]], "")</f>
        <v/>
      </c>
      <c r="AJ675" s="18" t="str">
        <f>IF(NOT(ISBLANK(Audit[[#This Row],[Audit Candidate 6]])), Audit[[#This Row],[Audit Candidate 6]]-Audit[[#This Row],[Candidate 6]], "")</f>
        <v/>
      </c>
      <c r="AK675" s="18" t="str">
        <f>IF(NOT(ISBLANK(Audit[[#This Row],[Audit Candidate 7]])), Audit[[#This Row],[Audit Candidate 7]]-Audit[[#This Row],[Candidate 7]], "")</f>
        <v/>
      </c>
      <c r="AL675" s="18" t="str">
        <f>IF(NOT(ISBLANK(Audit[[#This Row],[Audit Candidate 8]])), Audit[[#This Row],[Audit Candidate 8]]-Audit[[#This Row],[Candidate 8]], "")</f>
        <v/>
      </c>
      <c r="AM675" s="18" t="str">
        <f>IF(NOT(ISBLANK(Audit[[#This Row],[Audit Candidate 9]])), Audit[[#This Row],[Audit Candidate 9]]-Audit[[#This Row],[Candidate 9]], "")</f>
        <v/>
      </c>
      <c r="AN675" s="18" t="str">
        <f>IF(NOT(ISBLANK(Audit[[#This Row],[Audit Candidate 10]])), Audit[[#This Row],[Audit Candidate 10]]-Audit[[#This Row],[Candidate 10]], "")</f>
        <v/>
      </c>
      <c r="AO675" s="18" t="str">
        <f>IF(NOT(ISBLANK(Audit[[#This Row],[Audit Candidate 11]])), Audit[[#This Row],[Audit Candidate 11]]-Audit[[#This Row],[Candidate 11]], "")</f>
        <v/>
      </c>
      <c r="AP675" s="18" t="str">
        <f>IF(NOT(ISBLANK(Audit[[#This Row],[Audit Candidate 12]])), Audit[[#This Row],[Audit Candidate 12]]-Audit[[#This Row],[Candidate 12]], "")</f>
        <v/>
      </c>
      <c r="AQ675" s="18">
        <f>SUMIF(Audit[[#This Row],[Difference Winner]:[Difference Candidate 12]], "&gt;0")</f>
        <v>0</v>
      </c>
      <c r="AR675" s="18">
        <f>SUM(Audit[[#This Row],[Difference Winner]:[Difference Candidate 12]])</f>
        <v>0</v>
      </c>
      <c r="AS675" s="18">
        <f>IF(Audit[[#This Row],[Times p Drawn - With Replacement]]&gt;0, IF(Audit[[#This Row],[Canceled Differences]]&lt;0, Audit[[#This Row],[Max Differences]]+ABS(Audit[[#This Row],[Canceled Differences]]), Audit[[#This Row],[Max Differences]]), 0)</f>
        <v>0</v>
      </c>
      <c r="AT675" s="18">
        <f>'Sampling Data'!AB675</f>
        <v>8.7947985048842541E-4</v>
      </c>
      <c r="AU675" s="18">
        <f>IF(
      SUM(Audit[[#This Row],[Audit Losing Candidate]:[Audit Candidate 12]])
      &lt;&gt;0,
      (Audit[[#This Row],[Winning Candidate]]-Audit[[#This Row],[Losing Candidate]]-(Audit[[#This Row],[Audit Winning Candidate]]-Audit[[#This Row],[Audit Losing Candidate]]))/(Audit[[#Totals],[Winning Candidate]]-Audit[[#Totals],[Losing Candidate]]),
      0
)</f>
        <v>0</v>
      </c>
      <c r="AV6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8">
        <f>IF(Audit[[#This Row],[Max Relative Error (ep)]] = 0, 0, Audit[[#This Row],[Max Relative Error (ep)]]/Audit[[#This Row],[Error Bound (up) - Max. possible relative overstatement]])</f>
        <v>0</v>
      </c>
      <c r="BH6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5" s="18">
        <f t="shared" si="11"/>
        <v>1</v>
      </c>
      <c r="BJ675" s="18">
        <f>PRODUCT($BI$5:BI675)</f>
        <v>0.32656797278968008</v>
      </c>
      <c r="BK675" s="20">
        <f>1 - Audit[[#This Row],[K-M P Value]]</f>
        <v>0.67343202721031992</v>
      </c>
      <c r="BL675" s="18" t="str">
        <f>IF(Audit[[#This Row],[K-M P Value]]&gt;1-'General Info'!$B$12,"Continue", "Stop")</f>
        <v>Continue</v>
      </c>
      <c r="BM675" s="23" t="b">
        <f>IF(Audit[[#This Row],[Status - Continue or stop audit]] = "Continue", TRUE, IF(BL674 = "Continue", TRUE, FALSE))</f>
        <v>1</v>
      </c>
      <c r="BN675" s="23"/>
    </row>
    <row r="676" spans="1:66" ht="15" hidden="1" customHeight="1" x14ac:dyDescent="0.35">
      <c r="A676" s="18" t="str">
        <f>'Sampling Data'!AI676</f>
        <v/>
      </c>
      <c r="B676" s="18" t="str">
        <f>'Sampling Data'!A676</f>
        <v>1510 CIN 15-J   (ED)</v>
      </c>
      <c r="C676" s="18">
        <f>'Sampling Data'!B676</f>
        <v>2</v>
      </c>
      <c r="D676" s="18">
        <f>'Sampling Data'!C676</f>
        <v>0</v>
      </c>
      <c r="E676" s="19">
        <f>'Sampling Data'!D676</f>
        <v>0</v>
      </c>
      <c r="F676" s="19">
        <f>'Sampling Data'!E676</f>
        <v>0</v>
      </c>
      <c r="G676" s="19">
        <f>'Sampling Data'!F676</f>
        <v>0</v>
      </c>
      <c r="H676" s="19">
        <f>'Sampling Data'!G676</f>
        <v>0</v>
      </c>
      <c r="I676" s="19">
        <f>'Sampling Data'!H676</f>
        <v>0</v>
      </c>
      <c r="J676" s="19">
        <f>'Sampling Data'!I676</f>
        <v>0</v>
      </c>
      <c r="K676" s="19">
        <f>'Sampling Data'!J676</f>
        <v>0</v>
      </c>
      <c r="L676" s="19">
        <f>'Sampling Data'!K676</f>
        <v>0</v>
      </c>
      <c r="M676" s="19">
        <f>'Sampling Data'!L676</f>
        <v>0</v>
      </c>
      <c r="N676" s="19">
        <f>'Sampling Data'!M676</f>
        <v>0</v>
      </c>
      <c r="O676" s="18">
        <f>'Sampling Data'!N676</f>
        <v>0</v>
      </c>
      <c r="P676" s="18">
        <f>'Sampling Data'!O676</f>
        <v>0</v>
      </c>
      <c r="Q676" s="18">
        <f>'Sampling Data'!P676</f>
        <v>2</v>
      </c>
      <c r="R676" s="18">
        <f>'Sampling Data'!AJ676</f>
        <v>0</v>
      </c>
      <c r="S676" s="112"/>
      <c r="T676" s="112"/>
      <c r="U676" s="113"/>
      <c r="V676" s="113"/>
      <c r="W676" s="112"/>
      <c r="X676" s="112"/>
      <c r="Y676" s="112"/>
      <c r="Z676" s="112"/>
      <c r="AA676" s="15"/>
      <c r="AB676" s="15"/>
      <c r="AC676" s="15"/>
      <c r="AD676" s="15"/>
      <c r="AE676" s="114" t="str">
        <f>IF(NOT(ISBLANK(Audit[[#This Row],[Audit Winning Candidate]])), Audit[[#This Row],[Audit Winning Candidate]]-Audit[[#This Row],[Winning Candidate]], "")</f>
        <v/>
      </c>
      <c r="AF676" s="18" t="str">
        <f>IF(NOT(ISBLANK(Audit[[#This Row],[Audit Losing Candidate]])), Audit[[#This Row],[Audit Losing Candidate]]-Audit[[#This Row],[Losing Candidate]], "")</f>
        <v/>
      </c>
      <c r="AG676" s="18" t="str">
        <f>IF(NOT(ISBLANK(Audit[[#This Row],[Audit Candidate 3]])), Audit[[#This Row],[Audit Candidate 3]]-Audit[[#This Row],[Candidate 3]], "")</f>
        <v/>
      </c>
      <c r="AH676" s="18" t="str">
        <f>IF(NOT(ISBLANK(Audit[[#This Row],[Audit Candidate 4]])),Audit[[#This Row],[Audit Candidate 4]]-Audit[[#This Row],[Candidate 4]], "")</f>
        <v/>
      </c>
      <c r="AI676" s="18" t="str">
        <f>IF(NOT(ISBLANK(Audit[[#This Row],[Audit Candidate 5]])), Audit[[#This Row],[Audit Candidate 5]]-Audit[[#This Row],[Candidate 5]], "")</f>
        <v/>
      </c>
      <c r="AJ676" s="18" t="str">
        <f>IF(NOT(ISBLANK(Audit[[#This Row],[Audit Candidate 6]])), Audit[[#This Row],[Audit Candidate 6]]-Audit[[#This Row],[Candidate 6]], "")</f>
        <v/>
      </c>
      <c r="AK676" s="18" t="str">
        <f>IF(NOT(ISBLANK(Audit[[#This Row],[Audit Candidate 7]])), Audit[[#This Row],[Audit Candidate 7]]-Audit[[#This Row],[Candidate 7]], "")</f>
        <v/>
      </c>
      <c r="AL676" s="18" t="str">
        <f>IF(NOT(ISBLANK(Audit[[#This Row],[Audit Candidate 8]])), Audit[[#This Row],[Audit Candidate 8]]-Audit[[#This Row],[Candidate 8]], "")</f>
        <v/>
      </c>
      <c r="AM676" s="18" t="str">
        <f>IF(NOT(ISBLANK(Audit[[#This Row],[Audit Candidate 9]])), Audit[[#This Row],[Audit Candidate 9]]-Audit[[#This Row],[Candidate 9]], "")</f>
        <v/>
      </c>
      <c r="AN676" s="18" t="str">
        <f>IF(NOT(ISBLANK(Audit[[#This Row],[Audit Candidate 10]])), Audit[[#This Row],[Audit Candidate 10]]-Audit[[#This Row],[Candidate 10]], "")</f>
        <v/>
      </c>
      <c r="AO676" s="18" t="str">
        <f>IF(NOT(ISBLANK(Audit[[#This Row],[Audit Candidate 11]])), Audit[[#This Row],[Audit Candidate 11]]-Audit[[#This Row],[Candidate 11]], "")</f>
        <v/>
      </c>
      <c r="AP676" s="18" t="str">
        <f>IF(NOT(ISBLANK(Audit[[#This Row],[Audit Candidate 12]])), Audit[[#This Row],[Audit Candidate 12]]-Audit[[#This Row],[Candidate 12]], "")</f>
        <v/>
      </c>
      <c r="AQ676" s="18">
        <f>SUMIF(Audit[[#This Row],[Difference Winner]:[Difference Candidate 12]], "&gt;0")</f>
        <v>0</v>
      </c>
      <c r="AR676" s="18">
        <f>SUM(Audit[[#This Row],[Difference Winner]:[Difference Candidate 12]])</f>
        <v>0</v>
      </c>
      <c r="AS676" s="18">
        <f>IF(Audit[[#This Row],[Times p Drawn - With Replacement]]&gt;0, IF(Audit[[#This Row],[Canceled Differences]]&lt;0, Audit[[#This Row],[Max Differences]]+ABS(Audit[[#This Row],[Canceled Differences]]), Audit[[#This Row],[Max Differences]]), 0)</f>
        <v>0</v>
      </c>
      <c r="AT676" s="18">
        <f>'Sampling Data'!AB676</f>
        <v>1.2563997864120362E-4</v>
      </c>
      <c r="AU676" s="18">
        <f>IF(
      SUM(Audit[[#This Row],[Audit Losing Candidate]:[Audit Candidate 12]])
      &lt;&gt;0,
      (Audit[[#This Row],[Winning Candidate]]-Audit[[#This Row],[Losing Candidate]]-(Audit[[#This Row],[Audit Winning Candidate]]-Audit[[#This Row],[Audit Losing Candidate]]))/(Audit[[#Totals],[Winning Candidate]]-Audit[[#Totals],[Losing Candidate]]),
      0
)</f>
        <v>0</v>
      </c>
      <c r="AV6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8">
        <f>IF(Audit[[#This Row],[Max Relative Error (ep)]] = 0, 0, Audit[[#This Row],[Max Relative Error (ep)]]/Audit[[#This Row],[Error Bound (up) - Max. possible relative overstatement]])</f>
        <v>0</v>
      </c>
      <c r="BH6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6" s="18">
        <f t="shared" si="11"/>
        <v>1</v>
      </c>
      <c r="BJ676" s="18">
        <f>PRODUCT($BI$5:BI676)</f>
        <v>0.32656797278968008</v>
      </c>
      <c r="BK676" s="20">
        <f>1 - Audit[[#This Row],[K-M P Value]]</f>
        <v>0.67343202721031992</v>
      </c>
      <c r="BL676" s="18" t="str">
        <f>IF(Audit[[#This Row],[K-M P Value]]&gt;1-'General Info'!$B$12,"Continue", "Stop")</f>
        <v>Continue</v>
      </c>
      <c r="BM676" s="23" t="b">
        <f>IF(Audit[[#This Row],[Status - Continue or stop audit]] = "Continue", TRUE, IF(BL675 = "Continue", TRUE, FALSE))</f>
        <v>1</v>
      </c>
      <c r="BN676" s="23"/>
    </row>
    <row r="677" spans="1:66" ht="15" hidden="1" customHeight="1" x14ac:dyDescent="0.35">
      <c r="A677" s="18" t="str">
        <f>'Sampling Data'!AI677</f>
        <v/>
      </c>
      <c r="B677" s="18" t="str">
        <f>'Sampling Data'!A677</f>
        <v>1601 CIN 16-A   (ED)</v>
      </c>
      <c r="C677" s="18">
        <f>'Sampling Data'!B677</f>
        <v>1</v>
      </c>
      <c r="D677" s="18">
        <f>'Sampling Data'!C677</f>
        <v>1</v>
      </c>
      <c r="E677" s="19">
        <f>'Sampling Data'!D677</f>
        <v>0</v>
      </c>
      <c r="F677" s="19">
        <f>'Sampling Data'!E677</f>
        <v>0</v>
      </c>
      <c r="G677" s="19">
        <f>'Sampling Data'!F677</f>
        <v>0</v>
      </c>
      <c r="H677" s="19">
        <f>'Sampling Data'!G677</f>
        <v>0</v>
      </c>
      <c r="I677" s="19">
        <f>'Sampling Data'!H677</f>
        <v>0</v>
      </c>
      <c r="J677" s="19">
        <f>'Sampling Data'!I677</f>
        <v>0</v>
      </c>
      <c r="K677" s="19">
        <f>'Sampling Data'!J677</f>
        <v>0</v>
      </c>
      <c r="L677" s="19">
        <f>'Sampling Data'!K677</f>
        <v>0</v>
      </c>
      <c r="M677" s="19">
        <f>'Sampling Data'!L677</f>
        <v>0</v>
      </c>
      <c r="N677" s="19">
        <f>'Sampling Data'!M677</f>
        <v>0</v>
      </c>
      <c r="O677" s="18">
        <f>'Sampling Data'!N677</f>
        <v>0</v>
      </c>
      <c r="P677" s="18">
        <f>'Sampling Data'!O677</f>
        <v>0</v>
      </c>
      <c r="Q677" s="18">
        <f>'Sampling Data'!P677</f>
        <v>2</v>
      </c>
      <c r="R677" s="18">
        <f>'Sampling Data'!AJ677</f>
        <v>0</v>
      </c>
      <c r="S677" s="112"/>
      <c r="T677" s="112"/>
      <c r="U677" s="113"/>
      <c r="V677" s="113"/>
      <c r="W677" s="112"/>
      <c r="X677" s="112"/>
      <c r="Y677" s="112"/>
      <c r="Z677" s="112"/>
      <c r="AA677" s="15"/>
      <c r="AB677" s="15"/>
      <c r="AC677" s="15"/>
      <c r="AD677" s="15"/>
      <c r="AE677" s="114" t="str">
        <f>IF(NOT(ISBLANK(Audit[[#This Row],[Audit Winning Candidate]])), Audit[[#This Row],[Audit Winning Candidate]]-Audit[[#This Row],[Winning Candidate]], "")</f>
        <v/>
      </c>
      <c r="AF677" s="18" t="str">
        <f>IF(NOT(ISBLANK(Audit[[#This Row],[Audit Losing Candidate]])), Audit[[#This Row],[Audit Losing Candidate]]-Audit[[#This Row],[Losing Candidate]], "")</f>
        <v/>
      </c>
      <c r="AG677" s="18" t="str">
        <f>IF(NOT(ISBLANK(Audit[[#This Row],[Audit Candidate 3]])), Audit[[#This Row],[Audit Candidate 3]]-Audit[[#This Row],[Candidate 3]], "")</f>
        <v/>
      </c>
      <c r="AH677" s="18" t="str">
        <f>IF(NOT(ISBLANK(Audit[[#This Row],[Audit Candidate 4]])),Audit[[#This Row],[Audit Candidate 4]]-Audit[[#This Row],[Candidate 4]], "")</f>
        <v/>
      </c>
      <c r="AI677" s="18" t="str">
        <f>IF(NOT(ISBLANK(Audit[[#This Row],[Audit Candidate 5]])), Audit[[#This Row],[Audit Candidate 5]]-Audit[[#This Row],[Candidate 5]], "")</f>
        <v/>
      </c>
      <c r="AJ677" s="18" t="str">
        <f>IF(NOT(ISBLANK(Audit[[#This Row],[Audit Candidate 6]])), Audit[[#This Row],[Audit Candidate 6]]-Audit[[#This Row],[Candidate 6]], "")</f>
        <v/>
      </c>
      <c r="AK677" s="18" t="str">
        <f>IF(NOT(ISBLANK(Audit[[#This Row],[Audit Candidate 7]])), Audit[[#This Row],[Audit Candidate 7]]-Audit[[#This Row],[Candidate 7]], "")</f>
        <v/>
      </c>
      <c r="AL677" s="18" t="str">
        <f>IF(NOT(ISBLANK(Audit[[#This Row],[Audit Candidate 8]])), Audit[[#This Row],[Audit Candidate 8]]-Audit[[#This Row],[Candidate 8]], "")</f>
        <v/>
      </c>
      <c r="AM677" s="18" t="str">
        <f>IF(NOT(ISBLANK(Audit[[#This Row],[Audit Candidate 9]])), Audit[[#This Row],[Audit Candidate 9]]-Audit[[#This Row],[Candidate 9]], "")</f>
        <v/>
      </c>
      <c r="AN677" s="18" t="str">
        <f>IF(NOT(ISBLANK(Audit[[#This Row],[Audit Candidate 10]])), Audit[[#This Row],[Audit Candidate 10]]-Audit[[#This Row],[Candidate 10]], "")</f>
        <v/>
      </c>
      <c r="AO677" s="18" t="str">
        <f>IF(NOT(ISBLANK(Audit[[#This Row],[Audit Candidate 11]])), Audit[[#This Row],[Audit Candidate 11]]-Audit[[#This Row],[Candidate 11]], "")</f>
        <v/>
      </c>
      <c r="AP677" s="18" t="str">
        <f>IF(NOT(ISBLANK(Audit[[#This Row],[Audit Candidate 12]])), Audit[[#This Row],[Audit Candidate 12]]-Audit[[#This Row],[Candidate 12]], "")</f>
        <v/>
      </c>
      <c r="AQ677" s="18">
        <f>SUMIF(Audit[[#This Row],[Difference Winner]:[Difference Candidate 12]], "&gt;0")</f>
        <v>0</v>
      </c>
      <c r="AR677" s="18">
        <f>SUM(Audit[[#This Row],[Difference Winner]:[Difference Candidate 12]])</f>
        <v>0</v>
      </c>
      <c r="AS677" s="18">
        <f>IF(Audit[[#This Row],[Times p Drawn - With Replacement]]&gt;0, IF(Audit[[#This Row],[Canceled Differences]]&lt;0, Audit[[#This Row],[Max Differences]]+ABS(Audit[[#This Row],[Canceled Differences]]), Audit[[#This Row],[Max Differences]]), 0)</f>
        <v>0</v>
      </c>
      <c r="AT677" s="18">
        <f>'Sampling Data'!AB677</f>
        <v>6.2819989320601809E-5</v>
      </c>
      <c r="AU677" s="18">
        <f>IF(
      SUM(Audit[[#This Row],[Audit Losing Candidate]:[Audit Candidate 12]])
      &lt;&gt;0,
      (Audit[[#This Row],[Winning Candidate]]-Audit[[#This Row],[Losing Candidate]]-(Audit[[#This Row],[Audit Winning Candidate]]-Audit[[#This Row],[Audit Losing Candidate]]))/(Audit[[#Totals],[Winning Candidate]]-Audit[[#Totals],[Losing Candidate]]),
      0
)</f>
        <v>0</v>
      </c>
      <c r="AV6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8">
        <f>IF(Audit[[#This Row],[Max Relative Error (ep)]] = 0, 0, Audit[[#This Row],[Max Relative Error (ep)]]/Audit[[#This Row],[Error Bound (up) - Max. possible relative overstatement]])</f>
        <v>0</v>
      </c>
      <c r="BH6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7" s="18">
        <f t="shared" si="11"/>
        <v>1</v>
      </c>
      <c r="BJ677" s="18">
        <f>PRODUCT($BI$5:BI677)</f>
        <v>0.32656797278968008</v>
      </c>
      <c r="BK677" s="20">
        <f>1 - Audit[[#This Row],[K-M P Value]]</f>
        <v>0.67343202721031992</v>
      </c>
      <c r="BL677" s="18" t="str">
        <f>IF(Audit[[#This Row],[K-M P Value]]&gt;1-'General Info'!$B$12,"Continue", "Stop")</f>
        <v>Continue</v>
      </c>
      <c r="BM677" s="23" t="b">
        <f>IF(Audit[[#This Row],[Status - Continue or stop audit]] = "Continue", TRUE, IF(BL676 = "Continue", TRUE, FALSE))</f>
        <v>1</v>
      </c>
      <c r="BN677" s="23"/>
    </row>
    <row r="678" spans="1:66" ht="15" hidden="1" customHeight="1" x14ac:dyDescent="0.35">
      <c r="A678" s="18" t="str">
        <f>'Sampling Data'!AI678</f>
        <v/>
      </c>
      <c r="B678" s="18" t="str">
        <f>'Sampling Data'!A678</f>
        <v>1701 CIN 17-A   (ED)</v>
      </c>
      <c r="C678" s="18">
        <f>'Sampling Data'!B678</f>
        <v>2</v>
      </c>
      <c r="D678" s="18">
        <f>'Sampling Data'!C678</f>
        <v>0</v>
      </c>
      <c r="E678" s="19">
        <f>'Sampling Data'!D678</f>
        <v>0</v>
      </c>
      <c r="F678" s="19">
        <f>'Sampling Data'!E678</f>
        <v>0</v>
      </c>
      <c r="G678" s="19">
        <f>'Sampling Data'!F678</f>
        <v>0</v>
      </c>
      <c r="H678" s="19">
        <f>'Sampling Data'!G678</f>
        <v>0</v>
      </c>
      <c r="I678" s="19">
        <f>'Sampling Data'!H678</f>
        <v>0</v>
      </c>
      <c r="J678" s="19">
        <f>'Sampling Data'!I678</f>
        <v>0</v>
      </c>
      <c r="K678" s="19">
        <f>'Sampling Data'!J678</f>
        <v>0</v>
      </c>
      <c r="L678" s="19">
        <f>'Sampling Data'!K678</f>
        <v>0</v>
      </c>
      <c r="M678" s="19">
        <f>'Sampling Data'!L678</f>
        <v>0</v>
      </c>
      <c r="N678" s="19">
        <f>'Sampling Data'!M678</f>
        <v>0</v>
      </c>
      <c r="O678" s="18">
        <f>'Sampling Data'!N678</f>
        <v>0</v>
      </c>
      <c r="P678" s="18">
        <f>'Sampling Data'!O678</f>
        <v>0</v>
      </c>
      <c r="Q678" s="18">
        <f>'Sampling Data'!P678</f>
        <v>2</v>
      </c>
      <c r="R678" s="18">
        <f>'Sampling Data'!AJ678</f>
        <v>0</v>
      </c>
      <c r="S678" s="112"/>
      <c r="T678" s="112"/>
      <c r="U678" s="113"/>
      <c r="V678" s="113"/>
      <c r="W678" s="112"/>
      <c r="X678" s="112"/>
      <c r="Y678" s="112"/>
      <c r="Z678" s="112"/>
      <c r="AA678" s="15"/>
      <c r="AB678" s="15"/>
      <c r="AC678" s="15"/>
      <c r="AD678" s="15"/>
      <c r="AE678" s="114" t="str">
        <f>IF(NOT(ISBLANK(Audit[[#This Row],[Audit Winning Candidate]])), Audit[[#This Row],[Audit Winning Candidate]]-Audit[[#This Row],[Winning Candidate]], "")</f>
        <v/>
      </c>
      <c r="AF678" s="18" t="str">
        <f>IF(NOT(ISBLANK(Audit[[#This Row],[Audit Losing Candidate]])), Audit[[#This Row],[Audit Losing Candidate]]-Audit[[#This Row],[Losing Candidate]], "")</f>
        <v/>
      </c>
      <c r="AG678" s="18" t="str">
        <f>IF(NOT(ISBLANK(Audit[[#This Row],[Audit Candidate 3]])), Audit[[#This Row],[Audit Candidate 3]]-Audit[[#This Row],[Candidate 3]], "")</f>
        <v/>
      </c>
      <c r="AH678" s="18" t="str">
        <f>IF(NOT(ISBLANK(Audit[[#This Row],[Audit Candidate 4]])),Audit[[#This Row],[Audit Candidate 4]]-Audit[[#This Row],[Candidate 4]], "")</f>
        <v/>
      </c>
      <c r="AI678" s="18" t="str">
        <f>IF(NOT(ISBLANK(Audit[[#This Row],[Audit Candidate 5]])), Audit[[#This Row],[Audit Candidate 5]]-Audit[[#This Row],[Candidate 5]], "")</f>
        <v/>
      </c>
      <c r="AJ678" s="18" t="str">
        <f>IF(NOT(ISBLANK(Audit[[#This Row],[Audit Candidate 6]])), Audit[[#This Row],[Audit Candidate 6]]-Audit[[#This Row],[Candidate 6]], "")</f>
        <v/>
      </c>
      <c r="AK678" s="18" t="str">
        <f>IF(NOT(ISBLANK(Audit[[#This Row],[Audit Candidate 7]])), Audit[[#This Row],[Audit Candidate 7]]-Audit[[#This Row],[Candidate 7]], "")</f>
        <v/>
      </c>
      <c r="AL678" s="18" t="str">
        <f>IF(NOT(ISBLANK(Audit[[#This Row],[Audit Candidate 8]])), Audit[[#This Row],[Audit Candidate 8]]-Audit[[#This Row],[Candidate 8]], "")</f>
        <v/>
      </c>
      <c r="AM678" s="18" t="str">
        <f>IF(NOT(ISBLANK(Audit[[#This Row],[Audit Candidate 9]])), Audit[[#This Row],[Audit Candidate 9]]-Audit[[#This Row],[Candidate 9]], "")</f>
        <v/>
      </c>
      <c r="AN678" s="18" t="str">
        <f>IF(NOT(ISBLANK(Audit[[#This Row],[Audit Candidate 10]])), Audit[[#This Row],[Audit Candidate 10]]-Audit[[#This Row],[Candidate 10]], "")</f>
        <v/>
      </c>
      <c r="AO678" s="18" t="str">
        <f>IF(NOT(ISBLANK(Audit[[#This Row],[Audit Candidate 11]])), Audit[[#This Row],[Audit Candidate 11]]-Audit[[#This Row],[Candidate 11]], "")</f>
        <v/>
      </c>
      <c r="AP678" s="18" t="str">
        <f>IF(NOT(ISBLANK(Audit[[#This Row],[Audit Candidate 12]])), Audit[[#This Row],[Audit Candidate 12]]-Audit[[#This Row],[Candidate 12]], "")</f>
        <v/>
      </c>
      <c r="AQ678" s="18">
        <f>SUMIF(Audit[[#This Row],[Difference Winner]:[Difference Candidate 12]], "&gt;0")</f>
        <v>0</v>
      </c>
      <c r="AR678" s="18">
        <f>SUM(Audit[[#This Row],[Difference Winner]:[Difference Candidate 12]])</f>
        <v>0</v>
      </c>
      <c r="AS678" s="18">
        <f>IF(Audit[[#This Row],[Times p Drawn - With Replacement]]&gt;0, IF(Audit[[#This Row],[Canceled Differences]]&lt;0, Audit[[#This Row],[Max Differences]]+ABS(Audit[[#This Row],[Canceled Differences]]), Audit[[#This Row],[Max Differences]]), 0)</f>
        <v>0</v>
      </c>
      <c r="AT678" s="18">
        <f>'Sampling Data'!AB678</f>
        <v>1.2563997864120362E-4</v>
      </c>
      <c r="AU678" s="18">
        <f>IF(
      SUM(Audit[[#This Row],[Audit Losing Candidate]:[Audit Candidate 12]])
      &lt;&gt;0,
      (Audit[[#This Row],[Winning Candidate]]-Audit[[#This Row],[Losing Candidate]]-(Audit[[#This Row],[Audit Winning Candidate]]-Audit[[#This Row],[Audit Losing Candidate]]))/(Audit[[#Totals],[Winning Candidate]]-Audit[[#Totals],[Losing Candidate]]),
      0
)</f>
        <v>0</v>
      </c>
      <c r="AV6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8">
        <f>IF(Audit[[#This Row],[Max Relative Error (ep)]] = 0, 0, Audit[[#This Row],[Max Relative Error (ep)]]/Audit[[#This Row],[Error Bound (up) - Max. possible relative overstatement]])</f>
        <v>0</v>
      </c>
      <c r="BH6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8" s="18">
        <f t="shared" si="11"/>
        <v>1</v>
      </c>
      <c r="BJ678" s="18">
        <f>PRODUCT($BI$5:BI678)</f>
        <v>0.32656797278968008</v>
      </c>
      <c r="BK678" s="20">
        <f>1 - Audit[[#This Row],[K-M P Value]]</f>
        <v>0.67343202721031992</v>
      </c>
      <c r="BL678" s="18" t="str">
        <f>IF(Audit[[#This Row],[K-M P Value]]&gt;1-'General Info'!$B$12,"Continue", "Stop")</f>
        <v>Continue</v>
      </c>
      <c r="BM678" s="23" t="b">
        <f>IF(Audit[[#This Row],[Status - Continue or stop audit]] = "Continue", TRUE, IF(BL677 = "Continue", TRUE, FALSE))</f>
        <v>1</v>
      </c>
      <c r="BN678" s="23"/>
    </row>
    <row r="679" spans="1:66" ht="15" hidden="1" customHeight="1" x14ac:dyDescent="0.35">
      <c r="A679" s="18" t="str">
        <f>'Sampling Data'!AI679</f>
        <v/>
      </c>
      <c r="B679" s="18" t="str">
        <f>'Sampling Data'!A679</f>
        <v>1702 CIN 17-B   (ED)</v>
      </c>
      <c r="C679" s="18">
        <f>'Sampling Data'!B679</f>
        <v>6</v>
      </c>
      <c r="D679" s="18">
        <f>'Sampling Data'!C679</f>
        <v>0</v>
      </c>
      <c r="E679" s="19">
        <f>'Sampling Data'!D679</f>
        <v>0</v>
      </c>
      <c r="F679" s="19">
        <f>'Sampling Data'!E679</f>
        <v>0</v>
      </c>
      <c r="G679" s="19">
        <f>'Sampling Data'!F679</f>
        <v>0</v>
      </c>
      <c r="H679" s="19">
        <f>'Sampling Data'!G679</f>
        <v>0</v>
      </c>
      <c r="I679" s="19">
        <f>'Sampling Data'!H679</f>
        <v>0</v>
      </c>
      <c r="J679" s="19">
        <f>'Sampling Data'!I679</f>
        <v>0</v>
      </c>
      <c r="K679" s="19">
        <f>'Sampling Data'!J679</f>
        <v>0</v>
      </c>
      <c r="L679" s="19">
        <f>'Sampling Data'!K679</f>
        <v>0</v>
      </c>
      <c r="M679" s="19">
        <f>'Sampling Data'!L679</f>
        <v>0</v>
      </c>
      <c r="N679" s="19">
        <f>'Sampling Data'!M679</f>
        <v>0</v>
      </c>
      <c r="O679" s="18">
        <f>'Sampling Data'!N679</f>
        <v>0</v>
      </c>
      <c r="P679" s="18">
        <f>'Sampling Data'!O679</f>
        <v>0</v>
      </c>
      <c r="Q679" s="18">
        <f>'Sampling Data'!P679</f>
        <v>6</v>
      </c>
      <c r="R679" s="18">
        <f>'Sampling Data'!AJ679</f>
        <v>0</v>
      </c>
      <c r="S679" s="112"/>
      <c r="T679" s="112"/>
      <c r="U679" s="113"/>
      <c r="V679" s="113"/>
      <c r="W679" s="112"/>
      <c r="X679" s="112"/>
      <c r="Y679" s="112"/>
      <c r="Z679" s="112"/>
      <c r="AA679" s="15"/>
      <c r="AB679" s="15"/>
      <c r="AC679" s="15"/>
      <c r="AD679" s="15"/>
      <c r="AE679" s="114" t="str">
        <f>IF(NOT(ISBLANK(Audit[[#This Row],[Audit Winning Candidate]])), Audit[[#This Row],[Audit Winning Candidate]]-Audit[[#This Row],[Winning Candidate]], "")</f>
        <v/>
      </c>
      <c r="AF679" s="18" t="str">
        <f>IF(NOT(ISBLANK(Audit[[#This Row],[Audit Losing Candidate]])), Audit[[#This Row],[Audit Losing Candidate]]-Audit[[#This Row],[Losing Candidate]], "")</f>
        <v/>
      </c>
      <c r="AG679" s="18" t="str">
        <f>IF(NOT(ISBLANK(Audit[[#This Row],[Audit Candidate 3]])), Audit[[#This Row],[Audit Candidate 3]]-Audit[[#This Row],[Candidate 3]], "")</f>
        <v/>
      </c>
      <c r="AH679" s="18" t="str">
        <f>IF(NOT(ISBLANK(Audit[[#This Row],[Audit Candidate 4]])),Audit[[#This Row],[Audit Candidate 4]]-Audit[[#This Row],[Candidate 4]], "")</f>
        <v/>
      </c>
      <c r="AI679" s="18" t="str">
        <f>IF(NOT(ISBLANK(Audit[[#This Row],[Audit Candidate 5]])), Audit[[#This Row],[Audit Candidate 5]]-Audit[[#This Row],[Candidate 5]], "")</f>
        <v/>
      </c>
      <c r="AJ679" s="18" t="str">
        <f>IF(NOT(ISBLANK(Audit[[#This Row],[Audit Candidate 6]])), Audit[[#This Row],[Audit Candidate 6]]-Audit[[#This Row],[Candidate 6]], "")</f>
        <v/>
      </c>
      <c r="AK679" s="18" t="str">
        <f>IF(NOT(ISBLANK(Audit[[#This Row],[Audit Candidate 7]])), Audit[[#This Row],[Audit Candidate 7]]-Audit[[#This Row],[Candidate 7]], "")</f>
        <v/>
      </c>
      <c r="AL679" s="18" t="str">
        <f>IF(NOT(ISBLANK(Audit[[#This Row],[Audit Candidate 8]])), Audit[[#This Row],[Audit Candidate 8]]-Audit[[#This Row],[Candidate 8]], "")</f>
        <v/>
      </c>
      <c r="AM679" s="18" t="str">
        <f>IF(NOT(ISBLANK(Audit[[#This Row],[Audit Candidate 9]])), Audit[[#This Row],[Audit Candidate 9]]-Audit[[#This Row],[Candidate 9]], "")</f>
        <v/>
      </c>
      <c r="AN679" s="18" t="str">
        <f>IF(NOT(ISBLANK(Audit[[#This Row],[Audit Candidate 10]])), Audit[[#This Row],[Audit Candidate 10]]-Audit[[#This Row],[Candidate 10]], "")</f>
        <v/>
      </c>
      <c r="AO679" s="18" t="str">
        <f>IF(NOT(ISBLANK(Audit[[#This Row],[Audit Candidate 11]])), Audit[[#This Row],[Audit Candidate 11]]-Audit[[#This Row],[Candidate 11]], "")</f>
        <v/>
      </c>
      <c r="AP679" s="18" t="str">
        <f>IF(NOT(ISBLANK(Audit[[#This Row],[Audit Candidate 12]])), Audit[[#This Row],[Audit Candidate 12]]-Audit[[#This Row],[Candidate 12]], "")</f>
        <v/>
      </c>
      <c r="AQ679" s="18">
        <f>SUMIF(Audit[[#This Row],[Difference Winner]:[Difference Candidate 12]], "&gt;0")</f>
        <v>0</v>
      </c>
      <c r="AR679" s="18">
        <f>SUM(Audit[[#This Row],[Difference Winner]:[Difference Candidate 12]])</f>
        <v>0</v>
      </c>
      <c r="AS679" s="18">
        <f>IF(Audit[[#This Row],[Times p Drawn - With Replacement]]&gt;0, IF(Audit[[#This Row],[Canceled Differences]]&lt;0, Audit[[#This Row],[Max Differences]]+ABS(Audit[[#This Row],[Canceled Differences]]), Audit[[#This Row],[Max Differences]]), 0)</f>
        <v>0</v>
      </c>
      <c r="AT679" s="18">
        <f>'Sampling Data'!AB679</f>
        <v>3.7691993592361088E-4</v>
      </c>
      <c r="AU679" s="18">
        <f>IF(
      SUM(Audit[[#This Row],[Audit Losing Candidate]:[Audit Candidate 12]])
      &lt;&gt;0,
      (Audit[[#This Row],[Winning Candidate]]-Audit[[#This Row],[Losing Candidate]]-(Audit[[#This Row],[Audit Winning Candidate]]-Audit[[#This Row],[Audit Losing Candidate]]))/(Audit[[#Totals],[Winning Candidate]]-Audit[[#Totals],[Losing Candidate]]),
      0
)</f>
        <v>0</v>
      </c>
      <c r="AV6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8">
        <f>IF(Audit[[#This Row],[Max Relative Error (ep)]] = 0, 0, Audit[[#This Row],[Max Relative Error (ep)]]/Audit[[#This Row],[Error Bound (up) - Max. possible relative overstatement]])</f>
        <v>0</v>
      </c>
      <c r="BH6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79" s="18">
        <f t="shared" si="11"/>
        <v>1</v>
      </c>
      <c r="BJ679" s="18">
        <f>PRODUCT($BI$5:BI679)</f>
        <v>0.32656797278968008</v>
      </c>
      <c r="BK679" s="20">
        <f>1 - Audit[[#This Row],[K-M P Value]]</f>
        <v>0.67343202721031992</v>
      </c>
      <c r="BL679" s="18" t="str">
        <f>IF(Audit[[#This Row],[K-M P Value]]&gt;1-'General Info'!$B$12,"Continue", "Stop")</f>
        <v>Continue</v>
      </c>
      <c r="BM679" s="23" t="b">
        <f>IF(Audit[[#This Row],[Status - Continue or stop audit]] = "Continue", TRUE, IF(BL678 = "Continue", TRUE, FALSE))</f>
        <v>1</v>
      </c>
      <c r="BN679" s="23"/>
    </row>
    <row r="680" spans="1:66" ht="15" hidden="1" customHeight="1" x14ac:dyDescent="0.35">
      <c r="A680" s="18" t="str">
        <f>'Sampling Data'!AI680</f>
        <v/>
      </c>
      <c r="B680" s="18" t="str">
        <f>'Sampling Data'!A680</f>
        <v>1703 CIN 17-C   (ED)</v>
      </c>
      <c r="C680" s="18">
        <f>'Sampling Data'!B680</f>
        <v>4</v>
      </c>
      <c r="D680" s="18">
        <f>'Sampling Data'!C680</f>
        <v>1</v>
      </c>
      <c r="E680" s="19">
        <f>'Sampling Data'!D680</f>
        <v>0</v>
      </c>
      <c r="F680" s="19">
        <f>'Sampling Data'!E680</f>
        <v>0</v>
      </c>
      <c r="G680" s="19">
        <f>'Sampling Data'!F680</f>
        <v>0</v>
      </c>
      <c r="H680" s="19">
        <f>'Sampling Data'!G680</f>
        <v>0</v>
      </c>
      <c r="I680" s="19">
        <f>'Sampling Data'!H680</f>
        <v>0</v>
      </c>
      <c r="J680" s="19">
        <f>'Sampling Data'!I680</f>
        <v>0</v>
      </c>
      <c r="K680" s="19">
        <f>'Sampling Data'!J680</f>
        <v>0</v>
      </c>
      <c r="L680" s="19">
        <f>'Sampling Data'!K680</f>
        <v>0</v>
      </c>
      <c r="M680" s="19">
        <f>'Sampling Data'!L680</f>
        <v>0</v>
      </c>
      <c r="N680" s="19">
        <f>'Sampling Data'!M680</f>
        <v>0</v>
      </c>
      <c r="O680" s="18">
        <f>'Sampling Data'!N680</f>
        <v>0</v>
      </c>
      <c r="P680" s="18">
        <f>'Sampling Data'!O680</f>
        <v>0</v>
      </c>
      <c r="Q680" s="18">
        <f>'Sampling Data'!P680</f>
        <v>5</v>
      </c>
      <c r="R680" s="18">
        <f>'Sampling Data'!AJ680</f>
        <v>0</v>
      </c>
      <c r="S680" s="112"/>
      <c r="T680" s="112"/>
      <c r="U680" s="113"/>
      <c r="V680" s="113"/>
      <c r="W680" s="112"/>
      <c r="X680" s="112"/>
      <c r="Y680" s="112"/>
      <c r="Z680" s="112"/>
      <c r="AA680" s="15"/>
      <c r="AB680" s="15"/>
      <c r="AC680" s="15"/>
      <c r="AD680" s="15"/>
      <c r="AE680" s="114" t="str">
        <f>IF(NOT(ISBLANK(Audit[[#This Row],[Audit Winning Candidate]])), Audit[[#This Row],[Audit Winning Candidate]]-Audit[[#This Row],[Winning Candidate]], "")</f>
        <v/>
      </c>
      <c r="AF680" s="18" t="str">
        <f>IF(NOT(ISBLANK(Audit[[#This Row],[Audit Losing Candidate]])), Audit[[#This Row],[Audit Losing Candidate]]-Audit[[#This Row],[Losing Candidate]], "")</f>
        <v/>
      </c>
      <c r="AG680" s="18" t="str">
        <f>IF(NOT(ISBLANK(Audit[[#This Row],[Audit Candidate 3]])), Audit[[#This Row],[Audit Candidate 3]]-Audit[[#This Row],[Candidate 3]], "")</f>
        <v/>
      </c>
      <c r="AH680" s="18" t="str">
        <f>IF(NOT(ISBLANK(Audit[[#This Row],[Audit Candidate 4]])),Audit[[#This Row],[Audit Candidate 4]]-Audit[[#This Row],[Candidate 4]], "")</f>
        <v/>
      </c>
      <c r="AI680" s="18" t="str">
        <f>IF(NOT(ISBLANK(Audit[[#This Row],[Audit Candidate 5]])), Audit[[#This Row],[Audit Candidate 5]]-Audit[[#This Row],[Candidate 5]], "")</f>
        <v/>
      </c>
      <c r="AJ680" s="18" t="str">
        <f>IF(NOT(ISBLANK(Audit[[#This Row],[Audit Candidate 6]])), Audit[[#This Row],[Audit Candidate 6]]-Audit[[#This Row],[Candidate 6]], "")</f>
        <v/>
      </c>
      <c r="AK680" s="18" t="str">
        <f>IF(NOT(ISBLANK(Audit[[#This Row],[Audit Candidate 7]])), Audit[[#This Row],[Audit Candidate 7]]-Audit[[#This Row],[Candidate 7]], "")</f>
        <v/>
      </c>
      <c r="AL680" s="18" t="str">
        <f>IF(NOT(ISBLANK(Audit[[#This Row],[Audit Candidate 8]])), Audit[[#This Row],[Audit Candidate 8]]-Audit[[#This Row],[Candidate 8]], "")</f>
        <v/>
      </c>
      <c r="AM680" s="18" t="str">
        <f>IF(NOT(ISBLANK(Audit[[#This Row],[Audit Candidate 9]])), Audit[[#This Row],[Audit Candidate 9]]-Audit[[#This Row],[Candidate 9]], "")</f>
        <v/>
      </c>
      <c r="AN680" s="18" t="str">
        <f>IF(NOT(ISBLANK(Audit[[#This Row],[Audit Candidate 10]])), Audit[[#This Row],[Audit Candidate 10]]-Audit[[#This Row],[Candidate 10]], "")</f>
        <v/>
      </c>
      <c r="AO680" s="18" t="str">
        <f>IF(NOT(ISBLANK(Audit[[#This Row],[Audit Candidate 11]])), Audit[[#This Row],[Audit Candidate 11]]-Audit[[#This Row],[Candidate 11]], "")</f>
        <v/>
      </c>
      <c r="AP680" s="18" t="str">
        <f>IF(NOT(ISBLANK(Audit[[#This Row],[Audit Candidate 12]])), Audit[[#This Row],[Audit Candidate 12]]-Audit[[#This Row],[Candidate 12]], "")</f>
        <v/>
      </c>
      <c r="AQ680" s="18">
        <f>SUMIF(Audit[[#This Row],[Difference Winner]:[Difference Candidate 12]], "&gt;0")</f>
        <v>0</v>
      </c>
      <c r="AR680" s="18">
        <f>SUM(Audit[[#This Row],[Difference Winner]:[Difference Candidate 12]])</f>
        <v>0</v>
      </c>
      <c r="AS680" s="18">
        <f>IF(Audit[[#This Row],[Times p Drawn - With Replacement]]&gt;0, IF(Audit[[#This Row],[Canceled Differences]]&lt;0, Audit[[#This Row],[Max Differences]]+ABS(Audit[[#This Row],[Canceled Differences]]), Audit[[#This Row],[Max Differences]]), 0)</f>
        <v>0</v>
      </c>
      <c r="AT680" s="18">
        <f>'Sampling Data'!AB680</f>
        <v>2.5127995728240724E-4</v>
      </c>
      <c r="AU680" s="18">
        <f>IF(
      SUM(Audit[[#This Row],[Audit Losing Candidate]:[Audit Candidate 12]])
      &lt;&gt;0,
      (Audit[[#This Row],[Winning Candidate]]-Audit[[#This Row],[Losing Candidate]]-(Audit[[#This Row],[Audit Winning Candidate]]-Audit[[#This Row],[Audit Losing Candidate]]))/(Audit[[#Totals],[Winning Candidate]]-Audit[[#Totals],[Losing Candidate]]),
      0
)</f>
        <v>0</v>
      </c>
      <c r="AV6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8">
        <f>IF(Audit[[#This Row],[Max Relative Error (ep)]] = 0, 0, Audit[[#This Row],[Max Relative Error (ep)]]/Audit[[#This Row],[Error Bound (up) - Max. possible relative overstatement]])</f>
        <v>0</v>
      </c>
      <c r="BH6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0" s="18">
        <f t="shared" si="11"/>
        <v>1</v>
      </c>
      <c r="BJ680" s="18">
        <f>PRODUCT($BI$5:BI680)</f>
        <v>0.32656797278968008</v>
      </c>
      <c r="BK680" s="20">
        <f>1 - Audit[[#This Row],[K-M P Value]]</f>
        <v>0.67343202721031992</v>
      </c>
      <c r="BL680" s="18" t="str">
        <f>IF(Audit[[#This Row],[K-M P Value]]&gt;1-'General Info'!$B$12,"Continue", "Stop")</f>
        <v>Continue</v>
      </c>
      <c r="BM680" s="23" t="b">
        <f>IF(Audit[[#This Row],[Status - Continue or stop audit]] = "Continue", TRUE, IF(BL679 = "Continue", TRUE, FALSE))</f>
        <v>1</v>
      </c>
      <c r="BN680" s="23"/>
    </row>
    <row r="681" spans="1:66" ht="15" hidden="1" customHeight="1" x14ac:dyDescent="0.35">
      <c r="A681" s="18" t="str">
        <f>'Sampling Data'!AI681</f>
        <v/>
      </c>
      <c r="B681" s="18" t="str">
        <f>'Sampling Data'!A681</f>
        <v>1801 CIN 18-A   (ED)</v>
      </c>
      <c r="C681" s="18">
        <f>'Sampling Data'!B681</f>
        <v>1</v>
      </c>
      <c r="D681" s="18">
        <f>'Sampling Data'!C681</f>
        <v>0</v>
      </c>
      <c r="E681" s="19">
        <f>'Sampling Data'!D681</f>
        <v>0</v>
      </c>
      <c r="F681" s="19">
        <f>'Sampling Data'!E681</f>
        <v>0</v>
      </c>
      <c r="G681" s="19">
        <f>'Sampling Data'!F681</f>
        <v>0</v>
      </c>
      <c r="H681" s="19">
        <f>'Sampling Data'!G681</f>
        <v>0</v>
      </c>
      <c r="I681" s="19">
        <f>'Sampling Data'!H681</f>
        <v>0</v>
      </c>
      <c r="J681" s="19">
        <f>'Sampling Data'!I681</f>
        <v>0</v>
      </c>
      <c r="K681" s="19">
        <f>'Sampling Data'!J681</f>
        <v>0</v>
      </c>
      <c r="L681" s="19">
        <f>'Sampling Data'!K681</f>
        <v>0</v>
      </c>
      <c r="M681" s="19">
        <f>'Sampling Data'!L681</f>
        <v>0</v>
      </c>
      <c r="N681" s="19">
        <f>'Sampling Data'!M681</f>
        <v>0</v>
      </c>
      <c r="O681" s="18">
        <f>'Sampling Data'!N681</f>
        <v>0</v>
      </c>
      <c r="P681" s="18">
        <f>'Sampling Data'!O681</f>
        <v>0</v>
      </c>
      <c r="Q681" s="18">
        <f>'Sampling Data'!P681</f>
        <v>1</v>
      </c>
      <c r="R681" s="18">
        <f>'Sampling Data'!AJ681</f>
        <v>0</v>
      </c>
      <c r="S681" s="112"/>
      <c r="T681" s="112"/>
      <c r="U681" s="113"/>
      <c r="V681" s="113"/>
      <c r="W681" s="112"/>
      <c r="X681" s="112"/>
      <c r="Y681" s="112"/>
      <c r="Z681" s="112"/>
      <c r="AA681" s="15"/>
      <c r="AB681" s="15"/>
      <c r="AC681" s="15"/>
      <c r="AD681" s="15"/>
      <c r="AE681" s="114" t="str">
        <f>IF(NOT(ISBLANK(Audit[[#This Row],[Audit Winning Candidate]])), Audit[[#This Row],[Audit Winning Candidate]]-Audit[[#This Row],[Winning Candidate]], "")</f>
        <v/>
      </c>
      <c r="AF681" s="18" t="str">
        <f>IF(NOT(ISBLANK(Audit[[#This Row],[Audit Losing Candidate]])), Audit[[#This Row],[Audit Losing Candidate]]-Audit[[#This Row],[Losing Candidate]], "")</f>
        <v/>
      </c>
      <c r="AG681" s="18" t="str">
        <f>IF(NOT(ISBLANK(Audit[[#This Row],[Audit Candidate 3]])), Audit[[#This Row],[Audit Candidate 3]]-Audit[[#This Row],[Candidate 3]], "")</f>
        <v/>
      </c>
      <c r="AH681" s="18" t="str">
        <f>IF(NOT(ISBLANK(Audit[[#This Row],[Audit Candidate 4]])),Audit[[#This Row],[Audit Candidate 4]]-Audit[[#This Row],[Candidate 4]], "")</f>
        <v/>
      </c>
      <c r="AI681" s="18" t="str">
        <f>IF(NOT(ISBLANK(Audit[[#This Row],[Audit Candidate 5]])), Audit[[#This Row],[Audit Candidate 5]]-Audit[[#This Row],[Candidate 5]], "")</f>
        <v/>
      </c>
      <c r="AJ681" s="18" t="str">
        <f>IF(NOT(ISBLANK(Audit[[#This Row],[Audit Candidate 6]])), Audit[[#This Row],[Audit Candidate 6]]-Audit[[#This Row],[Candidate 6]], "")</f>
        <v/>
      </c>
      <c r="AK681" s="18" t="str">
        <f>IF(NOT(ISBLANK(Audit[[#This Row],[Audit Candidate 7]])), Audit[[#This Row],[Audit Candidate 7]]-Audit[[#This Row],[Candidate 7]], "")</f>
        <v/>
      </c>
      <c r="AL681" s="18" t="str">
        <f>IF(NOT(ISBLANK(Audit[[#This Row],[Audit Candidate 8]])), Audit[[#This Row],[Audit Candidate 8]]-Audit[[#This Row],[Candidate 8]], "")</f>
        <v/>
      </c>
      <c r="AM681" s="18" t="str">
        <f>IF(NOT(ISBLANK(Audit[[#This Row],[Audit Candidate 9]])), Audit[[#This Row],[Audit Candidate 9]]-Audit[[#This Row],[Candidate 9]], "")</f>
        <v/>
      </c>
      <c r="AN681" s="18" t="str">
        <f>IF(NOT(ISBLANK(Audit[[#This Row],[Audit Candidate 10]])), Audit[[#This Row],[Audit Candidate 10]]-Audit[[#This Row],[Candidate 10]], "")</f>
        <v/>
      </c>
      <c r="AO681" s="18" t="str">
        <f>IF(NOT(ISBLANK(Audit[[#This Row],[Audit Candidate 11]])), Audit[[#This Row],[Audit Candidate 11]]-Audit[[#This Row],[Candidate 11]], "")</f>
        <v/>
      </c>
      <c r="AP681" s="18" t="str">
        <f>IF(NOT(ISBLANK(Audit[[#This Row],[Audit Candidate 12]])), Audit[[#This Row],[Audit Candidate 12]]-Audit[[#This Row],[Candidate 12]], "")</f>
        <v/>
      </c>
      <c r="AQ681" s="18">
        <f>SUMIF(Audit[[#This Row],[Difference Winner]:[Difference Candidate 12]], "&gt;0")</f>
        <v>0</v>
      </c>
      <c r="AR681" s="18">
        <f>SUM(Audit[[#This Row],[Difference Winner]:[Difference Candidate 12]])</f>
        <v>0</v>
      </c>
      <c r="AS681" s="18">
        <f>IF(Audit[[#This Row],[Times p Drawn - With Replacement]]&gt;0, IF(Audit[[#This Row],[Canceled Differences]]&lt;0, Audit[[#This Row],[Max Differences]]+ABS(Audit[[#This Row],[Canceled Differences]]), Audit[[#This Row],[Max Differences]]), 0)</f>
        <v>0</v>
      </c>
      <c r="AT681" s="18">
        <f>'Sampling Data'!AB681</f>
        <v>6.2819989320601809E-5</v>
      </c>
      <c r="AU681" s="18">
        <f>IF(
      SUM(Audit[[#This Row],[Audit Losing Candidate]:[Audit Candidate 12]])
      &lt;&gt;0,
      (Audit[[#This Row],[Winning Candidate]]-Audit[[#This Row],[Losing Candidate]]-(Audit[[#This Row],[Audit Winning Candidate]]-Audit[[#This Row],[Audit Losing Candidate]]))/(Audit[[#Totals],[Winning Candidate]]-Audit[[#Totals],[Losing Candidate]]),
      0
)</f>
        <v>0</v>
      </c>
      <c r="AV6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8">
        <f>IF(Audit[[#This Row],[Max Relative Error (ep)]] = 0, 0, Audit[[#This Row],[Max Relative Error (ep)]]/Audit[[#This Row],[Error Bound (up) - Max. possible relative overstatement]])</f>
        <v>0</v>
      </c>
      <c r="BH6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1" s="18">
        <f t="shared" si="11"/>
        <v>1</v>
      </c>
      <c r="BJ681" s="18">
        <f>PRODUCT($BI$5:BI681)</f>
        <v>0.32656797278968008</v>
      </c>
      <c r="BK681" s="20">
        <f>1 - Audit[[#This Row],[K-M P Value]]</f>
        <v>0.67343202721031992</v>
      </c>
      <c r="BL681" s="18" t="str">
        <f>IF(Audit[[#This Row],[K-M P Value]]&gt;1-'General Info'!$B$12,"Continue", "Stop")</f>
        <v>Continue</v>
      </c>
      <c r="BM681" s="23" t="b">
        <f>IF(Audit[[#This Row],[Status - Continue or stop audit]] = "Continue", TRUE, IF(BL680 = "Continue", TRUE, FALSE))</f>
        <v>1</v>
      </c>
      <c r="BN681" s="23"/>
    </row>
    <row r="682" spans="1:66" ht="15" hidden="1" customHeight="1" x14ac:dyDescent="0.35">
      <c r="A682" s="18" t="str">
        <f>'Sampling Data'!AI682</f>
        <v/>
      </c>
      <c r="B682" s="18" t="str">
        <f>'Sampling Data'!A682</f>
        <v>1802 CIN 18-B   (ED)</v>
      </c>
      <c r="C682" s="18">
        <f>'Sampling Data'!B682</f>
        <v>0</v>
      </c>
      <c r="D682" s="18">
        <f>'Sampling Data'!C682</f>
        <v>0</v>
      </c>
      <c r="E682" s="19">
        <f>'Sampling Data'!D682</f>
        <v>0</v>
      </c>
      <c r="F682" s="19">
        <f>'Sampling Data'!E682</f>
        <v>0</v>
      </c>
      <c r="G682" s="19">
        <f>'Sampling Data'!F682</f>
        <v>0</v>
      </c>
      <c r="H682" s="19">
        <f>'Sampling Data'!G682</f>
        <v>0</v>
      </c>
      <c r="I682" s="19">
        <f>'Sampling Data'!H682</f>
        <v>0</v>
      </c>
      <c r="J682" s="19">
        <f>'Sampling Data'!I682</f>
        <v>0</v>
      </c>
      <c r="K682" s="19">
        <f>'Sampling Data'!J682</f>
        <v>0</v>
      </c>
      <c r="L682" s="19">
        <f>'Sampling Data'!K682</f>
        <v>0</v>
      </c>
      <c r="M682" s="19">
        <f>'Sampling Data'!L682</f>
        <v>0</v>
      </c>
      <c r="N682" s="19">
        <f>'Sampling Data'!M682</f>
        <v>0</v>
      </c>
      <c r="O682" s="18">
        <f>'Sampling Data'!N682</f>
        <v>0</v>
      </c>
      <c r="P682" s="18">
        <f>'Sampling Data'!O682</f>
        <v>0</v>
      </c>
      <c r="Q682" s="18">
        <f>'Sampling Data'!P682</f>
        <v>0</v>
      </c>
      <c r="R682" s="18">
        <f>'Sampling Data'!AJ682</f>
        <v>0</v>
      </c>
      <c r="S682" s="112"/>
      <c r="T682" s="112"/>
      <c r="U682" s="113"/>
      <c r="V682" s="113"/>
      <c r="W682" s="112"/>
      <c r="X682" s="112"/>
      <c r="Y682" s="112"/>
      <c r="Z682" s="112"/>
      <c r="AA682" s="15"/>
      <c r="AB682" s="15"/>
      <c r="AC682" s="15"/>
      <c r="AD682" s="15"/>
      <c r="AE682" s="114" t="str">
        <f>IF(NOT(ISBLANK(Audit[[#This Row],[Audit Winning Candidate]])), Audit[[#This Row],[Audit Winning Candidate]]-Audit[[#This Row],[Winning Candidate]], "")</f>
        <v/>
      </c>
      <c r="AF682" s="18" t="str">
        <f>IF(NOT(ISBLANK(Audit[[#This Row],[Audit Losing Candidate]])), Audit[[#This Row],[Audit Losing Candidate]]-Audit[[#This Row],[Losing Candidate]], "")</f>
        <v/>
      </c>
      <c r="AG682" s="18" t="str">
        <f>IF(NOT(ISBLANK(Audit[[#This Row],[Audit Candidate 3]])), Audit[[#This Row],[Audit Candidate 3]]-Audit[[#This Row],[Candidate 3]], "")</f>
        <v/>
      </c>
      <c r="AH682" s="18" t="str">
        <f>IF(NOT(ISBLANK(Audit[[#This Row],[Audit Candidate 4]])),Audit[[#This Row],[Audit Candidate 4]]-Audit[[#This Row],[Candidate 4]], "")</f>
        <v/>
      </c>
      <c r="AI682" s="18" t="str">
        <f>IF(NOT(ISBLANK(Audit[[#This Row],[Audit Candidate 5]])), Audit[[#This Row],[Audit Candidate 5]]-Audit[[#This Row],[Candidate 5]], "")</f>
        <v/>
      </c>
      <c r="AJ682" s="18" t="str">
        <f>IF(NOT(ISBLANK(Audit[[#This Row],[Audit Candidate 6]])), Audit[[#This Row],[Audit Candidate 6]]-Audit[[#This Row],[Candidate 6]], "")</f>
        <v/>
      </c>
      <c r="AK682" s="18" t="str">
        <f>IF(NOT(ISBLANK(Audit[[#This Row],[Audit Candidate 7]])), Audit[[#This Row],[Audit Candidate 7]]-Audit[[#This Row],[Candidate 7]], "")</f>
        <v/>
      </c>
      <c r="AL682" s="18" t="str">
        <f>IF(NOT(ISBLANK(Audit[[#This Row],[Audit Candidate 8]])), Audit[[#This Row],[Audit Candidate 8]]-Audit[[#This Row],[Candidate 8]], "")</f>
        <v/>
      </c>
      <c r="AM682" s="18" t="str">
        <f>IF(NOT(ISBLANK(Audit[[#This Row],[Audit Candidate 9]])), Audit[[#This Row],[Audit Candidate 9]]-Audit[[#This Row],[Candidate 9]], "")</f>
        <v/>
      </c>
      <c r="AN682" s="18" t="str">
        <f>IF(NOT(ISBLANK(Audit[[#This Row],[Audit Candidate 10]])), Audit[[#This Row],[Audit Candidate 10]]-Audit[[#This Row],[Candidate 10]], "")</f>
        <v/>
      </c>
      <c r="AO682" s="18" t="str">
        <f>IF(NOT(ISBLANK(Audit[[#This Row],[Audit Candidate 11]])), Audit[[#This Row],[Audit Candidate 11]]-Audit[[#This Row],[Candidate 11]], "")</f>
        <v/>
      </c>
      <c r="AP682" s="18" t="str">
        <f>IF(NOT(ISBLANK(Audit[[#This Row],[Audit Candidate 12]])), Audit[[#This Row],[Audit Candidate 12]]-Audit[[#This Row],[Candidate 12]], "")</f>
        <v/>
      </c>
      <c r="AQ682" s="18">
        <f>SUMIF(Audit[[#This Row],[Difference Winner]:[Difference Candidate 12]], "&gt;0")</f>
        <v>0</v>
      </c>
      <c r="AR682" s="18">
        <f>SUM(Audit[[#This Row],[Difference Winner]:[Difference Candidate 12]])</f>
        <v>0</v>
      </c>
      <c r="AS682" s="18">
        <f>IF(Audit[[#This Row],[Times p Drawn - With Replacement]]&gt;0, IF(Audit[[#This Row],[Canceled Differences]]&lt;0, Audit[[#This Row],[Max Differences]]+ABS(Audit[[#This Row],[Canceled Differences]]), Audit[[#This Row],[Max Differences]]), 0)</f>
        <v>0</v>
      </c>
      <c r="AT682" s="18">
        <f>'Sampling Data'!AB682</f>
        <v>0</v>
      </c>
      <c r="AU682" s="18">
        <f>IF(
      SUM(Audit[[#This Row],[Audit Losing Candidate]:[Audit Candidate 12]])
      &lt;&gt;0,
      (Audit[[#This Row],[Winning Candidate]]-Audit[[#This Row],[Losing Candidate]]-(Audit[[#This Row],[Audit Winning Candidate]]-Audit[[#This Row],[Audit Losing Candidate]]))/(Audit[[#Totals],[Winning Candidate]]-Audit[[#Totals],[Losing Candidate]]),
      0
)</f>
        <v>0</v>
      </c>
      <c r="AV6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8">
        <f>IF(Audit[[#This Row],[Max Relative Error (ep)]] = 0, 0, Audit[[#This Row],[Max Relative Error (ep)]]/Audit[[#This Row],[Error Bound (up) - Max. possible relative overstatement]])</f>
        <v>0</v>
      </c>
      <c r="BH6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2" s="18">
        <f t="shared" si="11"/>
        <v>1</v>
      </c>
      <c r="BJ682" s="18">
        <f>PRODUCT($BI$5:BI682)</f>
        <v>0.32656797278968008</v>
      </c>
      <c r="BK682" s="20">
        <f>1 - Audit[[#This Row],[K-M P Value]]</f>
        <v>0.67343202721031992</v>
      </c>
      <c r="BL682" s="18" t="str">
        <f>IF(Audit[[#This Row],[K-M P Value]]&gt;1-'General Info'!$B$12,"Continue", "Stop")</f>
        <v>Continue</v>
      </c>
      <c r="BM682" s="23" t="b">
        <f>IF(Audit[[#This Row],[Status - Continue or stop audit]] = "Continue", TRUE, IF(BL681 = "Continue", TRUE, FALSE))</f>
        <v>1</v>
      </c>
      <c r="BN682" s="23"/>
    </row>
    <row r="683" spans="1:66" ht="15" hidden="1" customHeight="1" x14ac:dyDescent="0.35">
      <c r="A683" s="18" t="str">
        <f>'Sampling Data'!AI683</f>
        <v/>
      </c>
      <c r="B683" s="18" t="str">
        <f>'Sampling Data'!A683</f>
        <v>1901 CIN 19-A   (ED)</v>
      </c>
      <c r="C683" s="18">
        <f>'Sampling Data'!B683</f>
        <v>59</v>
      </c>
      <c r="D683" s="18">
        <f>'Sampling Data'!C683</f>
        <v>8</v>
      </c>
      <c r="E683" s="19">
        <f>'Sampling Data'!D683</f>
        <v>0</v>
      </c>
      <c r="F683" s="19">
        <f>'Sampling Data'!E683</f>
        <v>0</v>
      </c>
      <c r="G683" s="19">
        <f>'Sampling Data'!F683</f>
        <v>0</v>
      </c>
      <c r="H683" s="19">
        <f>'Sampling Data'!G683</f>
        <v>0</v>
      </c>
      <c r="I683" s="19">
        <f>'Sampling Data'!H683</f>
        <v>0</v>
      </c>
      <c r="J683" s="19">
        <f>'Sampling Data'!I683</f>
        <v>0</v>
      </c>
      <c r="K683" s="19">
        <f>'Sampling Data'!J683</f>
        <v>0</v>
      </c>
      <c r="L683" s="19">
        <f>'Sampling Data'!K683</f>
        <v>0</v>
      </c>
      <c r="M683" s="19">
        <f>'Sampling Data'!L683</f>
        <v>0</v>
      </c>
      <c r="N683" s="19">
        <f>'Sampling Data'!M683</f>
        <v>0</v>
      </c>
      <c r="O683" s="18">
        <f>'Sampling Data'!N683</f>
        <v>1</v>
      </c>
      <c r="P683" s="18">
        <f>'Sampling Data'!O683</f>
        <v>0</v>
      </c>
      <c r="Q683" s="18">
        <f>'Sampling Data'!P683</f>
        <v>68</v>
      </c>
      <c r="R683" s="18">
        <f>'Sampling Data'!AJ683</f>
        <v>0</v>
      </c>
      <c r="S683" s="112"/>
      <c r="T683" s="112"/>
      <c r="U683" s="113"/>
      <c r="V683" s="113"/>
      <c r="W683" s="112"/>
      <c r="X683" s="112"/>
      <c r="Y683" s="112"/>
      <c r="Z683" s="112"/>
      <c r="AA683" s="15"/>
      <c r="AB683" s="15"/>
      <c r="AC683" s="15"/>
      <c r="AD683" s="15"/>
      <c r="AE683" s="114" t="str">
        <f>IF(NOT(ISBLANK(Audit[[#This Row],[Audit Winning Candidate]])), Audit[[#This Row],[Audit Winning Candidate]]-Audit[[#This Row],[Winning Candidate]], "")</f>
        <v/>
      </c>
      <c r="AF683" s="18" t="str">
        <f>IF(NOT(ISBLANK(Audit[[#This Row],[Audit Losing Candidate]])), Audit[[#This Row],[Audit Losing Candidate]]-Audit[[#This Row],[Losing Candidate]], "")</f>
        <v/>
      </c>
      <c r="AG683" s="18" t="str">
        <f>IF(NOT(ISBLANK(Audit[[#This Row],[Audit Candidate 3]])), Audit[[#This Row],[Audit Candidate 3]]-Audit[[#This Row],[Candidate 3]], "")</f>
        <v/>
      </c>
      <c r="AH683" s="18" t="str">
        <f>IF(NOT(ISBLANK(Audit[[#This Row],[Audit Candidate 4]])),Audit[[#This Row],[Audit Candidate 4]]-Audit[[#This Row],[Candidate 4]], "")</f>
        <v/>
      </c>
      <c r="AI683" s="18" t="str">
        <f>IF(NOT(ISBLANK(Audit[[#This Row],[Audit Candidate 5]])), Audit[[#This Row],[Audit Candidate 5]]-Audit[[#This Row],[Candidate 5]], "")</f>
        <v/>
      </c>
      <c r="AJ683" s="18" t="str">
        <f>IF(NOT(ISBLANK(Audit[[#This Row],[Audit Candidate 6]])), Audit[[#This Row],[Audit Candidate 6]]-Audit[[#This Row],[Candidate 6]], "")</f>
        <v/>
      </c>
      <c r="AK683" s="18" t="str">
        <f>IF(NOT(ISBLANK(Audit[[#This Row],[Audit Candidate 7]])), Audit[[#This Row],[Audit Candidate 7]]-Audit[[#This Row],[Candidate 7]], "")</f>
        <v/>
      </c>
      <c r="AL683" s="18" t="str">
        <f>IF(NOT(ISBLANK(Audit[[#This Row],[Audit Candidate 8]])), Audit[[#This Row],[Audit Candidate 8]]-Audit[[#This Row],[Candidate 8]], "")</f>
        <v/>
      </c>
      <c r="AM683" s="18" t="str">
        <f>IF(NOT(ISBLANK(Audit[[#This Row],[Audit Candidate 9]])), Audit[[#This Row],[Audit Candidate 9]]-Audit[[#This Row],[Candidate 9]], "")</f>
        <v/>
      </c>
      <c r="AN683" s="18" t="str">
        <f>IF(NOT(ISBLANK(Audit[[#This Row],[Audit Candidate 10]])), Audit[[#This Row],[Audit Candidate 10]]-Audit[[#This Row],[Candidate 10]], "")</f>
        <v/>
      </c>
      <c r="AO683" s="18" t="str">
        <f>IF(NOT(ISBLANK(Audit[[#This Row],[Audit Candidate 11]])), Audit[[#This Row],[Audit Candidate 11]]-Audit[[#This Row],[Candidate 11]], "")</f>
        <v/>
      </c>
      <c r="AP683" s="18" t="str">
        <f>IF(NOT(ISBLANK(Audit[[#This Row],[Audit Candidate 12]])), Audit[[#This Row],[Audit Candidate 12]]-Audit[[#This Row],[Candidate 12]], "")</f>
        <v/>
      </c>
      <c r="AQ683" s="18">
        <f>SUMIF(Audit[[#This Row],[Difference Winner]:[Difference Candidate 12]], "&gt;0")</f>
        <v>0</v>
      </c>
      <c r="AR683" s="18">
        <f>SUM(Audit[[#This Row],[Difference Winner]:[Difference Candidate 12]])</f>
        <v>0</v>
      </c>
      <c r="AS683" s="18">
        <f>IF(Audit[[#This Row],[Times p Drawn - With Replacement]]&gt;0, IF(Audit[[#This Row],[Canceled Differences]]&lt;0, Audit[[#This Row],[Max Differences]]+ABS(Audit[[#This Row],[Canceled Differences]]), Audit[[#This Row],[Max Differences]]), 0)</f>
        <v>0</v>
      </c>
      <c r="AT683" s="18">
        <f>'Sampling Data'!AB683</f>
        <v>3.737789364575808E-3</v>
      </c>
      <c r="AU683" s="18">
        <f>IF(
      SUM(Audit[[#This Row],[Audit Losing Candidate]:[Audit Candidate 12]])
      &lt;&gt;0,
      (Audit[[#This Row],[Winning Candidate]]-Audit[[#This Row],[Losing Candidate]]-(Audit[[#This Row],[Audit Winning Candidate]]-Audit[[#This Row],[Audit Losing Candidate]]))/(Audit[[#Totals],[Winning Candidate]]-Audit[[#Totals],[Losing Candidate]]),
      0
)</f>
        <v>0</v>
      </c>
      <c r="AV6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8">
        <f>IF(Audit[[#This Row],[Max Relative Error (ep)]] = 0, 0, Audit[[#This Row],[Max Relative Error (ep)]]/Audit[[#This Row],[Error Bound (up) - Max. possible relative overstatement]])</f>
        <v>0</v>
      </c>
      <c r="BH6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3" s="18">
        <f t="shared" si="11"/>
        <v>1</v>
      </c>
      <c r="BJ683" s="18">
        <f>PRODUCT($BI$5:BI683)</f>
        <v>0.32656797278968008</v>
      </c>
      <c r="BK683" s="20">
        <f>1 - Audit[[#This Row],[K-M P Value]]</f>
        <v>0.67343202721031992</v>
      </c>
      <c r="BL683" s="18" t="str">
        <f>IF(Audit[[#This Row],[K-M P Value]]&gt;1-'General Info'!$B$12,"Continue", "Stop")</f>
        <v>Continue</v>
      </c>
      <c r="BM683" s="23" t="b">
        <f>IF(Audit[[#This Row],[Status - Continue or stop audit]] = "Continue", TRUE, IF(BL682 = "Continue", TRUE, FALSE))</f>
        <v>1</v>
      </c>
      <c r="BN683" s="23"/>
    </row>
    <row r="684" spans="1:66" ht="15" hidden="1" customHeight="1" x14ac:dyDescent="0.35">
      <c r="A684" s="18" t="str">
        <f>'Sampling Data'!AI684</f>
        <v/>
      </c>
      <c r="B684" s="18" t="str">
        <f>'Sampling Data'!A684</f>
        <v>1902 CIN 19-B   (ED)</v>
      </c>
      <c r="C684" s="18">
        <f>'Sampling Data'!B684</f>
        <v>111</v>
      </c>
      <c r="D684" s="18">
        <f>'Sampling Data'!C684</f>
        <v>14</v>
      </c>
      <c r="E684" s="19">
        <f>'Sampling Data'!D684</f>
        <v>0</v>
      </c>
      <c r="F684" s="19">
        <f>'Sampling Data'!E684</f>
        <v>0</v>
      </c>
      <c r="G684" s="19">
        <f>'Sampling Data'!F684</f>
        <v>0</v>
      </c>
      <c r="H684" s="19">
        <f>'Sampling Data'!G684</f>
        <v>0</v>
      </c>
      <c r="I684" s="19">
        <f>'Sampling Data'!H684</f>
        <v>0</v>
      </c>
      <c r="J684" s="19">
        <f>'Sampling Data'!I684</f>
        <v>0</v>
      </c>
      <c r="K684" s="19">
        <f>'Sampling Data'!J684</f>
        <v>0</v>
      </c>
      <c r="L684" s="19">
        <f>'Sampling Data'!K684</f>
        <v>0</v>
      </c>
      <c r="M684" s="19">
        <f>'Sampling Data'!L684</f>
        <v>0</v>
      </c>
      <c r="N684" s="19">
        <f>'Sampling Data'!M684</f>
        <v>0</v>
      </c>
      <c r="O684" s="18">
        <f>'Sampling Data'!N684</f>
        <v>0</v>
      </c>
      <c r="P684" s="18">
        <f>'Sampling Data'!O684</f>
        <v>2</v>
      </c>
      <c r="Q684" s="18">
        <f>'Sampling Data'!P684</f>
        <v>127</v>
      </c>
      <c r="R684" s="18">
        <f>'Sampling Data'!AJ684</f>
        <v>0</v>
      </c>
      <c r="S684" s="112"/>
      <c r="T684" s="112"/>
      <c r="U684" s="113"/>
      <c r="V684" s="113"/>
      <c r="W684" s="112"/>
      <c r="X684" s="112"/>
      <c r="Y684" s="112"/>
      <c r="Z684" s="112"/>
      <c r="AA684" s="15"/>
      <c r="AB684" s="15"/>
      <c r="AC684" s="15"/>
      <c r="AD684" s="15"/>
      <c r="AE684" s="114" t="str">
        <f>IF(NOT(ISBLANK(Audit[[#This Row],[Audit Winning Candidate]])), Audit[[#This Row],[Audit Winning Candidate]]-Audit[[#This Row],[Winning Candidate]], "")</f>
        <v/>
      </c>
      <c r="AF684" s="18" t="str">
        <f>IF(NOT(ISBLANK(Audit[[#This Row],[Audit Losing Candidate]])), Audit[[#This Row],[Audit Losing Candidate]]-Audit[[#This Row],[Losing Candidate]], "")</f>
        <v/>
      </c>
      <c r="AG684" s="18" t="str">
        <f>IF(NOT(ISBLANK(Audit[[#This Row],[Audit Candidate 3]])), Audit[[#This Row],[Audit Candidate 3]]-Audit[[#This Row],[Candidate 3]], "")</f>
        <v/>
      </c>
      <c r="AH684" s="18" t="str">
        <f>IF(NOT(ISBLANK(Audit[[#This Row],[Audit Candidate 4]])),Audit[[#This Row],[Audit Candidate 4]]-Audit[[#This Row],[Candidate 4]], "")</f>
        <v/>
      </c>
      <c r="AI684" s="18" t="str">
        <f>IF(NOT(ISBLANK(Audit[[#This Row],[Audit Candidate 5]])), Audit[[#This Row],[Audit Candidate 5]]-Audit[[#This Row],[Candidate 5]], "")</f>
        <v/>
      </c>
      <c r="AJ684" s="18" t="str">
        <f>IF(NOT(ISBLANK(Audit[[#This Row],[Audit Candidate 6]])), Audit[[#This Row],[Audit Candidate 6]]-Audit[[#This Row],[Candidate 6]], "")</f>
        <v/>
      </c>
      <c r="AK684" s="18" t="str">
        <f>IF(NOT(ISBLANK(Audit[[#This Row],[Audit Candidate 7]])), Audit[[#This Row],[Audit Candidate 7]]-Audit[[#This Row],[Candidate 7]], "")</f>
        <v/>
      </c>
      <c r="AL684" s="18" t="str">
        <f>IF(NOT(ISBLANK(Audit[[#This Row],[Audit Candidate 8]])), Audit[[#This Row],[Audit Candidate 8]]-Audit[[#This Row],[Candidate 8]], "")</f>
        <v/>
      </c>
      <c r="AM684" s="18" t="str">
        <f>IF(NOT(ISBLANK(Audit[[#This Row],[Audit Candidate 9]])), Audit[[#This Row],[Audit Candidate 9]]-Audit[[#This Row],[Candidate 9]], "")</f>
        <v/>
      </c>
      <c r="AN684" s="18" t="str">
        <f>IF(NOT(ISBLANK(Audit[[#This Row],[Audit Candidate 10]])), Audit[[#This Row],[Audit Candidate 10]]-Audit[[#This Row],[Candidate 10]], "")</f>
        <v/>
      </c>
      <c r="AO684" s="18" t="str">
        <f>IF(NOT(ISBLANK(Audit[[#This Row],[Audit Candidate 11]])), Audit[[#This Row],[Audit Candidate 11]]-Audit[[#This Row],[Candidate 11]], "")</f>
        <v/>
      </c>
      <c r="AP684" s="18" t="str">
        <f>IF(NOT(ISBLANK(Audit[[#This Row],[Audit Candidate 12]])), Audit[[#This Row],[Audit Candidate 12]]-Audit[[#This Row],[Candidate 12]], "")</f>
        <v/>
      </c>
      <c r="AQ684" s="18">
        <f>SUMIF(Audit[[#This Row],[Difference Winner]:[Difference Candidate 12]], "&gt;0")</f>
        <v>0</v>
      </c>
      <c r="AR684" s="18">
        <f>SUM(Audit[[#This Row],[Difference Winner]:[Difference Candidate 12]])</f>
        <v>0</v>
      </c>
      <c r="AS684" s="18">
        <f>IF(Audit[[#This Row],[Times p Drawn - With Replacement]]&gt;0, IF(Audit[[#This Row],[Canceled Differences]]&lt;0, Audit[[#This Row],[Max Differences]]+ABS(Audit[[#This Row],[Canceled Differences]]), Audit[[#This Row],[Max Differences]]), 0)</f>
        <v>0</v>
      </c>
      <c r="AT684" s="18">
        <f>'Sampling Data'!AB684</f>
        <v>7.0358388039074033E-3</v>
      </c>
      <c r="AU684" s="18">
        <f>IF(
      SUM(Audit[[#This Row],[Audit Losing Candidate]:[Audit Candidate 12]])
      &lt;&gt;0,
      (Audit[[#This Row],[Winning Candidate]]-Audit[[#This Row],[Losing Candidate]]-(Audit[[#This Row],[Audit Winning Candidate]]-Audit[[#This Row],[Audit Losing Candidate]]))/(Audit[[#Totals],[Winning Candidate]]-Audit[[#Totals],[Losing Candidate]]),
      0
)</f>
        <v>0</v>
      </c>
      <c r="AV6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8">
        <f>IF(Audit[[#This Row],[Max Relative Error (ep)]] = 0, 0, Audit[[#This Row],[Max Relative Error (ep)]]/Audit[[#This Row],[Error Bound (up) - Max. possible relative overstatement]])</f>
        <v>0</v>
      </c>
      <c r="BH6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4" s="18">
        <f t="shared" si="11"/>
        <v>1</v>
      </c>
      <c r="BJ684" s="18">
        <f>PRODUCT($BI$5:BI684)</f>
        <v>0.32656797278968008</v>
      </c>
      <c r="BK684" s="20">
        <f>1 - Audit[[#This Row],[K-M P Value]]</f>
        <v>0.67343202721031992</v>
      </c>
      <c r="BL684" s="18" t="str">
        <f>IF(Audit[[#This Row],[K-M P Value]]&gt;1-'General Info'!$B$12,"Continue", "Stop")</f>
        <v>Continue</v>
      </c>
      <c r="BM684" s="23" t="b">
        <f>IF(Audit[[#This Row],[Status - Continue or stop audit]] = "Continue", TRUE, IF(BL683 = "Continue", TRUE, FALSE))</f>
        <v>1</v>
      </c>
      <c r="BN684" s="23"/>
    </row>
    <row r="685" spans="1:66" ht="15" hidden="1" customHeight="1" x14ac:dyDescent="0.35">
      <c r="A685" s="18" t="str">
        <f>'Sampling Data'!AI685</f>
        <v/>
      </c>
      <c r="B685" s="18" t="str">
        <f>'Sampling Data'!A685</f>
        <v>1903 CIN 19-C   (ED)</v>
      </c>
      <c r="C685" s="18">
        <f>'Sampling Data'!B685</f>
        <v>51</v>
      </c>
      <c r="D685" s="18">
        <f>'Sampling Data'!C685</f>
        <v>8</v>
      </c>
      <c r="E685" s="19">
        <f>'Sampling Data'!D685</f>
        <v>0</v>
      </c>
      <c r="F685" s="19">
        <f>'Sampling Data'!E685</f>
        <v>0</v>
      </c>
      <c r="G685" s="19">
        <f>'Sampling Data'!F685</f>
        <v>0</v>
      </c>
      <c r="H685" s="19">
        <f>'Sampling Data'!G685</f>
        <v>0</v>
      </c>
      <c r="I685" s="19">
        <f>'Sampling Data'!H685</f>
        <v>0</v>
      </c>
      <c r="J685" s="19">
        <f>'Sampling Data'!I685</f>
        <v>0</v>
      </c>
      <c r="K685" s="19">
        <f>'Sampling Data'!J685</f>
        <v>0</v>
      </c>
      <c r="L685" s="19">
        <f>'Sampling Data'!K685</f>
        <v>0</v>
      </c>
      <c r="M685" s="19">
        <f>'Sampling Data'!L685</f>
        <v>0</v>
      </c>
      <c r="N685" s="19">
        <f>'Sampling Data'!M685</f>
        <v>0</v>
      </c>
      <c r="O685" s="18">
        <f>'Sampling Data'!N685</f>
        <v>0</v>
      </c>
      <c r="P685" s="18">
        <f>'Sampling Data'!O685</f>
        <v>0</v>
      </c>
      <c r="Q685" s="18">
        <f>'Sampling Data'!P685</f>
        <v>59</v>
      </c>
      <c r="R685" s="18">
        <f>'Sampling Data'!AJ685</f>
        <v>0</v>
      </c>
      <c r="S685" s="112"/>
      <c r="T685" s="112"/>
      <c r="U685" s="113"/>
      <c r="V685" s="113"/>
      <c r="W685" s="112"/>
      <c r="X685" s="112"/>
      <c r="Y685" s="112"/>
      <c r="Z685" s="112"/>
      <c r="AA685" s="15"/>
      <c r="AB685" s="15"/>
      <c r="AC685" s="15"/>
      <c r="AD685" s="15"/>
      <c r="AE685" s="114" t="str">
        <f>IF(NOT(ISBLANK(Audit[[#This Row],[Audit Winning Candidate]])), Audit[[#This Row],[Audit Winning Candidate]]-Audit[[#This Row],[Winning Candidate]], "")</f>
        <v/>
      </c>
      <c r="AF685" s="18" t="str">
        <f>IF(NOT(ISBLANK(Audit[[#This Row],[Audit Losing Candidate]])), Audit[[#This Row],[Audit Losing Candidate]]-Audit[[#This Row],[Losing Candidate]], "")</f>
        <v/>
      </c>
      <c r="AG685" s="18" t="str">
        <f>IF(NOT(ISBLANK(Audit[[#This Row],[Audit Candidate 3]])), Audit[[#This Row],[Audit Candidate 3]]-Audit[[#This Row],[Candidate 3]], "")</f>
        <v/>
      </c>
      <c r="AH685" s="18" t="str">
        <f>IF(NOT(ISBLANK(Audit[[#This Row],[Audit Candidate 4]])),Audit[[#This Row],[Audit Candidate 4]]-Audit[[#This Row],[Candidate 4]], "")</f>
        <v/>
      </c>
      <c r="AI685" s="18" t="str">
        <f>IF(NOT(ISBLANK(Audit[[#This Row],[Audit Candidate 5]])), Audit[[#This Row],[Audit Candidate 5]]-Audit[[#This Row],[Candidate 5]], "")</f>
        <v/>
      </c>
      <c r="AJ685" s="18" t="str">
        <f>IF(NOT(ISBLANK(Audit[[#This Row],[Audit Candidate 6]])), Audit[[#This Row],[Audit Candidate 6]]-Audit[[#This Row],[Candidate 6]], "")</f>
        <v/>
      </c>
      <c r="AK685" s="18" t="str">
        <f>IF(NOT(ISBLANK(Audit[[#This Row],[Audit Candidate 7]])), Audit[[#This Row],[Audit Candidate 7]]-Audit[[#This Row],[Candidate 7]], "")</f>
        <v/>
      </c>
      <c r="AL685" s="18" t="str">
        <f>IF(NOT(ISBLANK(Audit[[#This Row],[Audit Candidate 8]])), Audit[[#This Row],[Audit Candidate 8]]-Audit[[#This Row],[Candidate 8]], "")</f>
        <v/>
      </c>
      <c r="AM685" s="18" t="str">
        <f>IF(NOT(ISBLANK(Audit[[#This Row],[Audit Candidate 9]])), Audit[[#This Row],[Audit Candidate 9]]-Audit[[#This Row],[Candidate 9]], "")</f>
        <v/>
      </c>
      <c r="AN685" s="18" t="str">
        <f>IF(NOT(ISBLANK(Audit[[#This Row],[Audit Candidate 10]])), Audit[[#This Row],[Audit Candidate 10]]-Audit[[#This Row],[Candidate 10]], "")</f>
        <v/>
      </c>
      <c r="AO685" s="18" t="str">
        <f>IF(NOT(ISBLANK(Audit[[#This Row],[Audit Candidate 11]])), Audit[[#This Row],[Audit Candidate 11]]-Audit[[#This Row],[Candidate 11]], "")</f>
        <v/>
      </c>
      <c r="AP685" s="18" t="str">
        <f>IF(NOT(ISBLANK(Audit[[#This Row],[Audit Candidate 12]])), Audit[[#This Row],[Audit Candidate 12]]-Audit[[#This Row],[Candidate 12]], "")</f>
        <v/>
      </c>
      <c r="AQ685" s="18">
        <f>SUMIF(Audit[[#This Row],[Difference Winner]:[Difference Candidate 12]], "&gt;0")</f>
        <v>0</v>
      </c>
      <c r="AR685" s="18">
        <f>SUM(Audit[[#This Row],[Difference Winner]:[Difference Candidate 12]])</f>
        <v>0</v>
      </c>
      <c r="AS685" s="18">
        <f>IF(Audit[[#This Row],[Times p Drawn - With Replacement]]&gt;0, IF(Audit[[#This Row],[Canceled Differences]]&lt;0, Audit[[#This Row],[Max Differences]]+ABS(Audit[[#This Row],[Canceled Differences]]), Audit[[#This Row],[Max Differences]]), 0)</f>
        <v>0</v>
      </c>
      <c r="AT685" s="18">
        <f>'Sampling Data'!AB685</f>
        <v>3.2038194553506926E-3</v>
      </c>
      <c r="AU685" s="18">
        <f>IF(
      SUM(Audit[[#This Row],[Audit Losing Candidate]:[Audit Candidate 12]])
      &lt;&gt;0,
      (Audit[[#This Row],[Winning Candidate]]-Audit[[#This Row],[Losing Candidate]]-(Audit[[#This Row],[Audit Winning Candidate]]-Audit[[#This Row],[Audit Losing Candidate]]))/(Audit[[#Totals],[Winning Candidate]]-Audit[[#Totals],[Losing Candidate]]),
      0
)</f>
        <v>0</v>
      </c>
      <c r="AV6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8">
        <f>IF(Audit[[#This Row],[Max Relative Error (ep)]] = 0, 0, Audit[[#This Row],[Max Relative Error (ep)]]/Audit[[#This Row],[Error Bound (up) - Max. possible relative overstatement]])</f>
        <v>0</v>
      </c>
      <c r="BH6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5" s="18">
        <f t="shared" si="11"/>
        <v>1</v>
      </c>
      <c r="BJ685" s="18">
        <f>PRODUCT($BI$5:BI685)</f>
        <v>0.32656797278968008</v>
      </c>
      <c r="BK685" s="20">
        <f>1 - Audit[[#This Row],[K-M P Value]]</f>
        <v>0.67343202721031992</v>
      </c>
      <c r="BL685" s="18" t="str">
        <f>IF(Audit[[#This Row],[K-M P Value]]&gt;1-'General Info'!$B$12,"Continue", "Stop")</f>
        <v>Continue</v>
      </c>
      <c r="BM685" s="23" t="b">
        <f>IF(Audit[[#This Row],[Status - Continue or stop audit]] = "Continue", TRUE, IF(BL684 = "Continue", TRUE, FALSE))</f>
        <v>1</v>
      </c>
      <c r="BN685" s="23"/>
    </row>
    <row r="686" spans="1:66" ht="15" hidden="1" customHeight="1" x14ac:dyDescent="0.35">
      <c r="A686" s="18" t="str">
        <f>'Sampling Data'!AI686</f>
        <v/>
      </c>
      <c r="B686" s="18" t="str">
        <f>'Sampling Data'!A686</f>
        <v>1904 CIN 19-D   (ED)</v>
      </c>
      <c r="C686" s="18">
        <f>'Sampling Data'!B686</f>
        <v>0</v>
      </c>
      <c r="D686" s="18">
        <f>'Sampling Data'!C686</f>
        <v>0</v>
      </c>
      <c r="E686" s="19">
        <f>'Sampling Data'!D686</f>
        <v>0</v>
      </c>
      <c r="F686" s="19">
        <f>'Sampling Data'!E686</f>
        <v>0</v>
      </c>
      <c r="G686" s="19">
        <f>'Sampling Data'!F686</f>
        <v>0</v>
      </c>
      <c r="H686" s="19">
        <f>'Sampling Data'!G686</f>
        <v>0</v>
      </c>
      <c r="I686" s="19">
        <f>'Sampling Data'!H686</f>
        <v>0</v>
      </c>
      <c r="J686" s="19">
        <f>'Sampling Data'!I686</f>
        <v>0</v>
      </c>
      <c r="K686" s="19">
        <f>'Sampling Data'!J686</f>
        <v>0</v>
      </c>
      <c r="L686" s="19">
        <f>'Sampling Data'!K686</f>
        <v>0</v>
      </c>
      <c r="M686" s="19">
        <f>'Sampling Data'!L686</f>
        <v>0</v>
      </c>
      <c r="N686" s="19">
        <f>'Sampling Data'!M686</f>
        <v>0</v>
      </c>
      <c r="O686" s="18">
        <f>'Sampling Data'!N686</f>
        <v>0</v>
      </c>
      <c r="P686" s="18">
        <f>'Sampling Data'!O686</f>
        <v>0</v>
      </c>
      <c r="Q686" s="18">
        <f>'Sampling Data'!P686</f>
        <v>0</v>
      </c>
      <c r="R686" s="18">
        <f>'Sampling Data'!AJ686</f>
        <v>0</v>
      </c>
      <c r="S686" s="112"/>
      <c r="T686" s="112"/>
      <c r="U686" s="113"/>
      <c r="V686" s="113"/>
      <c r="W686" s="112"/>
      <c r="X686" s="112"/>
      <c r="Y686" s="112"/>
      <c r="Z686" s="112"/>
      <c r="AA686" s="15"/>
      <c r="AB686" s="15"/>
      <c r="AC686" s="15"/>
      <c r="AD686" s="15"/>
      <c r="AE686" s="114" t="str">
        <f>IF(NOT(ISBLANK(Audit[[#This Row],[Audit Winning Candidate]])), Audit[[#This Row],[Audit Winning Candidate]]-Audit[[#This Row],[Winning Candidate]], "")</f>
        <v/>
      </c>
      <c r="AF686" s="18" t="str">
        <f>IF(NOT(ISBLANK(Audit[[#This Row],[Audit Losing Candidate]])), Audit[[#This Row],[Audit Losing Candidate]]-Audit[[#This Row],[Losing Candidate]], "")</f>
        <v/>
      </c>
      <c r="AG686" s="18" t="str">
        <f>IF(NOT(ISBLANK(Audit[[#This Row],[Audit Candidate 3]])), Audit[[#This Row],[Audit Candidate 3]]-Audit[[#This Row],[Candidate 3]], "")</f>
        <v/>
      </c>
      <c r="AH686" s="18" t="str">
        <f>IF(NOT(ISBLANK(Audit[[#This Row],[Audit Candidate 4]])),Audit[[#This Row],[Audit Candidate 4]]-Audit[[#This Row],[Candidate 4]], "")</f>
        <v/>
      </c>
      <c r="AI686" s="18" t="str">
        <f>IF(NOT(ISBLANK(Audit[[#This Row],[Audit Candidate 5]])), Audit[[#This Row],[Audit Candidate 5]]-Audit[[#This Row],[Candidate 5]], "")</f>
        <v/>
      </c>
      <c r="AJ686" s="18" t="str">
        <f>IF(NOT(ISBLANK(Audit[[#This Row],[Audit Candidate 6]])), Audit[[#This Row],[Audit Candidate 6]]-Audit[[#This Row],[Candidate 6]], "")</f>
        <v/>
      </c>
      <c r="AK686" s="18" t="str">
        <f>IF(NOT(ISBLANK(Audit[[#This Row],[Audit Candidate 7]])), Audit[[#This Row],[Audit Candidate 7]]-Audit[[#This Row],[Candidate 7]], "")</f>
        <v/>
      </c>
      <c r="AL686" s="18" t="str">
        <f>IF(NOT(ISBLANK(Audit[[#This Row],[Audit Candidate 8]])), Audit[[#This Row],[Audit Candidate 8]]-Audit[[#This Row],[Candidate 8]], "")</f>
        <v/>
      </c>
      <c r="AM686" s="18" t="str">
        <f>IF(NOT(ISBLANK(Audit[[#This Row],[Audit Candidate 9]])), Audit[[#This Row],[Audit Candidate 9]]-Audit[[#This Row],[Candidate 9]], "")</f>
        <v/>
      </c>
      <c r="AN686" s="18" t="str">
        <f>IF(NOT(ISBLANK(Audit[[#This Row],[Audit Candidate 10]])), Audit[[#This Row],[Audit Candidate 10]]-Audit[[#This Row],[Candidate 10]], "")</f>
        <v/>
      </c>
      <c r="AO686" s="18" t="str">
        <f>IF(NOT(ISBLANK(Audit[[#This Row],[Audit Candidate 11]])), Audit[[#This Row],[Audit Candidate 11]]-Audit[[#This Row],[Candidate 11]], "")</f>
        <v/>
      </c>
      <c r="AP686" s="18" t="str">
        <f>IF(NOT(ISBLANK(Audit[[#This Row],[Audit Candidate 12]])), Audit[[#This Row],[Audit Candidate 12]]-Audit[[#This Row],[Candidate 12]], "")</f>
        <v/>
      </c>
      <c r="AQ686" s="18">
        <f>SUMIF(Audit[[#This Row],[Difference Winner]:[Difference Candidate 12]], "&gt;0")</f>
        <v>0</v>
      </c>
      <c r="AR686" s="18">
        <f>SUM(Audit[[#This Row],[Difference Winner]:[Difference Candidate 12]])</f>
        <v>0</v>
      </c>
      <c r="AS686" s="18">
        <f>IF(Audit[[#This Row],[Times p Drawn - With Replacement]]&gt;0, IF(Audit[[#This Row],[Canceled Differences]]&lt;0, Audit[[#This Row],[Max Differences]]+ABS(Audit[[#This Row],[Canceled Differences]]), Audit[[#This Row],[Max Differences]]), 0)</f>
        <v>0</v>
      </c>
      <c r="AT686" s="18">
        <f>'Sampling Data'!AB686</f>
        <v>0</v>
      </c>
      <c r="AU686" s="18">
        <f>IF(
      SUM(Audit[[#This Row],[Audit Losing Candidate]:[Audit Candidate 12]])
      &lt;&gt;0,
      (Audit[[#This Row],[Winning Candidate]]-Audit[[#This Row],[Losing Candidate]]-(Audit[[#This Row],[Audit Winning Candidate]]-Audit[[#This Row],[Audit Losing Candidate]]))/(Audit[[#Totals],[Winning Candidate]]-Audit[[#Totals],[Losing Candidate]]),
      0
)</f>
        <v>0</v>
      </c>
      <c r="AV6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8">
        <f>IF(Audit[[#This Row],[Max Relative Error (ep)]] = 0, 0, Audit[[#This Row],[Max Relative Error (ep)]]/Audit[[#This Row],[Error Bound (up) - Max. possible relative overstatement]])</f>
        <v>0</v>
      </c>
      <c r="BH6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6" s="18">
        <f t="shared" si="11"/>
        <v>1</v>
      </c>
      <c r="BJ686" s="18">
        <f>PRODUCT($BI$5:BI686)</f>
        <v>0.32656797278968008</v>
      </c>
      <c r="BK686" s="20">
        <f>1 - Audit[[#This Row],[K-M P Value]]</f>
        <v>0.67343202721031992</v>
      </c>
      <c r="BL686" s="18" t="str">
        <f>IF(Audit[[#This Row],[K-M P Value]]&gt;1-'General Info'!$B$12,"Continue", "Stop")</f>
        <v>Continue</v>
      </c>
      <c r="BM686" s="23" t="b">
        <f>IF(Audit[[#This Row],[Status - Continue or stop audit]] = "Continue", TRUE, IF(BL685 = "Continue", TRUE, FALSE))</f>
        <v>1</v>
      </c>
      <c r="BN686" s="23"/>
    </row>
    <row r="687" spans="1:66" ht="15" hidden="1" customHeight="1" x14ac:dyDescent="0.35">
      <c r="A687" s="18" t="str">
        <f>'Sampling Data'!AI687</f>
        <v/>
      </c>
      <c r="B687" s="18" t="str">
        <f>'Sampling Data'!A687</f>
        <v>2001 CIN 20-A   (ED)</v>
      </c>
      <c r="C687" s="18">
        <f>'Sampling Data'!B687</f>
        <v>21</v>
      </c>
      <c r="D687" s="18">
        <f>'Sampling Data'!C687</f>
        <v>5</v>
      </c>
      <c r="E687" s="19">
        <f>'Sampling Data'!D687</f>
        <v>0</v>
      </c>
      <c r="F687" s="19">
        <f>'Sampling Data'!E687</f>
        <v>0</v>
      </c>
      <c r="G687" s="19">
        <f>'Sampling Data'!F687</f>
        <v>0</v>
      </c>
      <c r="H687" s="19">
        <f>'Sampling Data'!G687</f>
        <v>0</v>
      </c>
      <c r="I687" s="19">
        <f>'Sampling Data'!H687</f>
        <v>0</v>
      </c>
      <c r="J687" s="19">
        <f>'Sampling Data'!I687</f>
        <v>0</v>
      </c>
      <c r="K687" s="19">
        <f>'Sampling Data'!J687</f>
        <v>0</v>
      </c>
      <c r="L687" s="19">
        <f>'Sampling Data'!K687</f>
        <v>0</v>
      </c>
      <c r="M687" s="19">
        <f>'Sampling Data'!L687</f>
        <v>0</v>
      </c>
      <c r="N687" s="19">
        <f>'Sampling Data'!M687</f>
        <v>0</v>
      </c>
      <c r="O687" s="18">
        <f>'Sampling Data'!N687</f>
        <v>0</v>
      </c>
      <c r="P687" s="18">
        <f>'Sampling Data'!O687</f>
        <v>0</v>
      </c>
      <c r="Q687" s="18">
        <f>'Sampling Data'!P687</f>
        <v>26</v>
      </c>
      <c r="R687" s="18">
        <f>'Sampling Data'!AJ687</f>
        <v>0</v>
      </c>
      <c r="S687" s="112"/>
      <c r="T687" s="112"/>
      <c r="U687" s="113"/>
      <c r="V687" s="113"/>
      <c r="W687" s="112"/>
      <c r="X687" s="112"/>
      <c r="Y687" s="112"/>
      <c r="Z687" s="112"/>
      <c r="AA687" s="15"/>
      <c r="AB687" s="15"/>
      <c r="AC687" s="15"/>
      <c r="AD687" s="15"/>
      <c r="AE687" s="114" t="str">
        <f>IF(NOT(ISBLANK(Audit[[#This Row],[Audit Winning Candidate]])), Audit[[#This Row],[Audit Winning Candidate]]-Audit[[#This Row],[Winning Candidate]], "")</f>
        <v/>
      </c>
      <c r="AF687" s="18" t="str">
        <f>IF(NOT(ISBLANK(Audit[[#This Row],[Audit Losing Candidate]])), Audit[[#This Row],[Audit Losing Candidate]]-Audit[[#This Row],[Losing Candidate]], "")</f>
        <v/>
      </c>
      <c r="AG687" s="18" t="str">
        <f>IF(NOT(ISBLANK(Audit[[#This Row],[Audit Candidate 3]])), Audit[[#This Row],[Audit Candidate 3]]-Audit[[#This Row],[Candidate 3]], "")</f>
        <v/>
      </c>
      <c r="AH687" s="18" t="str">
        <f>IF(NOT(ISBLANK(Audit[[#This Row],[Audit Candidate 4]])),Audit[[#This Row],[Audit Candidate 4]]-Audit[[#This Row],[Candidate 4]], "")</f>
        <v/>
      </c>
      <c r="AI687" s="18" t="str">
        <f>IF(NOT(ISBLANK(Audit[[#This Row],[Audit Candidate 5]])), Audit[[#This Row],[Audit Candidate 5]]-Audit[[#This Row],[Candidate 5]], "")</f>
        <v/>
      </c>
      <c r="AJ687" s="18" t="str">
        <f>IF(NOT(ISBLANK(Audit[[#This Row],[Audit Candidate 6]])), Audit[[#This Row],[Audit Candidate 6]]-Audit[[#This Row],[Candidate 6]], "")</f>
        <v/>
      </c>
      <c r="AK687" s="18" t="str">
        <f>IF(NOT(ISBLANK(Audit[[#This Row],[Audit Candidate 7]])), Audit[[#This Row],[Audit Candidate 7]]-Audit[[#This Row],[Candidate 7]], "")</f>
        <v/>
      </c>
      <c r="AL687" s="18" t="str">
        <f>IF(NOT(ISBLANK(Audit[[#This Row],[Audit Candidate 8]])), Audit[[#This Row],[Audit Candidate 8]]-Audit[[#This Row],[Candidate 8]], "")</f>
        <v/>
      </c>
      <c r="AM687" s="18" t="str">
        <f>IF(NOT(ISBLANK(Audit[[#This Row],[Audit Candidate 9]])), Audit[[#This Row],[Audit Candidate 9]]-Audit[[#This Row],[Candidate 9]], "")</f>
        <v/>
      </c>
      <c r="AN687" s="18" t="str">
        <f>IF(NOT(ISBLANK(Audit[[#This Row],[Audit Candidate 10]])), Audit[[#This Row],[Audit Candidate 10]]-Audit[[#This Row],[Candidate 10]], "")</f>
        <v/>
      </c>
      <c r="AO687" s="18" t="str">
        <f>IF(NOT(ISBLANK(Audit[[#This Row],[Audit Candidate 11]])), Audit[[#This Row],[Audit Candidate 11]]-Audit[[#This Row],[Candidate 11]], "")</f>
        <v/>
      </c>
      <c r="AP687" s="18" t="str">
        <f>IF(NOT(ISBLANK(Audit[[#This Row],[Audit Candidate 12]])), Audit[[#This Row],[Audit Candidate 12]]-Audit[[#This Row],[Candidate 12]], "")</f>
        <v/>
      </c>
      <c r="AQ687" s="18">
        <f>SUMIF(Audit[[#This Row],[Difference Winner]:[Difference Candidate 12]], "&gt;0")</f>
        <v>0</v>
      </c>
      <c r="AR687" s="18">
        <f>SUM(Audit[[#This Row],[Difference Winner]:[Difference Candidate 12]])</f>
        <v>0</v>
      </c>
      <c r="AS687" s="18">
        <f>IF(Audit[[#This Row],[Times p Drawn - With Replacement]]&gt;0, IF(Audit[[#This Row],[Canceled Differences]]&lt;0, Audit[[#This Row],[Max Differences]]+ABS(Audit[[#This Row],[Canceled Differences]]), Audit[[#This Row],[Max Differences]]), 0)</f>
        <v>0</v>
      </c>
      <c r="AT687" s="18">
        <f>'Sampling Data'!AB687</f>
        <v>1.3192197757326382E-3</v>
      </c>
      <c r="AU687" s="18">
        <f>IF(
      SUM(Audit[[#This Row],[Audit Losing Candidate]:[Audit Candidate 12]])
      &lt;&gt;0,
      (Audit[[#This Row],[Winning Candidate]]-Audit[[#This Row],[Losing Candidate]]-(Audit[[#This Row],[Audit Winning Candidate]]-Audit[[#This Row],[Audit Losing Candidate]]))/(Audit[[#Totals],[Winning Candidate]]-Audit[[#Totals],[Losing Candidate]]),
      0
)</f>
        <v>0</v>
      </c>
      <c r="AV6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8">
        <f>IF(Audit[[#This Row],[Max Relative Error (ep)]] = 0, 0, Audit[[#This Row],[Max Relative Error (ep)]]/Audit[[#This Row],[Error Bound (up) - Max. possible relative overstatement]])</f>
        <v>0</v>
      </c>
      <c r="BH6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7" s="18">
        <f t="shared" si="11"/>
        <v>1</v>
      </c>
      <c r="BJ687" s="18">
        <f>PRODUCT($BI$5:BI687)</f>
        <v>0.32656797278968008</v>
      </c>
      <c r="BK687" s="20">
        <f>1 - Audit[[#This Row],[K-M P Value]]</f>
        <v>0.67343202721031992</v>
      </c>
      <c r="BL687" s="18" t="str">
        <f>IF(Audit[[#This Row],[K-M P Value]]&gt;1-'General Info'!$B$12,"Continue", "Stop")</f>
        <v>Continue</v>
      </c>
      <c r="BM687" s="23" t="b">
        <f>IF(Audit[[#This Row],[Status - Continue or stop audit]] = "Continue", TRUE, IF(BL686 = "Continue", TRUE, FALSE))</f>
        <v>1</v>
      </c>
      <c r="BN687" s="23"/>
    </row>
    <row r="688" spans="1:66" ht="15" hidden="1" customHeight="1" x14ac:dyDescent="0.35">
      <c r="A688" s="18" t="str">
        <f>'Sampling Data'!AI688</f>
        <v/>
      </c>
      <c r="B688" s="18" t="str">
        <f>'Sampling Data'!A688</f>
        <v>2002 CIN 20-B   (ED)</v>
      </c>
      <c r="C688" s="18">
        <f>'Sampling Data'!B688</f>
        <v>20</v>
      </c>
      <c r="D688" s="18">
        <f>'Sampling Data'!C688</f>
        <v>1</v>
      </c>
      <c r="E688" s="19">
        <f>'Sampling Data'!D688</f>
        <v>0</v>
      </c>
      <c r="F688" s="19">
        <f>'Sampling Data'!E688</f>
        <v>0</v>
      </c>
      <c r="G688" s="19">
        <f>'Sampling Data'!F688</f>
        <v>0</v>
      </c>
      <c r="H688" s="19">
        <f>'Sampling Data'!G688</f>
        <v>0</v>
      </c>
      <c r="I688" s="19">
        <f>'Sampling Data'!H688</f>
        <v>0</v>
      </c>
      <c r="J688" s="19">
        <f>'Sampling Data'!I688</f>
        <v>0</v>
      </c>
      <c r="K688" s="19">
        <f>'Sampling Data'!J688</f>
        <v>0</v>
      </c>
      <c r="L688" s="19">
        <f>'Sampling Data'!K688</f>
        <v>0</v>
      </c>
      <c r="M688" s="19">
        <f>'Sampling Data'!L688</f>
        <v>0</v>
      </c>
      <c r="N688" s="19">
        <f>'Sampling Data'!M688</f>
        <v>0</v>
      </c>
      <c r="O688" s="18">
        <f>'Sampling Data'!N688</f>
        <v>0</v>
      </c>
      <c r="P688" s="18">
        <f>'Sampling Data'!O688</f>
        <v>2</v>
      </c>
      <c r="Q688" s="18">
        <f>'Sampling Data'!P688</f>
        <v>23</v>
      </c>
      <c r="R688" s="18">
        <f>'Sampling Data'!AJ688</f>
        <v>0</v>
      </c>
      <c r="S688" s="112"/>
      <c r="T688" s="112"/>
      <c r="U688" s="113"/>
      <c r="V688" s="113"/>
      <c r="W688" s="112"/>
      <c r="X688" s="112"/>
      <c r="Y688" s="112"/>
      <c r="Z688" s="112"/>
      <c r="AA688" s="15"/>
      <c r="AB688" s="15"/>
      <c r="AC688" s="15"/>
      <c r="AD688" s="15"/>
      <c r="AE688" s="114" t="str">
        <f>IF(NOT(ISBLANK(Audit[[#This Row],[Audit Winning Candidate]])), Audit[[#This Row],[Audit Winning Candidate]]-Audit[[#This Row],[Winning Candidate]], "")</f>
        <v/>
      </c>
      <c r="AF688" s="18" t="str">
        <f>IF(NOT(ISBLANK(Audit[[#This Row],[Audit Losing Candidate]])), Audit[[#This Row],[Audit Losing Candidate]]-Audit[[#This Row],[Losing Candidate]], "")</f>
        <v/>
      </c>
      <c r="AG688" s="18" t="str">
        <f>IF(NOT(ISBLANK(Audit[[#This Row],[Audit Candidate 3]])), Audit[[#This Row],[Audit Candidate 3]]-Audit[[#This Row],[Candidate 3]], "")</f>
        <v/>
      </c>
      <c r="AH688" s="18" t="str">
        <f>IF(NOT(ISBLANK(Audit[[#This Row],[Audit Candidate 4]])),Audit[[#This Row],[Audit Candidate 4]]-Audit[[#This Row],[Candidate 4]], "")</f>
        <v/>
      </c>
      <c r="AI688" s="18" t="str">
        <f>IF(NOT(ISBLANK(Audit[[#This Row],[Audit Candidate 5]])), Audit[[#This Row],[Audit Candidate 5]]-Audit[[#This Row],[Candidate 5]], "")</f>
        <v/>
      </c>
      <c r="AJ688" s="18" t="str">
        <f>IF(NOT(ISBLANK(Audit[[#This Row],[Audit Candidate 6]])), Audit[[#This Row],[Audit Candidate 6]]-Audit[[#This Row],[Candidate 6]], "")</f>
        <v/>
      </c>
      <c r="AK688" s="18" t="str">
        <f>IF(NOT(ISBLANK(Audit[[#This Row],[Audit Candidate 7]])), Audit[[#This Row],[Audit Candidate 7]]-Audit[[#This Row],[Candidate 7]], "")</f>
        <v/>
      </c>
      <c r="AL688" s="18" t="str">
        <f>IF(NOT(ISBLANK(Audit[[#This Row],[Audit Candidate 8]])), Audit[[#This Row],[Audit Candidate 8]]-Audit[[#This Row],[Candidate 8]], "")</f>
        <v/>
      </c>
      <c r="AM688" s="18" t="str">
        <f>IF(NOT(ISBLANK(Audit[[#This Row],[Audit Candidate 9]])), Audit[[#This Row],[Audit Candidate 9]]-Audit[[#This Row],[Candidate 9]], "")</f>
        <v/>
      </c>
      <c r="AN688" s="18" t="str">
        <f>IF(NOT(ISBLANK(Audit[[#This Row],[Audit Candidate 10]])), Audit[[#This Row],[Audit Candidate 10]]-Audit[[#This Row],[Candidate 10]], "")</f>
        <v/>
      </c>
      <c r="AO688" s="18" t="str">
        <f>IF(NOT(ISBLANK(Audit[[#This Row],[Audit Candidate 11]])), Audit[[#This Row],[Audit Candidate 11]]-Audit[[#This Row],[Candidate 11]], "")</f>
        <v/>
      </c>
      <c r="AP688" s="18" t="str">
        <f>IF(NOT(ISBLANK(Audit[[#This Row],[Audit Candidate 12]])), Audit[[#This Row],[Audit Candidate 12]]-Audit[[#This Row],[Candidate 12]], "")</f>
        <v/>
      </c>
      <c r="AQ688" s="18">
        <f>SUMIF(Audit[[#This Row],[Difference Winner]:[Difference Candidate 12]], "&gt;0")</f>
        <v>0</v>
      </c>
      <c r="AR688" s="18">
        <f>SUM(Audit[[#This Row],[Difference Winner]:[Difference Candidate 12]])</f>
        <v>0</v>
      </c>
      <c r="AS688" s="18">
        <f>IF(Audit[[#This Row],[Times p Drawn - With Replacement]]&gt;0, IF(Audit[[#This Row],[Canceled Differences]]&lt;0, Audit[[#This Row],[Max Differences]]+ABS(Audit[[#This Row],[Canceled Differences]]), Audit[[#This Row],[Max Differences]]), 0)</f>
        <v>0</v>
      </c>
      <c r="AT688" s="18">
        <f>'Sampling Data'!AB688</f>
        <v>1.3192197757326382E-3</v>
      </c>
      <c r="AU688" s="18">
        <f>IF(
      SUM(Audit[[#This Row],[Audit Losing Candidate]:[Audit Candidate 12]])
      &lt;&gt;0,
      (Audit[[#This Row],[Winning Candidate]]-Audit[[#This Row],[Losing Candidate]]-(Audit[[#This Row],[Audit Winning Candidate]]-Audit[[#This Row],[Audit Losing Candidate]]))/(Audit[[#Totals],[Winning Candidate]]-Audit[[#Totals],[Losing Candidate]]),
      0
)</f>
        <v>0</v>
      </c>
      <c r="AV6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8">
        <f>IF(Audit[[#This Row],[Max Relative Error (ep)]] = 0, 0, Audit[[#This Row],[Max Relative Error (ep)]]/Audit[[#This Row],[Error Bound (up) - Max. possible relative overstatement]])</f>
        <v>0</v>
      </c>
      <c r="BH6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8" s="18">
        <f t="shared" si="11"/>
        <v>1</v>
      </c>
      <c r="BJ688" s="18">
        <f>PRODUCT($BI$5:BI688)</f>
        <v>0.32656797278968008</v>
      </c>
      <c r="BK688" s="20">
        <f>1 - Audit[[#This Row],[K-M P Value]]</f>
        <v>0.67343202721031992</v>
      </c>
      <c r="BL688" s="18" t="str">
        <f>IF(Audit[[#This Row],[K-M P Value]]&gt;1-'General Info'!$B$12,"Continue", "Stop")</f>
        <v>Continue</v>
      </c>
      <c r="BM688" s="23" t="b">
        <f>IF(Audit[[#This Row],[Status - Continue or stop audit]] = "Continue", TRUE, IF(BL687 = "Continue", TRUE, FALSE))</f>
        <v>1</v>
      </c>
      <c r="BN688" s="23"/>
    </row>
    <row r="689" spans="1:66" ht="15" hidden="1" customHeight="1" x14ac:dyDescent="0.35">
      <c r="A689" s="18" t="str">
        <f>'Sampling Data'!AI689</f>
        <v/>
      </c>
      <c r="B689" s="18" t="str">
        <f>'Sampling Data'!A689</f>
        <v>2003 CIN 20-C   (ED)</v>
      </c>
      <c r="C689" s="18">
        <f>'Sampling Data'!B689</f>
        <v>39</v>
      </c>
      <c r="D689" s="18">
        <f>'Sampling Data'!C689</f>
        <v>7</v>
      </c>
      <c r="E689" s="19">
        <f>'Sampling Data'!D689</f>
        <v>0</v>
      </c>
      <c r="F689" s="19">
        <f>'Sampling Data'!E689</f>
        <v>0</v>
      </c>
      <c r="G689" s="19">
        <f>'Sampling Data'!F689</f>
        <v>0</v>
      </c>
      <c r="H689" s="19">
        <f>'Sampling Data'!G689</f>
        <v>0</v>
      </c>
      <c r="I689" s="19">
        <f>'Sampling Data'!H689</f>
        <v>0</v>
      </c>
      <c r="J689" s="19">
        <f>'Sampling Data'!I689</f>
        <v>0</v>
      </c>
      <c r="K689" s="19">
        <f>'Sampling Data'!J689</f>
        <v>0</v>
      </c>
      <c r="L689" s="19">
        <f>'Sampling Data'!K689</f>
        <v>0</v>
      </c>
      <c r="M689" s="19">
        <f>'Sampling Data'!L689</f>
        <v>0</v>
      </c>
      <c r="N689" s="19">
        <f>'Sampling Data'!M689</f>
        <v>0</v>
      </c>
      <c r="O689" s="18">
        <f>'Sampling Data'!N689</f>
        <v>0</v>
      </c>
      <c r="P689" s="18">
        <f>'Sampling Data'!O689</f>
        <v>1</v>
      </c>
      <c r="Q689" s="18">
        <f>'Sampling Data'!P689</f>
        <v>47</v>
      </c>
      <c r="R689" s="18">
        <f>'Sampling Data'!AJ689</f>
        <v>0</v>
      </c>
      <c r="S689" s="112"/>
      <c r="T689" s="112"/>
      <c r="U689" s="113"/>
      <c r="V689" s="113"/>
      <c r="W689" s="112"/>
      <c r="X689" s="112"/>
      <c r="Y689" s="112"/>
      <c r="Z689" s="112"/>
      <c r="AA689" s="15"/>
      <c r="AB689" s="15"/>
      <c r="AC689" s="15"/>
      <c r="AD689" s="15"/>
      <c r="AE689" s="114" t="str">
        <f>IF(NOT(ISBLANK(Audit[[#This Row],[Audit Winning Candidate]])), Audit[[#This Row],[Audit Winning Candidate]]-Audit[[#This Row],[Winning Candidate]], "")</f>
        <v/>
      </c>
      <c r="AF689" s="18" t="str">
        <f>IF(NOT(ISBLANK(Audit[[#This Row],[Audit Losing Candidate]])), Audit[[#This Row],[Audit Losing Candidate]]-Audit[[#This Row],[Losing Candidate]], "")</f>
        <v/>
      </c>
      <c r="AG689" s="18" t="str">
        <f>IF(NOT(ISBLANK(Audit[[#This Row],[Audit Candidate 3]])), Audit[[#This Row],[Audit Candidate 3]]-Audit[[#This Row],[Candidate 3]], "")</f>
        <v/>
      </c>
      <c r="AH689" s="18" t="str">
        <f>IF(NOT(ISBLANK(Audit[[#This Row],[Audit Candidate 4]])),Audit[[#This Row],[Audit Candidate 4]]-Audit[[#This Row],[Candidate 4]], "")</f>
        <v/>
      </c>
      <c r="AI689" s="18" t="str">
        <f>IF(NOT(ISBLANK(Audit[[#This Row],[Audit Candidate 5]])), Audit[[#This Row],[Audit Candidate 5]]-Audit[[#This Row],[Candidate 5]], "")</f>
        <v/>
      </c>
      <c r="AJ689" s="18" t="str">
        <f>IF(NOT(ISBLANK(Audit[[#This Row],[Audit Candidate 6]])), Audit[[#This Row],[Audit Candidate 6]]-Audit[[#This Row],[Candidate 6]], "")</f>
        <v/>
      </c>
      <c r="AK689" s="18" t="str">
        <f>IF(NOT(ISBLANK(Audit[[#This Row],[Audit Candidate 7]])), Audit[[#This Row],[Audit Candidate 7]]-Audit[[#This Row],[Candidate 7]], "")</f>
        <v/>
      </c>
      <c r="AL689" s="18" t="str">
        <f>IF(NOT(ISBLANK(Audit[[#This Row],[Audit Candidate 8]])), Audit[[#This Row],[Audit Candidate 8]]-Audit[[#This Row],[Candidate 8]], "")</f>
        <v/>
      </c>
      <c r="AM689" s="18" t="str">
        <f>IF(NOT(ISBLANK(Audit[[#This Row],[Audit Candidate 9]])), Audit[[#This Row],[Audit Candidate 9]]-Audit[[#This Row],[Candidate 9]], "")</f>
        <v/>
      </c>
      <c r="AN689" s="18" t="str">
        <f>IF(NOT(ISBLANK(Audit[[#This Row],[Audit Candidate 10]])), Audit[[#This Row],[Audit Candidate 10]]-Audit[[#This Row],[Candidate 10]], "")</f>
        <v/>
      </c>
      <c r="AO689" s="18" t="str">
        <f>IF(NOT(ISBLANK(Audit[[#This Row],[Audit Candidate 11]])), Audit[[#This Row],[Audit Candidate 11]]-Audit[[#This Row],[Candidate 11]], "")</f>
        <v/>
      </c>
      <c r="AP689" s="18" t="str">
        <f>IF(NOT(ISBLANK(Audit[[#This Row],[Audit Candidate 12]])), Audit[[#This Row],[Audit Candidate 12]]-Audit[[#This Row],[Candidate 12]], "")</f>
        <v/>
      </c>
      <c r="AQ689" s="18">
        <f>SUMIF(Audit[[#This Row],[Difference Winner]:[Difference Candidate 12]], "&gt;0")</f>
        <v>0</v>
      </c>
      <c r="AR689" s="18">
        <f>SUM(Audit[[#This Row],[Difference Winner]:[Difference Candidate 12]])</f>
        <v>0</v>
      </c>
      <c r="AS689" s="18">
        <f>IF(Audit[[#This Row],[Times p Drawn - With Replacement]]&gt;0, IF(Audit[[#This Row],[Canceled Differences]]&lt;0, Audit[[#This Row],[Max Differences]]+ABS(Audit[[#This Row],[Canceled Differences]]), Audit[[#This Row],[Max Differences]]), 0)</f>
        <v>0</v>
      </c>
      <c r="AT689" s="18">
        <f>'Sampling Data'!AB689</f>
        <v>2.4813895781637717E-3</v>
      </c>
      <c r="AU689" s="18">
        <f>IF(
      SUM(Audit[[#This Row],[Audit Losing Candidate]:[Audit Candidate 12]])
      &lt;&gt;0,
      (Audit[[#This Row],[Winning Candidate]]-Audit[[#This Row],[Losing Candidate]]-(Audit[[#This Row],[Audit Winning Candidate]]-Audit[[#This Row],[Audit Losing Candidate]]))/(Audit[[#Totals],[Winning Candidate]]-Audit[[#Totals],[Losing Candidate]]),
      0
)</f>
        <v>0</v>
      </c>
      <c r="AV6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8">
        <f>IF(Audit[[#This Row],[Max Relative Error (ep)]] = 0, 0, Audit[[#This Row],[Max Relative Error (ep)]]/Audit[[#This Row],[Error Bound (up) - Max. possible relative overstatement]])</f>
        <v>0</v>
      </c>
      <c r="BH6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89" s="18">
        <f t="shared" si="11"/>
        <v>1</v>
      </c>
      <c r="BJ689" s="18">
        <f>PRODUCT($BI$5:BI689)</f>
        <v>0.32656797278968008</v>
      </c>
      <c r="BK689" s="20">
        <f>1 - Audit[[#This Row],[K-M P Value]]</f>
        <v>0.67343202721031992</v>
      </c>
      <c r="BL689" s="18" t="str">
        <f>IF(Audit[[#This Row],[K-M P Value]]&gt;1-'General Info'!$B$12,"Continue", "Stop")</f>
        <v>Continue</v>
      </c>
      <c r="BM689" s="23" t="b">
        <f>IF(Audit[[#This Row],[Status - Continue or stop audit]] = "Continue", TRUE, IF(BL688 = "Continue", TRUE, FALSE))</f>
        <v>1</v>
      </c>
      <c r="BN689" s="23"/>
    </row>
    <row r="690" spans="1:66" ht="15" hidden="1" customHeight="1" x14ac:dyDescent="0.35">
      <c r="A690" s="18" t="str">
        <f>'Sampling Data'!AI690</f>
        <v/>
      </c>
      <c r="B690" s="18" t="str">
        <f>'Sampling Data'!A690</f>
        <v>2004 CIN 20-D   (ED)</v>
      </c>
      <c r="C690" s="18">
        <f>'Sampling Data'!B690</f>
        <v>22</v>
      </c>
      <c r="D690" s="18">
        <f>'Sampling Data'!C690</f>
        <v>0</v>
      </c>
      <c r="E690" s="19">
        <f>'Sampling Data'!D690</f>
        <v>0</v>
      </c>
      <c r="F690" s="19">
        <f>'Sampling Data'!E690</f>
        <v>0</v>
      </c>
      <c r="G690" s="19">
        <f>'Sampling Data'!F690</f>
        <v>0</v>
      </c>
      <c r="H690" s="19">
        <f>'Sampling Data'!G690</f>
        <v>0</v>
      </c>
      <c r="I690" s="19">
        <f>'Sampling Data'!H690</f>
        <v>0</v>
      </c>
      <c r="J690" s="19">
        <f>'Sampling Data'!I690</f>
        <v>0</v>
      </c>
      <c r="K690" s="19">
        <f>'Sampling Data'!J690</f>
        <v>0</v>
      </c>
      <c r="L690" s="19">
        <f>'Sampling Data'!K690</f>
        <v>0</v>
      </c>
      <c r="M690" s="19">
        <f>'Sampling Data'!L690</f>
        <v>0</v>
      </c>
      <c r="N690" s="19">
        <f>'Sampling Data'!M690</f>
        <v>0</v>
      </c>
      <c r="O690" s="18">
        <f>'Sampling Data'!N690</f>
        <v>0</v>
      </c>
      <c r="P690" s="18">
        <f>'Sampling Data'!O690</f>
        <v>0</v>
      </c>
      <c r="Q690" s="18">
        <f>'Sampling Data'!P690</f>
        <v>22</v>
      </c>
      <c r="R690" s="18">
        <f>'Sampling Data'!AJ690</f>
        <v>0</v>
      </c>
      <c r="S690" s="112"/>
      <c r="T690" s="112"/>
      <c r="U690" s="113"/>
      <c r="V690" s="113"/>
      <c r="W690" s="112"/>
      <c r="X690" s="112"/>
      <c r="Y690" s="112"/>
      <c r="Z690" s="112"/>
      <c r="AA690" s="15"/>
      <c r="AB690" s="15"/>
      <c r="AC690" s="15"/>
      <c r="AD690" s="15"/>
      <c r="AE690" s="114" t="str">
        <f>IF(NOT(ISBLANK(Audit[[#This Row],[Audit Winning Candidate]])), Audit[[#This Row],[Audit Winning Candidate]]-Audit[[#This Row],[Winning Candidate]], "")</f>
        <v/>
      </c>
      <c r="AF690" s="18" t="str">
        <f>IF(NOT(ISBLANK(Audit[[#This Row],[Audit Losing Candidate]])), Audit[[#This Row],[Audit Losing Candidate]]-Audit[[#This Row],[Losing Candidate]], "")</f>
        <v/>
      </c>
      <c r="AG690" s="18" t="str">
        <f>IF(NOT(ISBLANK(Audit[[#This Row],[Audit Candidate 3]])), Audit[[#This Row],[Audit Candidate 3]]-Audit[[#This Row],[Candidate 3]], "")</f>
        <v/>
      </c>
      <c r="AH690" s="18" t="str">
        <f>IF(NOT(ISBLANK(Audit[[#This Row],[Audit Candidate 4]])),Audit[[#This Row],[Audit Candidate 4]]-Audit[[#This Row],[Candidate 4]], "")</f>
        <v/>
      </c>
      <c r="AI690" s="18" t="str">
        <f>IF(NOT(ISBLANK(Audit[[#This Row],[Audit Candidate 5]])), Audit[[#This Row],[Audit Candidate 5]]-Audit[[#This Row],[Candidate 5]], "")</f>
        <v/>
      </c>
      <c r="AJ690" s="18" t="str">
        <f>IF(NOT(ISBLANK(Audit[[#This Row],[Audit Candidate 6]])), Audit[[#This Row],[Audit Candidate 6]]-Audit[[#This Row],[Candidate 6]], "")</f>
        <v/>
      </c>
      <c r="AK690" s="18" t="str">
        <f>IF(NOT(ISBLANK(Audit[[#This Row],[Audit Candidate 7]])), Audit[[#This Row],[Audit Candidate 7]]-Audit[[#This Row],[Candidate 7]], "")</f>
        <v/>
      </c>
      <c r="AL690" s="18" t="str">
        <f>IF(NOT(ISBLANK(Audit[[#This Row],[Audit Candidate 8]])), Audit[[#This Row],[Audit Candidate 8]]-Audit[[#This Row],[Candidate 8]], "")</f>
        <v/>
      </c>
      <c r="AM690" s="18" t="str">
        <f>IF(NOT(ISBLANK(Audit[[#This Row],[Audit Candidate 9]])), Audit[[#This Row],[Audit Candidate 9]]-Audit[[#This Row],[Candidate 9]], "")</f>
        <v/>
      </c>
      <c r="AN690" s="18" t="str">
        <f>IF(NOT(ISBLANK(Audit[[#This Row],[Audit Candidate 10]])), Audit[[#This Row],[Audit Candidate 10]]-Audit[[#This Row],[Candidate 10]], "")</f>
        <v/>
      </c>
      <c r="AO690" s="18" t="str">
        <f>IF(NOT(ISBLANK(Audit[[#This Row],[Audit Candidate 11]])), Audit[[#This Row],[Audit Candidate 11]]-Audit[[#This Row],[Candidate 11]], "")</f>
        <v/>
      </c>
      <c r="AP690" s="18" t="str">
        <f>IF(NOT(ISBLANK(Audit[[#This Row],[Audit Candidate 12]])), Audit[[#This Row],[Audit Candidate 12]]-Audit[[#This Row],[Candidate 12]], "")</f>
        <v/>
      </c>
      <c r="AQ690" s="18">
        <f>SUMIF(Audit[[#This Row],[Difference Winner]:[Difference Candidate 12]], "&gt;0")</f>
        <v>0</v>
      </c>
      <c r="AR690" s="18">
        <f>SUM(Audit[[#This Row],[Difference Winner]:[Difference Candidate 12]])</f>
        <v>0</v>
      </c>
      <c r="AS690" s="18">
        <f>IF(Audit[[#This Row],[Times p Drawn - With Replacement]]&gt;0, IF(Audit[[#This Row],[Canceled Differences]]&lt;0, Audit[[#This Row],[Max Differences]]+ABS(Audit[[#This Row],[Canceled Differences]]), Audit[[#This Row],[Max Differences]]), 0)</f>
        <v>0</v>
      </c>
      <c r="AT690" s="18">
        <f>'Sampling Data'!AB690</f>
        <v>1.38203976505324E-3</v>
      </c>
      <c r="AU690" s="18">
        <f>IF(
      SUM(Audit[[#This Row],[Audit Losing Candidate]:[Audit Candidate 12]])
      &lt;&gt;0,
      (Audit[[#This Row],[Winning Candidate]]-Audit[[#This Row],[Losing Candidate]]-(Audit[[#This Row],[Audit Winning Candidate]]-Audit[[#This Row],[Audit Losing Candidate]]))/(Audit[[#Totals],[Winning Candidate]]-Audit[[#Totals],[Losing Candidate]]),
      0
)</f>
        <v>0</v>
      </c>
      <c r="AV6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8">
        <f>IF(Audit[[#This Row],[Max Relative Error (ep)]] = 0, 0, Audit[[#This Row],[Max Relative Error (ep)]]/Audit[[#This Row],[Error Bound (up) - Max. possible relative overstatement]])</f>
        <v>0</v>
      </c>
      <c r="BH6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0" s="18">
        <f t="shared" si="11"/>
        <v>1</v>
      </c>
      <c r="BJ690" s="18">
        <f>PRODUCT($BI$5:BI690)</f>
        <v>0.32656797278968008</v>
      </c>
      <c r="BK690" s="20">
        <f>1 - Audit[[#This Row],[K-M P Value]]</f>
        <v>0.67343202721031992</v>
      </c>
      <c r="BL690" s="18" t="str">
        <f>IF(Audit[[#This Row],[K-M P Value]]&gt;1-'General Info'!$B$12,"Continue", "Stop")</f>
        <v>Continue</v>
      </c>
      <c r="BM690" s="23" t="b">
        <f>IF(Audit[[#This Row],[Status - Continue or stop audit]] = "Continue", TRUE, IF(BL689 = "Continue", TRUE, FALSE))</f>
        <v>1</v>
      </c>
      <c r="BN690" s="23"/>
    </row>
    <row r="691" spans="1:66" ht="15" hidden="1" customHeight="1" x14ac:dyDescent="0.35">
      <c r="A691" s="18" t="str">
        <f>'Sampling Data'!AI691</f>
        <v/>
      </c>
      <c r="B691" s="18" t="str">
        <f>'Sampling Data'!A691</f>
        <v>2005 CIN 20-E   (ED)</v>
      </c>
      <c r="C691" s="18">
        <f>'Sampling Data'!B691</f>
        <v>13</v>
      </c>
      <c r="D691" s="18">
        <f>'Sampling Data'!C691</f>
        <v>5</v>
      </c>
      <c r="E691" s="19">
        <f>'Sampling Data'!D691</f>
        <v>0</v>
      </c>
      <c r="F691" s="19">
        <f>'Sampling Data'!E691</f>
        <v>0</v>
      </c>
      <c r="G691" s="19">
        <f>'Sampling Data'!F691</f>
        <v>0</v>
      </c>
      <c r="H691" s="19">
        <f>'Sampling Data'!G691</f>
        <v>0</v>
      </c>
      <c r="I691" s="19">
        <f>'Sampling Data'!H691</f>
        <v>0</v>
      </c>
      <c r="J691" s="19">
        <f>'Sampling Data'!I691</f>
        <v>0</v>
      </c>
      <c r="K691" s="19">
        <f>'Sampling Data'!J691</f>
        <v>0</v>
      </c>
      <c r="L691" s="19">
        <f>'Sampling Data'!K691</f>
        <v>0</v>
      </c>
      <c r="M691" s="19">
        <f>'Sampling Data'!L691</f>
        <v>0</v>
      </c>
      <c r="N691" s="19">
        <f>'Sampling Data'!M691</f>
        <v>0</v>
      </c>
      <c r="O691" s="18">
        <f>'Sampling Data'!N691</f>
        <v>0</v>
      </c>
      <c r="P691" s="18">
        <f>'Sampling Data'!O691</f>
        <v>1</v>
      </c>
      <c r="Q691" s="18">
        <f>'Sampling Data'!P691</f>
        <v>19</v>
      </c>
      <c r="R691" s="18">
        <f>'Sampling Data'!AJ691</f>
        <v>0</v>
      </c>
      <c r="S691" s="112"/>
      <c r="T691" s="112"/>
      <c r="U691" s="113"/>
      <c r="V691" s="113"/>
      <c r="W691" s="112"/>
      <c r="X691" s="112"/>
      <c r="Y691" s="112"/>
      <c r="Z691" s="112"/>
      <c r="AA691" s="15"/>
      <c r="AB691" s="15"/>
      <c r="AC691" s="15"/>
      <c r="AD691" s="15"/>
      <c r="AE691" s="114" t="str">
        <f>IF(NOT(ISBLANK(Audit[[#This Row],[Audit Winning Candidate]])), Audit[[#This Row],[Audit Winning Candidate]]-Audit[[#This Row],[Winning Candidate]], "")</f>
        <v/>
      </c>
      <c r="AF691" s="18" t="str">
        <f>IF(NOT(ISBLANK(Audit[[#This Row],[Audit Losing Candidate]])), Audit[[#This Row],[Audit Losing Candidate]]-Audit[[#This Row],[Losing Candidate]], "")</f>
        <v/>
      </c>
      <c r="AG691" s="18" t="str">
        <f>IF(NOT(ISBLANK(Audit[[#This Row],[Audit Candidate 3]])), Audit[[#This Row],[Audit Candidate 3]]-Audit[[#This Row],[Candidate 3]], "")</f>
        <v/>
      </c>
      <c r="AH691" s="18" t="str">
        <f>IF(NOT(ISBLANK(Audit[[#This Row],[Audit Candidate 4]])),Audit[[#This Row],[Audit Candidate 4]]-Audit[[#This Row],[Candidate 4]], "")</f>
        <v/>
      </c>
      <c r="AI691" s="18" t="str">
        <f>IF(NOT(ISBLANK(Audit[[#This Row],[Audit Candidate 5]])), Audit[[#This Row],[Audit Candidate 5]]-Audit[[#This Row],[Candidate 5]], "")</f>
        <v/>
      </c>
      <c r="AJ691" s="18" t="str">
        <f>IF(NOT(ISBLANK(Audit[[#This Row],[Audit Candidate 6]])), Audit[[#This Row],[Audit Candidate 6]]-Audit[[#This Row],[Candidate 6]], "")</f>
        <v/>
      </c>
      <c r="AK691" s="18" t="str">
        <f>IF(NOT(ISBLANK(Audit[[#This Row],[Audit Candidate 7]])), Audit[[#This Row],[Audit Candidate 7]]-Audit[[#This Row],[Candidate 7]], "")</f>
        <v/>
      </c>
      <c r="AL691" s="18" t="str">
        <f>IF(NOT(ISBLANK(Audit[[#This Row],[Audit Candidate 8]])), Audit[[#This Row],[Audit Candidate 8]]-Audit[[#This Row],[Candidate 8]], "")</f>
        <v/>
      </c>
      <c r="AM691" s="18" t="str">
        <f>IF(NOT(ISBLANK(Audit[[#This Row],[Audit Candidate 9]])), Audit[[#This Row],[Audit Candidate 9]]-Audit[[#This Row],[Candidate 9]], "")</f>
        <v/>
      </c>
      <c r="AN691" s="18" t="str">
        <f>IF(NOT(ISBLANK(Audit[[#This Row],[Audit Candidate 10]])), Audit[[#This Row],[Audit Candidate 10]]-Audit[[#This Row],[Candidate 10]], "")</f>
        <v/>
      </c>
      <c r="AO691" s="18" t="str">
        <f>IF(NOT(ISBLANK(Audit[[#This Row],[Audit Candidate 11]])), Audit[[#This Row],[Audit Candidate 11]]-Audit[[#This Row],[Candidate 11]], "")</f>
        <v/>
      </c>
      <c r="AP691" s="18" t="str">
        <f>IF(NOT(ISBLANK(Audit[[#This Row],[Audit Candidate 12]])), Audit[[#This Row],[Audit Candidate 12]]-Audit[[#This Row],[Candidate 12]], "")</f>
        <v/>
      </c>
      <c r="AQ691" s="18">
        <f>SUMIF(Audit[[#This Row],[Difference Winner]:[Difference Candidate 12]], "&gt;0")</f>
        <v>0</v>
      </c>
      <c r="AR691" s="18">
        <f>SUM(Audit[[#This Row],[Difference Winner]:[Difference Candidate 12]])</f>
        <v>0</v>
      </c>
      <c r="AS691" s="18">
        <f>IF(Audit[[#This Row],[Times p Drawn - With Replacement]]&gt;0, IF(Audit[[#This Row],[Canceled Differences]]&lt;0, Audit[[#This Row],[Max Differences]]+ABS(Audit[[#This Row],[Canceled Differences]]), Audit[[#This Row],[Max Differences]]), 0)</f>
        <v>0</v>
      </c>
      <c r="AT691" s="18">
        <f>'Sampling Data'!AB691</f>
        <v>8.4806985582812453E-4</v>
      </c>
      <c r="AU691" s="18">
        <f>IF(
      SUM(Audit[[#This Row],[Audit Losing Candidate]:[Audit Candidate 12]])
      &lt;&gt;0,
      (Audit[[#This Row],[Winning Candidate]]-Audit[[#This Row],[Losing Candidate]]-(Audit[[#This Row],[Audit Winning Candidate]]-Audit[[#This Row],[Audit Losing Candidate]]))/(Audit[[#Totals],[Winning Candidate]]-Audit[[#Totals],[Losing Candidate]]),
      0
)</f>
        <v>0</v>
      </c>
      <c r="AV6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8">
        <f>IF(Audit[[#This Row],[Max Relative Error (ep)]] = 0, 0, Audit[[#This Row],[Max Relative Error (ep)]]/Audit[[#This Row],[Error Bound (up) - Max. possible relative overstatement]])</f>
        <v>0</v>
      </c>
      <c r="BH6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1" s="18">
        <f t="shared" si="11"/>
        <v>1</v>
      </c>
      <c r="BJ691" s="18">
        <f>PRODUCT($BI$5:BI691)</f>
        <v>0.32656797278968008</v>
      </c>
      <c r="BK691" s="20">
        <f>1 - Audit[[#This Row],[K-M P Value]]</f>
        <v>0.67343202721031992</v>
      </c>
      <c r="BL691" s="18" t="str">
        <f>IF(Audit[[#This Row],[K-M P Value]]&gt;1-'General Info'!$B$12,"Continue", "Stop")</f>
        <v>Continue</v>
      </c>
      <c r="BM691" s="23" t="b">
        <f>IF(Audit[[#This Row],[Status - Continue or stop audit]] = "Continue", TRUE, IF(BL690 = "Continue", TRUE, FALSE))</f>
        <v>1</v>
      </c>
      <c r="BN691" s="23"/>
    </row>
    <row r="692" spans="1:66" ht="15" hidden="1" customHeight="1" x14ac:dyDescent="0.35">
      <c r="A692" s="18" t="str">
        <f>'Sampling Data'!AI692</f>
        <v/>
      </c>
      <c r="B692" s="18" t="str">
        <f>'Sampling Data'!A692</f>
        <v>2101 CIN 21-A   (ED)</v>
      </c>
      <c r="C692" s="18">
        <f>'Sampling Data'!B692</f>
        <v>5</v>
      </c>
      <c r="D692" s="18">
        <f>'Sampling Data'!C692</f>
        <v>1</v>
      </c>
      <c r="E692" s="19">
        <f>'Sampling Data'!D692</f>
        <v>0</v>
      </c>
      <c r="F692" s="19">
        <f>'Sampling Data'!E692</f>
        <v>0</v>
      </c>
      <c r="G692" s="19">
        <f>'Sampling Data'!F692</f>
        <v>0</v>
      </c>
      <c r="H692" s="19">
        <f>'Sampling Data'!G692</f>
        <v>0</v>
      </c>
      <c r="I692" s="19">
        <f>'Sampling Data'!H692</f>
        <v>0</v>
      </c>
      <c r="J692" s="19">
        <f>'Sampling Data'!I692</f>
        <v>0</v>
      </c>
      <c r="K692" s="19">
        <f>'Sampling Data'!J692</f>
        <v>0</v>
      </c>
      <c r="L692" s="19">
        <f>'Sampling Data'!K692</f>
        <v>0</v>
      </c>
      <c r="M692" s="19">
        <f>'Sampling Data'!L692</f>
        <v>0</v>
      </c>
      <c r="N692" s="19">
        <f>'Sampling Data'!M692</f>
        <v>0</v>
      </c>
      <c r="O692" s="18">
        <f>'Sampling Data'!N692</f>
        <v>0</v>
      </c>
      <c r="P692" s="18">
        <f>'Sampling Data'!O692</f>
        <v>0</v>
      </c>
      <c r="Q692" s="18">
        <f>'Sampling Data'!P692</f>
        <v>6</v>
      </c>
      <c r="R692" s="18">
        <f>'Sampling Data'!AJ692</f>
        <v>0</v>
      </c>
      <c r="S692" s="112"/>
      <c r="T692" s="112"/>
      <c r="U692" s="113"/>
      <c r="V692" s="113"/>
      <c r="W692" s="112"/>
      <c r="X692" s="112"/>
      <c r="Y692" s="112"/>
      <c r="Z692" s="112"/>
      <c r="AA692" s="15"/>
      <c r="AB692" s="15"/>
      <c r="AC692" s="15"/>
      <c r="AD692" s="15"/>
      <c r="AE692" s="114" t="str">
        <f>IF(NOT(ISBLANK(Audit[[#This Row],[Audit Winning Candidate]])), Audit[[#This Row],[Audit Winning Candidate]]-Audit[[#This Row],[Winning Candidate]], "")</f>
        <v/>
      </c>
      <c r="AF692" s="18" t="str">
        <f>IF(NOT(ISBLANK(Audit[[#This Row],[Audit Losing Candidate]])), Audit[[#This Row],[Audit Losing Candidate]]-Audit[[#This Row],[Losing Candidate]], "")</f>
        <v/>
      </c>
      <c r="AG692" s="18" t="str">
        <f>IF(NOT(ISBLANK(Audit[[#This Row],[Audit Candidate 3]])), Audit[[#This Row],[Audit Candidate 3]]-Audit[[#This Row],[Candidate 3]], "")</f>
        <v/>
      </c>
      <c r="AH692" s="18" t="str">
        <f>IF(NOT(ISBLANK(Audit[[#This Row],[Audit Candidate 4]])),Audit[[#This Row],[Audit Candidate 4]]-Audit[[#This Row],[Candidate 4]], "")</f>
        <v/>
      </c>
      <c r="AI692" s="18" t="str">
        <f>IF(NOT(ISBLANK(Audit[[#This Row],[Audit Candidate 5]])), Audit[[#This Row],[Audit Candidate 5]]-Audit[[#This Row],[Candidate 5]], "")</f>
        <v/>
      </c>
      <c r="AJ692" s="18" t="str">
        <f>IF(NOT(ISBLANK(Audit[[#This Row],[Audit Candidate 6]])), Audit[[#This Row],[Audit Candidate 6]]-Audit[[#This Row],[Candidate 6]], "")</f>
        <v/>
      </c>
      <c r="AK692" s="18" t="str">
        <f>IF(NOT(ISBLANK(Audit[[#This Row],[Audit Candidate 7]])), Audit[[#This Row],[Audit Candidate 7]]-Audit[[#This Row],[Candidate 7]], "")</f>
        <v/>
      </c>
      <c r="AL692" s="18" t="str">
        <f>IF(NOT(ISBLANK(Audit[[#This Row],[Audit Candidate 8]])), Audit[[#This Row],[Audit Candidate 8]]-Audit[[#This Row],[Candidate 8]], "")</f>
        <v/>
      </c>
      <c r="AM692" s="18" t="str">
        <f>IF(NOT(ISBLANK(Audit[[#This Row],[Audit Candidate 9]])), Audit[[#This Row],[Audit Candidate 9]]-Audit[[#This Row],[Candidate 9]], "")</f>
        <v/>
      </c>
      <c r="AN692" s="18" t="str">
        <f>IF(NOT(ISBLANK(Audit[[#This Row],[Audit Candidate 10]])), Audit[[#This Row],[Audit Candidate 10]]-Audit[[#This Row],[Candidate 10]], "")</f>
        <v/>
      </c>
      <c r="AO692" s="18" t="str">
        <f>IF(NOT(ISBLANK(Audit[[#This Row],[Audit Candidate 11]])), Audit[[#This Row],[Audit Candidate 11]]-Audit[[#This Row],[Candidate 11]], "")</f>
        <v/>
      </c>
      <c r="AP692" s="18" t="str">
        <f>IF(NOT(ISBLANK(Audit[[#This Row],[Audit Candidate 12]])), Audit[[#This Row],[Audit Candidate 12]]-Audit[[#This Row],[Candidate 12]], "")</f>
        <v/>
      </c>
      <c r="AQ692" s="18">
        <f>SUMIF(Audit[[#This Row],[Difference Winner]:[Difference Candidate 12]], "&gt;0")</f>
        <v>0</v>
      </c>
      <c r="AR692" s="18">
        <f>SUM(Audit[[#This Row],[Difference Winner]:[Difference Candidate 12]])</f>
        <v>0</v>
      </c>
      <c r="AS692" s="18">
        <f>IF(Audit[[#This Row],[Times p Drawn - With Replacement]]&gt;0, IF(Audit[[#This Row],[Canceled Differences]]&lt;0, Audit[[#This Row],[Max Differences]]+ABS(Audit[[#This Row],[Canceled Differences]]), Audit[[#This Row],[Max Differences]]), 0)</f>
        <v>0</v>
      </c>
      <c r="AT692" s="18">
        <f>'Sampling Data'!AB692</f>
        <v>3.1409994660300906E-4</v>
      </c>
      <c r="AU692" s="18">
        <f>IF(
      SUM(Audit[[#This Row],[Audit Losing Candidate]:[Audit Candidate 12]])
      &lt;&gt;0,
      (Audit[[#This Row],[Winning Candidate]]-Audit[[#This Row],[Losing Candidate]]-(Audit[[#This Row],[Audit Winning Candidate]]-Audit[[#This Row],[Audit Losing Candidate]]))/(Audit[[#Totals],[Winning Candidate]]-Audit[[#Totals],[Losing Candidate]]),
      0
)</f>
        <v>0</v>
      </c>
      <c r="AV6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8">
        <f>IF(Audit[[#This Row],[Max Relative Error (ep)]] = 0, 0, Audit[[#This Row],[Max Relative Error (ep)]]/Audit[[#This Row],[Error Bound (up) - Max. possible relative overstatement]])</f>
        <v>0</v>
      </c>
      <c r="BH6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2" s="18">
        <f t="shared" si="11"/>
        <v>1</v>
      </c>
      <c r="BJ692" s="18">
        <f>PRODUCT($BI$5:BI692)</f>
        <v>0.32656797278968008</v>
      </c>
      <c r="BK692" s="20">
        <f>1 - Audit[[#This Row],[K-M P Value]]</f>
        <v>0.67343202721031992</v>
      </c>
      <c r="BL692" s="18" t="str">
        <f>IF(Audit[[#This Row],[K-M P Value]]&gt;1-'General Info'!$B$12,"Continue", "Stop")</f>
        <v>Continue</v>
      </c>
      <c r="BM692" s="23" t="b">
        <f>IF(Audit[[#This Row],[Status - Continue or stop audit]] = "Continue", TRUE, IF(BL691 = "Continue", TRUE, FALSE))</f>
        <v>1</v>
      </c>
      <c r="BN692" s="23"/>
    </row>
    <row r="693" spans="1:66" ht="15" hidden="1" customHeight="1" x14ac:dyDescent="0.35">
      <c r="A693" s="18" t="str">
        <f>'Sampling Data'!AI693</f>
        <v/>
      </c>
      <c r="B693" s="18" t="str">
        <f>'Sampling Data'!A693</f>
        <v>2102 CIN 21-B   (ED)</v>
      </c>
      <c r="C693" s="18">
        <f>'Sampling Data'!B693</f>
        <v>6</v>
      </c>
      <c r="D693" s="18">
        <f>'Sampling Data'!C693</f>
        <v>1</v>
      </c>
      <c r="E693" s="19">
        <f>'Sampling Data'!D693</f>
        <v>0</v>
      </c>
      <c r="F693" s="19">
        <f>'Sampling Data'!E693</f>
        <v>0</v>
      </c>
      <c r="G693" s="19">
        <f>'Sampling Data'!F693</f>
        <v>0</v>
      </c>
      <c r="H693" s="19">
        <f>'Sampling Data'!G693</f>
        <v>0</v>
      </c>
      <c r="I693" s="19">
        <f>'Sampling Data'!H693</f>
        <v>0</v>
      </c>
      <c r="J693" s="19">
        <f>'Sampling Data'!I693</f>
        <v>0</v>
      </c>
      <c r="K693" s="19">
        <f>'Sampling Data'!J693</f>
        <v>0</v>
      </c>
      <c r="L693" s="19">
        <f>'Sampling Data'!K693</f>
        <v>0</v>
      </c>
      <c r="M693" s="19">
        <f>'Sampling Data'!L693</f>
        <v>0</v>
      </c>
      <c r="N693" s="19">
        <f>'Sampling Data'!M693</f>
        <v>0</v>
      </c>
      <c r="O693" s="18">
        <f>'Sampling Data'!N693</f>
        <v>0</v>
      </c>
      <c r="P693" s="18">
        <f>'Sampling Data'!O693</f>
        <v>0</v>
      </c>
      <c r="Q693" s="18">
        <f>'Sampling Data'!P693</f>
        <v>7</v>
      </c>
      <c r="R693" s="18">
        <f>'Sampling Data'!AJ693</f>
        <v>0</v>
      </c>
      <c r="S693" s="112"/>
      <c r="T693" s="112"/>
      <c r="U693" s="113"/>
      <c r="V693" s="113"/>
      <c r="W693" s="112"/>
      <c r="X693" s="112"/>
      <c r="Y693" s="112"/>
      <c r="Z693" s="112"/>
      <c r="AA693" s="15"/>
      <c r="AB693" s="15"/>
      <c r="AC693" s="15"/>
      <c r="AD693" s="15"/>
      <c r="AE693" s="114" t="str">
        <f>IF(NOT(ISBLANK(Audit[[#This Row],[Audit Winning Candidate]])), Audit[[#This Row],[Audit Winning Candidate]]-Audit[[#This Row],[Winning Candidate]], "")</f>
        <v/>
      </c>
      <c r="AF693" s="18" t="str">
        <f>IF(NOT(ISBLANK(Audit[[#This Row],[Audit Losing Candidate]])), Audit[[#This Row],[Audit Losing Candidate]]-Audit[[#This Row],[Losing Candidate]], "")</f>
        <v/>
      </c>
      <c r="AG693" s="18" t="str">
        <f>IF(NOT(ISBLANK(Audit[[#This Row],[Audit Candidate 3]])), Audit[[#This Row],[Audit Candidate 3]]-Audit[[#This Row],[Candidate 3]], "")</f>
        <v/>
      </c>
      <c r="AH693" s="18" t="str">
        <f>IF(NOT(ISBLANK(Audit[[#This Row],[Audit Candidate 4]])),Audit[[#This Row],[Audit Candidate 4]]-Audit[[#This Row],[Candidate 4]], "")</f>
        <v/>
      </c>
      <c r="AI693" s="18" t="str">
        <f>IF(NOT(ISBLANK(Audit[[#This Row],[Audit Candidate 5]])), Audit[[#This Row],[Audit Candidate 5]]-Audit[[#This Row],[Candidate 5]], "")</f>
        <v/>
      </c>
      <c r="AJ693" s="18" t="str">
        <f>IF(NOT(ISBLANK(Audit[[#This Row],[Audit Candidate 6]])), Audit[[#This Row],[Audit Candidate 6]]-Audit[[#This Row],[Candidate 6]], "")</f>
        <v/>
      </c>
      <c r="AK693" s="18" t="str">
        <f>IF(NOT(ISBLANK(Audit[[#This Row],[Audit Candidate 7]])), Audit[[#This Row],[Audit Candidate 7]]-Audit[[#This Row],[Candidate 7]], "")</f>
        <v/>
      </c>
      <c r="AL693" s="18" t="str">
        <f>IF(NOT(ISBLANK(Audit[[#This Row],[Audit Candidate 8]])), Audit[[#This Row],[Audit Candidate 8]]-Audit[[#This Row],[Candidate 8]], "")</f>
        <v/>
      </c>
      <c r="AM693" s="18" t="str">
        <f>IF(NOT(ISBLANK(Audit[[#This Row],[Audit Candidate 9]])), Audit[[#This Row],[Audit Candidate 9]]-Audit[[#This Row],[Candidate 9]], "")</f>
        <v/>
      </c>
      <c r="AN693" s="18" t="str">
        <f>IF(NOT(ISBLANK(Audit[[#This Row],[Audit Candidate 10]])), Audit[[#This Row],[Audit Candidate 10]]-Audit[[#This Row],[Candidate 10]], "")</f>
        <v/>
      </c>
      <c r="AO693" s="18" t="str">
        <f>IF(NOT(ISBLANK(Audit[[#This Row],[Audit Candidate 11]])), Audit[[#This Row],[Audit Candidate 11]]-Audit[[#This Row],[Candidate 11]], "")</f>
        <v/>
      </c>
      <c r="AP693" s="18" t="str">
        <f>IF(NOT(ISBLANK(Audit[[#This Row],[Audit Candidate 12]])), Audit[[#This Row],[Audit Candidate 12]]-Audit[[#This Row],[Candidate 12]], "")</f>
        <v/>
      </c>
      <c r="AQ693" s="18">
        <f>SUMIF(Audit[[#This Row],[Difference Winner]:[Difference Candidate 12]], "&gt;0")</f>
        <v>0</v>
      </c>
      <c r="AR693" s="18">
        <f>SUM(Audit[[#This Row],[Difference Winner]:[Difference Candidate 12]])</f>
        <v>0</v>
      </c>
      <c r="AS693" s="18">
        <f>IF(Audit[[#This Row],[Times p Drawn - With Replacement]]&gt;0, IF(Audit[[#This Row],[Canceled Differences]]&lt;0, Audit[[#This Row],[Max Differences]]+ABS(Audit[[#This Row],[Canceled Differences]]), Audit[[#This Row],[Max Differences]]), 0)</f>
        <v>0</v>
      </c>
      <c r="AT693" s="18">
        <f>'Sampling Data'!AB693</f>
        <v>3.7691993592361088E-4</v>
      </c>
      <c r="AU693" s="18">
        <f>IF(
      SUM(Audit[[#This Row],[Audit Losing Candidate]:[Audit Candidate 12]])
      &lt;&gt;0,
      (Audit[[#This Row],[Winning Candidate]]-Audit[[#This Row],[Losing Candidate]]-(Audit[[#This Row],[Audit Winning Candidate]]-Audit[[#This Row],[Audit Losing Candidate]]))/(Audit[[#Totals],[Winning Candidate]]-Audit[[#Totals],[Losing Candidate]]),
      0
)</f>
        <v>0</v>
      </c>
      <c r="AV6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8">
        <f>IF(Audit[[#This Row],[Max Relative Error (ep)]] = 0, 0, Audit[[#This Row],[Max Relative Error (ep)]]/Audit[[#This Row],[Error Bound (up) - Max. possible relative overstatement]])</f>
        <v>0</v>
      </c>
      <c r="BH6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3" s="18">
        <f t="shared" si="11"/>
        <v>1</v>
      </c>
      <c r="BJ693" s="18">
        <f>PRODUCT($BI$5:BI693)</f>
        <v>0.32656797278968008</v>
      </c>
      <c r="BK693" s="20">
        <f>1 - Audit[[#This Row],[K-M P Value]]</f>
        <v>0.67343202721031992</v>
      </c>
      <c r="BL693" s="18" t="str">
        <f>IF(Audit[[#This Row],[K-M P Value]]&gt;1-'General Info'!$B$12,"Continue", "Stop")</f>
        <v>Continue</v>
      </c>
      <c r="BM693" s="23" t="b">
        <f>IF(Audit[[#This Row],[Status - Continue or stop audit]] = "Continue", TRUE, IF(BL692 = "Continue", TRUE, FALSE))</f>
        <v>1</v>
      </c>
      <c r="BN693" s="23"/>
    </row>
    <row r="694" spans="1:66" ht="15" hidden="1" customHeight="1" x14ac:dyDescent="0.35">
      <c r="A694" s="18" t="str">
        <f>'Sampling Data'!AI694</f>
        <v/>
      </c>
      <c r="B694" s="18" t="str">
        <f>'Sampling Data'!A694</f>
        <v>2103 CIN 21-C   (ED)</v>
      </c>
      <c r="C694" s="18">
        <f>'Sampling Data'!B694</f>
        <v>12</v>
      </c>
      <c r="D694" s="18">
        <f>'Sampling Data'!C694</f>
        <v>0</v>
      </c>
      <c r="E694" s="19">
        <f>'Sampling Data'!D694</f>
        <v>0</v>
      </c>
      <c r="F694" s="19">
        <f>'Sampling Data'!E694</f>
        <v>0</v>
      </c>
      <c r="G694" s="19">
        <f>'Sampling Data'!F694</f>
        <v>0</v>
      </c>
      <c r="H694" s="19">
        <f>'Sampling Data'!G694</f>
        <v>0</v>
      </c>
      <c r="I694" s="19">
        <f>'Sampling Data'!H694</f>
        <v>0</v>
      </c>
      <c r="J694" s="19">
        <f>'Sampling Data'!I694</f>
        <v>0</v>
      </c>
      <c r="K694" s="19">
        <f>'Sampling Data'!J694</f>
        <v>0</v>
      </c>
      <c r="L694" s="19">
        <f>'Sampling Data'!K694</f>
        <v>0</v>
      </c>
      <c r="M694" s="19">
        <f>'Sampling Data'!L694</f>
        <v>0</v>
      </c>
      <c r="N694" s="19">
        <f>'Sampling Data'!M694</f>
        <v>0</v>
      </c>
      <c r="O694" s="18">
        <f>'Sampling Data'!N694</f>
        <v>0</v>
      </c>
      <c r="P694" s="18">
        <f>'Sampling Data'!O694</f>
        <v>0</v>
      </c>
      <c r="Q694" s="18">
        <f>'Sampling Data'!P694</f>
        <v>12</v>
      </c>
      <c r="R694" s="18">
        <f>'Sampling Data'!AJ694</f>
        <v>0</v>
      </c>
      <c r="S694" s="112"/>
      <c r="T694" s="112"/>
      <c r="U694" s="113"/>
      <c r="V694" s="113"/>
      <c r="W694" s="112"/>
      <c r="X694" s="112"/>
      <c r="Y694" s="112"/>
      <c r="Z694" s="112"/>
      <c r="AA694" s="15"/>
      <c r="AB694" s="15"/>
      <c r="AC694" s="15"/>
      <c r="AD694" s="15"/>
      <c r="AE694" s="114" t="str">
        <f>IF(NOT(ISBLANK(Audit[[#This Row],[Audit Winning Candidate]])), Audit[[#This Row],[Audit Winning Candidate]]-Audit[[#This Row],[Winning Candidate]], "")</f>
        <v/>
      </c>
      <c r="AF694" s="18" t="str">
        <f>IF(NOT(ISBLANK(Audit[[#This Row],[Audit Losing Candidate]])), Audit[[#This Row],[Audit Losing Candidate]]-Audit[[#This Row],[Losing Candidate]], "")</f>
        <v/>
      </c>
      <c r="AG694" s="18" t="str">
        <f>IF(NOT(ISBLANK(Audit[[#This Row],[Audit Candidate 3]])), Audit[[#This Row],[Audit Candidate 3]]-Audit[[#This Row],[Candidate 3]], "")</f>
        <v/>
      </c>
      <c r="AH694" s="18" t="str">
        <f>IF(NOT(ISBLANK(Audit[[#This Row],[Audit Candidate 4]])),Audit[[#This Row],[Audit Candidate 4]]-Audit[[#This Row],[Candidate 4]], "")</f>
        <v/>
      </c>
      <c r="AI694" s="18" t="str">
        <f>IF(NOT(ISBLANK(Audit[[#This Row],[Audit Candidate 5]])), Audit[[#This Row],[Audit Candidate 5]]-Audit[[#This Row],[Candidate 5]], "")</f>
        <v/>
      </c>
      <c r="AJ694" s="18" t="str">
        <f>IF(NOT(ISBLANK(Audit[[#This Row],[Audit Candidate 6]])), Audit[[#This Row],[Audit Candidate 6]]-Audit[[#This Row],[Candidate 6]], "")</f>
        <v/>
      </c>
      <c r="AK694" s="18" t="str">
        <f>IF(NOT(ISBLANK(Audit[[#This Row],[Audit Candidate 7]])), Audit[[#This Row],[Audit Candidate 7]]-Audit[[#This Row],[Candidate 7]], "")</f>
        <v/>
      </c>
      <c r="AL694" s="18" t="str">
        <f>IF(NOT(ISBLANK(Audit[[#This Row],[Audit Candidate 8]])), Audit[[#This Row],[Audit Candidate 8]]-Audit[[#This Row],[Candidate 8]], "")</f>
        <v/>
      </c>
      <c r="AM694" s="18" t="str">
        <f>IF(NOT(ISBLANK(Audit[[#This Row],[Audit Candidate 9]])), Audit[[#This Row],[Audit Candidate 9]]-Audit[[#This Row],[Candidate 9]], "")</f>
        <v/>
      </c>
      <c r="AN694" s="18" t="str">
        <f>IF(NOT(ISBLANK(Audit[[#This Row],[Audit Candidate 10]])), Audit[[#This Row],[Audit Candidate 10]]-Audit[[#This Row],[Candidate 10]], "")</f>
        <v/>
      </c>
      <c r="AO694" s="18" t="str">
        <f>IF(NOT(ISBLANK(Audit[[#This Row],[Audit Candidate 11]])), Audit[[#This Row],[Audit Candidate 11]]-Audit[[#This Row],[Candidate 11]], "")</f>
        <v/>
      </c>
      <c r="AP694" s="18" t="str">
        <f>IF(NOT(ISBLANK(Audit[[#This Row],[Audit Candidate 12]])), Audit[[#This Row],[Audit Candidate 12]]-Audit[[#This Row],[Candidate 12]], "")</f>
        <v/>
      </c>
      <c r="AQ694" s="18">
        <f>SUMIF(Audit[[#This Row],[Difference Winner]:[Difference Candidate 12]], "&gt;0")</f>
        <v>0</v>
      </c>
      <c r="AR694" s="18">
        <f>SUM(Audit[[#This Row],[Difference Winner]:[Difference Candidate 12]])</f>
        <v>0</v>
      </c>
      <c r="AS694" s="18">
        <f>IF(Audit[[#This Row],[Times p Drawn - With Replacement]]&gt;0, IF(Audit[[#This Row],[Canceled Differences]]&lt;0, Audit[[#This Row],[Max Differences]]+ABS(Audit[[#This Row],[Canceled Differences]]), Audit[[#This Row],[Max Differences]]), 0)</f>
        <v>0</v>
      </c>
      <c r="AT694" s="18">
        <f>'Sampling Data'!AB694</f>
        <v>7.5383987184722177E-4</v>
      </c>
      <c r="AU694" s="18">
        <f>IF(
      SUM(Audit[[#This Row],[Audit Losing Candidate]:[Audit Candidate 12]])
      &lt;&gt;0,
      (Audit[[#This Row],[Winning Candidate]]-Audit[[#This Row],[Losing Candidate]]-(Audit[[#This Row],[Audit Winning Candidate]]-Audit[[#This Row],[Audit Losing Candidate]]))/(Audit[[#Totals],[Winning Candidate]]-Audit[[#Totals],[Losing Candidate]]),
      0
)</f>
        <v>0</v>
      </c>
      <c r="AV6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8">
        <f>IF(Audit[[#This Row],[Max Relative Error (ep)]] = 0, 0, Audit[[#This Row],[Max Relative Error (ep)]]/Audit[[#This Row],[Error Bound (up) - Max. possible relative overstatement]])</f>
        <v>0</v>
      </c>
      <c r="BH6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4" s="18">
        <f t="shared" si="11"/>
        <v>1</v>
      </c>
      <c r="BJ694" s="18">
        <f>PRODUCT($BI$5:BI694)</f>
        <v>0.32656797278968008</v>
      </c>
      <c r="BK694" s="20">
        <f>1 - Audit[[#This Row],[K-M P Value]]</f>
        <v>0.67343202721031992</v>
      </c>
      <c r="BL694" s="18" t="str">
        <f>IF(Audit[[#This Row],[K-M P Value]]&gt;1-'General Info'!$B$12,"Continue", "Stop")</f>
        <v>Continue</v>
      </c>
      <c r="BM694" s="23" t="b">
        <f>IF(Audit[[#This Row],[Status - Continue or stop audit]] = "Continue", TRUE, IF(BL693 = "Continue", TRUE, FALSE))</f>
        <v>1</v>
      </c>
      <c r="BN694" s="23"/>
    </row>
    <row r="695" spans="1:66" ht="15" hidden="1" customHeight="1" x14ac:dyDescent="0.35">
      <c r="A695" s="18" t="str">
        <f>'Sampling Data'!AI695</f>
        <v/>
      </c>
      <c r="B695" s="18" t="str">
        <f>'Sampling Data'!A695</f>
        <v>2104 CIN 21-D   (ED)</v>
      </c>
      <c r="C695" s="18">
        <f>'Sampling Data'!B695</f>
        <v>18</v>
      </c>
      <c r="D695" s="18">
        <f>'Sampling Data'!C695</f>
        <v>1</v>
      </c>
      <c r="E695" s="19">
        <f>'Sampling Data'!D695</f>
        <v>0</v>
      </c>
      <c r="F695" s="19">
        <f>'Sampling Data'!E695</f>
        <v>0</v>
      </c>
      <c r="G695" s="19">
        <f>'Sampling Data'!F695</f>
        <v>0</v>
      </c>
      <c r="H695" s="19">
        <f>'Sampling Data'!G695</f>
        <v>0</v>
      </c>
      <c r="I695" s="19">
        <f>'Sampling Data'!H695</f>
        <v>0</v>
      </c>
      <c r="J695" s="19">
        <f>'Sampling Data'!I695</f>
        <v>0</v>
      </c>
      <c r="K695" s="19">
        <f>'Sampling Data'!J695</f>
        <v>0</v>
      </c>
      <c r="L695" s="19">
        <f>'Sampling Data'!K695</f>
        <v>0</v>
      </c>
      <c r="M695" s="19">
        <f>'Sampling Data'!L695</f>
        <v>0</v>
      </c>
      <c r="N695" s="19">
        <f>'Sampling Data'!M695</f>
        <v>0</v>
      </c>
      <c r="O695" s="18">
        <f>'Sampling Data'!N695</f>
        <v>0</v>
      </c>
      <c r="P695" s="18">
        <f>'Sampling Data'!O695</f>
        <v>0</v>
      </c>
      <c r="Q695" s="18">
        <f>'Sampling Data'!P695</f>
        <v>19</v>
      </c>
      <c r="R695" s="18">
        <f>'Sampling Data'!AJ695</f>
        <v>0</v>
      </c>
      <c r="S695" s="112"/>
      <c r="T695" s="112"/>
      <c r="U695" s="113"/>
      <c r="V695" s="113"/>
      <c r="W695" s="112"/>
      <c r="X695" s="112"/>
      <c r="Y695" s="112"/>
      <c r="Z695" s="112"/>
      <c r="AA695" s="15"/>
      <c r="AB695" s="15"/>
      <c r="AC695" s="15"/>
      <c r="AD695" s="15"/>
      <c r="AE695" s="114" t="str">
        <f>IF(NOT(ISBLANK(Audit[[#This Row],[Audit Winning Candidate]])), Audit[[#This Row],[Audit Winning Candidate]]-Audit[[#This Row],[Winning Candidate]], "")</f>
        <v/>
      </c>
      <c r="AF695" s="18" t="str">
        <f>IF(NOT(ISBLANK(Audit[[#This Row],[Audit Losing Candidate]])), Audit[[#This Row],[Audit Losing Candidate]]-Audit[[#This Row],[Losing Candidate]], "")</f>
        <v/>
      </c>
      <c r="AG695" s="18" t="str">
        <f>IF(NOT(ISBLANK(Audit[[#This Row],[Audit Candidate 3]])), Audit[[#This Row],[Audit Candidate 3]]-Audit[[#This Row],[Candidate 3]], "")</f>
        <v/>
      </c>
      <c r="AH695" s="18" t="str">
        <f>IF(NOT(ISBLANK(Audit[[#This Row],[Audit Candidate 4]])),Audit[[#This Row],[Audit Candidate 4]]-Audit[[#This Row],[Candidate 4]], "")</f>
        <v/>
      </c>
      <c r="AI695" s="18" t="str">
        <f>IF(NOT(ISBLANK(Audit[[#This Row],[Audit Candidate 5]])), Audit[[#This Row],[Audit Candidate 5]]-Audit[[#This Row],[Candidate 5]], "")</f>
        <v/>
      </c>
      <c r="AJ695" s="18" t="str">
        <f>IF(NOT(ISBLANK(Audit[[#This Row],[Audit Candidate 6]])), Audit[[#This Row],[Audit Candidate 6]]-Audit[[#This Row],[Candidate 6]], "")</f>
        <v/>
      </c>
      <c r="AK695" s="18" t="str">
        <f>IF(NOT(ISBLANK(Audit[[#This Row],[Audit Candidate 7]])), Audit[[#This Row],[Audit Candidate 7]]-Audit[[#This Row],[Candidate 7]], "")</f>
        <v/>
      </c>
      <c r="AL695" s="18" t="str">
        <f>IF(NOT(ISBLANK(Audit[[#This Row],[Audit Candidate 8]])), Audit[[#This Row],[Audit Candidate 8]]-Audit[[#This Row],[Candidate 8]], "")</f>
        <v/>
      </c>
      <c r="AM695" s="18" t="str">
        <f>IF(NOT(ISBLANK(Audit[[#This Row],[Audit Candidate 9]])), Audit[[#This Row],[Audit Candidate 9]]-Audit[[#This Row],[Candidate 9]], "")</f>
        <v/>
      </c>
      <c r="AN695" s="18" t="str">
        <f>IF(NOT(ISBLANK(Audit[[#This Row],[Audit Candidate 10]])), Audit[[#This Row],[Audit Candidate 10]]-Audit[[#This Row],[Candidate 10]], "")</f>
        <v/>
      </c>
      <c r="AO695" s="18" t="str">
        <f>IF(NOT(ISBLANK(Audit[[#This Row],[Audit Candidate 11]])), Audit[[#This Row],[Audit Candidate 11]]-Audit[[#This Row],[Candidate 11]], "")</f>
        <v/>
      </c>
      <c r="AP695" s="18" t="str">
        <f>IF(NOT(ISBLANK(Audit[[#This Row],[Audit Candidate 12]])), Audit[[#This Row],[Audit Candidate 12]]-Audit[[#This Row],[Candidate 12]], "")</f>
        <v/>
      </c>
      <c r="AQ695" s="18">
        <f>SUMIF(Audit[[#This Row],[Difference Winner]:[Difference Candidate 12]], "&gt;0")</f>
        <v>0</v>
      </c>
      <c r="AR695" s="18">
        <f>SUM(Audit[[#This Row],[Difference Winner]:[Difference Candidate 12]])</f>
        <v>0</v>
      </c>
      <c r="AS695" s="18">
        <f>IF(Audit[[#This Row],[Times p Drawn - With Replacement]]&gt;0, IF(Audit[[#This Row],[Canceled Differences]]&lt;0, Audit[[#This Row],[Max Differences]]+ABS(Audit[[#This Row],[Canceled Differences]]), Audit[[#This Row],[Max Differences]]), 0)</f>
        <v>0</v>
      </c>
      <c r="AT695" s="18">
        <f>'Sampling Data'!AB695</f>
        <v>1.1307598077708327E-3</v>
      </c>
      <c r="AU695" s="18">
        <f>IF(
      SUM(Audit[[#This Row],[Audit Losing Candidate]:[Audit Candidate 12]])
      &lt;&gt;0,
      (Audit[[#This Row],[Winning Candidate]]-Audit[[#This Row],[Losing Candidate]]-(Audit[[#This Row],[Audit Winning Candidate]]-Audit[[#This Row],[Audit Losing Candidate]]))/(Audit[[#Totals],[Winning Candidate]]-Audit[[#Totals],[Losing Candidate]]),
      0
)</f>
        <v>0</v>
      </c>
      <c r="AV6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8">
        <f>IF(Audit[[#This Row],[Max Relative Error (ep)]] = 0, 0, Audit[[#This Row],[Max Relative Error (ep)]]/Audit[[#This Row],[Error Bound (up) - Max. possible relative overstatement]])</f>
        <v>0</v>
      </c>
      <c r="BH6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5" s="18">
        <f t="shared" si="11"/>
        <v>1</v>
      </c>
      <c r="BJ695" s="18">
        <f>PRODUCT($BI$5:BI695)</f>
        <v>0.32656797278968008</v>
      </c>
      <c r="BK695" s="20">
        <f>1 - Audit[[#This Row],[K-M P Value]]</f>
        <v>0.67343202721031992</v>
      </c>
      <c r="BL695" s="18" t="str">
        <f>IF(Audit[[#This Row],[K-M P Value]]&gt;1-'General Info'!$B$12,"Continue", "Stop")</f>
        <v>Continue</v>
      </c>
      <c r="BM695" s="23" t="b">
        <f>IF(Audit[[#This Row],[Status - Continue or stop audit]] = "Continue", TRUE, IF(BL694 = "Continue", TRUE, FALSE))</f>
        <v>1</v>
      </c>
      <c r="BN695" s="23"/>
    </row>
    <row r="696" spans="1:66" ht="15" hidden="1" customHeight="1" x14ac:dyDescent="0.35">
      <c r="A696" s="18" t="str">
        <f>'Sampling Data'!AI696</f>
        <v/>
      </c>
      <c r="B696" s="18" t="str">
        <f>'Sampling Data'!A696</f>
        <v>2105 CIN 21-E   (ED)</v>
      </c>
      <c r="C696" s="18">
        <f>'Sampling Data'!B696</f>
        <v>1</v>
      </c>
      <c r="D696" s="18">
        <f>'Sampling Data'!C696</f>
        <v>0</v>
      </c>
      <c r="E696" s="19">
        <f>'Sampling Data'!D696</f>
        <v>0</v>
      </c>
      <c r="F696" s="19">
        <f>'Sampling Data'!E696</f>
        <v>0</v>
      </c>
      <c r="G696" s="19">
        <f>'Sampling Data'!F696</f>
        <v>0</v>
      </c>
      <c r="H696" s="19">
        <f>'Sampling Data'!G696</f>
        <v>0</v>
      </c>
      <c r="I696" s="19">
        <f>'Sampling Data'!H696</f>
        <v>0</v>
      </c>
      <c r="J696" s="19">
        <f>'Sampling Data'!I696</f>
        <v>0</v>
      </c>
      <c r="K696" s="19">
        <f>'Sampling Data'!J696</f>
        <v>0</v>
      </c>
      <c r="L696" s="19">
        <f>'Sampling Data'!K696</f>
        <v>0</v>
      </c>
      <c r="M696" s="19">
        <f>'Sampling Data'!L696</f>
        <v>0</v>
      </c>
      <c r="N696" s="19">
        <f>'Sampling Data'!M696</f>
        <v>0</v>
      </c>
      <c r="O696" s="18">
        <f>'Sampling Data'!N696</f>
        <v>0</v>
      </c>
      <c r="P696" s="18">
        <f>'Sampling Data'!O696</f>
        <v>0</v>
      </c>
      <c r="Q696" s="18">
        <f>'Sampling Data'!P696</f>
        <v>1</v>
      </c>
      <c r="R696" s="18">
        <f>'Sampling Data'!AJ696</f>
        <v>0</v>
      </c>
      <c r="S696" s="112"/>
      <c r="T696" s="112"/>
      <c r="U696" s="113"/>
      <c r="V696" s="113"/>
      <c r="W696" s="112"/>
      <c r="X696" s="112"/>
      <c r="Y696" s="112"/>
      <c r="Z696" s="112"/>
      <c r="AA696" s="15"/>
      <c r="AB696" s="15"/>
      <c r="AC696" s="15"/>
      <c r="AD696" s="15"/>
      <c r="AE696" s="114" t="str">
        <f>IF(NOT(ISBLANK(Audit[[#This Row],[Audit Winning Candidate]])), Audit[[#This Row],[Audit Winning Candidate]]-Audit[[#This Row],[Winning Candidate]], "")</f>
        <v/>
      </c>
      <c r="AF696" s="18" t="str">
        <f>IF(NOT(ISBLANK(Audit[[#This Row],[Audit Losing Candidate]])), Audit[[#This Row],[Audit Losing Candidate]]-Audit[[#This Row],[Losing Candidate]], "")</f>
        <v/>
      </c>
      <c r="AG696" s="18" t="str">
        <f>IF(NOT(ISBLANK(Audit[[#This Row],[Audit Candidate 3]])), Audit[[#This Row],[Audit Candidate 3]]-Audit[[#This Row],[Candidate 3]], "")</f>
        <v/>
      </c>
      <c r="AH696" s="18" t="str">
        <f>IF(NOT(ISBLANK(Audit[[#This Row],[Audit Candidate 4]])),Audit[[#This Row],[Audit Candidate 4]]-Audit[[#This Row],[Candidate 4]], "")</f>
        <v/>
      </c>
      <c r="AI696" s="18" t="str">
        <f>IF(NOT(ISBLANK(Audit[[#This Row],[Audit Candidate 5]])), Audit[[#This Row],[Audit Candidate 5]]-Audit[[#This Row],[Candidate 5]], "")</f>
        <v/>
      </c>
      <c r="AJ696" s="18" t="str">
        <f>IF(NOT(ISBLANK(Audit[[#This Row],[Audit Candidate 6]])), Audit[[#This Row],[Audit Candidate 6]]-Audit[[#This Row],[Candidate 6]], "")</f>
        <v/>
      </c>
      <c r="AK696" s="18" t="str">
        <f>IF(NOT(ISBLANK(Audit[[#This Row],[Audit Candidate 7]])), Audit[[#This Row],[Audit Candidate 7]]-Audit[[#This Row],[Candidate 7]], "")</f>
        <v/>
      </c>
      <c r="AL696" s="18" t="str">
        <f>IF(NOT(ISBLANK(Audit[[#This Row],[Audit Candidate 8]])), Audit[[#This Row],[Audit Candidate 8]]-Audit[[#This Row],[Candidate 8]], "")</f>
        <v/>
      </c>
      <c r="AM696" s="18" t="str">
        <f>IF(NOT(ISBLANK(Audit[[#This Row],[Audit Candidate 9]])), Audit[[#This Row],[Audit Candidate 9]]-Audit[[#This Row],[Candidate 9]], "")</f>
        <v/>
      </c>
      <c r="AN696" s="18" t="str">
        <f>IF(NOT(ISBLANK(Audit[[#This Row],[Audit Candidate 10]])), Audit[[#This Row],[Audit Candidate 10]]-Audit[[#This Row],[Candidate 10]], "")</f>
        <v/>
      </c>
      <c r="AO696" s="18" t="str">
        <f>IF(NOT(ISBLANK(Audit[[#This Row],[Audit Candidate 11]])), Audit[[#This Row],[Audit Candidate 11]]-Audit[[#This Row],[Candidate 11]], "")</f>
        <v/>
      </c>
      <c r="AP696" s="18" t="str">
        <f>IF(NOT(ISBLANK(Audit[[#This Row],[Audit Candidate 12]])), Audit[[#This Row],[Audit Candidate 12]]-Audit[[#This Row],[Candidate 12]], "")</f>
        <v/>
      </c>
      <c r="AQ696" s="18">
        <f>SUMIF(Audit[[#This Row],[Difference Winner]:[Difference Candidate 12]], "&gt;0")</f>
        <v>0</v>
      </c>
      <c r="AR696" s="18">
        <f>SUM(Audit[[#This Row],[Difference Winner]:[Difference Candidate 12]])</f>
        <v>0</v>
      </c>
      <c r="AS696" s="18">
        <f>IF(Audit[[#This Row],[Times p Drawn - With Replacement]]&gt;0, IF(Audit[[#This Row],[Canceled Differences]]&lt;0, Audit[[#This Row],[Max Differences]]+ABS(Audit[[#This Row],[Canceled Differences]]), Audit[[#This Row],[Max Differences]]), 0)</f>
        <v>0</v>
      </c>
      <c r="AT696" s="18">
        <f>'Sampling Data'!AB696</f>
        <v>6.2819989320601809E-5</v>
      </c>
      <c r="AU696" s="18">
        <f>IF(
      SUM(Audit[[#This Row],[Audit Losing Candidate]:[Audit Candidate 12]])
      &lt;&gt;0,
      (Audit[[#This Row],[Winning Candidate]]-Audit[[#This Row],[Losing Candidate]]-(Audit[[#This Row],[Audit Winning Candidate]]-Audit[[#This Row],[Audit Losing Candidate]]))/(Audit[[#Totals],[Winning Candidate]]-Audit[[#Totals],[Losing Candidate]]),
      0
)</f>
        <v>0</v>
      </c>
      <c r="AV6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8">
        <f>IF(Audit[[#This Row],[Max Relative Error (ep)]] = 0, 0, Audit[[#This Row],[Max Relative Error (ep)]]/Audit[[#This Row],[Error Bound (up) - Max. possible relative overstatement]])</f>
        <v>0</v>
      </c>
      <c r="BH6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6" s="18">
        <f t="shared" si="11"/>
        <v>1</v>
      </c>
      <c r="BJ696" s="18">
        <f>PRODUCT($BI$5:BI696)</f>
        <v>0.32656797278968008</v>
      </c>
      <c r="BK696" s="20">
        <f>1 - Audit[[#This Row],[K-M P Value]]</f>
        <v>0.67343202721031992</v>
      </c>
      <c r="BL696" s="18" t="str">
        <f>IF(Audit[[#This Row],[K-M P Value]]&gt;1-'General Info'!$B$12,"Continue", "Stop")</f>
        <v>Continue</v>
      </c>
      <c r="BM696" s="23" t="b">
        <f>IF(Audit[[#This Row],[Status - Continue or stop audit]] = "Continue", TRUE, IF(BL695 = "Continue", TRUE, FALSE))</f>
        <v>1</v>
      </c>
      <c r="BN696" s="23"/>
    </row>
    <row r="697" spans="1:66" ht="15" hidden="1" customHeight="1" x14ac:dyDescent="0.35">
      <c r="A697" s="18" t="str">
        <f>'Sampling Data'!AI697</f>
        <v/>
      </c>
      <c r="B697" s="18" t="str">
        <f>'Sampling Data'!A697</f>
        <v>2201 CIN 22-A   (ED)</v>
      </c>
      <c r="C697" s="18">
        <f>'Sampling Data'!B697</f>
        <v>9</v>
      </c>
      <c r="D697" s="18">
        <f>'Sampling Data'!C697</f>
        <v>3</v>
      </c>
      <c r="E697" s="19">
        <f>'Sampling Data'!D697</f>
        <v>0</v>
      </c>
      <c r="F697" s="19">
        <f>'Sampling Data'!E697</f>
        <v>0</v>
      </c>
      <c r="G697" s="19">
        <f>'Sampling Data'!F697</f>
        <v>0</v>
      </c>
      <c r="H697" s="19">
        <f>'Sampling Data'!G697</f>
        <v>0</v>
      </c>
      <c r="I697" s="19">
        <f>'Sampling Data'!H697</f>
        <v>0</v>
      </c>
      <c r="J697" s="19">
        <f>'Sampling Data'!I697</f>
        <v>0</v>
      </c>
      <c r="K697" s="19">
        <f>'Sampling Data'!J697</f>
        <v>0</v>
      </c>
      <c r="L697" s="19">
        <f>'Sampling Data'!K697</f>
        <v>0</v>
      </c>
      <c r="M697" s="19">
        <f>'Sampling Data'!L697</f>
        <v>0</v>
      </c>
      <c r="N697" s="19">
        <f>'Sampling Data'!M697</f>
        <v>0</v>
      </c>
      <c r="O697" s="18">
        <f>'Sampling Data'!N697</f>
        <v>0</v>
      </c>
      <c r="P697" s="18">
        <f>'Sampling Data'!O697</f>
        <v>0</v>
      </c>
      <c r="Q697" s="18">
        <f>'Sampling Data'!P697</f>
        <v>12</v>
      </c>
      <c r="R697" s="18">
        <f>'Sampling Data'!AJ697</f>
        <v>0</v>
      </c>
      <c r="S697" s="112"/>
      <c r="T697" s="112"/>
      <c r="U697" s="113"/>
      <c r="V697" s="113"/>
      <c r="W697" s="112"/>
      <c r="X697" s="112"/>
      <c r="Y697" s="112"/>
      <c r="Z697" s="112"/>
      <c r="AA697" s="15"/>
      <c r="AB697" s="15"/>
      <c r="AC697" s="15"/>
      <c r="AD697" s="15"/>
      <c r="AE697" s="114" t="str">
        <f>IF(NOT(ISBLANK(Audit[[#This Row],[Audit Winning Candidate]])), Audit[[#This Row],[Audit Winning Candidate]]-Audit[[#This Row],[Winning Candidate]], "")</f>
        <v/>
      </c>
      <c r="AF697" s="18" t="str">
        <f>IF(NOT(ISBLANK(Audit[[#This Row],[Audit Losing Candidate]])), Audit[[#This Row],[Audit Losing Candidate]]-Audit[[#This Row],[Losing Candidate]], "")</f>
        <v/>
      </c>
      <c r="AG697" s="18" t="str">
        <f>IF(NOT(ISBLANK(Audit[[#This Row],[Audit Candidate 3]])), Audit[[#This Row],[Audit Candidate 3]]-Audit[[#This Row],[Candidate 3]], "")</f>
        <v/>
      </c>
      <c r="AH697" s="18" t="str">
        <f>IF(NOT(ISBLANK(Audit[[#This Row],[Audit Candidate 4]])),Audit[[#This Row],[Audit Candidate 4]]-Audit[[#This Row],[Candidate 4]], "")</f>
        <v/>
      </c>
      <c r="AI697" s="18" t="str">
        <f>IF(NOT(ISBLANK(Audit[[#This Row],[Audit Candidate 5]])), Audit[[#This Row],[Audit Candidate 5]]-Audit[[#This Row],[Candidate 5]], "")</f>
        <v/>
      </c>
      <c r="AJ697" s="18" t="str">
        <f>IF(NOT(ISBLANK(Audit[[#This Row],[Audit Candidate 6]])), Audit[[#This Row],[Audit Candidate 6]]-Audit[[#This Row],[Candidate 6]], "")</f>
        <v/>
      </c>
      <c r="AK697" s="18" t="str">
        <f>IF(NOT(ISBLANK(Audit[[#This Row],[Audit Candidate 7]])), Audit[[#This Row],[Audit Candidate 7]]-Audit[[#This Row],[Candidate 7]], "")</f>
        <v/>
      </c>
      <c r="AL697" s="18" t="str">
        <f>IF(NOT(ISBLANK(Audit[[#This Row],[Audit Candidate 8]])), Audit[[#This Row],[Audit Candidate 8]]-Audit[[#This Row],[Candidate 8]], "")</f>
        <v/>
      </c>
      <c r="AM697" s="18" t="str">
        <f>IF(NOT(ISBLANK(Audit[[#This Row],[Audit Candidate 9]])), Audit[[#This Row],[Audit Candidate 9]]-Audit[[#This Row],[Candidate 9]], "")</f>
        <v/>
      </c>
      <c r="AN697" s="18" t="str">
        <f>IF(NOT(ISBLANK(Audit[[#This Row],[Audit Candidate 10]])), Audit[[#This Row],[Audit Candidate 10]]-Audit[[#This Row],[Candidate 10]], "")</f>
        <v/>
      </c>
      <c r="AO697" s="18" t="str">
        <f>IF(NOT(ISBLANK(Audit[[#This Row],[Audit Candidate 11]])), Audit[[#This Row],[Audit Candidate 11]]-Audit[[#This Row],[Candidate 11]], "")</f>
        <v/>
      </c>
      <c r="AP697" s="18" t="str">
        <f>IF(NOT(ISBLANK(Audit[[#This Row],[Audit Candidate 12]])), Audit[[#This Row],[Audit Candidate 12]]-Audit[[#This Row],[Candidate 12]], "")</f>
        <v/>
      </c>
      <c r="AQ697" s="18">
        <f>SUMIF(Audit[[#This Row],[Difference Winner]:[Difference Candidate 12]], "&gt;0")</f>
        <v>0</v>
      </c>
      <c r="AR697" s="18">
        <f>SUM(Audit[[#This Row],[Difference Winner]:[Difference Candidate 12]])</f>
        <v>0</v>
      </c>
      <c r="AS697" s="18">
        <f>IF(Audit[[#This Row],[Times p Drawn - With Replacement]]&gt;0, IF(Audit[[#This Row],[Canceled Differences]]&lt;0, Audit[[#This Row],[Max Differences]]+ABS(Audit[[#This Row],[Canceled Differences]]), Audit[[#This Row],[Max Differences]]), 0)</f>
        <v>0</v>
      </c>
      <c r="AT697" s="18">
        <f>'Sampling Data'!AB697</f>
        <v>5.6537990388541635E-4</v>
      </c>
      <c r="AU697" s="18">
        <f>IF(
      SUM(Audit[[#This Row],[Audit Losing Candidate]:[Audit Candidate 12]])
      &lt;&gt;0,
      (Audit[[#This Row],[Winning Candidate]]-Audit[[#This Row],[Losing Candidate]]-(Audit[[#This Row],[Audit Winning Candidate]]-Audit[[#This Row],[Audit Losing Candidate]]))/(Audit[[#Totals],[Winning Candidate]]-Audit[[#Totals],[Losing Candidate]]),
      0
)</f>
        <v>0</v>
      </c>
      <c r="AV6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8">
        <f>IF(Audit[[#This Row],[Max Relative Error (ep)]] = 0, 0, Audit[[#This Row],[Max Relative Error (ep)]]/Audit[[#This Row],[Error Bound (up) - Max. possible relative overstatement]])</f>
        <v>0</v>
      </c>
      <c r="BH6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7" s="18">
        <f t="shared" si="11"/>
        <v>1</v>
      </c>
      <c r="BJ697" s="18">
        <f>PRODUCT($BI$5:BI697)</f>
        <v>0.32656797278968008</v>
      </c>
      <c r="BK697" s="20">
        <f>1 - Audit[[#This Row],[K-M P Value]]</f>
        <v>0.67343202721031992</v>
      </c>
      <c r="BL697" s="18" t="str">
        <f>IF(Audit[[#This Row],[K-M P Value]]&gt;1-'General Info'!$B$12,"Continue", "Stop")</f>
        <v>Continue</v>
      </c>
      <c r="BM697" s="23" t="b">
        <f>IF(Audit[[#This Row],[Status - Continue or stop audit]] = "Continue", TRUE, IF(BL696 = "Continue", TRUE, FALSE))</f>
        <v>1</v>
      </c>
      <c r="BN697" s="23"/>
    </row>
    <row r="698" spans="1:66" ht="15" hidden="1" customHeight="1" x14ac:dyDescent="0.35">
      <c r="A698" s="18" t="str">
        <f>'Sampling Data'!AI698</f>
        <v/>
      </c>
      <c r="B698" s="18" t="str">
        <f>'Sampling Data'!A698</f>
        <v>2202 CIN 22-B   (ED)</v>
      </c>
      <c r="C698" s="18">
        <f>'Sampling Data'!B698</f>
        <v>8</v>
      </c>
      <c r="D698" s="18">
        <f>'Sampling Data'!C698</f>
        <v>1</v>
      </c>
      <c r="E698" s="19">
        <f>'Sampling Data'!D698</f>
        <v>0</v>
      </c>
      <c r="F698" s="19">
        <f>'Sampling Data'!E698</f>
        <v>0</v>
      </c>
      <c r="G698" s="19">
        <f>'Sampling Data'!F698</f>
        <v>0</v>
      </c>
      <c r="H698" s="19">
        <f>'Sampling Data'!G698</f>
        <v>0</v>
      </c>
      <c r="I698" s="19">
        <f>'Sampling Data'!H698</f>
        <v>0</v>
      </c>
      <c r="J698" s="19">
        <f>'Sampling Data'!I698</f>
        <v>0</v>
      </c>
      <c r="K698" s="19">
        <f>'Sampling Data'!J698</f>
        <v>0</v>
      </c>
      <c r="L698" s="19">
        <f>'Sampling Data'!K698</f>
        <v>0</v>
      </c>
      <c r="M698" s="19">
        <f>'Sampling Data'!L698</f>
        <v>0</v>
      </c>
      <c r="N698" s="19">
        <f>'Sampling Data'!M698</f>
        <v>0</v>
      </c>
      <c r="O698" s="18">
        <f>'Sampling Data'!N698</f>
        <v>0</v>
      </c>
      <c r="P698" s="18">
        <f>'Sampling Data'!O698</f>
        <v>0</v>
      </c>
      <c r="Q698" s="18">
        <f>'Sampling Data'!P698</f>
        <v>9</v>
      </c>
      <c r="R698" s="18">
        <f>'Sampling Data'!AJ698</f>
        <v>0</v>
      </c>
      <c r="S698" s="112"/>
      <c r="T698" s="112"/>
      <c r="U698" s="113"/>
      <c r="V698" s="113"/>
      <c r="W698" s="112"/>
      <c r="X698" s="112"/>
      <c r="Y698" s="112"/>
      <c r="Z698" s="112"/>
      <c r="AA698" s="15"/>
      <c r="AB698" s="15"/>
      <c r="AC698" s="15"/>
      <c r="AD698" s="15"/>
      <c r="AE698" s="114" t="str">
        <f>IF(NOT(ISBLANK(Audit[[#This Row],[Audit Winning Candidate]])), Audit[[#This Row],[Audit Winning Candidate]]-Audit[[#This Row],[Winning Candidate]], "")</f>
        <v/>
      </c>
      <c r="AF698" s="18" t="str">
        <f>IF(NOT(ISBLANK(Audit[[#This Row],[Audit Losing Candidate]])), Audit[[#This Row],[Audit Losing Candidate]]-Audit[[#This Row],[Losing Candidate]], "")</f>
        <v/>
      </c>
      <c r="AG698" s="18" t="str">
        <f>IF(NOT(ISBLANK(Audit[[#This Row],[Audit Candidate 3]])), Audit[[#This Row],[Audit Candidate 3]]-Audit[[#This Row],[Candidate 3]], "")</f>
        <v/>
      </c>
      <c r="AH698" s="18" t="str">
        <f>IF(NOT(ISBLANK(Audit[[#This Row],[Audit Candidate 4]])),Audit[[#This Row],[Audit Candidate 4]]-Audit[[#This Row],[Candidate 4]], "")</f>
        <v/>
      </c>
      <c r="AI698" s="18" t="str">
        <f>IF(NOT(ISBLANK(Audit[[#This Row],[Audit Candidate 5]])), Audit[[#This Row],[Audit Candidate 5]]-Audit[[#This Row],[Candidate 5]], "")</f>
        <v/>
      </c>
      <c r="AJ698" s="18" t="str">
        <f>IF(NOT(ISBLANK(Audit[[#This Row],[Audit Candidate 6]])), Audit[[#This Row],[Audit Candidate 6]]-Audit[[#This Row],[Candidate 6]], "")</f>
        <v/>
      </c>
      <c r="AK698" s="18" t="str">
        <f>IF(NOT(ISBLANK(Audit[[#This Row],[Audit Candidate 7]])), Audit[[#This Row],[Audit Candidate 7]]-Audit[[#This Row],[Candidate 7]], "")</f>
        <v/>
      </c>
      <c r="AL698" s="18" t="str">
        <f>IF(NOT(ISBLANK(Audit[[#This Row],[Audit Candidate 8]])), Audit[[#This Row],[Audit Candidate 8]]-Audit[[#This Row],[Candidate 8]], "")</f>
        <v/>
      </c>
      <c r="AM698" s="18" t="str">
        <f>IF(NOT(ISBLANK(Audit[[#This Row],[Audit Candidate 9]])), Audit[[#This Row],[Audit Candidate 9]]-Audit[[#This Row],[Candidate 9]], "")</f>
        <v/>
      </c>
      <c r="AN698" s="18" t="str">
        <f>IF(NOT(ISBLANK(Audit[[#This Row],[Audit Candidate 10]])), Audit[[#This Row],[Audit Candidate 10]]-Audit[[#This Row],[Candidate 10]], "")</f>
        <v/>
      </c>
      <c r="AO698" s="18" t="str">
        <f>IF(NOT(ISBLANK(Audit[[#This Row],[Audit Candidate 11]])), Audit[[#This Row],[Audit Candidate 11]]-Audit[[#This Row],[Candidate 11]], "")</f>
        <v/>
      </c>
      <c r="AP698" s="18" t="str">
        <f>IF(NOT(ISBLANK(Audit[[#This Row],[Audit Candidate 12]])), Audit[[#This Row],[Audit Candidate 12]]-Audit[[#This Row],[Candidate 12]], "")</f>
        <v/>
      </c>
      <c r="AQ698" s="18">
        <f>SUMIF(Audit[[#This Row],[Difference Winner]:[Difference Candidate 12]], "&gt;0")</f>
        <v>0</v>
      </c>
      <c r="AR698" s="18">
        <f>SUM(Audit[[#This Row],[Difference Winner]:[Difference Candidate 12]])</f>
        <v>0</v>
      </c>
      <c r="AS698" s="18">
        <f>IF(Audit[[#This Row],[Times p Drawn - With Replacement]]&gt;0, IF(Audit[[#This Row],[Canceled Differences]]&lt;0, Audit[[#This Row],[Max Differences]]+ABS(Audit[[#This Row],[Canceled Differences]]), Audit[[#This Row],[Max Differences]]), 0)</f>
        <v>0</v>
      </c>
      <c r="AT698" s="18">
        <f>'Sampling Data'!AB698</f>
        <v>5.0255991456481448E-4</v>
      </c>
      <c r="AU698" s="18">
        <f>IF(
      SUM(Audit[[#This Row],[Audit Losing Candidate]:[Audit Candidate 12]])
      &lt;&gt;0,
      (Audit[[#This Row],[Winning Candidate]]-Audit[[#This Row],[Losing Candidate]]-(Audit[[#This Row],[Audit Winning Candidate]]-Audit[[#This Row],[Audit Losing Candidate]]))/(Audit[[#Totals],[Winning Candidate]]-Audit[[#Totals],[Losing Candidate]]),
      0
)</f>
        <v>0</v>
      </c>
      <c r="AV6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8">
        <f>IF(Audit[[#This Row],[Max Relative Error (ep)]] = 0, 0, Audit[[#This Row],[Max Relative Error (ep)]]/Audit[[#This Row],[Error Bound (up) - Max. possible relative overstatement]])</f>
        <v>0</v>
      </c>
      <c r="BH6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8" s="18">
        <f t="shared" si="11"/>
        <v>1</v>
      </c>
      <c r="BJ698" s="18">
        <f>PRODUCT($BI$5:BI698)</f>
        <v>0.32656797278968008</v>
      </c>
      <c r="BK698" s="20">
        <f>1 - Audit[[#This Row],[K-M P Value]]</f>
        <v>0.67343202721031992</v>
      </c>
      <c r="BL698" s="18" t="str">
        <f>IF(Audit[[#This Row],[K-M P Value]]&gt;1-'General Info'!$B$12,"Continue", "Stop")</f>
        <v>Continue</v>
      </c>
      <c r="BM698" s="23" t="b">
        <f>IF(Audit[[#This Row],[Status - Continue or stop audit]] = "Continue", TRUE, IF(BL697 = "Continue", TRUE, FALSE))</f>
        <v>1</v>
      </c>
      <c r="BN698" s="23"/>
    </row>
    <row r="699" spans="1:66" ht="15" hidden="1" customHeight="1" x14ac:dyDescent="0.35">
      <c r="A699" s="18" t="str">
        <f>'Sampling Data'!AI699</f>
        <v/>
      </c>
      <c r="B699" s="18" t="str">
        <f>'Sampling Data'!A699</f>
        <v>2203 CIN 22-C   (ED)</v>
      </c>
      <c r="C699" s="18">
        <f>'Sampling Data'!B699</f>
        <v>6</v>
      </c>
      <c r="D699" s="18">
        <f>'Sampling Data'!C699</f>
        <v>0</v>
      </c>
      <c r="E699" s="19">
        <f>'Sampling Data'!D699</f>
        <v>0</v>
      </c>
      <c r="F699" s="19">
        <f>'Sampling Data'!E699</f>
        <v>0</v>
      </c>
      <c r="G699" s="19">
        <f>'Sampling Data'!F699</f>
        <v>0</v>
      </c>
      <c r="H699" s="19">
        <f>'Sampling Data'!G699</f>
        <v>0</v>
      </c>
      <c r="I699" s="19">
        <f>'Sampling Data'!H699</f>
        <v>0</v>
      </c>
      <c r="J699" s="19">
        <f>'Sampling Data'!I699</f>
        <v>0</v>
      </c>
      <c r="K699" s="19">
        <f>'Sampling Data'!J699</f>
        <v>0</v>
      </c>
      <c r="L699" s="19">
        <f>'Sampling Data'!K699</f>
        <v>0</v>
      </c>
      <c r="M699" s="19">
        <f>'Sampling Data'!L699</f>
        <v>0</v>
      </c>
      <c r="N699" s="19">
        <f>'Sampling Data'!M699</f>
        <v>0</v>
      </c>
      <c r="O699" s="18">
        <f>'Sampling Data'!N699</f>
        <v>0</v>
      </c>
      <c r="P699" s="18">
        <f>'Sampling Data'!O699</f>
        <v>1</v>
      </c>
      <c r="Q699" s="18">
        <f>'Sampling Data'!P699</f>
        <v>7</v>
      </c>
      <c r="R699" s="18">
        <f>'Sampling Data'!AJ699</f>
        <v>0</v>
      </c>
      <c r="S699" s="112"/>
      <c r="T699" s="112"/>
      <c r="U699" s="113"/>
      <c r="V699" s="113"/>
      <c r="W699" s="112"/>
      <c r="X699" s="112"/>
      <c r="Y699" s="112"/>
      <c r="Z699" s="112"/>
      <c r="AA699" s="15"/>
      <c r="AB699" s="15"/>
      <c r="AC699" s="15"/>
      <c r="AD699" s="15"/>
      <c r="AE699" s="114" t="str">
        <f>IF(NOT(ISBLANK(Audit[[#This Row],[Audit Winning Candidate]])), Audit[[#This Row],[Audit Winning Candidate]]-Audit[[#This Row],[Winning Candidate]], "")</f>
        <v/>
      </c>
      <c r="AF699" s="18" t="str">
        <f>IF(NOT(ISBLANK(Audit[[#This Row],[Audit Losing Candidate]])), Audit[[#This Row],[Audit Losing Candidate]]-Audit[[#This Row],[Losing Candidate]], "")</f>
        <v/>
      </c>
      <c r="AG699" s="18" t="str">
        <f>IF(NOT(ISBLANK(Audit[[#This Row],[Audit Candidate 3]])), Audit[[#This Row],[Audit Candidate 3]]-Audit[[#This Row],[Candidate 3]], "")</f>
        <v/>
      </c>
      <c r="AH699" s="18" t="str">
        <f>IF(NOT(ISBLANK(Audit[[#This Row],[Audit Candidate 4]])),Audit[[#This Row],[Audit Candidate 4]]-Audit[[#This Row],[Candidate 4]], "")</f>
        <v/>
      </c>
      <c r="AI699" s="18" t="str">
        <f>IF(NOT(ISBLANK(Audit[[#This Row],[Audit Candidate 5]])), Audit[[#This Row],[Audit Candidate 5]]-Audit[[#This Row],[Candidate 5]], "")</f>
        <v/>
      </c>
      <c r="AJ699" s="18" t="str">
        <f>IF(NOT(ISBLANK(Audit[[#This Row],[Audit Candidate 6]])), Audit[[#This Row],[Audit Candidate 6]]-Audit[[#This Row],[Candidate 6]], "")</f>
        <v/>
      </c>
      <c r="AK699" s="18" t="str">
        <f>IF(NOT(ISBLANK(Audit[[#This Row],[Audit Candidate 7]])), Audit[[#This Row],[Audit Candidate 7]]-Audit[[#This Row],[Candidate 7]], "")</f>
        <v/>
      </c>
      <c r="AL699" s="18" t="str">
        <f>IF(NOT(ISBLANK(Audit[[#This Row],[Audit Candidate 8]])), Audit[[#This Row],[Audit Candidate 8]]-Audit[[#This Row],[Candidate 8]], "")</f>
        <v/>
      </c>
      <c r="AM699" s="18" t="str">
        <f>IF(NOT(ISBLANK(Audit[[#This Row],[Audit Candidate 9]])), Audit[[#This Row],[Audit Candidate 9]]-Audit[[#This Row],[Candidate 9]], "")</f>
        <v/>
      </c>
      <c r="AN699" s="18" t="str">
        <f>IF(NOT(ISBLANK(Audit[[#This Row],[Audit Candidate 10]])), Audit[[#This Row],[Audit Candidate 10]]-Audit[[#This Row],[Candidate 10]], "")</f>
        <v/>
      </c>
      <c r="AO699" s="18" t="str">
        <f>IF(NOT(ISBLANK(Audit[[#This Row],[Audit Candidate 11]])), Audit[[#This Row],[Audit Candidate 11]]-Audit[[#This Row],[Candidate 11]], "")</f>
        <v/>
      </c>
      <c r="AP699" s="18" t="str">
        <f>IF(NOT(ISBLANK(Audit[[#This Row],[Audit Candidate 12]])), Audit[[#This Row],[Audit Candidate 12]]-Audit[[#This Row],[Candidate 12]], "")</f>
        <v/>
      </c>
      <c r="AQ699" s="18">
        <f>SUMIF(Audit[[#This Row],[Difference Winner]:[Difference Candidate 12]], "&gt;0")</f>
        <v>0</v>
      </c>
      <c r="AR699" s="18">
        <f>SUM(Audit[[#This Row],[Difference Winner]:[Difference Candidate 12]])</f>
        <v>0</v>
      </c>
      <c r="AS699" s="18">
        <f>IF(Audit[[#This Row],[Times p Drawn - With Replacement]]&gt;0, IF(Audit[[#This Row],[Canceled Differences]]&lt;0, Audit[[#This Row],[Max Differences]]+ABS(Audit[[#This Row],[Canceled Differences]]), Audit[[#This Row],[Max Differences]]), 0)</f>
        <v>0</v>
      </c>
      <c r="AT699" s="18">
        <f>'Sampling Data'!AB699</f>
        <v>4.0832993058391182E-4</v>
      </c>
      <c r="AU699" s="18">
        <f>IF(
      SUM(Audit[[#This Row],[Audit Losing Candidate]:[Audit Candidate 12]])
      &lt;&gt;0,
      (Audit[[#This Row],[Winning Candidate]]-Audit[[#This Row],[Losing Candidate]]-(Audit[[#This Row],[Audit Winning Candidate]]-Audit[[#This Row],[Audit Losing Candidate]]))/(Audit[[#Totals],[Winning Candidate]]-Audit[[#Totals],[Losing Candidate]]),
      0
)</f>
        <v>0</v>
      </c>
      <c r="AV6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8">
        <f>IF(Audit[[#This Row],[Max Relative Error (ep)]] = 0, 0, Audit[[#This Row],[Max Relative Error (ep)]]/Audit[[#This Row],[Error Bound (up) - Max. possible relative overstatement]])</f>
        <v>0</v>
      </c>
      <c r="BH6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699" s="18">
        <f t="shared" si="11"/>
        <v>1</v>
      </c>
      <c r="BJ699" s="18">
        <f>PRODUCT($BI$5:BI699)</f>
        <v>0.32656797278968008</v>
      </c>
      <c r="BK699" s="20">
        <f>1 - Audit[[#This Row],[K-M P Value]]</f>
        <v>0.67343202721031992</v>
      </c>
      <c r="BL699" s="18" t="str">
        <f>IF(Audit[[#This Row],[K-M P Value]]&gt;1-'General Info'!$B$12,"Continue", "Stop")</f>
        <v>Continue</v>
      </c>
      <c r="BM699" s="23" t="b">
        <f>IF(Audit[[#This Row],[Status - Continue or stop audit]] = "Continue", TRUE, IF(BL698 = "Continue", TRUE, FALSE))</f>
        <v>1</v>
      </c>
      <c r="BN699" s="23"/>
    </row>
    <row r="700" spans="1:66" ht="15" hidden="1" customHeight="1" x14ac:dyDescent="0.35">
      <c r="A700" s="18" t="str">
        <f>'Sampling Data'!AI700</f>
        <v/>
      </c>
      <c r="B700" s="18" t="str">
        <f>'Sampling Data'!A700</f>
        <v>2301 CIN 23-A   (ED)</v>
      </c>
      <c r="C700" s="18">
        <f>'Sampling Data'!B700</f>
        <v>21</v>
      </c>
      <c r="D700" s="18">
        <f>'Sampling Data'!C700</f>
        <v>2</v>
      </c>
      <c r="E700" s="19">
        <f>'Sampling Data'!D700</f>
        <v>0</v>
      </c>
      <c r="F700" s="19">
        <f>'Sampling Data'!E700</f>
        <v>0</v>
      </c>
      <c r="G700" s="19">
        <f>'Sampling Data'!F700</f>
        <v>0</v>
      </c>
      <c r="H700" s="19">
        <f>'Sampling Data'!G700</f>
        <v>0</v>
      </c>
      <c r="I700" s="19">
        <f>'Sampling Data'!H700</f>
        <v>0</v>
      </c>
      <c r="J700" s="19">
        <f>'Sampling Data'!I700</f>
        <v>0</v>
      </c>
      <c r="K700" s="19">
        <f>'Sampling Data'!J700</f>
        <v>0</v>
      </c>
      <c r="L700" s="19">
        <f>'Sampling Data'!K700</f>
        <v>0</v>
      </c>
      <c r="M700" s="19">
        <f>'Sampling Data'!L700</f>
        <v>0</v>
      </c>
      <c r="N700" s="19">
        <f>'Sampling Data'!M700</f>
        <v>0</v>
      </c>
      <c r="O700" s="18">
        <f>'Sampling Data'!N700</f>
        <v>1</v>
      </c>
      <c r="P700" s="18">
        <f>'Sampling Data'!O700</f>
        <v>1</v>
      </c>
      <c r="Q700" s="18">
        <f>'Sampling Data'!P700</f>
        <v>25</v>
      </c>
      <c r="R700" s="18">
        <f>'Sampling Data'!AJ700</f>
        <v>0</v>
      </c>
      <c r="S700" s="112"/>
      <c r="T700" s="112"/>
      <c r="U700" s="113"/>
      <c r="V700" s="113"/>
      <c r="W700" s="112"/>
      <c r="X700" s="112"/>
      <c r="Y700" s="112"/>
      <c r="Z700" s="112"/>
      <c r="AA700" s="15"/>
      <c r="AB700" s="15"/>
      <c r="AC700" s="15"/>
      <c r="AD700" s="15"/>
      <c r="AE700" s="114" t="str">
        <f>IF(NOT(ISBLANK(Audit[[#This Row],[Audit Winning Candidate]])), Audit[[#This Row],[Audit Winning Candidate]]-Audit[[#This Row],[Winning Candidate]], "")</f>
        <v/>
      </c>
      <c r="AF700" s="18" t="str">
        <f>IF(NOT(ISBLANK(Audit[[#This Row],[Audit Losing Candidate]])), Audit[[#This Row],[Audit Losing Candidate]]-Audit[[#This Row],[Losing Candidate]], "")</f>
        <v/>
      </c>
      <c r="AG700" s="18" t="str">
        <f>IF(NOT(ISBLANK(Audit[[#This Row],[Audit Candidate 3]])), Audit[[#This Row],[Audit Candidate 3]]-Audit[[#This Row],[Candidate 3]], "")</f>
        <v/>
      </c>
      <c r="AH700" s="18" t="str">
        <f>IF(NOT(ISBLANK(Audit[[#This Row],[Audit Candidate 4]])),Audit[[#This Row],[Audit Candidate 4]]-Audit[[#This Row],[Candidate 4]], "")</f>
        <v/>
      </c>
      <c r="AI700" s="18" t="str">
        <f>IF(NOT(ISBLANK(Audit[[#This Row],[Audit Candidate 5]])), Audit[[#This Row],[Audit Candidate 5]]-Audit[[#This Row],[Candidate 5]], "")</f>
        <v/>
      </c>
      <c r="AJ700" s="18" t="str">
        <f>IF(NOT(ISBLANK(Audit[[#This Row],[Audit Candidate 6]])), Audit[[#This Row],[Audit Candidate 6]]-Audit[[#This Row],[Candidate 6]], "")</f>
        <v/>
      </c>
      <c r="AK700" s="18" t="str">
        <f>IF(NOT(ISBLANK(Audit[[#This Row],[Audit Candidate 7]])), Audit[[#This Row],[Audit Candidate 7]]-Audit[[#This Row],[Candidate 7]], "")</f>
        <v/>
      </c>
      <c r="AL700" s="18" t="str">
        <f>IF(NOT(ISBLANK(Audit[[#This Row],[Audit Candidate 8]])), Audit[[#This Row],[Audit Candidate 8]]-Audit[[#This Row],[Candidate 8]], "")</f>
        <v/>
      </c>
      <c r="AM700" s="18" t="str">
        <f>IF(NOT(ISBLANK(Audit[[#This Row],[Audit Candidate 9]])), Audit[[#This Row],[Audit Candidate 9]]-Audit[[#This Row],[Candidate 9]], "")</f>
        <v/>
      </c>
      <c r="AN700" s="18" t="str">
        <f>IF(NOT(ISBLANK(Audit[[#This Row],[Audit Candidate 10]])), Audit[[#This Row],[Audit Candidate 10]]-Audit[[#This Row],[Candidate 10]], "")</f>
        <v/>
      </c>
      <c r="AO700" s="18" t="str">
        <f>IF(NOT(ISBLANK(Audit[[#This Row],[Audit Candidate 11]])), Audit[[#This Row],[Audit Candidate 11]]-Audit[[#This Row],[Candidate 11]], "")</f>
        <v/>
      </c>
      <c r="AP700" s="18" t="str">
        <f>IF(NOT(ISBLANK(Audit[[#This Row],[Audit Candidate 12]])), Audit[[#This Row],[Audit Candidate 12]]-Audit[[#This Row],[Candidate 12]], "")</f>
        <v/>
      </c>
      <c r="AQ700" s="18">
        <f>SUMIF(Audit[[#This Row],[Difference Winner]:[Difference Candidate 12]], "&gt;0")</f>
        <v>0</v>
      </c>
      <c r="AR700" s="18">
        <f>SUM(Audit[[#This Row],[Difference Winner]:[Difference Candidate 12]])</f>
        <v>0</v>
      </c>
      <c r="AS700" s="18">
        <f>IF(Audit[[#This Row],[Times p Drawn - With Replacement]]&gt;0, IF(Audit[[#This Row],[Canceled Differences]]&lt;0, Audit[[#This Row],[Max Differences]]+ABS(Audit[[#This Row],[Canceled Differences]]), Audit[[#This Row],[Max Differences]]), 0)</f>
        <v>0</v>
      </c>
      <c r="AT700" s="18">
        <f>'Sampling Data'!AB700</f>
        <v>1.38203976505324E-3</v>
      </c>
      <c r="AU700" s="18">
        <f>IF(
      SUM(Audit[[#This Row],[Audit Losing Candidate]:[Audit Candidate 12]])
      &lt;&gt;0,
      (Audit[[#This Row],[Winning Candidate]]-Audit[[#This Row],[Losing Candidate]]-(Audit[[#This Row],[Audit Winning Candidate]]-Audit[[#This Row],[Audit Losing Candidate]]))/(Audit[[#Totals],[Winning Candidate]]-Audit[[#Totals],[Losing Candidate]]),
      0
)</f>
        <v>0</v>
      </c>
      <c r="AV7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8">
        <f>IF(Audit[[#This Row],[Max Relative Error (ep)]] = 0, 0, Audit[[#This Row],[Max Relative Error (ep)]]/Audit[[#This Row],[Error Bound (up) - Max. possible relative overstatement]])</f>
        <v>0</v>
      </c>
      <c r="BH7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0" s="18">
        <f t="shared" si="11"/>
        <v>1</v>
      </c>
      <c r="BJ700" s="18">
        <f>PRODUCT($BI$5:BI700)</f>
        <v>0.32656797278968008</v>
      </c>
      <c r="BK700" s="20">
        <f>1 - Audit[[#This Row],[K-M P Value]]</f>
        <v>0.67343202721031992</v>
      </c>
      <c r="BL700" s="18" t="str">
        <f>IF(Audit[[#This Row],[K-M P Value]]&gt;1-'General Info'!$B$12,"Continue", "Stop")</f>
        <v>Continue</v>
      </c>
      <c r="BM700" s="23" t="b">
        <f>IF(Audit[[#This Row],[Status - Continue or stop audit]] = "Continue", TRUE, IF(BL699 = "Continue", TRUE, FALSE))</f>
        <v>1</v>
      </c>
      <c r="BN700" s="23"/>
    </row>
    <row r="701" spans="1:66" ht="15" hidden="1" customHeight="1" x14ac:dyDescent="0.35">
      <c r="A701" s="18" t="str">
        <f>'Sampling Data'!AI701</f>
        <v/>
      </c>
      <c r="B701" s="18" t="str">
        <f>'Sampling Data'!A701</f>
        <v>2302 CIN 23-B   (ED)</v>
      </c>
      <c r="C701" s="18">
        <f>'Sampling Data'!B701</f>
        <v>5</v>
      </c>
      <c r="D701" s="18">
        <f>'Sampling Data'!C701</f>
        <v>3</v>
      </c>
      <c r="E701" s="19">
        <f>'Sampling Data'!D701</f>
        <v>0</v>
      </c>
      <c r="F701" s="19">
        <f>'Sampling Data'!E701</f>
        <v>0</v>
      </c>
      <c r="G701" s="19">
        <f>'Sampling Data'!F701</f>
        <v>0</v>
      </c>
      <c r="H701" s="19">
        <f>'Sampling Data'!G701</f>
        <v>0</v>
      </c>
      <c r="I701" s="19">
        <f>'Sampling Data'!H701</f>
        <v>0</v>
      </c>
      <c r="J701" s="19">
        <f>'Sampling Data'!I701</f>
        <v>0</v>
      </c>
      <c r="K701" s="19">
        <f>'Sampling Data'!J701</f>
        <v>0</v>
      </c>
      <c r="L701" s="19">
        <f>'Sampling Data'!K701</f>
        <v>0</v>
      </c>
      <c r="M701" s="19">
        <f>'Sampling Data'!L701</f>
        <v>0</v>
      </c>
      <c r="N701" s="19">
        <f>'Sampling Data'!M701</f>
        <v>0</v>
      </c>
      <c r="O701" s="18">
        <f>'Sampling Data'!N701</f>
        <v>0</v>
      </c>
      <c r="P701" s="18">
        <f>'Sampling Data'!O701</f>
        <v>0</v>
      </c>
      <c r="Q701" s="18">
        <f>'Sampling Data'!P701</f>
        <v>8</v>
      </c>
      <c r="R701" s="18">
        <f>'Sampling Data'!AJ701</f>
        <v>0</v>
      </c>
      <c r="S701" s="112"/>
      <c r="T701" s="112"/>
      <c r="U701" s="113"/>
      <c r="V701" s="113"/>
      <c r="W701" s="112"/>
      <c r="X701" s="112"/>
      <c r="Y701" s="112"/>
      <c r="Z701" s="112"/>
      <c r="AA701" s="15"/>
      <c r="AB701" s="15"/>
      <c r="AC701" s="15"/>
      <c r="AD701" s="15"/>
      <c r="AE701" s="114" t="str">
        <f>IF(NOT(ISBLANK(Audit[[#This Row],[Audit Winning Candidate]])), Audit[[#This Row],[Audit Winning Candidate]]-Audit[[#This Row],[Winning Candidate]], "")</f>
        <v/>
      </c>
      <c r="AF701" s="18" t="str">
        <f>IF(NOT(ISBLANK(Audit[[#This Row],[Audit Losing Candidate]])), Audit[[#This Row],[Audit Losing Candidate]]-Audit[[#This Row],[Losing Candidate]], "")</f>
        <v/>
      </c>
      <c r="AG701" s="18" t="str">
        <f>IF(NOT(ISBLANK(Audit[[#This Row],[Audit Candidate 3]])), Audit[[#This Row],[Audit Candidate 3]]-Audit[[#This Row],[Candidate 3]], "")</f>
        <v/>
      </c>
      <c r="AH701" s="18" t="str">
        <f>IF(NOT(ISBLANK(Audit[[#This Row],[Audit Candidate 4]])),Audit[[#This Row],[Audit Candidate 4]]-Audit[[#This Row],[Candidate 4]], "")</f>
        <v/>
      </c>
      <c r="AI701" s="18" t="str">
        <f>IF(NOT(ISBLANK(Audit[[#This Row],[Audit Candidate 5]])), Audit[[#This Row],[Audit Candidate 5]]-Audit[[#This Row],[Candidate 5]], "")</f>
        <v/>
      </c>
      <c r="AJ701" s="18" t="str">
        <f>IF(NOT(ISBLANK(Audit[[#This Row],[Audit Candidate 6]])), Audit[[#This Row],[Audit Candidate 6]]-Audit[[#This Row],[Candidate 6]], "")</f>
        <v/>
      </c>
      <c r="AK701" s="18" t="str">
        <f>IF(NOT(ISBLANK(Audit[[#This Row],[Audit Candidate 7]])), Audit[[#This Row],[Audit Candidate 7]]-Audit[[#This Row],[Candidate 7]], "")</f>
        <v/>
      </c>
      <c r="AL701" s="18" t="str">
        <f>IF(NOT(ISBLANK(Audit[[#This Row],[Audit Candidate 8]])), Audit[[#This Row],[Audit Candidate 8]]-Audit[[#This Row],[Candidate 8]], "")</f>
        <v/>
      </c>
      <c r="AM701" s="18" t="str">
        <f>IF(NOT(ISBLANK(Audit[[#This Row],[Audit Candidate 9]])), Audit[[#This Row],[Audit Candidate 9]]-Audit[[#This Row],[Candidate 9]], "")</f>
        <v/>
      </c>
      <c r="AN701" s="18" t="str">
        <f>IF(NOT(ISBLANK(Audit[[#This Row],[Audit Candidate 10]])), Audit[[#This Row],[Audit Candidate 10]]-Audit[[#This Row],[Candidate 10]], "")</f>
        <v/>
      </c>
      <c r="AO701" s="18" t="str">
        <f>IF(NOT(ISBLANK(Audit[[#This Row],[Audit Candidate 11]])), Audit[[#This Row],[Audit Candidate 11]]-Audit[[#This Row],[Candidate 11]], "")</f>
        <v/>
      </c>
      <c r="AP701" s="18" t="str">
        <f>IF(NOT(ISBLANK(Audit[[#This Row],[Audit Candidate 12]])), Audit[[#This Row],[Audit Candidate 12]]-Audit[[#This Row],[Candidate 12]], "")</f>
        <v/>
      </c>
      <c r="AQ701" s="18">
        <f>SUMIF(Audit[[#This Row],[Difference Winner]:[Difference Candidate 12]], "&gt;0")</f>
        <v>0</v>
      </c>
      <c r="AR701" s="18">
        <f>SUM(Audit[[#This Row],[Difference Winner]:[Difference Candidate 12]])</f>
        <v>0</v>
      </c>
      <c r="AS701" s="18">
        <f>IF(Audit[[#This Row],[Times p Drawn - With Replacement]]&gt;0, IF(Audit[[#This Row],[Canceled Differences]]&lt;0, Audit[[#This Row],[Max Differences]]+ABS(Audit[[#This Row],[Canceled Differences]]), Audit[[#This Row],[Max Differences]]), 0)</f>
        <v>0</v>
      </c>
      <c r="AT701" s="18">
        <f>'Sampling Data'!AB701</f>
        <v>3.1409994660300906E-4</v>
      </c>
      <c r="AU701" s="18">
        <f>IF(
      SUM(Audit[[#This Row],[Audit Losing Candidate]:[Audit Candidate 12]])
      &lt;&gt;0,
      (Audit[[#This Row],[Winning Candidate]]-Audit[[#This Row],[Losing Candidate]]-(Audit[[#This Row],[Audit Winning Candidate]]-Audit[[#This Row],[Audit Losing Candidate]]))/(Audit[[#Totals],[Winning Candidate]]-Audit[[#Totals],[Losing Candidate]]),
      0
)</f>
        <v>0</v>
      </c>
      <c r="AV7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8">
        <f>IF(Audit[[#This Row],[Max Relative Error (ep)]] = 0, 0, Audit[[#This Row],[Max Relative Error (ep)]]/Audit[[#This Row],[Error Bound (up) - Max. possible relative overstatement]])</f>
        <v>0</v>
      </c>
      <c r="BH7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1" s="18">
        <f t="shared" si="11"/>
        <v>1</v>
      </c>
      <c r="BJ701" s="18">
        <f>PRODUCT($BI$5:BI701)</f>
        <v>0.32656797278968008</v>
      </c>
      <c r="BK701" s="20">
        <f>1 - Audit[[#This Row],[K-M P Value]]</f>
        <v>0.67343202721031992</v>
      </c>
      <c r="BL701" s="18" t="str">
        <f>IF(Audit[[#This Row],[K-M P Value]]&gt;1-'General Info'!$B$12,"Continue", "Stop")</f>
        <v>Continue</v>
      </c>
      <c r="BM701" s="23" t="b">
        <f>IF(Audit[[#This Row],[Status - Continue or stop audit]] = "Continue", TRUE, IF(BL700 = "Continue", TRUE, FALSE))</f>
        <v>1</v>
      </c>
      <c r="BN701" s="23"/>
    </row>
    <row r="702" spans="1:66" ht="15" hidden="1" customHeight="1" x14ac:dyDescent="0.35">
      <c r="A702" s="18" t="str">
        <f>'Sampling Data'!AI702</f>
        <v/>
      </c>
      <c r="B702" s="18" t="str">
        <f>'Sampling Data'!A702</f>
        <v>2303 CIN 23-C   (ED)</v>
      </c>
      <c r="C702" s="18">
        <f>'Sampling Data'!B702</f>
        <v>9</v>
      </c>
      <c r="D702" s="18">
        <f>'Sampling Data'!C702</f>
        <v>2</v>
      </c>
      <c r="E702" s="19">
        <f>'Sampling Data'!D702</f>
        <v>0</v>
      </c>
      <c r="F702" s="19">
        <f>'Sampling Data'!E702</f>
        <v>0</v>
      </c>
      <c r="G702" s="19">
        <f>'Sampling Data'!F702</f>
        <v>0</v>
      </c>
      <c r="H702" s="19">
        <f>'Sampling Data'!G702</f>
        <v>0</v>
      </c>
      <c r="I702" s="19">
        <f>'Sampling Data'!H702</f>
        <v>0</v>
      </c>
      <c r="J702" s="19">
        <f>'Sampling Data'!I702</f>
        <v>0</v>
      </c>
      <c r="K702" s="19">
        <f>'Sampling Data'!J702</f>
        <v>0</v>
      </c>
      <c r="L702" s="19">
        <f>'Sampling Data'!K702</f>
        <v>0</v>
      </c>
      <c r="M702" s="19">
        <f>'Sampling Data'!L702</f>
        <v>0</v>
      </c>
      <c r="N702" s="19">
        <f>'Sampling Data'!M702</f>
        <v>0</v>
      </c>
      <c r="O702" s="18">
        <f>'Sampling Data'!N702</f>
        <v>0</v>
      </c>
      <c r="P702" s="18">
        <f>'Sampling Data'!O702</f>
        <v>0</v>
      </c>
      <c r="Q702" s="18">
        <f>'Sampling Data'!P702</f>
        <v>11</v>
      </c>
      <c r="R702" s="18">
        <f>'Sampling Data'!AJ702</f>
        <v>0</v>
      </c>
      <c r="S702" s="112"/>
      <c r="T702" s="112"/>
      <c r="U702" s="113"/>
      <c r="V702" s="113"/>
      <c r="W702" s="112"/>
      <c r="X702" s="112"/>
      <c r="Y702" s="112"/>
      <c r="Z702" s="112"/>
      <c r="AA702" s="15"/>
      <c r="AB702" s="15"/>
      <c r="AC702" s="15"/>
      <c r="AD702" s="15"/>
      <c r="AE702" s="114" t="str">
        <f>IF(NOT(ISBLANK(Audit[[#This Row],[Audit Winning Candidate]])), Audit[[#This Row],[Audit Winning Candidate]]-Audit[[#This Row],[Winning Candidate]], "")</f>
        <v/>
      </c>
      <c r="AF702" s="18" t="str">
        <f>IF(NOT(ISBLANK(Audit[[#This Row],[Audit Losing Candidate]])), Audit[[#This Row],[Audit Losing Candidate]]-Audit[[#This Row],[Losing Candidate]], "")</f>
        <v/>
      </c>
      <c r="AG702" s="18" t="str">
        <f>IF(NOT(ISBLANK(Audit[[#This Row],[Audit Candidate 3]])), Audit[[#This Row],[Audit Candidate 3]]-Audit[[#This Row],[Candidate 3]], "")</f>
        <v/>
      </c>
      <c r="AH702" s="18" t="str">
        <f>IF(NOT(ISBLANK(Audit[[#This Row],[Audit Candidate 4]])),Audit[[#This Row],[Audit Candidate 4]]-Audit[[#This Row],[Candidate 4]], "")</f>
        <v/>
      </c>
      <c r="AI702" s="18" t="str">
        <f>IF(NOT(ISBLANK(Audit[[#This Row],[Audit Candidate 5]])), Audit[[#This Row],[Audit Candidate 5]]-Audit[[#This Row],[Candidate 5]], "")</f>
        <v/>
      </c>
      <c r="AJ702" s="18" t="str">
        <f>IF(NOT(ISBLANK(Audit[[#This Row],[Audit Candidate 6]])), Audit[[#This Row],[Audit Candidate 6]]-Audit[[#This Row],[Candidate 6]], "")</f>
        <v/>
      </c>
      <c r="AK702" s="18" t="str">
        <f>IF(NOT(ISBLANK(Audit[[#This Row],[Audit Candidate 7]])), Audit[[#This Row],[Audit Candidate 7]]-Audit[[#This Row],[Candidate 7]], "")</f>
        <v/>
      </c>
      <c r="AL702" s="18" t="str">
        <f>IF(NOT(ISBLANK(Audit[[#This Row],[Audit Candidate 8]])), Audit[[#This Row],[Audit Candidate 8]]-Audit[[#This Row],[Candidate 8]], "")</f>
        <v/>
      </c>
      <c r="AM702" s="18" t="str">
        <f>IF(NOT(ISBLANK(Audit[[#This Row],[Audit Candidate 9]])), Audit[[#This Row],[Audit Candidate 9]]-Audit[[#This Row],[Candidate 9]], "")</f>
        <v/>
      </c>
      <c r="AN702" s="18" t="str">
        <f>IF(NOT(ISBLANK(Audit[[#This Row],[Audit Candidate 10]])), Audit[[#This Row],[Audit Candidate 10]]-Audit[[#This Row],[Candidate 10]], "")</f>
        <v/>
      </c>
      <c r="AO702" s="18" t="str">
        <f>IF(NOT(ISBLANK(Audit[[#This Row],[Audit Candidate 11]])), Audit[[#This Row],[Audit Candidate 11]]-Audit[[#This Row],[Candidate 11]], "")</f>
        <v/>
      </c>
      <c r="AP702" s="18" t="str">
        <f>IF(NOT(ISBLANK(Audit[[#This Row],[Audit Candidate 12]])), Audit[[#This Row],[Audit Candidate 12]]-Audit[[#This Row],[Candidate 12]], "")</f>
        <v/>
      </c>
      <c r="AQ702" s="18">
        <f>SUMIF(Audit[[#This Row],[Difference Winner]:[Difference Candidate 12]], "&gt;0")</f>
        <v>0</v>
      </c>
      <c r="AR702" s="18">
        <f>SUM(Audit[[#This Row],[Difference Winner]:[Difference Candidate 12]])</f>
        <v>0</v>
      </c>
      <c r="AS702" s="18">
        <f>IF(Audit[[#This Row],[Times p Drawn - With Replacement]]&gt;0, IF(Audit[[#This Row],[Canceled Differences]]&lt;0, Audit[[#This Row],[Max Differences]]+ABS(Audit[[#This Row],[Canceled Differences]]), Audit[[#This Row],[Max Differences]]), 0)</f>
        <v>0</v>
      </c>
      <c r="AT702" s="18">
        <f>'Sampling Data'!AB702</f>
        <v>5.6537990388541635E-4</v>
      </c>
      <c r="AU702" s="18">
        <f>IF(
      SUM(Audit[[#This Row],[Audit Losing Candidate]:[Audit Candidate 12]])
      &lt;&gt;0,
      (Audit[[#This Row],[Winning Candidate]]-Audit[[#This Row],[Losing Candidate]]-(Audit[[#This Row],[Audit Winning Candidate]]-Audit[[#This Row],[Audit Losing Candidate]]))/(Audit[[#Totals],[Winning Candidate]]-Audit[[#Totals],[Losing Candidate]]),
      0
)</f>
        <v>0</v>
      </c>
      <c r="AV7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8">
        <f>IF(Audit[[#This Row],[Max Relative Error (ep)]] = 0, 0, Audit[[#This Row],[Max Relative Error (ep)]]/Audit[[#This Row],[Error Bound (up) - Max. possible relative overstatement]])</f>
        <v>0</v>
      </c>
      <c r="BH7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2" s="18">
        <f t="shared" si="11"/>
        <v>1</v>
      </c>
      <c r="BJ702" s="18">
        <f>PRODUCT($BI$5:BI702)</f>
        <v>0.32656797278968008</v>
      </c>
      <c r="BK702" s="20">
        <f>1 - Audit[[#This Row],[K-M P Value]]</f>
        <v>0.67343202721031992</v>
      </c>
      <c r="BL702" s="18" t="str">
        <f>IF(Audit[[#This Row],[K-M P Value]]&gt;1-'General Info'!$B$12,"Continue", "Stop")</f>
        <v>Continue</v>
      </c>
      <c r="BM702" s="23" t="b">
        <f>IF(Audit[[#This Row],[Status - Continue or stop audit]] = "Continue", TRUE, IF(BL701 = "Continue", TRUE, FALSE))</f>
        <v>1</v>
      </c>
      <c r="BN702" s="23"/>
    </row>
    <row r="703" spans="1:66" ht="15" hidden="1" customHeight="1" x14ac:dyDescent="0.35">
      <c r="A703" s="18" t="str">
        <f>'Sampling Data'!AI703</f>
        <v/>
      </c>
      <c r="B703" s="18" t="str">
        <f>'Sampling Data'!A703</f>
        <v>2304 CIN 23-D   (ED)</v>
      </c>
      <c r="C703" s="18">
        <f>'Sampling Data'!B703</f>
        <v>10</v>
      </c>
      <c r="D703" s="18">
        <f>'Sampling Data'!C703</f>
        <v>0</v>
      </c>
      <c r="E703" s="19">
        <f>'Sampling Data'!D703</f>
        <v>0</v>
      </c>
      <c r="F703" s="19">
        <f>'Sampling Data'!E703</f>
        <v>0</v>
      </c>
      <c r="G703" s="19">
        <f>'Sampling Data'!F703</f>
        <v>0</v>
      </c>
      <c r="H703" s="19">
        <f>'Sampling Data'!G703</f>
        <v>0</v>
      </c>
      <c r="I703" s="19">
        <f>'Sampling Data'!H703</f>
        <v>0</v>
      </c>
      <c r="J703" s="19">
        <f>'Sampling Data'!I703</f>
        <v>0</v>
      </c>
      <c r="K703" s="19">
        <f>'Sampling Data'!J703</f>
        <v>0</v>
      </c>
      <c r="L703" s="19">
        <f>'Sampling Data'!K703</f>
        <v>0</v>
      </c>
      <c r="M703" s="19">
        <f>'Sampling Data'!L703</f>
        <v>0</v>
      </c>
      <c r="N703" s="19">
        <f>'Sampling Data'!M703</f>
        <v>0</v>
      </c>
      <c r="O703" s="18">
        <f>'Sampling Data'!N703</f>
        <v>0</v>
      </c>
      <c r="P703" s="18">
        <f>'Sampling Data'!O703</f>
        <v>0</v>
      </c>
      <c r="Q703" s="18">
        <f>'Sampling Data'!P703</f>
        <v>10</v>
      </c>
      <c r="R703" s="18">
        <f>'Sampling Data'!AJ703</f>
        <v>0</v>
      </c>
      <c r="S703" s="112"/>
      <c r="T703" s="112"/>
      <c r="U703" s="113"/>
      <c r="V703" s="113"/>
      <c r="W703" s="112"/>
      <c r="X703" s="112"/>
      <c r="Y703" s="112"/>
      <c r="Z703" s="112"/>
      <c r="AA703" s="15"/>
      <c r="AB703" s="15"/>
      <c r="AC703" s="15"/>
      <c r="AD703" s="15"/>
      <c r="AE703" s="114" t="str">
        <f>IF(NOT(ISBLANK(Audit[[#This Row],[Audit Winning Candidate]])), Audit[[#This Row],[Audit Winning Candidate]]-Audit[[#This Row],[Winning Candidate]], "")</f>
        <v/>
      </c>
      <c r="AF703" s="18" t="str">
        <f>IF(NOT(ISBLANK(Audit[[#This Row],[Audit Losing Candidate]])), Audit[[#This Row],[Audit Losing Candidate]]-Audit[[#This Row],[Losing Candidate]], "")</f>
        <v/>
      </c>
      <c r="AG703" s="18" t="str">
        <f>IF(NOT(ISBLANK(Audit[[#This Row],[Audit Candidate 3]])), Audit[[#This Row],[Audit Candidate 3]]-Audit[[#This Row],[Candidate 3]], "")</f>
        <v/>
      </c>
      <c r="AH703" s="18" t="str">
        <f>IF(NOT(ISBLANK(Audit[[#This Row],[Audit Candidate 4]])),Audit[[#This Row],[Audit Candidate 4]]-Audit[[#This Row],[Candidate 4]], "")</f>
        <v/>
      </c>
      <c r="AI703" s="18" t="str">
        <f>IF(NOT(ISBLANK(Audit[[#This Row],[Audit Candidate 5]])), Audit[[#This Row],[Audit Candidate 5]]-Audit[[#This Row],[Candidate 5]], "")</f>
        <v/>
      </c>
      <c r="AJ703" s="18" t="str">
        <f>IF(NOT(ISBLANK(Audit[[#This Row],[Audit Candidate 6]])), Audit[[#This Row],[Audit Candidate 6]]-Audit[[#This Row],[Candidate 6]], "")</f>
        <v/>
      </c>
      <c r="AK703" s="18" t="str">
        <f>IF(NOT(ISBLANK(Audit[[#This Row],[Audit Candidate 7]])), Audit[[#This Row],[Audit Candidate 7]]-Audit[[#This Row],[Candidate 7]], "")</f>
        <v/>
      </c>
      <c r="AL703" s="18" t="str">
        <f>IF(NOT(ISBLANK(Audit[[#This Row],[Audit Candidate 8]])), Audit[[#This Row],[Audit Candidate 8]]-Audit[[#This Row],[Candidate 8]], "")</f>
        <v/>
      </c>
      <c r="AM703" s="18" t="str">
        <f>IF(NOT(ISBLANK(Audit[[#This Row],[Audit Candidate 9]])), Audit[[#This Row],[Audit Candidate 9]]-Audit[[#This Row],[Candidate 9]], "")</f>
        <v/>
      </c>
      <c r="AN703" s="18" t="str">
        <f>IF(NOT(ISBLANK(Audit[[#This Row],[Audit Candidate 10]])), Audit[[#This Row],[Audit Candidate 10]]-Audit[[#This Row],[Candidate 10]], "")</f>
        <v/>
      </c>
      <c r="AO703" s="18" t="str">
        <f>IF(NOT(ISBLANK(Audit[[#This Row],[Audit Candidate 11]])), Audit[[#This Row],[Audit Candidate 11]]-Audit[[#This Row],[Candidate 11]], "")</f>
        <v/>
      </c>
      <c r="AP703" s="18" t="str">
        <f>IF(NOT(ISBLANK(Audit[[#This Row],[Audit Candidate 12]])), Audit[[#This Row],[Audit Candidate 12]]-Audit[[#This Row],[Candidate 12]], "")</f>
        <v/>
      </c>
      <c r="AQ703" s="18">
        <f>SUMIF(Audit[[#This Row],[Difference Winner]:[Difference Candidate 12]], "&gt;0")</f>
        <v>0</v>
      </c>
      <c r="AR703" s="18">
        <f>SUM(Audit[[#This Row],[Difference Winner]:[Difference Candidate 12]])</f>
        <v>0</v>
      </c>
      <c r="AS703" s="18">
        <f>IF(Audit[[#This Row],[Times p Drawn - With Replacement]]&gt;0, IF(Audit[[#This Row],[Canceled Differences]]&lt;0, Audit[[#This Row],[Max Differences]]+ABS(Audit[[#This Row],[Canceled Differences]]), Audit[[#This Row],[Max Differences]]), 0)</f>
        <v>0</v>
      </c>
      <c r="AT703" s="18">
        <f>'Sampling Data'!AB703</f>
        <v>6.2819989320601812E-4</v>
      </c>
      <c r="AU703" s="18">
        <f>IF(
      SUM(Audit[[#This Row],[Audit Losing Candidate]:[Audit Candidate 12]])
      &lt;&gt;0,
      (Audit[[#This Row],[Winning Candidate]]-Audit[[#This Row],[Losing Candidate]]-(Audit[[#This Row],[Audit Winning Candidate]]-Audit[[#This Row],[Audit Losing Candidate]]))/(Audit[[#Totals],[Winning Candidate]]-Audit[[#Totals],[Losing Candidate]]),
      0
)</f>
        <v>0</v>
      </c>
      <c r="AV7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8">
        <f>IF(Audit[[#This Row],[Max Relative Error (ep)]] = 0, 0, Audit[[#This Row],[Max Relative Error (ep)]]/Audit[[#This Row],[Error Bound (up) - Max. possible relative overstatement]])</f>
        <v>0</v>
      </c>
      <c r="BH7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3" s="18">
        <f t="shared" si="11"/>
        <v>1</v>
      </c>
      <c r="BJ703" s="18">
        <f>PRODUCT($BI$5:BI703)</f>
        <v>0.32656797278968008</v>
      </c>
      <c r="BK703" s="20">
        <f>1 - Audit[[#This Row],[K-M P Value]]</f>
        <v>0.67343202721031992</v>
      </c>
      <c r="BL703" s="18" t="str">
        <f>IF(Audit[[#This Row],[K-M P Value]]&gt;1-'General Info'!$B$12,"Continue", "Stop")</f>
        <v>Continue</v>
      </c>
      <c r="BM703" s="23" t="b">
        <f>IF(Audit[[#This Row],[Status - Continue or stop audit]] = "Continue", TRUE, IF(BL702 = "Continue", TRUE, FALSE))</f>
        <v>1</v>
      </c>
      <c r="BN703" s="23"/>
    </row>
    <row r="704" spans="1:66" ht="15" hidden="1" customHeight="1" x14ac:dyDescent="0.35">
      <c r="A704" s="18" t="str">
        <f>'Sampling Data'!AI704</f>
        <v/>
      </c>
      <c r="B704" s="18" t="str">
        <f>'Sampling Data'!A704</f>
        <v>2305 CIN 23-E   (ED)</v>
      </c>
      <c r="C704" s="18">
        <f>'Sampling Data'!B704</f>
        <v>3</v>
      </c>
      <c r="D704" s="18">
        <f>'Sampling Data'!C704</f>
        <v>0</v>
      </c>
      <c r="E704" s="19">
        <f>'Sampling Data'!D704</f>
        <v>0</v>
      </c>
      <c r="F704" s="19">
        <f>'Sampling Data'!E704</f>
        <v>0</v>
      </c>
      <c r="G704" s="19">
        <f>'Sampling Data'!F704</f>
        <v>0</v>
      </c>
      <c r="H704" s="19">
        <f>'Sampling Data'!G704</f>
        <v>0</v>
      </c>
      <c r="I704" s="19">
        <f>'Sampling Data'!H704</f>
        <v>0</v>
      </c>
      <c r="J704" s="19">
        <f>'Sampling Data'!I704</f>
        <v>0</v>
      </c>
      <c r="K704" s="19">
        <f>'Sampling Data'!J704</f>
        <v>0</v>
      </c>
      <c r="L704" s="19">
        <f>'Sampling Data'!K704</f>
        <v>0</v>
      </c>
      <c r="M704" s="19">
        <f>'Sampling Data'!L704</f>
        <v>0</v>
      </c>
      <c r="N704" s="19">
        <f>'Sampling Data'!M704</f>
        <v>0</v>
      </c>
      <c r="O704" s="18">
        <f>'Sampling Data'!N704</f>
        <v>0</v>
      </c>
      <c r="P704" s="18">
        <f>'Sampling Data'!O704</f>
        <v>0</v>
      </c>
      <c r="Q704" s="18">
        <f>'Sampling Data'!P704</f>
        <v>3</v>
      </c>
      <c r="R704" s="18">
        <f>'Sampling Data'!AJ704</f>
        <v>0</v>
      </c>
      <c r="S704" s="112"/>
      <c r="T704" s="112"/>
      <c r="U704" s="113"/>
      <c r="V704" s="113"/>
      <c r="W704" s="112"/>
      <c r="X704" s="112"/>
      <c r="Y704" s="112"/>
      <c r="Z704" s="112"/>
      <c r="AA704" s="15"/>
      <c r="AB704" s="15"/>
      <c r="AC704" s="15"/>
      <c r="AD704" s="15"/>
      <c r="AE704" s="114" t="str">
        <f>IF(NOT(ISBLANK(Audit[[#This Row],[Audit Winning Candidate]])), Audit[[#This Row],[Audit Winning Candidate]]-Audit[[#This Row],[Winning Candidate]], "")</f>
        <v/>
      </c>
      <c r="AF704" s="18" t="str">
        <f>IF(NOT(ISBLANK(Audit[[#This Row],[Audit Losing Candidate]])), Audit[[#This Row],[Audit Losing Candidate]]-Audit[[#This Row],[Losing Candidate]], "")</f>
        <v/>
      </c>
      <c r="AG704" s="18" t="str">
        <f>IF(NOT(ISBLANK(Audit[[#This Row],[Audit Candidate 3]])), Audit[[#This Row],[Audit Candidate 3]]-Audit[[#This Row],[Candidate 3]], "")</f>
        <v/>
      </c>
      <c r="AH704" s="18" t="str">
        <f>IF(NOT(ISBLANK(Audit[[#This Row],[Audit Candidate 4]])),Audit[[#This Row],[Audit Candidate 4]]-Audit[[#This Row],[Candidate 4]], "")</f>
        <v/>
      </c>
      <c r="AI704" s="18" t="str">
        <f>IF(NOT(ISBLANK(Audit[[#This Row],[Audit Candidate 5]])), Audit[[#This Row],[Audit Candidate 5]]-Audit[[#This Row],[Candidate 5]], "")</f>
        <v/>
      </c>
      <c r="AJ704" s="18" t="str">
        <f>IF(NOT(ISBLANK(Audit[[#This Row],[Audit Candidate 6]])), Audit[[#This Row],[Audit Candidate 6]]-Audit[[#This Row],[Candidate 6]], "")</f>
        <v/>
      </c>
      <c r="AK704" s="18" t="str">
        <f>IF(NOT(ISBLANK(Audit[[#This Row],[Audit Candidate 7]])), Audit[[#This Row],[Audit Candidate 7]]-Audit[[#This Row],[Candidate 7]], "")</f>
        <v/>
      </c>
      <c r="AL704" s="18" t="str">
        <f>IF(NOT(ISBLANK(Audit[[#This Row],[Audit Candidate 8]])), Audit[[#This Row],[Audit Candidate 8]]-Audit[[#This Row],[Candidate 8]], "")</f>
        <v/>
      </c>
      <c r="AM704" s="18" t="str">
        <f>IF(NOT(ISBLANK(Audit[[#This Row],[Audit Candidate 9]])), Audit[[#This Row],[Audit Candidate 9]]-Audit[[#This Row],[Candidate 9]], "")</f>
        <v/>
      </c>
      <c r="AN704" s="18" t="str">
        <f>IF(NOT(ISBLANK(Audit[[#This Row],[Audit Candidate 10]])), Audit[[#This Row],[Audit Candidate 10]]-Audit[[#This Row],[Candidate 10]], "")</f>
        <v/>
      </c>
      <c r="AO704" s="18" t="str">
        <f>IF(NOT(ISBLANK(Audit[[#This Row],[Audit Candidate 11]])), Audit[[#This Row],[Audit Candidate 11]]-Audit[[#This Row],[Candidate 11]], "")</f>
        <v/>
      </c>
      <c r="AP704" s="18" t="str">
        <f>IF(NOT(ISBLANK(Audit[[#This Row],[Audit Candidate 12]])), Audit[[#This Row],[Audit Candidate 12]]-Audit[[#This Row],[Candidate 12]], "")</f>
        <v/>
      </c>
      <c r="AQ704" s="18">
        <f>SUMIF(Audit[[#This Row],[Difference Winner]:[Difference Candidate 12]], "&gt;0")</f>
        <v>0</v>
      </c>
      <c r="AR704" s="18">
        <f>SUM(Audit[[#This Row],[Difference Winner]:[Difference Candidate 12]])</f>
        <v>0</v>
      </c>
      <c r="AS704" s="18">
        <f>IF(Audit[[#This Row],[Times p Drawn - With Replacement]]&gt;0, IF(Audit[[#This Row],[Canceled Differences]]&lt;0, Audit[[#This Row],[Max Differences]]+ABS(Audit[[#This Row],[Canceled Differences]]), Audit[[#This Row],[Max Differences]]), 0)</f>
        <v>0</v>
      </c>
      <c r="AT704" s="18">
        <f>'Sampling Data'!AB704</f>
        <v>1.8845996796180544E-4</v>
      </c>
      <c r="AU704" s="18">
        <f>IF(
      SUM(Audit[[#This Row],[Audit Losing Candidate]:[Audit Candidate 12]])
      &lt;&gt;0,
      (Audit[[#This Row],[Winning Candidate]]-Audit[[#This Row],[Losing Candidate]]-(Audit[[#This Row],[Audit Winning Candidate]]-Audit[[#This Row],[Audit Losing Candidate]]))/(Audit[[#Totals],[Winning Candidate]]-Audit[[#Totals],[Losing Candidate]]),
      0
)</f>
        <v>0</v>
      </c>
      <c r="AV7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8">
        <f>IF(Audit[[#This Row],[Max Relative Error (ep)]] = 0, 0, Audit[[#This Row],[Max Relative Error (ep)]]/Audit[[#This Row],[Error Bound (up) - Max. possible relative overstatement]])</f>
        <v>0</v>
      </c>
      <c r="BH7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4" s="18">
        <f t="shared" si="11"/>
        <v>1</v>
      </c>
      <c r="BJ704" s="18">
        <f>PRODUCT($BI$5:BI704)</f>
        <v>0.32656797278968008</v>
      </c>
      <c r="BK704" s="20">
        <f>1 - Audit[[#This Row],[K-M P Value]]</f>
        <v>0.67343202721031992</v>
      </c>
      <c r="BL704" s="18" t="str">
        <f>IF(Audit[[#This Row],[K-M P Value]]&gt;1-'General Info'!$B$12,"Continue", "Stop")</f>
        <v>Continue</v>
      </c>
      <c r="BM704" s="23" t="b">
        <f>IF(Audit[[#This Row],[Status - Continue or stop audit]] = "Continue", TRUE, IF(BL703 = "Continue", TRUE, FALSE))</f>
        <v>1</v>
      </c>
      <c r="BN704" s="23"/>
    </row>
    <row r="705" spans="1:66" ht="15" hidden="1" customHeight="1" x14ac:dyDescent="0.35">
      <c r="A705" s="18" t="str">
        <f>'Sampling Data'!AI705</f>
        <v/>
      </c>
      <c r="B705" s="18" t="str">
        <f>'Sampling Data'!A705</f>
        <v>2306 CIN 23-F   (ED)</v>
      </c>
      <c r="C705" s="18">
        <f>'Sampling Data'!B705</f>
        <v>21</v>
      </c>
      <c r="D705" s="18">
        <f>'Sampling Data'!C705</f>
        <v>2</v>
      </c>
      <c r="E705" s="19">
        <f>'Sampling Data'!D705</f>
        <v>0</v>
      </c>
      <c r="F705" s="19">
        <f>'Sampling Data'!E705</f>
        <v>0</v>
      </c>
      <c r="G705" s="19">
        <f>'Sampling Data'!F705</f>
        <v>0</v>
      </c>
      <c r="H705" s="19">
        <f>'Sampling Data'!G705</f>
        <v>0</v>
      </c>
      <c r="I705" s="19">
        <f>'Sampling Data'!H705</f>
        <v>0</v>
      </c>
      <c r="J705" s="19">
        <f>'Sampling Data'!I705</f>
        <v>0</v>
      </c>
      <c r="K705" s="19">
        <f>'Sampling Data'!J705</f>
        <v>0</v>
      </c>
      <c r="L705" s="19">
        <f>'Sampling Data'!K705</f>
        <v>0</v>
      </c>
      <c r="M705" s="19">
        <f>'Sampling Data'!L705</f>
        <v>0</v>
      </c>
      <c r="N705" s="19">
        <f>'Sampling Data'!M705</f>
        <v>0</v>
      </c>
      <c r="O705" s="18">
        <f>'Sampling Data'!N705</f>
        <v>0</v>
      </c>
      <c r="P705" s="18">
        <f>'Sampling Data'!O705</f>
        <v>1</v>
      </c>
      <c r="Q705" s="18">
        <f>'Sampling Data'!P705</f>
        <v>24</v>
      </c>
      <c r="R705" s="18">
        <f>'Sampling Data'!AJ705</f>
        <v>0</v>
      </c>
      <c r="S705" s="112"/>
      <c r="T705" s="112"/>
      <c r="U705" s="113"/>
      <c r="V705" s="113"/>
      <c r="W705" s="112"/>
      <c r="X705" s="112"/>
      <c r="Y705" s="112"/>
      <c r="Z705" s="112"/>
      <c r="AA705" s="15"/>
      <c r="AB705" s="15"/>
      <c r="AC705" s="15"/>
      <c r="AD705" s="15"/>
      <c r="AE705" s="114" t="str">
        <f>IF(NOT(ISBLANK(Audit[[#This Row],[Audit Winning Candidate]])), Audit[[#This Row],[Audit Winning Candidate]]-Audit[[#This Row],[Winning Candidate]], "")</f>
        <v/>
      </c>
      <c r="AF705" s="18" t="str">
        <f>IF(NOT(ISBLANK(Audit[[#This Row],[Audit Losing Candidate]])), Audit[[#This Row],[Audit Losing Candidate]]-Audit[[#This Row],[Losing Candidate]], "")</f>
        <v/>
      </c>
      <c r="AG705" s="18" t="str">
        <f>IF(NOT(ISBLANK(Audit[[#This Row],[Audit Candidate 3]])), Audit[[#This Row],[Audit Candidate 3]]-Audit[[#This Row],[Candidate 3]], "")</f>
        <v/>
      </c>
      <c r="AH705" s="18" t="str">
        <f>IF(NOT(ISBLANK(Audit[[#This Row],[Audit Candidate 4]])),Audit[[#This Row],[Audit Candidate 4]]-Audit[[#This Row],[Candidate 4]], "")</f>
        <v/>
      </c>
      <c r="AI705" s="18" t="str">
        <f>IF(NOT(ISBLANK(Audit[[#This Row],[Audit Candidate 5]])), Audit[[#This Row],[Audit Candidate 5]]-Audit[[#This Row],[Candidate 5]], "")</f>
        <v/>
      </c>
      <c r="AJ705" s="18" t="str">
        <f>IF(NOT(ISBLANK(Audit[[#This Row],[Audit Candidate 6]])), Audit[[#This Row],[Audit Candidate 6]]-Audit[[#This Row],[Candidate 6]], "")</f>
        <v/>
      </c>
      <c r="AK705" s="18" t="str">
        <f>IF(NOT(ISBLANK(Audit[[#This Row],[Audit Candidate 7]])), Audit[[#This Row],[Audit Candidate 7]]-Audit[[#This Row],[Candidate 7]], "")</f>
        <v/>
      </c>
      <c r="AL705" s="18" t="str">
        <f>IF(NOT(ISBLANK(Audit[[#This Row],[Audit Candidate 8]])), Audit[[#This Row],[Audit Candidate 8]]-Audit[[#This Row],[Candidate 8]], "")</f>
        <v/>
      </c>
      <c r="AM705" s="18" t="str">
        <f>IF(NOT(ISBLANK(Audit[[#This Row],[Audit Candidate 9]])), Audit[[#This Row],[Audit Candidate 9]]-Audit[[#This Row],[Candidate 9]], "")</f>
        <v/>
      </c>
      <c r="AN705" s="18" t="str">
        <f>IF(NOT(ISBLANK(Audit[[#This Row],[Audit Candidate 10]])), Audit[[#This Row],[Audit Candidate 10]]-Audit[[#This Row],[Candidate 10]], "")</f>
        <v/>
      </c>
      <c r="AO705" s="18" t="str">
        <f>IF(NOT(ISBLANK(Audit[[#This Row],[Audit Candidate 11]])), Audit[[#This Row],[Audit Candidate 11]]-Audit[[#This Row],[Candidate 11]], "")</f>
        <v/>
      </c>
      <c r="AP705" s="18" t="str">
        <f>IF(NOT(ISBLANK(Audit[[#This Row],[Audit Candidate 12]])), Audit[[#This Row],[Audit Candidate 12]]-Audit[[#This Row],[Candidate 12]], "")</f>
        <v/>
      </c>
      <c r="AQ705" s="18">
        <f>SUMIF(Audit[[#This Row],[Difference Winner]:[Difference Candidate 12]], "&gt;0")</f>
        <v>0</v>
      </c>
      <c r="AR705" s="18">
        <f>SUM(Audit[[#This Row],[Difference Winner]:[Difference Candidate 12]])</f>
        <v>0</v>
      </c>
      <c r="AS705" s="18">
        <f>IF(Audit[[#This Row],[Times p Drawn - With Replacement]]&gt;0, IF(Audit[[#This Row],[Canceled Differences]]&lt;0, Audit[[#This Row],[Max Differences]]+ABS(Audit[[#This Row],[Canceled Differences]]), Audit[[#This Row],[Max Differences]]), 0)</f>
        <v>0</v>
      </c>
      <c r="AT705" s="18">
        <f>'Sampling Data'!AB705</f>
        <v>1.350629770392939E-3</v>
      </c>
      <c r="AU705" s="18">
        <f>IF(
      SUM(Audit[[#This Row],[Audit Losing Candidate]:[Audit Candidate 12]])
      &lt;&gt;0,
      (Audit[[#This Row],[Winning Candidate]]-Audit[[#This Row],[Losing Candidate]]-(Audit[[#This Row],[Audit Winning Candidate]]-Audit[[#This Row],[Audit Losing Candidate]]))/(Audit[[#Totals],[Winning Candidate]]-Audit[[#Totals],[Losing Candidate]]),
      0
)</f>
        <v>0</v>
      </c>
      <c r="AV7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8">
        <f>IF(Audit[[#This Row],[Max Relative Error (ep)]] = 0, 0, Audit[[#This Row],[Max Relative Error (ep)]]/Audit[[#This Row],[Error Bound (up) - Max. possible relative overstatement]])</f>
        <v>0</v>
      </c>
      <c r="BH7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5" s="18">
        <f t="shared" si="11"/>
        <v>1</v>
      </c>
      <c r="BJ705" s="18">
        <f>PRODUCT($BI$5:BI705)</f>
        <v>0.32656797278968008</v>
      </c>
      <c r="BK705" s="20">
        <f>1 - Audit[[#This Row],[K-M P Value]]</f>
        <v>0.67343202721031992</v>
      </c>
      <c r="BL705" s="18" t="str">
        <f>IF(Audit[[#This Row],[K-M P Value]]&gt;1-'General Info'!$B$12,"Continue", "Stop")</f>
        <v>Continue</v>
      </c>
      <c r="BM705" s="23" t="b">
        <f>IF(Audit[[#This Row],[Status - Continue or stop audit]] = "Continue", TRUE, IF(BL704 = "Continue", TRUE, FALSE))</f>
        <v>1</v>
      </c>
      <c r="BN705" s="23"/>
    </row>
    <row r="706" spans="1:66" ht="15" hidden="1" customHeight="1" x14ac:dyDescent="0.35">
      <c r="A706" s="18" t="str">
        <f>'Sampling Data'!AI706</f>
        <v/>
      </c>
      <c r="B706" s="18" t="str">
        <f>'Sampling Data'!A706</f>
        <v>2307 CIN 23-G   (ED)</v>
      </c>
      <c r="C706" s="18">
        <f>'Sampling Data'!B706</f>
        <v>3</v>
      </c>
      <c r="D706" s="18">
        <f>'Sampling Data'!C706</f>
        <v>2</v>
      </c>
      <c r="E706" s="19">
        <f>'Sampling Data'!D706</f>
        <v>0</v>
      </c>
      <c r="F706" s="19">
        <f>'Sampling Data'!E706</f>
        <v>0</v>
      </c>
      <c r="G706" s="19">
        <f>'Sampling Data'!F706</f>
        <v>0</v>
      </c>
      <c r="H706" s="19">
        <f>'Sampling Data'!G706</f>
        <v>0</v>
      </c>
      <c r="I706" s="19">
        <f>'Sampling Data'!H706</f>
        <v>0</v>
      </c>
      <c r="J706" s="19">
        <f>'Sampling Data'!I706</f>
        <v>0</v>
      </c>
      <c r="K706" s="19">
        <f>'Sampling Data'!J706</f>
        <v>0</v>
      </c>
      <c r="L706" s="19">
        <f>'Sampling Data'!K706</f>
        <v>0</v>
      </c>
      <c r="M706" s="19">
        <f>'Sampling Data'!L706</f>
        <v>0</v>
      </c>
      <c r="N706" s="19">
        <f>'Sampling Data'!M706</f>
        <v>0</v>
      </c>
      <c r="O706" s="18">
        <f>'Sampling Data'!N706</f>
        <v>0</v>
      </c>
      <c r="P706" s="18">
        <f>'Sampling Data'!O706</f>
        <v>0</v>
      </c>
      <c r="Q706" s="18">
        <f>'Sampling Data'!P706</f>
        <v>5</v>
      </c>
      <c r="R706" s="18">
        <f>'Sampling Data'!AJ706</f>
        <v>0</v>
      </c>
      <c r="S706" s="112"/>
      <c r="T706" s="112"/>
      <c r="U706" s="113"/>
      <c r="V706" s="113"/>
      <c r="W706" s="112"/>
      <c r="X706" s="112"/>
      <c r="Y706" s="112"/>
      <c r="Z706" s="112"/>
      <c r="AA706" s="15"/>
      <c r="AB706" s="15"/>
      <c r="AC706" s="15"/>
      <c r="AD706" s="15"/>
      <c r="AE706" s="114" t="str">
        <f>IF(NOT(ISBLANK(Audit[[#This Row],[Audit Winning Candidate]])), Audit[[#This Row],[Audit Winning Candidate]]-Audit[[#This Row],[Winning Candidate]], "")</f>
        <v/>
      </c>
      <c r="AF706" s="18" t="str">
        <f>IF(NOT(ISBLANK(Audit[[#This Row],[Audit Losing Candidate]])), Audit[[#This Row],[Audit Losing Candidate]]-Audit[[#This Row],[Losing Candidate]], "")</f>
        <v/>
      </c>
      <c r="AG706" s="18" t="str">
        <f>IF(NOT(ISBLANK(Audit[[#This Row],[Audit Candidate 3]])), Audit[[#This Row],[Audit Candidate 3]]-Audit[[#This Row],[Candidate 3]], "")</f>
        <v/>
      </c>
      <c r="AH706" s="18" t="str">
        <f>IF(NOT(ISBLANK(Audit[[#This Row],[Audit Candidate 4]])),Audit[[#This Row],[Audit Candidate 4]]-Audit[[#This Row],[Candidate 4]], "")</f>
        <v/>
      </c>
      <c r="AI706" s="18" t="str">
        <f>IF(NOT(ISBLANK(Audit[[#This Row],[Audit Candidate 5]])), Audit[[#This Row],[Audit Candidate 5]]-Audit[[#This Row],[Candidate 5]], "")</f>
        <v/>
      </c>
      <c r="AJ706" s="18" t="str">
        <f>IF(NOT(ISBLANK(Audit[[#This Row],[Audit Candidate 6]])), Audit[[#This Row],[Audit Candidate 6]]-Audit[[#This Row],[Candidate 6]], "")</f>
        <v/>
      </c>
      <c r="AK706" s="18" t="str">
        <f>IF(NOT(ISBLANK(Audit[[#This Row],[Audit Candidate 7]])), Audit[[#This Row],[Audit Candidate 7]]-Audit[[#This Row],[Candidate 7]], "")</f>
        <v/>
      </c>
      <c r="AL706" s="18" t="str">
        <f>IF(NOT(ISBLANK(Audit[[#This Row],[Audit Candidate 8]])), Audit[[#This Row],[Audit Candidate 8]]-Audit[[#This Row],[Candidate 8]], "")</f>
        <v/>
      </c>
      <c r="AM706" s="18" t="str">
        <f>IF(NOT(ISBLANK(Audit[[#This Row],[Audit Candidate 9]])), Audit[[#This Row],[Audit Candidate 9]]-Audit[[#This Row],[Candidate 9]], "")</f>
        <v/>
      </c>
      <c r="AN706" s="18" t="str">
        <f>IF(NOT(ISBLANK(Audit[[#This Row],[Audit Candidate 10]])), Audit[[#This Row],[Audit Candidate 10]]-Audit[[#This Row],[Candidate 10]], "")</f>
        <v/>
      </c>
      <c r="AO706" s="18" t="str">
        <f>IF(NOT(ISBLANK(Audit[[#This Row],[Audit Candidate 11]])), Audit[[#This Row],[Audit Candidate 11]]-Audit[[#This Row],[Candidate 11]], "")</f>
        <v/>
      </c>
      <c r="AP706" s="18" t="str">
        <f>IF(NOT(ISBLANK(Audit[[#This Row],[Audit Candidate 12]])), Audit[[#This Row],[Audit Candidate 12]]-Audit[[#This Row],[Candidate 12]], "")</f>
        <v/>
      </c>
      <c r="AQ706" s="18">
        <f>SUMIF(Audit[[#This Row],[Difference Winner]:[Difference Candidate 12]], "&gt;0")</f>
        <v>0</v>
      </c>
      <c r="AR706" s="18">
        <f>SUM(Audit[[#This Row],[Difference Winner]:[Difference Candidate 12]])</f>
        <v>0</v>
      </c>
      <c r="AS706" s="18">
        <f>IF(Audit[[#This Row],[Times p Drawn - With Replacement]]&gt;0, IF(Audit[[#This Row],[Canceled Differences]]&lt;0, Audit[[#This Row],[Max Differences]]+ABS(Audit[[#This Row],[Canceled Differences]]), Audit[[#This Row],[Max Differences]]), 0)</f>
        <v>0</v>
      </c>
      <c r="AT706" s="18">
        <f>'Sampling Data'!AB706</f>
        <v>1.8845996796180544E-4</v>
      </c>
      <c r="AU706" s="18">
        <f>IF(
      SUM(Audit[[#This Row],[Audit Losing Candidate]:[Audit Candidate 12]])
      &lt;&gt;0,
      (Audit[[#This Row],[Winning Candidate]]-Audit[[#This Row],[Losing Candidate]]-(Audit[[#This Row],[Audit Winning Candidate]]-Audit[[#This Row],[Audit Losing Candidate]]))/(Audit[[#Totals],[Winning Candidate]]-Audit[[#Totals],[Losing Candidate]]),
      0
)</f>
        <v>0</v>
      </c>
      <c r="AV7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8">
        <f>IF(Audit[[#This Row],[Max Relative Error (ep)]] = 0, 0, Audit[[#This Row],[Max Relative Error (ep)]]/Audit[[#This Row],[Error Bound (up) - Max. possible relative overstatement]])</f>
        <v>0</v>
      </c>
      <c r="BH7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6" s="18">
        <f t="shared" si="11"/>
        <v>1</v>
      </c>
      <c r="BJ706" s="18">
        <f>PRODUCT($BI$5:BI706)</f>
        <v>0.32656797278968008</v>
      </c>
      <c r="BK706" s="20">
        <f>1 - Audit[[#This Row],[K-M P Value]]</f>
        <v>0.67343202721031992</v>
      </c>
      <c r="BL706" s="18" t="str">
        <f>IF(Audit[[#This Row],[K-M P Value]]&gt;1-'General Info'!$B$12,"Continue", "Stop")</f>
        <v>Continue</v>
      </c>
      <c r="BM706" s="23" t="b">
        <f>IF(Audit[[#This Row],[Status - Continue or stop audit]] = "Continue", TRUE, IF(BL705 = "Continue", TRUE, FALSE))</f>
        <v>1</v>
      </c>
      <c r="BN706" s="23"/>
    </row>
    <row r="707" spans="1:66" ht="15" hidden="1" customHeight="1" x14ac:dyDescent="0.35">
      <c r="A707" s="18" t="str">
        <f>'Sampling Data'!AI707</f>
        <v/>
      </c>
      <c r="B707" s="18" t="str">
        <f>'Sampling Data'!A707</f>
        <v>2308 CIN 23-H   (ED)</v>
      </c>
      <c r="C707" s="18">
        <f>'Sampling Data'!B707</f>
        <v>36</v>
      </c>
      <c r="D707" s="18">
        <f>'Sampling Data'!C707</f>
        <v>3</v>
      </c>
      <c r="E707" s="19">
        <f>'Sampling Data'!D707</f>
        <v>0</v>
      </c>
      <c r="F707" s="19">
        <f>'Sampling Data'!E707</f>
        <v>0</v>
      </c>
      <c r="G707" s="19">
        <f>'Sampling Data'!F707</f>
        <v>0</v>
      </c>
      <c r="H707" s="19">
        <f>'Sampling Data'!G707</f>
        <v>0</v>
      </c>
      <c r="I707" s="19">
        <f>'Sampling Data'!H707</f>
        <v>0</v>
      </c>
      <c r="J707" s="19">
        <f>'Sampling Data'!I707</f>
        <v>0</v>
      </c>
      <c r="K707" s="19">
        <f>'Sampling Data'!J707</f>
        <v>0</v>
      </c>
      <c r="L707" s="19">
        <f>'Sampling Data'!K707</f>
        <v>0</v>
      </c>
      <c r="M707" s="19">
        <f>'Sampling Data'!L707</f>
        <v>0</v>
      </c>
      <c r="N707" s="19">
        <f>'Sampling Data'!M707</f>
        <v>0</v>
      </c>
      <c r="O707" s="18">
        <f>'Sampling Data'!N707</f>
        <v>0</v>
      </c>
      <c r="P707" s="18">
        <f>'Sampling Data'!O707</f>
        <v>0</v>
      </c>
      <c r="Q707" s="18">
        <f>'Sampling Data'!P707</f>
        <v>39</v>
      </c>
      <c r="R707" s="18">
        <f>'Sampling Data'!AJ707</f>
        <v>0</v>
      </c>
      <c r="S707" s="112"/>
      <c r="T707" s="112"/>
      <c r="U707" s="113"/>
      <c r="V707" s="113"/>
      <c r="W707" s="112"/>
      <c r="X707" s="112"/>
      <c r="Y707" s="112"/>
      <c r="Z707" s="112"/>
      <c r="AA707" s="15"/>
      <c r="AB707" s="15"/>
      <c r="AC707" s="15"/>
      <c r="AD707" s="15"/>
      <c r="AE707" s="114" t="str">
        <f>IF(NOT(ISBLANK(Audit[[#This Row],[Audit Winning Candidate]])), Audit[[#This Row],[Audit Winning Candidate]]-Audit[[#This Row],[Winning Candidate]], "")</f>
        <v/>
      </c>
      <c r="AF707" s="18" t="str">
        <f>IF(NOT(ISBLANK(Audit[[#This Row],[Audit Losing Candidate]])), Audit[[#This Row],[Audit Losing Candidate]]-Audit[[#This Row],[Losing Candidate]], "")</f>
        <v/>
      </c>
      <c r="AG707" s="18" t="str">
        <f>IF(NOT(ISBLANK(Audit[[#This Row],[Audit Candidate 3]])), Audit[[#This Row],[Audit Candidate 3]]-Audit[[#This Row],[Candidate 3]], "")</f>
        <v/>
      </c>
      <c r="AH707" s="18" t="str">
        <f>IF(NOT(ISBLANK(Audit[[#This Row],[Audit Candidate 4]])),Audit[[#This Row],[Audit Candidate 4]]-Audit[[#This Row],[Candidate 4]], "")</f>
        <v/>
      </c>
      <c r="AI707" s="18" t="str">
        <f>IF(NOT(ISBLANK(Audit[[#This Row],[Audit Candidate 5]])), Audit[[#This Row],[Audit Candidate 5]]-Audit[[#This Row],[Candidate 5]], "")</f>
        <v/>
      </c>
      <c r="AJ707" s="18" t="str">
        <f>IF(NOT(ISBLANK(Audit[[#This Row],[Audit Candidate 6]])), Audit[[#This Row],[Audit Candidate 6]]-Audit[[#This Row],[Candidate 6]], "")</f>
        <v/>
      </c>
      <c r="AK707" s="18" t="str">
        <f>IF(NOT(ISBLANK(Audit[[#This Row],[Audit Candidate 7]])), Audit[[#This Row],[Audit Candidate 7]]-Audit[[#This Row],[Candidate 7]], "")</f>
        <v/>
      </c>
      <c r="AL707" s="18" t="str">
        <f>IF(NOT(ISBLANK(Audit[[#This Row],[Audit Candidate 8]])), Audit[[#This Row],[Audit Candidate 8]]-Audit[[#This Row],[Candidate 8]], "")</f>
        <v/>
      </c>
      <c r="AM707" s="18" t="str">
        <f>IF(NOT(ISBLANK(Audit[[#This Row],[Audit Candidate 9]])), Audit[[#This Row],[Audit Candidate 9]]-Audit[[#This Row],[Candidate 9]], "")</f>
        <v/>
      </c>
      <c r="AN707" s="18" t="str">
        <f>IF(NOT(ISBLANK(Audit[[#This Row],[Audit Candidate 10]])), Audit[[#This Row],[Audit Candidate 10]]-Audit[[#This Row],[Candidate 10]], "")</f>
        <v/>
      </c>
      <c r="AO707" s="18" t="str">
        <f>IF(NOT(ISBLANK(Audit[[#This Row],[Audit Candidate 11]])), Audit[[#This Row],[Audit Candidate 11]]-Audit[[#This Row],[Candidate 11]], "")</f>
        <v/>
      </c>
      <c r="AP707" s="18" t="str">
        <f>IF(NOT(ISBLANK(Audit[[#This Row],[Audit Candidate 12]])), Audit[[#This Row],[Audit Candidate 12]]-Audit[[#This Row],[Candidate 12]], "")</f>
        <v/>
      </c>
      <c r="AQ707" s="18">
        <f>SUMIF(Audit[[#This Row],[Difference Winner]:[Difference Candidate 12]], "&gt;0")</f>
        <v>0</v>
      </c>
      <c r="AR707" s="18">
        <f>SUM(Audit[[#This Row],[Difference Winner]:[Difference Candidate 12]])</f>
        <v>0</v>
      </c>
      <c r="AS707" s="18">
        <f>IF(Audit[[#This Row],[Times p Drawn - With Replacement]]&gt;0, IF(Audit[[#This Row],[Canceled Differences]]&lt;0, Audit[[#This Row],[Max Differences]]+ABS(Audit[[#This Row],[Canceled Differences]]), Audit[[#This Row],[Max Differences]]), 0)</f>
        <v>0</v>
      </c>
      <c r="AT707" s="18">
        <f>'Sampling Data'!AB707</f>
        <v>2.2615196155416654E-3</v>
      </c>
      <c r="AU707" s="18">
        <f>IF(
      SUM(Audit[[#This Row],[Audit Losing Candidate]:[Audit Candidate 12]])
      &lt;&gt;0,
      (Audit[[#This Row],[Winning Candidate]]-Audit[[#This Row],[Losing Candidate]]-(Audit[[#This Row],[Audit Winning Candidate]]-Audit[[#This Row],[Audit Losing Candidate]]))/(Audit[[#Totals],[Winning Candidate]]-Audit[[#Totals],[Losing Candidate]]),
      0
)</f>
        <v>0</v>
      </c>
      <c r="AV7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8">
        <f>IF(Audit[[#This Row],[Max Relative Error (ep)]] = 0, 0, Audit[[#This Row],[Max Relative Error (ep)]]/Audit[[#This Row],[Error Bound (up) - Max. possible relative overstatement]])</f>
        <v>0</v>
      </c>
      <c r="BH7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7" s="18">
        <f t="shared" si="11"/>
        <v>1</v>
      </c>
      <c r="BJ707" s="18">
        <f>PRODUCT($BI$5:BI707)</f>
        <v>0.32656797278968008</v>
      </c>
      <c r="BK707" s="20">
        <f>1 - Audit[[#This Row],[K-M P Value]]</f>
        <v>0.67343202721031992</v>
      </c>
      <c r="BL707" s="18" t="str">
        <f>IF(Audit[[#This Row],[K-M P Value]]&gt;1-'General Info'!$B$12,"Continue", "Stop")</f>
        <v>Continue</v>
      </c>
      <c r="BM707" s="23" t="b">
        <f>IF(Audit[[#This Row],[Status - Continue or stop audit]] = "Continue", TRUE, IF(BL706 = "Continue", TRUE, FALSE))</f>
        <v>1</v>
      </c>
      <c r="BN707" s="23"/>
    </row>
    <row r="708" spans="1:66" ht="15" hidden="1" customHeight="1" x14ac:dyDescent="0.35">
      <c r="A708" s="18" t="str">
        <f>'Sampling Data'!AI708</f>
        <v/>
      </c>
      <c r="B708" s="18" t="str">
        <f>'Sampling Data'!A708</f>
        <v>2309 CIN 23-I   (ED)</v>
      </c>
      <c r="C708" s="18">
        <f>'Sampling Data'!B708</f>
        <v>45</v>
      </c>
      <c r="D708" s="18">
        <f>'Sampling Data'!C708</f>
        <v>2</v>
      </c>
      <c r="E708" s="19">
        <f>'Sampling Data'!D708</f>
        <v>0</v>
      </c>
      <c r="F708" s="19">
        <f>'Sampling Data'!E708</f>
        <v>0</v>
      </c>
      <c r="G708" s="19">
        <f>'Sampling Data'!F708</f>
        <v>0</v>
      </c>
      <c r="H708" s="19">
        <f>'Sampling Data'!G708</f>
        <v>0</v>
      </c>
      <c r="I708" s="19">
        <f>'Sampling Data'!H708</f>
        <v>0</v>
      </c>
      <c r="J708" s="19">
        <f>'Sampling Data'!I708</f>
        <v>0</v>
      </c>
      <c r="K708" s="19">
        <f>'Sampling Data'!J708</f>
        <v>0</v>
      </c>
      <c r="L708" s="19">
        <f>'Sampling Data'!K708</f>
        <v>0</v>
      </c>
      <c r="M708" s="19">
        <f>'Sampling Data'!L708</f>
        <v>0</v>
      </c>
      <c r="N708" s="19">
        <f>'Sampling Data'!M708</f>
        <v>0</v>
      </c>
      <c r="O708" s="18">
        <f>'Sampling Data'!N708</f>
        <v>0</v>
      </c>
      <c r="P708" s="18">
        <f>'Sampling Data'!O708</f>
        <v>1</v>
      </c>
      <c r="Q708" s="18">
        <f>'Sampling Data'!P708</f>
        <v>48</v>
      </c>
      <c r="R708" s="18">
        <f>'Sampling Data'!AJ708</f>
        <v>0</v>
      </c>
      <c r="S708" s="112"/>
      <c r="T708" s="112"/>
      <c r="U708" s="113"/>
      <c r="V708" s="113"/>
      <c r="W708" s="112"/>
      <c r="X708" s="112"/>
      <c r="Y708" s="112"/>
      <c r="Z708" s="112"/>
      <c r="AA708" s="15"/>
      <c r="AB708" s="15"/>
      <c r="AC708" s="15"/>
      <c r="AD708" s="15"/>
      <c r="AE708" s="114" t="str">
        <f>IF(NOT(ISBLANK(Audit[[#This Row],[Audit Winning Candidate]])), Audit[[#This Row],[Audit Winning Candidate]]-Audit[[#This Row],[Winning Candidate]], "")</f>
        <v/>
      </c>
      <c r="AF708" s="18" t="str">
        <f>IF(NOT(ISBLANK(Audit[[#This Row],[Audit Losing Candidate]])), Audit[[#This Row],[Audit Losing Candidate]]-Audit[[#This Row],[Losing Candidate]], "")</f>
        <v/>
      </c>
      <c r="AG708" s="18" t="str">
        <f>IF(NOT(ISBLANK(Audit[[#This Row],[Audit Candidate 3]])), Audit[[#This Row],[Audit Candidate 3]]-Audit[[#This Row],[Candidate 3]], "")</f>
        <v/>
      </c>
      <c r="AH708" s="18" t="str">
        <f>IF(NOT(ISBLANK(Audit[[#This Row],[Audit Candidate 4]])),Audit[[#This Row],[Audit Candidate 4]]-Audit[[#This Row],[Candidate 4]], "")</f>
        <v/>
      </c>
      <c r="AI708" s="18" t="str">
        <f>IF(NOT(ISBLANK(Audit[[#This Row],[Audit Candidate 5]])), Audit[[#This Row],[Audit Candidate 5]]-Audit[[#This Row],[Candidate 5]], "")</f>
        <v/>
      </c>
      <c r="AJ708" s="18" t="str">
        <f>IF(NOT(ISBLANK(Audit[[#This Row],[Audit Candidate 6]])), Audit[[#This Row],[Audit Candidate 6]]-Audit[[#This Row],[Candidate 6]], "")</f>
        <v/>
      </c>
      <c r="AK708" s="18" t="str">
        <f>IF(NOT(ISBLANK(Audit[[#This Row],[Audit Candidate 7]])), Audit[[#This Row],[Audit Candidate 7]]-Audit[[#This Row],[Candidate 7]], "")</f>
        <v/>
      </c>
      <c r="AL708" s="18" t="str">
        <f>IF(NOT(ISBLANK(Audit[[#This Row],[Audit Candidate 8]])), Audit[[#This Row],[Audit Candidate 8]]-Audit[[#This Row],[Candidate 8]], "")</f>
        <v/>
      </c>
      <c r="AM708" s="18" t="str">
        <f>IF(NOT(ISBLANK(Audit[[#This Row],[Audit Candidate 9]])), Audit[[#This Row],[Audit Candidate 9]]-Audit[[#This Row],[Candidate 9]], "")</f>
        <v/>
      </c>
      <c r="AN708" s="18" t="str">
        <f>IF(NOT(ISBLANK(Audit[[#This Row],[Audit Candidate 10]])), Audit[[#This Row],[Audit Candidate 10]]-Audit[[#This Row],[Candidate 10]], "")</f>
        <v/>
      </c>
      <c r="AO708" s="18" t="str">
        <f>IF(NOT(ISBLANK(Audit[[#This Row],[Audit Candidate 11]])), Audit[[#This Row],[Audit Candidate 11]]-Audit[[#This Row],[Candidate 11]], "")</f>
        <v/>
      </c>
      <c r="AP708" s="18" t="str">
        <f>IF(NOT(ISBLANK(Audit[[#This Row],[Audit Candidate 12]])), Audit[[#This Row],[Audit Candidate 12]]-Audit[[#This Row],[Candidate 12]], "")</f>
        <v/>
      </c>
      <c r="AQ708" s="18">
        <f>SUMIF(Audit[[#This Row],[Difference Winner]:[Difference Candidate 12]], "&gt;0")</f>
        <v>0</v>
      </c>
      <c r="AR708" s="18">
        <f>SUM(Audit[[#This Row],[Difference Winner]:[Difference Candidate 12]])</f>
        <v>0</v>
      </c>
      <c r="AS708" s="18">
        <f>IF(Audit[[#This Row],[Times p Drawn - With Replacement]]&gt;0, IF(Audit[[#This Row],[Canceled Differences]]&lt;0, Audit[[#This Row],[Max Differences]]+ABS(Audit[[#This Row],[Canceled Differences]]), Audit[[#This Row],[Max Differences]]), 0)</f>
        <v>0</v>
      </c>
      <c r="AT708" s="18">
        <f>'Sampling Data'!AB708</f>
        <v>2.8583095140873828E-3</v>
      </c>
      <c r="AU708" s="18">
        <f>IF(
      SUM(Audit[[#This Row],[Audit Losing Candidate]:[Audit Candidate 12]])
      &lt;&gt;0,
      (Audit[[#This Row],[Winning Candidate]]-Audit[[#This Row],[Losing Candidate]]-(Audit[[#This Row],[Audit Winning Candidate]]-Audit[[#This Row],[Audit Losing Candidate]]))/(Audit[[#Totals],[Winning Candidate]]-Audit[[#Totals],[Losing Candidate]]),
      0
)</f>
        <v>0</v>
      </c>
      <c r="AV7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8">
        <f>IF(Audit[[#This Row],[Max Relative Error (ep)]] = 0, 0, Audit[[#This Row],[Max Relative Error (ep)]]/Audit[[#This Row],[Error Bound (up) - Max. possible relative overstatement]])</f>
        <v>0</v>
      </c>
      <c r="BH7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8" s="18">
        <f t="shared" si="11"/>
        <v>1</v>
      </c>
      <c r="BJ708" s="18">
        <f>PRODUCT($BI$5:BI708)</f>
        <v>0.32656797278968008</v>
      </c>
      <c r="BK708" s="20">
        <f>1 - Audit[[#This Row],[K-M P Value]]</f>
        <v>0.67343202721031992</v>
      </c>
      <c r="BL708" s="18" t="str">
        <f>IF(Audit[[#This Row],[K-M P Value]]&gt;1-'General Info'!$B$12,"Continue", "Stop")</f>
        <v>Continue</v>
      </c>
      <c r="BM708" s="23" t="b">
        <f>IF(Audit[[#This Row],[Status - Continue or stop audit]] = "Continue", TRUE, IF(BL707 = "Continue", TRUE, FALSE))</f>
        <v>1</v>
      </c>
      <c r="BN708" s="23"/>
    </row>
    <row r="709" spans="1:66" ht="15" hidden="1" customHeight="1" x14ac:dyDescent="0.35">
      <c r="A709" s="18" t="str">
        <f>'Sampling Data'!AI709</f>
        <v/>
      </c>
      <c r="B709" s="18" t="str">
        <f>'Sampling Data'!A709</f>
        <v>2310 CIN 23-J   (ED)</v>
      </c>
      <c r="C709" s="18">
        <f>'Sampling Data'!B709</f>
        <v>34</v>
      </c>
      <c r="D709" s="18">
        <f>'Sampling Data'!C709</f>
        <v>6</v>
      </c>
      <c r="E709" s="19">
        <f>'Sampling Data'!D709</f>
        <v>0</v>
      </c>
      <c r="F709" s="19">
        <f>'Sampling Data'!E709</f>
        <v>0</v>
      </c>
      <c r="G709" s="19">
        <f>'Sampling Data'!F709</f>
        <v>0</v>
      </c>
      <c r="H709" s="19">
        <f>'Sampling Data'!G709</f>
        <v>0</v>
      </c>
      <c r="I709" s="19">
        <f>'Sampling Data'!H709</f>
        <v>0</v>
      </c>
      <c r="J709" s="19">
        <f>'Sampling Data'!I709</f>
        <v>0</v>
      </c>
      <c r="K709" s="19">
        <f>'Sampling Data'!J709</f>
        <v>0</v>
      </c>
      <c r="L709" s="19">
        <f>'Sampling Data'!K709</f>
        <v>0</v>
      </c>
      <c r="M709" s="19">
        <f>'Sampling Data'!L709</f>
        <v>0</v>
      </c>
      <c r="N709" s="19">
        <f>'Sampling Data'!M709</f>
        <v>0</v>
      </c>
      <c r="O709" s="18">
        <f>'Sampling Data'!N709</f>
        <v>0</v>
      </c>
      <c r="P709" s="18">
        <f>'Sampling Data'!O709</f>
        <v>1</v>
      </c>
      <c r="Q709" s="18">
        <f>'Sampling Data'!P709</f>
        <v>41</v>
      </c>
      <c r="R709" s="18">
        <f>'Sampling Data'!AJ709</f>
        <v>0</v>
      </c>
      <c r="S709" s="112"/>
      <c r="T709" s="112"/>
      <c r="U709" s="113"/>
      <c r="V709" s="113"/>
      <c r="W709" s="112"/>
      <c r="X709" s="112"/>
      <c r="Y709" s="112"/>
      <c r="Z709" s="112"/>
      <c r="AA709" s="15"/>
      <c r="AB709" s="15"/>
      <c r="AC709" s="15"/>
      <c r="AD709" s="15"/>
      <c r="AE709" s="114" t="str">
        <f>IF(NOT(ISBLANK(Audit[[#This Row],[Audit Winning Candidate]])), Audit[[#This Row],[Audit Winning Candidate]]-Audit[[#This Row],[Winning Candidate]], "")</f>
        <v/>
      </c>
      <c r="AF709" s="18" t="str">
        <f>IF(NOT(ISBLANK(Audit[[#This Row],[Audit Losing Candidate]])), Audit[[#This Row],[Audit Losing Candidate]]-Audit[[#This Row],[Losing Candidate]], "")</f>
        <v/>
      </c>
      <c r="AG709" s="18" t="str">
        <f>IF(NOT(ISBLANK(Audit[[#This Row],[Audit Candidate 3]])), Audit[[#This Row],[Audit Candidate 3]]-Audit[[#This Row],[Candidate 3]], "")</f>
        <v/>
      </c>
      <c r="AH709" s="18" t="str">
        <f>IF(NOT(ISBLANK(Audit[[#This Row],[Audit Candidate 4]])),Audit[[#This Row],[Audit Candidate 4]]-Audit[[#This Row],[Candidate 4]], "")</f>
        <v/>
      </c>
      <c r="AI709" s="18" t="str">
        <f>IF(NOT(ISBLANK(Audit[[#This Row],[Audit Candidate 5]])), Audit[[#This Row],[Audit Candidate 5]]-Audit[[#This Row],[Candidate 5]], "")</f>
        <v/>
      </c>
      <c r="AJ709" s="18" t="str">
        <f>IF(NOT(ISBLANK(Audit[[#This Row],[Audit Candidate 6]])), Audit[[#This Row],[Audit Candidate 6]]-Audit[[#This Row],[Candidate 6]], "")</f>
        <v/>
      </c>
      <c r="AK709" s="18" t="str">
        <f>IF(NOT(ISBLANK(Audit[[#This Row],[Audit Candidate 7]])), Audit[[#This Row],[Audit Candidate 7]]-Audit[[#This Row],[Candidate 7]], "")</f>
        <v/>
      </c>
      <c r="AL709" s="18" t="str">
        <f>IF(NOT(ISBLANK(Audit[[#This Row],[Audit Candidate 8]])), Audit[[#This Row],[Audit Candidate 8]]-Audit[[#This Row],[Candidate 8]], "")</f>
        <v/>
      </c>
      <c r="AM709" s="18" t="str">
        <f>IF(NOT(ISBLANK(Audit[[#This Row],[Audit Candidate 9]])), Audit[[#This Row],[Audit Candidate 9]]-Audit[[#This Row],[Candidate 9]], "")</f>
        <v/>
      </c>
      <c r="AN709" s="18" t="str">
        <f>IF(NOT(ISBLANK(Audit[[#This Row],[Audit Candidate 10]])), Audit[[#This Row],[Audit Candidate 10]]-Audit[[#This Row],[Candidate 10]], "")</f>
        <v/>
      </c>
      <c r="AO709" s="18" t="str">
        <f>IF(NOT(ISBLANK(Audit[[#This Row],[Audit Candidate 11]])), Audit[[#This Row],[Audit Candidate 11]]-Audit[[#This Row],[Candidate 11]], "")</f>
        <v/>
      </c>
      <c r="AP709" s="18" t="str">
        <f>IF(NOT(ISBLANK(Audit[[#This Row],[Audit Candidate 12]])), Audit[[#This Row],[Audit Candidate 12]]-Audit[[#This Row],[Candidate 12]], "")</f>
        <v/>
      </c>
      <c r="AQ709" s="18">
        <f>SUMIF(Audit[[#This Row],[Difference Winner]:[Difference Candidate 12]], "&gt;0")</f>
        <v>0</v>
      </c>
      <c r="AR709" s="18">
        <f>SUM(Audit[[#This Row],[Difference Winner]:[Difference Candidate 12]])</f>
        <v>0</v>
      </c>
      <c r="AS709" s="18">
        <f>IF(Audit[[#This Row],[Times p Drawn - With Replacement]]&gt;0, IF(Audit[[#This Row],[Canceled Differences]]&lt;0, Audit[[#This Row],[Max Differences]]+ABS(Audit[[#This Row],[Canceled Differences]]), Audit[[#This Row],[Max Differences]]), 0)</f>
        <v>0</v>
      </c>
      <c r="AT709" s="18">
        <f>'Sampling Data'!AB709</f>
        <v>2.1672896315607626E-3</v>
      </c>
      <c r="AU709" s="18">
        <f>IF(
      SUM(Audit[[#This Row],[Audit Losing Candidate]:[Audit Candidate 12]])
      &lt;&gt;0,
      (Audit[[#This Row],[Winning Candidate]]-Audit[[#This Row],[Losing Candidate]]-(Audit[[#This Row],[Audit Winning Candidate]]-Audit[[#This Row],[Audit Losing Candidate]]))/(Audit[[#Totals],[Winning Candidate]]-Audit[[#Totals],[Losing Candidate]]),
      0
)</f>
        <v>0</v>
      </c>
      <c r="AV7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8">
        <f>IF(Audit[[#This Row],[Max Relative Error (ep)]] = 0, 0, Audit[[#This Row],[Max Relative Error (ep)]]/Audit[[#This Row],[Error Bound (up) - Max. possible relative overstatement]])</f>
        <v>0</v>
      </c>
      <c r="BH7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09" s="18">
        <f t="shared" si="11"/>
        <v>1</v>
      </c>
      <c r="BJ709" s="18">
        <f>PRODUCT($BI$5:BI709)</f>
        <v>0.32656797278968008</v>
      </c>
      <c r="BK709" s="20">
        <f>1 - Audit[[#This Row],[K-M P Value]]</f>
        <v>0.67343202721031992</v>
      </c>
      <c r="BL709" s="18" t="str">
        <f>IF(Audit[[#This Row],[K-M P Value]]&gt;1-'General Info'!$B$12,"Continue", "Stop")</f>
        <v>Continue</v>
      </c>
      <c r="BM709" s="23" t="b">
        <f>IF(Audit[[#This Row],[Status - Continue or stop audit]] = "Continue", TRUE, IF(BL708 = "Continue", TRUE, FALSE))</f>
        <v>1</v>
      </c>
      <c r="BN709" s="23"/>
    </row>
    <row r="710" spans="1:66" ht="15" hidden="1" customHeight="1" x14ac:dyDescent="0.35">
      <c r="A710" s="18" t="str">
        <f>'Sampling Data'!AI710</f>
        <v/>
      </c>
      <c r="B710" s="18" t="str">
        <f>'Sampling Data'!A710</f>
        <v>2311 CIN 23-K   (ED)</v>
      </c>
      <c r="C710" s="18">
        <f>'Sampling Data'!B710</f>
        <v>10</v>
      </c>
      <c r="D710" s="18">
        <f>'Sampling Data'!C710</f>
        <v>2</v>
      </c>
      <c r="E710" s="19">
        <f>'Sampling Data'!D710</f>
        <v>0</v>
      </c>
      <c r="F710" s="19">
        <f>'Sampling Data'!E710</f>
        <v>0</v>
      </c>
      <c r="G710" s="19">
        <f>'Sampling Data'!F710</f>
        <v>0</v>
      </c>
      <c r="H710" s="19">
        <f>'Sampling Data'!G710</f>
        <v>0</v>
      </c>
      <c r="I710" s="19">
        <f>'Sampling Data'!H710</f>
        <v>0</v>
      </c>
      <c r="J710" s="19">
        <f>'Sampling Data'!I710</f>
        <v>0</v>
      </c>
      <c r="K710" s="19">
        <f>'Sampling Data'!J710</f>
        <v>0</v>
      </c>
      <c r="L710" s="19">
        <f>'Sampling Data'!K710</f>
        <v>0</v>
      </c>
      <c r="M710" s="19">
        <f>'Sampling Data'!L710</f>
        <v>0</v>
      </c>
      <c r="N710" s="19">
        <f>'Sampling Data'!M710</f>
        <v>0</v>
      </c>
      <c r="O710" s="18">
        <f>'Sampling Data'!N710</f>
        <v>0</v>
      </c>
      <c r="P710" s="18">
        <f>'Sampling Data'!O710</f>
        <v>1</v>
      </c>
      <c r="Q710" s="18">
        <f>'Sampling Data'!P710</f>
        <v>13</v>
      </c>
      <c r="R710" s="18">
        <f>'Sampling Data'!AJ710</f>
        <v>0</v>
      </c>
      <c r="S710" s="112"/>
      <c r="T710" s="112"/>
      <c r="U710" s="113"/>
      <c r="V710" s="113"/>
      <c r="W710" s="112"/>
      <c r="X710" s="112"/>
      <c r="Y710" s="112"/>
      <c r="Z710" s="112"/>
      <c r="AA710" s="15"/>
      <c r="AB710" s="15"/>
      <c r="AC710" s="15"/>
      <c r="AD710" s="15"/>
      <c r="AE710" s="114" t="str">
        <f>IF(NOT(ISBLANK(Audit[[#This Row],[Audit Winning Candidate]])), Audit[[#This Row],[Audit Winning Candidate]]-Audit[[#This Row],[Winning Candidate]], "")</f>
        <v/>
      </c>
      <c r="AF710" s="18" t="str">
        <f>IF(NOT(ISBLANK(Audit[[#This Row],[Audit Losing Candidate]])), Audit[[#This Row],[Audit Losing Candidate]]-Audit[[#This Row],[Losing Candidate]], "")</f>
        <v/>
      </c>
      <c r="AG710" s="18" t="str">
        <f>IF(NOT(ISBLANK(Audit[[#This Row],[Audit Candidate 3]])), Audit[[#This Row],[Audit Candidate 3]]-Audit[[#This Row],[Candidate 3]], "")</f>
        <v/>
      </c>
      <c r="AH710" s="18" t="str">
        <f>IF(NOT(ISBLANK(Audit[[#This Row],[Audit Candidate 4]])),Audit[[#This Row],[Audit Candidate 4]]-Audit[[#This Row],[Candidate 4]], "")</f>
        <v/>
      </c>
      <c r="AI710" s="18" t="str">
        <f>IF(NOT(ISBLANK(Audit[[#This Row],[Audit Candidate 5]])), Audit[[#This Row],[Audit Candidate 5]]-Audit[[#This Row],[Candidate 5]], "")</f>
        <v/>
      </c>
      <c r="AJ710" s="18" t="str">
        <f>IF(NOT(ISBLANK(Audit[[#This Row],[Audit Candidate 6]])), Audit[[#This Row],[Audit Candidate 6]]-Audit[[#This Row],[Candidate 6]], "")</f>
        <v/>
      </c>
      <c r="AK710" s="18" t="str">
        <f>IF(NOT(ISBLANK(Audit[[#This Row],[Audit Candidate 7]])), Audit[[#This Row],[Audit Candidate 7]]-Audit[[#This Row],[Candidate 7]], "")</f>
        <v/>
      </c>
      <c r="AL710" s="18" t="str">
        <f>IF(NOT(ISBLANK(Audit[[#This Row],[Audit Candidate 8]])), Audit[[#This Row],[Audit Candidate 8]]-Audit[[#This Row],[Candidate 8]], "")</f>
        <v/>
      </c>
      <c r="AM710" s="18" t="str">
        <f>IF(NOT(ISBLANK(Audit[[#This Row],[Audit Candidate 9]])), Audit[[#This Row],[Audit Candidate 9]]-Audit[[#This Row],[Candidate 9]], "")</f>
        <v/>
      </c>
      <c r="AN710" s="18" t="str">
        <f>IF(NOT(ISBLANK(Audit[[#This Row],[Audit Candidate 10]])), Audit[[#This Row],[Audit Candidate 10]]-Audit[[#This Row],[Candidate 10]], "")</f>
        <v/>
      </c>
      <c r="AO710" s="18" t="str">
        <f>IF(NOT(ISBLANK(Audit[[#This Row],[Audit Candidate 11]])), Audit[[#This Row],[Audit Candidate 11]]-Audit[[#This Row],[Candidate 11]], "")</f>
        <v/>
      </c>
      <c r="AP710" s="18" t="str">
        <f>IF(NOT(ISBLANK(Audit[[#This Row],[Audit Candidate 12]])), Audit[[#This Row],[Audit Candidate 12]]-Audit[[#This Row],[Candidate 12]], "")</f>
        <v/>
      </c>
      <c r="AQ710" s="18">
        <f>SUMIF(Audit[[#This Row],[Difference Winner]:[Difference Candidate 12]], "&gt;0")</f>
        <v>0</v>
      </c>
      <c r="AR710" s="18">
        <f>SUM(Audit[[#This Row],[Difference Winner]:[Difference Candidate 12]])</f>
        <v>0</v>
      </c>
      <c r="AS710" s="18">
        <f>IF(Audit[[#This Row],[Times p Drawn - With Replacement]]&gt;0, IF(Audit[[#This Row],[Canceled Differences]]&lt;0, Audit[[#This Row],[Max Differences]]+ABS(Audit[[#This Row],[Canceled Differences]]), Audit[[#This Row],[Max Differences]]), 0)</f>
        <v>0</v>
      </c>
      <c r="AT710" s="18">
        <f>'Sampling Data'!AB710</f>
        <v>6.5960988786631911E-4</v>
      </c>
      <c r="AU710" s="18">
        <f>IF(
      SUM(Audit[[#This Row],[Audit Losing Candidate]:[Audit Candidate 12]])
      &lt;&gt;0,
      (Audit[[#This Row],[Winning Candidate]]-Audit[[#This Row],[Losing Candidate]]-(Audit[[#This Row],[Audit Winning Candidate]]-Audit[[#This Row],[Audit Losing Candidate]]))/(Audit[[#Totals],[Winning Candidate]]-Audit[[#Totals],[Losing Candidate]]),
      0
)</f>
        <v>0</v>
      </c>
      <c r="AV7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8">
        <f>IF(Audit[[#This Row],[Max Relative Error (ep)]] = 0, 0, Audit[[#This Row],[Max Relative Error (ep)]]/Audit[[#This Row],[Error Bound (up) - Max. possible relative overstatement]])</f>
        <v>0</v>
      </c>
      <c r="BH7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0" s="18">
        <f t="shared" si="11"/>
        <v>1</v>
      </c>
      <c r="BJ710" s="18">
        <f>PRODUCT($BI$5:BI710)</f>
        <v>0.32656797278968008</v>
      </c>
      <c r="BK710" s="20">
        <f>1 - Audit[[#This Row],[K-M P Value]]</f>
        <v>0.67343202721031992</v>
      </c>
      <c r="BL710" s="18" t="str">
        <f>IF(Audit[[#This Row],[K-M P Value]]&gt;1-'General Info'!$B$12,"Continue", "Stop")</f>
        <v>Continue</v>
      </c>
      <c r="BM710" s="23" t="b">
        <f>IF(Audit[[#This Row],[Status - Continue or stop audit]] = "Continue", TRUE, IF(BL709 = "Continue", TRUE, FALSE))</f>
        <v>1</v>
      </c>
      <c r="BN710" s="23"/>
    </row>
    <row r="711" spans="1:66" ht="15" hidden="1" customHeight="1" x14ac:dyDescent="0.35">
      <c r="A711" s="18" t="str">
        <f>'Sampling Data'!AI711</f>
        <v/>
      </c>
      <c r="B711" s="18" t="str">
        <f>'Sampling Data'!A711</f>
        <v>2312 CIN 23-L   (ED)</v>
      </c>
      <c r="C711" s="18">
        <f>'Sampling Data'!B711</f>
        <v>18</v>
      </c>
      <c r="D711" s="18">
        <f>'Sampling Data'!C711</f>
        <v>0</v>
      </c>
      <c r="E711" s="19">
        <f>'Sampling Data'!D711</f>
        <v>0</v>
      </c>
      <c r="F711" s="19">
        <f>'Sampling Data'!E711</f>
        <v>0</v>
      </c>
      <c r="G711" s="19">
        <f>'Sampling Data'!F711</f>
        <v>0</v>
      </c>
      <c r="H711" s="19">
        <f>'Sampling Data'!G711</f>
        <v>0</v>
      </c>
      <c r="I711" s="19">
        <f>'Sampling Data'!H711</f>
        <v>0</v>
      </c>
      <c r="J711" s="19">
        <f>'Sampling Data'!I711</f>
        <v>0</v>
      </c>
      <c r="K711" s="19">
        <f>'Sampling Data'!J711</f>
        <v>0</v>
      </c>
      <c r="L711" s="19">
        <f>'Sampling Data'!K711</f>
        <v>0</v>
      </c>
      <c r="M711" s="19">
        <f>'Sampling Data'!L711</f>
        <v>0</v>
      </c>
      <c r="N711" s="19">
        <f>'Sampling Data'!M711</f>
        <v>0</v>
      </c>
      <c r="O711" s="18">
        <f>'Sampling Data'!N711</f>
        <v>0</v>
      </c>
      <c r="P711" s="18">
        <f>'Sampling Data'!O711</f>
        <v>0</v>
      </c>
      <c r="Q711" s="18">
        <f>'Sampling Data'!P711</f>
        <v>18</v>
      </c>
      <c r="R711" s="18">
        <f>'Sampling Data'!AJ711</f>
        <v>0</v>
      </c>
      <c r="S711" s="112"/>
      <c r="T711" s="112"/>
      <c r="U711" s="113"/>
      <c r="V711" s="113"/>
      <c r="W711" s="112"/>
      <c r="X711" s="112"/>
      <c r="Y711" s="112"/>
      <c r="Z711" s="112"/>
      <c r="AA711" s="15"/>
      <c r="AB711" s="15"/>
      <c r="AC711" s="15"/>
      <c r="AD711" s="15"/>
      <c r="AE711" s="114" t="str">
        <f>IF(NOT(ISBLANK(Audit[[#This Row],[Audit Winning Candidate]])), Audit[[#This Row],[Audit Winning Candidate]]-Audit[[#This Row],[Winning Candidate]], "")</f>
        <v/>
      </c>
      <c r="AF711" s="18" t="str">
        <f>IF(NOT(ISBLANK(Audit[[#This Row],[Audit Losing Candidate]])), Audit[[#This Row],[Audit Losing Candidate]]-Audit[[#This Row],[Losing Candidate]], "")</f>
        <v/>
      </c>
      <c r="AG711" s="18" t="str">
        <f>IF(NOT(ISBLANK(Audit[[#This Row],[Audit Candidate 3]])), Audit[[#This Row],[Audit Candidate 3]]-Audit[[#This Row],[Candidate 3]], "")</f>
        <v/>
      </c>
      <c r="AH711" s="18" t="str">
        <f>IF(NOT(ISBLANK(Audit[[#This Row],[Audit Candidate 4]])),Audit[[#This Row],[Audit Candidate 4]]-Audit[[#This Row],[Candidate 4]], "")</f>
        <v/>
      </c>
      <c r="AI711" s="18" t="str">
        <f>IF(NOT(ISBLANK(Audit[[#This Row],[Audit Candidate 5]])), Audit[[#This Row],[Audit Candidate 5]]-Audit[[#This Row],[Candidate 5]], "")</f>
        <v/>
      </c>
      <c r="AJ711" s="18" t="str">
        <f>IF(NOT(ISBLANK(Audit[[#This Row],[Audit Candidate 6]])), Audit[[#This Row],[Audit Candidate 6]]-Audit[[#This Row],[Candidate 6]], "")</f>
        <v/>
      </c>
      <c r="AK711" s="18" t="str">
        <f>IF(NOT(ISBLANK(Audit[[#This Row],[Audit Candidate 7]])), Audit[[#This Row],[Audit Candidate 7]]-Audit[[#This Row],[Candidate 7]], "")</f>
        <v/>
      </c>
      <c r="AL711" s="18" t="str">
        <f>IF(NOT(ISBLANK(Audit[[#This Row],[Audit Candidate 8]])), Audit[[#This Row],[Audit Candidate 8]]-Audit[[#This Row],[Candidate 8]], "")</f>
        <v/>
      </c>
      <c r="AM711" s="18" t="str">
        <f>IF(NOT(ISBLANK(Audit[[#This Row],[Audit Candidate 9]])), Audit[[#This Row],[Audit Candidate 9]]-Audit[[#This Row],[Candidate 9]], "")</f>
        <v/>
      </c>
      <c r="AN711" s="18" t="str">
        <f>IF(NOT(ISBLANK(Audit[[#This Row],[Audit Candidate 10]])), Audit[[#This Row],[Audit Candidate 10]]-Audit[[#This Row],[Candidate 10]], "")</f>
        <v/>
      </c>
      <c r="AO711" s="18" t="str">
        <f>IF(NOT(ISBLANK(Audit[[#This Row],[Audit Candidate 11]])), Audit[[#This Row],[Audit Candidate 11]]-Audit[[#This Row],[Candidate 11]], "")</f>
        <v/>
      </c>
      <c r="AP711" s="18" t="str">
        <f>IF(NOT(ISBLANK(Audit[[#This Row],[Audit Candidate 12]])), Audit[[#This Row],[Audit Candidate 12]]-Audit[[#This Row],[Candidate 12]], "")</f>
        <v/>
      </c>
      <c r="AQ711" s="18">
        <f>SUMIF(Audit[[#This Row],[Difference Winner]:[Difference Candidate 12]], "&gt;0")</f>
        <v>0</v>
      </c>
      <c r="AR711" s="18">
        <f>SUM(Audit[[#This Row],[Difference Winner]:[Difference Candidate 12]])</f>
        <v>0</v>
      </c>
      <c r="AS711" s="18">
        <f>IF(Audit[[#This Row],[Times p Drawn - With Replacement]]&gt;0, IF(Audit[[#This Row],[Canceled Differences]]&lt;0, Audit[[#This Row],[Max Differences]]+ABS(Audit[[#This Row],[Canceled Differences]]), Audit[[#This Row],[Max Differences]]), 0)</f>
        <v>0</v>
      </c>
      <c r="AT711" s="18">
        <f>'Sampling Data'!AB711</f>
        <v>1.1307598077708327E-3</v>
      </c>
      <c r="AU711" s="18">
        <f>IF(
      SUM(Audit[[#This Row],[Audit Losing Candidate]:[Audit Candidate 12]])
      &lt;&gt;0,
      (Audit[[#This Row],[Winning Candidate]]-Audit[[#This Row],[Losing Candidate]]-(Audit[[#This Row],[Audit Winning Candidate]]-Audit[[#This Row],[Audit Losing Candidate]]))/(Audit[[#Totals],[Winning Candidate]]-Audit[[#Totals],[Losing Candidate]]),
      0
)</f>
        <v>0</v>
      </c>
      <c r="AV7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8">
        <f>IF(Audit[[#This Row],[Max Relative Error (ep)]] = 0, 0, Audit[[#This Row],[Max Relative Error (ep)]]/Audit[[#This Row],[Error Bound (up) - Max. possible relative overstatement]])</f>
        <v>0</v>
      </c>
      <c r="BH7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1" s="18">
        <f t="shared" si="11"/>
        <v>1</v>
      </c>
      <c r="BJ711" s="18">
        <f>PRODUCT($BI$5:BI711)</f>
        <v>0.32656797278968008</v>
      </c>
      <c r="BK711" s="20">
        <f>1 - Audit[[#This Row],[K-M P Value]]</f>
        <v>0.67343202721031992</v>
      </c>
      <c r="BL711" s="18" t="str">
        <f>IF(Audit[[#This Row],[K-M P Value]]&gt;1-'General Info'!$B$12,"Continue", "Stop")</f>
        <v>Continue</v>
      </c>
      <c r="BM711" s="23" t="b">
        <f>IF(Audit[[#This Row],[Status - Continue or stop audit]] = "Continue", TRUE, IF(BL710 = "Continue", TRUE, FALSE))</f>
        <v>1</v>
      </c>
      <c r="BN711" s="23"/>
    </row>
    <row r="712" spans="1:66" ht="15" hidden="1" customHeight="1" x14ac:dyDescent="0.35">
      <c r="A712" s="18" t="str">
        <f>'Sampling Data'!AI712</f>
        <v/>
      </c>
      <c r="B712" s="18" t="str">
        <f>'Sampling Data'!A712</f>
        <v>2313 CIN 23-M   (ED)</v>
      </c>
      <c r="C712" s="18">
        <f>'Sampling Data'!B712</f>
        <v>7</v>
      </c>
      <c r="D712" s="18">
        <f>'Sampling Data'!C712</f>
        <v>1</v>
      </c>
      <c r="E712" s="19">
        <f>'Sampling Data'!D712</f>
        <v>0</v>
      </c>
      <c r="F712" s="19">
        <f>'Sampling Data'!E712</f>
        <v>0</v>
      </c>
      <c r="G712" s="19">
        <f>'Sampling Data'!F712</f>
        <v>0</v>
      </c>
      <c r="H712" s="19">
        <f>'Sampling Data'!G712</f>
        <v>0</v>
      </c>
      <c r="I712" s="19">
        <f>'Sampling Data'!H712</f>
        <v>0</v>
      </c>
      <c r="J712" s="19">
        <f>'Sampling Data'!I712</f>
        <v>0</v>
      </c>
      <c r="K712" s="19">
        <f>'Sampling Data'!J712</f>
        <v>0</v>
      </c>
      <c r="L712" s="19">
        <f>'Sampling Data'!K712</f>
        <v>0</v>
      </c>
      <c r="M712" s="19">
        <f>'Sampling Data'!L712</f>
        <v>0</v>
      </c>
      <c r="N712" s="19">
        <f>'Sampling Data'!M712</f>
        <v>0</v>
      </c>
      <c r="O712" s="18">
        <f>'Sampling Data'!N712</f>
        <v>0</v>
      </c>
      <c r="P712" s="18">
        <f>'Sampling Data'!O712</f>
        <v>0</v>
      </c>
      <c r="Q712" s="18">
        <f>'Sampling Data'!P712</f>
        <v>8</v>
      </c>
      <c r="R712" s="18">
        <f>'Sampling Data'!AJ712</f>
        <v>0</v>
      </c>
      <c r="S712" s="112"/>
      <c r="T712" s="112"/>
      <c r="U712" s="113"/>
      <c r="V712" s="113"/>
      <c r="W712" s="112"/>
      <c r="X712" s="112"/>
      <c r="Y712" s="112"/>
      <c r="Z712" s="112"/>
      <c r="AA712" s="15"/>
      <c r="AB712" s="15"/>
      <c r="AC712" s="15"/>
      <c r="AD712" s="15"/>
      <c r="AE712" s="114" t="str">
        <f>IF(NOT(ISBLANK(Audit[[#This Row],[Audit Winning Candidate]])), Audit[[#This Row],[Audit Winning Candidate]]-Audit[[#This Row],[Winning Candidate]], "")</f>
        <v/>
      </c>
      <c r="AF712" s="18" t="str">
        <f>IF(NOT(ISBLANK(Audit[[#This Row],[Audit Losing Candidate]])), Audit[[#This Row],[Audit Losing Candidate]]-Audit[[#This Row],[Losing Candidate]], "")</f>
        <v/>
      </c>
      <c r="AG712" s="18" t="str">
        <f>IF(NOT(ISBLANK(Audit[[#This Row],[Audit Candidate 3]])), Audit[[#This Row],[Audit Candidate 3]]-Audit[[#This Row],[Candidate 3]], "")</f>
        <v/>
      </c>
      <c r="AH712" s="18" t="str">
        <f>IF(NOT(ISBLANK(Audit[[#This Row],[Audit Candidate 4]])),Audit[[#This Row],[Audit Candidate 4]]-Audit[[#This Row],[Candidate 4]], "")</f>
        <v/>
      </c>
      <c r="AI712" s="18" t="str">
        <f>IF(NOT(ISBLANK(Audit[[#This Row],[Audit Candidate 5]])), Audit[[#This Row],[Audit Candidate 5]]-Audit[[#This Row],[Candidate 5]], "")</f>
        <v/>
      </c>
      <c r="AJ712" s="18" t="str">
        <f>IF(NOT(ISBLANK(Audit[[#This Row],[Audit Candidate 6]])), Audit[[#This Row],[Audit Candidate 6]]-Audit[[#This Row],[Candidate 6]], "")</f>
        <v/>
      </c>
      <c r="AK712" s="18" t="str">
        <f>IF(NOT(ISBLANK(Audit[[#This Row],[Audit Candidate 7]])), Audit[[#This Row],[Audit Candidate 7]]-Audit[[#This Row],[Candidate 7]], "")</f>
        <v/>
      </c>
      <c r="AL712" s="18" t="str">
        <f>IF(NOT(ISBLANK(Audit[[#This Row],[Audit Candidate 8]])), Audit[[#This Row],[Audit Candidate 8]]-Audit[[#This Row],[Candidate 8]], "")</f>
        <v/>
      </c>
      <c r="AM712" s="18" t="str">
        <f>IF(NOT(ISBLANK(Audit[[#This Row],[Audit Candidate 9]])), Audit[[#This Row],[Audit Candidate 9]]-Audit[[#This Row],[Candidate 9]], "")</f>
        <v/>
      </c>
      <c r="AN712" s="18" t="str">
        <f>IF(NOT(ISBLANK(Audit[[#This Row],[Audit Candidate 10]])), Audit[[#This Row],[Audit Candidate 10]]-Audit[[#This Row],[Candidate 10]], "")</f>
        <v/>
      </c>
      <c r="AO712" s="18" t="str">
        <f>IF(NOT(ISBLANK(Audit[[#This Row],[Audit Candidate 11]])), Audit[[#This Row],[Audit Candidate 11]]-Audit[[#This Row],[Candidate 11]], "")</f>
        <v/>
      </c>
      <c r="AP712" s="18" t="str">
        <f>IF(NOT(ISBLANK(Audit[[#This Row],[Audit Candidate 12]])), Audit[[#This Row],[Audit Candidate 12]]-Audit[[#This Row],[Candidate 12]], "")</f>
        <v/>
      </c>
      <c r="AQ712" s="18">
        <f>SUMIF(Audit[[#This Row],[Difference Winner]:[Difference Candidate 12]], "&gt;0")</f>
        <v>0</v>
      </c>
      <c r="AR712" s="18">
        <f>SUM(Audit[[#This Row],[Difference Winner]:[Difference Candidate 12]])</f>
        <v>0</v>
      </c>
      <c r="AS712" s="18">
        <f>IF(Audit[[#This Row],[Times p Drawn - With Replacement]]&gt;0, IF(Audit[[#This Row],[Canceled Differences]]&lt;0, Audit[[#This Row],[Max Differences]]+ABS(Audit[[#This Row],[Canceled Differences]]), Audit[[#This Row],[Max Differences]]), 0)</f>
        <v>0</v>
      </c>
      <c r="AT712" s="18">
        <f>'Sampling Data'!AB712</f>
        <v>4.3973992524421271E-4</v>
      </c>
      <c r="AU712" s="18">
        <f>IF(
      SUM(Audit[[#This Row],[Audit Losing Candidate]:[Audit Candidate 12]])
      &lt;&gt;0,
      (Audit[[#This Row],[Winning Candidate]]-Audit[[#This Row],[Losing Candidate]]-(Audit[[#This Row],[Audit Winning Candidate]]-Audit[[#This Row],[Audit Losing Candidate]]))/(Audit[[#Totals],[Winning Candidate]]-Audit[[#Totals],[Losing Candidate]]),
      0
)</f>
        <v>0</v>
      </c>
      <c r="AV7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8">
        <f>IF(Audit[[#This Row],[Max Relative Error (ep)]] = 0, 0, Audit[[#This Row],[Max Relative Error (ep)]]/Audit[[#This Row],[Error Bound (up) - Max. possible relative overstatement]])</f>
        <v>0</v>
      </c>
      <c r="BH7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2" s="18">
        <f t="shared" si="11"/>
        <v>1</v>
      </c>
      <c r="BJ712" s="18">
        <f>PRODUCT($BI$5:BI712)</f>
        <v>0.32656797278968008</v>
      </c>
      <c r="BK712" s="20">
        <f>1 - Audit[[#This Row],[K-M P Value]]</f>
        <v>0.67343202721031992</v>
      </c>
      <c r="BL712" s="18" t="str">
        <f>IF(Audit[[#This Row],[K-M P Value]]&gt;1-'General Info'!$B$12,"Continue", "Stop")</f>
        <v>Continue</v>
      </c>
      <c r="BM712" s="23" t="b">
        <f>IF(Audit[[#This Row],[Status - Continue or stop audit]] = "Continue", TRUE, IF(BL711 = "Continue", TRUE, FALSE))</f>
        <v>1</v>
      </c>
      <c r="BN712" s="23"/>
    </row>
    <row r="713" spans="1:66" ht="15" hidden="1" customHeight="1" x14ac:dyDescent="0.35">
      <c r="A713" s="18" t="str">
        <f>'Sampling Data'!AI713</f>
        <v/>
      </c>
      <c r="B713" s="18" t="str">
        <f>'Sampling Data'!A713</f>
        <v>2314 CIN 23-N   (ED)</v>
      </c>
      <c r="C713" s="18">
        <f>'Sampling Data'!B713</f>
        <v>31</v>
      </c>
      <c r="D713" s="18">
        <f>'Sampling Data'!C713</f>
        <v>2</v>
      </c>
      <c r="E713" s="19">
        <f>'Sampling Data'!D713</f>
        <v>0</v>
      </c>
      <c r="F713" s="19">
        <f>'Sampling Data'!E713</f>
        <v>0</v>
      </c>
      <c r="G713" s="19">
        <f>'Sampling Data'!F713</f>
        <v>0</v>
      </c>
      <c r="H713" s="19">
        <f>'Sampling Data'!G713</f>
        <v>0</v>
      </c>
      <c r="I713" s="19">
        <f>'Sampling Data'!H713</f>
        <v>0</v>
      </c>
      <c r="J713" s="19">
        <f>'Sampling Data'!I713</f>
        <v>0</v>
      </c>
      <c r="K713" s="19">
        <f>'Sampling Data'!J713</f>
        <v>0</v>
      </c>
      <c r="L713" s="19">
        <f>'Sampling Data'!K713</f>
        <v>0</v>
      </c>
      <c r="M713" s="19">
        <f>'Sampling Data'!L713</f>
        <v>0</v>
      </c>
      <c r="N713" s="19">
        <f>'Sampling Data'!M713</f>
        <v>0</v>
      </c>
      <c r="O713" s="18">
        <f>'Sampling Data'!N713</f>
        <v>0</v>
      </c>
      <c r="P713" s="18">
        <f>'Sampling Data'!O713</f>
        <v>3</v>
      </c>
      <c r="Q713" s="18">
        <f>'Sampling Data'!P713</f>
        <v>36</v>
      </c>
      <c r="R713" s="18">
        <f>'Sampling Data'!AJ713</f>
        <v>0</v>
      </c>
      <c r="S713" s="112"/>
      <c r="T713" s="112"/>
      <c r="U713" s="113"/>
      <c r="V713" s="113"/>
      <c r="W713" s="112"/>
      <c r="X713" s="112"/>
      <c r="Y713" s="112"/>
      <c r="Z713" s="112"/>
      <c r="AA713" s="15"/>
      <c r="AB713" s="15"/>
      <c r="AC713" s="15"/>
      <c r="AD713" s="15"/>
      <c r="AE713" s="114" t="str">
        <f>IF(NOT(ISBLANK(Audit[[#This Row],[Audit Winning Candidate]])), Audit[[#This Row],[Audit Winning Candidate]]-Audit[[#This Row],[Winning Candidate]], "")</f>
        <v/>
      </c>
      <c r="AF713" s="18" t="str">
        <f>IF(NOT(ISBLANK(Audit[[#This Row],[Audit Losing Candidate]])), Audit[[#This Row],[Audit Losing Candidate]]-Audit[[#This Row],[Losing Candidate]], "")</f>
        <v/>
      </c>
      <c r="AG713" s="18" t="str">
        <f>IF(NOT(ISBLANK(Audit[[#This Row],[Audit Candidate 3]])), Audit[[#This Row],[Audit Candidate 3]]-Audit[[#This Row],[Candidate 3]], "")</f>
        <v/>
      </c>
      <c r="AH713" s="18" t="str">
        <f>IF(NOT(ISBLANK(Audit[[#This Row],[Audit Candidate 4]])),Audit[[#This Row],[Audit Candidate 4]]-Audit[[#This Row],[Candidate 4]], "")</f>
        <v/>
      </c>
      <c r="AI713" s="18" t="str">
        <f>IF(NOT(ISBLANK(Audit[[#This Row],[Audit Candidate 5]])), Audit[[#This Row],[Audit Candidate 5]]-Audit[[#This Row],[Candidate 5]], "")</f>
        <v/>
      </c>
      <c r="AJ713" s="18" t="str">
        <f>IF(NOT(ISBLANK(Audit[[#This Row],[Audit Candidate 6]])), Audit[[#This Row],[Audit Candidate 6]]-Audit[[#This Row],[Candidate 6]], "")</f>
        <v/>
      </c>
      <c r="AK713" s="18" t="str">
        <f>IF(NOT(ISBLANK(Audit[[#This Row],[Audit Candidate 7]])), Audit[[#This Row],[Audit Candidate 7]]-Audit[[#This Row],[Candidate 7]], "")</f>
        <v/>
      </c>
      <c r="AL713" s="18" t="str">
        <f>IF(NOT(ISBLANK(Audit[[#This Row],[Audit Candidate 8]])), Audit[[#This Row],[Audit Candidate 8]]-Audit[[#This Row],[Candidate 8]], "")</f>
        <v/>
      </c>
      <c r="AM713" s="18" t="str">
        <f>IF(NOT(ISBLANK(Audit[[#This Row],[Audit Candidate 9]])), Audit[[#This Row],[Audit Candidate 9]]-Audit[[#This Row],[Candidate 9]], "")</f>
        <v/>
      </c>
      <c r="AN713" s="18" t="str">
        <f>IF(NOT(ISBLANK(Audit[[#This Row],[Audit Candidate 10]])), Audit[[#This Row],[Audit Candidate 10]]-Audit[[#This Row],[Candidate 10]], "")</f>
        <v/>
      </c>
      <c r="AO713" s="18" t="str">
        <f>IF(NOT(ISBLANK(Audit[[#This Row],[Audit Candidate 11]])), Audit[[#This Row],[Audit Candidate 11]]-Audit[[#This Row],[Candidate 11]], "")</f>
        <v/>
      </c>
      <c r="AP713" s="18" t="str">
        <f>IF(NOT(ISBLANK(Audit[[#This Row],[Audit Candidate 12]])), Audit[[#This Row],[Audit Candidate 12]]-Audit[[#This Row],[Candidate 12]], "")</f>
        <v/>
      </c>
      <c r="AQ713" s="18">
        <f>SUMIF(Audit[[#This Row],[Difference Winner]:[Difference Candidate 12]], "&gt;0")</f>
        <v>0</v>
      </c>
      <c r="AR713" s="18">
        <f>SUM(Audit[[#This Row],[Difference Winner]:[Difference Candidate 12]])</f>
        <v>0</v>
      </c>
      <c r="AS713" s="18">
        <f>IF(Audit[[#This Row],[Times p Drawn - With Replacement]]&gt;0, IF(Audit[[#This Row],[Canceled Differences]]&lt;0, Audit[[#This Row],[Max Differences]]+ABS(Audit[[#This Row],[Canceled Differences]]), Audit[[#This Row],[Max Differences]]), 0)</f>
        <v>0</v>
      </c>
      <c r="AT713" s="18">
        <f>'Sampling Data'!AB713</f>
        <v>2.0416496529195591E-3</v>
      </c>
      <c r="AU713" s="18">
        <f>IF(
      SUM(Audit[[#This Row],[Audit Losing Candidate]:[Audit Candidate 12]])
      &lt;&gt;0,
      (Audit[[#This Row],[Winning Candidate]]-Audit[[#This Row],[Losing Candidate]]-(Audit[[#This Row],[Audit Winning Candidate]]-Audit[[#This Row],[Audit Losing Candidate]]))/(Audit[[#Totals],[Winning Candidate]]-Audit[[#Totals],[Losing Candidate]]),
      0
)</f>
        <v>0</v>
      </c>
      <c r="AV7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8">
        <f>IF(Audit[[#This Row],[Max Relative Error (ep)]] = 0, 0, Audit[[#This Row],[Max Relative Error (ep)]]/Audit[[#This Row],[Error Bound (up) - Max. possible relative overstatement]])</f>
        <v>0</v>
      </c>
      <c r="BH7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3" s="18">
        <f t="shared" si="11"/>
        <v>1</v>
      </c>
      <c r="BJ713" s="18">
        <f>PRODUCT($BI$5:BI713)</f>
        <v>0.32656797278968008</v>
      </c>
      <c r="BK713" s="20">
        <f>1 - Audit[[#This Row],[K-M P Value]]</f>
        <v>0.67343202721031992</v>
      </c>
      <c r="BL713" s="18" t="str">
        <f>IF(Audit[[#This Row],[K-M P Value]]&gt;1-'General Info'!$B$12,"Continue", "Stop")</f>
        <v>Continue</v>
      </c>
      <c r="BM713" s="23" t="b">
        <f>IF(Audit[[#This Row],[Status - Continue or stop audit]] = "Continue", TRUE, IF(BL712 = "Continue", TRUE, FALSE))</f>
        <v>1</v>
      </c>
      <c r="BN713" s="23"/>
    </row>
    <row r="714" spans="1:66" ht="15" hidden="1" customHeight="1" x14ac:dyDescent="0.35">
      <c r="A714" s="18" t="str">
        <f>'Sampling Data'!AI714</f>
        <v/>
      </c>
      <c r="B714" s="18" t="str">
        <f>'Sampling Data'!A714</f>
        <v>2315 CIN 23-O   (ED)</v>
      </c>
      <c r="C714" s="18">
        <f>'Sampling Data'!B714</f>
        <v>19</v>
      </c>
      <c r="D714" s="18">
        <f>'Sampling Data'!C714</f>
        <v>2</v>
      </c>
      <c r="E714" s="19">
        <f>'Sampling Data'!D714</f>
        <v>0</v>
      </c>
      <c r="F714" s="19">
        <f>'Sampling Data'!E714</f>
        <v>0</v>
      </c>
      <c r="G714" s="19">
        <f>'Sampling Data'!F714</f>
        <v>0</v>
      </c>
      <c r="H714" s="19">
        <f>'Sampling Data'!G714</f>
        <v>0</v>
      </c>
      <c r="I714" s="19">
        <f>'Sampling Data'!H714</f>
        <v>0</v>
      </c>
      <c r="J714" s="19">
        <f>'Sampling Data'!I714</f>
        <v>0</v>
      </c>
      <c r="K714" s="19">
        <f>'Sampling Data'!J714</f>
        <v>0</v>
      </c>
      <c r="L714" s="19">
        <f>'Sampling Data'!K714</f>
        <v>0</v>
      </c>
      <c r="M714" s="19">
        <f>'Sampling Data'!L714</f>
        <v>0</v>
      </c>
      <c r="N714" s="19">
        <f>'Sampling Data'!M714</f>
        <v>0</v>
      </c>
      <c r="O714" s="18">
        <f>'Sampling Data'!N714</f>
        <v>0</v>
      </c>
      <c r="P714" s="18">
        <f>'Sampling Data'!O714</f>
        <v>2</v>
      </c>
      <c r="Q714" s="18">
        <f>'Sampling Data'!P714</f>
        <v>23</v>
      </c>
      <c r="R714" s="18">
        <f>'Sampling Data'!AJ714</f>
        <v>0</v>
      </c>
      <c r="S714" s="112"/>
      <c r="T714" s="112"/>
      <c r="U714" s="113"/>
      <c r="V714" s="113"/>
      <c r="W714" s="112"/>
      <c r="X714" s="112"/>
      <c r="Y714" s="112"/>
      <c r="Z714" s="112"/>
      <c r="AA714" s="15"/>
      <c r="AB714" s="15"/>
      <c r="AC714" s="15"/>
      <c r="AD714" s="15"/>
      <c r="AE714" s="114" t="str">
        <f>IF(NOT(ISBLANK(Audit[[#This Row],[Audit Winning Candidate]])), Audit[[#This Row],[Audit Winning Candidate]]-Audit[[#This Row],[Winning Candidate]], "")</f>
        <v/>
      </c>
      <c r="AF714" s="18" t="str">
        <f>IF(NOT(ISBLANK(Audit[[#This Row],[Audit Losing Candidate]])), Audit[[#This Row],[Audit Losing Candidate]]-Audit[[#This Row],[Losing Candidate]], "")</f>
        <v/>
      </c>
      <c r="AG714" s="18" t="str">
        <f>IF(NOT(ISBLANK(Audit[[#This Row],[Audit Candidate 3]])), Audit[[#This Row],[Audit Candidate 3]]-Audit[[#This Row],[Candidate 3]], "")</f>
        <v/>
      </c>
      <c r="AH714" s="18" t="str">
        <f>IF(NOT(ISBLANK(Audit[[#This Row],[Audit Candidate 4]])),Audit[[#This Row],[Audit Candidate 4]]-Audit[[#This Row],[Candidate 4]], "")</f>
        <v/>
      </c>
      <c r="AI714" s="18" t="str">
        <f>IF(NOT(ISBLANK(Audit[[#This Row],[Audit Candidate 5]])), Audit[[#This Row],[Audit Candidate 5]]-Audit[[#This Row],[Candidate 5]], "")</f>
        <v/>
      </c>
      <c r="AJ714" s="18" t="str">
        <f>IF(NOT(ISBLANK(Audit[[#This Row],[Audit Candidate 6]])), Audit[[#This Row],[Audit Candidate 6]]-Audit[[#This Row],[Candidate 6]], "")</f>
        <v/>
      </c>
      <c r="AK714" s="18" t="str">
        <f>IF(NOT(ISBLANK(Audit[[#This Row],[Audit Candidate 7]])), Audit[[#This Row],[Audit Candidate 7]]-Audit[[#This Row],[Candidate 7]], "")</f>
        <v/>
      </c>
      <c r="AL714" s="18" t="str">
        <f>IF(NOT(ISBLANK(Audit[[#This Row],[Audit Candidate 8]])), Audit[[#This Row],[Audit Candidate 8]]-Audit[[#This Row],[Candidate 8]], "")</f>
        <v/>
      </c>
      <c r="AM714" s="18" t="str">
        <f>IF(NOT(ISBLANK(Audit[[#This Row],[Audit Candidate 9]])), Audit[[#This Row],[Audit Candidate 9]]-Audit[[#This Row],[Candidate 9]], "")</f>
        <v/>
      </c>
      <c r="AN714" s="18" t="str">
        <f>IF(NOT(ISBLANK(Audit[[#This Row],[Audit Candidate 10]])), Audit[[#This Row],[Audit Candidate 10]]-Audit[[#This Row],[Candidate 10]], "")</f>
        <v/>
      </c>
      <c r="AO714" s="18" t="str">
        <f>IF(NOT(ISBLANK(Audit[[#This Row],[Audit Candidate 11]])), Audit[[#This Row],[Audit Candidate 11]]-Audit[[#This Row],[Candidate 11]], "")</f>
        <v/>
      </c>
      <c r="AP714" s="18" t="str">
        <f>IF(NOT(ISBLANK(Audit[[#This Row],[Audit Candidate 12]])), Audit[[#This Row],[Audit Candidate 12]]-Audit[[#This Row],[Candidate 12]], "")</f>
        <v/>
      </c>
      <c r="AQ714" s="18">
        <f>SUMIF(Audit[[#This Row],[Difference Winner]:[Difference Candidate 12]], "&gt;0")</f>
        <v>0</v>
      </c>
      <c r="AR714" s="18">
        <f>SUM(Audit[[#This Row],[Difference Winner]:[Difference Candidate 12]])</f>
        <v>0</v>
      </c>
      <c r="AS714" s="18">
        <f>IF(Audit[[#This Row],[Times p Drawn - With Replacement]]&gt;0, IF(Audit[[#This Row],[Canceled Differences]]&lt;0, Audit[[#This Row],[Max Differences]]+ABS(Audit[[#This Row],[Canceled Differences]]), Audit[[#This Row],[Max Differences]]), 0)</f>
        <v>0</v>
      </c>
      <c r="AT714" s="18">
        <f>'Sampling Data'!AB714</f>
        <v>1.2563997864120362E-3</v>
      </c>
      <c r="AU714" s="18">
        <f>IF(
      SUM(Audit[[#This Row],[Audit Losing Candidate]:[Audit Candidate 12]])
      &lt;&gt;0,
      (Audit[[#This Row],[Winning Candidate]]-Audit[[#This Row],[Losing Candidate]]-(Audit[[#This Row],[Audit Winning Candidate]]-Audit[[#This Row],[Audit Losing Candidate]]))/(Audit[[#Totals],[Winning Candidate]]-Audit[[#Totals],[Losing Candidate]]),
      0
)</f>
        <v>0</v>
      </c>
      <c r="AV7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8">
        <f>IF(Audit[[#This Row],[Max Relative Error (ep)]] = 0, 0, Audit[[#This Row],[Max Relative Error (ep)]]/Audit[[#This Row],[Error Bound (up) - Max. possible relative overstatement]])</f>
        <v>0</v>
      </c>
      <c r="BH7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4" s="18">
        <f t="shared" si="11"/>
        <v>1</v>
      </c>
      <c r="BJ714" s="18">
        <f>PRODUCT($BI$5:BI714)</f>
        <v>0.32656797278968008</v>
      </c>
      <c r="BK714" s="20">
        <f>1 - Audit[[#This Row],[K-M P Value]]</f>
        <v>0.67343202721031992</v>
      </c>
      <c r="BL714" s="18" t="str">
        <f>IF(Audit[[#This Row],[K-M P Value]]&gt;1-'General Info'!$B$12,"Continue", "Stop")</f>
        <v>Continue</v>
      </c>
      <c r="BM714" s="23" t="b">
        <f>IF(Audit[[#This Row],[Status - Continue or stop audit]] = "Continue", TRUE, IF(BL713 = "Continue", TRUE, FALSE))</f>
        <v>1</v>
      </c>
      <c r="BN714" s="23"/>
    </row>
    <row r="715" spans="1:66" ht="15" hidden="1" customHeight="1" x14ac:dyDescent="0.35">
      <c r="A715" s="18" t="str">
        <f>'Sampling Data'!AI715</f>
        <v/>
      </c>
      <c r="B715" s="18" t="str">
        <f>'Sampling Data'!A715</f>
        <v>2316 CIN 23-P   (ED)</v>
      </c>
      <c r="C715" s="18">
        <f>'Sampling Data'!B715</f>
        <v>14</v>
      </c>
      <c r="D715" s="18">
        <f>'Sampling Data'!C715</f>
        <v>2</v>
      </c>
      <c r="E715" s="19">
        <f>'Sampling Data'!D715</f>
        <v>0</v>
      </c>
      <c r="F715" s="19">
        <f>'Sampling Data'!E715</f>
        <v>0</v>
      </c>
      <c r="G715" s="19">
        <f>'Sampling Data'!F715</f>
        <v>0</v>
      </c>
      <c r="H715" s="19">
        <f>'Sampling Data'!G715</f>
        <v>0</v>
      </c>
      <c r="I715" s="19">
        <f>'Sampling Data'!H715</f>
        <v>0</v>
      </c>
      <c r="J715" s="19">
        <f>'Sampling Data'!I715</f>
        <v>0</v>
      </c>
      <c r="K715" s="19">
        <f>'Sampling Data'!J715</f>
        <v>0</v>
      </c>
      <c r="L715" s="19">
        <f>'Sampling Data'!K715</f>
        <v>0</v>
      </c>
      <c r="M715" s="19">
        <f>'Sampling Data'!L715</f>
        <v>0</v>
      </c>
      <c r="N715" s="19">
        <f>'Sampling Data'!M715</f>
        <v>0</v>
      </c>
      <c r="O715" s="18">
        <f>'Sampling Data'!N715</f>
        <v>0</v>
      </c>
      <c r="P715" s="18">
        <f>'Sampling Data'!O715</f>
        <v>0</v>
      </c>
      <c r="Q715" s="18">
        <f>'Sampling Data'!P715</f>
        <v>16</v>
      </c>
      <c r="R715" s="18">
        <f>'Sampling Data'!AJ715</f>
        <v>0</v>
      </c>
      <c r="S715" s="112"/>
      <c r="T715" s="112"/>
      <c r="U715" s="113"/>
      <c r="V715" s="113"/>
      <c r="W715" s="112"/>
      <c r="X715" s="112"/>
      <c r="Y715" s="112"/>
      <c r="Z715" s="112"/>
      <c r="AA715" s="15"/>
      <c r="AB715" s="15"/>
      <c r="AC715" s="15"/>
      <c r="AD715" s="15"/>
      <c r="AE715" s="114" t="str">
        <f>IF(NOT(ISBLANK(Audit[[#This Row],[Audit Winning Candidate]])), Audit[[#This Row],[Audit Winning Candidate]]-Audit[[#This Row],[Winning Candidate]], "")</f>
        <v/>
      </c>
      <c r="AF715" s="18" t="str">
        <f>IF(NOT(ISBLANK(Audit[[#This Row],[Audit Losing Candidate]])), Audit[[#This Row],[Audit Losing Candidate]]-Audit[[#This Row],[Losing Candidate]], "")</f>
        <v/>
      </c>
      <c r="AG715" s="18" t="str">
        <f>IF(NOT(ISBLANK(Audit[[#This Row],[Audit Candidate 3]])), Audit[[#This Row],[Audit Candidate 3]]-Audit[[#This Row],[Candidate 3]], "")</f>
        <v/>
      </c>
      <c r="AH715" s="18" t="str">
        <f>IF(NOT(ISBLANK(Audit[[#This Row],[Audit Candidate 4]])),Audit[[#This Row],[Audit Candidate 4]]-Audit[[#This Row],[Candidate 4]], "")</f>
        <v/>
      </c>
      <c r="AI715" s="18" t="str">
        <f>IF(NOT(ISBLANK(Audit[[#This Row],[Audit Candidate 5]])), Audit[[#This Row],[Audit Candidate 5]]-Audit[[#This Row],[Candidate 5]], "")</f>
        <v/>
      </c>
      <c r="AJ715" s="18" t="str">
        <f>IF(NOT(ISBLANK(Audit[[#This Row],[Audit Candidate 6]])), Audit[[#This Row],[Audit Candidate 6]]-Audit[[#This Row],[Candidate 6]], "")</f>
        <v/>
      </c>
      <c r="AK715" s="18" t="str">
        <f>IF(NOT(ISBLANK(Audit[[#This Row],[Audit Candidate 7]])), Audit[[#This Row],[Audit Candidate 7]]-Audit[[#This Row],[Candidate 7]], "")</f>
        <v/>
      </c>
      <c r="AL715" s="18" t="str">
        <f>IF(NOT(ISBLANK(Audit[[#This Row],[Audit Candidate 8]])), Audit[[#This Row],[Audit Candidate 8]]-Audit[[#This Row],[Candidate 8]], "")</f>
        <v/>
      </c>
      <c r="AM715" s="18" t="str">
        <f>IF(NOT(ISBLANK(Audit[[#This Row],[Audit Candidate 9]])), Audit[[#This Row],[Audit Candidate 9]]-Audit[[#This Row],[Candidate 9]], "")</f>
        <v/>
      </c>
      <c r="AN715" s="18" t="str">
        <f>IF(NOT(ISBLANK(Audit[[#This Row],[Audit Candidate 10]])), Audit[[#This Row],[Audit Candidate 10]]-Audit[[#This Row],[Candidate 10]], "")</f>
        <v/>
      </c>
      <c r="AO715" s="18" t="str">
        <f>IF(NOT(ISBLANK(Audit[[#This Row],[Audit Candidate 11]])), Audit[[#This Row],[Audit Candidate 11]]-Audit[[#This Row],[Candidate 11]], "")</f>
        <v/>
      </c>
      <c r="AP715" s="18" t="str">
        <f>IF(NOT(ISBLANK(Audit[[#This Row],[Audit Candidate 12]])), Audit[[#This Row],[Audit Candidate 12]]-Audit[[#This Row],[Candidate 12]], "")</f>
        <v/>
      </c>
      <c r="AQ715" s="18">
        <f>SUMIF(Audit[[#This Row],[Difference Winner]:[Difference Candidate 12]], "&gt;0")</f>
        <v>0</v>
      </c>
      <c r="AR715" s="18">
        <f>SUM(Audit[[#This Row],[Difference Winner]:[Difference Candidate 12]])</f>
        <v>0</v>
      </c>
      <c r="AS715" s="18">
        <f>IF(Audit[[#This Row],[Times p Drawn - With Replacement]]&gt;0, IF(Audit[[#This Row],[Canceled Differences]]&lt;0, Audit[[#This Row],[Max Differences]]+ABS(Audit[[#This Row],[Canceled Differences]]), Audit[[#This Row],[Max Differences]]), 0)</f>
        <v>0</v>
      </c>
      <c r="AT715" s="18">
        <f>'Sampling Data'!AB715</f>
        <v>8.7947985048842541E-4</v>
      </c>
      <c r="AU715" s="18">
        <f>IF(
      SUM(Audit[[#This Row],[Audit Losing Candidate]:[Audit Candidate 12]])
      &lt;&gt;0,
      (Audit[[#This Row],[Winning Candidate]]-Audit[[#This Row],[Losing Candidate]]-(Audit[[#This Row],[Audit Winning Candidate]]-Audit[[#This Row],[Audit Losing Candidate]]))/(Audit[[#Totals],[Winning Candidate]]-Audit[[#Totals],[Losing Candidate]]),
      0
)</f>
        <v>0</v>
      </c>
      <c r="AV7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8">
        <f>IF(Audit[[#This Row],[Max Relative Error (ep)]] = 0, 0, Audit[[#This Row],[Max Relative Error (ep)]]/Audit[[#This Row],[Error Bound (up) - Max. possible relative overstatement]])</f>
        <v>0</v>
      </c>
      <c r="BH7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5" s="18">
        <f t="shared" si="11"/>
        <v>1</v>
      </c>
      <c r="BJ715" s="18">
        <f>PRODUCT($BI$5:BI715)</f>
        <v>0.32656797278968008</v>
      </c>
      <c r="BK715" s="20">
        <f>1 - Audit[[#This Row],[K-M P Value]]</f>
        <v>0.67343202721031992</v>
      </c>
      <c r="BL715" s="18" t="str">
        <f>IF(Audit[[#This Row],[K-M P Value]]&gt;1-'General Info'!$B$12,"Continue", "Stop")</f>
        <v>Continue</v>
      </c>
      <c r="BM715" s="23" t="b">
        <f>IF(Audit[[#This Row],[Status - Continue or stop audit]] = "Continue", TRUE, IF(BL714 = "Continue", TRUE, FALSE))</f>
        <v>1</v>
      </c>
      <c r="BN715" s="23"/>
    </row>
    <row r="716" spans="1:66" ht="15" hidden="1" customHeight="1" x14ac:dyDescent="0.35">
      <c r="A716" s="18" t="str">
        <f>'Sampling Data'!AI716</f>
        <v/>
      </c>
      <c r="B716" s="18" t="str">
        <f>'Sampling Data'!A716</f>
        <v>2317 CIN 23-Q   (ED)</v>
      </c>
      <c r="C716" s="18">
        <f>'Sampling Data'!B716</f>
        <v>20</v>
      </c>
      <c r="D716" s="18">
        <f>'Sampling Data'!C716</f>
        <v>7</v>
      </c>
      <c r="E716" s="19">
        <f>'Sampling Data'!D716</f>
        <v>0</v>
      </c>
      <c r="F716" s="19">
        <f>'Sampling Data'!E716</f>
        <v>0</v>
      </c>
      <c r="G716" s="19">
        <f>'Sampling Data'!F716</f>
        <v>0</v>
      </c>
      <c r="H716" s="19">
        <f>'Sampling Data'!G716</f>
        <v>0</v>
      </c>
      <c r="I716" s="19">
        <f>'Sampling Data'!H716</f>
        <v>0</v>
      </c>
      <c r="J716" s="19">
        <f>'Sampling Data'!I716</f>
        <v>0</v>
      </c>
      <c r="K716" s="19">
        <f>'Sampling Data'!J716</f>
        <v>0</v>
      </c>
      <c r="L716" s="19">
        <f>'Sampling Data'!K716</f>
        <v>0</v>
      </c>
      <c r="M716" s="19">
        <f>'Sampling Data'!L716</f>
        <v>0</v>
      </c>
      <c r="N716" s="19">
        <f>'Sampling Data'!M716</f>
        <v>0</v>
      </c>
      <c r="O716" s="18">
        <f>'Sampling Data'!N716</f>
        <v>0</v>
      </c>
      <c r="P716" s="18">
        <f>'Sampling Data'!O716</f>
        <v>0</v>
      </c>
      <c r="Q716" s="18">
        <f>'Sampling Data'!P716</f>
        <v>27</v>
      </c>
      <c r="R716" s="18">
        <f>'Sampling Data'!AJ716</f>
        <v>0</v>
      </c>
      <c r="S716" s="112"/>
      <c r="T716" s="112"/>
      <c r="U716" s="113"/>
      <c r="V716" s="113"/>
      <c r="W716" s="112"/>
      <c r="X716" s="112"/>
      <c r="Y716" s="112"/>
      <c r="Z716" s="112"/>
      <c r="AA716" s="15"/>
      <c r="AB716" s="15"/>
      <c r="AC716" s="15"/>
      <c r="AD716" s="15"/>
      <c r="AE716" s="114" t="str">
        <f>IF(NOT(ISBLANK(Audit[[#This Row],[Audit Winning Candidate]])), Audit[[#This Row],[Audit Winning Candidate]]-Audit[[#This Row],[Winning Candidate]], "")</f>
        <v/>
      </c>
      <c r="AF716" s="18" t="str">
        <f>IF(NOT(ISBLANK(Audit[[#This Row],[Audit Losing Candidate]])), Audit[[#This Row],[Audit Losing Candidate]]-Audit[[#This Row],[Losing Candidate]], "")</f>
        <v/>
      </c>
      <c r="AG716" s="18" t="str">
        <f>IF(NOT(ISBLANK(Audit[[#This Row],[Audit Candidate 3]])), Audit[[#This Row],[Audit Candidate 3]]-Audit[[#This Row],[Candidate 3]], "")</f>
        <v/>
      </c>
      <c r="AH716" s="18" t="str">
        <f>IF(NOT(ISBLANK(Audit[[#This Row],[Audit Candidate 4]])),Audit[[#This Row],[Audit Candidate 4]]-Audit[[#This Row],[Candidate 4]], "")</f>
        <v/>
      </c>
      <c r="AI716" s="18" t="str">
        <f>IF(NOT(ISBLANK(Audit[[#This Row],[Audit Candidate 5]])), Audit[[#This Row],[Audit Candidate 5]]-Audit[[#This Row],[Candidate 5]], "")</f>
        <v/>
      </c>
      <c r="AJ716" s="18" t="str">
        <f>IF(NOT(ISBLANK(Audit[[#This Row],[Audit Candidate 6]])), Audit[[#This Row],[Audit Candidate 6]]-Audit[[#This Row],[Candidate 6]], "")</f>
        <v/>
      </c>
      <c r="AK716" s="18" t="str">
        <f>IF(NOT(ISBLANK(Audit[[#This Row],[Audit Candidate 7]])), Audit[[#This Row],[Audit Candidate 7]]-Audit[[#This Row],[Candidate 7]], "")</f>
        <v/>
      </c>
      <c r="AL716" s="18" t="str">
        <f>IF(NOT(ISBLANK(Audit[[#This Row],[Audit Candidate 8]])), Audit[[#This Row],[Audit Candidate 8]]-Audit[[#This Row],[Candidate 8]], "")</f>
        <v/>
      </c>
      <c r="AM716" s="18" t="str">
        <f>IF(NOT(ISBLANK(Audit[[#This Row],[Audit Candidate 9]])), Audit[[#This Row],[Audit Candidate 9]]-Audit[[#This Row],[Candidate 9]], "")</f>
        <v/>
      </c>
      <c r="AN716" s="18" t="str">
        <f>IF(NOT(ISBLANK(Audit[[#This Row],[Audit Candidate 10]])), Audit[[#This Row],[Audit Candidate 10]]-Audit[[#This Row],[Candidate 10]], "")</f>
        <v/>
      </c>
      <c r="AO716" s="18" t="str">
        <f>IF(NOT(ISBLANK(Audit[[#This Row],[Audit Candidate 11]])), Audit[[#This Row],[Audit Candidate 11]]-Audit[[#This Row],[Candidate 11]], "")</f>
        <v/>
      </c>
      <c r="AP716" s="18" t="str">
        <f>IF(NOT(ISBLANK(Audit[[#This Row],[Audit Candidate 12]])), Audit[[#This Row],[Audit Candidate 12]]-Audit[[#This Row],[Candidate 12]], "")</f>
        <v/>
      </c>
      <c r="AQ716" s="18">
        <f>SUMIF(Audit[[#This Row],[Difference Winner]:[Difference Candidate 12]], "&gt;0")</f>
        <v>0</v>
      </c>
      <c r="AR716" s="18">
        <f>SUM(Audit[[#This Row],[Difference Winner]:[Difference Candidate 12]])</f>
        <v>0</v>
      </c>
      <c r="AS716" s="18">
        <f>IF(Audit[[#This Row],[Times p Drawn - With Replacement]]&gt;0, IF(Audit[[#This Row],[Canceled Differences]]&lt;0, Audit[[#This Row],[Max Differences]]+ABS(Audit[[#This Row],[Canceled Differences]]), Audit[[#This Row],[Max Differences]]), 0)</f>
        <v>0</v>
      </c>
      <c r="AT716" s="18">
        <f>'Sampling Data'!AB716</f>
        <v>1.2563997864120362E-3</v>
      </c>
      <c r="AU716" s="18">
        <f>IF(
      SUM(Audit[[#This Row],[Audit Losing Candidate]:[Audit Candidate 12]])
      &lt;&gt;0,
      (Audit[[#This Row],[Winning Candidate]]-Audit[[#This Row],[Losing Candidate]]-(Audit[[#This Row],[Audit Winning Candidate]]-Audit[[#This Row],[Audit Losing Candidate]]))/(Audit[[#Totals],[Winning Candidate]]-Audit[[#Totals],[Losing Candidate]]),
      0
)</f>
        <v>0</v>
      </c>
      <c r="AV7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8">
        <f>IF(Audit[[#This Row],[Max Relative Error (ep)]] = 0, 0, Audit[[#This Row],[Max Relative Error (ep)]]/Audit[[#This Row],[Error Bound (up) - Max. possible relative overstatement]])</f>
        <v>0</v>
      </c>
      <c r="BH7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6" s="18">
        <f t="shared" si="11"/>
        <v>1</v>
      </c>
      <c r="BJ716" s="18">
        <f>PRODUCT($BI$5:BI716)</f>
        <v>0.32656797278968008</v>
      </c>
      <c r="BK716" s="20">
        <f>1 - Audit[[#This Row],[K-M P Value]]</f>
        <v>0.67343202721031992</v>
      </c>
      <c r="BL716" s="18" t="str">
        <f>IF(Audit[[#This Row],[K-M P Value]]&gt;1-'General Info'!$B$12,"Continue", "Stop")</f>
        <v>Continue</v>
      </c>
      <c r="BM716" s="23" t="b">
        <f>IF(Audit[[#This Row],[Status - Continue or stop audit]] = "Continue", TRUE, IF(BL715 = "Continue", TRUE, FALSE))</f>
        <v>1</v>
      </c>
      <c r="BN716" s="23"/>
    </row>
    <row r="717" spans="1:66" ht="15" hidden="1" customHeight="1" x14ac:dyDescent="0.35">
      <c r="A717" s="18" t="str">
        <f>'Sampling Data'!AI717</f>
        <v/>
      </c>
      <c r="B717" s="18" t="str">
        <f>'Sampling Data'!A717</f>
        <v>2318 CIN 23-R   (ED)</v>
      </c>
      <c r="C717" s="18">
        <f>'Sampling Data'!B717</f>
        <v>12</v>
      </c>
      <c r="D717" s="18">
        <f>'Sampling Data'!C717</f>
        <v>2</v>
      </c>
      <c r="E717" s="19">
        <f>'Sampling Data'!D717</f>
        <v>0</v>
      </c>
      <c r="F717" s="19">
        <f>'Sampling Data'!E717</f>
        <v>0</v>
      </c>
      <c r="G717" s="19">
        <f>'Sampling Data'!F717</f>
        <v>0</v>
      </c>
      <c r="H717" s="19">
        <f>'Sampling Data'!G717</f>
        <v>0</v>
      </c>
      <c r="I717" s="19">
        <f>'Sampling Data'!H717</f>
        <v>0</v>
      </c>
      <c r="J717" s="19">
        <f>'Sampling Data'!I717</f>
        <v>0</v>
      </c>
      <c r="K717" s="19">
        <f>'Sampling Data'!J717</f>
        <v>0</v>
      </c>
      <c r="L717" s="19">
        <f>'Sampling Data'!K717</f>
        <v>0</v>
      </c>
      <c r="M717" s="19">
        <f>'Sampling Data'!L717</f>
        <v>0</v>
      </c>
      <c r="N717" s="19">
        <f>'Sampling Data'!M717</f>
        <v>0</v>
      </c>
      <c r="O717" s="18">
        <f>'Sampling Data'!N717</f>
        <v>0</v>
      </c>
      <c r="P717" s="18">
        <f>'Sampling Data'!O717</f>
        <v>0</v>
      </c>
      <c r="Q717" s="18">
        <f>'Sampling Data'!P717</f>
        <v>14</v>
      </c>
      <c r="R717" s="18">
        <f>'Sampling Data'!AJ717</f>
        <v>0</v>
      </c>
      <c r="S717" s="112"/>
      <c r="T717" s="112"/>
      <c r="U717" s="113"/>
      <c r="V717" s="113"/>
      <c r="W717" s="112"/>
      <c r="X717" s="112"/>
      <c r="Y717" s="112"/>
      <c r="Z717" s="112"/>
      <c r="AA717" s="15"/>
      <c r="AB717" s="15"/>
      <c r="AC717" s="15"/>
      <c r="AD717" s="15"/>
      <c r="AE717" s="114" t="str">
        <f>IF(NOT(ISBLANK(Audit[[#This Row],[Audit Winning Candidate]])), Audit[[#This Row],[Audit Winning Candidate]]-Audit[[#This Row],[Winning Candidate]], "")</f>
        <v/>
      </c>
      <c r="AF717" s="18" t="str">
        <f>IF(NOT(ISBLANK(Audit[[#This Row],[Audit Losing Candidate]])), Audit[[#This Row],[Audit Losing Candidate]]-Audit[[#This Row],[Losing Candidate]], "")</f>
        <v/>
      </c>
      <c r="AG717" s="18" t="str">
        <f>IF(NOT(ISBLANK(Audit[[#This Row],[Audit Candidate 3]])), Audit[[#This Row],[Audit Candidate 3]]-Audit[[#This Row],[Candidate 3]], "")</f>
        <v/>
      </c>
      <c r="AH717" s="18" t="str">
        <f>IF(NOT(ISBLANK(Audit[[#This Row],[Audit Candidate 4]])),Audit[[#This Row],[Audit Candidate 4]]-Audit[[#This Row],[Candidate 4]], "")</f>
        <v/>
      </c>
      <c r="AI717" s="18" t="str">
        <f>IF(NOT(ISBLANK(Audit[[#This Row],[Audit Candidate 5]])), Audit[[#This Row],[Audit Candidate 5]]-Audit[[#This Row],[Candidate 5]], "")</f>
        <v/>
      </c>
      <c r="AJ717" s="18" t="str">
        <f>IF(NOT(ISBLANK(Audit[[#This Row],[Audit Candidate 6]])), Audit[[#This Row],[Audit Candidate 6]]-Audit[[#This Row],[Candidate 6]], "")</f>
        <v/>
      </c>
      <c r="AK717" s="18" t="str">
        <f>IF(NOT(ISBLANK(Audit[[#This Row],[Audit Candidate 7]])), Audit[[#This Row],[Audit Candidate 7]]-Audit[[#This Row],[Candidate 7]], "")</f>
        <v/>
      </c>
      <c r="AL717" s="18" t="str">
        <f>IF(NOT(ISBLANK(Audit[[#This Row],[Audit Candidate 8]])), Audit[[#This Row],[Audit Candidate 8]]-Audit[[#This Row],[Candidate 8]], "")</f>
        <v/>
      </c>
      <c r="AM717" s="18" t="str">
        <f>IF(NOT(ISBLANK(Audit[[#This Row],[Audit Candidate 9]])), Audit[[#This Row],[Audit Candidate 9]]-Audit[[#This Row],[Candidate 9]], "")</f>
        <v/>
      </c>
      <c r="AN717" s="18" t="str">
        <f>IF(NOT(ISBLANK(Audit[[#This Row],[Audit Candidate 10]])), Audit[[#This Row],[Audit Candidate 10]]-Audit[[#This Row],[Candidate 10]], "")</f>
        <v/>
      </c>
      <c r="AO717" s="18" t="str">
        <f>IF(NOT(ISBLANK(Audit[[#This Row],[Audit Candidate 11]])), Audit[[#This Row],[Audit Candidate 11]]-Audit[[#This Row],[Candidate 11]], "")</f>
        <v/>
      </c>
      <c r="AP717" s="18" t="str">
        <f>IF(NOT(ISBLANK(Audit[[#This Row],[Audit Candidate 12]])), Audit[[#This Row],[Audit Candidate 12]]-Audit[[#This Row],[Candidate 12]], "")</f>
        <v/>
      </c>
      <c r="AQ717" s="18">
        <f>SUMIF(Audit[[#This Row],[Difference Winner]:[Difference Candidate 12]], "&gt;0")</f>
        <v>0</v>
      </c>
      <c r="AR717" s="18">
        <f>SUM(Audit[[#This Row],[Difference Winner]:[Difference Candidate 12]])</f>
        <v>0</v>
      </c>
      <c r="AS717" s="18">
        <f>IF(Audit[[#This Row],[Times p Drawn - With Replacement]]&gt;0, IF(Audit[[#This Row],[Canceled Differences]]&lt;0, Audit[[#This Row],[Max Differences]]+ABS(Audit[[#This Row],[Canceled Differences]]), Audit[[#This Row],[Max Differences]]), 0)</f>
        <v>0</v>
      </c>
      <c r="AT717" s="18">
        <f>'Sampling Data'!AB717</f>
        <v>7.5383987184722177E-4</v>
      </c>
      <c r="AU717" s="18">
        <f>IF(
      SUM(Audit[[#This Row],[Audit Losing Candidate]:[Audit Candidate 12]])
      &lt;&gt;0,
      (Audit[[#This Row],[Winning Candidate]]-Audit[[#This Row],[Losing Candidate]]-(Audit[[#This Row],[Audit Winning Candidate]]-Audit[[#This Row],[Audit Losing Candidate]]))/(Audit[[#Totals],[Winning Candidate]]-Audit[[#Totals],[Losing Candidate]]),
      0
)</f>
        <v>0</v>
      </c>
      <c r="AV7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8">
        <f>IF(Audit[[#This Row],[Max Relative Error (ep)]] = 0, 0, Audit[[#This Row],[Max Relative Error (ep)]]/Audit[[#This Row],[Error Bound (up) - Max. possible relative overstatement]])</f>
        <v>0</v>
      </c>
      <c r="BH7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7" s="18">
        <f t="shared" si="11"/>
        <v>1</v>
      </c>
      <c r="BJ717" s="18">
        <f>PRODUCT($BI$5:BI717)</f>
        <v>0.32656797278968008</v>
      </c>
      <c r="BK717" s="20">
        <f>1 - Audit[[#This Row],[K-M P Value]]</f>
        <v>0.67343202721031992</v>
      </c>
      <c r="BL717" s="18" t="str">
        <f>IF(Audit[[#This Row],[K-M P Value]]&gt;1-'General Info'!$B$12,"Continue", "Stop")</f>
        <v>Continue</v>
      </c>
      <c r="BM717" s="23" t="b">
        <f>IF(Audit[[#This Row],[Status - Continue or stop audit]] = "Continue", TRUE, IF(BL716 = "Continue", TRUE, FALSE))</f>
        <v>1</v>
      </c>
      <c r="BN717" s="23"/>
    </row>
    <row r="718" spans="1:66" ht="15" hidden="1" customHeight="1" x14ac:dyDescent="0.35">
      <c r="A718" s="18" t="str">
        <f>'Sampling Data'!AI718</f>
        <v/>
      </c>
      <c r="B718" s="18" t="str">
        <f>'Sampling Data'!A718</f>
        <v>2401 CIN 24-A   (ED)</v>
      </c>
      <c r="C718" s="18">
        <f>'Sampling Data'!B718</f>
        <v>3</v>
      </c>
      <c r="D718" s="18">
        <f>'Sampling Data'!C718</f>
        <v>2</v>
      </c>
      <c r="E718" s="19">
        <f>'Sampling Data'!D718</f>
        <v>0</v>
      </c>
      <c r="F718" s="19">
        <f>'Sampling Data'!E718</f>
        <v>0</v>
      </c>
      <c r="G718" s="19">
        <f>'Sampling Data'!F718</f>
        <v>0</v>
      </c>
      <c r="H718" s="19">
        <f>'Sampling Data'!G718</f>
        <v>0</v>
      </c>
      <c r="I718" s="19">
        <f>'Sampling Data'!H718</f>
        <v>0</v>
      </c>
      <c r="J718" s="19">
        <f>'Sampling Data'!I718</f>
        <v>0</v>
      </c>
      <c r="K718" s="19">
        <f>'Sampling Data'!J718</f>
        <v>0</v>
      </c>
      <c r="L718" s="19">
        <f>'Sampling Data'!K718</f>
        <v>0</v>
      </c>
      <c r="M718" s="19">
        <f>'Sampling Data'!L718</f>
        <v>0</v>
      </c>
      <c r="N718" s="19">
        <f>'Sampling Data'!M718</f>
        <v>0</v>
      </c>
      <c r="O718" s="18">
        <f>'Sampling Data'!N718</f>
        <v>0</v>
      </c>
      <c r="P718" s="18">
        <f>'Sampling Data'!O718</f>
        <v>1</v>
      </c>
      <c r="Q718" s="18">
        <f>'Sampling Data'!P718</f>
        <v>6</v>
      </c>
      <c r="R718" s="18">
        <f>'Sampling Data'!AJ718</f>
        <v>0</v>
      </c>
      <c r="S718" s="112"/>
      <c r="T718" s="112"/>
      <c r="U718" s="113"/>
      <c r="V718" s="113"/>
      <c r="W718" s="112"/>
      <c r="X718" s="112"/>
      <c r="Y718" s="112"/>
      <c r="Z718" s="112"/>
      <c r="AA718" s="15"/>
      <c r="AB718" s="15"/>
      <c r="AC718" s="15"/>
      <c r="AD718" s="15"/>
      <c r="AE718" s="114" t="str">
        <f>IF(NOT(ISBLANK(Audit[[#This Row],[Audit Winning Candidate]])), Audit[[#This Row],[Audit Winning Candidate]]-Audit[[#This Row],[Winning Candidate]], "")</f>
        <v/>
      </c>
      <c r="AF718" s="18" t="str">
        <f>IF(NOT(ISBLANK(Audit[[#This Row],[Audit Losing Candidate]])), Audit[[#This Row],[Audit Losing Candidate]]-Audit[[#This Row],[Losing Candidate]], "")</f>
        <v/>
      </c>
      <c r="AG718" s="18" t="str">
        <f>IF(NOT(ISBLANK(Audit[[#This Row],[Audit Candidate 3]])), Audit[[#This Row],[Audit Candidate 3]]-Audit[[#This Row],[Candidate 3]], "")</f>
        <v/>
      </c>
      <c r="AH718" s="18" t="str">
        <f>IF(NOT(ISBLANK(Audit[[#This Row],[Audit Candidate 4]])),Audit[[#This Row],[Audit Candidate 4]]-Audit[[#This Row],[Candidate 4]], "")</f>
        <v/>
      </c>
      <c r="AI718" s="18" t="str">
        <f>IF(NOT(ISBLANK(Audit[[#This Row],[Audit Candidate 5]])), Audit[[#This Row],[Audit Candidate 5]]-Audit[[#This Row],[Candidate 5]], "")</f>
        <v/>
      </c>
      <c r="AJ718" s="18" t="str">
        <f>IF(NOT(ISBLANK(Audit[[#This Row],[Audit Candidate 6]])), Audit[[#This Row],[Audit Candidate 6]]-Audit[[#This Row],[Candidate 6]], "")</f>
        <v/>
      </c>
      <c r="AK718" s="18" t="str">
        <f>IF(NOT(ISBLANK(Audit[[#This Row],[Audit Candidate 7]])), Audit[[#This Row],[Audit Candidate 7]]-Audit[[#This Row],[Candidate 7]], "")</f>
        <v/>
      </c>
      <c r="AL718" s="18" t="str">
        <f>IF(NOT(ISBLANK(Audit[[#This Row],[Audit Candidate 8]])), Audit[[#This Row],[Audit Candidate 8]]-Audit[[#This Row],[Candidate 8]], "")</f>
        <v/>
      </c>
      <c r="AM718" s="18" t="str">
        <f>IF(NOT(ISBLANK(Audit[[#This Row],[Audit Candidate 9]])), Audit[[#This Row],[Audit Candidate 9]]-Audit[[#This Row],[Candidate 9]], "")</f>
        <v/>
      </c>
      <c r="AN718" s="18" t="str">
        <f>IF(NOT(ISBLANK(Audit[[#This Row],[Audit Candidate 10]])), Audit[[#This Row],[Audit Candidate 10]]-Audit[[#This Row],[Candidate 10]], "")</f>
        <v/>
      </c>
      <c r="AO718" s="18" t="str">
        <f>IF(NOT(ISBLANK(Audit[[#This Row],[Audit Candidate 11]])), Audit[[#This Row],[Audit Candidate 11]]-Audit[[#This Row],[Candidate 11]], "")</f>
        <v/>
      </c>
      <c r="AP718" s="18" t="str">
        <f>IF(NOT(ISBLANK(Audit[[#This Row],[Audit Candidate 12]])), Audit[[#This Row],[Audit Candidate 12]]-Audit[[#This Row],[Candidate 12]], "")</f>
        <v/>
      </c>
      <c r="AQ718" s="18">
        <f>SUMIF(Audit[[#This Row],[Difference Winner]:[Difference Candidate 12]], "&gt;0")</f>
        <v>0</v>
      </c>
      <c r="AR718" s="18">
        <f>SUM(Audit[[#This Row],[Difference Winner]:[Difference Candidate 12]])</f>
        <v>0</v>
      </c>
      <c r="AS718" s="18">
        <f>IF(Audit[[#This Row],[Times p Drawn - With Replacement]]&gt;0, IF(Audit[[#This Row],[Canceled Differences]]&lt;0, Audit[[#This Row],[Max Differences]]+ABS(Audit[[#This Row],[Canceled Differences]]), Audit[[#This Row],[Max Differences]]), 0)</f>
        <v>0</v>
      </c>
      <c r="AT718" s="18">
        <f>'Sampling Data'!AB718</f>
        <v>2.1986996262210635E-4</v>
      </c>
      <c r="AU718" s="18">
        <f>IF(
      SUM(Audit[[#This Row],[Audit Losing Candidate]:[Audit Candidate 12]])
      &lt;&gt;0,
      (Audit[[#This Row],[Winning Candidate]]-Audit[[#This Row],[Losing Candidate]]-(Audit[[#This Row],[Audit Winning Candidate]]-Audit[[#This Row],[Audit Losing Candidate]]))/(Audit[[#Totals],[Winning Candidate]]-Audit[[#Totals],[Losing Candidate]]),
      0
)</f>
        <v>0</v>
      </c>
      <c r="AV7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8">
        <f>IF(Audit[[#This Row],[Max Relative Error (ep)]] = 0, 0, Audit[[#This Row],[Max Relative Error (ep)]]/Audit[[#This Row],[Error Bound (up) - Max. possible relative overstatement]])</f>
        <v>0</v>
      </c>
      <c r="BH7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8" s="18">
        <f t="shared" si="11"/>
        <v>1</v>
      </c>
      <c r="BJ718" s="18">
        <f>PRODUCT($BI$5:BI718)</f>
        <v>0.32656797278968008</v>
      </c>
      <c r="BK718" s="20">
        <f>1 - Audit[[#This Row],[K-M P Value]]</f>
        <v>0.67343202721031992</v>
      </c>
      <c r="BL718" s="18" t="str">
        <f>IF(Audit[[#This Row],[K-M P Value]]&gt;1-'General Info'!$B$12,"Continue", "Stop")</f>
        <v>Continue</v>
      </c>
      <c r="BM718" s="23" t="b">
        <f>IF(Audit[[#This Row],[Status - Continue or stop audit]] = "Continue", TRUE, IF(BL717 = "Continue", TRUE, FALSE))</f>
        <v>1</v>
      </c>
      <c r="BN718" s="23"/>
    </row>
    <row r="719" spans="1:66" ht="15" hidden="1" customHeight="1" x14ac:dyDescent="0.35">
      <c r="A719" s="18" t="str">
        <f>'Sampling Data'!AI719</f>
        <v/>
      </c>
      <c r="B719" s="18" t="str">
        <f>'Sampling Data'!A719</f>
        <v>2402 CIN 24-B   (ED)</v>
      </c>
      <c r="C719" s="18">
        <f>'Sampling Data'!B719</f>
        <v>29</v>
      </c>
      <c r="D719" s="18">
        <f>'Sampling Data'!C719</f>
        <v>4</v>
      </c>
      <c r="E719" s="19">
        <f>'Sampling Data'!D719</f>
        <v>0</v>
      </c>
      <c r="F719" s="19">
        <f>'Sampling Data'!E719</f>
        <v>0</v>
      </c>
      <c r="G719" s="19">
        <f>'Sampling Data'!F719</f>
        <v>0</v>
      </c>
      <c r="H719" s="19">
        <f>'Sampling Data'!G719</f>
        <v>0</v>
      </c>
      <c r="I719" s="19">
        <f>'Sampling Data'!H719</f>
        <v>0</v>
      </c>
      <c r="J719" s="19">
        <f>'Sampling Data'!I719</f>
        <v>0</v>
      </c>
      <c r="K719" s="19">
        <f>'Sampling Data'!J719</f>
        <v>0</v>
      </c>
      <c r="L719" s="19">
        <f>'Sampling Data'!K719</f>
        <v>0</v>
      </c>
      <c r="M719" s="19">
        <f>'Sampling Data'!L719</f>
        <v>0</v>
      </c>
      <c r="N719" s="19">
        <f>'Sampling Data'!M719</f>
        <v>0</v>
      </c>
      <c r="O719" s="18">
        <f>'Sampling Data'!N719</f>
        <v>0</v>
      </c>
      <c r="P719" s="18">
        <f>'Sampling Data'!O719</f>
        <v>1</v>
      </c>
      <c r="Q719" s="18">
        <f>'Sampling Data'!P719</f>
        <v>34</v>
      </c>
      <c r="R719" s="18">
        <f>'Sampling Data'!AJ719</f>
        <v>0</v>
      </c>
      <c r="S719" s="112"/>
      <c r="T719" s="112"/>
      <c r="U719" s="113"/>
      <c r="V719" s="113"/>
      <c r="W719" s="112"/>
      <c r="X719" s="112"/>
      <c r="Y719" s="112"/>
      <c r="Z719" s="112"/>
      <c r="AA719" s="15"/>
      <c r="AB719" s="15"/>
      <c r="AC719" s="15"/>
      <c r="AD719" s="15"/>
      <c r="AE719" s="114" t="str">
        <f>IF(NOT(ISBLANK(Audit[[#This Row],[Audit Winning Candidate]])), Audit[[#This Row],[Audit Winning Candidate]]-Audit[[#This Row],[Winning Candidate]], "")</f>
        <v/>
      </c>
      <c r="AF719" s="18" t="str">
        <f>IF(NOT(ISBLANK(Audit[[#This Row],[Audit Losing Candidate]])), Audit[[#This Row],[Audit Losing Candidate]]-Audit[[#This Row],[Losing Candidate]], "")</f>
        <v/>
      </c>
      <c r="AG719" s="18" t="str">
        <f>IF(NOT(ISBLANK(Audit[[#This Row],[Audit Candidate 3]])), Audit[[#This Row],[Audit Candidate 3]]-Audit[[#This Row],[Candidate 3]], "")</f>
        <v/>
      </c>
      <c r="AH719" s="18" t="str">
        <f>IF(NOT(ISBLANK(Audit[[#This Row],[Audit Candidate 4]])),Audit[[#This Row],[Audit Candidate 4]]-Audit[[#This Row],[Candidate 4]], "")</f>
        <v/>
      </c>
      <c r="AI719" s="18" t="str">
        <f>IF(NOT(ISBLANK(Audit[[#This Row],[Audit Candidate 5]])), Audit[[#This Row],[Audit Candidate 5]]-Audit[[#This Row],[Candidate 5]], "")</f>
        <v/>
      </c>
      <c r="AJ719" s="18" t="str">
        <f>IF(NOT(ISBLANK(Audit[[#This Row],[Audit Candidate 6]])), Audit[[#This Row],[Audit Candidate 6]]-Audit[[#This Row],[Candidate 6]], "")</f>
        <v/>
      </c>
      <c r="AK719" s="18" t="str">
        <f>IF(NOT(ISBLANK(Audit[[#This Row],[Audit Candidate 7]])), Audit[[#This Row],[Audit Candidate 7]]-Audit[[#This Row],[Candidate 7]], "")</f>
        <v/>
      </c>
      <c r="AL719" s="18" t="str">
        <f>IF(NOT(ISBLANK(Audit[[#This Row],[Audit Candidate 8]])), Audit[[#This Row],[Audit Candidate 8]]-Audit[[#This Row],[Candidate 8]], "")</f>
        <v/>
      </c>
      <c r="AM719" s="18" t="str">
        <f>IF(NOT(ISBLANK(Audit[[#This Row],[Audit Candidate 9]])), Audit[[#This Row],[Audit Candidate 9]]-Audit[[#This Row],[Candidate 9]], "")</f>
        <v/>
      </c>
      <c r="AN719" s="18" t="str">
        <f>IF(NOT(ISBLANK(Audit[[#This Row],[Audit Candidate 10]])), Audit[[#This Row],[Audit Candidate 10]]-Audit[[#This Row],[Candidate 10]], "")</f>
        <v/>
      </c>
      <c r="AO719" s="18" t="str">
        <f>IF(NOT(ISBLANK(Audit[[#This Row],[Audit Candidate 11]])), Audit[[#This Row],[Audit Candidate 11]]-Audit[[#This Row],[Candidate 11]], "")</f>
        <v/>
      </c>
      <c r="AP719" s="18" t="str">
        <f>IF(NOT(ISBLANK(Audit[[#This Row],[Audit Candidate 12]])), Audit[[#This Row],[Audit Candidate 12]]-Audit[[#This Row],[Candidate 12]], "")</f>
        <v/>
      </c>
      <c r="AQ719" s="18">
        <f>SUMIF(Audit[[#This Row],[Difference Winner]:[Difference Candidate 12]], "&gt;0")</f>
        <v>0</v>
      </c>
      <c r="AR719" s="18">
        <f>SUM(Audit[[#This Row],[Difference Winner]:[Difference Candidate 12]])</f>
        <v>0</v>
      </c>
      <c r="AS719" s="18">
        <f>IF(Audit[[#This Row],[Times p Drawn - With Replacement]]&gt;0, IF(Audit[[#This Row],[Canceled Differences]]&lt;0, Audit[[#This Row],[Max Differences]]+ABS(Audit[[#This Row],[Canceled Differences]]), Audit[[#This Row],[Max Differences]]), 0)</f>
        <v>0</v>
      </c>
      <c r="AT719" s="18">
        <f>'Sampling Data'!AB719</f>
        <v>1.8531896849577536E-3</v>
      </c>
      <c r="AU719" s="18">
        <f>IF(
      SUM(Audit[[#This Row],[Audit Losing Candidate]:[Audit Candidate 12]])
      &lt;&gt;0,
      (Audit[[#This Row],[Winning Candidate]]-Audit[[#This Row],[Losing Candidate]]-(Audit[[#This Row],[Audit Winning Candidate]]-Audit[[#This Row],[Audit Losing Candidate]]))/(Audit[[#Totals],[Winning Candidate]]-Audit[[#Totals],[Losing Candidate]]),
      0
)</f>
        <v>0</v>
      </c>
      <c r="AV7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8">
        <f>IF(Audit[[#This Row],[Max Relative Error (ep)]] = 0, 0, Audit[[#This Row],[Max Relative Error (ep)]]/Audit[[#This Row],[Error Bound (up) - Max. possible relative overstatement]])</f>
        <v>0</v>
      </c>
      <c r="BH7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19" s="18">
        <f t="shared" ref="BI719:BI782" si="12">IF(ISERR(POWER(BH719,R719)), 0, POWER(BH719,R719))</f>
        <v>1</v>
      </c>
      <c r="BJ719" s="18">
        <f>PRODUCT($BI$5:BI719)</f>
        <v>0.32656797278968008</v>
      </c>
      <c r="BK719" s="20">
        <f>1 - Audit[[#This Row],[K-M P Value]]</f>
        <v>0.67343202721031992</v>
      </c>
      <c r="BL719" s="18" t="str">
        <f>IF(Audit[[#This Row],[K-M P Value]]&gt;1-'General Info'!$B$12,"Continue", "Stop")</f>
        <v>Continue</v>
      </c>
      <c r="BM719" s="23" t="b">
        <f>IF(Audit[[#This Row],[Status - Continue or stop audit]] = "Continue", TRUE, IF(BL718 = "Continue", TRUE, FALSE))</f>
        <v>1</v>
      </c>
      <c r="BN719" s="23"/>
    </row>
    <row r="720" spans="1:66" ht="15" hidden="1" customHeight="1" x14ac:dyDescent="0.35">
      <c r="A720" s="18" t="str">
        <f>'Sampling Data'!AI720</f>
        <v/>
      </c>
      <c r="B720" s="18" t="str">
        <f>'Sampling Data'!A720</f>
        <v>2403 CIN 24-C   (ED)</v>
      </c>
      <c r="C720" s="18">
        <f>'Sampling Data'!B720</f>
        <v>16</v>
      </c>
      <c r="D720" s="18">
        <f>'Sampling Data'!C720</f>
        <v>0</v>
      </c>
      <c r="E720" s="19">
        <f>'Sampling Data'!D720</f>
        <v>0</v>
      </c>
      <c r="F720" s="19">
        <f>'Sampling Data'!E720</f>
        <v>0</v>
      </c>
      <c r="G720" s="19">
        <f>'Sampling Data'!F720</f>
        <v>0</v>
      </c>
      <c r="H720" s="19">
        <f>'Sampling Data'!G720</f>
        <v>0</v>
      </c>
      <c r="I720" s="19">
        <f>'Sampling Data'!H720</f>
        <v>0</v>
      </c>
      <c r="J720" s="19">
        <f>'Sampling Data'!I720</f>
        <v>0</v>
      </c>
      <c r="K720" s="19">
        <f>'Sampling Data'!J720</f>
        <v>0</v>
      </c>
      <c r="L720" s="19">
        <f>'Sampling Data'!K720</f>
        <v>0</v>
      </c>
      <c r="M720" s="19">
        <f>'Sampling Data'!L720</f>
        <v>0</v>
      </c>
      <c r="N720" s="19">
        <f>'Sampling Data'!M720</f>
        <v>0</v>
      </c>
      <c r="O720" s="18">
        <f>'Sampling Data'!N720</f>
        <v>0</v>
      </c>
      <c r="P720" s="18">
        <f>'Sampling Data'!O720</f>
        <v>0</v>
      </c>
      <c r="Q720" s="18">
        <f>'Sampling Data'!P720</f>
        <v>16</v>
      </c>
      <c r="R720" s="18">
        <f>'Sampling Data'!AJ720</f>
        <v>0</v>
      </c>
      <c r="S720" s="112"/>
      <c r="T720" s="112"/>
      <c r="U720" s="113"/>
      <c r="V720" s="113"/>
      <c r="W720" s="112"/>
      <c r="X720" s="112"/>
      <c r="Y720" s="112"/>
      <c r="Z720" s="112"/>
      <c r="AA720" s="15"/>
      <c r="AB720" s="15"/>
      <c r="AC720" s="15"/>
      <c r="AD720" s="15"/>
      <c r="AE720" s="114" t="str">
        <f>IF(NOT(ISBLANK(Audit[[#This Row],[Audit Winning Candidate]])), Audit[[#This Row],[Audit Winning Candidate]]-Audit[[#This Row],[Winning Candidate]], "")</f>
        <v/>
      </c>
      <c r="AF720" s="18" t="str">
        <f>IF(NOT(ISBLANK(Audit[[#This Row],[Audit Losing Candidate]])), Audit[[#This Row],[Audit Losing Candidate]]-Audit[[#This Row],[Losing Candidate]], "")</f>
        <v/>
      </c>
      <c r="AG720" s="18" t="str">
        <f>IF(NOT(ISBLANK(Audit[[#This Row],[Audit Candidate 3]])), Audit[[#This Row],[Audit Candidate 3]]-Audit[[#This Row],[Candidate 3]], "")</f>
        <v/>
      </c>
      <c r="AH720" s="18" t="str">
        <f>IF(NOT(ISBLANK(Audit[[#This Row],[Audit Candidate 4]])),Audit[[#This Row],[Audit Candidate 4]]-Audit[[#This Row],[Candidate 4]], "")</f>
        <v/>
      </c>
      <c r="AI720" s="18" t="str">
        <f>IF(NOT(ISBLANK(Audit[[#This Row],[Audit Candidate 5]])), Audit[[#This Row],[Audit Candidate 5]]-Audit[[#This Row],[Candidate 5]], "")</f>
        <v/>
      </c>
      <c r="AJ720" s="18" t="str">
        <f>IF(NOT(ISBLANK(Audit[[#This Row],[Audit Candidate 6]])), Audit[[#This Row],[Audit Candidate 6]]-Audit[[#This Row],[Candidate 6]], "")</f>
        <v/>
      </c>
      <c r="AK720" s="18" t="str">
        <f>IF(NOT(ISBLANK(Audit[[#This Row],[Audit Candidate 7]])), Audit[[#This Row],[Audit Candidate 7]]-Audit[[#This Row],[Candidate 7]], "")</f>
        <v/>
      </c>
      <c r="AL720" s="18" t="str">
        <f>IF(NOT(ISBLANK(Audit[[#This Row],[Audit Candidate 8]])), Audit[[#This Row],[Audit Candidate 8]]-Audit[[#This Row],[Candidate 8]], "")</f>
        <v/>
      </c>
      <c r="AM720" s="18" t="str">
        <f>IF(NOT(ISBLANK(Audit[[#This Row],[Audit Candidate 9]])), Audit[[#This Row],[Audit Candidate 9]]-Audit[[#This Row],[Candidate 9]], "")</f>
        <v/>
      </c>
      <c r="AN720" s="18" t="str">
        <f>IF(NOT(ISBLANK(Audit[[#This Row],[Audit Candidate 10]])), Audit[[#This Row],[Audit Candidate 10]]-Audit[[#This Row],[Candidate 10]], "")</f>
        <v/>
      </c>
      <c r="AO720" s="18" t="str">
        <f>IF(NOT(ISBLANK(Audit[[#This Row],[Audit Candidate 11]])), Audit[[#This Row],[Audit Candidate 11]]-Audit[[#This Row],[Candidate 11]], "")</f>
        <v/>
      </c>
      <c r="AP720" s="18" t="str">
        <f>IF(NOT(ISBLANK(Audit[[#This Row],[Audit Candidate 12]])), Audit[[#This Row],[Audit Candidate 12]]-Audit[[#This Row],[Candidate 12]], "")</f>
        <v/>
      </c>
      <c r="AQ720" s="18">
        <f>SUMIF(Audit[[#This Row],[Difference Winner]:[Difference Candidate 12]], "&gt;0")</f>
        <v>0</v>
      </c>
      <c r="AR720" s="18">
        <f>SUM(Audit[[#This Row],[Difference Winner]:[Difference Candidate 12]])</f>
        <v>0</v>
      </c>
      <c r="AS720" s="18">
        <f>IF(Audit[[#This Row],[Times p Drawn - With Replacement]]&gt;0, IF(Audit[[#This Row],[Canceled Differences]]&lt;0, Audit[[#This Row],[Max Differences]]+ABS(Audit[[#This Row],[Canceled Differences]]), Audit[[#This Row],[Max Differences]]), 0)</f>
        <v>0</v>
      </c>
      <c r="AT720" s="18">
        <f>'Sampling Data'!AB720</f>
        <v>1.005119829129629E-3</v>
      </c>
      <c r="AU720" s="18">
        <f>IF(
      SUM(Audit[[#This Row],[Audit Losing Candidate]:[Audit Candidate 12]])
      &lt;&gt;0,
      (Audit[[#This Row],[Winning Candidate]]-Audit[[#This Row],[Losing Candidate]]-(Audit[[#This Row],[Audit Winning Candidate]]-Audit[[#This Row],[Audit Losing Candidate]]))/(Audit[[#Totals],[Winning Candidate]]-Audit[[#Totals],[Losing Candidate]]),
      0
)</f>
        <v>0</v>
      </c>
      <c r="AV7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8">
        <f>IF(Audit[[#This Row],[Max Relative Error (ep)]] = 0, 0, Audit[[#This Row],[Max Relative Error (ep)]]/Audit[[#This Row],[Error Bound (up) - Max. possible relative overstatement]])</f>
        <v>0</v>
      </c>
      <c r="BH7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0" s="18">
        <f t="shared" si="12"/>
        <v>1</v>
      </c>
      <c r="BJ720" s="18">
        <f>PRODUCT($BI$5:BI720)</f>
        <v>0.32656797278968008</v>
      </c>
      <c r="BK720" s="20">
        <f>1 - Audit[[#This Row],[K-M P Value]]</f>
        <v>0.67343202721031992</v>
      </c>
      <c r="BL720" s="18" t="str">
        <f>IF(Audit[[#This Row],[K-M P Value]]&gt;1-'General Info'!$B$12,"Continue", "Stop")</f>
        <v>Continue</v>
      </c>
      <c r="BM720" s="23" t="b">
        <f>IF(Audit[[#This Row],[Status - Continue or stop audit]] = "Continue", TRUE, IF(BL719 = "Continue", TRUE, FALSE))</f>
        <v>1</v>
      </c>
      <c r="BN720" s="23"/>
    </row>
    <row r="721" spans="1:66" ht="15" hidden="1" customHeight="1" x14ac:dyDescent="0.35">
      <c r="A721" s="18" t="str">
        <f>'Sampling Data'!AI721</f>
        <v/>
      </c>
      <c r="B721" s="18" t="str">
        <f>'Sampling Data'!A721</f>
        <v>2404 CIN 24-D   (ED)</v>
      </c>
      <c r="C721" s="18">
        <f>'Sampling Data'!B721</f>
        <v>29</v>
      </c>
      <c r="D721" s="18">
        <f>'Sampling Data'!C721</f>
        <v>8</v>
      </c>
      <c r="E721" s="19">
        <f>'Sampling Data'!D721</f>
        <v>0</v>
      </c>
      <c r="F721" s="19">
        <f>'Sampling Data'!E721</f>
        <v>0</v>
      </c>
      <c r="G721" s="19">
        <f>'Sampling Data'!F721</f>
        <v>0</v>
      </c>
      <c r="H721" s="19">
        <f>'Sampling Data'!G721</f>
        <v>0</v>
      </c>
      <c r="I721" s="19">
        <f>'Sampling Data'!H721</f>
        <v>0</v>
      </c>
      <c r="J721" s="19">
        <f>'Sampling Data'!I721</f>
        <v>0</v>
      </c>
      <c r="K721" s="19">
        <f>'Sampling Data'!J721</f>
        <v>0</v>
      </c>
      <c r="L721" s="19">
        <f>'Sampling Data'!K721</f>
        <v>0</v>
      </c>
      <c r="M721" s="19">
        <f>'Sampling Data'!L721</f>
        <v>0</v>
      </c>
      <c r="N721" s="19">
        <f>'Sampling Data'!M721</f>
        <v>0</v>
      </c>
      <c r="O721" s="18">
        <f>'Sampling Data'!N721</f>
        <v>0</v>
      </c>
      <c r="P721" s="18">
        <f>'Sampling Data'!O721</f>
        <v>0</v>
      </c>
      <c r="Q721" s="18">
        <f>'Sampling Data'!P721</f>
        <v>37</v>
      </c>
      <c r="R721" s="18">
        <f>'Sampling Data'!AJ721</f>
        <v>0</v>
      </c>
      <c r="S721" s="112"/>
      <c r="T721" s="112"/>
      <c r="U721" s="113"/>
      <c r="V721" s="113"/>
      <c r="W721" s="112"/>
      <c r="X721" s="112"/>
      <c r="Y721" s="112"/>
      <c r="Z721" s="112"/>
      <c r="AA721" s="15"/>
      <c r="AB721" s="15"/>
      <c r="AC721" s="15"/>
      <c r="AD721" s="15"/>
      <c r="AE721" s="114" t="str">
        <f>IF(NOT(ISBLANK(Audit[[#This Row],[Audit Winning Candidate]])), Audit[[#This Row],[Audit Winning Candidate]]-Audit[[#This Row],[Winning Candidate]], "")</f>
        <v/>
      </c>
      <c r="AF721" s="18" t="str">
        <f>IF(NOT(ISBLANK(Audit[[#This Row],[Audit Losing Candidate]])), Audit[[#This Row],[Audit Losing Candidate]]-Audit[[#This Row],[Losing Candidate]], "")</f>
        <v/>
      </c>
      <c r="AG721" s="18" t="str">
        <f>IF(NOT(ISBLANK(Audit[[#This Row],[Audit Candidate 3]])), Audit[[#This Row],[Audit Candidate 3]]-Audit[[#This Row],[Candidate 3]], "")</f>
        <v/>
      </c>
      <c r="AH721" s="18" t="str">
        <f>IF(NOT(ISBLANK(Audit[[#This Row],[Audit Candidate 4]])),Audit[[#This Row],[Audit Candidate 4]]-Audit[[#This Row],[Candidate 4]], "")</f>
        <v/>
      </c>
      <c r="AI721" s="18" t="str">
        <f>IF(NOT(ISBLANK(Audit[[#This Row],[Audit Candidate 5]])), Audit[[#This Row],[Audit Candidate 5]]-Audit[[#This Row],[Candidate 5]], "")</f>
        <v/>
      </c>
      <c r="AJ721" s="18" t="str">
        <f>IF(NOT(ISBLANK(Audit[[#This Row],[Audit Candidate 6]])), Audit[[#This Row],[Audit Candidate 6]]-Audit[[#This Row],[Candidate 6]], "")</f>
        <v/>
      </c>
      <c r="AK721" s="18" t="str">
        <f>IF(NOT(ISBLANK(Audit[[#This Row],[Audit Candidate 7]])), Audit[[#This Row],[Audit Candidate 7]]-Audit[[#This Row],[Candidate 7]], "")</f>
        <v/>
      </c>
      <c r="AL721" s="18" t="str">
        <f>IF(NOT(ISBLANK(Audit[[#This Row],[Audit Candidate 8]])), Audit[[#This Row],[Audit Candidate 8]]-Audit[[#This Row],[Candidate 8]], "")</f>
        <v/>
      </c>
      <c r="AM721" s="18" t="str">
        <f>IF(NOT(ISBLANK(Audit[[#This Row],[Audit Candidate 9]])), Audit[[#This Row],[Audit Candidate 9]]-Audit[[#This Row],[Candidate 9]], "")</f>
        <v/>
      </c>
      <c r="AN721" s="18" t="str">
        <f>IF(NOT(ISBLANK(Audit[[#This Row],[Audit Candidate 10]])), Audit[[#This Row],[Audit Candidate 10]]-Audit[[#This Row],[Candidate 10]], "")</f>
        <v/>
      </c>
      <c r="AO721" s="18" t="str">
        <f>IF(NOT(ISBLANK(Audit[[#This Row],[Audit Candidate 11]])), Audit[[#This Row],[Audit Candidate 11]]-Audit[[#This Row],[Candidate 11]], "")</f>
        <v/>
      </c>
      <c r="AP721" s="18" t="str">
        <f>IF(NOT(ISBLANK(Audit[[#This Row],[Audit Candidate 12]])), Audit[[#This Row],[Audit Candidate 12]]-Audit[[#This Row],[Candidate 12]], "")</f>
        <v/>
      </c>
      <c r="AQ721" s="18">
        <f>SUMIF(Audit[[#This Row],[Difference Winner]:[Difference Candidate 12]], "&gt;0")</f>
        <v>0</v>
      </c>
      <c r="AR721" s="18">
        <f>SUM(Audit[[#This Row],[Difference Winner]:[Difference Candidate 12]])</f>
        <v>0</v>
      </c>
      <c r="AS721" s="18">
        <f>IF(Audit[[#This Row],[Times p Drawn - With Replacement]]&gt;0, IF(Audit[[#This Row],[Canceled Differences]]&lt;0, Audit[[#This Row],[Max Differences]]+ABS(Audit[[#This Row],[Canceled Differences]]), Audit[[#This Row],[Max Differences]]), 0)</f>
        <v>0</v>
      </c>
      <c r="AT721" s="18">
        <f>'Sampling Data'!AB721</f>
        <v>1.8217796902974526E-3</v>
      </c>
      <c r="AU721" s="18">
        <f>IF(
      SUM(Audit[[#This Row],[Audit Losing Candidate]:[Audit Candidate 12]])
      &lt;&gt;0,
      (Audit[[#This Row],[Winning Candidate]]-Audit[[#This Row],[Losing Candidate]]-(Audit[[#This Row],[Audit Winning Candidate]]-Audit[[#This Row],[Audit Losing Candidate]]))/(Audit[[#Totals],[Winning Candidate]]-Audit[[#Totals],[Losing Candidate]]),
      0
)</f>
        <v>0</v>
      </c>
      <c r="AV7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8">
        <f>IF(Audit[[#This Row],[Max Relative Error (ep)]] = 0, 0, Audit[[#This Row],[Max Relative Error (ep)]]/Audit[[#This Row],[Error Bound (up) - Max. possible relative overstatement]])</f>
        <v>0</v>
      </c>
      <c r="BH7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1" s="18">
        <f t="shared" si="12"/>
        <v>1</v>
      </c>
      <c r="BJ721" s="18">
        <f>PRODUCT($BI$5:BI721)</f>
        <v>0.32656797278968008</v>
      </c>
      <c r="BK721" s="20">
        <f>1 - Audit[[#This Row],[K-M P Value]]</f>
        <v>0.67343202721031992</v>
      </c>
      <c r="BL721" s="18" t="str">
        <f>IF(Audit[[#This Row],[K-M P Value]]&gt;1-'General Info'!$B$12,"Continue", "Stop")</f>
        <v>Continue</v>
      </c>
      <c r="BM721" s="23" t="b">
        <f>IF(Audit[[#This Row],[Status - Continue or stop audit]] = "Continue", TRUE, IF(BL720 = "Continue", TRUE, FALSE))</f>
        <v>1</v>
      </c>
      <c r="BN721" s="23"/>
    </row>
    <row r="722" spans="1:66" ht="15" hidden="1" customHeight="1" x14ac:dyDescent="0.35">
      <c r="A722" s="18" t="str">
        <f>'Sampling Data'!AI722</f>
        <v/>
      </c>
      <c r="B722" s="18" t="str">
        <f>'Sampling Data'!A722</f>
        <v>2405 CIN 24-E   (ED)</v>
      </c>
      <c r="C722" s="18">
        <f>'Sampling Data'!B722</f>
        <v>4</v>
      </c>
      <c r="D722" s="18">
        <f>'Sampling Data'!C722</f>
        <v>0</v>
      </c>
      <c r="E722" s="19">
        <f>'Sampling Data'!D722</f>
        <v>0</v>
      </c>
      <c r="F722" s="19">
        <f>'Sampling Data'!E722</f>
        <v>0</v>
      </c>
      <c r="G722" s="19">
        <f>'Sampling Data'!F722</f>
        <v>0</v>
      </c>
      <c r="H722" s="19">
        <f>'Sampling Data'!G722</f>
        <v>0</v>
      </c>
      <c r="I722" s="19">
        <f>'Sampling Data'!H722</f>
        <v>0</v>
      </c>
      <c r="J722" s="19">
        <f>'Sampling Data'!I722</f>
        <v>0</v>
      </c>
      <c r="K722" s="19">
        <f>'Sampling Data'!J722</f>
        <v>0</v>
      </c>
      <c r="L722" s="19">
        <f>'Sampling Data'!K722</f>
        <v>0</v>
      </c>
      <c r="M722" s="19">
        <f>'Sampling Data'!L722</f>
        <v>0</v>
      </c>
      <c r="N722" s="19">
        <f>'Sampling Data'!M722</f>
        <v>0</v>
      </c>
      <c r="O722" s="18">
        <f>'Sampling Data'!N722</f>
        <v>0</v>
      </c>
      <c r="P722" s="18">
        <f>'Sampling Data'!O722</f>
        <v>0</v>
      </c>
      <c r="Q722" s="18">
        <f>'Sampling Data'!P722</f>
        <v>4</v>
      </c>
      <c r="R722" s="18">
        <f>'Sampling Data'!AJ722</f>
        <v>0</v>
      </c>
      <c r="S722" s="112"/>
      <c r="T722" s="112"/>
      <c r="U722" s="113"/>
      <c r="V722" s="113"/>
      <c r="W722" s="112"/>
      <c r="X722" s="112"/>
      <c r="Y722" s="112"/>
      <c r="Z722" s="112"/>
      <c r="AA722" s="15"/>
      <c r="AB722" s="15"/>
      <c r="AC722" s="15"/>
      <c r="AD722" s="15"/>
      <c r="AE722" s="114" t="str">
        <f>IF(NOT(ISBLANK(Audit[[#This Row],[Audit Winning Candidate]])), Audit[[#This Row],[Audit Winning Candidate]]-Audit[[#This Row],[Winning Candidate]], "")</f>
        <v/>
      </c>
      <c r="AF722" s="18" t="str">
        <f>IF(NOT(ISBLANK(Audit[[#This Row],[Audit Losing Candidate]])), Audit[[#This Row],[Audit Losing Candidate]]-Audit[[#This Row],[Losing Candidate]], "")</f>
        <v/>
      </c>
      <c r="AG722" s="18" t="str">
        <f>IF(NOT(ISBLANK(Audit[[#This Row],[Audit Candidate 3]])), Audit[[#This Row],[Audit Candidate 3]]-Audit[[#This Row],[Candidate 3]], "")</f>
        <v/>
      </c>
      <c r="AH722" s="18" t="str">
        <f>IF(NOT(ISBLANK(Audit[[#This Row],[Audit Candidate 4]])),Audit[[#This Row],[Audit Candidate 4]]-Audit[[#This Row],[Candidate 4]], "")</f>
        <v/>
      </c>
      <c r="AI722" s="18" t="str">
        <f>IF(NOT(ISBLANK(Audit[[#This Row],[Audit Candidate 5]])), Audit[[#This Row],[Audit Candidate 5]]-Audit[[#This Row],[Candidate 5]], "")</f>
        <v/>
      </c>
      <c r="AJ722" s="18" t="str">
        <f>IF(NOT(ISBLANK(Audit[[#This Row],[Audit Candidate 6]])), Audit[[#This Row],[Audit Candidate 6]]-Audit[[#This Row],[Candidate 6]], "")</f>
        <v/>
      </c>
      <c r="AK722" s="18" t="str">
        <f>IF(NOT(ISBLANK(Audit[[#This Row],[Audit Candidate 7]])), Audit[[#This Row],[Audit Candidate 7]]-Audit[[#This Row],[Candidate 7]], "")</f>
        <v/>
      </c>
      <c r="AL722" s="18" t="str">
        <f>IF(NOT(ISBLANK(Audit[[#This Row],[Audit Candidate 8]])), Audit[[#This Row],[Audit Candidate 8]]-Audit[[#This Row],[Candidate 8]], "")</f>
        <v/>
      </c>
      <c r="AM722" s="18" t="str">
        <f>IF(NOT(ISBLANK(Audit[[#This Row],[Audit Candidate 9]])), Audit[[#This Row],[Audit Candidate 9]]-Audit[[#This Row],[Candidate 9]], "")</f>
        <v/>
      </c>
      <c r="AN722" s="18" t="str">
        <f>IF(NOT(ISBLANK(Audit[[#This Row],[Audit Candidate 10]])), Audit[[#This Row],[Audit Candidate 10]]-Audit[[#This Row],[Candidate 10]], "")</f>
        <v/>
      </c>
      <c r="AO722" s="18" t="str">
        <f>IF(NOT(ISBLANK(Audit[[#This Row],[Audit Candidate 11]])), Audit[[#This Row],[Audit Candidate 11]]-Audit[[#This Row],[Candidate 11]], "")</f>
        <v/>
      </c>
      <c r="AP722" s="18" t="str">
        <f>IF(NOT(ISBLANK(Audit[[#This Row],[Audit Candidate 12]])), Audit[[#This Row],[Audit Candidate 12]]-Audit[[#This Row],[Candidate 12]], "")</f>
        <v/>
      </c>
      <c r="AQ722" s="18">
        <f>SUMIF(Audit[[#This Row],[Difference Winner]:[Difference Candidate 12]], "&gt;0")</f>
        <v>0</v>
      </c>
      <c r="AR722" s="18">
        <f>SUM(Audit[[#This Row],[Difference Winner]:[Difference Candidate 12]])</f>
        <v>0</v>
      </c>
      <c r="AS722" s="18">
        <f>IF(Audit[[#This Row],[Times p Drawn - With Replacement]]&gt;0, IF(Audit[[#This Row],[Canceled Differences]]&lt;0, Audit[[#This Row],[Max Differences]]+ABS(Audit[[#This Row],[Canceled Differences]]), Audit[[#This Row],[Max Differences]]), 0)</f>
        <v>0</v>
      </c>
      <c r="AT722" s="18">
        <f>'Sampling Data'!AB722</f>
        <v>2.5127995728240724E-4</v>
      </c>
      <c r="AU722" s="18">
        <f>IF(
      SUM(Audit[[#This Row],[Audit Losing Candidate]:[Audit Candidate 12]])
      &lt;&gt;0,
      (Audit[[#This Row],[Winning Candidate]]-Audit[[#This Row],[Losing Candidate]]-(Audit[[#This Row],[Audit Winning Candidate]]-Audit[[#This Row],[Audit Losing Candidate]]))/(Audit[[#Totals],[Winning Candidate]]-Audit[[#Totals],[Losing Candidate]]),
      0
)</f>
        <v>0</v>
      </c>
      <c r="AV7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8">
        <f>IF(Audit[[#This Row],[Max Relative Error (ep)]] = 0, 0, Audit[[#This Row],[Max Relative Error (ep)]]/Audit[[#This Row],[Error Bound (up) - Max. possible relative overstatement]])</f>
        <v>0</v>
      </c>
      <c r="BH7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2" s="18">
        <f t="shared" si="12"/>
        <v>1</v>
      </c>
      <c r="BJ722" s="18">
        <f>PRODUCT($BI$5:BI722)</f>
        <v>0.32656797278968008</v>
      </c>
      <c r="BK722" s="20">
        <f>1 - Audit[[#This Row],[K-M P Value]]</f>
        <v>0.67343202721031992</v>
      </c>
      <c r="BL722" s="18" t="str">
        <f>IF(Audit[[#This Row],[K-M P Value]]&gt;1-'General Info'!$B$12,"Continue", "Stop")</f>
        <v>Continue</v>
      </c>
      <c r="BM722" s="23" t="b">
        <f>IF(Audit[[#This Row],[Status - Continue or stop audit]] = "Continue", TRUE, IF(BL721 = "Continue", TRUE, FALSE))</f>
        <v>1</v>
      </c>
      <c r="BN722" s="23"/>
    </row>
    <row r="723" spans="1:66" ht="15" hidden="1" customHeight="1" x14ac:dyDescent="0.35">
      <c r="A723" s="18" t="str">
        <f>'Sampling Data'!AI723</f>
        <v/>
      </c>
      <c r="B723" s="18" t="str">
        <f>'Sampling Data'!A723</f>
        <v>2406 CIN 24-F   (ED)</v>
      </c>
      <c r="C723" s="18">
        <f>'Sampling Data'!B723</f>
        <v>8</v>
      </c>
      <c r="D723" s="18">
        <f>'Sampling Data'!C723</f>
        <v>2</v>
      </c>
      <c r="E723" s="19">
        <f>'Sampling Data'!D723</f>
        <v>0</v>
      </c>
      <c r="F723" s="19">
        <f>'Sampling Data'!E723</f>
        <v>0</v>
      </c>
      <c r="G723" s="19">
        <f>'Sampling Data'!F723</f>
        <v>0</v>
      </c>
      <c r="H723" s="19">
        <f>'Sampling Data'!G723</f>
        <v>0</v>
      </c>
      <c r="I723" s="19">
        <f>'Sampling Data'!H723</f>
        <v>0</v>
      </c>
      <c r="J723" s="19">
        <f>'Sampling Data'!I723</f>
        <v>0</v>
      </c>
      <c r="K723" s="19">
        <f>'Sampling Data'!J723</f>
        <v>0</v>
      </c>
      <c r="L723" s="19">
        <f>'Sampling Data'!K723</f>
        <v>0</v>
      </c>
      <c r="M723" s="19">
        <f>'Sampling Data'!L723</f>
        <v>0</v>
      </c>
      <c r="N723" s="19">
        <f>'Sampling Data'!M723</f>
        <v>0</v>
      </c>
      <c r="O723" s="18">
        <f>'Sampling Data'!N723</f>
        <v>0</v>
      </c>
      <c r="P723" s="18">
        <f>'Sampling Data'!O723</f>
        <v>1</v>
      </c>
      <c r="Q723" s="18">
        <f>'Sampling Data'!P723</f>
        <v>11</v>
      </c>
      <c r="R723" s="18">
        <f>'Sampling Data'!AJ723</f>
        <v>0</v>
      </c>
      <c r="S723" s="112"/>
      <c r="T723" s="112"/>
      <c r="U723" s="113"/>
      <c r="V723" s="113"/>
      <c r="W723" s="112"/>
      <c r="X723" s="112"/>
      <c r="Y723" s="112"/>
      <c r="Z723" s="112"/>
      <c r="AA723" s="15"/>
      <c r="AB723" s="15"/>
      <c r="AC723" s="15"/>
      <c r="AD723" s="15"/>
      <c r="AE723" s="114" t="str">
        <f>IF(NOT(ISBLANK(Audit[[#This Row],[Audit Winning Candidate]])), Audit[[#This Row],[Audit Winning Candidate]]-Audit[[#This Row],[Winning Candidate]], "")</f>
        <v/>
      </c>
      <c r="AF723" s="18" t="str">
        <f>IF(NOT(ISBLANK(Audit[[#This Row],[Audit Losing Candidate]])), Audit[[#This Row],[Audit Losing Candidate]]-Audit[[#This Row],[Losing Candidate]], "")</f>
        <v/>
      </c>
      <c r="AG723" s="18" t="str">
        <f>IF(NOT(ISBLANK(Audit[[#This Row],[Audit Candidate 3]])), Audit[[#This Row],[Audit Candidate 3]]-Audit[[#This Row],[Candidate 3]], "")</f>
        <v/>
      </c>
      <c r="AH723" s="18" t="str">
        <f>IF(NOT(ISBLANK(Audit[[#This Row],[Audit Candidate 4]])),Audit[[#This Row],[Audit Candidate 4]]-Audit[[#This Row],[Candidate 4]], "")</f>
        <v/>
      </c>
      <c r="AI723" s="18" t="str">
        <f>IF(NOT(ISBLANK(Audit[[#This Row],[Audit Candidate 5]])), Audit[[#This Row],[Audit Candidate 5]]-Audit[[#This Row],[Candidate 5]], "")</f>
        <v/>
      </c>
      <c r="AJ723" s="18" t="str">
        <f>IF(NOT(ISBLANK(Audit[[#This Row],[Audit Candidate 6]])), Audit[[#This Row],[Audit Candidate 6]]-Audit[[#This Row],[Candidate 6]], "")</f>
        <v/>
      </c>
      <c r="AK723" s="18" t="str">
        <f>IF(NOT(ISBLANK(Audit[[#This Row],[Audit Candidate 7]])), Audit[[#This Row],[Audit Candidate 7]]-Audit[[#This Row],[Candidate 7]], "")</f>
        <v/>
      </c>
      <c r="AL723" s="18" t="str">
        <f>IF(NOT(ISBLANK(Audit[[#This Row],[Audit Candidate 8]])), Audit[[#This Row],[Audit Candidate 8]]-Audit[[#This Row],[Candidate 8]], "")</f>
        <v/>
      </c>
      <c r="AM723" s="18" t="str">
        <f>IF(NOT(ISBLANK(Audit[[#This Row],[Audit Candidate 9]])), Audit[[#This Row],[Audit Candidate 9]]-Audit[[#This Row],[Candidate 9]], "")</f>
        <v/>
      </c>
      <c r="AN723" s="18" t="str">
        <f>IF(NOT(ISBLANK(Audit[[#This Row],[Audit Candidate 10]])), Audit[[#This Row],[Audit Candidate 10]]-Audit[[#This Row],[Candidate 10]], "")</f>
        <v/>
      </c>
      <c r="AO723" s="18" t="str">
        <f>IF(NOT(ISBLANK(Audit[[#This Row],[Audit Candidate 11]])), Audit[[#This Row],[Audit Candidate 11]]-Audit[[#This Row],[Candidate 11]], "")</f>
        <v/>
      </c>
      <c r="AP723" s="18" t="str">
        <f>IF(NOT(ISBLANK(Audit[[#This Row],[Audit Candidate 12]])), Audit[[#This Row],[Audit Candidate 12]]-Audit[[#This Row],[Candidate 12]], "")</f>
        <v/>
      </c>
      <c r="AQ723" s="18">
        <f>SUMIF(Audit[[#This Row],[Difference Winner]:[Difference Candidate 12]], "&gt;0")</f>
        <v>0</v>
      </c>
      <c r="AR723" s="18">
        <f>SUM(Audit[[#This Row],[Difference Winner]:[Difference Candidate 12]])</f>
        <v>0</v>
      </c>
      <c r="AS723" s="18">
        <f>IF(Audit[[#This Row],[Times p Drawn - With Replacement]]&gt;0, IF(Audit[[#This Row],[Canceled Differences]]&lt;0, Audit[[#This Row],[Max Differences]]+ABS(Audit[[#This Row],[Canceled Differences]]), Audit[[#This Row],[Max Differences]]), 0)</f>
        <v>0</v>
      </c>
      <c r="AT723" s="18">
        <f>'Sampling Data'!AB723</f>
        <v>5.3396990922511547E-4</v>
      </c>
      <c r="AU723" s="18">
        <f>IF(
      SUM(Audit[[#This Row],[Audit Losing Candidate]:[Audit Candidate 12]])
      &lt;&gt;0,
      (Audit[[#This Row],[Winning Candidate]]-Audit[[#This Row],[Losing Candidate]]-(Audit[[#This Row],[Audit Winning Candidate]]-Audit[[#This Row],[Audit Losing Candidate]]))/(Audit[[#Totals],[Winning Candidate]]-Audit[[#Totals],[Losing Candidate]]),
      0
)</f>
        <v>0</v>
      </c>
      <c r="AV7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8">
        <f>IF(Audit[[#This Row],[Max Relative Error (ep)]] = 0, 0, Audit[[#This Row],[Max Relative Error (ep)]]/Audit[[#This Row],[Error Bound (up) - Max. possible relative overstatement]])</f>
        <v>0</v>
      </c>
      <c r="BH7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3" s="18">
        <f t="shared" si="12"/>
        <v>1</v>
      </c>
      <c r="BJ723" s="18">
        <f>PRODUCT($BI$5:BI723)</f>
        <v>0.32656797278968008</v>
      </c>
      <c r="BK723" s="20">
        <f>1 - Audit[[#This Row],[K-M P Value]]</f>
        <v>0.67343202721031992</v>
      </c>
      <c r="BL723" s="18" t="str">
        <f>IF(Audit[[#This Row],[K-M P Value]]&gt;1-'General Info'!$B$12,"Continue", "Stop")</f>
        <v>Continue</v>
      </c>
      <c r="BM723" s="23" t="b">
        <f>IF(Audit[[#This Row],[Status - Continue or stop audit]] = "Continue", TRUE, IF(BL722 = "Continue", TRUE, FALSE))</f>
        <v>1</v>
      </c>
      <c r="BN723" s="23"/>
    </row>
    <row r="724" spans="1:66" ht="15" hidden="1" customHeight="1" x14ac:dyDescent="0.35">
      <c r="A724" s="18" t="str">
        <f>'Sampling Data'!AI724</f>
        <v/>
      </c>
      <c r="B724" s="18" t="str">
        <f>'Sampling Data'!A724</f>
        <v>2407 CIN 24-G   (ED)</v>
      </c>
      <c r="C724" s="18">
        <f>'Sampling Data'!B724</f>
        <v>45</v>
      </c>
      <c r="D724" s="18">
        <f>'Sampling Data'!C724</f>
        <v>15</v>
      </c>
      <c r="E724" s="19">
        <f>'Sampling Data'!D724</f>
        <v>0</v>
      </c>
      <c r="F724" s="19">
        <f>'Sampling Data'!E724</f>
        <v>0</v>
      </c>
      <c r="G724" s="19">
        <f>'Sampling Data'!F724</f>
        <v>0</v>
      </c>
      <c r="H724" s="19">
        <f>'Sampling Data'!G724</f>
        <v>0</v>
      </c>
      <c r="I724" s="19">
        <f>'Sampling Data'!H724</f>
        <v>0</v>
      </c>
      <c r="J724" s="19">
        <f>'Sampling Data'!I724</f>
        <v>0</v>
      </c>
      <c r="K724" s="19">
        <f>'Sampling Data'!J724</f>
        <v>0</v>
      </c>
      <c r="L724" s="19">
        <f>'Sampling Data'!K724</f>
        <v>0</v>
      </c>
      <c r="M724" s="19">
        <f>'Sampling Data'!L724</f>
        <v>0</v>
      </c>
      <c r="N724" s="19">
        <f>'Sampling Data'!M724</f>
        <v>0</v>
      </c>
      <c r="O724" s="18">
        <f>'Sampling Data'!N724</f>
        <v>0</v>
      </c>
      <c r="P724" s="18">
        <f>'Sampling Data'!O724</f>
        <v>0</v>
      </c>
      <c r="Q724" s="18">
        <f>'Sampling Data'!P724</f>
        <v>60</v>
      </c>
      <c r="R724" s="18">
        <f>'Sampling Data'!AJ724</f>
        <v>0</v>
      </c>
      <c r="S724" s="112"/>
      <c r="T724" s="112"/>
      <c r="U724" s="113"/>
      <c r="V724" s="113"/>
      <c r="W724" s="112"/>
      <c r="X724" s="112"/>
      <c r="Y724" s="112"/>
      <c r="Z724" s="112"/>
      <c r="AA724" s="15"/>
      <c r="AB724" s="15"/>
      <c r="AC724" s="15"/>
      <c r="AD724" s="15"/>
      <c r="AE724" s="114" t="str">
        <f>IF(NOT(ISBLANK(Audit[[#This Row],[Audit Winning Candidate]])), Audit[[#This Row],[Audit Winning Candidate]]-Audit[[#This Row],[Winning Candidate]], "")</f>
        <v/>
      </c>
      <c r="AF724" s="18" t="str">
        <f>IF(NOT(ISBLANK(Audit[[#This Row],[Audit Losing Candidate]])), Audit[[#This Row],[Audit Losing Candidate]]-Audit[[#This Row],[Losing Candidate]], "")</f>
        <v/>
      </c>
      <c r="AG724" s="18" t="str">
        <f>IF(NOT(ISBLANK(Audit[[#This Row],[Audit Candidate 3]])), Audit[[#This Row],[Audit Candidate 3]]-Audit[[#This Row],[Candidate 3]], "")</f>
        <v/>
      </c>
      <c r="AH724" s="18" t="str">
        <f>IF(NOT(ISBLANK(Audit[[#This Row],[Audit Candidate 4]])),Audit[[#This Row],[Audit Candidate 4]]-Audit[[#This Row],[Candidate 4]], "")</f>
        <v/>
      </c>
      <c r="AI724" s="18" t="str">
        <f>IF(NOT(ISBLANK(Audit[[#This Row],[Audit Candidate 5]])), Audit[[#This Row],[Audit Candidate 5]]-Audit[[#This Row],[Candidate 5]], "")</f>
        <v/>
      </c>
      <c r="AJ724" s="18" t="str">
        <f>IF(NOT(ISBLANK(Audit[[#This Row],[Audit Candidate 6]])), Audit[[#This Row],[Audit Candidate 6]]-Audit[[#This Row],[Candidate 6]], "")</f>
        <v/>
      </c>
      <c r="AK724" s="18" t="str">
        <f>IF(NOT(ISBLANK(Audit[[#This Row],[Audit Candidate 7]])), Audit[[#This Row],[Audit Candidate 7]]-Audit[[#This Row],[Candidate 7]], "")</f>
        <v/>
      </c>
      <c r="AL724" s="18" t="str">
        <f>IF(NOT(ISBLANK(Audit[[#This Row],[Audit Candidate 8]])), Audit[[#This Row],[Audit Candidate 8]]-Audit[[#This Row],[Candidate 8]], "")</f>
        <v/>
      </c>
      <c r="AM724" s="18" t="str">
        <f>IF(NOT(ISBLANK(Audit[[#This Row],[Audit Candidate 9]])), Audit[[#This Row],[Audit Candidate 9]]-Audit[[#This Row],[Candidate 9]], "")</f>
        <v/>
      </c>
      <c r="AN724" s="18" t="str">
        <f>IF(NOT(ISBLANK(Audit[[#This Row],[Audit Candidate 10]])), Audit[[#This Row],[Audit Candidate 10]]-Audit[[#This Row],[Candidate 10]], "")</f>
        <v/>
      </c>
      <c r="AO724" s="18" t="str">
        <f>IF(NOT(ISBLANK(Audit[[#This Row],[Audit Candidate 11]])), Audit[[#This Row],[Audit Candidate 11]]-Audit[[#This Row],[Candidate 11]], "")</f>
        <v/>
      </c>
      <c r="AP724" s="18" t="str">
        <f>IF(NOT(ISBLANK(Audit[[#This Row],[Audit Candidate 12]])), Audit[[#This Row],[Audit Candidate 12]]-Audit[[#This Row],[Candidate 12]], "")</f>
        <v/>
      </c>
      <c r="AQ724" s="18">
        <f>SUMIF(Audit[[#This Row],[Difference Winner]:[Difference Candidate 12]], "&gt;0")</f>
        <v>0</v>
      </c>
      <c r="AR724" s="18">
        <f>SUM(Audit[[#This Row],[Difference Winner]:[Difference Candidate 12]])</f>
        <v>0</v>
      </c>
      <c r="AS724" s="18">
        <f>IF(Audit[[#This Row],[Times p Drawn - With Replacement]]&gt;0, IF(Audit[[#This Row],[Canceled Differences]]&lt;0, Audit[[#This Row],[Max Differences]]+ABS(Audit[[#This Row],[Canceled Differences]]), Audit[[#This Row],[Max Differences]]), 0)</f>
        <v>0</v>
      </c>
      <c r="AT724" s="18">
        <f>'Sampling Data'!AB724</f>
        <v>2.8268995194270815E-3</v>
      </c>
      <c r="AU724" s="18">
        <f>IF(
      SUM(Audit[[#This Row],[Audit Losing Candidate]:[Audit Candidate 12]])
      &lt;&gt;0,
      (Audit[[#This Row],[Winning Candidate]]-Audit[[#This Row],[Losing Candidate]]-(Audit[[#This Row],[Audit Winning Candidate]]-Audit[[#This Row],[Audit Losing Candidate]]))/(Audit[[#Totals],[Winning Candidate]]-Audit[[#Totals],[Losing Candidate]]),
      0
)</f>
        <v>0</v>
      </c>
      <c r="AV7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8">
        <f>IF(Audit[[#This Row],[Max Relative Error (ep)]] = 0, 0, Audit[[#This Row],[Max Relative Error (ep)]]/Audit[[#This Row],[Error Bound (up) - Max. possible relative overstatement]])</f>
        <v>0</v>
      </c>
      <c r="BH7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4" s="18">
        <f t="shared" si="12"/>
        <v>1</v>
      </c>
      <c r="BJ724" s="18">
        <f>PRODUCT($BI$5:BI724)</f>
        <v>0.32656797278968008</v>
      </c>
      <c r="BK724" s="20">
        <f>1 - Audit[[#This Row],[K-M P Value]]</f>
        <v>0.67343202721031992</v>
      </c>
      <c r="BL724" s="18" t="str">
        <f>IF(Audit[[#This Row],[K-M P Value]]&gt;1-'General Info'!$B$12,"Continue", "Stop")</f>
        <v>Continue</v>
      </c>
      <c r="BM724" s="23" t="b">
        <f>IF(Audit[[#This Row],[Status - Continue or stop audit]] = "Continue", TRUE, IF(BL723 = "Continue", TRUE, FALSE))</f>
        <v>1</v>
      </c>
      <c r="BN724" s="23"/>
    </row>
    <row r="725" spans="1:66" ht="15" hidden="1" customHeight="1" x14ac:dyDescent="0.35">
      <c r="A725" s="18" t="str">
        <f>'Sampling Data'!AI725</f>
        <v/>
      </c>
      <c r="B725" s="18" t="str">
        <f>'Sampling Data'!A725</f>
        <v>2408 CIN 24-H   (ED)</v>
      </c>
      <c r="C725" s="18">
        <f>'Sampling Data'!B725</f>
        <v>0</v>
      </c>
      <c r="D725" s="18">
        <f>'Sampling Data'!C725</f>
        <v>0</v>
      </c>
      <c r="E725" s="19">
        <f>'Sampling Data'!D725</f>
        <v>0</v>
      </c>
      <c r="F725" s="19">
        <f>'Sampling Data'!E725</f>
        <v>0</v>
      </c>
      <c r="G725" s="19">
        <f>'Sampling Data'!F725</f>
        <v>0</v>
      </c>
      <c r="H725" s="19">
        <f>'Sampling Data'!G725</f>
        <v>0</v>
      </c>
      <c r="I725" s="19">
        <f>'Sampling Data'!H725</f>
        <v>0</v>
      </c>
      <c r="J725" s="19">
        <f>'Sampling Data'!I725</f>
        <v>0</v>
      </c>
      <c r="K725" s="19">
        <f>'Sampling Data'!J725</f>
        <v>0</v>
      </c>
      <c r="L725" s="19">
        <f>'Sampling Data'!K725</f>
        <v>0</v>
      </c>
      <c r="M725" s="19">
        <f>'Sampling Data'!L725</f>
        <v>0</v>
      </c>
      <c r="N725" s="19">
        <f>'Sampling Data'!M725</f>
        <v>0</v>
      </c>
      <c r="O725" s="18">
        <f>'Sampling Data'!N725</f>
        <v>0</v>
      </c>
      <c r="P725" s="18">
        <f>'Sampling Data'!O725</f>
        <v>0</v>
      </c>
      <c r="Q725" s="18">
        <f>'Sampling Data'!P725</f>
        <v>0</v>
      </c>
      <c r="R725" s="18">
        <f>'Sampling Data'!AJ725</f>
        <v>0</v>
      </c>
      <c r="S725" s="112"/>
      <c r="T725" s="112"/>
      <c r="U725" s="113"/>
      <c r="V725" s="113"/>
      <c r="W725" s="112"/>
      <c r="X725" s="112"/>
      <c r="Y725" s="112"/>
      <c r="Z725" s="112"/>
      <c r="AA725" s="15"/>
      <c r="AB725" s="15"/>
      <c r="AC725" s="15"/>
      <c r="AD725" s="15"/>
      <c r="AE725" s="114" t="str">
        <f>IF(NOT(ISBLANK(Audit[[#This Row],[Audit Winning Candidate]])), Audit[[#This Row],[Audit Winning Candidate]]-Audit[[#This Row],[Winning Candidate]], "")</f>
        <v/>
      </c>
      <c r="AF725" s="18" t="str">
        <f>IF(NOT(ISBLANK(Audit[[#This Row],[Audit Losing Candidate]])), Audit[[#This Row],[Audit Losing Candidate]]-Audit[[#This Row],[Losing Candidate]], "")</f>
        <v/>
      </c>
      <c r="AG725" s="18" t="str">
        <f>IF(NOT(ISBLANK(Audit[[#This Row],[Audit Candidate 3]])), Audit[[#This Row],[Audit Candidate 3]]-Audit[[#This Row],[Candidate 3]], "")</f>
        <v/>
      </c>
      <c r="AH725" s="18" t="str">
        <f>IF(NOT(ISBLANK(Audit[[#This Row],[Audit Candidate 4]])),Audit[[#This Row],[Audit Candidate 4]]-Audit[[#This Row],[Candidate 4]], "")</f>
        <v/>
      </c>
      <c r="AI725" s="18" t="str">
        <f>IF(NOT(ISBLANK(Audit[[#This Row],[Audit Candidate 5]])), Audit[[#This Row],[Audit Candidate 5]]-Audit[[#This Row],[Candidate 5]], "")</f>
        <v/>
      </c>
      <c r="AJ725" s="18" t="str">
        <f>IF(NOT(ISBLANK(Audit[[#This Row],[Audit Candidate 6]])), Audit[[#This Row],[Audit Candidate 6]]-Audit[[#This Row],[Candidate 6]], "")</f>
        <v/>
      </c>
      <c r="AK725" s="18" t="str">
        <f>IF(NOT(ISBLANK(Audit[[#This Row],[Audit Candidate 7]])), Audit[[#This Row],[Audit Candidate 7]]-Audit[[#This Row],[Candidate 7]], "")</f>
        <v/>
      </c>
      <c r="AL725" s="18" t="str">
        <f>IF(NOT(ISBLANK(Audit[[#This Row],[Audit Candidate 8]])), Audit[[#This Row],[Audit Candidate 8]]-Audit[[#This Row],[Candidate 8]], "")</f>
        <v/>
      </c>
      <c r="AM725" s="18" t="str">
        <f>IF(NOT(ISBLANK(Audit[[#This Row],[Audit Candidate 9]])), Audit[[#This Row],[Audit Candidate 9]]-Audit[[#This Row],[Candidate 9]], "")</f>
        <v/>
      </c>
      <c r="AN725" s="18" t="str">
        <f>IF(NOT(ISBLANK(Audit[[#This Row],[Audit Candidate 10]])), Audit[[#This Row],[Audit Candidate 10]]-Audit[[#This Row],[Candidate 10]], "")</f>
        <v/>
      </c>
      <c r="AO725" s="18" t="str">
        <f>IF(NOT(ISBLANK(Audit[[#This Row],[Audit Candidate 11]])), Audit[[#This Row],[Audit Candidate 11]]-Audit[[#This Row],[Candidate 11]], "")</f>
        <v/>
      </c>
      <c r="AP725" s="18" t="str">
        <f>IF(NOT(ISBLANK(Audit[[#This Row],[Audit Candidate 12]])), Audit[[#This Row],[Audit Candidate 12]]-Audit[[#This Row],[Candidate 12]], "")</f>
        <v/>
      </c>
      <c r="AQ725" s="18">
        <f>SUMIF(Audit[[#This Row],[Difference Winner]:[Difference Candidate 12]], "&gt;0")</f>
        <v>0</v>
      </c>
      <c r="AR725" s="18">
        <f>SUM(Audit[[#This Row],[Difference Winner]:[Difference Candidate 12]])</f>
        <v>0</v>
      </c>
      <c r="AS725" s="18">
        <f>IF(Audit[[#This Row],[Times p Drawn - With Replacement]]&gt;0, IF(Audit[[#This Row],[Canceled Differences]]&lt;0, Audit[[#This Row],[Max Differences]]+ABS(Audit[[#This Row],[Canceled Differences]]), Audit[[#This Row],[Max Differences]]), 0)</f>
        <v>0</v>
      </c>
      <c r="AT725" s="18">
        <f>'Sampling Data'!AB725</f>
        <v>0</v>
      </c>
      <c r="AU725" s="18">
        <f>IF(
      SUM(Audit[[#This Row],[Audit Losing Candidate]:[Audit Candidate 12]])
      &lt;&gt;0,
      (Audit[[#This Row],[Winning Candidate]]-Audit[[#This Row],[Losing Candidate]]-(Audit[[#This Row],[Audit Winning Candidate]]-Audit[[#This Row],[Audit Losing Candidate]]))/(Audit[[#Totals],[Winning Candidate]]-Audit[[#Totals],[Losing Candidate]]),
      0
)</f>
        <v>0</v>
      </c>
      <c r="AV7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8">
        <f>IF(Audit[[#This Row],[Max Relative Error (ep)]] = 0, 0, Audit[[#This Row],[Max Relative Error (ep)]]/Audit[[#This Row],[Error Bound (up) - Max. possible relative overstatement]])</f>
        <v>0</v>
      </c>
      <c r="BH7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5" s="18">
        <f t="shared" si="12"/>
        <v>1</v>
      </c>
      <c r="BJ725" s="18">
        <f>PRODUCT($BI$5:BI725)</f>
        <v>0.32656797278968008</v>
      </c>
      <c r="BK725" s="20">
        <f>1 - Audit[[#This Row],[K-M P Value]]</f>
        <v>0.67343202721031992</v>
      </c>
      <c r="BL725" s="18" t="str">
        <f>IF(Audit[[#This Row],[K-M P Value]]&gt;1-'General Info'!$B$12,"Continue", "Stop")</f>
        <v>Continue</v>
      </c>
      <c r="BM725" s="23" t="b">
        <f>IF(Audit[[#This Row],[Status - Continue or stop audit]] = "Continue", TRUE, IF(BL724 = "Continue", TRUE, FALSE))</f>
        <v>1</v>
      </c>
      <c r="BN725" s="23"/>
    </row>
    <row r="726" spans="1:66" ht="15" hidden="1" customHeight="1" x14ac:dyDescent="0.35">
      <c r="A726" s="18" t="str">
        <f>'Sampling Data'!AI726</f>
        <v/>
      </c>
      <c r="B726" s="18" t="str">
        <f>'Sampling Data'!A726</f>
        <v>2409 CIN 24-I   (ED)</v>
      </c>
      <c r="C726" s="18">
        <f>'Sampling Data'!B726</f>
        <v>0</v>
      </c>
      <c r="D726" s="18">
        <f>'Sampling Data'!C726</f>
        <v>0</v>
      </c>
      <c r="E726" s="19">
        <f>'Sampling Data'!D726</f>
        <v>0</v>
      </c>
      <c r="F726" s="19">
        <f>'Sampling Data'!E726</f>
        <v>0</v>
      </c>
      <c r="G726" s="19">
        <f>'Sampling Data'!F726</f>
        <v>0</v>
      </c>
      <c r="H726" s="19">
        <f>'Sampling Data'!G726</f>
        <v>0</v>
      </c>
      <c r="I726" s="19">
        <f>'Sampling Data'!H726</f>
        <v>0</v>
      </c>
      <c r="J726" s="19">
        <f>'Sampling Data'!I726</f>
        <v>0</v>
      </c>
      <c r="K726" s="19">
        <f>'Sampling Data'!J726</f>
        <v>0</v>
      </c>
      <c r="L726" s="19">
        <f>'Sampling Data'!K726</f>
        <v>0</v>
      </c>
      <c r="M726" s="19">
        <f>'Sampling Data'!L726</f>
        <v>0</v>
      </c>
      <c r="N726" s="19">
        <f>'Sampling Data'!M726</f>
        <v>0</v>
      </c>
      <c r="O726" s="18">
        <f>'Sampling Data'!N726</f>
        <v>0</v>
      </c>
      <c r="P726" s="18">
        <f>'Sampling Data'!O726</f>
        <v>0</v>
      </c>
      <c r="Q726" s="18">
        <f>'Sampling Data'!P726</f>
        <v>0</v>
      </c>
      <c r="R726" s="18">
        <f>'Sampling Data'!AJ726</f>
        <v>0</v>
      </c>
      <c r="S726" s="112"/>
      <c r="T726" s="112"/>
      <c r="U726" s="113"/>
      <c r="V726" s="113"/>
      <c r="W726" s="112"/>
      <c r="X726" s="112"/>
      <c r="Y726" s="112"/>
      <c r="Z726" s="112"/>
      <c r="AA726" s="15"/>
      <c r="AB726" s="15"/>
      <c r="AC726" s="15"/>
      <c r="AD726" s="15"/>
      <c r="AE726" s="114" t="str">
        <f>IF(NOT(ISBLANK(Audit[[#This Row],[Audit Winning Candidate]])), Audit[[#This Row],[Audit Winning Candidate]]-Audit[[#This Row],[Winning Candidate]], "")</f>
        <v/>
      </c>
      <c r="AF726" s="18" t="str">
        <f>IF(NOT(ISBLANK(Audit[[#This Row],[Audit Losing Candidate]])), Audit[[#This Row],[Audit Losing Candidate]]-Audit[[#This Row],[Losing Candidate]], "")</f>
        <v/>
      </c>
      <c r="AG726" s="18" t="str">
        <f>IF(NOT(ISBLANK(Audit[[#This Row],[Audit Candidate 3]])), Audit[[#This Row],[Audit Candidate 3]]-Audit[[#This Row],[Candidate 3]], "")</f>
        <v/>
      </c>
      <c r="AH726" s="18" t="str">
        <f>IF(NOT(ISBLANK(Audit[[#This Row],[Audit Candidate 4]])),Audit[[#This Row],[Audit Candidate 4]]-Audit[[#This Row],[Candidate 4]], "")</f>
        <v/>
      </c>
      <c r="AI726" s="18" t="str">
        <f>IF(NOT(ISBLANK(Audit[[#This Row],[Audit Candidate 5]])), Audit[[#This Row],[Audit Candidate 5]]-Audit[[#This Row],[Candidate 5]], "")</f>
        <v/>
      </c>
      <c r="AJ726" s="18" t="str">
        <f>IF(NOT(ISBLANK(Audit[[#This Row],[Audit Candidate 6]])), Audit[[#This Row],[Audit Candidate 6]]-Audit[[#This Row],[Candidate 6]], "")</f>
        <v/>
      </c>
      <c r="AK726" s="18" t="str">
        <f>IF(NOT(ISBLANK(Audit[[#This Row],[Audit Candidate 7]])), Audit[[#This Row],[Audit Candidate 7]]-Audit[[#This Row],[Candidate 7]], "")</f>
        <v/>
      </c>
      <c r="AL726" s="18" t="str">
        <f>IF(NOT(ISBLANK(Audit[[#This Row],[Audit Candidate 8]])), Audit[[#This Row],[Audit Candidate 8]]-Audit[[#This Row],[Candidate 8]], "")</f>
        <v/>
      </c>
      <c r="AM726" s="18" t="str">
        <f>IF(NOT(ISBLANK(Audit[[#This Row],[Audit Candidate 9]])), Audit[[#This Row],[Audit Candidate 9]]-Audit[[#This Row],[Candidate 9]], "")</f>
        <v/>
      </c>
      <c r="AN726" s="18" t="str">
        <f>IF(NOT(ISBLANK(Audit[[#This Row],[Audit Candidate 10]])), Audit[[#This Row],[Audit Candidate 10]]-Audit[[#This Row],[Candidate 10]], "")</f>
        <v/>
      </c>
      <c r="AO726" s="18" t="str">
        <f>IF(NOT(ISBLANK(Audit[[#This Row],[Audit Candidate 11]])), Audit[[#This Row],[Audit Candidate 11]]-Audit[[#This Row],[Candidate 11]], "")</f>
        <v/>
      </c>
      <c r="AP726" s="18" t="str">
        <f>IF(NOT(ISBLANK(Audit[[#This Row],[Audit Candidate 12]])), Audit[[#This Row],[Audit Candidate 12]]-Audit[[#This Row],[Candidate 12]], "")</f>
        <v/>
      </c>
      <c r="AQ726" s="18">
        <f>SUMIF(Audit[[#This Row],[Difference Winner]:[Difference Candidate 12]], "&gt;0")</f>
        <v>0</v>
      </c>
      <c r="AR726" s="18">
        <f>SUM(Audit[[#This Row],[Difference Winner]:[Difference Candidate 12]])</f>
        <v>0</v>
      </c>
      <c r="AS726" s="18">
        <f>IF(Audit[[#This Row],[Times p Drawn - With Replacement]]&gt;0, IF(Audit[[#This Row],[Canceled Differences]]&lt;0, Audit[[#This Row],[Max Differences]]+ABS(Audit[[#This Row],[Canceled Differences]]), Audit[[#This Row],[Max Differences]]), 0)</f>
        <v>0</v>
      </c>
      <c r="AT726" s="18">
        <f>'Sampling Data'!AB726</f>
        <v>0</v>
      </c>
      <c r="AU726" s="18">
        <f>IF(
      SUM(Audit[[#This Row],[Audit Losing Candidate]:[Audit Candidate 12]])
      &lt;&gt;0,
      (Audit[[#This Row],[Winning Candidate]]-Audit[[#This Row],[Losing Candidate]]-(Audit[[#This Row],[Audit Winning Candidate]]-Audit[[#This Row],[Audit Losing Candidate]]))/(Audit[[#Totals],[Winning Candidate]]-Audit[[#Totals],[Losing Candidate]]),
      0
)</f>
        <v>0</v>
      </c>
      <c r="AV7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8">
        <f>IF(Audit[[#This Row],[Max Relative Error (ep)]] = 0, 0, Audit[[#This Row],[Max Relative Error (ep)]]/Audit[[#This Row],[Error Bound (up) - Max. possible relative overstatement]])</f>
        <v>0</v>
      </c>
      <c r="BH7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6" s="18">
        <f t="shared" si="12"/>
        <v>1</v>
      </c>
      <c r="BJ726" s="18">
        <f>PRODUCT($BI$5:BI726)</f>
        <v>0.32656797278968008</v>
      </c>
      <c r="BK726" s="20">
        <f>1 - Audit[[#This Row],[K-M P Value]]</f>
        <v>0.67343202721031992</v>
      </c>
      <c r="BL726" s="18" t="str">
        <f>IF(Audit[[#This Row],[K-M P Value]]&gt;1-'General Info'!$B$12,"Continue", "Stop")</f>
        <v>Continue</v>
      </c>
      <c r="BM726" s="23" t="b">
        <f>IF(Audit[[#This Row],[Status - Continue or stop audit]] = "Continue", TRUE, IF(BL725 = "Continue", TRUE, FALSE))</f>
        <v>1</v>
      </c>
      <c r="BN726" s="23"/>
    </row>
    <row r="727" spans="1:66" ht="15" hidden="1" customHeight="1" x14ac:dyDescent="0.35">
      <c r="A727" s="18" t="str">
        <f>'Sampling Data'!AI727</f>
        <v/>
      </c>
      <c r="B727" s="18" t="str">
        <f>'Sampling Data'!A727</f>
        <v>2501 CIN 25-A   (ED)</v>
      </c>
      <c r="C727" s="18">
        <f>'Sampling Data'!B727</f>
        <v>4</v>
      </c>
      <c r="D727" s="18">
        <f>'Sampling Data'!C727</f>
        <v>4</v>
      </c>
      <c r="E727" s="19">
        <f>'Sampling Data'!D727</f>
        <v>0</v>
      </c>
      <c r="F727" s="19">
        <f>'Sampling Data'!E727</f>
        <v>0</v>
      </c>
      <c r="G727" s="19">
        <f>'Sampling Data'!F727</f>
        <v>0</v>
      </c>
      <c r="H727" s="19">
        <f>'Sampling Data'!G727</f>
        <v>0</v>
      </c>
      <c r="I727" s="19">
        <f>'Sampling Data'!H727</f>
        <v>0</v>
      </c>
      <c r="J727" s="19">
        <f>'Sampling Data'!I727</f>
        <v>0</v>
      </c>
      <c r="K727" s="19">
        <f>'Sampling Data'!J727</f>
        <v>0</v>
      </c>
      <c r="L727" s="19">
        <f>'Sampling Data'!K727</f>
        <v>0</v>
      </c>
      <c r="M727" s="19">
        <f>'Sampling Data'!L727</f>
        <v>0</v>
      </c>
      <c r="N727" s="19">
        <f>'Sampling Data'!M727</f>
        <v>0</v>
      </c>
      <c r="O727" s="18">
        <f>'Sampling Data'!N727</f>
        <v>0</v>
      </c>
      <c r="P727" s="18">
        <f>'Sampling Data'!O727</f>
        <v>0</v>
      </c>
      <c r="Q727" s="18">
        <f>'Sampling Data'!P727</f>
        <v>8</v>
      </c>
      <c r="R727" s="18">
        <f>'Sampling Data'!AJ727</f>
        <v>0</v>
      </c>
      <c r="S727" s="112"/>
      <c r="T727" s="112"/>
      <c r="U727" s="113"/>
      <c r="V727" s="113"/>
      <c r="W727" s="112"/>
      <c r="X727" s="112"/>
      <c r="Y727" s="112"/>
      <c r="Z727" s="112"/>
      <c r="AA727" s="15"/>
      <c r="AB727" s="15"/>
      <c r="AC727" s="15"/>
      <c r="AD727" s="15"/>
      <c r="AE727" s="114" t="str">
        <f>IF(NOT(ISBLANK(Audit[[#This Row],[Audit Winning Candidate]])), Audit[[#This Row],[Audit Winning Candidate]]-Audit[[#This Row],[Winning Candidate]], "")</f>
        <v/>
      </c>
      <c r="AF727" s="18" t="str">
        <f>IF(NOT(ISBLANK(Audit[[#This Row],[Audit Losing Candidate]])), Audit[[#This Row],[Audit Losing Candidate]]-Audit[[#This Row],[Losing Candidate]], "")</f>
        <v/>
      </c>
      <c r="AG727" s="18" t="str">
        <f>IF(NOT(ISBLANK(Audit[[#This Row],[Audit Candidate 3]])), Audit[[#This Row],[Audit Candidate 3]]-Audit[[#This Row],[Candidate 3]], "")</f>
        <v/>
      </c>
      <c r="AH727" s="18" t="str">
        <f>IF(NOT(ISBLANK(Audit[[#This Row],[Audit Candidate 4]])),Audit[[#This Row],[Audit Candidate 4]]-Audit[[#This Row],[Candidate 4]], "")</f>
        <v/>
      </c>
      <c r="AI727" s="18" t="str">
        <f>IF(NOT(ISBLANK(Audit[[#This Row],[Audit Candidate 5]])), Audit[[#This Row],[Audit Candidate 5]]-Audit[[#This Row],[Candidate 5]], "")</f>
        <v/>
      </c>
      <c r="AJ727" s="18" t="str">
        <f>IF(NOT(ISBLANK(Audit[[#This Row],[Audit Candidate 6]])), Audit[[#This Row],[Audit Candidate 6]]-Audit[[#This Row],[Candidate 6]], "")</f>
        <v/>
      </c>
      <c r="AK727" s="18" t="str">
        <f>IF(NOT(ISBLANK(Audit[[#This Row],[Audit Candidate 7]])), Audit[[#This Row],[Audit Candidate 7]]-Audit[[#This Row],[Candidate 7]], "")</f>
        <v/>
      </c>
      <c r="AL727" s="18" t="str">
        <f>IF(NOT(ISBLANK(Audit[[#This Row],[Audit Candidate 8]])), Audit[[#This Row],[Audit Candidate 8]]-Audit[[#This Row],[Candidate 8]], "")</f>
        <v/>
      </c>
      <c r="AM727" s="18" t="str">
        <f>IF(NOT(ISBLANK(Audit[[#This Row],[Audit Candidate 9]])), Audit[[#This Row],[Audit Candidate 9]]-Audit[[#This Row],[Candidate 9]], "")</f>
        <v/>
      </c>
      <c r="AN727" s="18" t="str">
        <f>IF(NOT(ISBLANK(Audit[[#This Row],[Audit Candidate 10]])), Audit[[#This Row],[Audit Candidate 10]]-Audit[[#This Row],[Candidate 10]], "")</f>
        <v/>
      </c>
      <c r="AO727" s="18" t="str">
        <f>IF(NOT(ISBLANK(Audit[[#This Row],[Audit Candidate 11]])), Audit[[#This Row],[Audit Candidate 11]]-Audit[[#This Row],[Candidate 11]], "")</f>
        <v/>
      </c>
      <c r="AP727" s="18" t="str">
        <f>IF(NOT(ISBLANK(Audit[[#This Row],[Audit Candidate 12]])), Audit[[#This Row],[Audit Candidate 12]]-Audit[[#This Row],[Candidate 12]], "")</f>
        <v/>
      </c>
      <c r="AQ727" s="18">
        <f>SUMIF(Audit[[#This Row],[Difference Winner]:[Difference Candidate 12]], "&gt;0")</f>
        <v>0</v>
      </c>
      <c r="AR727" s="18">
        <f>SUM(Audit[[#This Row],[Difference Winner]:[Difference Candidate 12]])</f>
        <v>0</v>
      </c>
      <c r="AS727" s="18">
        <f>IF(Audit[[#This Row],[Times p Drawn - With Replacement]]&gt;0, IF(Audit[[#This Row],[Canceled Differences]]&lt;0, Audit[[#This Row],[Max Differences]]+ABS(Audit[[#This Row],[Canceled Differences]]), Audit[[#This Row],[Max Differences]]), 0)</f>
        <v>0</v>
      </c>
      <c r="AT727" s="18">
        <f>'Sampling Data'!AB727</f>
        <v>2.5127995728240724E-4</v>
      </c>
      <c r="AU727" s="18">
        <f>IF(
      SUM(Audit[[#This Row],[Audit Losing Candidate]:[Audit Candidate 12]])
      &lt;&gt;0,
      (Audit[[#This Row],[Winning Candidate]]-Audit[[#This Row],[Losing Candidate]]-(Audit[[#This Row],[Audit Winning Candidate]]-Audit[[#This Row],[Audit Losing Candidate]]))/(Audit[[#Totals],[Winning Candidate]]-Audit[[#Totals],[Losing Candidate]]),
      0
)</f>
        <v>0</v>
      </c>
      <c r="AV7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8">
        <f>IF(Audit[[#This Row],[Max Relative Error (ep)]] = 0, 0, Audit[[#This Row],[Max Relative Error (ep)]]/Audit[[#This Row],[Error Bound (up) - Max. possible relative overstatement]])</f>
        <v>0</v>
      </c>
      <c r="BH7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7" s="18">
        <f t="shared" si="12"/>
        <v>1</v>
      </c>
      <c r="BJ727" s="18">
        <f>PRODUCT($BI$5:BI727)</f>
        <v>0.32656797278968008</v>
      </c>
      <c r="BK727" s="20">
        <f>1 - Audit[[#This Row],[K-M P Value]]</f>
        <v>0.67343202721031992</v>
      </c>
      <c r="BL727" s="18" t="str">
        <f>IF(Audit[[#This Row],[K-M P Value]]&gt;1-'General Info'!$B$12,"Continue", "Stop")</f>
        <v>Continue</v>
      </c>
      <c r="BM727" s="23" t="b">
        <f>IF(Audit[[#This Row],[Status - Continue or stop audit]] = "Continue", TRUE, IF(BL726 = "Continue", TRUE, FALSE))</f>
        <v>1</v>
      </c>
      <c r="BN727" s="23"/>
    </row>
    <row r="728" spans="1:66" ht="15" hidden="1" customHeight="1" x14ac:dyDescent="0.35">
      <c r="A728" s="18" t="str">
        <f>'Sampling Data'!AI728</f>
        <v/>
      </c>
      <c r="B728" s="18" t="str">
        <f>'Sampling Data'!A728</f>
        <v>2502 CIN 25-B   (ED)</v>
      </c>
      <c r="C728" s="18">
        <f>'Sampling Data'!B728</f>
        <v>9</v>
      </c>
      <c r="D728" s="18">
        <f>'Sampling Data'!C728</f>
        <v>1</v>
      </c>
      <c r="E728" s="19">
        <f>'Sampling Data'!D728</f>
        <v>0</v>
      </c>
      <c r="F728" s="19">
        <f>'Sampling Data'!E728</f>
        <v>0</v>
      </c>
      <c r="G728" s="19">
        <f>'Sampling Data'!F728</f>
        <v>0</v>
      </c>
      <c r="H728" s="19">
        <f>'Sampling Data'!G728</f>
        <v>0</v>
      </c>
      <c r="I728" s="19">
        <f>'Sampling Data'!H728</f>
        <v>0</v>
      </c>
      <c r="J728" s="19">
        <f>'Sampling Data'!I728</f>
        <v>0</v>
      </c>
      <c r="K728" s="19">
        <f>'Sampling Data'!J728</f>
        <v>0</v>
      </c>
      <c r="L728" s="19">
        <f>'Sampling Data'!K728</f>
        <v>0</v>
      </c>
      <c r="M728" s="19">
        <f>'Sampling Data'!L728</f>
        <v>0</v>
      </c>
      <c r="N728" s="19">
        <f>'Sampling Data'!M728</f>
        <v>0</v>
      </c>
      <c r="O728" s="18">
        <f>'Sampling Data'!N728</f>
        <v>0</v>
      </c>
      <c r="P728" s="18">
        <f>'Sampling Data'!O728</f>
        <v>0</v>
      </c>
      <c r="Q728" s="18">
        <f>'Sampling Data'!P728</f>
        <v>10</v>
      </c>
      <c r="R728" s="18">
        <f>'Sampling Data'!AJ728</f>
        <v>0</v>
      </c>
      <c r="S728" s="112"/>
      <c r="T728" s="112"/>
      <c r="U728" s="113"/>
      <c r="V728" s="113"/>
      <c r="W728" s="112"/>
      <c r="X728" s="112"/>
      <c r="Y728" s="112"/>
      <c r="Z728" s="112"/>
      <c r="AA728" s="15"/>
      <c r="AB728" s="15"/>
      <c r="AC728" s="15"/>
      <c r="AD728" s="15"/>
      <c r="AE728" s="114" t="str">
        <f>IF(NOT(ISBLANK(Audit[[#This Row],[Audit Winning Candidate]])), Audit[[#This Row],[Audit Winning Candidate]]-Audit[[#This Row],[Winning Candidate]], "")</f>
        <v/>
      </c>
      <c r="AF728" s="18" t="str">
        <f>IF(NOT(ISBLANK(Audit[[#This Row],[Audit Losing Candidate]])), Audit[[#This Row],[Audit Losing Candidate]]-Audit[[#This Row],[Losing Candidate]], "")</f>
        <v/>
      </c>
      <c r="AG728" s="18" t="str">
        <f>IF(NOT(ISBLANK(Audit[[#This Row],[Audit Candidate 3]])), Audit[[#This Row],[Audit Candidate 3]]-Audit[[#This Row],[Candidate 3]], "")</f>
        <v/>
      </c>
      <c r="AH728" s="18" t="str">
        <f>IF(NOT(ISBLANK(Audit[[#This Row],[Audit Candidate 4]])),Audit[[#This Row],[Audit Candidate 4]]-Audit[[#This Row],[Candidate 4]], "")</f>
        <v/>
      </c>
      <c r="AI728" s="18" t="str">
        <f>IF(NOT(ISBLANK(Audit[[#This Row],[Audit Candidate 5]])), Audit[[#This Row],[Audit Candidate 5]]-Audit[[#This Row],[Candidate 5]], "")</f>
        <v/>
      </c>
      <c r="AJ728" s="18" t="str">
        <f>IF(NOT(ISBLANK(Audit[[#This Row],[Audit Candidate 6]])), Audit[[#This Row],[Audit Candidate 6]]-Audit[[#This Row],[Candidate 6]], "")</f>
        <v/>
      </c>
      <c r="AK728" s="18" t="str">
        <f>IF(NOT(ISBLANK(Audit[[#This Row],[Audit Candidate 7]])), Audit[[#This Row],[Audit Candidate 7]]-Audit[[#This Row],[Candidate 7]], "")</f>
        <v/>
      </c>
      <c r="AL728" s="18" t="str">
        <f>IF(NOT(ISBLANK(Audit[[#This Row],[Audit Candidate 8]])), Audit[[#This Row],[Audit Candidate 8]]-Audit[[#This Row],[Candidate 8]], "")</f>
        <v/>
      </c>
      <c r="AM728" s="18" t="str">
        <f>IF(NOT(ISBLANK(Audit[[#This Row],[Audit Candidate 9]])), Audit[[#This Row],[Audit Candidate 9]]-Audit[[#This Row],[Candidate 9]], "")</f>
        <v/>
      </c>
      <c r="AN728" s="18" t="str">
        <f>IF(NOT(ISBLANK(Audit[[#This Row],[Audit Candidate 10]])), Audit[[#This Row],[Audit Candidate 10]]-Audit[[#This Row],[Candidate 10]], "")</f>
        <v/>
      </c>
      <c r="AO728" s="18" t="str">
        <f>IF(NOT(ISBLANK(Audit[[#This Row],[Audit Candidate 11]])), Audit[[#This Row],[Audit Candidate 11]]-Audit[[#This Row],[Candidate 11]], "")</f>
        <v/>
      </c>
      <c r="AP728" s="18" t="str">
        <f>IF(NOT(ISBLANK(Audit[[#This Row],[Audit Candidate 12]])), Audit[[#This Row],[Audit Candidate 12]]-Audit[[#This Row],[Candidate 12]], "")</f>
        <v/>
      </c>
      <c r="AQ728" s="18">
        <f>SUMIF(Audit[[#This Row],[Difference Winner]:[Difference Candidate 12]], "&gt;0")</f>
        <v>0</v>
      </c>
      <c r="AR728" s="18">
        <f>SUM(Audit[[#This Row],[Difference Winner]:[Difference Candidate 12]])</f>
        <v>0</v>
      </c>
      <c r="AS728" s="18">
        <f>IF(Audit[[#This Row],[Times p Drawn - With Replacement]]&gt;0, IF(Audit[[#This Row],[Canceled Differences]]&lt;0, Audit[[#This Row],[Max Differences]]+ABS(Audit[[#This Row],[Canceled Differences]]), Audit[[#This Row],[Max Differences]]), 0)</f>
        <v>0</v>
      </c>
      <c r="AT728" s="18">
        <f>'Sampling Data'!AB728</f>
        <v>5.6537990388541635E-4</v>
      </c>
      <c r="AU728" s="18">
        <f>IF(
      SUM(Audit[[#This Row],[Audit Losing Candidate]:[Audit Candidate 12]])
      &lt;&gt;0,
      (Audit[[#This Row],[Winning Candidate]]-Audit[[#This Row],[Losing Candidate]]-(Audit[[#This Row],[Audit Winning Candidate]]-Audit[[#This Row],[Audit Losing Candidate]]))/(Audit[[#Totals],[Winning Candidate]]-Audit[[#Totals],[Losing Candidate]]),
      0
)</f>
        <v>0</v>
      </c>
      <c r="AV7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8">
        <f>IF(Audit[[#This Row],[Max Relative Error (ep)]] = 0, 0, Audit[[#This Row],[Max Relative Error (ep)]]/Audit[[#This Row],[Error Bound (up) - Max. possible relative overstatement]])</f>
        <v>0</v>
      </c>
      <c r="BH7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8" s="18">
        <f t="shared" si="12"/>
        <v>1</v>
      </c>
      <c r="BJ728" s="18">
        <f>PRODUCT($BI$5:BI728)</f>
        <v>0.32656797278968008</v>
      </c>
      <c r="BK728" s="20">
        <f>1 - Audit[[#This Row],[K-M P Value]]</f>
        <v>0.67343202721031992</v>
      </c>
      <c r="BL728" s="18" t="str">
        <f>IF(Audit[[#This Row],[K-M P Value]]&gt;1-'General Info'!$B$12,"Continue", "Stop")</f>
        <v>Continue</v>
      </c>
      <c r="BM728" s="23" t="b">
        <f>IF(Audit[[#This Row],[Status - Continue or stop audit]] = "Continue", TRUE, IF(BL727 = "Continue", TRUE, FALSE))</f>
        <v>1</v>
      </c>
      <c r="BN728" s="23"/>
    </row>
    <row r="729" spans="1:66" ht="15" hidden="1" customHeight="1" x14ac:dyDescent="0.35">
      <c r="A729" s="18" t="str">
        <f>'Sampling Data'!AI729</f>
        <v/>
      </c>
      <c r="B729" s="18" t="str">
        <f>'Sampling Data'!A729</f>
        <v>2503 CIN 25-C   (ED)</v>
      </c>
      <c r="C729" s="18">
        <f>'Sampling Data'!B729</f>
        <v>55</v>
      </c>
      <c r="D729" s="18">
        <f>'Sampling Data'!C729</f>
        <v>2</v>
      </c>
      <c r="E729" s="19">
        <f>'Sampling Data'!D729</f>
        <v>0</v>
      </c>
      <c r="F729" s="19">
        <f>'Sampling Data'!E729</f>
        <v>0</v>
      </c>
      <c r="G729" s="19">
        <f>'Sampling Data'!F729</f>
        <v>0</v>
      </c>
      <c r="H729" s="19">
        <f>'Sampling Data'!G729</f>
        <v>0</v>
      </c>
      <c r="I729" s="19">
        <f>'Sampling Data'!H729</f>
        <v>0</v>
      </c>
      <c r="J729" s="19">
        <f>'Sampling Data'!I729</f>
        <v>0</v>
      </c>
      <c r="K729" s="19">
        <f>'Sampling Data'!J729</f>
        <v>0</v>
      </c>
      <c r="L729" s="19">
        <f>'Sampling Data'!K729</f>
        <v>0</v>
      </c>
      <c r="M729" s="19">
        <f>'Sampling Data'!L729</f>
        <v>0</v>
      </c>
      <c r="N729" s="19">
        <f>'Sampling Data'!M729</f>
        <v>0</v>
      </c>
      <c r="O729" s="18">
        <f>'Sampling Data'!N729</f>
        <v>0</v>
      </c>
      <c r="P729" s="18">
        <f>'Sampling Data'!O729</f>
        <v>2</v>
      </c>
      <c r="Q729" s="18">
        <f>'Sampling Data'!P729</f>
        <v>59</v>
      </c>
      <c r="R729" s="18">
        <f>'Sampling Data'!AJ729</f>
        <v>0</v>
      </c>
      <c r="S729" s="112"/>
      <c r="T729" s="112"/>
      <c r="U729" s="113"/>
      <c r="V729" s="113"/>
      <c r="W729" s="112"/>
      <c r="X729" s="112"/>
      <c r="Y729" s="112"/>
      <c r="Z729" s="112"/>
      <c r="AA729" s="15"/>
      <c r="AB729" s="15"/>
      <c r="AC729" s="15"/>
      <c r="AD729" s="15"/>
      <c r="AE729" s="114" t="str">
        <f>IF(NOT(ISBLANK(Audit[[#This Row],[Audit Winning Candidate]])), Audit[[#This Row],[Audit Winning Candidate]]-Audit[[#This Row],[Winning Candidate]], "")</f>
        <v/>
      </c>
      <c r="AF729" s="18" t="str">
        <f>IF(NOT(ISBLANK(Audit[[#This Row],[Audit Losing Candidate]])), Audit[[#This Row],[Audit Losing Candidate]]-Audit[[#This Row],[Losing Candidate]], "")</f>
        <v/>
      </c>
      <c r="AG729" s="18" t="str">
        <f>IF(NOT(ISBLANK(Audit[[#This Row],[Audit Candidate 3]])), Audit[[#This Row],[Audit Candidate 3]]-Audit[[#This Row],[Candidate 3]], "")</f>
        <v/>
      </c>
      <c r="AH729" s="18" t="str">
        <f>IF(NOT(ISBLANK(Audit[[#This Row],[Audit Candidate 4]])),Audit[[#This Row],[Audit Candidate 4]]-Audit[[#This Row],[Candidate 4]], "")</f>
        <v/>
      </c>
      <c r="AI729" s="18" t="str">
        <f>IF(NOT(ISBLANK(Audit[[#This Row],[Audit Candidate 5]])), Audit[[#This Row],[Audit Candidate 5]]-Audit[[#This Row],[Candidate 5]], "")</f>
        <v/>
      </c>
      <c r="AJ729" s="18" t="str">
        <f>IF(NOT(ISBLANK(Audit[[#This Row],[Audit Candidate 6]])), Audit[[#This Row],[Audit Candidate 6]]-Audit[[#This Row],[Candidate 6]], "")</f>
        <v/>
      </c>
      <c r="AK729" s="18" t="str">
        <f>IF(NOT(ISBLANK(Audit[[#This Row],[Audit Candidate 7]])), Audit[[#This Row],[Audit Candidate 7]]-Audit[[#This Row],[Candidate 7]], "")</f>
        <v/>
      </c>
      <c r="AL729" s="18" t="str">
        <f>IF(NOT(ISBLANK(Audit[[#This Row],[Audit Candidate 8]])), Audit[[#This Row],[Audit Candidate 8]]-Audit[[#This Row],[Candidate 8]], "")</f>
        <v/>
      </c>
      <c r="AM729" s="18" t="str">
        <f>IF(NOT(ISBLANK(Audit[[#This Row],[Audit Candidate 9]])), Audit[[#This Row],[Audit Candidate 9]]-Audit[[#This Row],[Candidate 9]], "")</f>
        <v/>
      </c>
      <c r="AN729" s="18" t="str">
        <f>IF(NOT(ISBLANK(Audit[[#This Row],[Audit Candidate 10]])), Audit[[#This Row],[Audit Candidate 10]]-Audit[[#This Row],[Candidate 10]], "")</f>
        <v/>
      </c>
      <c r="AO729" s="18" t="str">
        <f>IF(NOT(ISBLANK(Audit[[#This Row],[Audit Candidate 11]])), Audit[[#This Row],[Audit Candidate 11]]-Audit[[#This Row],[Candidate 11]], "")</f>
        <v/>
      </c>
      <c r="AP729" s="18" t="str">
        <f>IF(NOT(ISBLANK(Audit[[#This Row],[Audit Candidate 12]])), Audit[[#This Row],[Audit Candidate 12]]-Audit[[#This Row],[Candidate 12]], "")</f>
        <v/>
      </c>
      <c r="AQ729" s="18">
        <f>SUMIF(Audit[[#This Row],[Difference Winner]:[Difference Candidate 12]], "&gt;0")</f>
        <v>0</v>
      </c>
      <c r="AR729" s="18">
        <f>SUM(Audit[[#This Row],[Difference Winner]:[Difference Candidate 12]])</f>
        <v>0</v>
      </c>
      <c r="AS729" s="18">
        <f>IF(Audit[[#This Row],[Times p Drawn - With Replacement]]&gt;0, IF(Audit[[#This Row],[Canceled Differences]]&lt;0, Audit[[#This Row],[Max Differences]]+ABS(Audit[[#This Row],[Canceled Differences]]), Audit[[#This Row],[Max Differences]]), 0)</f>
        <v>0</v>
      </c>
      <c r="AT729" s="18">
        <f>'Sampling Data'!AB729</f>
        <v>3.5179194019537017E-3</v>
      </c>
      <c r="AU729" s="18">
        <f>IF(
      SUM(Audit[[#This Row],[Audit Losing Candidate]:[Audit Candidate 12]])
      &lt;&gt;0,
      (Audit[[#This Row],[Winning Candidate]]-Audit[[#This Row],[Losing Candidate]]-(Audit[[#This Row],[Audit Winning Candidate]]-Audit[[#This Row],[Audit Losing Candidate]]))/(Audit[[#Totals],[Winning Candidate]]-Audit[[#Totals],[Losing Candidate]]),
      0
)</f>
        <v>0</v>
      </c>
      <c r="AV7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8">
        <f>IF(Audit[[#This Row],[Max Relative Error (ep)]] = 0, 0, Audit[[#This Row],[Max Relative Error (ep)]]/Audit[[#This Row],[Error Bound (up) - Max. possible relative overstatement]])</f>
        <v>0</v>
      </c>
      <c r="BH7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29" s="18">
        <f t="shared" si="12"/>
        <v>1</v>
      </c>
      <c r="BJ729" s="18">
        <f>PRODUCT($BI$5:BI729)</f>
        <v>0.32656797278968008</v>
      </c>
      <c r="BK729" s="20">
        <f>1 - Audit[[#This Row],[K-M P Value]]</f>
        <v>0.67343202721031992</v>
      </c>
      <c r="BL729" s="18" t="str">
        <f>IF(Audit[[#This Row],[K-M P Value]]&gt;1-'General Info'!$B$12,"Continue", "Stop")</f>
        <v>Continue</v>
      </c>
      <c r="BM729" s="23" t="b">
        <f>IF(Audit[[#This Row],[Status - Continue or stop audit]] = "Continue", TRUE, IF(BL728 = "Continue", TRUE, FALSE))</f>
        <v>1</v>
      </c>
      <c r="BN729" s="23"/>
    </row>
    <row r="730" spans="1:66" ht="15" hidden="1" customHeight="1" x14ac:dyDescent="0.35">
      <c r="A730" s="18" t="str">
        <f>'Sampling Data'!AI730</f>
        <v/>
      </c>
      <c r="B730" s="18" t="str">
        <f>'Sampling Data'!A730</f>
        <v>2504 CIN 25-D   (ED)</v>
      </c>
      <c r="C730" s="18">
        <f>'Sampling Data'!B730</f>
        <v>39</v>
      </c>
      <c r="D730" s="18">
        <f>'Sampling Data'!C730</f>
        <v>6</v>
      </c>
      <c r="E730" s="19">
        <f>'Sampling Data'!D730</f>
        <v>0</v>
      </c>
      <c r="F730" s="19">
        <f>'Sampling Data'!E730</f>
        <v>0</v>
      </c>
      <c r="G730" s="19">
        <f>'Sampling Data'!F730</f>
        <v>0</v>
      </c>
      <c r="H730" s="19">
        <f>'Sampling Data'!G730</f>
        <v>0</v>
      </c>
      <c r="I730" s="19">
        <f>'Sampling Data'!H730</f>
        <v>0</v>
      </c>
      <c r="J730" s="19">
        <f>'Sampling Data'!I730</f>
        <v>0</v>
      </c>
      <c r="K730" s="19">
        <f>'Sampling Data'!J730</f>
        <v>0</v>
      </c>
      <c r="L730" s="19">
        <f>'Sampling Data'!K730</f>
        <v>0</v>
      </c>
      <c r="M730" s="19">
        <f>'Sampling Data'!L730</f>
        <v>0</v>
      </c>
      <c r="N730" s="19">
        <f>'Sampling Data'!M730</f>
        <v>0</v>
      </c>
      <c r="O730" s="18">
        <f>'Sampling Data'!N730</f>
        <v>0</v>
      </c>
      <c r="P730" s="18">
        <f>'Sampling Data'!O730</f>
        <v>0</v>
      </c>
      <c r="Q730" s="18">
        <f>'Sampling Data'!P730</f>
        <v>45</v>
      </c>
      <c r="R730" s="18">
        <f>'Sampling Data'!AJ730</f>
        <v>0</v>
      </c>
      <c r="S730" s="112"/>
      <c r="T730" s="112"/>
      <c r="U730" s="113"/>
      <c r="V730" s="113"/>
      <c r="W730" s="112"/>
      <c r="X730" s="112"/>
      <c r="Y730" s="112"/>
      <c r="Z730" s="112"/>
      <c r="AA730" s="15"/>
      <c r="AB730" s="15"/>
      <c r="AC730" s="15"/>
      <c r="AD730" s="15"/>
      <c r="AE730" s="114" t="str">
        <f>IF(NOT(ISBLANK(Audit[[#This Row],[Audit Winning Candidate]])), Audit[[#This Row],[Audit Winning Candidate]]-Audit[[#This Row],[Winning Candidate]], "")</f>
        <v/>
      </c>
      <c r="AF730" s="18" t="str">
        <f>IF(NOT(ISBLANK(Audit[[#This Row],[Audit Losing Candidate]])), Audit[[#This Row],[Audit Losing Candidate]]-Audit[[#This Row],[Losing Candidate]], "")</f>
        <v/>
      </c>
      <c r="AG730" s="18" t="str">
        <f>IF(NOT(ISBLANK(Audit[[#This Row],[Audit Candidate 3]])), Audit[[#This Row],[Audit Candidate 3]]-Audit[[#This Row],[Candidate 3]], "")</f>
        <v/>
      </c>
      <c r="AH730" s="18" t="str">
        <f>IF(NOT(ISBLANK(Audit[[#This Row],[Audit Candidate 4]])),Audit[[#This Row],[Audit Candidate 4]]-Audit[[#This Row],[Candidate 4]], "")</f>
        <v/>
      </c>
      <c r="AI730" s="18" t="str">
        <f>IF(NOT(ISBLANK(Audit[[#This Row],[Audit Candidate 5]])), Audit[[#This Row],[Audit Candidate 5]]-Audit[[#This Row],[Candidate 5]], "")</f>
        <v/>
      </c>
      <c r="AJ730" s="18" t="str">
        <f>IF(NOT(ISBLANK(Audit[[#This Row],[Audit Candidate 6]])), Audit[[#This Row],[Audit Candidate 6]]-Audit[[#This Row],[Candidate 6]], "")</f>
        <v/>
      </c>
      <c r="AK730" s="18" t="str">
        <f>IF(NOT(ISBLANK(Audit[[#This Row],[Audit Candidate 7]])), Audit[[#This Row],[Audit Candidate 7]]-Audit[[#This Row],[Candidate 7]], "")</f>
        <v/>
      </c>
      <c r="AL730" s="18" t="str">
        <f>IF(NOT(ISBLANK(Audit[[#This Row],[Audit Candidate 8]])), Audit[[#This Row],[Audit Candidate 8]]-Audit[[#This Row],[Candidate 8]], "")</f>
        <v/>
      </c>
      <c r="AM730" s="18" t="str">
        <f>IF(NOT(ISBLANK(Audit[[#This Row],[Audit Candidate 9]])), Audit[[#This Row],[Audit Candidate 9]]-Audit[[#This Row],[Candidate 9]], "")</f>
        <v/>
      </c>
      <c r="AN730" s="18" t="str">
        <f>IF(NOT(ISBLANK(Audit[[#This Row],[Audit Candidate 10]])), Audit[[#This Row],[Audit Candidate 10]]-Audit[[#This Row],[Candidate 10]], "")</f>
        <v/>
      </c>
      <c r="AO730" s="18" t="str">
        <f>IF(NOT(ISBLANK(Audit[[#This Row],[Audit Candidate 11]])), Audit[[#This Row],[Audit Candidate 11]]-Audit[[#This Row],[Candidate 11]], "")</f>
        <v/>
      </c>
      <c r="AP730" s="18" t="str">
        <f>IF(NOT(ISBLANK(Audit[[#This Row],[Audit Candidate 12]])), Audit[[#This Row],[Audit Candidate 12]]-Audit[[#This Row],[Candidate 12]], "")</f>
        <v/>
      </c>
      <c r="AQ730" s="18">
        <f>SUMIF(Audit[[#This Row],[Difference Winner]:[Difference Candidate 12]], "&gt;0")</f>
        <v>0</v>
      </c>
      <c r="AR730" s="18">
        <f>SUM(Audit[[#This Row],[Difference Winner]:[Difference Candidate 12]])</f>
        <v>0</v>
      </c>
      <c r="AS730" s="18">
        <f>IF(Audit[[#This Row],[Times p Drawn - With Replacement]]&gt;0, IF(Audit[[#This Row],[Canceled Differences]]&lt;0, Audit[[#This Row],[Max Differences]]+ABS(Audit[[#This Row],[Canceled Differences]]), Audit[[#This Row],[Max Differences]]), 0)</f>
        <v>0</v>
      </c>
      <c r="AT730" s="18">
        <f>'Sampling Data'!AB730</f>
        <v>2.4499795835034709E-3</v>
      </c>
      <c r="AU730" s="18">
        <f>IF(
      SUM(Audit[[#This Row],[Audit Losing Candidate]:[Audit Candidate 12]])
      &lt;&gt;0,
      (Audit[[#This Row],[Winning Candidate]]-Audit[[#This Row],[Losing Candidate]]-(Audit[[#This Row],[Audit Winning Candidate]]-Audit[[#This Row],[Audit Losing Candidate]]))/(Audit[[#Totals],[Winning Candidate]]-Audit[[#Totals],[Losing Candidate]]),
      0
)</f>
        <v>0</v>
      </c>
      <c r="AV7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8">
        <f>IF(Audit[[#This Row],[Max Relative Error (ep)]] = 0, 0, Audit[[#This Row],[Max Relative Error (ep)]]/Audit[[#This Row],[Error Bound (up) - Max. possible relative overstatement]])</f>
        <v>0</v>
      </c>
      <c r="BH7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0" s="18">
        <f t="shared" si="12"/>
        <v>1</v>
      </c>
      <c r="BJ730" s="18">
        <f>PRODUCT($BI$5:BI730)</f>
        <v>0.32656797278968008</v>
      </c>
      <c r="BK730" s="20">
        <f>1 - Audit[[#This Row],[K-M P Value]]</f>
        <v>0.67343202721031992</v>
      </c>
      <c r="BL730" s="18" t="str">
        <f>IF(Audit[[#This Row],[K-M P Value]]&gt;1-'General Info'!$B$12,"Continue", "Stop")</f>
        <v>Continue</v>
      </c>
      <c r="BM730" s="23" t="b">
        <f>IF(Audit[[#This Row],[Status - Continue or stop audit]] = "Continue", TRUE, IF(BL729 = "Continue", TRUE, FALSE))</f>
        <v>1</v>
      </c>
      <c r="BN730" s="23"/>
    </row>
    <row r="731" spans="1:66" ht="15" hidden="1" customHeight="1" x14ac:dyDescent="0.35">
      <c r="A731" s="18" t="str">
        <f>'Sampling Data'!AI731</f>
        <v/>
      </c>
      <c r="B731" s="18" t="str">
        <f>'Sampling Data'!A731</f>
        <v>2505 CIN 25-E   (ED)</v>
      </c>
      <c r="C731" s="18">
        <f>'Sampling Data'!B731</f>
        <v>53</v>
      </c>
      <c r="D731" s="18">
        <f>'Sampling Data'!C731</f>
        <v>7</v>
      </c>
      <c r="E731" s="19">
        <f>'Sampling Data'!D731</f>
        <v>0</v>
      </c>
      <c r="F731" s="19">
        <f>'Sampling Data'!E731</f>
        <v>0</v>
      </c>
      <c r="G731" s="19">
        <f>'Sampling Data'!F731</f>
        <v>0</v>
      </c>
      <c r="H731" s="19">
        <f>'Sampling Data'!G731</f>
        <v>0</v>
      </c>
      <c r="I731" s="19">
        <f>'Sampling Data'!H731</f>
        <v>0</v>
      </c>
      <c r="J731" s="19">
        <f>'Sampling Data'!I731</f>
        <v>0</v>
      </c>
      <c r="K731" s="19">
        <f>'Sampling Data'!J731</f>
        <v>0</v>
      </c>
      <c r="L731" s="19">
        <f>'Sampling Data'!K731</f>
        <v>0</v>
      </c>
      <c r="M731" s="19">
        <f>'Sampling Data'!L731</f>
        <v>0</v>
      </c>
      <c r="N731" s="19">
        <f>'Sampling Data'!M731</f>
        <v>0</v>
      </c>
      <c r="O731" s="18">
        <f>'Sampling Data'!N731</f>
        <v>0</v>
      </c>
      <c r="P731" s="18">
        <f>'Sampling Data'!O731</f>
        <v>0</v>
      </c>
      <c r="Q731" s="18">
        <f>'Sampling Data'!P731</f>
        <v>60</v>
      </c>
      <c r="R731" s="18">
        <f>'Sampling Data'!AJ731</f>
        <v>0</v>
      </c>
      <c r="S731" s="112"/>
      <c r="T731" s="112"/>
      <c r="U731" s="113"/>
      <c r="V731" s="113"/>
      <c r="W731" s="112"/>
      <c r="X731" s="112"/>
      <c r="Y731" s="112"/>
      <c r="Z731" s="112"/>
      <c r="AA731" s="15"/>
      <c r="AB731" s="15"/>
      <c r="AC731" s="15"/>
      <c r="AD731" s="15"/>
      <c r="AE731" s="114" t="str">
        <f>IF(NOT(ISBLANK(Audit[[#This Row],[Audit Winning Candidate]])), Audit[[#This Row],[Audit Winning Candidate]]-Audit[[#This Row],[Winning Candidate]], "")</f>
        <v/>
      </c>
      <c r="AF731" s="18" t="str">
        <f>IF(NOT(ISBLANK(Audit[[#This Row],[Audit Losing Candidate]])), Audit[[#This Row],[Audit Losing Candidate]]-Audit[[#This Row],[Losing Candidate]], "")</f>
        <v/>
      </c>
      <c r="AG731" s="18" t="str">
        <f>IF(NOT(ISBLANK(Audit[[#This Row],[Audit Candidate 3]])), Audit[[#This Row],[Audit Candidate 3]]-Audit[[#This Row],[Candidate 3]], "")</f>
        <v/>
      </c>
      <c r="AH731" s="18" t="str">
        <f>IF(NOT(ISBLANK(Audit[[#This Row],[Audit Candidate 4]])),Audit[[#This Row],[Audit Candidate 4]]-Audit[[#This Row],[Candidate 4]], "")</f>
        <v/>
      </c>
      <c r="AI731" s="18" t="str">
        <f>IF(NOT(ISBLANK(Audit[[#This Row],[Audit Candidate 5]])), Audit[[#This Row],[Audit Candidate 5]]-Audit[[#This Row],[Candidate 5]], "")</f>
        <v/>
      </c>
      <c r="AJ731" s="18" t="str">
        <f>IF(NOT(ISBLANK(Audit[[#This Row],[Audit Candidate 6]])), Audit[[#This Row],[Audit Candidate 6]]-Audit[[#This Row],[Candidate 6]], "")</f>
        <v/>
      </c>
      <c r="AK731" s="18" t="str">
        <f>IF(NOT(ISBLANK(Audit[[#This Row],[Audit Candidate 7]])), Audit[[#This Row],[Audit Candidate 7]]-Audit[[#This Row],[Candidate 7]], "")</f>
        <v/>
      </c>
      <c r="AL731" s="18" t="str">
        <f>IF(NOT(ISBLANK(Audit[[#This Row],[Audit Candidate 8]])), Audit[[#This Row],[Audit Candidate 8]]-Audit[[#This Row],[Candidate 8]], "")</f>
        <v/>
      </c>
      <c r="AM731" s="18" t="str">
        <f>IF(NOT(ISBLANK(Audit[[#This Row],[Audit Candidate 9]])), Audit[[#This Row],[Audit Candidate 9]]-Audit[[#This Row],[Candidate 9]], "")</f>
        <v/>
      </c>
      <c r="AN731" s="18" t="str">
        <f>IF(NOT(ISBLANK(Audit[[#This Row],[Audit Candidate 10]])), Audit[[#This Row],[Audit Candidate 10]]-Audit[[#This Row],[Candidate 10]], "")</f>
        <v/>
      </c>
      <c r="AO731" s="18" t="str">
        <f>IF(NOT(ISBLANK(Audit[[#This Row],[Audit Candidate 11]])), Audit[[#This Row],[Audit Candidate 11]]-Audit[[#This Row],[Candidate 11]], "")</f>
        <v/>
      </c>
      <c r="AP731" s="18" t="str">
        <f>IF(NOT(ISBLANK(Audit[[#This Row],[Audit Candidate 12]])), Audit[[#This Row],[Audit Candidate 12]]-Audit[[#This Row],[Candidate 12]], "")</f>
        <v/>
      </c>
      <c r="AQ731" s="18">
        <f>SUMIF(Audit[[#This Row],[Difference Winner]:[Difference Candidate 12]], "&gt;0")</f>
        <v>0</v>
      </c>
      <c r="AR731" s="18">
        <f>SUM(Audit[[#This Row],[Difference Winner]:[Difference Candidate 12]])</f>
        <v>0</v>
      </c>
      <c r="AS731" s="18">
        <f>IF(Audit[[#This Row],[Times p Drawn - With Replacement]]&gt;0, IF(Audit[[#This Row],[Canceled Differences]]&lt;0, Audit[[#This Row],[Max Differences]]+ABS(Audit[[#This Row],[Canceled Differences]]), Audit[[#This Row],[Max Differences]]), 0)</f>
        <v>0</v>
      </c>
      <c r="AT731" s="18">
        <f>'Sampling Data'!AB731</f>
        <v>3.3294594339918961E-3</v>
      </c>
      <c r="AU731" s="18">
        <f>IF(
      SUM(Audit[[#This Row],[Audit Losing Candidate]:[Audit Candidate 12]])
      &lt;&gt;0,
      (Audit[[#This Row],[Winning Candidate]]-Audit[[#This Row],[Losing Candidate]]-(Audit[[#This Row],[Audit Winning Candidate]]-Audit[[#This Row],[Audit Losing Candidate]]))/(Audit[[#Totals],[Winning Candidate]]-Audit[[#Totals],[Losing Candidate]]),
      0
)</f>
        <v>0</v>
      </c>
      <c r="AV7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8">
        <f>IF(Audit[[#This Row],[Max Relative Error (ep)]] = 0, 0, Audit[[#This Row],[Max Relative Error (ep)]]/Audit[[#This Row],[Error Bound (up) - Max. possible relative overstatement]])</f>
        <v>0</v>
      </c>
      <c r="BH7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1" s="18">
        <f t="shared" si="12"/>
        <v>1</v>
      </c>
      <c r="BJ731" s="18">
        <f>PRODUCT($BI$5:BI731)</f>
        <v>0.32656797278968008</v>
      </c>
      <c r="BK731" s="20">
        <f>1 - Audit[[#This Row],[K-M P Value]]</f>
        <v>0.67343202721031992</v>
      </c>
      <c r="BL731" s="18" t="str">
        <f>IF(Audit[[#This Row],[K-M P Value]]&gt;1-'General Info'!$B$12,"Continue", "Stop")</f>
        <v>Continue</v>
      </c>
      <c r="BM731" s="23" t="b">
        <f>IF(Audit[[#This Row],[Status - Continue or stop audit]] = "Continue", TRUE, IF(BL730 = "Continue", TRUE, FALSE))</f>
        <v>1</v>
      </c>
      <c r="BN731" s="23"/>
    </row>
    <row r="732" spans="1:66" ht="15" hidden="1" customHeight="1" x14ac:dyDescent="0.35">
      <c r="A732" s="18" t="str">
        <f>'Sampling Data'!AI732</f>
        <v/>
      </c>
      <c r="B732" s="18" t="str">
        <f>'Sampling Data'!A732</f>
        <v>2506 CIN 25-F   (ED)</v>
      </c>
      <c r="C732" s="18">
        <f>'Sampling Data'!B732</f>
        <v>44</v>
      </c>
      <c r="D732" s="18">
        <f>'Sampling Data'!C732</f>
        <v>4</v>
      </c>
      <c r="E732" s="19">
        <f>'Sampling Data'!D732</f>
        <v>0</v>
      </c>
      <c r="F732" s="19">
        <f>'Sampling Data'!E732</f>
        <v>0</v>
      </c>
      <c r="G732" s="19">
        <f>'Sampling Data'!F732</f>
        <v>0</v>
      </c>
      <c r="H732" s="19">
        <f>'Sampling Data'!G732</f>
        <v>0</v>
      </c>
      <c r="I732" s="19">
        <f>'Sampling Data'!H732</f>
        <v>0</v>
      </c>
      <c r="J732" s="19">
        <f>'Sampling Data'!I732</f>
        <v>0</v>
      </c>
      <c r="K732" s="19">
        <f>'Sampling Data'!J732</f>
        <v>0</v>
      </c>
      <c r="L732" s="19">
        <f>'Sampling Data'!K732</f>
        <v>0</v>
      </c>
      <c r="M732" s="19">
        <f>'Sampling Data'!L732</f>
        <v>0</v>
      </c>
      <c r="N732" s="19">
        <f>'Sampling Data'!M732</f>
        <v>0</v>
      </c>
      <c r="O732" s="18">
        <f>'Sampling Data'!N732</f>
        <v>0</v>
      </c>
      <c r="P732" s="18">
        <f>'Sampling Data'!O732</f>
        <v>0</v>
      </c>
      <c r="Q732" s="18">
        <f>'Sampling Data'!P732</f>
        <v>48</v>
      </c>
      <c r="R732" s="18">
        <f>'Sampling Data'!AJ732</f>
        <v>0</v>
      </c>
      <c r="S732" s="112"/>
      <c r="T732" s="112"/>
      <c r="U732" s="113"/>
      <c r="V732" s="113"/>
      <c r="W732" s="112"/>
      <c r="X732" s="112"/>
      <c r="Y732" s="112"/>
      <c r="Z732" s="112"/>
      <c r="AA732" s="15"/>
      <c r="AB732" s="15"/>
      <c r="AC732" s="15"/>
      <c r="AD732" s="15"/>
      <c r="AE732" s="114" t="str">
        <f>IF(NOT(ISBLANK(Audit[[#This Row],[Audit Winning Candidate]])), Audit[[#This Row],[Audit Winning Candidate]]-Audit[[#This Row],[Winning Candidate]], "")</f>
        <v/>
      </c>
      <c r="AF732" s="18" t="str">
        <f>IF(NOT(ISBLANK(Audit[[#This Row],[Audit Losing Candidate]])), Audit[[#This Row],[Audit Losing Candidate]]-Audit[[#This Row],[Losing Candidate]], "")</f>
        <v/>
      </c>
      <c r="AG732" s="18" t="str">
        <f>IF(NOT(ISBLANK(Audit[[#This Row],[Audit Candidate 3]])), Audit[[#This Row],[Audit Candidate 3]]-Audit[[#This Row],[Candidate 3]], "")</f>
        <v/>
      </c>
      <c r="AH732" s="18" t="str">
        <f>IF(NOT(ISBLANK(Audit[[#This Row],[Audit Candidate 4]])),Audit[[#This Row],[Audit Candidate 4]]-Audit[[#This Row],[Candidate 4]], "")</f>
        <v/>
      </c>
      <c r="AI732" s="18" t="str">
        <f>IF(NOT(ISBLANK(Audit[[#This Row],[Audit Candidate 5]])), Audit[[#This Row],[Audit Candidate 5]]-Audit[[#This Row],[Candidate 5]], "")</f>
        <v/>
      </c>
      <c r="AJ732" s="18" t="str">
        <f>IF(NOT(ISBLANK(Audit[[#This Row],[Audit Candidate 6]])), Audit[[#This Row],[Audit Candidate 6]]-Audit[[#This Row],[Candidate 6]], "")</f>
        <v/>
      </c>
      <c r="AK732" s="18" t="str">
        <f>IF(NOT(ISBLANK(Audit[[#This Row],[Audit Candidate 7]])), Audit[[#This Row],[Audit Candidate 7]]-Audit[[#This Row],[Candidate 7]], "")</f>
        <v/>
      </c>
      <c r="AL732" s="18" t="str">
        <f>IF(NOT(ISBLANK(Audit[[#This Row],[Audit Candidate 8]])), Audit[[#This Row],[Audit Candidate 8]]-Audit[[#This Row],[Candidate 8]], "")</f>
        <v/>
      </c>
      <c r="AM732" s="18" t="str">
        <f>IF(NOT(ISBLANK(Audit[[#This Row],[Audit Candidate 9]])), Audit[[#This Row],[Audit Candidate 9]]-Audit[[#This Row],[Candidate 9]], "")</f>
        <v/>
      </c>
      <c r="AN732" s="18" t="str">
        <f>IF(NOT(ISBLANK(Audit[[#This Row],[Audit Candidate 10]])), Audit[[#This Row],[Audit Candidate 10]]-Audit[[#This Row],[Candidate 10]], "")</f>
        <v/>
      </c>
      <c r="AO732" s="18" t="str">
        <f>IF(NOT(ISBLANK(Audit[[#This Row],[Audit Candidate 11]])), Audit[[#This Row],[Audit Candidate 11]]-Audit[[#This Row],[Candidate 11]], "")</f>
        <v/>
      </c>
      <c r="AP732" s="18" t="str">
        <f>IF(NOT(ISBLANK(Audit[[#This Row],[Audit Candidate 12]])), Audit[[#This Row],[Audit Candidate 12]]-Audit[[#This Row],[Candidate 12]], "")</f>
        <v/>
      </c>
      <c r="AQ732" s="18">
        <f>SUMIF(Audit[[#This Row],[Difference Winner]:[Difference Candidate 12]], "&gt;0")</f>
        <v>0</v>
      </c>
      <c r="AR732" s="18">
        <f>SUM(Audit[[#This Row],[Difference Winner]:[Difference Candidate 12]])</f>
        <v>0</v>
      </c>
      <c r="AS732" s="18">
        <f>IF(Audit[[#This Row],[Times p Drawn - With Replacement]]&gt;0, IF(Audit[[#This Row],[Canceled Differences]]&lt;0, Audit[[#This Row],[Max Differences]]+ABS(Audit[[#This Row],[Canceled Differences]]), Audit[[#This Row],[Max Differences]]), 0)</f>
        <v>0</v>
      </c>
      <c r="AT732" s="18">
        <f>'Sampling Data'!AB732</f>
        <v>2.76407953010648E-3</v>
      </c>
      <c r="AU732" s="18">
        <f>IF(
      SUM(Audit[[#This Row],[Audit Losing Candidate]:[Audit Candidate 12]])
      &lt;&gt;0,
      (Audit[[#This Row],[Winning Candidate]]-Audit[[#This Row],[Losing Candidate]]-(Audit[[#This Row],[Audit Winning Candidate]]-Audit[[#This Row],[Audit Losing Candidate]]))/(Audit[[#Totals],[Winning Candidate]]-Audit[[#Totals],[Losing Candidate]]),
      0
)</f>
        <v>0</v>
      </c>
      <c r="AV7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8">
        <f>IF(Audit[[#This Row],[Max Relative Error (ep)]] = 0, 0, Audit[[#This Row],[Max Relative Error (ep)]]/Audit[[#This Row],[Error Bound (up) - Max. possible relative overstatement]])</f>
        <v>0</v>
      </c>
      <c r="BH7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2" s="18">
        <f t="shared" si="12"/>
        <v>1</v>
      </c>
      <c r="BJ732" s="18">
        <f>PRODUCT($BI$5:BI732)</f>
        <v>0.32656797278968008</v>
      </c>
      <c r="BK732" s="20">
        <f>1 - Audit[[#This Row],[K-M P Value]]</f>
        <v>0.67343202721031992</v>
      </c>
      <c r="BL732" s="18" t="str">
        <f>IF(Audit[[#This Row],[K-M P Value]]&gt;1-'General Info'!$B$12,"Continue", "Stop")</f>
        <v>Continue</v>
      </c>
      <c r="BM732" s="23" t="b">
        <f>IF(Audit[[#This Row],[Status - Continue or stop audit]] = "Continue", TRUE, IF(BL731 = "Continue", TRUE, FALSE))</f>
        <v>1</v>
      </c>
      <c r="BN732" s="23"/>
    </row>
    <row r="733" spans="1:66" ht="15" hidden="1" customHeight="1" x14ac:dyDescent="0.35">
      <c r="A733" s="18" t="str">
        <f>'Sampling Data'!AI733</f>
        <v/>
      </c>
      <c r="B733" s="18" t="str">
        <f>'Sampling Data'!A733</f>
        <v>2507 CIN 25-G   (ED)</v>
      </c>
      <c r="C733" s="18">
        <f>'Sampling Data'!B733</f>
        <v>16</v>
      </c>
      <c r="D733" s="18">
        <f>'Sampling Data'!C733</f>
        <v>4</v>
      </c>
      <c r="E733" s="19">
        <f>'Sampling Data'!D733</f>
        <v>0</v>
      </c>
      <c r="F733" s="19">
        <f>'Sampling Data'!E733</f>
        <v>0</v>
      </c>
      <c r="G733" s="19">
        <f>'Sampling Data'!F733</f>
        <v>0</v>
      </c>
      <c r="H733" s="19">
        <f>'Sampling Data'!G733</f>
        <v>0</v>
      </c>
      <c r="I733" s="19">
        <f>'Sampling Data'!H733</f>
        <v>0</v>
      </c>
      <c r="J733" s="19">
        <f>'Sampling Data'!I733</f>
        <v>0</v>
      </c>
      <c r="K733" s="19">
        <f>'Sampling Data'!J733</f>
        <v>0</v>
      </c>
      <c r="L733" s="19">
        <f>'Sampling Data'!K733</f>
        <v>0</v>
      </c>
      <c r="M733" s="19">
        <f>'Sampling Data'!L733</f>
        <v>0</v>
      </c>
      <c r="N733" s="19">
        <f>'Sampling Data'!M733</f>
        <v>0</v>
      </c>
      <c r="O733" s="18">
        <f>'Sampling Data'!N733</f>
        <v>0</v>
      </c>
      <c r="P733" s="18">
        <f>'Sampling Data'!O733</f>
        <v>0</v>
      </c>
      <c r="Q733" s="18">
        <f>'Sampling Data'!P733</f>
        <v>20</v>
      </c>
      <c r="R733" s="18">
        <f>'Sampling Data'!AJ733</f>
        <v>0</v>
      </c>
      <c r="S733" s="112"/>
      <c r="T733" s="112"/>
      <c r="U733" s="113"/>
      <c r="V733" s="113"/>
      <c r="W733" s="112"/>
      <c r="X733" s="112"/>
      <c r="Y733" s="112"/>
      <c r="Z733" s="112"/>
      <c r="AA733" s="15"/>
      <c r="AB733" s="15"/>
      <c r="AC733" s="15"/>
      <c r="AD733" s="15"/>
      <c r="AE733" s="114" t="str">
        <f>IF(NOT(ISBLANK(Audit[[#This Row],[Audit Winning Candidate]])), Audit[[#This Row],[Audit Winning Candidate]]-Audit[[#This Row],[Winning Candidate]], "")</f>
        <v/>
      </c>
      <c r="AF733" s="18" t="str">
        <f>IF(NOT(ISBLANK(Audit[[#This Row],[Audit Losing Candidate]])), Audit[[#This Row],[Audit Losing Candidate]]-Audit[[#This Row],[Losing Candidate]], "")</f>
        <v/>
      </c>
      <c r="AG733" s="18" t="str">
        <f>IF(NOT(ISBLANK(Audit[[#This Row],[Audit Candidate 3]])), Audit[[#This Row],[Audit Candidate 3]]-Audit[[#This Row],[Candidate 3]], "")</f>
        <v/>
      </c>
      <c r="AH733" s="18" t="str">
        <f>IF(NOT(ISBLANK(Audit[[#This Row],[Audit Candidate 4]])),Audit[[#This Row],[Audit Candidate 4]]-Audit[[#This Row],[Candidate 4]], "")</f>
        <v/>
      </c>
      <c r="AI733" s="18" t="str">
        <f>IF(NOT(ISBLANK(Audit[[#This Row],[Audit Candidate 5]])), Audit[[#This Row],[Audit Candidate 5]]-Audit[[#This Row],[Candidate 5]], "")</f>
        <v/>
      </c>
      <c r="AJ733" s="18" t="str">
        <f>IF(NOT(ISBLANK(Audit[[#This Row],[Audit Candidate 6]])), Audit[[#This Row],[Audit Candidate 6]]-Audit[[#This Row],[Candidate 6]], "")</f>
        <v/>
      </c>
      <c r="AK733" s="18" t="str">
        <f>IF(NOT(ISBLANK(Audit[[#This Row],[Audit Candidate 7]])), Audit[[#This Row],[Audit Candidate 7]]-Audit[[#This Row],[Candidate 7]], "")</f>
        <v/>
      </c>
      <c r="AL733" s="18" t="str">
        <f>IF(NOT(ISBLANK(Audit[[#This Row],[Audit Candidate 8]])), Audit[[#This Row],[Audit Candidate 8]]-Audit[[#This Row],[Candidate 8]], "")</f>
        <v/>
      </c>
      <c r="AM733" s="18" t="str">
        <f>IF(NOT(ISBLANK(Audit[[#This Row],[Audit Candidate 9]])), Audit[[#This Row],[Audit Candidate 9]]-Audit[[#This Row],[Candidate 9]], "")</f>
        <v/>
      </c>
      <c r="AN733" s="18" t="str">
        <f>IF(NOT(ISBLANK(Audit[[#This Row],[Audit Candidate 10]])), Audit[[#This Row],[Audit Candidate 10]]-Audit[[#This Row],[Candidate 10]], "")</f>
        <v/>
      </c>
      <c r="AO733" s="18" t="str">
        <f>IF(NOT(ISBLANK(Audit[[#This Row],[Audit Candidate 11]])), Audit[[#This Row],[Audit Candidate 11]]-Audit[[#This Row],[Candidate 11]], "")</f>
        <v/>
      </c>
      <c r="AP733" s="18" t="str">
        <f>IF(NOT(ISBLANK(Audit[[#This Row],[Audit Candidate 12]])), Audit[[#This Row],[Audit Candidate 12]]-Audit[[#This Row],[Candidate 12]], "")</f>
        <v/>
      </c>
      <c r="AQ733" s="18">
        <f>SUMIF(Audit[[#This Row],[Difference Winner]:[Difference Candidate 12]], "&gt;0")</f>
        <v>0</v>
      </c>
      <c r="AR733" s="18">
        <f>SUM(Audit[[#This Row],[Difference Winner]:[Difference Candidate 12]])</f>
        <v>0</v>
      </c>
      <c r="AS733" s="18">
        <f>IF(Audit[[#This Row],[Times p Drawn - With Replacement]]&gt;0, IF(Audit[[#This Row],[Canceled Differences]]&lt;0, Audit[[#This Row],[Max Differences]]+ABS(Audit[[#This Row],[Canceled Differences]]), Audit[[#This Row],[Max Differences]]), 0)</f>
        <v>0</v>
      </c>
      <c r="AT733" s="18">
        <f>'Sampling Data'!AB733</f>
        <v>1.005119829129629E-3</v>
      </c>
      <c r="AU733" s="18">
        <f>IF(
      SUM(Audit[[#This Row],[Audit Losing Candidate]:[Audit Candidate 12]])
      &lt;&gt;0,
      (Audit[[#This Row],[Winning Candidate]]-Audit[[#This Row],[Losing Candidate]]-(Audit[[#This Row],[Audit Winning Candidate]]-Audit[[#This Row],[Audit Losing Candidate]]))/(Audit[[#Totals],[Winning Candidate]]-Audit[[#Totals],[Losing Candidate]]),
      0
)</f>
        <v>0</v>
      </c>
      <c r="AV7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8">
        <f>IF(Audit[[#This Row],[Max Relative Error (ep)]] = 0, 0, Audit[[#This Row],[Max Relative Error (ep)]]/Audit[[#This Row],[Error Bound (up) - Max. possible relative overstatement]])</f>
        <v>0</v>
      </c>
      <c r="BH7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3" s="18">
        <f t="shared" si="12"/>
        <v>1</v>
      </c>
      <c r="BJ733" s="18">
        <f>PRODUCT($BI$5:BI733)</f>
        <v>0.32656797278968008</v>
      </c>
      <c r="BK733" s="20">
        <f>1 - Audit[[#This Row],[K-M P Value]]</f>
        <v>0.67343202721031992</v>
      </c>
      <c r="BL733" s="18" t="str">
        <f>IF(Audit[[#This Row],[K-M P Value]]&gt;1-'General Info'!$B$12,"Continue", "Stop")</f>
        <v>Continue</v>
      </c>
      <c r="BM733" s="23" t="b">
        <f>IF(Audit[[#This Row],[Status - Continue or stop audit]] = "Continue", TRUE, IF(BL732 = "Continue", TRUE, FALSE))</f>
        <v>1</v>
      </c>
      <c r="BN733" s="23"/>
    </row>
    <row r="734" spans="1:66" ht="15" hidden="1" customHeight="1" x14ac:dyDescent="0.35">
      <c r="A734" s="18" t="str">
        <f>'Sampling Data'!AI734</f>
        <v/>
      </c>
      <c r="B734" s="18" t="str">
        <f>'Sampling Data'!A734</f>
        <v>2508 CIN 25-H   (ED)</v>
      </c>
      <c r="C734" s="18">
        <f>'Sampling Data'!B734</f>
        <v>47</v>
      </c>
      <c r="D734" s="18">
        <f>'Sampling Data'!C734</f>
        <v>11</v>
      </c>
      <c r="E734" s="19">
        <f>'Sampling Data'!D734</f>
        <v>0</v>
      </c>
      <c r="F734" s="19">
        <f>'Sampling Data'!E734</f>
        <v>0</v>
      </c>
      <c r="G734" s="19">
        <f>'Sampling Data'!F734</f>
        <v>0</v>
      </c>
      <c r="H734" s="19">
        <f>'Sampling Data'!G734</f>
        <v>0</v>
      </c>
      <c r="I734" s="19">
        <f>'Sampling Data'!H734</f>
        <v>0</v>
      </c>
      <c r="J734" s="19">
        <f>'Sampling Data'!I734</f>
        <v>0</v>
      </c>
      <c r="K734" s="19">
        <f>'Sampling Data'!J734</f>
        <v>0</v>
      </c>
      <c r="L734" s="19">
        <f>'Sampling Data'!K734</f>
        <v>0</v>
      </c>
      <c r="M734" s="19">
        <f>'Sampling Data'!L734</f>
        <v>0</v>
      </c>
      <c r="N734" s="19">
        <f>'Sampling Data'!M734</f>
        <v>0</v>
      </c>
      <c r="O734" s="18">
        <f>'Sampling Data'!N734</f>
        <v>0</v>
      </c>
      <c r="P734" s="18">
        <f>'Sampling Data'!O734</f>
        <v>1</v>
      </c>
      <c r="Q734" s="18">
        <f>'Sampling Data'!P734</f>
        <v>59</v>
      </c>
      <c r="R734" s="18">
        <f>'Sampling Data'!AJ734</f>
        <v>0</v>
      </c>
      <c r="S734" s="112"/>
      <c r="T734" s="112"/>
      <c r="U734" s="113"/>
      <c r="V734" s="113"/>
      <c r="W734" s="112"/>
      <c r="X734" s="112"/>
      <c r="Y734" s="112"/>
      <c r="Z734" s="112"/>
      <c r="AA734" s="15"/>
      <c r="AB734" s="15"/>
      <c r="AC734" s="15"/>
      <c r="AD734" s="15"/>
      <c r="AE734" s="114" t="str">
        <f>IF(NOT(ISBLANK(Audit[[#This Row],[Audit Winning Candidate]])), Audit[[#This Row],[Audit Winning Candidate]]-Audit[[#This Row],[Winning Candidate]], "")</f>
        <v/>
      </c>
      <c r="AF734" s="18" t="str">
        <f>IF(NOT(ISBLANK(Audit[[#This Row],[Audit Losing Candidate]])), Audit[[#This Row],[Audit Losing Candidate]]-Audit[[#This Row],[Losing Candidate]], "")</f>
        <v/>
      </c>
      <c r="AG734" s="18" t="str">
        <f>IF(NOT(ISBLANK(Audit[[#This Row],[Audit Candidate 3]])), Audit[[#This Row],[Audit Candidate 3]]-Audit[[#This Row],[Candidate 3]], "")</f>
        <v/>
      </c>
      <c r="AH734" s="18" t="str">
        <f>IF(NOT(ISBLANK(Audit[[#This Row],[Audit Candidate 4]])),Audit[[#This Row],[Audit Candidate 4]]-Audit[[#This Row],[Candidate 4]], "")</f>
        <v/>
      </c>
      <c r="AI734" s="18" t="str">
        <f>IF(NOT(ISBLANK(Audit[[#This Row],[Audit Candidate 5]])), Audit[[#This Row],[Audit Candidate 5]]-Audit[[#This Row],[Candidate 5]], "")</f>
        <v/>
      </c>
      <c r="AJ734" s="18" t="str">
        <f>IF(NOT(ISBLANK(Audit[[#This Row],[Audit Candidate 6]])), Audit[[#This Row],[Audit Candidate 6]]-Audit[[#This Row],[Candidate 6]], "")</f>
        <v/>
      </c>
      <c r="AK734" s="18" t="str">
        <f>IF(NOT(ISBLANK(Audit[[#This Row],[Audit Candidate 7]])), Audit[[#This Row],[Audit Candidate 7]]-Audit[[#This Row],[Candidate 7]], "")</f>
        <v/>
      </c>
      <c r="AL734" s="18" t="str">
        <f>IF(NOT(ISBLANK(Audit[[#This Row],[Audit Candidate 8]])), Audit[[#This Row],[Audit Candidate 8]]-Audit[[#This Row],[Candidate 8]], "")</f>
        <v/>
      </c>
      <c r="AM734" s="18" t="str">
        <f>IF(NOT(ISBLANK(Audit[[#This Row],[Audit Candidate 9]])), Audit[[#This Row],[Audit Candidate 9]]-Audit[[#This Row],[Candidate 9]], "")</f>
        <v/>
      </c>
      <c r="AN734" s="18" t="str">
        <f>IF(NOT(ISBLANK(Audit[[#This Row],[Audit Candidate 10]])), Audit[[#This Row],[Audit Candidate 10]]-Audit[[#This Row],[Candidate 10]], "")</f>
        <v/>
      </c>
      <c r="AO734" s="18" t="str">
        <f>IF(NOT(ISBLANK(Audit[[#This Row],[Audit Candidate 11]])), Audit[[#This Row],[Audit Candidate 11]]-Audit[[#This Row],[Candidate 11]], "")</f>
        <v/>
      </c>
      <c r="AP734" s="18" t="str">
        <f>IF(NOT(ISBLANK(Audit[[#This Row],[Audit Candidate 12]])), Audit[[#This Row],[Audit Candidate 12]]-Audit[[#This Row],[Candidate 12]], "")</f>
        <v/>
      </c>
      <c r="AQ734" s="18">
        <f>SUMIF(Audit[[#This Row],[Difference Winner]:[Difference Candidate 12]], "&gt;0")</f>
        <v>0</v>
      </c>
      <c r="AR734" s="18">
        <f>SUM(Audit[[#This Row],[Difference Winner]:[Difference Candidate 12]])</f>
        <v>0</v>
      </c>
      <c r="AS734" s="18">
        <f>IF(Audit[[#This Row],[Times p Drawn - With Replacement]]&gt;0, IF(Audit[[#This Row],[Canceled Differences]]&lt;0, Audit[[#This Row],[Max Differences]]+ABS(Audit[[#This Row],[Canceled Differences]]), Audit[[#This Row],[Max Differences]]), 0)</f>
        <v>0</v>
      </c>
      <c r="AT734" s="18">
        <f>'Sampling Data'!AB734</f>
        <v>2.9839494927285863E-3</v>
      </c>
      <c r="AU734" s="18">
        <f>IF(
      SUM(Audit[[#This Row],[Audit Losing Candidate]:[Audit Candidate 12]])
      &lt;&gt;0,
      (Audit[[#This Row],[Winning Candidate]]-Audit[[#This Row],[Losing Candidate]]-(Audit[[#This Row],[Audit Winning Candidate]]-Audit[[#This Row],[Audit Losing Candidate]]))/(Audit[[#Totals],[Winning Candidate]]-Audit[[#Totals],[Losing Candidate]]),
      0
)</f>
        <v>0</v>
      </c>
      <c r="AV7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8">
        <f>IF(Audit[[#This Row],[Max Relative Error (ep)]] = 0, 0, Audit[[#This Row],[Max Relative Error (ep)]]/Audit[[#This Row],[Error Bound (up) - Max. possible relative overstatement]])</f>
        <v>0</v>
      </c>
      <c r="BH7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4" s="18">
        <f t="shared" si="12"/>
        <v>1</v>
      </c>
      <c r="BJ734" s="18">
        <f>PRODUCT($BI$5:BI734)</f>
        <v>0.32656797278968008</v>
      </c>
      <c r="BK734" s="20">
        <f>1 - Audit[[#This Row],[K-M P Value]]</f>
        <v>0.67343202721031992</v>
      </c>
      <c r="BL734" s="18" t="str">
        <f>IF(Audit[[#This Row],[K-M P Value]]&gt;1-'General Info'!$B$12,"Continue", "Stop")</f>
        <v>Continue</v>
      </c>
      <c r="BM734" s="23" t="b">
        <f>IF(Audit[[#This Row],[Status - Continue or stop audit]] = "Continue", TRUE, IF(BL733 = "Continue", TRUE, FALSE))</f>
        <v>1</v>
      </c>
      <c r="BN734" s="23"/>
    </row>
    <row r="735" spans="1:66" ht="15" hidden="1" customHeight="1" x14ac:dyDescent="0.35">
      <c r="A735" s="18" t="str">
        <f>'Sampling Data'!AI735</f>
        <v/>
      </c>
      <c r="B735" s="18" t="str">
        <f>'Sampling Data'!A735</f>
        <v>2509 CIN 25-I   (ED)</v>
      </c>
      <c r="C735" s="18">
        <f>'Sampling Data'!B735</f>
        <v>47</v>
      </c>
      <c r="D735" s="18">
        <f>'Sampling Data'!C735</f>
        <v>5</v>
      </c>
      <c r="E735" s="19">
        <f>'Sampling Data'!D735</f>
        <v>0</v>
      </c>
      <c r="F735" s="19">
        <f>'Sampling Data'!E735</f>
        <v>0</v>
      </c>
      <c r="G735" s="19">
        <f>'Sampling Data'!F735</f>
        <v>0</v>
      </c>
      <c r="H735" s="19">
        <f>'Sampling Data'!G735</f>
        <v>0</v>
      </c>
      <c r="I735" s="19">
        <f>'Sampling Data'!H735</f>
        <v>0</v>
      </c>
      <c r="J735" s="19">
        <f>'Sampling Data'!I735</f>
        <v>0</v>
      </c>
      <c r="K735" s="19">
        <f>'Sampling Data'!J735</f>
        <v>0</v>
      </c>
      <c r="L735" s="19">
        <f>'Sampling Data'!K735</f>
        <v>0</v>
      </c>
      <c r="M735" s="19">
        <f>'Sampling Data'!L735</f>
        <v>0</v>
      </c>
      <c r="N735" s="19">
        <f>'Sampling Data'!M735</f>
        <v>0</v>
      </c>
      <c r="O735" s="18">
        <f>'Sampling Data'!N735</f>
        <v>0</v>
      </c>
      <c r="P735" s="18">
        <f>'Sampling Data'!O735</f>
        <v>0</v>
      </c>
      <c r="Q735" s="18">
        <f>'Sampling Data'!P735</f>
        <v>52</v>
      </c>
      <c r="R735" s="18">
        <f>'Sampling Data'!AJ735</f>
        <v>0</v>
      </c>
      <c r="S735" s="112"/>
      <c r="T735" s="112"/>
      <c r="U735" s="113"/>
      <c r="V735" s="113"/>
      <c r="W735" s="112"/>
      <c r="X735" s="112"/>
      <c r="Y735" s="112"/>
      <c r="Z735" s="112"/>
      <c r="AA735" s="15"/>
      <c r="AB735" s="15"/>
      <c r="AC735" s="15"/>
      <c r="AD735" s="15"/>
      <c r="AE735" s="114" t="str">
        <f>IF(NOT(ISBLANK(Audit[[#This Row],[Audit Winning Candidate]])), Audit[[#This Row],[Audit Winning Candidate]]-Audit[[#This Row],[Winning Candidate]], "")</f>
        <v/>
      </c>
      <c r="AF735" s="18" t="str">
        <f>IF(NOT(ISBLANK(Audit[[#This Row],[Audit Losing Candidate]])), Audit[[#This Row],[Audit Losing Candidate]]-Audit[[#This Row],[Losing Candidate]], "")</f>
        <v/>
      </c>
      <c r="AG735" s="18" t="str">
        <f>IF(NOT(ISBLANK(Audit[[#This Row],[Audit Candidate 3]])), Audit[[#This Row],[Audit Candidate 3]]-Audit[[#This Row],[Candidate 3]], "")</f>
        <v/>
      </c>
      <c r="AH735" s="18" t="str">
        <f>IF(NOT(ISBLANK(Audit[[#This Row],[Audit Candidate 4]])),Audit[[#This Row],[Audit Candidate 4]]-Audit[[#This Row],[Candidate 4]], "")</f>
        <v/>
      </c>
      <c r="AI735" s="18" t="str">
        <f>IF(NOT(ISBLANK(Audit[[#This Row],[Audit Candidate 5]])), Audit[[#This Row],[Audit Candidate 5]]-Audit[[#This Row],[Candidate 5]], "")</f>
        <v/>
      </c>
      <c r="AJ735" s="18" t="str">
        <f>IF(NOT(ISBLANK(Audit[[#This Row],[Audit Candidate 6]])), Audit[[#This Row],[Audit Candidate 6]]-Audit[[#This Row],[Candidate 6]], "")</f>
        <v/>
      </c>
      <c r="AK735" s="18" t="str">
        <f>IF(NOT(ISBLANK(Audit[[#This Row],[Audit Candidate 7]])), Audit[[#This Row],[Audit Candidate 7]]-Audit[[#This Row],[Candidate 7]], "")</f>
        <v/>
      </c>
      <c r="AL735" s="18" t="str">
        <f>IF(NOT(ISBLANK(Audit[[#This Row],[Audit Candidate 8]])), Audit[[#This Row],[Audit Candidate 8]]-Audit[[#This Row],[Candidate 8]], "")</f>
        <v/>
      </c>
      <c r="AM735" s="18" t="str">
        <f>IF(NOT(ISBLANK(Audit[[#This Row],[Audit Candidate 9]])), Audit[[#This Row],[Audit Candidate 9]]-Audit[[#This Row],[Candidate 9]], "")</f>
        <v/>
      </c>
      <c r="AN735" s="18" t="str">
        <f>IF(NOT(ISBLANK(Audit[[#This Row],[Audit Candidate 10]])), Audit[[#This Row],[Audit Candidate 10]]-Audit[[#This Row],[Candidate 10]], "")</f>
        <v/>
      </c>
      <c r="AO735" s="18" t="str">
        <f>IF(NOT(ISBLANK(Audit[[#This Row],[Audit Candidate 11]])), Audit[[#This Row],[Audit Candidate 11]]-Audit[[#This Row],[Candidate 11]], "")</f>
        <v/>
      </c>
      <c r="AP735" s="18" t="str">
        <f>IF(NOT(ISBLANK(Audit[[#This Row],[Audit Candidate 12]])), Audit[[#This Row],[Audit Candidate 12]]-Audit[[#This Row],[Candidate 12]], "")</f>
        <v/>
      </c>
      <c r="AQ735" s="18">
        <f>SUMIF(Audit[[#This Row],[Difference Winner]:[Difference Candidate 12]], "&gt;0")</f>
        <v>0</v>
      </c>
      <c r="AR735" s="18">
        <f>SUM(Audit[[#This Row],[Difference Winner]:[Difference Candidate 12]])</f>
        <v>0</v>
      </c>
      <c r="AS735" s="18">
        <f>IF(Audit[[#This Row],[Times p Drawn - With Replacement]]&gt;0, IF(Audit[[#This Row],[Canceled Differences]]&lt;0, Audit[[#This Row],[Max Differences]]+ABS(Audit[[#This Row],[Canceled Differences]]), Audit[[#This Row],[Max Differences]]), 0)</f>
        <v>0</v>
      </c>
      <c r="AT735" s="18">
        <f>'Sampling Data'!AB735</f>
        <v>2.9525394980682855E-3</v>
      </c>
      <c r="AU735" s="18">
        <f>IF(
      SUM(Audit[[#This Row],[Audit Losing Candidate]:[Audit Candidate 12]])
      &lt;&gt;0,
      (Audit[[#This Row],[Winning Candidate]]-Audit[[#This Row],[Losing Candidate]]-(Audit[[#This Row],[Audit Winning Candidate]]-Audit[[#This Row],[Audit Losing Candidate]]))/(Audit[[#Totals],[Winning Candidate]]-Audit[[#Totals],[Losing Candidate]]),
      0
)</f>
        <v>0</v>
      </c>
      <c r="AV7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8">
        <f>IF(Audit[[#This Row],[Max Relative Error (ep)]] = 0, 0, Audit[[#This Row],[Max Relative Error (ep)]]/Audit[[#This Row],[Error Bound (up) - Max. possible relative overstatement]])</f>
        <v>0</v>
      </c>
      <c r="BH7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5" s="18">
        <f t="shared" si="12"/>
        <v>1</v>
      </c>
      <c r="BJ735" s="18">
        <f>PRODUCT($BI$5:BI735)</f>
        <v>0.32656797278968008</v>
      </c>
      <c r="BK735" s="20">
        <f>1 - Audit[[#This Row],[K-M P Value]]</f>
        <v>0.67343202721031992</v>
      </c>
      <c r="BL735" s="18" t="str">
        <f>IF(Audit[[#This Row],[K-M P Value]]&gt;1-'General Info'!$B$12,"Continue", "Stop")</f>
        <v>Continue</v>
      </c>
      <c r="BM735" s="23" t="b">
        <f>IF(Audit[[#This Row],[Status - Continue or stop audit]] = "Continue", TRUE, IF(BL734 = "Continue", TRUE, FALSE))</f>
        <v>1</v>
      </c>
      <c r="BN735" s="23"/>
    </row>
    <row r="736" spans="1:66" ht="15" hidden="1" customHeight="1" x14ac:dyDescent="0.35">
      <c r="A736" s="18" t="str">
        <f>'Sampling Data'!AI736</f>
        <v/>
      </c>
      <c r="B736" s="18" t="str">
        <f>'Sampling Data'!A736</f>
        <v>2510 CIN 25-J   (ED)</v>
      </c>
      <c r="C736" s="18">
        <f>'Sampling Data'!B736</f>
        <v>11</v>
      </c>
      <c r="D736" s="18">
        <f>'Sampling Data'!C736</f>
        <v>3</v>
      </c>
      <c r="E736" s="19">
        <f>'Sampling Data'!D736</f>
        <v>0</v>
      </c>
      <c r="F736" s="19">
        <f>'Sampling Data'!E736</f>
        <v>0</v>
      </c>
      <c r="G736" s="19">
        <f>'Sampling Data'!F736</f>
        <v>0</v>
      </c>
      <c r="H736" s="19">
        <f>'Sampling Data'!G736</f>
        <v>0</v>
      </c>
      <c r="I736" s="19">
        <f>'Sampling Data'!H736</f>
        <v>0</v>
      </c>
      <c r="J736" s="19">
        <f>'Sampling Data'!I736</f>
        <v>0</v>
      </c>
      <c r="K736" s="19">
        <f>'Sampling Data'!J736</f>
        <v>0</v>
      </c>
      <c r="L736" s="19">
        <f>'Sampling Data'!K736</f>
        <v>0</v>
      </c>
      <c r="M736" s="19">
        <f>'Sampling Data'!L736</f>
        <v>0</v>
      </c>
      <c r="N736" s="19">
        <f>'Sampling Data'!M736</f>
        <v>0</v>
      </c>
      <c r="O736" s="18">
        <f>'Sampling Data'!N736</f>
        <v>0</v>
      </c>
      <c r="P736" s="18">
        <f>'Sampling Data'!O736</f>
        <v>0</v>
      </c>
      <c r="Q736" s="18">
        <f>'Sampling Data'!P736</f>
        <v>14</v>
      </c>
      <c r="R736" s="18">
        <f>'Sampling Data'!AJ736</f>
        <v>0</v>
      </c>
      <c r="S736" s="112"/>
      <c r="T736" s="112"/>
      <c r="U736" s="113"/>
      <c r="V736" s="113"/>
      <c r="W736" s="112"/>
      <c r="X736" s="112"/>
      <c r="Y736" s="112"/>
      <c r="Z736" s="112"/>
      <c r="AA736" s="15"/>
      <c r="AB736" s="15"/>
      <c r="AC736" s="15"/>
      <c r="AD736" s="15"/>
      <c r="AE736" s="114" t="str">
        <f>IF(NOT(ISBLANK(Audit[[#This Row],[Audit Winning Candidate]])), Audit[[#This Row],[Audit Winning Candidate]]-Audit[[#This Row],[Winning Candidate]], "")</f>
        <v/>
      </c>
      <c r="AF736" s="18" t="str">
        <f>IF(NOT(ISBLANK(Audit[[#This Row],[Audit Losing Candidate]])), Audit[[#This Row],[Audit Losing Candidate]]-Audit[[#This Row],[Losing Candidate]], "")</f>
        <v/>
      </c>
      <c r="AG736" s="18" t="str">
        <f>IF(NOT(ISBLANK(Audit[[#This Row],[Audit Candidate 3]])), Audit[[#This Row],[Audit Candidate 3]]-Audit[[#This Row],[Candidate 3]], "")</f>
        <v/>
      </c>
      <c r="AH736" s="18" t="str">
        <f>IF(NOT(ISBLANK(Audit[[#This Row],[Audit Candidate 4]])),Audit[[#This Row],[Audit Candidate 4]]-Audit[[#This Row],[Candidate 4]], "")</f>
        <v/>
      </c>
      <c r="AI736" s="18" t="str">
        <f>IF(NOT(ISBLANK(Audit[[#This Row],[Audit Candidate 5]])), Audit[[#This Row],[Audit Candidate 5]]-Audit[[#This Row],[Candidate 5]], "")</f>
        <v/>
      </c>
      <c r="AJ736" s="18" t="str">
        <f>IF(NOT(ISBLANK(Audit[[#This Row],[Audit Candidate 6]])), Audit[[#This Row],[Audit Candidate 6]]-Audit[[#This Row],[Candidate 6]], "")</f>
        <v/>
      </c>
      <c r="AK736" s="18" t="str">
        <f>IF(NOT(ISBLANK(Audit[[#This Row],[Audit Candidate 7]])), Audit[[#This Row],[Audit Candidate 7]]-Audit[[#This Row],[Candidate 7]], "")</f>
        <v/>
      </c>
      <c r="AL736" s="18" t="str">
        <f>IF(NOT(ISBLANK(Audit[[#This Row],[Audit Candidate 8]])), Audit[[#This Row],[Audit Candidate 8]]-Audit[[#This Row],[Candidate 8]], "")</f>
        <v/>
      </c>
      <c r="AM736" s="18" t="str">
        <f>IF(NOT(ISBLANK(Audit[[#This Row],[Audit Candidate 9]])), Audit[[#This Row],[Audit Candidate 9]]-Audit[[#This Row],[Candidate 9]], "")</f>
        <v/>
      </c>
      <c r="AN736" s="18" t="str">
        <f>IF(NOT(ISBLANK(Audit[[#This Row],[Audit Candidate 10]])), Audit[[#This Row],[Audit Candidate 10]]-Audit[[#This Row],[Candidate 10]], "")</f>
        <v/>
      </c>
      <c r="AO736" s="18" t="str">
        <f>IF(NOT(ISBLANK(Audit[[#This Row],[Audit Candidate 11]])), Audit[[#This Row],[Audit Candidate 11]]-Audit[[#This Row],[Candidate 11]], "")</f>
        <v/>
      </c>
      <c r="AP736" s="18" t="str">
        <f>IF(NOT(ISBLANK(Audit[[#This Row],[Audit Candidate 12]])), Audit[[#This Row],[Audit Candidate 12]]-Audit[[#This Row],[Candidate 12]], "")</f>
        <v/>
      </c>
      <c r="AQ736" s="18">
        <f>SUMIF(Audit[[#This Row],[Difference Winner]:[Difference Candidate 12]], "&gt;0")</f>
        <v>0</v>
      </c>
      <c r="AR736" s="18">
        <f>SUM(Audit[[#This Row],[Difference Winner]:[Difference Candidate 12]])</f>
        <v>0</v>
      </c>
      <c r="AS736" s="18">
        <f>IF(Audit[[#This Row],[Times p Drawn - With Replacement]]&gt;0, IF(Audit[[#This Row],[Canceled Differences]]&lt;0, Audit[[#This Row],[Max Differences]]+ABS(Audit[[#This Row],[Canceled Differences]]), Audit[[#This Row],[Max Differences]]), 0)</f>
        <v>0</v>
      </c>
      <c r="AT736" s="18">
        <f>'Sampling Data'!AB736</f>
        <v>6.9101988252662E-4</v>
      </c>
      <c r="AU736" s="18">
        <f>IF(
      SUM(Audit[[#This Row],[Audit Losing Candidate]:[Audit Candidate 12]])
      &lt;&gt;0,
      (Audit[[#This Row],[Winning Candidate]]-Audit[[#This Row],[Losing Candidate]]-(Audit[[#This Row],[Audit Winning Candidate]]-Audit[[#This Row],[Audit Losing Candidate]]))/(Audit[[#Totals],[Winning Candidate]]-Audit[[#Totals],[Losing Candidate]]),
      0
)</f>
        <v>0</v>
      </c>
      <c r="AV7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8">
        <f>IF(Audit[[#This Row],[Max Relative Error (ep)]] = 0, 0, Audit[[#This Row],[Max Relative Error (ep)]]/Audit[[#This Row],[Error Bound (up) - Max. possible relative overstatement]])</f>
        <v>0</v>
      </c>
      <c r="BH7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6" s="18">
        <f t="shared" si="12"/>
        <v>1</v>
      </c>
      <c r="BJ736" s="18">
        <f>PRODUCT($BI$5:BI736)</f>
        <v>0.32656797278968008</v>
      </c>
      <c r="BK736" s="20">
        <f>1 - Audit[[#This Row],[K-M P Value]]</f>
        <v>0.67343202721031992</v>
      </c>
      <c r="BL736" s="18" t="str">
        <f>IF(Audit[[#This Row],[K-M P Value]]&gt;1-'General Info'!$B$12,"Continue", "Stop")</f>
        <v>Continue</v>
      </c>
      <c r="BM736" s="23" t="b">
        <f>IF(Audit[[#This Row],[Status - Continue or stop audit]] = "Continue", TRUE, IF(BL735 = "Continue", TRUE, FALSE))</f>
        <v>1</v>
      </c>
      <c r="BN736" s="23"/>
    </row>
    <row r="737" spans="1:66" ht="15" hidden="1" customHeight="1" x14ac:dyDescent="0.35">
      <c r="A737" s="18" t="str">
        <f>'Sampling Data'!AI737</f>
        <v/>
      </c>
      <c r="B737" s="18" t="str">
        <f>'Sampling Data'!A737</f>
        <v>2511 CIN 25-K   (ED)</v>
      </c>
      <c r="C737" s="18">
        <f>'Sampling Data'!B737</f>
        <v>32</v>
      </c>
      <c r="D737" s="18">
        <f>'Sampling Data'!C737</f>
        <v>4</v>
      </c>
      <c r="E737" s="19">
        <f>'Sampling Data'!D737</f>
        <v>0</v>
      </c>
      <c r="F737" s="19">
        <f>'Sampling Data'!E737</f>
        <v>0</v>
      </c>
      <c r="G737" s="19">
        <f>'Sampling Data'!F737</f>
        <v>0</v>
      </c>
      <c r="H737" s="19">
        <f>'Sampling Data'!G737</f>
        <v>0</v>
      </c>
      <c r="I737" s="19">
        <f>'Sampling Data'!H737</f>
        <v>0</v>
      </c>
      <c r="J737" s="19">
        <f>'Sampling Data'!I737</f>
        <v>0</v>
      </c>
      <c r="K737" s="19">
        <f>'Sampling Data'!J737</f>
        <v>0</v>
      </c>
      <c r="L737" s="19">
        <f>'Sampling Data'!K737</f>
        <v>0</v>
      </c>
      <c r="M737" s="19">
        <f>'Sampling Data'!L737</f>
        <v>0</v>
      </c>
      <c r="N737" s="19">
        <f>'Sampling Data'!M737</f>
        <v>0</v>
      </c>
      <c r="O737" s="18">
        <f>'Sampling Data'!N737</f>
        <v>0</v>
      </c>
      <c r="P737" s="18">
        <f>'Sampling Data'!O737</f>
        <v>2</v>
      </c>
      <c r="Q737" s="18">
        <f>'Sampling Data'!P737</f>
        <v>38</v>
      </c>
      <c r="R737" s="18">
        <f>'Sampling Data'!AJ737</f>
        <v>0</v>
      </c>
      <c r="S737" s="112"/>
      <c r="T737" s="112"/>
      <c r="U737" s="113"/>
      <c r="V737" s="113"/>
      <c r="W737" s="112"/>
      <c r="X737" s="112"/>
      <c r="Y737" s="112"/>
      <c r="Z737" s="112"/>
      <c r="AA737" s="15"/>
      <c r="AB737" s="15"/>
      <c r="AC737" s="15"/>
      <c r="AD737" s="15"/>
      <c r="AE737" s="114" t="str">
        <f>IF(NOT(ISBLANK(Audit[[#This Row],[Audit Winning Candidate]])), Audit[[#This Row],[Audit Winning Candidate]]-Audit[[#This Row],[Winning Candidate]], "")</f>
        <v/>
      </c>
      <c r="AF737" s="18" t="str">
        <f>IF(NOT(ISBLANK(Audit[[#This Row],[Audit Losing Candidate]])), Audit[[#This Row],[Audit Losing Candidate]]-Audit[[#This Row],[Losing Candidate]], "")</f>
        <v/>
      </c>
      <c r="AG737" s="18" t="str">
        <f>IF(NOT(ISBLANK(Audit[[#This Row],[Audit Candidate 3]])), Audit[[#This Row],[Audit Candidate 3]]-Audit[[#This Row],[Candidate 3]], "")</f>
        <v/>
      </c>
      <c r="AH737" s="18" t="str">
        <f>IF(NOT(ISBLANK(Audit[[#This Row],[Audit Candidate 4]])),Audit[[#This Row],[Audit Candidate 4]]-Audit[[#This Row],[Candidate 4]], "")</f>
        <v/>
      </c>
      <c r="AI737" s="18" t="str">
        <f>IF(NOT(ISBLANK(Audit[[#This Row],[Audit Candidate 5]])), Audit[[#This Row],[Audit Candidate 5]]-Audit[[#This Row],[Candidate 5]], "")</f>
        <v/>
      </c>
      <c r="AJ737" s="18" t="str">
        <f>IF(NOT(ISBLANK(Audit[[#This Row],[Audit Candidate 6]])), Audit[[#This Row],[Audit Candidate 6]]-Audit[[#This Row],[Candidate 6]], "")</f>
        <v/>
      </c>
      <c r="AK737" s="18" t="str">
        <f>IF(NOT(ISBLANK(Audit[[#This Row],[Audit Candidate 7]])), Audit[[#This Row],[Audit Candidate 7]]-Audit[[#This Row],[Candidate 7]], "")</f>
        <v/>
      </c>
      <c r="AL737" s="18" t="str">
        <f>IF(NOT(ISBLANK(Audit[[#This Row],[Audit Candidate 8]])), Audit[[#This Row],[Audit Candidate 8]]-Audit[[#This Row],[Candidate 8]], "")</f>
        <v/>
      </c>
      <c r="AM737" s="18" t="str">
        <f>IF(NOT(ISBLANK(Audit[[#This Row],[Audit Candidate 9]])), Audit[[#This Row],[Audit Candidate 9]]-Audit[[#This Row],[Candidate 9]], "")</f>
        <v/>
      </c>
      <c r="AN737" s="18" t="str">
        <f>IF(NOT(ISBLANK(Audit[[#This Row],[Audit Candidate 10]])), Audit[[#This Row],[Audit Candidate 10]]-Audit[[#This Row],[Candidate 10]], "")</f>
        <v/>
      </c>
      <c r="AO737" s="18" t="str">
        <f>IF(NOT(ISBLANK(Audit[[#This Row],[Audit Candidate 11]])), Audit[[#This Row],[Audit Candidate 11]]-Audit[[#This Row],[Candidate 11]], "")</f>
        <v/>
      </c>
      <c r="AP737" s="18" t="str">
        <f>IF(NOT(ISBLANK(Audit[[#This Row],[Audit Candidate 12]])), Audit[[#This Row],[Audit Candidate 12]]-Audit[[#This Row],[Candidate 12]], "")</f>
        <v/>
      </c>
      <c r="AQ737" s="18">
        <f>SUMIF(Audit[[#This Row],[Difference Winner]:[Difference Candidate 12]], "&gt;0")</f>
        <v>0</v>
      </c>
      <c r="AR737" s="18">
        <f>SUM(Audit[[#This Row],[Difference Winner]:[Difference Candidate 12]])</f>
        <v>0</v>
      </c>
      <c r="AS737" s="18">
        <f>IF(Audit[[#This Row],[Times p Drawn - With Replacement]]&gt;0, IF(Audit[[#This Row],[Canceled Differences]]&lt;0, Audit[[#This Row],[Max Differences]]+ABS(Audit[[#This Row],[Canceled Differences]]), Audit[[#This Row],[Max Differences]]), 0)</f>
        <v>0</v>
      </c>
      <c r="AT737" s="18">
        <f>'Sampling Data'!AB737</f>
        <v>2.0730596475798599E-3</v>
      </c>
      <c r="AU737" s="18">
        <f>IF(
      SUM(Audit[[#This Row],[Audit Losing Candidate]:[Audit Candidate 12]])
      &lt;&gt;0,
      (Audit[[#This Row],[Winning Candidate]]-Audit[[#This Row],[Losing Candidate]]-(Audit[[#This Row],[Audit Winning Candidate]]-Audit[[#This Row],[Audit Losing Candidate]]))/(Audit[[#Totals],[Winning Candidate]]-Audit[[#Totals],[Losing Candidate]]),
      0
)</f>
        <v>0</v>
      </c>
      <c r="AV7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8">
        <f>IF(Audit[[#This Row],[Max Relative Error (ep)]] = 0, 0, Audit[[#This Row],[Max Relative Error (ep)]]/Audit[[#This Row],[Error Bound (up) - Max. possible relative overstatement]])</f>
        <v>0</v>
      </c>
      <c r="BH7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7" s="18">
        <f t="shared" si="12"/>
        <v>1</v>
      </c>
      <c r="BJ737" s="18">
        <f>PRODUCT($BI$5:BI737)</f>
        <v>0.32656797278968008</v>
      </c>
      <c r="BK737" s="20">
        <f>1 - Audit[[#This Row],[K-M P Value]]</f>
        <v>0.67343202721031992</v>
      </c>
      <c r="BL737" s="18" t="str">
        <f>IF(Audit[[#This Row],[K-M P Value]]&gt;1-'General Info'!$B$12,"Continue", "Stop")</f>
        <v>Continue</v>
      </c>
      <c r="BM737" s="23" t="b">
        <f>IF(Audit[[#This Row],[Status - Continue or stop audit]] = "Continue", TRUE, IF(BL736 = "Continue", TRUE, FALSE))</f>
        <v>1</v>
      </c>
      <c r="BN737" s="23"/>
    </row>
    <row r="738" spans="1:66" ht="15" hidden="1" customHeight="1" x14ac:dyDescent="0.35">
      <c r="A738" s="18" t="str">
        <f>'Sampling Data'!AI738</f>
        <v/>
      </c>
      <c r="B738" s="18" t="str">
        <f>'Sampling Data'!A738</f>
        <v>2512 CIN 25-L   (ED)</v>
      </c>
      <c r="C738" s="18">
        <f>'Sampling Data'!B738</f>
        <v>3</v>
      </c>
      <c r="D738" s="18">
        <f>'Sampling Data'!C738</f>
        <v>0</v>
      </c>
      <c r="E738" s="19">
        <f>'Sampling Data'!D738</f>
        <v>0</v>
      </c>
      <c r="F738" s="19">
        <f>'Sampling Data'!E738</f>
        <v>0</v>
      </c>
      <c r="G738" s="19">
        <f>'Sampling Data'!F738</f>
        <v>0</v>
      </c>
      <c r="H738" s="19">
        <f>'Sampling Data'!G738</f>
        <v>0</v>
      </c>
      <c r="I738" s="19">
        <f>'Sampling Data'!H738</f>
        <v>0</v>
      </c>
      <c r="J738" s="19">
        <f>'Sampling Data'!I738</f>
        <v>0</v>
      </c>
      <c r="K738" s="19">
        <f>'Sampling Data'!J738</f>
        <v>0</v>
      </c>
      <c r="L738" s="19">
        <f>'Sampling Data'!K738</f>
        <v>0</v>
      </c>
      <c r="M738" s="19">
        <f>'Sampling Data'!L738</f>
        <v>0</v>
      </c>
      <c r="N738" s="19">
        <f>'Sampling Data'!M738</f>
        <v>0</v>
      </c>
      <c r="O738" s="18">
        <f>'Sampling Data'!N738</f>
        <v>0</v>
      </c>
      <c r="P738" s="18">
        <f>'Sampling Data'!O738</f>
        <v>0</v>
      </c>
      <c r="Q738" s="18">
        <f>'Sampling Data'!P738</f>
        <v>3</v>
      </c>
      <c r="R738" s="18">
        <f>'Sampling Data'!AJ738</f>
        <v>0</v>
      </c>
      <c r="S738" s="112"/>
      <c r="T738" s="112"/>
      <c r="U738" s="113"/>
      <c r="V738" s="113"/>
      <c r="W738" s="112"/>
      <c r="X738" s="112"/>
      <c r="Y738" s="112"/>
      <c r="Z738" s="112"/>
      <c r="AA738" s="15"/>
      <c r="AB738" s="15"/>
      <c r="AC738" s="15"/>
      <c r="AD738" s="15"/>
      <c r="AE738" s="114" t="str">
        <f>IF(NOT(ISBLANK(Audit[[#This Row],[Audit Winning Candidate]])), Audit[[#This Row],[Audit Winning Candidate]]-Audit[[#This Row],[Winning Candidate]], "")</f>
        <v/>
      </c>
      <c r="AF738" s="18" t="str">
        <f>IF(NOT(ISBLANK(Audit[[#This Row],[Audit Losing Candidate]])), Audit[[#This Row],[Audit Losing Candidate]]-Audit[[#This Row],[Losing Candidate]], "")</f>
        <v/>
      </c>
      <c r="AG738" s="18" t="str">
        <f>IF(NOT(ISBLANK(Audit[[#This Row],[Audit Candidate 3]])), Audit[[#This Row],[Audit Candidate 3]]-Audit[[#This Row],[Candidate 3]], "")</f>
        <v/>
      </c>
      <c r="AH738" s="18" t="str">
        <f>IF(NOT(ISBLANK(Audit[[#This Row],[Audit Candidate 4]])),Audit[[#This Row],[Audit Candidate 4]]-Audit[[#This Row],[Candidate 4]], "")</f>
        <v/>
      </c>
      <c r="AI738" s="18" t="str">
        <f>IF(NOT(ISBLANK(Audit[[#This Row],[Audit Candidate 5]])), Audit[[#This Row],[Audit Candidate 5]]-Audit[[#This Row],[Candidate 5]], "")</f>
        <v/>
      </c>
      <c r="AJ738" s="18" t="str">
        <f>IF(NOT(ISBLANK(Audit[[#This Row],[Audit Candidate 6]])), Audit[[#This Row],[Audit Candidate 6]]-Audit[[#This Row],[Candidate 6]], "")</f>
        <v/>
      </c>
      <c r="AK738" s="18" t="str">
        <f>IF(NOT(ISBLANK(Audit[[#This Row],[Audit Candidate 7]])), Audit[[#This Row],[Audit Candidate 7]]-Audit[[#This Row],[Candidate 7]], "")</f>
        <v/>
      </c>
      <c r="AL738" s="18" t="str">
        <f>IF(NOT(ISBLANK(Audit[[#This Row],[Audit Candidate 8]])), Audit[[#This Row],[Audit Candidate 8]]-Audit[[#This Row],[Candidate 8]], "")</f>
        <v/>
      </c>
      <c r="AM738" s="18" t="str">
        <f>IF(NOT(ISBLANK(Audit[[#This Row],[Audit Candidate 9]])), Audit[[#This Row],[Audit Candidate 9]]-Audit[[#This Row],[Candidate 9]], "")</f>
        <v/>
      </c>
      <c r="AN738" s="18" t="str">
        <f>IF(NOT(ISBLANK(Audit[[#This Row],[Audit Candidate 10]])), Audit[[#This Row],[Audit Candidate 10]]-Audit[[#This Row],[Candidate 10]], "")</f>
        <v/>
      </c>
      <c r="AO738" s="18" t="str">
        <f>IF(NOT(ISBLANK(Audit[[#This Row],[Audit Candidate 11]])), Audit[[#This Row],[Audit Candidate 11]]-Audit[[#This Row],[Candidate 11]], "")</f>
        <v/>
      </c>
      <c r="AP738" s="18" t="str">
        <f>IF(NOT(ISBLANK(Audit[[#This Row],[Audit Candidate 12]])), Audit[[#This Row],[Audit Candidate 12]]-Audit[[#This Row],[Candidate 12]], "")</f>
        <v/>
      </c>
      <c r="AQ738" s="18">
        <f>SUMIF(Audit[[#This Row],[Difference Winner]:[Difference Candidate 12]], "&gt;0")</f>
        <v>0</v>
      </c>
      <c r="AR738" s="18">
        <f>SUM(Audit[[#This Row],[Difference Winner]:[Difference Candidate 12]])</f>
        <v>0</v>
      </c>
      <c r="AS738" s="18">
        <f>IF(Audit[[#This Row],[Times p Drawn - With Replacement]]&gt;0, IF(Audit[[#This Row],[Canceled Differences]]&lt;0, Audit[[#This Row],[Max Differences]]+ABS(Audit[[#This Row],[Canceled Differences]]), Audit[[#This Row],[Max Differences]]), 0)</f>
        <v>0</v>
      </c>
      <c r="AT738" s="18">
        <f>'Sampling Data'!AB738</f>
        <v>1.8845996796180544E-4</v>
      </c>
      <c r="AU738" s="18">
        <f>IF(
      SUM(Audit[[#This Row],[Audit Losing Candidate]:[Audit Candidate 12]])
      &lt;&gt;0,
      (Audit[[#This Row],[Winning Candidate]]-Audit[[#This Row],[Losing Candidate]]-(Audit[[#This Row],[Audit Winning Candidate]]-Audit[[#This Row],[Audit Losing Candidate]]))/(Audit[[#Totals],[Winning Candidate]]-Audit[[#Totals],[Losing Candidate]]),
      0
)</f>
        <v>0</v>
      </c>
      <c r="AV7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8">
        <f>IF(Audit[[#This Row],[Max Relative Error (ep)]] = 0, 0, Audit[[#This Row],[Max Relative Error (ep)]]/Audit[[#This Row],[Error Bound (up) - Max. possible relative overstatement]])</f>
        <v>0</v>
      </c>
      <c r="BH7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8" s="18">
        <f t="shared" si="12"/>
        <v>1</v>
      </c>
      <c r="BJ738" s="18">
        <f>PRODUCT($BI$5:BI738)</f>
        <v>0.32656797278968008</v>
      </c>
      <c r="BK738" s="20">
        <f>1 - Audit[[#This Row],[K-M P Value]]</f>
        <v>0.67343202721031992</v>
      </c>
      <c r="BL738" s="18" t="str">
        <f>IF(Audit[[#This Row],[K-M P Value]]&gt;1-'General Info'!$B$12,"Continue", "Stop")</f>
        <v>Continue</v>
      </c>
      <c r="BM738" s="23" t="b">
        <f>IF(Audit[[#This Row],[Status - Continue or stop audit]] = "Continue", TRUE, IF(BL737 = "Continue", TRUE, FALSE))</f>
        <v>1</v>
      </c>
      <c r="BN738" s="23"/>
    </row>
    <row r="739" spans="1:66" ht="15" hidden="1" customHeight="1" x14ac:dyDescent="0.35">
      <c r="A739" s="18" t="str">
        <f>'Sampling Data'!AI739</f>
        <v/>
      </c>
      <c r="B739" s="18" t="str">
        <f>'Sampling Data'!A739</f>
        <v>2601 CIN 26-A   (ED)</v>
      </c>
      <c r="C739" s="18">
        <f>'Sampling Data'!B739</f>
        <v>65</v>
      </c>
      <c r="D739" s="18">
        <f>'Sampling Data'!C739</f>
        <v>7</v>
      </c>
      <c r="E739" s="19">
        <f>'Sampling Data'!D739</f>
        <v>0</v>
      </c>
      <c r="F739" s="19">
        <f>'Sampling Data'!E739</f>
        <v>0</v>
      </c>
      <c r="G739" s="19">
        <f>'Sampling Data'!F739</f>
        <v>0</v>
      </c>
      <c r="H739" s="19">
        <f>'Sampling Data'!G739</f>
        <v>0</v>
      </c>
      <c r="I739" s="19">
        <f>'Sampling Data'!H739</f>
        <v>0</v>
      </c>
      <c r="J739" s="19">
        <f>'Sampling Data'!I739</f>
        <v>0</v>
      </c>
      <c r="K739" s="19">
        <f>'Sampling Data'!J739</f>
        <v>0</v>
      </c>
      <c r="L739" s="19">
        <f>'Sampling Data'!K739</f>
        <v>0</v>
      </c>
      <c r="M739" s="19">
        <f>'Sampling Data'!L739</f>
        <v>0</v>
      </c>
      <c r="N739" s="19">
        <f>'Sampling Data'!M739</f>
        <v>0</v>
      </c>
      <c r="O739" s="18">
        <f>'Sampling Data'!N739</f>
        <v>0</v>
      </c>
      <c r="P739" s="18">
        <f>'Sampling Data'!O739</f>
        <v>1</v>
      </c>
      <c r="Q739" s="18">
        <f>'Sampling Data'!P739</f>
        <v>73</v>
      </c>
      <c r="R739" s="18">
        <f>'Sampling Data'!AJ739</f>
        <v>0</v>
      </c>
      <c r="S739" s="112"/>
      <c r="T739" s="112"/>
      <c r="U739" s="113"/>
      <c r="V739" s="113"/>
      <c r="W739" s="112"/>
      <c r="X739" s="112"/>
      <c r="Y739" s="112"/>
      <c r="Z739" s="112"/>
      <c r="AA739" s="15"/>
      <c r="AB739" s="15"/>
      <c r="AC739" s="15"/>
      <c r="AD739" s="15"/>
      <c r="AE739" s="114" t="str">
        <f>IF(NOT(ISBLANK(Audit[[#This Row],[Audit Winning Candidate]])), Audit[[#This Row],[Audit Winning Candidate]]-Audit[[#This Row],[Winning Candidate]], "")</f>
        <v/>
      </c>
      <c r="AF739" s="18" t="str">
        <f>IF(NOT(ISBLANK(Audit[[#This Row],[Audit Losing Candidate]])), Audit[[#This Row],[Audit Losing Candidate]]-Audit[[#This Row],[Losing Candidate]], "")</f>
        <v/>
      </c>
      <c r="AG739" s="18" t="str">
        <f>IF(NOT(ISBLANK(Audit[[#This Row],[Audit Candidate 3]])), Audit[[#This Row],[Audit Candidate 3]]-Audit[[#This Row],[Candidate 3]], "")</f>
        <v/>
      </c>
      <c r="AH739" s="18" t="str">
        <f>IF(NOT(ISBLANK(Audit[[#This Row],[Audit Candidate 4]])),Audit[[#This Row],[Audit Candidate 4]]-Audit[[#This Row],[Candidate 4]], "")</f>
        <v/>
      </c>
      <c r="AI739" s="18" t="str">
        <f>IF(NOT(ISBLANK(Audit[[#This Row],[Audit Candidate 5]])), Audit[[#This Row],[Audit Candidate 5]]-Audit[[#This Row],[Candidate 5]], "")</f>
        <v/>
      </c>
      <c r="AJ739" s="18" t="str">
        <f>IF(NOT(ISBLANK(Audit[[#This Row],[Audit Candidate 6]])), Audit[[#This Row],[Audit Candidate 6]]-Audit[[#This Row],[Candidate 6]], "")</f>
        <v/>
      </c>
      <c r="AK739" s="18" t="str">
        <f>IF(NOT(ISBLANK(Audit[[#This Row],[Audit Candidate 7]])), Audit[[#This Row],[Audit Candidate 7]]-Audit[[#This Row],[Candidate 7]], "")</f>
        <v/>
      </c>
      <c r="AL739" s="18" t="str">
        <f>IF(NOT(ISBLANK(Audit[[#This Row],[Audit Candidate 8]])), Audit[[#This Row],[Audit Candidate 8]]-Audit[[#This Row],[Candidate 8]], "")</f>
        <v/>
      </c>
      <c r="AM739" s="18" t="str">
        <f>IF(NOT(ISBLANK(Audit[[#This Row],[Audit Candidate 9]])), Audit[[#This Row],[Audit Candidate 9]]-Audit[[#This Row],[Candidate 9]], "")</f>
        <v/>
      </c>
      <c r="AN739" s="18" t="str">
        <f>IF(NOT(ISBLANK(Audit[[#This Row],[Audit Candidate 10]])), Audit[[#This Row],[Audit Candidate 10]]-Audit[[#This Row],[Candidate 10]], "")</f>
        <v/>
      </c>
      <c r="AO739" s="18" t="str">
        <f>IF(NOT(ISBLANK(Audit[[#This Row],[Audit Candidate 11]])), Audit[[#This Row],[Audit Candidate 11]]-Audit[[#This Row],[Candidate 11]], "")</f>
        <v/>
      </c>
      <c r="AP739" s="18" t="str">
        <f>IF(NOT(ISBLANK(Audit[[#This Row],[Audit Candidate 12]])), Audit[[#This Row],[Audit Candidate 12]]-Audit[[#This Row],[Candidate 12]], "")</f>
        <v/>
      </c>
      <c r="AQ739" s="18">
        <f>SUMIF(Audit[[#This Row],[Difference Winner]:[Difference Candidate 12]], "&gt;0")</f>
        <v>0</v>
      </c>
      <c r="AR739" s="18">
        <f>SUM(Audit[[#This Row],[Difference Winner]:[Difference Candidate 12]])</f>
        <v>0</v>
      </c>
      <c r="AS739" s="18">
        <f>IF(Audit[[#This Row],[Times p Drawn - With Replacement]]&gt;0, IF(Audit[[#This Row],[Canceled Differences]]&lt;0, Audit[[#This Row],[Max Differences]]+ABS(Audit[[#This Row],[Canceled Differences]]), Audit[[#This Row],[Max Differences]]), 0)</f>
        <v>0</v>
      </c>
      <c r="AT739" s="18">
        <f>'Sampling Data'!AB739</f>
        <v>4.114709300499419E-3</v>
      </c>
      <c r="AU739" s="18">
        <f>IF(
      SUM(Audit[[#This Row],[Audit Losing Candidate]:[Audit Candidate 12]])
      &lt;&gt;0,
      (Audit[[#This Row],[Winning Candidate]]-Audit[[#This Row],[Losing Candidate]]-(Audit[[#This Row],[Audit Winning Candidate]]-Audit[[#This Row],[Audit Losing Candidate]]))/(Audit[[#Totals],[Winning Candidate]]-Audit[[#Totals],[Losing Candidate]]),
      0
)</f>
        <v>0</v>
      </c>
      <c r="AV7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8">
        <f>IF(Audit[[#This Row],[Max Relative Error (ep)]] = 0, 0, Audit[[#This Row],[Max Relative Error (ep)]]/Audit[[#This Row],[Error Bound (up) - Max. possible relative overstatement]])</f>
        <v>0</v>
      </c>
      <c r="BH7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39" s="18">
        <f t="shared" si="12"/>
        <v>1</v>
      </c>
      <c r="BJ739" s="18">
        <f>PRODUCT($BI$5:BI739)</f>
        <v>0.32656797278968008</v>
      </c>
      <c r="BK739" s="20">
        <f>1 - Audit[[#This Row],[K-M P Value]]</f>
        <v>0.67343202721031992</v>
      </c>
      <c r="BL739" s="18" t="str">
        <f>IF(Audit[[#This Row],[K-M P Value]]&gt;1-'General Info'!$B$12,"Continue", "Stop")</f>
        <v>Continue</v>
      </c>
      <c r="BM739" s="23" t="b">
        <f>IF(Audit[[#This Row],[Status - Continue or stop audit]] = "Continue", TRUE, IF(BL738 = "Continue", TRUE, FALSE))</f>
        <v>1</v>
      </c>
      <c r="BN739" s="23"/>
    </row>
    <row r="740" spans="1:66" ht="15" hidden="1" customHeight="1" x14ac:dyDescent="0.35">
      <c r="A740" s="18" t="str">
        <f>'Sampling Data'!AI740</f>
        <v/>
      </c>
      <c r="B740" s="18" t="str">
        <f>'Sampling Data'!A740</f>
        <v>2602 CIN 26-B   (ED)</v>
      </c>
      <c r="C740" s="18">
        <f>'Sampling Data'!B740</f>
        <v>18</v>
      </c>
      <c r="D740" s="18">
        <f>'Sampling Data'!C740</f>
        <v>1</v>
      </c>
      <c r="E740" s="19">
        <f>'Sampling Data'!D740</f>
        <v>0</v>
      </c>
      <c r="F740" s="19">
        <f>'Sampling Data'!E740</f>
        <v>0</v>
      </c>
      <c r="G740" s="19">
        <f>'Sampling Data'!F740</f>
        <v>0</v>
      </c>
      <c r="H740" s="19">
        <f>'Sampling Data'!G740</f>
        <v>0</v>
      </c>
      <c r="I740" s="19">
        <f>'Sampling Data'!H740</f>
        <v>0</v>
      </c>
      <c r="J740" s="19">
        <f>'Sampling Data'!I740</f>
        <v>0</v>
      </c>
      <c r="K740" s="19">
        <f>'Sampling Data'!J740</f>
        <v>0</v>
      </c>
      <c r="L740" s="19">
        <f>'Sampling Data'!K740</f>
        <v>0</v>
      </c>
      <c r="M740" s="19">
        <f>'Sampling Data'!L740</f>
        <v>0</v>
      </c>
      <c r="N740" s="19">
        <f>'Sampling Data'!M740</f>
        <v>0</v>
      </c>
      <c r="O740" s="18">
        <f>'Sampling Data'!N740</f>
        <v>0</v>
      </c>
      <c r="P740" s="18">
        <f>'Sampling Data'!O740</f>
        <v>2</v>
      </c>
      <c r="Q740" s="18">
        <f>'Sampling Data'!P740</f>
        <v>21</v>
      </c>
      <c r="R740" s="18">
        <f>'Sampling Data'!AJ740</f>
        <v>0</v>
      </c>
      <c r="S740" s="112"/>
      <c r="T740" s="112"/>
      <c r="U740" s="113"/>
      <c r="V740" s="113"/>
      <c r="W740" s="112"/>
      <c r="X740" s="112"/>
      <c r="Y740" s="112"/>
      <c r="Z740" s="112"/>
      <c r="AA740" s="15"/>
      <c r="AB740" s="15"/>
      <c r="AC740" s="15"/>
      <c r="AD740" s="15"/>
      <c r="AE740" s="114" t="str">
        <f>IF(NOT(ISBLANK(Audit[[#This Row],[Audit Winning Candidate]])), Audit[[#This Row],[Audit Winning Candidate]]-Audit[[#This Row],[Winning Candidate]], "")</f>
        <v/>
      </c>
      <c r="AF740" s="18" t="str">
        <f>IF(NOT(ISBLANK(Audit[[#This Row],[Audit Losing Candidate]])), Audit[[#This Row],[Audit Losing Candidate]]-Audit[[#This Row],[Losing Candidate]], "")</f>
        <v/>
      </c>
      <c r="AG740" s="18" t="str">
        <f>IF(NOT(ISBLANK(Audit[[#This Row],[Audit Candidate 3]])), Audit[[#This Row],[Audit Candidate 3]]-Audit[[#This Row],[Candidate 3]], "")</f>
        <v/>
      </c>
      <c r="AH740" s="18" t="str">
        <f>IF(NOT(ISBLANK(Audit[[#This Row],[Audit Candidate 4]])),Audit[[#This Row],[Audit Candidate 4]]-Audit[[#This Row],[Candidate 4]], "")</f>
        <v/>
      </c>
      <c r="AI740" s="18" t="str">
        <f>IF(NOT(ISBLANK(Audit[[#This Row],[Audit Candidate 5]])), Audit[[#This Row],[Audit Candidate 5]]-Audit[[#This Row],[Candidate 5]], "")</f>
        <v/>
      </c>
      <c r="AJ740" s="18" t="str">
        <f>IF(NOT(ISBLANK(Audit[[#This Row],[Audit Candidate 6]])), Audit[[#This Row],[Audit Candidate 6]]-Audit[[#This Row],[Candidate 6]], "")</f>
        <v/>
      </c>
      <c r="AK740" s="18" t="str">
        <f>IF(NOT(ISBLANK(Audit[[#This Row],[Audit Candidate 7]])), Audit[[#This Row],[Audit Candidate 7]]-Audit[[#This Row],[Candidate 7]], "")</f>
        <v/>
      </c>
      <c r="AL740" s="18" t="str">
        <f>IF(NOT(ISBLANK(Audit[[#This Row],[Audit Candidate 8]])), Audit[[#This Row],[Audit Candidate 8]]-Audit[[#This Row],[Candidate 8]], "")</f>
        <v/>
      </c>
      <c r="AM740" s="18" t="str">
        <f>IF(NOT(ISBLANK(Audit[[#This Row],[Audit Candidate 9]])), Audit[[#This Row],[Audit Candidate 9]]-Audit[[#This Row],[Candidate 9]], "")</f>
        <v/>
      </c>
      <c r="AN740" s="18" t="str">
        <f>IF(NOT(ISBLANK(Audit[[#This Row],[Audit Candidate 10]])), Audit[[#This Row],[Audit Candidate 10]]-Audit[[#This Row],[Candidate 10]], "")</f>
        <v/>
      </c>
      <c r="AO740" s="18" t="str">
        <f>IF(NOT(ISBLANK(Audit[[#This Row],[Audit Candidate 11]])), Audit[[#This Row],[Audit Candidate 11]]-Audit[[#This Row],[Candidate 11]], "")</f>
        <v/>
      </c>
      <c r="AP740" s="18" t="str">
        <f>IF(NOT(ISBLANK(Audit[[#This Row],[Audit Candidate 12]])), Audit[[#This Row],[Audit Candidate 12]]-Audit[[#This Row],[Candidate 12]], "")</f>
        <v/>
      </c>
      <c r="AQ740" s="18">
        <f>SUMIF(Audit[[#This Row],[Difference Winner]:[Difference Candidate 12]], "&gt;0")</f>
        <v>0</v>
      </c>
      <c r="AR740" s="18">
        <f>SUM(Audit[[#This Row],[Difference Winner]:[Difference Candidate 12]])</f>
        <v>0</v>
      </c>
      <c r="AS740" s="18">
        <f>IF(Audit[[#This Row],[Times p Drawn - With Replacement]]&gt;0, IF(Audit[[#This Row],[Canceled Differences]]&lt;0, Audit[[#This Row],[Max Differences]]+ABS(Audit[[#This Row],[Canceled Differences]]), Audit[[#This Row],[Max Differences]]), 0)</f>
        <v>0</v>
      </c>
      <c r="AT740" s="18">
        <f>'Sampling Data'!AB740</f>
        <v>1.1935797970914345E-3</v>
      </c>
      <c r="AU740" s="18">
        <f>IF(
      SUM(Audit[[#This Row],[Audit Losing Candidate]:[Audit Candidate 12]])
      &lt;&gt;0,
      (Audit[[#This Row],[Winning Candidate]]-Audit[[#This Row],[Losing Candidate]]-(Audit[[#This Row],[Audit Winning Candidate]]-Audit[[#This Row],[Audit Losing Candidate]]))/(Audit[[#Totals],[Winning Candidate]]-Audit[[#Totals],[Losing Candidate]]),
      0
)</f>
        <v>0</v>
      </c>
      <c r="AV7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8">
        <f>IF(Audit[[#This Row],[Max Relative Error (ep)]] = 0, 0, Audit[[#This Row],[Max Relative Error (ep)]]/Audit[[#This Row],[Error Bound (up) - Max. possible relative overstatement]])</f>
        <v>0</v>
      </c>
      <c r="BH7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0" s="18">
        <f t="shared" si="12"/>
        <v>1</v>
      </c>
      <c r="BJ740" s="18">
        <f>PRODUCT($BI$5:BI740)</f>
        <v>0.32656797278968008</v>
      </c>
      <c r="BK740" s="20">
        <f>1 - Audit[[#This Row],[K-M P Value]]</f>
        <v>0.67343202721031992</v>
      </c>
      <c r="BL740" s="18" t="str">
        <f>IF(Audit[[#This Row],[K-M P Value]]&gt;1-'General Info'!$B$12,"Continue", "Stop")</f>
        <v>Continue</v>
      </c>
      <c r="BM740" s="23" t="b">
        <f>IF(Audit[[#This Row],[Status - Continue or stop audit]] = "Continue", TRUE, IF(BL739 = "Continue", TRUE, FALSE))</f>
        <v>1</v>
      </c>
      <c r="BN740" s="23"/>
    </row>
    <row r="741" spans="1:66" ht="15" hidden="1" customHeight="1" x14ac:dyDescent="0.35">
      <c r="A741" s="18" t="str">
        <f>'Sampling Data'!AI741</f>
        <v/>
      </c>
      <c r="B741" s="18" t="str">
        <f>'Sampling Data'!A741</f>
        <v>2603 CIN 26-C   (ED)</v>
      </c>
      <c r="C741" s="18">
        <f>'Sampling Data'!B741</f>
        <v>21</v>
      </c>
      <c r="D741" s="18">
        <f>'Sampling Data'!C741</f>
        <v>2</v>
      </c>
      <c r="E741" s="19">
        <f>'Sampling Data'!D741</f>
        <v>0</v>
      </c>
      <c r="F741" s="19">
        <f>'Sampling Data'!E741</f>
        <v>0</v>
      </c>
      <c r="G741" s="19">
        <f>'Sampling Data'!F741</f>
        <v>0</v>
      </c>
      <c r="H741" s="19">
        <f>'Sampling Data'!G741</f>
        <v>0</v>
      </c>
      <c r="I741" s="19">
        <f>'Sampling Data'!H741</f>
        <v>0</v>
      </c>
      <c r="J741" s="19">
        <f>'Sampling Data'!I741</f>
        <v>0</v>
      </c>
      <c r="K741" s="19">
        <f>'Sampling Data'!J741</f>
        <v>0</v>
      </c>
      <c r="L741" s="19">
        <f>'Sampling Data'!K741</f>
        <v>0</v>
      </c>
      <c r="M741" s="19">
        <f>'Sampling Data'!L741</f>
        <v>0</v>
      </c>
      <c r="N741" s="19">
        <f>'Sampling Data'!M741</f>
        <v>0</v>
      </c>
      <c r="O741" s="18">
        <f>'Sampling Data'!N741</f>
        <v>0</v>
      </c>
      <c r="P741" s="18">
        <f>'Sampling Data'!O741</f>
        <v>0</v>
      </c>
      <c r="Q741" s="18">
        <f>'Sampling Data'!P741</f>
        <v>23</v>
      </c>
      <c r="R741" s="18">
        <f>'Sampling Data'!AJ741</f>
        <v>0</v>
      </c>
      <c r="S741" s="112"/>
      <c r="T741" s="112"/>
      <c r="U741" s="113"/>
      <c r="V741" s="113"/>
      <c r="W741" s="112"/>
      <c r="X741" s="112"/>
      <c r="Y741" s="112"/>
      <c r="Z741" s="112"/>
      <c r="AA741" s="15"/>
      <c r="AB741" s="15"/>
      <c r="AC741" s="15"/>
      <c r="AD741" s="15"/>
      <c r="AE741" s="114" t="str">
        <f>IF(NOT(ISBLANK(Audit[[#This Row],[Audit Winning Candidate]])), Audit[[#This Row],[Audit Winning Candidate]]-Audit[[#This Row],[Winning Candidate]], "")</f>
        <v/>
      </c>
      <c r="AF741" s="18" t="str">
        <f>IF(NOT(ISBLANK(Audit[[#This Row],[Audit Losing Candidate]])), Audit[[#This Row],[Audit Losing Candidate]]-Audit[[#This Row],[Losing Candidate]], "")</f>
        <v/>
      </c>
      <c r="AG741" s="18" t="str">
        <f>IF(NOT(ISBLANK(Audit[[#This Row],[Audit Candidate 3]])), Audit[[#This Row],[Audit Candidate 3]]-Audit[[#This Row],[Candidate 3]], "")</f>
        <v/>
      </c>
      <c r="AH741" s="18" t="str">
        <f>IF(NOT(ISBLANK(Audit[[#This Row],[Audit Candidate 4]])),Audit[[#This Row],[Audit Candidate 4]]-Audit[[#This Row],[Candidate 4]], "")</f>
        <v/>
      </c>
      <c r="AI741" s="18" t="str">
        <f>IF(NOT(ISBLANK(Audit[[#This Row],[Audit Candidate 5]])), Audit[[#This Row],[Audit Candidate 5]]-Audit[[#This Row],[Candidate 5]], "")</f>
        <v/>
      </c>
      <c r="AJ741" s="18" t="str">
        <f>IF(NOT(ISBLANK(Audit[[#This Row],[Audit Candidate 6]])), Audit[[#This Row],[Audit Candidate 6]]-Audit[[#This Row],[Candidate 6]], "")</f>
        <v/>
      </c>
      <c r="AK741" s="18" t="str">
        <f>IF(NOT(ISBLANK(Audit[[#This Row],[Audit Candidate 7]])), Audit[[#This Row],[Audit Candidate 7]]-Audit[[#This Row],[Candidate 7]], "")</f>
        <v/>
      </c>
      <c r="AL741" s="18" t="str">
        <f>IF(NOT(ISBLANK(Audit[[#This Row],[Audit Candidate 8]])), Audit[[#This Row],[Audit Candidate 8]]-Audit[[#This Row],[Candidate 8]], "")</f>
        <v/>
      </c>
      <c r="AM741" s="18" t="str">
        <f>IF(NOT(ISBLANK(Audit[[#This Row],[Audit Candidate 9]])), Audit[[#This Row],[Audit Candidate 9]]-Audit[[#This Row],[Candidate 9]], "")</f>
        <v/>
      </c>
      <c r="AN741" s="18" t="str">
        <f>IF(NOT(ISBLANK(Audit[[#This Row],[Audit Candidate 10]])), Audit[[#This Row],[Audit Candidate 10]]-Audit[[#This Row],[Candidate 10]], "")</f>
        <v/>
      </c>
      <c r="AO741" s="18" t="str">
        <f>IF(NOT(ISBLANK(Audit[[#This Row],[Audit Candidate 11]])), Audit[[#This Row],[Audit Candidate 11]]-Audit[[#This Row],[Candidate 11]], "")</f>
        <v/>
      </c>
      <c r="AP741" s="18" t="str">
        <f>IF(NOT(ISBLANK(Audit[[#This Row],[Audit Candidate 12]])), Audit[[#This Row],[Audit Candidate 12]]-Audit[[#This Row],[Candidate 12]], "")</f>
        <v/>
      </c>
      <c r="AQ741" s="18">
        <f>SUMIF(Audit[[#This Row],[Difference Winner]:[Difference Candidate 12]], "&gt;0")</f>
        <v>0</v>
      </c>
      <c r="AR741" s="18">
        <f>SUM(Audit[[#This Row],[Difference Winner]:[Difference Candidate 12]])</f>
        <v>0</v>
      </c>
      <c r="AS741" s="18">
        <f>IF(Audit[[#This Row],[Times p Drawn - With Replacement]]&gt;0, IF(Audit[[#This Row],[Canceled Differences]]&lt;0, Audit[[#This Row],[Max Differences]]+ABS(Audit[[#This Row],[Canceled Differences]]), Audit[[#This Row],[Max Differences]]), 0)</f>
        <v>0</v>
      </c>
      <c r="AT741" s="18">
        <f>'Sampling Data'!AB741</f>
        <v>1.3192197757326382E-3</v>
      </c>
      <c r="AU741" s="18">
        <f>IF(
      SUM(Audit[[#This Row],[Audit Losing Candidate]:[Audit Candidate 12]])
      &lt;&gt;0,
      (Audit[[#This Row],[Winning Candidate]]-Audit[[#This Row],[Losing Candidate]]-(Audit[[#This Row],[Audit Winning Candidate]]-Audit[[#This Row],[Audit Losing Candidate]]))/(Audit[[#Totals],[Winning Candidate]]-Audit[[#Totals],[Losing Candidate]]),
      0
)</f>
        <v>0</v>
      </c>
      <c r="AV7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8">
        <f>IF(Audit[[#This Row],[Max Relative Error (ep)]] = 0, 0, Audit[[#This Row],[Max Relative Error (ep)]]/Audit[[#This Row],[Error Bound (up) - Max. possible relative overstatement]])</f>
        <v>0</v>
      </c>
      <c r="BH7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1" s="18">
        <f t="shared" si="12"/>
        <v>1</v>
      </c>
      <c r="BJ741" s="18">
        <f>PRODUCT($BI$5:BI741)</f>
        <v>0.32656797278968008</v>
      </c>
      <c r="BK741" s="20">
        <f>1 - Audit[[#This Row],[K-M P Value]]</f>
        <v>0.67343202721031992</v>
      </c>
      <c r="BL741" s="18" t="str">
        <f>IF(Audit[[#This Row],[K-M P Value]]&gt;1-'General Info'!$B$12,"Continue", "Stop")</f>
        <v>Continue</v>
      </c>
      <c r="BM741" s="23" t="b">
        <f>IF(Audit[[#This Row],[Status - Continue or stop audit]] = "Continue", TRUE, IF(BL740 = "Continue", TRUE, FALSE))</f>
        <v>1</v>
      </c>
      <c r="BN741" s="23"/>
    </row>
    <row r="742" spans="1:66" ht="15" hidden="1" customHeight="1" x14ac:dyDescent="0.35">
      <c r="A742" s="18" t="str">
        <f>'Sampling Data'!AI742</f>
        <v/>
      </c>
      <c r="B742" s="18" t="str">
        <f>'Sampling Data'!A742</f>
        <v>2604 CIN 26-D   (ED)</v>
      </c>
      <c r="C742" s="18">
        <f>'Sampling Data'!B742</f>
        <v>4</v>
      </c>
      <c r="D742" s="18">
        <f>'Sampling Data'!C742</f>
        <v>1</v>
      </c>
      <c r="E742" s="19">
        <f>'Sampling Data'!D742</f>
        <v>0</v>
      </c>
      <c r="F742" s="19">
        <f>'Sampling Data'!E742</f>
        <v>0</v>
      </c>
      <c r="G742" s="19">
        <f>'Sampling Data'!F742</f>
        <v>0</v>
      </c>
      <c r="H742" s="19">
        <f>'Sampling Data'!G742</f>
        <v>0</v>
      </c>
      <c r="I742" s="19">
        <f>'Sampling Data'!H742</f>
        <v>0</v>
      </c>
      <c r="J742" s="19">
        <f>'Sampling Data'!I742</f>
        <v>0</v>
      </c>
      <c r="K742" s="19">
        <f>'Sampling Data'!J742</f>
        <v>0</v>
      </c>
      <c r="L742" s="19">
        <f>'Sampling Data'!K742</f>
        <v>0</v>
      </c>
      <c r="M742" s="19">
        <f>'Sampling Data'!L742</f>
        <v>0</v>
      </c>
      <c r="N742" s="19">
        <f>'Sampling Data'!M742</f>
        <v>0</v>
      </c>
      <c r="O742" s="18">
        <f>'Sampling Data'!N742</f>
        <v>0</v>
      </c>
      <c r="P742" s="18">
        <f>'Sampling Data'!O742</f>
        <v>0</v>
      </c>
      <c r="Q742" s="18">
        <f>'Sampling Data'!P742</f>
        <v>5</v>
      </c>
      <c r="R742" s="18">
        <f>'Sampling Data'!AJ742</f>
        <v>0</v>
      </c>
      <c r="S742" s="112"/>
      <c r="T742" s="112"/>
      <c r="U742" s="113"/>
      <c r="V742" s="113"/>
      <c r="W742" s="112"/>
      <c r="X742" s="112"/>
      <c r="Y742" s="112"/>
      <c r="Z742" s="112"/>
      <c r="AA742" s="15"/>
      <c r="AB742" s="15"/>
      <c r="AC742" s="15"/>
      <c r="AD742" s="15"/>
      <c r="AE742" s="114" t="str">
        <f>IF(NOT(ISBLANK(Audit[[#This Row],[Audit Winning Candidate]])), Audit[[#This Row],[Audit Winning Candidate]]-Audit[[#This Row],[Winning Candidate]], "")</f>
        <v/>
      </c>
      <c r="AF742" s="18" t="str">
        <f>IF(NOT(ISBLANK(Audit[[#This Row],[Audit Losing Candidate]])), Audit[[#This Row],[Audit Losing Candidate]]-Audit[[#This Row],[Losing Candidate]], "")</f>
        <v/>
      </c>
      <c r="AG742" s="18" t="str">
        <f>IF(NOT(ISBLANK(Audit[[#This Row],[Audit Candidate 3]])), Audit[[#This Row],[Audit Candidate 3]]-Audit[[#This Row],[Candidate 3]], "")</f>
        <v/>
      </c>
      <c r="AH742" s="18" t="str">
        <f>IF(NOT(ISBLANK(Audit[[#This Row],[Audit Candidate 4]])),Audit[[#This Row],[Audit Candidate 4]]-Audit[[#This Row],[Candidate 4]], "")</f>
        <v/>
      </c>
      <c r="AI742" s="18" t="str">
        <f>IF(NOT(ISBLANK(Audit[[#This Row],[Audit Candidate 5]])), Audit[[#This Row],[Audit Candidate 5]]-Audit[[#This Row],[Candidate 5]], "")</f>
        <v/>
      </c>
      <c r="AJ742" s="18" t="str">
        <f>IF(NOT(ISBLANK(Audit[[#This Row],[Audit Candidate 6]])), Audit[[#This Row],[Audit Candidate 6]]-Audit[[#This Row],[Candidate 6]], "")</f>
        <v/>
      </c>
      <c r="AK742" s="18" t="str">
        <f>IF(NOT(ISBLANK(Audit[[#This Row],[Audit Candidate 7]])), Audit[[#This Row],[Audit Candidate 7]]-Audit[[#This Row],[Candidate 7]], "")</f>
        <v/>
      </c>
      <c r="AL742" s="18" t="str">
        <f>IF(NOT(ISBLANK(Audit[[#This Row],[Audit Candidate 8]])), Audit[[#This Row],[Audit Candidate 8]]-Audit[[#This Row],[Candidate 8]], "")</f>
        <v/>
      </c>
      <c r="AM742" s="18" t="str">
        <f>IF(NOT(ISBLANK(Audit[[#This Row],[Audit Candidate 9]])), Audit[[#This Row],[Audit Candidate 9]]-Audit[[#This Row],[Candidate 9]], "")</f>
        <v/>
      </c>
      <c r="AN742" s="18" t="str">
        <f>IF(NOT(ISBLANK(Audit[[#This Row],[Audit Candidate 10]])), Audit[[#This Row],[Audit Candidate 10]]-Audit[[#This Row],[Candidate 10]], "")</f>
        <v/>
      </c>
      <c r="AO742" s="18" t="str">
        <f>IF(NOT(ISBLANK(Audit[[#This Row],[Audit Candidate 11]])), Audit[[#This Row],[Audit Candidate 11]]-Audit[[#This Row],[Candidate 11]], "")</f>
        <v/>
      </c>
      <c r="AP742" s="18" t="str">
        <f>IF(NOT(ISBLANK(Audit[[#This Row],[Audit Candidate 12]])), Audit[[#This Row],[Audit Candidate 12]]-Audit[[#This Row],[Candidate 12]], "")</f>
        <v/>
      </c>
      <c r="AQ742" s="18">
        <f>SUMIF(Audit[[#This Row],[Difference Winner]:[Difference Candidate 12]], "&gt;0")</f>
        <v>0</v>
      </c>
      <c r="AR742" s="18">
        <f>SUM(Audit[[#This Row],[Difference Winner]:[Difference Candidate 12]])</f>
        <v>0</v>
      </c>
      <c r="AS742" s="18">
        <f>IF(Audit[[#This Row],[Times p Drawn - With Replacement]]&gt;0, IF(Audit[[#This Row],[Canceled Differences]]&lt;0, Audit[[#This Row],[Max Differences]]+ABS(Audit[[#This Row],[Canceled Differences]]), Audit[[#This Row],[Max Differences]]), 0)</f>
        <v>0</v>
      </c>
      <c r="AT742" s="18">
        <f>'Sampling Data'!AB742</f>
        <v>2.5127995728240724E-4</v>
      </c>
      <c r="AU742" s="18">
        <f>IF(
      SUM(Audit[[#This Row],[Audit Losing Candidate]:[Audit Candidate 12]])
      &lt;&gt;0,
      (Audit[[#This Row],[Winning Candidate]]-Audit[[#This Row],[Losing Candidate]]-(Audit[[#This Row],[Audit Winning Candidate]]-Audit[[#This Row],[Audit Losing Candidate]]))/(Audit[[#Totals],[Winning Candidate]]-Audit[[#Totals],[Losing Candidate]]),
      0
)</f>
        <v>0</v>
      </c>
      <c r="AV7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8">
        <f>IF(Audit[[#This Row],[Max Relative Error (ep)]] = 0, 0, Audit[[#This Row],[Max Relative Error (ep)]]/Audit[[#This Row],[Error Bound (up) - Max. possible relative overstatement]])</f>
        <v>0</v>
      </c>
      <c r="BH7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2" s="18">
        <f t="shared" si="12"/>
        <v>1</v>
      </c>
      <c r="BJ742" s="18">
        <f>PRODUCT($BI$5:BI742)</f>
        <v>0.32656797278968008</v>
      </c>
      <c r="BK742" s="20">
        <f>1 - Audit[[#This Row],[K-M P Value]]</f>
        <v>0.67343202721031992</v>
      </c>
      <c r="BL742" s="18" t="str">
        <f>IF(Audit[[#This Row],[K-M P Value]]&gt;1-'General Info'!$B$12,"Continue", "Stop")</f>
        <v>Continue</v>
      </c>
      <c r="BM742" s="23" t="b">
        <f>IF(Audit[[#This Row],[Status - Continue or stop audit]] = "Continue", TRUE, IF(BL741 = "Continue", TRUE, FALSE))</f>
        <v>1</v>
      </c>
      <c r="BN742" s="23"/>
    </row>
    <row r="743" spans="1:66" ht="15" hidden="1" customHeight="1" x14ac:dyDescent="0.35">
      <c r="A743" s="18" t="str">
        <f>'Sampling Data'!AI743</f>
        <v/>
      </c>
      <c r="B743" s="18" t="str">
        <f>'Sampling Data'!A743</f>
        <v>2605 CIN 26-E   (ED)</v>
      </c>
      <c r="C743" s="18">
        <f>'Sampling Data'!B743</f>
        <v>3</v>
      </c>
      <c r="D743" s="18">
        <f>'Sampling Data'!C743</f>
        <v>1</v>
      </c>
      <c r="E743" s="19">
        <f>'Sampling Data'!D743</f>
        <v>0</v>
      </c>
      <c r="F743" s="19">
        <f>'Sampling Data'!E743</f>
        <v>0</v>
      </c>
      <c r="G743" s="19">
        <f>'Sampling Data'!F743</f>
        <v>0</v>
      </c>
      <c r="H743" s="19">
        <f>'Sampling Data'!G743</f>
        <v>0</v>
      </c>
      <c r="I743" s="19">
        <f>'Sampling Data'!H743</f>
        <v>0</v>
      </c>
      <c r="J743" s="19">
        <f>'Sampling Data'!I743</f>
        <v>0</v>
      </c>
      <c r="K743" s="19">
        <f>'Sampling Data'!J743</f>
        <v>0</v>
      </c>
      <c r="L743" s="19">
        <f>'Sampling Data'!K743</f>
        <v>0</v>
      </c>
      <c r="M743" s="19">
        <f>'Sampling Data'!L743</f>
        <v>0</v>
      </c>
      <c r="N743" s="19">
        <f>'Sampling Data'!M743</f>
        <v>0</v>
      </c>
      <c r="O743" s="18">
        <f>'Sampling Data'!N743</f>
        <v>0</v>
      </c>
      <c r="P743" s="18">
        <f>'Sampling Data'!O743</f>
        <v>0</v>
      </c>
      <c r="Q743" s="18">
        <f>'Sampling Data'!P743</f>
        <v>4</v>
      </c>
      <c r="R743" s="18">
        <f>'Sampling Data'!AJ743</f>
        <v>0</v>
      </c>
      <c r="S743" s="112"/>
      <c r="T743" s="112"/>
      <c r="U743" s="113"/>
      <c r="V743" s="113"/>
      <c r="W743" s="112"/>
      <c r="X743" s="112"/>
      <c r="Y743" s="112"/>
      <c r="Z743" s="112"/>
      <c r="AA743" s="15"/>
      <c r="AB743" s="15"/>
      <c r="AC743" s="15"/>
      <c r="AD743" s="15"/>
      <c r="AE743" s="114" t="str">
        <f>IF(NOT(ISBLANK(Audit[[#This Row],[Audit Winning Candidate]])), Audit[[#This Row],[Audit Winning Candidate]]-Audit[[#This Row],[Winning Candidate]], "")</f>
        <v/>
      </c>
      <c r="AF743" s="18" t="str">
        <f>IF(NOT(ISBLANK(Audit[[#This Row],[Audit Losing Candidate]])), Audit[[#This Row],[Audit Losing Candidate]]-Audit[[#This Row],[Losing Candidate]], "")</f>
        <v/>
      </c>
      <c r="AG743" s="18" t="str">
        <f>IF(NOT(ISBLANK(Audit[[#This Row],[Audit Candidate 3]])), Audit[[#This Row],[Audit Candidate 3]]-Audit[[#This Row],[Candidate 3]], "")</f>
        <v/>
      </c>
      <c r="AH743" s="18" t="str">
        <f>IF(NOT(ISBLANK(Audit[[#This Row],[Audit Candidate 4]])),Audit[[#This Row],[Audit Candidate 4]]-Audit[[#This Row],[Candidate 4]], "")</f>
        <v/>
      </c>
      <c r="AI743" s="18" t="str">
        <f>IF(NOT(ISBLANK(Audit[[#This Row],[Audit Candidate 5]])), Audit[[#This Row],[Audit Candidate 5]]-Audit[[#This Row],[Candidate 5]], "")</f>
        <v/>
      </c>
      <c r="AJ743" s="18" t="str">
        <f>IF(NOT(ISBLANK(Audit[[#This Row],[Audit Candidate 6]])), Audit[[#This Row],[Audit Candidate 6]]-Audit[[#This Row],[Candidate 6]], "")</f>
        <v/>
      </c>
      <c r="AK743" s="18" t="str">
        <f>IF(NOT(ISBLANK(Audit[[#This Row],[Audit Candidate 7]])), Audit[[#This Row],[Audit Candidate 7]]-Audit[[#This Row],[Candidate 7]], "")</f>
        <v/>
      </c>
      <c r="AL743" s="18" t="str">
        <f>IF(NOT(ISBLANK(Audit[[#This Row],[Audit Candidate 8]])), Audit[[#This Row],[Audit Candidate 8]]-Audit[[#This Row],[Candidate 8]], "")</f>
        <v/>
      </c>
      <c r="AM743" s="18" t="str">
        <f>IF(NOT(ISBLANK(Audit[[#This Row],[Audit Candidate 9]])), Audit[[#This Row],[Audit Candidate 9]]-Audit[[#This Row],[Candidate 9]], "")</f>
        <v/>
      </c>
      <c r="AN743" s="18" t="str">
        <f>IF(NOT(ISBLANK(Audit[[#This Row],[Audit Candidate 10]])), Audit[[#This Row],[Audit Candidate 10]]-Audit[[#This Row],[Candidate 10]], "")</f>
        <v/>
      </c>
      <c r="AO743" s="18" t="str">
        <f>IF(NOT(ISBLANK(Audit[[#This Row],[Audit Candidate 11]])), Audit[[#This Row],[Audit Candidate 11]]-Audit[[#This Row],[Candidate 11]], "")</f>
        <v/>
      </c>
      <c r="AP743" s="18" t="str">
        <f>IF(NOT(ISBLANK(Audit[[#This Row],[Audit Candidate 12]])), Audit[[#This Row],[Audit Candidate 12]]-Audit[[#This Row],[Candidate 12]], "")</f>
        <v/>
      </c>
      <c r="AQ743" s="18">
        <f>SUMIF(Audit[[#This Row],[Difference Winner]:[Difference Candidate 12]], "&gt;0")</f>
        <v>0</v>
      </c>
      <c r="AR743" s="18">
        <f>SUM(Audit[[#This Row],[Difference Winner]:[Difference Candidate 12]])</f>
        <v>0</v>
      </c>
      <c r="AS743" s="18">
        <f>IF(Audit[[#This Row],[Times p Drawn - With Replacement]]&gt;0, IF(Audit[[#This Row],[Canceled Differences]]&lt;0, Audit[[#This Row],[Max Differences]]+ABS(Audit[[#This Row],[Canceled Differences]]), Audit[[#This Row],[Max Differences]]), 0)</f>
        <v>0</v>
      </c>
      <c r="AT743" s="18">
        <f>'Sampling Data'!AB743</f>
        <v>1.8845996796180544E-4</v>
      </c>
      <c r="AU743" s="18">
        <f>IF(
      SUM(Audit[[#This Row],[Audit Losing Candidate]:[Audit Candidate 12]])
      &lt;&gt;0,
      (Audit[[#This Row],[Winning Candidate]]-Audit[[#This Row],[Losing Candidate]]-(Audit[[#This Row],[Audit Winning Candidate]]-Audit[[#This Row],[Audit Losing Candidate]]))/(Audit[[#Totals],[Winning Candidate]]-Audit[[#Totals],[Losing Candidate]]),
      0
)</f>
        <v>0</v>
      </c>
      <c r="AV7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8">
        <f>IF(Audit[[#This Row],[Max Relative Error (ep)]] = 0, 0, Audit[[#This Row],[Max Relative Error (ep)]]/Audit[[#This Row],[Error Bound (up) - Max. possible relative overstatement]])</f>
        <v>0</v>
      </c>
      <c r="BH7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3" s="18">
        <f t="shared" si="12"/>
        <v>1</v>
      </c>
      <c r="BJ743" s="18">
        <f>PRODUCT($BI$5:BI743)</f>
        <v>0.32656797278968008</v>
      </c>
      <c r="BK743" s="20">
        <f>1 - Audit[[#This Row],[K-M P Value]]</f>
        <v>0.67343202721031992</v>
      </c>
      <c r="BL743" s="18" t="str">
        <f>IF(Audit[[#This Row],[K-M P Value]]&gt;1-'General Info'!$B$12,"Continue", "Stop")</f>
        <v>Continue</v>
      </c>
      <c r="BM743" s="23" t="b">
        <f>IF(Audit[[#This Row],[Status - Continue or stop audit]] = "Continue", TRUE, IF(BL742 = "Continue", TRUE, FALSE))</f>
        <v>1</v>
      </c>
      <c r="BN743" s="23"/>
    </row>
    <row r="744" spans="1:66" ht="15" hidden="1" customHeight="1" x14ac:dyDescent="0.35">
      <c r="A744" s="18" t="str">
        <f>'Sampling Data'!AI744</f>
        <v/>
      </c>
      <c r="B744" s="18" t="str">
        <f>'Sampling Data'!A744</f>
        <v>2606 CIN 26-F   (ED)</v>
      </c>
      <c r="C744" s="18">
        <f>'Sampling Data'!B744</f>
        <v>3</v>
      </c>
      <c r="D744" s="18">
        <f>'Sampling Data'!C744</f>
        <v>1</v>
      </c>
      <c r="E744" s="19">
        <f>'Sampling Data'!D744</f>
        <v>0</v>
      </c>
      <c r="F744" s="19">
        <f>'Sampling Data'!E744</f>
        <v>0</v>
      </c>
      <c r="G744" s="19">
        <f>'Sampling Data'!F744</f>
        <v>0</v>
      </c>
      <c r="H744" s="19">
        <f>'Sampling Data'!G744</f>
        <v>0</v>
      </c>
      <c r="I744" s="19">
        <f>'Sampling Data'!H744</f>
        <v>0</v>
      </c>
      <c r="J744" s="19">
        <f>'Sampling Data'!I744</f>
        <v>0</v>
      </c>
      <c r="K744" s="19">
        <f>'Sampling Data'!J744</f>
        <v>0</v>
      </c>
      <c r="L744" s="19">
        <f>'Sampling Data'!K744</f>
        <v>0</v>
      </c>
      <c r="M744" s="19">
        <f>'Sampling Data'!L744</f>
        <v>0</v>
      </c>
      <c r="N744" s="19">
        <f>'Sampling Data'!M744</f>
        <v>0</v>
      </c>
      <c r="O744" s="18">
        <f>'Sampling Data'!N744</f>
        <v>0</v>
      </c>
      <c r="P744" s="18">
        <f>'Sampling Data'!O744</f>
        <v>0</v>
      </c>
      <c r="Q744" s="18">
        <f>'Sampling Data'!P744</f>
        <v>4</v>
      </c>
      <c r="R744" s="18">
        <f>'Sampling Data'!AJ744</f>
        <v>0</v>
      </c>
      <c r="S744" s="112"/>
      <c r="T744" s="112"/>
      <c r="U744" s="113"/>
      <c r="V744" s="113"/>
      <c r="W744" s="112"/>
      <c r="X744" s="112"/>
      <c r="Y744" s="112"/>
      <c r="Z744" s="112"/>
      <c r="AA744" s="15"/>
      <c r="AB744" s="15"/>
      <c r="AC744" s="15"/>
      <c r="AD744" s="15"/>
      <c r="AE744" s="114" t="str">
        <f>IF(NOT(ISBLANK(Audit[[#This Row],[Audit Winning Candidate]])), Audit[[#This Row],[Audit Winning Candidate]]-Audit[[#This Row],[Winning Candidate]], "")</f>
        <v/>
      </c>
      <c r="AF744" s="18" t="str">
        <f>IF(NOT(ISBLANK(Audit[[#This Row],[Audit Losing Candidate]])), Audit[[#This Row],[Audit Losing Candidate]]-Audit[[#This Row],[Losing Candidate]], "")</f>
        <v/>
      </c>
      <c r="AG744" s="18" t="str">
        <f>IF(NOT(ISBLANK(Audit[[#This Row],[Audit Candidate 3]])), Audit[[#This Row],[Audit Candidate 3]]-Audit[[#This Row],[Candidate 3]], "")</f>
        <v/>
      </c>
      <c r="AH744" s="18" t="str">
        <f>IF(NOT(ISBLANK(Audit[[#This Row],[Audit Candidate 4]])),Audit[[#This Row],[Audit Candidate 4]]-Audit[[#This Row],[Candidate 4]], "")</f>
        <v/>
      </c>
      <c r="AI744" s="18" t="str">
        <f>IF(NOT(ISBLANK(Audit[[#This Row],[Audit Candidate 5]])), Audit[[#This Row],[Audit Candidate 5]]-Audit[[#This Row],[Candidate 5]], "")</f>
        <v/>
      </c>
      <c r="AJ744" s="18" t="str">
        <f>IF(NOT(ISBLANK(Audit[[#This Row],[Audit Candidate 6]])), Audit[[#This Row],[Audit Candidate 6]]-Audit[[#This Row],[Candidate 6]], "")</f>
        <v/>
      </c>
      <c r="AK744" s="18" t="str">
        <f>IF(NOT(ISBLANK(Audit[[#This Row],[Audit Candidate 7]])), Audit[[#This Row],[Audit Candidate 7]]-Audit[[#This Row],[Candidate 7]], "")</f>
        <v/>
      </c>
      <c r="AL744" s="18" t="str">
        <f>IF(NOT(ISBLANK(Audit[[#This Row],[Audit Candidate 8]])), Audit[[#This Row],[Audit Candidate 8]]-Audit[[#This Row],[Candidate 8]], "")</f>
        <v/>
      </c>
      <c r="AM744" s="18" t="str">
        <f>IF(NOT(ISBLANK(Audit[[#This Row],[Audit Candidate 9]])), Audit[[#This Row],[Audit Candidate 9]]-Audit[[#This Row],[Candidate 9]], "")</f>
        <v/>
      </c>
      <c r="AN744" s="18" t="str">
        <f>IF(NOT(ISBLANK(Audit[[#This Row],[Audit Candidate 10]])), Audit[[#This Row],[Audit Candidate 10]]-Audit[[#This Row],[Candidate 10]], "")</f>
        <v/>
      </c>
      <c r="AO744" s="18" t="str">
        <f>IF(NOT(ISBLANK(Audit[[#This Row],[Audit Candidate 11]])), Audit[[#This Row],[Audit Candidate 11]]-Audit[[#This Row],[Candidate 11]], "")</f>
        <v/>
      </c>
      <c r="AP744" s="18" t="str">
        <f>IF(NOT(ISBLANK(Audit[[#This Row],[Audit Candidate 12]])), Audit[[#This Row],[Audit Candidate 12]]-Audit[[#This Row],[Candidate 12]], "")</f>
        <v/>
      </c>
      <c r="AQ744" s="18">
        <f>SUMIF(Audit[[#This Row],[Difference Winner]:[Difference Candidate 12]], "&gt;0")</f>
        <v>0</v>
      </c>
      <c r="AR744" s="18">
        <f>SUM(Audit[[#This Row],[Difference Winner]:[Difference Candidate 12]])</f>
        <v>0</v>
      </c>
      <c r="AS744" s="18">
        <f>IF(Audit[[#This Row],[Times p Drawn - With Replacement]]&gt;0, IF(Audit[[#This Row],[Canceled Differences]]&lt;0, Audit[[#This Row],[Max Differences]]+ABS(Audit[[#This Row],[Canceled Differences]]), Audit[[#This Row],[Max Differences]]), 0)</f>
        <v>0</v>
      </c>
      <c r="AT744" s="18">
        <f>'Sampling Data'!AB744</f>
        <v>1.8845996796180544E-4</v>
      </c>
      <c r="AU744" s="18">
        <f>IF(
      SUM(Audit[[#This Row],[Audit Losing Candidate]:[Audit Candidate 12]])
      &lt;&gt;0,
      (Audit[[#This Row],[Winning Candidate]]-Audit[[#This Row],[Losing Candidate]]-(Audit[[#This Row],[Audit Winning Candidate]]-Audit[[#This Row],[Audit Losing Candidate]]))/(Audit[[#Totals],[Winning Candidate]]-Audit[[#Totals],[Losing Candidate]]),
      0
)</f>
        <v>0</v>
      </c>
      <c r="AV7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8">
        <f>IF(Audit[[#This Row],[Max Relative Error (ep)]] = 0, 0, Audit[[#This Row],[Max Relative Error (ep)]]/Audit[[#This Row],[Error Bound (up) - Max. possible relative overstatement]])</f>
        <v>0</v>
      </c>
      <c r="BH7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4" s="18">
        <f t="shared" si="12"/>
        <v>1</v>
      </c>
      <c r="BJ744" s="18">
        <f>PRODUCT($BI$5:BI744)</f>
        <v>0.32656797278968008</v>
      </c>
      <c r="BK744" s="20">
        <f>1 - Audit[[#This Row],[K-M P Value]]</f>
        <v>0.67343202721031992</v>
      </c>
      <c r="BL744" s="18" t="str">
        <f>IF(Audit[[#This Row],[K-M P Value]]&gt;1-'General Info'!$B$12,"Continue", "Stop")</f>
        <v>Continue</v>
      </c>
      <c r="BM744" s="23" t="b">
        <f>IF(Audit[[#This Row],[Status - Continue or stop audit]] = "Continue", TRUE, IF(BL743 = "Continue", TRUE, FALSE))</f>
        <v>1</v>
      </c>
      <c r="BN744" s="23"/>
    </row>
    <row r="745" spans="1:66" ht="15" hidden="1" customHeight="1" x14ac:dyDescent="0.35">
      <c r="A745" s="18" t="str">
        <f>'Sampling Data'!AI745</f>
        <v/>
      </c>
      <c r="B745" s="18" t="str">
        <f>'Sampling Data'!A745</f>
        <v>2607 CIN 26-G   (ED)</v>
      </c>
      <c r="C745" s="18">
        <f>'Sampling Data'!B745</f>
        <v>31</v>
      </c>
      <c r="D745" s="18">
        <f>'Sampling Data'!C745</f>
        <v>6</v>
      </c>
      <c r="E745" s="19">
        <f>'Sampling Data'!D745</f>
        <v>0</v>
      </c>
      <c r="F745" s="19">
        <f>'Sampling Data'!E745</f>
        <v>0</v>
      </c>
      <c r="G745" s="19">
        <f>'Sampling Data'!F745</f>
        <v>0</v>
      </c>
      <c r="H745" s="19">
        <f>'Sampling Data'!G745</f>
        <v>0</v>
      </c>
      <c r="I745" s="19">
        <f>'Sampling Data'!H745</f>
        <v>0</v>
      </c>
      <c r="J745" s="19">
        <f>'Sampling Data'!I745</f>
        <v>0</v>
      </c>
      <c r="K745" s="19">
        <f>'Sampling Data'!J745</f>
        <v>0</v>
      </c>
      <c r="L745" s="19">
        <f>'Sampling Data'!K745</f>
        <v>0</v>
      </c>
      <c r="M745" s="19">
        <f>'Sampling Data'!L745</f>
        <v>0</v>
      </c>
      <c r="N745" s="19">
        <f>'Sampling Data'!M745</f>
        <v>0</v>
      </c>
      <c r="O745" s="18">
        <f>'Sampling Data'!N745</f>
        <v>0</v>
      </c>
      <c r="P745" s="18">
        <f>'Sampling Data'!O745</f>
        <v>3</v>
      </c>
      <c r="Q745" s="18">
        <f>'Sampling Data'!P745</f>
        <v>40</v>
      </c>
      <c r="R745" s="18">
        <f>'Sampling Data'!AJ745</f>
        <v>0</v>
      </c>
      <c r="S745" s="112"/>
      <c r="T745" s="112"/>
      <c r="U745" s="113"/>
      <c r="V745" s="113"/>
      <c r="W745" s="112"/>
      <c r="X745" s="112"/>
      <c r="Y745" s="112"/>
      <c r="Z745" s="112"/>
      <c r="AA745" s="15"/>
      <c r="AB745" s="15"/>
      <c r="AC745" s="15"/>
      <c r="AD745" s="15"/>
      <c r="AE745" s="114" t="str">
        <f>IF(NOT(ISBLANK(Audit[[#This Row],[Audit Winning Candidate]])), Audit[[#This Row],[Audit Winning Candidate]]-Audit[[#This Row],[Winning Candidate]], "")</f>
        <v/>
      </c>
      <c r="AF745" s="18" t="str">
        <f>IF(NOT(ISBLANK(Audit[[#This Row],[Audit Losing Candidate]])), Audit[[#This Row],[Audit Losing Candidate]]-Audit[[#This Row],[Losing Candidate]], "")</f>
        <v/>
      </c>
      <c r="AG745" s="18" t="str">
        <f>IF(NOT(ISBLANK(Audit[[#This Row],[Audit Candidate 3]])), Audit[[#This Row],[Audit Candidate 3]]-Audit[[#This Row],[Candidate 3]], "")</f>
        <v/>
      </c>
      <c r="AH745" s="18" t="str">
        <f>IF(NOT(ISBLANK(Audit[[#This Row],[Audit Candidate 4]])),Audit[[#This Row],[Audit Candidate 4]]-Audit[[#This Row],[Candidate 4]], "")</f>
        <v/>
      </c>
      <c r="AI745" s="18" t="str">
        <f>IF(NOT(ISBLANK(Audit[[#This Row],[Audit Candidate 5]])), Audit[[#This Row],[Audit Candidate 5]]-Audit[[#This Row],[Candidate 5]], "")</f>
        <v/>
      </c>
      <c r="AJ745" s="18" t="str">
        <f>IF(NOT(ISBLANK(Audit[[#This Row],[Audit Candidate 6]])), Audit[[#This Row],[Audit Candidate 6]]-Audit[[#This Row],[Candidate 6]], "")</f>
        <v/>
      </c>
      <c r="AK745" s="18" t="str">
        <f>IF(NOT(ISBLANK(Audit[[#This Row],[Audit Candidate 7]])), Audit[[#This Row],[Audit Candidate 7]]-Audit[[#This Row],[Candidate 7]], "")</f>
        <v/>
      </c>
      <c r="AL745" s="18" t="str">
        <f>IF(NOT(ISBLANK(Audit[[#This Row],[Audit Candidate 8]])), Audit[[#This Row],[Audit Candidate 8]]-Audit[[#This Row],[Candidate 8]], "")</f>
        <v/>
      </c>
      <c r="AM745" s="18" t="str">
        <f>IF(NOT(ISBLANK(Audit[[#This Row],[Audit Candidate 9]])), Audit[[#This Row],[Audit Candidate 9]]-Audit[[#This Row],[Candidate 9]], "")</f>
        <v/>
      </c>
      <c r="AN745" s="18" t="str">
        <f>IF(NOT(ISBLANK(Audit[[#This Row],[Audit Candidate 10]])), Audit[[#This Row],[Audit Candidate 10]]-Audit[[#This Row],[Candidate 10]], "")</f>
        <v/>
      </c>
      <c r="AO745" s="18" t="str">
        <f>IF(NOT(ISBLANK(Audit[[#This Row],[Audit Candidate 11]])), Audit[[#This Row],[Audit Candidate 11]]-Audit[[#This Row],[Candidate 11]], "")</f>
        <v/>
      </c>
      <c r="AP745" s="18" t="str">
        <f>IF(NOT(ISBLANK(Audit[[#This Row],[Audit Candidate 12]])), Audit[[#This Row],[Audit Candidate 12]]-Audit[[#This Row],[Candidate 12]], "")</f>
        <v/>
      </c>
      <c r="AQ745" s="18">
        <f>SUMIF(Audit[[#This Row],[Difference Winner]:[Difference Candidate 12]], "&gt;0")</f>
        <v>0</v>
      </c>
      <c r="AR745" s="18">
        <f>SUM(Audit[[#This Row],[Difference Winner]:[Difference Candidate 12]])</f>
        <v>0</v>
      </c>
      <c r="AS745" s="18">
        <f>IF(Audit[[#This Row],[Times p Drawn - With Replacement]]&gt;0, IF(Audit[[#This Row],[Canceled Differences]]&lt;0, Audit[[#This Row],[Max Differences]]+ABS(Audit[[#This Row],[Canceled Differences]]), Audit[[#This Row],[Max Differences]]), 0)</f>
        <v>0</v>
      </c>
      <c r="AT745" s="18">
        <f>'Sampling Data'!AB745</f>
        <v>2.0416496529195591E-3</v>
      </c>
      <c r="AU745" s="18">
        <f>IF(
      SUM(Audit[[#This Row],[Audit Losing Candidate]:[Audit Candidate 12]])
      &lt;&gt;0,
      (Audit[[#This Row],[Winning Candidate]]-Audit[[#This Row],[Losing Candidate]]-(Audit[[#This Row],[Audit Winning Candidate]]-Audit[[#This Row],[Audit Losing Candidate]]))/(Audit[[#Totals],[Winning Candidate]]-Audit[[#Totals],[Losing Candidate]]),
      0
)</f>
        <v>0</v>
      </c>
      <c r="AV7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8">
        <f>IF(Audit[[#This Row],[Max Relative Error (ep)]] = 0, 0, Audit[[#This Row],[Max Relative Error (ep)]]/Audit[[#This Row],[Error Bound (up) - Max. possible relative overstatement]])</f>
        <v>0</v>
      </c>
      <c r="BH7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5" s="18">
        <f t="shared" si="12"/>
        <v>1</v>
      </c>
      <c r="BJ745" s="18">
        <f>PRODUCT($BI$5:BI745)</f>
        <v>0.32656797278968008</v>
      </c>
      <c r="BK745" s="20">
        <f>1 - Audit[[#This Row],[K-M P Value]]</f>
        <v>0.67343202721031992</v>
      </c>
      <c r="BL745" s="18" t="str">
        <f>IF(Audit[[#This Row],[K-M P Value]]&gt;1-'General Info'!$B$12,"Continue", "Stop")</f>
        <v>Continue</v>
      </c>
      <c r="BM745" s="23" t="b">
        <f>IF(Audit[[#This Row],[Status - Continue or stop audit]] = "Continue", TRUE, IF(BL744 = "Continue", TRUE, FALSE))</f>
        <v>1</v>
      </c>
      <c r="BN745" s="23"/>
    </row>
    <row r="746" spans="1:66" ht="15" hidden="1" customHeight="1" x14ac:dyDescent="0.35">
      <c r="A746" s="18" t="str">
        <f>'Sampling Data'!AI746</f>
        <v/>
      </c>
      <c r="B746" s="18" t="str">
        <f>'Sampling Data'!A746</f>
        <v>2608 CIN 26-H   (ED)</v>
      </c>
      <c r="C746" s="18">
        <f>'Sampling Data'!B746</f>
        <v>1</v>
      </c>
      <c r="D746" s="18">
        <f>'Sampling Data'!C746</f>
        <v>1</v>
      </c>
      <c r="E746" s="19">
        <f>'Sampling Data'!D746</f>
        <v>0</v>
      </c>
      <c r="F746" s="19">
        <f>'Sampling Data'!E746</f>
        <v>0</v>
      </c>
      <c r="G746" s="19">
        <f>'Sampling Data'!F746</f>
        <v>0</v>
      </c>
      <c r="H746" s="19">
        <f>'Sampling Data'!G746</f>
        <v>0</v>
      </c>
      <c r="I746" s="19">
        <f>'Sampling Data'!H746</f>
        <v>0</v>
      </c>
      <c r="J746" s="19">
        <f>'Sampling Data'!I746</f>
        <v>0</v>
      </c>
      <c r="K746" s="19">
        <f>'Sampling Data'!J746</f>
        <v>0</v>
      </c>
      <c r="L746" s="19">
        <f>'Sampling Data'!K746</f>
        <v>0</v>
      </c>
      <c r="M746" s="19">
        <f>'Sampling Data'!L746</f>
        <v>0</v>
      </c>
      <c r="N746" s="19">
        <f>'Sampling Data'!M746</f>
        <v>0</v>
      </c>
      <c r="O746" s="18">
        <f>'Sampling Data'!N746</f>
        <v>0</v>
      </c>
      <c r="P746" s="18">
        <f>'Sampling Data'!O746</f>
        <v>0</v>
      </c>
      <c r="Q746" s="18">
        <f>'Sampling Data'!P746</f>
        <v>2</v>
      </c>
      <c r="R746" s="18">
        <f>'Sampling Data'!AJ746</f>
        <v>0</v>
      </c>
      <c r="S746" s="112"/>
      <c r="T746" s="112"/>
      <c r="U746" s="113"/>
      <c r="V746" s="113"/>
      <c r="W746" s="112"/>
      <c r="X746" s="112"/>
      <c r="Y746" s="112"/>
      <c r="Z746" s="112"/>
      <c r="AA746" s="15"/>
      <c r="AB746" s="15"/>
      <c r="AC746" s="15"/>
      <c r="AD746" s="15"/>
      <c r="AE746" s="114" t="str">
        <f>IF(NOT(ISBLANK(Audit[[#This Row],[Audit Winning Candidate]])), Audit[[#This Row],[Audit Winning Candidate]]-Audit[[#This Row],[Winning Candidate]], "")</f>
        <v/>
      </c>
      <c r="AF746" s="18" t="str">
        <f>IF(NOT(ISBLANK(Audit[[#This Row],[Audit Losing Candidate]])), Audit[[#This Row],[Audit Losing Candidate]]-Audit[[#This Row],[Losing Candidate]], "")</f>
        <v/>
      </c>
      <c r="AG746" s="18" t="str">
        <f>IF(NOT(ISBLANK(Audit[[#This Row],[Audit Candidate 3]])), Audit[[#This Row],[Audit Candidate 3]]-Audit[[#This Row],[Candidate 3]], "")</f>
        <v/>
      </c>
      <c r="AH746" s="18" t="str">
        <f>IF(NOT(ISBLANK(Audit[[#This Row],[Audit Candidate 4]])),Audit[[#This Row],[Audit Candidate 4]]-Audit[[#This Row],[Candidate 4]], "")</f>
        <v/>
      </c>
      <c r="AI746" s="18" t="str">
        <f>IF(NOT(ISBLANK(Audit[[#This Row],[Audit Candidate 5]])), Audit[[#This Row],[Audit Candidate 5]]-Audit[[#This Row],[Candidate 5]], "")</f>
        <v/>
      </c>
      <c r="AJ746" s="18" t="str">
        <f>IF(NOT(ISBLANK(Audit[[#This Row],[Audit Candidate 6]])), Audit[[#This Row],[Audit Candidate 6]]-Audit[[#This Row],[Candidate 6]], "")</f>
        <v/>
      </c>
      <c r="AK746" s="18" t="str">
        <f>IF(NOT(ISBLANK(Audit[[#This Row],[Audit Candidate 7]])), Audit[[#This Row],[Audit Candidate 7]]-Audit[[#This Row],[Candidate 7]], "")</f>
        <v/>
      </c>
      <c r="AL746" s="18" t="str">
        <f>IF(NOT(ISBLANK(Audit[[#This Row],[Audit Candidate 8]])), Audit[[#This Row],[Audit Candidate 8]]-Audit[[#This Row],[Candidate 8]], "")</f>
        <v/>
      </c>
      <c r="AM746" s="18" t="str">
        <f>IF(NOT(ISBLANK(Audit[[#This Row],[Audit Candidate 9]])), Audit[[#This Row],[Audit Candidate 9]]-Audit[[#This Row],[Candidate 9]], "")</f>
        <v/>
      </c>
      <c r="AN746" s="18" t="str">
        <f>IF(NOT(ISBLANK(Audit[[#This Row],[Audit Candidate 10]])), Audit[[#This Row],[Audit Candidate 10]]-Audit[[#This Row],[Candidate 10]], "")</f>
        <v/>
      </c>
      <c r="AO746" s="18" t="str">
        <f>IF(NOT(ISBLANK(Audit[[#This Row],[Audit Candidate 11]])), Audit[[#This Row],[Audit Candidate 11]]-Audit[[#This Row],[Candidate 11]], "")</f>
        <v/>
      </c>
      <c r="AP746" s="18" t="str">
        <f>IF(NOT(ISBLANK(Audit[[#This Row],[Audit Candidate 12]])), Audit[[#This Row],[Audit Candidate 12]]-Audit[[#This Row],[Candidate 12]], "")</f>
        <v/>
      </c>
      <c r="AQ746" s="18">
        <f>SUMIF(Audit[[#This Row],[Difference Winner]:[Difference Candidate 12]], "&gt;0")</f>
        <v>0</v>
      </c>
      <c r="AR746" s="18">
        <f>SUM(Audit[[#This Row],[Difference Winner]:[Difference Candidate 12]])</f>
        <v>0</v>
      </c>
      <c r="AS746" s="18">
        <f>IF(Audit[[#This Row],[Times p Drawn - With Replacement]]&gt;0, IF(Audit[[#This Row],[Canceled Differences]]&lt;0, Audit[[#This Row],[Max Differences]]+ABS(Audit[[#This Row],[Canceled Differences]]), Audit[[#This Row],[Max Differences]]), 0)</f>
        <v>0</v>
      </c>
      <c r="AT746" s="18">
        <f>'Sampling Data'!AB746</f>
        <v>6.2819989320601809E-5</v>
      </c>
      <c r="AU746" s="18">
        <f>IF(
      SUM(Audit[[#This Row],[Audit Losing Candidate]:[Audit Candidate 12]])
      &lt;&gt;0,
      (Audit[[#This Row],[Winning Candidate]]-Audit[[#This Row],[Losing Candidate]]-(Audit[[#This Row],[Audit Winning Candidate]]-Audit[[#This Row],[Audit Losing Candidate]]))/(Audit[[#Totals],[Winning Candidate]]-Audit[[#Totals],[Losing Candidate]]),
      0
)</f>
        <v>0</v>
      </c>
      <c r="AV7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8">
        <f>IF(Audit[[#This Row],[Max Relative Error (ep)]] = 0, 0, Audit[[#This Row],[Max Relative Error (ep)]]/Audit[[#This Row],[Error Bound (up) - Max. possible relative overstatement]])</f>
        <v>0</v>
      </c>
      <c r="BH7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6" s="18">
        <f t="shared" si="12"/>
        <v>1</v>
      </c>
      <c r="BJ746" s="18">
        <f>PRODUCT($BI$5:BI746)</f>
        <v>0.32656797278968008</v>
      </c>
      <c r="BK746" s="20">
        <f>1 - Audit[[#This Row],[K-M P Value]]</f>
        <v>0.67343202721031992</v>
      </c>
      <c r="BL746" s="18" t="str">
        <f>IF(Audit[[#This Row],[K-M P Value]]&gt;1-'General Info'!$B$12,"Continue", "Stop")</f>
        <v>Continue</v>
      </c>
      <c r="BM746" s="23" t="b">
        <f>IF(Audit[[#This Row],[Status - Continue or stop audit]] = "Continue", TRUE, IF(BL745 = "Continue", TRUE, FALSE))</f>
        <v>1</v>
      </c>
      <c r="BN746" s="23"/>
    </row>
    <row r="747" spans="1:66" ht="15" hidden="1" customHeight="1" x14ac:dyDescent="0.35">
      <c r="A747" s="18" t="str">
        <f>'Sampling Data'!AI747</f>
        <v/>
      </c>
      <c r="B747" s="18" t="str">
        <f>'Sampling Data'!A747</f>
        <v>2609 CIN 26-I   (ED)</v>
      </c>
      <c r="C747" s="18">
        <f>'Sampling Data'!B747</f>
        <v>34</v>
      </c>
      <c r="D747" s="18">
        <f>'Sampling Data'!C747</f>
        <v>7</v>
      </c>
      <c r="E747" s="19">
        <f>'Sampling Data'!D747</f>
        <v>0</v>
      </c>
      <c r="F747" s="19">
        <f>'Sampling Data'!E747</f>
        <v>0</v>
      </c>
      <c r="G747" s="19">
        <f>'Sampling Data'!F747</f>
        <v>0</v>
      </c>
      <c r="H747" s="19">
        <f>'Sampling Data'!G747</f>
        <v>0</v>
      </c>
      <c r="I747" s="19">
        <f>'Sampling Data'!H747</f>
        <v>0</v>
      </c>
      <c r="J747" s="19">
        <f>'Sampling Data'!I747</f>
        <v>0</v>
      </c>
      <c r="K747" s="19">
        <f>'Sampling Data'!J747</f>
        <v>0</v>
      </c>
      <c r="L747" s="19">
        <f>'Sampling Data'!K747</f>
        <v>0</v>
      </c>
      <c r="M747" s="19">
        <f>'Sampling Data'!L747</f>
        <v>0</v>
      </c>
      <c r="N747" s="19">
        <f>'Sampling Data'!M747</f>
        <v>0</v>
      </c>
      <c r="O747" s="18">
        <f>'Sampling Data'!N747</f>
        <v>0</v>
      </c>
      <c r="P747" s="18">
        <f>'Sampling Data'!O747</f>
        <v>0</v>
      </c>
      <c r="Q747" s="18">
        <f>'Sampling Data'!P747</f>
        <v>41</v>
      </c>
      <c r="R747" s="18">
        <f>'Sampling Data'!AJ747</f>
        <v>0</v>
      </c>
      <c r="S747" s="112"/>
      <c r="T747" s="112"/>
      <c r="U747" s="113"/>
      <c r="V747" s="113"/>
      <c r="W747" s="112"/>
      <c r="X747" s="112"/>
      <c r="Y747" s="112"/>
      <c r="Z747" s="112"/>
      <c r="AA747" s="15"/>
      <c r="AB747" s="15"/>
      <c r="AC747" s="15"/>
      <c r="AD747" s="15"/>
      <c r="AE747" s="114" t="str">
        <f>IF(NOT(ISBLANK(Audit[[#This Row],[Audit Winning Candidate]])), Audit[[#This Row],[Audit Winning Candidate]]-Audit[[#This Row],[Winning Candidate]], "")</f>
        <v/>
      </c>
      <c r="AF747" s="18" t="str">
        <f>IF(NOT(ISBLANK(Audit[[#This Row],[Audit Losing Candidate]])), Audit[[#This Row],[Audit Losing Candidate]]-Audit[[#This Row],[Losing Candidate]], "")</f>
        <v/>
      </c>
      <c r="AG747" s="18" t="str">
        <f>IF(NOT(ISBLANK(Audit[[#This Row],[Audit Candidate 3]])), Audit[[#This Row],[Audit Candidate 3]]-Audit[[#This Row],[Candidate 3]], "")</f>
        <v/>
      </c>
      <c r="AH747" s="18" t="str">
        <f>IF(NOT(ISBLANK(Audit[[#This Row],[Audit Candidate 4]])),Audit[[#This Row],[Audit Candidate 4]]-Audit[[#This Row],[Candidate 4]], "")</f>
        <v/>
      </c>
      <c r="AI747" s="18" t="str">
        <f>IF(NOT(ISBLANK(Audit[[#This Row],[Audit Candidate 5]])), Audit[[#This Row],[Audit Candidate 5]]-Audit[[#This Row],[Candidate 5]], "")</f>
        <v/>
      </c>
      <c r="AJ747" s="18" t="str">
        <f>IF(NOT(ISBLANK(Audit[[#This Row],[Audit Candidate 6]])), Audit[[#This Row],[Audit Candidate 6]]-Audit[[#This Row],[Candidate 6]], "")</f>
        <v/>
      </c>
      <c r="AK747" s="18" t="str">
        <f>IF(NOT(ISBLANK(Audit[[#This Row],[Audit Candidate 7]])), Audit[[#This Row],[Audit Candidate 7]]-Audit[[#This Row],[Candidate 7]], "")</f>
        <v/>
      </c>
      <c r="AL747" s="18" t="str">
        <f>IF(NOT(ISBLANK(Audit[[#This Row],[Audit Candidate 8]])), Audit[[#This Row],[Audit Candidate 8]]-Audit[[#This Row],[Candidate 8]], "")</f>
        <v/>
      </c>
      <c r="AM747" s="18" t="str">
        <f>IF(NOT(ISBLANK(Audit[[#This Row],[Audit Candidate 9]])), Audit[[#This Row],[Audit Candidate 9]]-Audit[[#This Row],[Candidate 9]], "")</f>
        <v/>
      </c>
      <c r="AN747" s="18" t="str">
        <f>IF(NOT(ISBLANK(Audit[[#This Row],[Audit Candidate 10]])), Audit[[#This Row],[Audit Candidate 10]]-Audit[[#This Row],[Candidate 10]], "")</f>
        <v/>
      </c>
      <c r="AO747" s="18" t="str">
        <f>IF(NOT(ISBLANK(Audit[[#This Row],[Audit Candidate 11]])), Audit[[#This Row],[Audit Candidate 11]]-Audit[[#This Row],[Candidate 11]], "")</f>
        <v/>
      </c>
      <c r="AP747" s="18" t="str">
        <f>IF(NOT(ISBLANK(Audit[[#This Row],[Audit Candidate 12]])), Audit[[#This Row],[Audit Candidate 12]]-Audit[[#This Row],[Candidate 12]], "")</f>
        <v/>
      </c>
      <c r="AQ747" s="18">
        <f>SUMIF(Audit[[#This Row],[Difference Winner]:[Difference Candidate 12]], "&gt;0")</f>
        <v>0</v>
      </c>
      <c r="AR747" s="18">
        <f>SUM(Audit[[#This Row],[Difference Winner]:[Difference Candidate 12]])</f>
        <v>0</v>
      </c>
      <c r="AS747" s="18">
        <f>IF(Audit[[#This Row],[Times p Drawn - With Replacement]]&gt;0, IF(Audit[[#This Row],[Canceled Differences]]&lt;0, Audit[[#This Row],[Max Differences]]+ABS(Audit[[#This Row],[Canceled Differences]]), Audit[[#This Row],[Max Differences]]), 0)</f>
        <v>0</v>
      </c>
      <c r="AT747" s="18">
        <f>'Sampling Data'!AB747</f>
        <v>2.1358796369004619E-3</v>
      </c>
      <c r="AU747" s="18">
        <f>IF(
      SUM(Audit[[#This Row],[Audit Losing Candidate]:[Audit Candidate 12]])
      &lt;&gt;0,
      (Audit[[#This Row],[Winning Candidate]]-Audit[[#This Row],[Losing Candidate]]-(Audit[[#This Row],[Audit Winning Candidate]]-Audit[[#This Row],[Audit Losing Candidate]]))/(Audit[[#Totals],[Winning Candidate]]-Audit[[#Totals],[Losing Candidate]]),
      0
)</f>
        <v>0</v>
      </c>
      <c r="AV7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8">
        <f>IF(Audit[[#This Row],[Max Relative Error (ep)]] = 0, 0, Audit[[#This Row],[Max Relative Error (ep)]]/Audit[[#This Row],[Error Bound (up) - Max. possible relative overstatement]])</f>
        <v>0</v>
      </c>
      <c r="BH7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7" s="18">
        <f t="shared" si="12"/>
        <v>1</v>
      </c>
      <c r="BJ747" s="18">
        <f>PRODUCT($BI$5:BI747)</f>
        <v>0.32656797278968008</v>
      </c>
      <c r="BK747" s="20">
        <f>1 - Audit[[#This Row],[K-M P Value]]</f>
        <v>0.67343202721031992</v>
      </c>
      <c r="BL747" s="18" t="str">
        <f>IF(Audit[[#This Row],[K-M P Value]]&gt;1-'General Info'!$B$12,"Continue", "Stop")</f>
        <v>Continue</v>
      </c>
      <c r="BM747" s="23" t="b">
        <f>IF(Audit[[#This Row],[Status - Continue or stop audit]] = "Continue", TRUE, IF(BL746 = "Continue", TRUE, FALSE))</f>
        <v>1</v>
      </c>
      <c r="BN747" s="23"/>
    </row>
    <row r="748" spans="1:66" ht="15" hidden="1" customHeight="1" x14ac:dyDescent="0.35">
      <c r="A748" s="18" t="str">
        <f>'Sampling Data'!AI748</f>
        <v/>
      </c>
      <c r="B748" s="18" t="str">
        <f>'Sampling Data'!A748</f>
        <v>2610 CIN 26-J   (ED)</v>
      </c>
      <c r="C748" s="18">
        <f>'Sampling Data'!B748</f>
        <v>6</v>
      </c>
      <c r="D748" s="18">
        <f>'Sampling Data'!C748</f>
        <v>0</v>
      </c>
      <c r="E748" s="19">
        <f>'Sampling Data'!D748</f>
        <v>0</v>
      </c>
      <c r="F748" s="19">
        <f>'Sampling Data'!E748</f>
        <v>0</v>
      </c>
      <c r="G748" s="19">
        <f>'Sampling Data'!F748</f>
        <v>0</v>
      </c>
      <c r="H748" s="19">
        <f>'Sampling Data'!G748</f>
        <v>0</v>
      </c>
      <c r="I748" s="19">
        <f>'Sampling Data'!H748</f>
        <v>0</v>
      </c>
      <c r="J748" s="19">
        <f>'Sampling Data'!I748</f>
        <v>0</v>
      </c>
      <c r="K748" s="19">
        <f>'Sampling Data'!J748</f>
        <v>0</v>
      </c>
      <c r="L748" s="19">
        <f>'Sampling Data'!K748</f>
        <v>0</v>
      </c>
      <c r="M748" s="19">
        <f>'Sampling Data'!L748</f>
        <v>0</v>
      </c>
      <c r="N748" s="19">
        <f>'Sampling Data'!M748</f>
        <v>0</v>
      </c>
      <c r="O748" s="18">
        <f>'Sampling Data'!N748</f>
        <v>0</v>
      </c>
      <c r="P748" s="18">
        <f>'Sampling Data'!O748</f>
        <v>0</v>
      </c>
      <c r="Q748" s="18">
        <f>'Sampling Data'!P748</f>
        <v>6</v>
      </c>
      <c r="R748" s="18">
        <f>'Sampling Data'!AJ748</f>
        <v>0</v>
      </c>
      <c r="S748" s="112"/>
      <c r="T748" s="112"/>
      <c r="U748" s="113"/>
      <c r="V748" s="113"/>
      <c r="W748" s="112"/>
      <c r="X748" s="112"/>
      <c r="Y748" s="112"/>
      <c r="Z748" s="112"/>
      <c r="AA748" s="15"/>
      <c r="AB748" s="15"/>
      <c r="AC748" s="15"/>
      <c r="AD748" s="15"/>
      <c r="AE748" s="114" t="str">
        <f>IF(NOT(ISBLANK(Audit[[#This Row],[Audit Winning Candidate]])), Audit[[#This Row],[Audit Winning Candidate]]-Audit[[#This Row],[Winning Candidate]], "")</f>
        <v/>
      </c>
      <c r="AF748" s="18" t="str">
        <f>IF(NOT(ISBLANK(Audit[[#This Row],[Audit Losing Candidate]])), Audit[[#This Row],[Audit Losing Candidate]]-Audit[[#This Row],[Losing Candidate]], "")</f>
        <v/>
      </c>
      <c r="AG748" s="18" t="str">
        <f>IF(NOT(ISBLANK(Audit[[#This Row],[Audit Candidate 3]])), Audit[[#This Row],[Audit Candidate 3]]-Audit[[#This Row],[Candidate 3]], "")</f>
        <v/>
      </c>
      <c r="AH748" s="18" t="str">
        <f>IF(NOT(ISBLANK(Audit[[#This Row],[Audit Candidate 4]])),Audit[[#This Row],[Audit Candidate 4]]-Audit[[#This Row],[Candidate 4]], "")</f>
        <v/>
      </c>
      <c r="AI748" s="18" t="str">
        <f>IF(NOT(ISBLANK(Audit[[#This Row],[Audit Candidate 5]])), Audit[[#This Row],[Audit Candidate 5]]-Audit[[#This Row],[Candidate 5]], "")</f>
        <v/>
      </c>
      <c r="AJ748" s="18" t="str">
        <f>IF(NOT(ISBLANK(Audit[[#This Row],[Audit Candidate 6]])), Audit[[#This Row],[Audit Candidate 6]]-Audit[[#This Row],[Candidate 6]], "")</f>
        <v/>
      </c>
      <c r="AK748" s="18" t="str">
        <f>IF(NOT(ISBLANK(Audit[[#This Row],[Audit Candidate 7]])), Audit[[#This Row],[Audit Candidate 7]]-Audit[[#This Row],[Candidate 7]], "")</f>
        <v/>
      </c>
      <c r="AL748" s="18" t="str">
        <f>IF(NOT(ISBLANK(Audit[[#This Row],[Audit Candidate 8]])), Audit[[#This Row],[Audit Candidate 8]]-Audit[[#This Row],[Candidate 8]], "")</f>
        <v/>
      </c>
      <c r="AM748" s="18" t="str">
        <f>IF(NOT(ISBLANK(Audit[[#This Row],[Audit Candidate 9]])), Audit[[#This Row],[Audit Candidate 9]]-Audit[[#This Row],[Candidate 9]], "")</f>
        <v/>
      </c>
      <c r="AN748" s="18" t="str">
        <f>IF(NOT(ISBLANK(Audit[[#This Row],[Audit Candidate 10]])), Audit[[#This Row],[Audit Candidate 10]]-Audit[[#This Row],[Candidate 10]], "")</f>
        <v/>
      </c>
      <c r="AO748" s="18" t="str">
        <f>IF(NOT(ISBLANK(Audit[[#This Row],[Audit Candidate 11]])), Audit[[#This Row],[Audit Candidate 11]]-Audit[[#This Row],[Candidate 11]], "")</f>
        <v/>
      </c>
      <c r="AP748" s="18" t="str">
        <f>IF(NOT(ISBLANK(Audit[[#This Row],[Audit Candidate 12]])), Audit[[#This Row],[Audit Candidate 12]]-Audit[[#This Row],[Candidate 12]], "")</f>
        <v/>
      </c>
      <c r="AQ748" s="18">
        <f>SUMIF(Audit[[#This Row],[Difference Winner]:[Difference Candidate 12]], "&gt;0")</f>
        <v>0</v>
      </c>
      <c r="AR748" s="18">
        <f>SUM(Audit[[#This Row],[Difference Winner]:[Difference Candidate 12]])</f>
        <v>0</v>
      </c>
      <c r="AS748" s="18">
        <f>IF(Audit[[#This Row],[Times p Drawn - With Replacement]]&gt;0, IF(Audit[[#This Row],[Canceled Differences]]&lt;0, Audit[[#This Row],[Max Differences]]+ABS(Audit[[#This Row],[Canceled Differences]]), Audit[[#This Row],[Max Differences]]), 0)</f>
        <v>0</v>
      </c>
      <c r="AT748" s="18">
        <f>'Sampling Data'!AB748</f>
        <v>3.7691993592361088E-4</v>
      </c>
      <c r="AU748" s="18">
        <f>IF(
      SUM(Audit[[#This Row],[Audit Losing Candidate]:[Audit Candidate 12]])
      &lt;&gt;0,
      (Audit[[#This Row],[Winning Candidate]]-Audit[[#This Row],[Losing Candidate]]-(Audit[[#This Row],[Audit Winning Candidate]]-Audit[[#This Row],[Audit Losing Candidate]]))/(Audit[[#Totals],[Winning Candidate]]-Audit[[#Totals],[Losing Candidate]]),
      0
)</f>
        <v>0</v>
      </c>
      <c r="AV7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8">
        <f>IF(Audit[[#This Row],[Max Relative Error (ep)]] = 0, 0, Audit[[#This Row],[Max Relative Error (ep)]]/Audit[[#This Row],[Error Bound (up) - Max. possible relative overstatement]])</f>
        <v>0</v>
      </c>
      <c r="BH7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8" s="18">
        <f t="shared" si="12"/>
        <v>1</v>
      </c>
      <c r="BJ748" s="18">
        <f>PRODUCT($BI$5:BI748)</f>
        <v>0.32656797278968008</v>
      </c>
      <c r="BK748" s="20">
        <f>1 - Audit[[#This Row],[K-M P Value]]</f>
        <v>0.67343202721031992</v>
      </c>
      <c r="BL748" s="18" t="str">
        <f>IF(Audit[[#This Row],[K-M P Value]]&gt;1-'General Info'!$B$12,"Continue", "Stop")</f>
        <v>Continue</v>
      </c>
      <c r="BM748" s="23" t="b">
        <f>IF(Audit[[#This Row],[Status - Continue or stop audit]] = "Continue", TRUE, IF(BL747 = "Continue", TRUE, FALSE))</f>
        <v>1</v>
      </c>
      <c r="BN748" s="23"/>
    </row>
    <row r="749" spans="1:66" ht="15" hidden="1" customHeight="1" x14ac:dyDescent="0.35">
      <c r="A749" s="18" t="str">
        <f>'Sampling Data'!AI749</f>
        <v/>
      </c>
      <c r="B749" s="18" t="str">
        <f>'Sampling Data'!A749</f>
        <v>2611 CIN 26-K   (ED)</v>
      </c>
      <c r="C749" s="18">
        <f>'Sampling Data'!B749</f>
        <v>41</v>
      </c>
      <c r="D749" s="18">
        <f>'Sampling Data'!C749</f>
        <v>12</v>
      </c>
      <c r="E749" s="19">
        <f>'Sampling Data'!D749</f>
        <v>0</v>
      </c>
      <c r="F749" s="19">
        <f>'Sampling Data'!E749</f>
        <v>0</v>
      </c>
      <c r="G749" s="19">
        <f>'Sampling Data'!F749</f>
        <v>0</v>
      </c>
      <c r="H749" s="19">
        <f>'Sampling Data'!G749</f>
        <v>0</v>
      </c>
      <c r="I749" s="19">
        <f>'Sampling Data'!H749</f>
        <v>0</v>
      </c>
      <c r="J749" s="19">
        <f>'Sampling Data'!I749</f>
        <v>0</v>
      </c>
      <c r="K749" s="19">
        <f>'Sampling Data'!J749</f>
        <v>0</v>
      </c>
      <c r="L749" s="19">
        <f>'Sampling Data'!K749</f>
        <v>0</v>
      </c>
      <c r="M749" s="19">
        <f>'Sampling Data'!L749</f>
        <v>0</v>
      </c>
      <c r="N749" s="19">
        <f>'Sampling Data'!M749</f>
        <v>0</v>
      </c>
      <c r="O749" s="18">
        <f>'Sampling Data'!N749</f>
        <v>0</v>
      </c>
      <c r="P749" s="18">
        <f>'Sampling Data'!O749</f>
        <v>1</v>
      </c>
      <c r="Q749" s="18">
        <f>'Sampling Data'!P749</f>
        <v>54</v>
      </c>
      <c r="R749" s="18">
        <f>'Sampling Data'!AJ749</f>
        <v>0</v>
      </c>
      <c r="S749" s="112"/>
      <c r="T749" s="112"/>
      <c r="U749" s="113"/>
      <c r="V749" s="113"/>
      <c r="W749" s="112"/>
      <c r="X749" s="112"/>
      <c r="Y749" s="112"/>
      <c r="Z749" s="112"/>
      <c r="AA749" s="15"/>
      <c r="AB749" s="15"/>
      <c r="AC749" s="15"/>
      <c r="AD749" s="15"/>
      <c r="AE749" s="114" t="str">
        <f>IF(NOT(ISBLANK(Audit[[#This Row],[Audit Winning Candidate]])), Audit[[#This Row],[Audit Winning Candidate]]-Audit[[#This Row],[Winning Candidate]], "")</f>
        <v/>
      </c>
      <c r="AF749" s="18" t="str">
        <f>IF(NOT(ISBLANK(Audit[[#This Row],[Audit Losing Candidate]])), Audit[[#This Row],[Audit Losing Candidate]]-Audit[[#This Row],[Losing Candidate]], "")</f>
        <v/>
      </c>
      <c r="AG749" s="18" t="str">
        <f>IF(NOT(ISBLANK(Audit[[#This Row],[Audit Candidate 3]])), Audit[[#This Row],[Audit Candidate 3]]-Audit[[#This Row],[Candidate 3]], "")</f>
        <v/>
      </c>
      <c r="AH749" s="18" t="str">
        <f>IF(NOT(ISBLANK(Audit[[#This Row],[Audit Candidate 4]])),Audit[[#This Row],[Audit Candidate 4]]-Audit[[#This Row],[Candidate 4]], "")</f>
        <v/>
      </c>
      <c r="AI749" s="18" t="str">
        <f>IF(NOT(ISBLANK(Audit[[#This Row],[Audit Candidate 5]])), Audit[[#This Row],[Audit Candidate 5]]-Audit[[#This Row],[Candidate 5]], "")</f>
        <v/>
      </c>
      <c r="AJ749" s="18" t="str">
        <f>IF(NOT(ISBLANK(Audit[[#This Row],[Audit Candidate 6]])), Audit[[#This Row],[Audit Candidate 6]]-Audit[[#This Row],[Candidate 6]], "")</f>
        <v/>
      </c>
      <c r="AK749" s="18" t="str">
        <f>IF(NOT(ISBLANK(Audit[[#This Row],[Audit Candidate 7]])), Audit[[#This Row],[Audit Candidate 7]]-Audit[[#This Row],[Candidate 7]], "")</f>
        <v/>
      </c>
      <c r="AL749" s="18" t="str">
        <f>IF(NOT(ISBLANK(Audit[[#This Row],[Audit Candidate 8]])), Audit[[#This Row],[Audit Candidate 8]]-Audit[[#This Row],[Candidate 8]], "")</f>
        <v/>
      </c>
      <c r="AM749" s="18" t="str">
        <f>IF(NOT(ISBLANK(Audit[[#This Row],[Audit Candidate 9]])), Audit[[#This Row],[Audit Candidate 9]]-Audit[[#This Row],[Candidate 9]], "")</f>
        <v/>
      </c>
      <c r="AN749" s="18" t="str">
        <f>IF(NOT(ISBLANK(Audit[[#This Row],[Audit Candidate 10]])), Audit[[#This Row],[Audit Candidate 10]]-Audit[[#This Row],[Candidate 10]], "")</f>
        <v/>
      </c>
      <c r="AO749" s="18" t="str">
        <f>IF(NOT(ISBLANK(Audit[[#This Row],[Audit Candidate 11]])), Audit[[#This Row],[Audit Candidate 11]]-Audit[[#This Row],[Candidate 11]], "")</f>
        <v/>
      </c>
      <c r="AP749" s="18" t="str">
        <f>IF(NOT(ISBLANK(Audit[[#This Row],[Audit Candidate 12]])), Audit[[#This Row],[Audit Candidate 12]]-Audit[[#This Row],[Candidate 12]], "")</f>
        <v/>
      </c>
      <c r="AQ749" s="18">
        <f>SUMIF(Audit[[#This Row],[Difference Winner]:[Difference Candidate 12]], "&gt;0")</f>
        <v>0</v>
      </c>
      <c r="AR749" s="18">
        <f>SUM(Audit[[#This Row],[Difference Winner]:[Difference Candidate 12]])</f>
        <v>0</v>
      </c>
      <c r="AS749" s="18">
        <f>IF(Audit[[#This Row],[Times p Drawn - With Replacement]]&gt;0, IF(Audit[[#This Row],[Canceled Differences]]&lt;0, Audit[[#This Row],[Max Differences]]+ABS(Audit[[#This Row],[Canceled Differences]]), Audit[[#This Row],[Max Differences]]), 0)</f>
        <v>0</v>
      </c>
      <c r="AT749" s="18">
        <f>'Sampling Data'!AB749</f>
        <v>2.6070295568049752E-3</v>
      </c>
      <c r="AU749" s="18">
        <f>IF(
      SUM(Audit[[#This Row],[Audit Losing Candidate]:[Audit Candidate 12]])
      &lt;&gt;0,
      (Audit[[#This Row],[Winning Candidate]]-Audit[[#This Row],[Losing Candidate]]-(Audit[[#This Row],[Audit Winning Candidate]]-Audit[[#This Row],[Audit Losing Candidate]]))/(Audit[[#Totals],[Winning Candidate]]-Audit[[#Totals],[Losing Candidate]]),
      0
)</f>
        <v>0</v>
      </c>
      <c r="AV7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8">
        <f>IF(Audit[[#This Row],[Max Relative Error (ep)]] = 0, 0, Audit[[#This Row],[Max Relative Error (ep)]]/Audit[[#This Row],[Error Bound (up) - Max. possible relative overstatement]])</f>
        <v>0</v>
      </c>
      <c r="BH7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49" s="18">
        <f t="shared" si="12"/>
        <v>1</v>
      </c>
      <c r="BJ749" s="18">
        <f>PRODUCT($BI$5:BI749)</f>
        <v>0.32656797278968008</v>
      </c>
      <c r="BK749" s="20">
        <f>1 - Audit[[#This Row],[K-M P Value]]</f>
        <v>0.67343202721031992</v>
      </c>
      <c r="BL749" s="18" t="str">
        <f>IF(Audit[[#This Row],[K-M P Value]]&gt;1-'General Info'!$B$12,"Continue", "Stop")</f>
        <v>Continue</v>
      </c>
      <c r="BM749" s="23" t="b">
        <f>IF(Audit[[#This Row],[Status - Continue or stop audit]] = "Continue", TRUE, IF(BL748 = "Continue", TRUE, FALSE))</f>
        <v>1</v>
      </c>
      <c r="BN749" s="23"/>
    </row>
    <row r="750" spans="1:66" ht="15" hidden="1" customHeight="1" x14ac:dyDescent="0.35">
      <c r="A750" s="18" t="str">
        <f>'Sampling Data'!AI750</f>
        <v/>
      </c>
      <c r="B750" s="18" t="str">
        <f>'Sampling Data'!A750</f>
        <v>2612 CIN 26-L   (ED)</v>
      </c>
      <c r="C750" s="18">
        <f>'Sampling Data'!B750</f>
        <v>15</v>
      </c>
      <c r="D750" s="18">
        <f>'Sampling Data'!C750</f>
        <v>2</v>
      </c>
      <c r="E750" s="19">
        <f>'Sampling Data'!D750</f>
        <v>0</v>
      </c>
      <c r="F750" s="19">
        <f>'Sampling Data'!E750</f>
        <v>0</v>
      </c>
      <c r="G750" s="19">
        <f>'Sampling Data'!F750</f>
        <v>0</v>
      </c>
      <c r="H750" s="19">
        <f>'Sampling Data'!G750</f>
        <v>0</v>
      </c>
      <c r="I750" s="19">
        <f>'Sampling Data'!H750</f>
        <v>0</v>
      </c>
      <c r="J750" s="19">
        <f>'Sampling Data'!I750</f>
        <v>0</v>
      </c>
      <c r="K750" s="19">
        <f>'Sampling Data'!J750</f>
        <v>0</v>
      </c>
      <c r="L750" s="19">
        <f>'Sampling Data'!K750</f>
        <v>0</v>
      </c>
      <c r="M750" s="19">
        <f>'Sampling Data'!L750</f>
        <v>0</v>
      </c>
      <c r="N750" s="19">
        <f>'Sampling Data'!M750</f>
        <v>0</v>
      </c>
      <c r="O750" s="18">
        <f>'Sampling Data'!N750</f>
        <v>0</v>
      </c>
      <c r="P750" s="18">
        <f>'Sampling Data'!O750</f>
        <v>0</v>
      </c>
      <c r="Q750" s="18">
        <f>'Sampling Data'!P750</f>
        <v>17</v>
      </c>
      <c r="R750" s="18">
        <f>'Sampling Data'!AJ750</f>
        <v>0</v>
      </c>
      <c r="S750" s="112"/>
      <c r="T750" s="112"/>
      <c r="U750" s="113"/>
      <c r="V750" s="113"/>
      <c r="W750" s="112"/>
      <c r="X750" s="112"/>
      <c r="Y750" s="112"/>
      <c r="Z750" s="112"/>
      <c r="AA750" s="15"/>
      <c r="AB750" s="15"/>
      <c r="AC750" s="15"/>
      <c r="AD750" s="15"/>
      <c r="AE750" s="114" t="str">
        <f>IF(NOT(ISBLANK(Audit[[#This Row],[Audit Winning Candidate]])), Audit[[#This Row],[Audit Winning Candidate]]-Audit[[#This Row],[Winning Candidate]], "")</f>
        <v/>
      </c>
      <c r="AF750" s="18" t="str">
        <f>IF(NOT(ISBLANK(Audit[[#This Row],[Audit Losing Candidate]])), Audit[[#This Row],[Audit Losing Candidate]]-Audit[[#This Row],[Losing Candidate]], "")</f>
        <v/>
      </c>
      <c r="AG750" s="18" t="str">
        <f>IF(NOT(ISBLANK(Audit[[#This Row],[Audit Candidate 3]])), Audit[[#This Row],[Audit Candidate 3]]-Audit[[#This Row],[Candidate 3]], "")</f>
        <v/>
      </c>
      <c r="AH750" s="18" t="str">
        <f>IF(NOT(ISBLANK(Audit[[#This Row],[Audit Candidate 4]])),Audit[[#This Row],[Audit Candidate 4]]-Audit[[#This Row],[Candidate 4]], "")</f>
        <v/>
      </c>
      <c r="AI750" s="18" t="str">
        <f>IF(NOT(ISBLANK(Audit[[#This Row],[Audit Candidate 5]])), Audit[[#This Row],[Audit Candidate 5]]-Audit[[#This Row],[Candidate 5]], "")</f>
        <v/>
      </c>
      <c r="AJ750" s="18" t="str">
        <f>IF(NOT(ISBLANK(Audit[[#This Row],[Audit Candidate 6]])), Audit[[#This Row],[Audit Candidate 6]]-Audit[[#This Row],[Candidate 6]], "")</f>
        <v/>
      </c>
      <c r="AK750" s="18" t="str">
        <f>IF(NOT(ISBLANK(Audit[[#This Row],[Audit Candidate 7]])), Audit[[#This Row],[Audit Candidate 7]]-Audit[[#This Row],[Candidate 7]], "")</f>
        <v/>
      </c>
      <c r="AL750" s="18" t="str">
        <f>IF(NOT(ISBLANK(Audit[[#This Row],[Audit Candidate 8]])), Audit[[#This Row],[Audit Candidate 8]]-Audit[[#This Row],[Candidate 8]], "")</f>
        <v/>
      </c>
      <c r="AM750" s="18" t="str">
        <f>IF(NOT(ISBLANK(Audit[[#This Row],[Audit Candidate 9]])), Audit[[#This Row],[Audit Candidate 9]]-Audit[[#This Row],[Candidate 9]], "")</f>
        <v/>
      </c>
      <c r="AN750" s="18" t="str">
        <f>IF(NOT(ISBLANK(Audit[[#This Row],[Audit Candidate 10]])), Audit[[#This Row],[Audit Candidate 10]]-Audit[[#This Row],[Candidate 10]], "")</f>
        <v/>
      </c>
      <c r="AO750" s="18" t="str">
        <f>IF(NOT(ISBLANK(Audit[[#This Row],[Audit Candidate 11]])), Audit[[#This Row],[Audit Candidate 11]]-Audit[[#This Row],[Candidate 11]], "")</f>
        <v/>
      </c>
      <c r="AP750" s="18" t="str">
        <f>IF(NOT(ISBLANK(Audit[[#This Row],[Audit Candidate 12]])), Audit[[#This Row],[Audit Candidate 12]]-Audit[[#This Row],[Candidate 12]], "")</f>
        <v/>
      </c>
      <c r="AQ750" s="18">
        <f>SUMIF(Audit[[#This Row],[Difference Winner]:[Difference Candidate 12]], "&gt;0")</f>
        <v>0</v>
      </c>
      <c r="AR750" s="18">
        <f>SUM(Audit[[#This Row],[Difference Winner]:[Difference Candidate 12]])</f>
        <v>0</v>
      </c>
      <c r="AS750" s="18">
        <f>IF(Audit[[#This Row],[Times p Drawn - With Replacement]]&gt;0, IF(Audit[[#This Row],[Canceled Differences]]&lt;0, Audit[[#This Row],[Max Differences]]+ABS(Audit[[#This Row],[Canceled Differences]]), Audit[[#This Row],[Max Differences]]), 0)</f>
        <v>0</v>
      </c>
      <c r="AT750" s="18">
        <f>'Sampling Data'!AB750</f>
        <v>9.4229983980902718E-4</v>
      </c>
      <c r="AU750" s="18">
        <f>IF(
      SUM(Audit[[#This Row],[Audit Losing Candidate]:[Audit Candidate 12]])
      &lt;&gt;0,
      (Audit[[#This Row],[Winning Candidate]]-Audit[[#This Row],[Losing Candidate]]-(Audit[[#This Row],[Audit Winning Candidate]]-Audit[[#This Row],[Audit Losing Candidate]]))/(Audit[[#Totals],[Winning Candidate]]-Audit[[#Totals],[Losing Candidate]]),
      0
)</f>
        <v>0</v>
      </c>
      <c r="AV7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8">
        <f>IF(Audit[[#This Row],[Max Relative Error (ep)]] = 0, 0, Audit[[#This Row],[Max Relative Error (ep)]]/Audit[[#This Row],[Error Bound (up) - Max. possible relative overstatement]])</f>
        <v>0</v>
      </c>
      <c r="BH7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0" s="18">
        <f t="shared" si="12"/>
        <v>1</v>
      </c>
      <c r="BJ750" s="18">
        <f>PRODUCT($BI$5:BI750)</f>
        <v>0.32656797278968008</v>
      </c>
      <c r="BK750" s="20">
        <f>1 - Audit[[#This Row],[K-M P Value]]</f>
        <v>0.67343202721031992</v>
      </c>
      <c r="BL750" s="18" t="str">
        <f>IF(Audit[[#This Row],[K-M P Value]]&gt;1-'General Info'!$B$12,"Continue", "Stop")</f>
        <v>Continue</v>
      </c>
      <c r="BM750" s="23" t="b">
        <f>IF(Audit[[#This Row],[Status - Continue or stop audit]] = "Continue", TRUE, IF(BL749 = "Continue", TRUE, FALSE))</f>
        <v>1</v>
      </c>
      <c r="BN750" s="23"/>
    </row>
    <row r="751" spans="1:66" ht="15" hidden="1" customHeight="1" x14ac:dyDescent="0.35">
      <c r="A751" s="18" t="str">
        <f>'Sampling Data'!AI751</f>
        <v/>
      </c>
      <c r="B751" s="18" t="str">
        <f>'Sampling Data'!A751</f>
        <v>2613 CIN 26-M   (ED)</v>
      </c>
      <c r="C751" s="18">
        <f>'Sampling Data'!B751</f>
        <v>4</v>
      </c>
      <c r="D751" s="18">
        <f>'Sampling Data'!C751</f>
        <v>0</v>
      </c>
      <c r="E751" s="19">
        <f>'Sampling Data'!D751</f>
        <v>0</v>
      </c>
      <c r="F751" s="19">
        <f>'Sampling Data'!E751</f>
        <v>0</v>
      </c>
      <c r="G751" s="19">
        <f>'Sampling Data'!F751</f>
        <v>0</v>
      </c>
      <c r="H751" s="19">
        <f>'Sampling Data'!G751</f>
        <v>0</v>
      </c>
      <c r="I751" s="19">
        <f>'Sampling Data'!H751</f>
        <v>0</v>
      </c>
      <c r="J751" s="19">
        <f>'Sampling Data'!I751</f>
        <v>0</v>
      </c>
      <c r="K751" s="19">
        <f>'Sampling Data'!J751</f>
        <v>0</v>
      </c>
      <c r="L751" s="19">
        <f>'Sampling Data'!K751</f>
        <v>0</v>
      </c>
      <c r="M751" s="19">
        <f>'Sampling Data'!L751</f>
        <v>0</v>
      </c>
      <c r="N751" s="19">
        <f>'Sampling Data'!M751</f>
        <v>0</v>
      </c>
      <c r="O751" s="18">
        <f>'Sampling Data'!N751</f>
        <v>0</v>
      </c>
      <c r="P751" s="18">
        <f>'Sampling Data'!O751</f>
        <v>0</v>
      </c>
      <c r="Q751" s="18">
        <f>'Sampling Data'!P751</f>
        <v>4</v>
      </c>
      <c r="R751" s="18">
        <f>'Sampling Data'!AJ751</f>
        <v>0</v>
      </c>
      <c r="S751" s="112"/>
      <c r="T751" s="112"/>
      <c r="U751" s="113"/>
      <c r="V751" s="113"/>
      <c r="W751" s="112"/>
      <c r="X751" s="112"/>
      <c r="Y751" s="112"/>
      <c r="Z751" s="112"/>
      <c r="AA751" s="15"/>
      <c r="AB751" s="15"/>
      <c r="AC751" s="15"/>
      <c r="AD751" s="15"/>
      <c r="AE751" s="114" t="str">
        <f>IF(NOT(ISBLANK(Audit[[#This Row],[Audit Winning Candidate]])), Audit[[#This Row],[Audit Winning Candidate]]-Audit[[#This Row],[Winning Candidate]], "")</f>
        <v/>
      </c>
      <c r="AF751" s="18" t="str">
        <f>IF(NOT(ISBLANK(Audit[[#This Row],[Audit Losing Candidate]])), Audit[[#This Row],[Audit Losing Candidate]]-Audit[[#This Row],[Losing Candidate]], "")</f>
        <v/>
      </c>
      <c r="AG751" s="18" t="str">
        <f>IF(NOT(ISBLANK(Audit[[#This Row],[Audit Candidate 3]])), Audit[[#This Row],[Audit Candidate 3]]-Audit[[#This Row],[Candidate 3]], "")</f>
        <v/>
      </c>
      <c r="AH751" s="18" t="str">
        <f>IF(NOT(ISBLANK(Audit[[#This Row],[Audit Candidate 4]])),Audit[[#This Row],[Audit Candidate 4]]-Audit[[#This Row],[Candidate 4]], "")</f>
        <v/>
      </c>
      <c r="AI751" s="18" t="str">
        <f>IF(NOT(ISBLANK(Audit[[#This Row],[Audit Candidate 5]])), Audit[[#This Row],[Audit Candidate 5]]-Audit[[#This Row],[Candidate 5]], "")</f>
        <v/>
      </c>
      <c r="AJ751" s="18" t="str">
        <f>IF(NOT(ISBLANK(Audit[[#This Row],[Audit Candidate 6]])), Audit[[#This Row],[Audit Candidate 6]]-Audit[[#This Row],[Candidate 6]], "")</f>
        <v/>
      </c>
      <c r="AK751" s="18" t="str">
        <f>IF(NOT(ISBLANK(Audit[[#This Row],[Audit Candidate 7]])), Audit[[#This Row],[Audit Candidate 7]]-Audit[[#This Row],[Candidate 7]], "")</f>
        <v/>
      </c>
      <c r="AL751" s="18" t="str">
        <f>IF(NOT(ISBLANK(Audit[[#This Row],[Audit Candidate 8]])), Audit[[#This Row],[Audit Candidate 8]]-Audit[[#This Row],[Candidate 8]], "")</f>
        <v/>
      </c>
      <c r="AM751" s="18" t="str">
        <f>IF(NOT(ISBLANK(Audit[[#This Row],[Audit Candidate 9]])), Audit[[#This Row],[Audit Candidate 9]]-Audit[[#This Row],[Candidate 9]], "")</f>
        <v/>
      </c>
      <c r="AN751" s="18" t="str">
        <f>IF(NOT(ISBLANK(Audit[[#This Row],[Audit Candidate 10]])), Audit[[#This Row],[Audit Candidate 10]]-Audit[[#This Row],[Candidate 10]], "")</f>
        <v/>
      </c>
      <c r="AO751" s="18" t="str">
        <f>IF(NOT(ISBLANK(Audit[[#This Row],[Audit Candidate 11]])), Audit[[#This Row],[Audit Candidate 11]]-Audit[[#This Row],[Candidate 11]], "")</f>
        <v/>
      </c>
      <c r="AP751" s="18" t="str">
        <f>IF(NOT(ISBLANK(Audit[[#This Row],[Audit Candidate 12]])), Audit[[#This Row],[Audit Candidate 12]]-Audit[[#This Row],[Candidate 12]], "")</f>
        <v/>
      </c>
      <c r="AQ751" s="18">
        <f>SUMIF(Audit[[#This Row],[Difference Winner]:[Difference Candidate 12]], "&gt;0")</f>
        <v>0</v>
      </c>
      <c r="AR751" s="18">
        <f>SUM(Audit[[#This Row],[Difference Winner]:[Difference Candidate 12]])</f>
        <v>0</v>
      </c>
      <c r="AS751" s="18">
        <f>IF(Audit[[#This Row],[Times p Drawn - With Replacement]]&gt;0, IF(Audit[[#This Row],[Canceled Differences]]&lt;0, Audit[[#This Row],[Max Differences]]+ABS(Audit[[#This Row],[Canceled Differences]]), Audit[[#This Row],[Max Differences]]), 0)</f>
        <v>0</v>
      </c>
      <c r="AT751" s="18">
        <f>'Sampling Data'!AB751</f>
        <v>2.5127995728240724E-4</v>
      </c>
      <c r="AU751" s="18">
        <f>IF(
      SUM(Audit[[#This Row],[Audit Losing Candidate]:[Audit Candidate 12]])
      &lt;&gt;0,
      (Audit[[#This Row],[Winning Candidate]]-Audit[[#This Row],[Losing Candidate]]-(Audit[[#This Row],[Audit Winning Candidate]]-Audit[[#This Row],[Audit Losing Candidate]]))/(Audit[[#Totals],[Winning Candidate]]-Audit[[#Totals],[Losing Candidate]]),
      0
)</f>
        <v>0</v>
      </c>
      <c r="AV7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8">
        <f>IF(Audit[[#This Row],[Max Relative Error (ep)]] = 0, 0, Audit[[#This Row],[Max Relative Error (ep)]]/Audit[[#This Row],[Error Bound (up) - Max. possible relative overstatement]])</f>
        <v>0</v>
      </c>
      <c r="BH7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1" s="18">
        <f t="shared" si="12"/>
        <v>1</v>
      </c>
      <c r="BJ751" s="18">
        <f>PRODUCT($BI$5:BI751)</f>
        <v>0.32656797278968008</v>
      </c>
      <c r="BK751" s="20">
        <f>1 - Audit[[#This Row],[K-M P Value]]</f>
        <v>0.67343202721031992</v>
      </c>
      <c r="BL751" s="18" t="str">
        <f>IF(Audit[[#This Row],[K-M P Value]]&gt;1-'General Info'!$B$12,"Continue", "Stop")</f>
        <v>Continue</v>
      </c>
      <c r="BM751" s="23" t="b">
        <f>IF(Audit[[#This Row],[Status - Continue or stop audit]] = "Continue", TRUE, IF(BL750 = "Continue", TRUE, FALSE))</f>
        <v>1</v>
      </c>
      <c r="BN751" s="23"/>
    </row>
    <row r="752" spans="1:66" ht="15" hidden="1" customHeight="1" x14ac:dyDescent="0.35">
      <c r="A752" s="18" t="str">
        <f>'Sampling Data'!AI752</f>
        <v/>
      </c>
      <c r="B752" s="18" t="str">
        <f>'Sampling Data'!A752</f>
        <v>2614 CIN 26-N   (ED)</v>
      </c>
      <c r="C752" s="18">
        <f>'Sampling Data'!B752</f>
        <v>21</v>
      </c>
      <c r="D752" s="18">
        <f>'Sampling Data'!C752</f>
        <v>1</v>
      </c>
      <c r="E752" s="19">
        <f>'Sampling Data'!D752</f>
        <v>0</v>
      </c>
      <c r="F752" s="19">
        <f>'Sampling Data'!E752</f>
        <v>0</v>
      </c>
      <c r="G752" s="19">
        <f>'Sampling Data'!F752</f>
        <v>0</v>
      </c>
      <c r="H752" s="19">
        <f>'Sampling Data'!G752</f>
        <v>0</v>
      </c>
      <c r="I752" s="19">
        <f>'Sampling Data'!H752</f>
        <v>0</v>
      </c>
      <c r="J752" s="19">
        <f>'Sampling Data'!I752</f>
        <v>0</v>
      </c>
      <c r="K752" s="19">
        <f>'Sampling Data'!J752</f>
        <v>0</v>
      </c>
      <c r="L752" s="19">
        <f>'Sampling Data'!K752</f>
        <v>0</v>
      </c>
      <c r="M752" s="19">
        <f>'Sampling Data'!L752</f>
        <v>0</v>
      </c>
      <c r="N752" s="19">
        <f>'Sampling Data'!M752</f>
        <v>0</v>
      </c>
      <c r="O752" s="18">
        <f>'Sampling Data'!N752</f>
        <v>0</v>
      </c>
      <c r="P752" s="18">
        <f>'Sampling Data'!O752</f>
        <v>0</v>
      </c>
      <c r="Q752" s="18">
        <f>'Sampling Data'!P752</f>
        <v>22</v>
      </c>
      <c r="R752" s="18">
        <f>'Sampling Data'!AJ752</f>
        <v>0</v>
      </c>
      <c r="S752" s="112"/>
      <c r="T752" s="112"/>
      <c r="U752" s="113"/>
      <c r="V752" s="113"/>
      <c r="W752" s="112"/>
      <c r="X752" s="112"/>
      <c r="Y752" s="112"/>
      <c r="Z752" s="112"/>
      <c r="AA752" s="15"/>
      <c r="AB752" s="15"/>
      <c r="AC752" s="15"/>
      <c r="AD752" s="15"/>
      <c r="AE752" s="114" t="str">
        <f>IF(NOT(ISBLANK(Audit[[#This Row],[Audit Winning Candidate]])), Audit[[#This Row],[Audit Winning Candidate]]-Audit[[#This Row],[Winning Candidate]], "")</f>
        <v/>
      </c>
      <c r="AF752" s="18" t="str">
        <f>IF(NOT(ISBLANK(Audit[[#This Row],[Audit Losing Candidate]])), Audit[[#This Row],[Audit Losing Candidate]]-Audit[[#This Row],[Losing Candidate]], "")</f>
        <v/>
      </c>
      <c r="AG752" s="18" t="str">
        <f>IF(NOT(ISBLANK(Audit[[#This Row],[Audit Candidate 3]])), Audit[[#This Row],[Audit Candidate 3]]-Audit[[#This Row],[Candidate 3]], "")</f>
        <v/>
      </c>
      <c r="AH752" s="18" t="str">
        <f>IF(NOT(ISBLANK(Audit[[#This Row],[Audit Candidate 4]])),Audit[[#This Row],[Audit Candidate 4]]-Audit[[#This Row],[Candidate 4]], "")</f>
        <v/>
      </c>
      <c r="AI752" s="18" t="str">
        <f>IF(NOT(ISBLANK(Audit[[#This Row],[Audit Candidate 5]])), Audit[[#This Row],[Audit Candidate 5]]-Audit[[#This Row],[Candidate 5]], "")</f>
        <v/>
      </c>
      <c r="AJ752" s="18" t="str">
        <f>IF(NOT(ISBLANK(Audit[[#This Row],[Audit Candidate 6]])), Audit[[#This Row],[Audit Candidate 6]]-Audit[[#This Row],[Candidate 6]], "")</f>
        <v/>
      </c>
      <c r="AK752" s="18" t="str">
        <f>IF(NOT(ISBLANK(Audit[[#This Row],[Audit Candidate 7]])), Audit[[#This Row],[Audit Candidate 7]]-Audit[[#This Row],[Candidate 7]], "")</f>
        <v/>
      </c>
      <c r="AL752" s="18" t="str">
        <f>IF(NOT(ISBLANK(Audit[[#This Row],[Audit Candidate 8]])), Audit[[#This Row],[Audit Candidate 8]]-Audit[[#This Row],[Candidate 8]], "")</f>
        <v/>
      </c>
      <c r="AM752" s="18" t="str">
        <f>IF(NOT(ISBLANK(Audit[[#This Row],[Audit Candidate 9]])), Audit[[#This Row],[Audit Candidate 9]]-Audit[[#This Row],[Candidate 9]], "")</f>
        <v/>
      </c>
      <c r="AN752" s="18" t="str">
        <f>IF(NOT(ISBLANK(Audit[[#This Row],[Audit Candidate 10]])), Audit[[#This Row],[Audit Candidate 10]]-Audit[[#This Row],[Candidate 10]], "")</f>
        <v/>
      </c>
      <c r="AO752" s="18" t="str">
        <f>IF(NOT(ISBLANK(Audit[[#This Row],[Audit Candidate 11]])), Audit[[#This Row],[Audit Candidate 11]]-Audit[[#This Row],[Candidate 11]], "")</f>
        <v/>
      </c>
      <c r="AP752" s="18" t="str">
        <f>IF(NOT(ISBLANK(Audit[[#This Row],[Audit Candidate 12]])), Audit[[#This Row],[Audit Candidate 12]]-Audit[[#This Row],[Candidate 12]], "")</f>
        <v/>
      </c>
      <c r="AQ752" s="18">
        <f>SUMIF(Audit[[#This Row],[Difference Winner]:[Difference Candidate 12]], "&gt;0")</f>
        <v>0</v>
      </c>
      <c r="AR752" s="18">
        <f>SUM(Audit[[#This Row],[Difference Winner]:[Difference Candidate 12]])</f>
        <v>0</v>
      </c>
      <c r="AS752" s="18">
        <f>IF(Audit[[#This Row],[Times p Drawn - With Replacement]]&gt;0, IF(Audit[[#This Row],[Canceled Differences]]&lt;0, Audit[[#This Row],[Max Differences]]+ABS(Audit[[#This Row],[Canceled Differences]]), Audit[[#This Row],[Max Differences]]), 0)</f>
        <v>0</v>
      </c>
      <c r="AT752" s="18">
        <f>'Sampling Data'!AB752</f>
        <v>1.3192197757326382E-3</v>
      </c>
      <c r="AU752" s="18">
        <f>IF(
      SUM(Audit[[#This Row],[Audit Losing Candidate]:[Audit Candidate 12]])
      &lt;&gt;0,
      (Audit[[#This Row],[Winning Candidate]]-Audit[[#This Row],[Losing Candidate]]-(Audit[[#This Row],[Audit Winning Candidate]]-Audit[[#This Row],[Audit Losing Candidate]]))/(Audit[[#Totals],[Winning Candidate]]-Audit[[#Totals],[Losing Candidate]]),
      0
)</f>
        <v>0</v>
      </c>
      <c r="AV7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8">
        <f>IF(Audit[[#This Row],[Max Relative Error (ep)]] = 0, 0, Audit[[#This Row],[Max Relative Error (ep)]]/Audit[[#This Row],[Error Bound (up) - Max. possible relative overstatement]])</f>
        <v>0</v>
      </c>
      <c r="BH7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2" s="18">
        <f t="shared" si="12"/>
        <v>1</v>
      </c>
      <c r="BJ752" s="18">
        <f>PRODUCT($BI$5:BI752)</f>
        <v>0.32656797278968008</v>
      </c>
      <c r="BK752" s="20">
        <f>1 - Audit[[#This Row],[K-M P Value]]</f>
        <v>0.67343202721031992</v>
      </c>
      <c r="BL752" s="18" t="str">
        <f>IF(Audit[[#This Row],[K-M P Value]]&gt;1-'General Info'!$B$12,"Continue", "Stop")</f>
        <v>Continue</v>
      </c>
      <c r="BM752" s="23" t="b">
        <f>IF(Audit[[#This Row],[Status - Continue or stop audit]] = "Continue", TRUE, IF(BL751 = "Continue", TRUE, FALSE))</f>
        <v>1</v>
      </c>
      <c r="BN752" s="23"/>
    </row>
    <row r="753" spans="1:66" ht="15" hidden="1" customHeight="1" x14ac:dyDescent="0.35">
      <c r="A753" s="18" t="str">
        <f>'Sampling Data'!AI753</f>
        <v/>
      </c>
      <c r="B753" s="18" t="str">
        <f>'Sampling Data'!A753</f>
        <v>2615 CIN 26-O   (ED)</v>
      </c>
      <c r="C753" s="18">
        <f>'Sampling Data'!B753</f>
        <v>32</v>
      </c>
      <c r="D753" s="18">
        <f>'Sampling Data'!C753</f>
        <v>4</v>
      </c>
      <c r="E753" s="19">
        <f>'Sampling Data'!D753</f>
        <v>0</v>
      </c>
      <c r="F753" s="19">
        <f>'Sampling Data'!E753</f>
        <v>0</v>
      </c>
      <c r="G753" s="19">
        <f>'Sampling Data'!F753</f>
        <v>0</v>
      </c>
      <c r="H753" s="19">
        <f>'Sampling Data'!G753</f>
        <v>0</v>
      </c>
      <c r="I753" s="19">
        <f>'Sampling Data'!H753</f>
        <v>0</v>
      </c>
      <c r="J753" s="19">
        <f>'Sampling Data'!I753</f>
        <v>0</v>
      </c>
      <c r="K753" s="19">
        <f>'Sampling Data'!J753</f>
        <v>0</v>
      </c>
      <c r="L753" s="19">
        <f>'Sampling Data'!K753</f>
        <v>0</v>
      </c>
      <c r="M753" s="19">
        <f>'Sampling Data'!L753</f>
        <v>0</v>
      </c>
      <c r="N753" s="19">
        <f>'Sampling Data'!M753</f>
        <v>0</v>
      </c>
      <c r="O753" s="18">
        <f>'Sampling Data'!N753</f>
        <v>0</v>
      </c>
      <c r="P753" s="18">
        <f>'Sampling Data'!O753</f>
        <v>0</v>
      </c>
      <c r="Q753" s="18">
        <f>'Sampling Data'!P753</f>
        <v>36</v>
      </c>
      <c r="R753" s="18">
        <f>'Sampling Data'!AJ753</f>
        <v>0</v>
      </c>
      <c r="S753" s="112"/>
      <c r="T753" s="112"/>
      <c r="U753" s="113"/>
      <c r="V753" s="113"/>
      <c r="W753" s="112"/>
      <c r="X753" s="112"/>
      <c r="Y753" s="112"/>
      <c r="Z753" s="112"/>
      <c r="AA753" s="15"/>
      <c r="AB753" s="15"/>
      <c r="AC753" s="15"/>
      <c r="AD753" s="15"/>
      <c r="AE753" s="114" t="str">
        <f>IF(NOT(ISBLANK(Audit[[#This Row],[Audit Winning Candidate]])), Audit[[#This Row],[Audit Winning Candidate]]-Audit[[#This Row],[Winning Candidate]], "")</f>
        <v/>
      </c>
      <c r="AF753" s="18" t="str">
        <f>IF(NOT(ISBLANK(Audit[[#This Row],[Audit Losing Candidate]])), Audit[[#This Row],[Audit Losing Candidate]]-Audit[[#This Row],[Losing Candidate]], "")</f>
        <v/>
      </c>
      <c r="AG753" s="18" t="str">
        <f>IF(NOT(ISBLANK(Audit[[#This Row],[Audit Candidate 3]])), Audit[[#This Row],[Audit Candidate 3]]-Audit[[#This Row],[Candidate 3]], "")</f>
        <v/>
      </c>
      <c r="AH753" s="18" t="str">
        <f>IF(NOT(ISBLANK(Audit[[#This Row],[Audit Candidate 4]])),Audit[[#This Row],[Audit Candidate 4]]-Audit[[#This Row],[Candidate 4]], "")</f>
        <v/>
      </c>
      <c r="AI753" s="18" t="str">
        <f>IF(NOT(ISBLANK(Audit[[#This Row],[Audit Candidate 5]])), Audit[[#This Row],[Audit Candidate 5]]-Audit[[#This Row],[Candidate 5]], "")</f>
        <v/>
      </c>
      <c r="AJ753" s="18" t="str">
        <f>IF(NOT(ISBLANK(Audit[[#This Row],[Audit Candidate 6]])), Audit[[#This Row],[Audit Candidate 6]]-Audit[[#This Row],[Candidate 6]], "")</f>
        <v/>
      </c>
      <c r="AK753" s="18" t="str">
        <f>IF(NOT(ISBLANK(Audit[[#This Row],[Audit Candidate 7]])), Audit[[#This Row],[Audit Candidate 7]]-Audit[[#This Row],[Candidate 7]], "")</f>
        <v/>
      </c>
      <c r="AL753" s="18" t="str">
        <f>IF(NOT(ISBLANK(Audit[[#This Row],[Audit Candidate 8]])), Audit[[#This Row],[Audit Candidate 8]]-Audit[[#This Row],[Candidate 8]], "")</f>
        <v/>
      </c>
      <c r="AM753" s="18" t="str">
        <f>IF(NOT(ISBLANK(Audit[[#This Row],[Audit Candidate 9]])), Audit[[#This Row],[Audit Candidate 9]]-Audit[[#This Row],[Candidate 9]], "")</f>
        <v/>
      </c>
      <c r="AN753" s="18" t="str">
        <f>IF(NOT(ISBLANK(Audit[[#This Row],[Audit Candidate 10]])), Audit[[#This Row],[Audit Candidate 10]]-Audit[[#This Row],[Candidate 10]], "")</f>
        <v/>
      </c>
      <c r="AO753" s="18" t="str">
        <f>IF(NOT(ISBLANK(Audit[[#This Row],[Audit Candidate 11]])), Audit[[#This Row],[Audit Candidate 11]]-Audit[[#This Row],[Candidate 11]], "")</f>
        <v/>
      </c>
      <c r="AP753" s="18" t="str">
        <f>IF(NOT(ISBLANK(Audit[[#This Row],[Audit Candidate 12]])), Audit[[#This Row],[Audit Candidate 12]]-Audit[[#This Row],[Candidate 12]], "")</f>
        <v/>
      </c>
      <c r="AQ753" s="18">
        <f>SUMIF(Audit[[#This Row],[Difference Winner]:[Difference Candidate 12]], "&gt;0")</f>
        <v>0</v>
      </c>
      <c r="AR753" s="18">
        <f>SUM(Audit[[#This Row],[Difference Winner]:[Difference Candidate 12]])</f>
        <v>0</v>
      </c>
      <c r="AS753" s="18">
        <f>IF(Audit[[#This Row],[Times p Drawn - With Replacement]]&gt;0, IF(Audit[[#This Row],[Canceled Differences]]&lt;0, Audit[[#This Row],[Max Differences]]+ABS(Audit[[#This Row],[Canceled Differences]]), Audit[[#This Row],[Max Differences]]), 0)</f>
        <v>0</v>
      </c>
      <c r="AT753" s="18">
        <f>'Sampling Data'!AB753</f>
        <v>2.0102396582592579E-3</v>
      </c>
      <c r="AU753" s="18">
        <f>IF(
      SUM(Audit[[#This Row],[Audit Losing Candidate]:[Audit Candidate 12]])
      &lt;&gt;0,
      (Audit[[#This Row],[Winning Candidate]]-Audit[[#This Row],[Losing Candidate]]-(Audit[[#This Row],[Audit Winning Candidate]]-Audit[[#This Row],[Audit Losing Candidate]]))/(Audit[[#Totals],[Winning Candidate]]-Audit[[#Totals],[Losing Candidate]]),
      0
)</f>
        <v>0</v>
      </c>
      <c r="AV7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8">
        <f>IF(Audit[[#This Row],[Max Relative Error (ep)]] = 0, 0, Audit[[#This Row],[Max Relative Error (ep)]]/Audit[[#This Row],[Error Bound (up) - Max. possible relative overstatement]])</f>
        <v>0</v>
      </c>
      <c r="BH7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3" s="18">
        <f t="shared" si="12"/>
        <v>1</v>
      </c>
      <c r="BJ753" s="18">
        <f>PRODUCT($BI$5:BI753)</f>
        <v>0.32656797278968008</v>
      </c>
      <c r="BK753" s="20">
        <f>1 - Audit[[#This Row],[K-M P Value]]</f>
        <v>0.67343202721031992</v>
      </c>
      <c r="BL753" s="18" t="str">
        <f>IF(Audit[[#This Row],[K-M P Value]]&gt;1-'General Info'!$B$12,"Continue", "Stop")</f>
        <v>Continue</v>
      </c>
      <c r="BM753" s="23" t="b">
        <f>IF(Audit[[#This Row],[Status - Continue or stop audit]] = "Continue", TRUE, IF(BL752 = "Continue", TRUE, FALSE))</f>
        <v>1</v>
      </c>
      <c r="BN753" s="23"/>
    </row>
    <row r="754" spans="1:66" ht="15" hidden="1" customHeight="1" x14ac:dyDescent="0.35">
      <c r="A754" s="18" t="str">
        <f>'Sampling Data'!AI754</f>
        <v/>
      </c>
      <c r="B754" s="18" t="str">
        <f>'Sampling Data'!A754</f>
        <v>2616 CIN 26-P   (ED)</v>
      </c>
      <c r="C754" s="18">
        <f>'Sampling Data'!B754</f>
        <v>10</v>
      </c>
      <c r="D754" s="18">
        <f>'Sampling Data'!C754</f>
        <v>1</v>
      </c>
      <c r="E754" s="19">
        <f>'Sampling Data'!D754</f>
        <v>0</v>
      </c>
      <c r="F754" s="19">
        <f>'Sampling Data'!E754</f>
        <v>0</v>
      </c>
      <c r="G754" s="19">
        <f>'Sampling Data'!F754</f>
        <v>0</v>
      </c>
      <c r="H754" s="19">
        <f>'Sampling Data'!G754</f>
        <v>0</v>
      </c>
      <c r="I754" s="19">
        <f>'Sampling Data'!H754</f>
        <v>0</v>
      </c>
      <c r="J754" s="19">
        <f>'Sampling Data'!I754</f>
        <v>0</v>
      </c>
      <c r="K754" s="19">
        <f>'Sampling Data'!J754</f>
        <v>0</v>
      </c>
      <c r="L754" s="19">
        <f>'Sampling Data'!K754</f>
        <v>0</v>
      </c>
      <c r="M754" s="19">
        <f>'Sampling Data'!L754</f>
        <v>0</v>
      </c>
      <c r="N754" s="19">
        <f>'Sampling Data'!M754</f>
        <v>0</v>
      </c>
      <c r="O754" s="18">
        <f>'Sampling Data'!N754</f>
        <v>1</v>
      </c>
      <c r="P754" s="18">
        <f>'Sampling Data'!O754</f>
        <v>0</v>
      </c>
      <c r="Q754" s="18">
        <f>'Sampling Data'!P754</f>
        <v>12</v>
      </c>
      <c r="R754" s="18">
        <f>'Sampling Data'!AJ754</f>
        <v>0</v>
      </c>
      <c r="S754" s="112"/>
      <c r="T754" s="112"/>
      <c r="U754" s="113"/>
      <c r="V754" s="113"/>
      <c r="W754" s="112"/>
      <c r="X754" s="112"/>
      <c r="Y754" s="112"/>
      <c r="Z754" s="112"/>
      <c r="AA754" s="15"/>
      <c r="AB754" s="15"/>
      <c r="AC754" s="15"/>
      <c r="AD754" s="15"/>
      <c r="AE754" s="114" t="str">
        <f>IF(NOT(ISBLANK(Audit[[#This Row],[Audit Winning Candidate]])), Audit[[#This Row],[Audit Winning Candidate]]-Audit[[#This Row],[Winning Candidate]], "")</f>
        <v/>
      </c>
      <c r="AF754" s="18" t="str">
        <f>IF(NOT(ISBLANK(Audit[[#This Row],[Audit Losing Candidate]])), Audit[[#This Row],[Audit Losing Candidate]]-Audit[[#This Row],[Losing Candidate]], "")</f>
        <v/>
      </c>
      <c r="AG754" s="18" t="str">
        <f>IF(NOT(ISBLANK(Audit[[#This Row],[Audit Candidate 3]])), Audit[[#This Row],[Audit Candidate 3]]-Audit[[#This Row],[Candidate 3]], "")</f>
        <v/>
      </c>
      <c r="AH754" s="18" t="str">
        <f>IF(NOT(ISBLANK(Audit[[#This Row],[Audit Candidate 4]])),Audit[[#This Row],[Audit Candidate 4]]-Audit[[#This Row],[Candidate 4]], "")</f>
        <v/>
      </c>
      <c r="AI754" s="18" t="str">
        <f>IF(NOT(ISBLANK(Audit[[#This Row],[Audit Candidate 5]])), Audit[[#This Row],[Audit Candidate 5]]-Audit[[#This Row],[Candidate 5]], "")</f>
        <v/>
      </c>
      <c r="AJ754" s="18" t="str">
        <f>IF(NOT(ISBLANK(Audit[[#This Row],[Audit Candidate 6]])), Audit[[#This Row],[Audit Candidate 6]]-Audit[[#This Row],[Candidate 6]], "")</f>
        <v/>
      </c>
      <c r="AK754" s="18" t="str">
        <f>IF(NOT(ISBLANK(Audit[[#This Row],[Audit Candidate 7]])), Audit[[#This Row],[Audit Candidate 7]]-Audit[[#This Row],[Candidate 7]], "")</f>
        <v/>
      </c>
      <c r="AL754" s="18" t="str">
        <f>IF(NOT(ISBLANK(Audit[[#This Row],[Audit Candidate 8]])), Audit[[#This Row],[Audit Candidate 8]]-Audit[[#This Row],[Candidate 8]], "")</f>
        <v/>
      </c>
      <c r="AM754" s="18" t="str">
        <f>IF(NOT(ISBLANK(Audit[[#This Row],[Audit Candidate 9]])), Audit[[#This Row],[Audit Candidate 9]]-Audit[[#This Row],[Candidate 9]], "")</f>
        <v/>
      </c>
      <c r="AN754" s="18" t="str">
        <f>IF(NOT(ISBLANK(Audit[[#This Row],[Audit Candidate 10]])), Audit[[#This Row],[Audit Candidate 10]]-Audit[[#This Row],[Candidate 10]], "")</f>
        <v/>
      </c>
      <c r="AO754" s="18" t="str">
        <f>IF(NOT(ISBLANK(Audit[[#This Row],[Audit Candidate 11]])), Audit[[#This Row],[Audit Candidate 11]]-Audit[[#This Row],[Candidate 11]], "")</f>
        <v/>
      </c>
      <c r="AP754" s="18" t="str">
        <f>IF(NOT(ISBLANK(Audit[[#This Row],[Audit Candidate 12]])), Audit[[#This Row],[Audit Candidate 12]]-Audit[[#This Row],[Candidate 12]], "")</f>
        <v/>
      </c>
      <c r="AQ754" s="18">
        <f>SUMIF(Audit[[#This Row],[Difference Winner]:[Difference Candidate 12]], "&gt;0")</f>
        <v>0</v>
      </c>
      <c r="AR754" s="18">
        <f>SUM(Audit[[#This Row],[Difference Winner]:[Difference Candidate 12]])</f>
        <v>0</v>
      </c>
      <c r="AS754" s="18">
        <f>IF(Audit[[#This Row],[Times p Drawn - With Replacement]]&gt;0, IF(Audit[[#This Row],[Canceled Differences]]&lt;0, Audit[[#This Row],[Max Differences]]+ABS(Audit[[#This Row],[Canceled Differences]]), Audit[[#This Row],[Max Differences]]), 0)</f>
        <v>0</v>
      </c>
      <c r="AT754" s="18">
        <f>'Sampling Data'!AB754</f>
        <v>6.5960988786631911E-4</v>
      </c>
      <c r="AU754" s="18">
        <f>IF(
      SUM(Audit[[#This Row],[Audit Losing Candidate]:[Audit Candidate 12]])
      &lt;&gt;0,
      (Audit[[#This Row],[Winning Candidate]]-Audit[[#This Row],[Losing Candidate]]-(Audit[[#This Row],[Audit Winning Candidate]]-Audit[[#This Row],[Audit Losing Candidate]]))/(Audit[[#Totals],[Winning Candidate]]-Audit[[#Totals],[Losing Candidate]]),
      0
)</f>
        <v>0</v>
      </c>
      <c r="AV7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8">
        <f>IF(Audit[[#This Row],[Max Relative Error (ep)]] = 0, 0, Audit[[#This Row],[Max Relative Error (ep)]]/Audit[[#This Row],[Error Bound (up) - Max. possible relative overstatement]])</f>
        <v>0</v>
      </c>
      <c r="BH7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4" s="18">
        <f t="shared" si="12"/>
        <v>1</v>
      </c>
      <c r="BJ754" s="18">
        <f>PRODUCT($BI$5:BI754)</f>
        <v>0.32656797278968008</v>
      </c>
      <c r="BK754" s="20">
        <f>1 - Audit[[#This Row],[K-M P Value]]</f>
        <v>0.67343202721031992</v>
      </c>
      <c r="BL754" s="18" t="str">
        <f>IF(Audit[[#This Row],[K-M P Value]]&gt;1-'General Info'!$B$12,"Continue", "Stop")</f>
        <v>Continue</v>
      </c>
      <c r="BM754" s="23" t="b">
        <f>IF(Audit[[#This Row],[Status - Continue or stop audit]] = "Continue", TRUE, IF(BL753 = "Continue", TRUE, FALSE))</f>
        <v>1</v>
      </c>
      <c r="BN754" s="23"/>
    </row>
    <row r="755" spans="1:66" ht="15" hidden="1" customHeight="1" x14ac:dyDescent="0.35">
      <c r="A755" s="18" t="str">
        <f>'Sampling Data'!AI755</f>
        <v/>
      </c>
      <c r="B755" s="18" t="str">
        <f>'Sampling Data'!A755</f>
        <v>2617 CIN 26-Q   (ED)</v>
      </c>
      <c r="C755" s="18">
        <f>'Sampling Data'!B755</f>
        <v>7</v>
      </c>
      <c r="D755" s="18">
        <f>'Sampling Data'!C755</f>
        <v>1</v>
      </c>
      <c r="E755" s="19">
        <f>'Sampling Data'!D755</f>
        <v>0</v>
      </c>
      <c r="F755" s="19">
        <f>'Sampling Data'!E755</f>
        <v>0</v>
      </c>
      <c r="G755" s="19">
        <f>'Sampling Data'!F755</f>
        <v>0</v>
      </c>
      <c r="H755" s="19">
        <f>'Sampling Data'!G755</f>
        <v>0</v>
      </c>
      <c r="I755" s="19">
        <f>'Sampling Data'!H755</f>
        <v>0</v>
      </c>
      <c r="J755" s="19">
        <f>'Sampling Data'!I755</f>
        <v>0</v>
      </c>
      <c r="K755" s="19">
        <f>'Sampling Data'!J755</f>
        <v>0</v>
      </c>
      <c r="L755" s="19">
        <f>'Sampling Data'!K755</f>
        <v>0</v>
      </c>
      <c r="M755" s="19">
        <f>'Sampling Data'!L755</f>
        <v>0</v>
      </c>
      <c r="N755" s="19">
        <f>'Sampling Data'!M755</f>
        <v>0</v>
      </c>
      <c r="O755" s="18">
        <f>'Sampling Data'!N755</f>
        <v>0</v>
      </c>
      <c r="P755" s="18">
        <f>'Sampling Data'!O755</f>
        <v>0</v>
      </c>
      <c r="Q755" s="18">
        <f>'Sampling Data'!P755</f>
        <v>8</v>
      </c>
      <c r="R755" s="18">
        <f>'Sampling Data'!AJ755</f>
        <v>0</v>
      </c>
      <c r="S755" s="112"/>
      <c r="T755" s="112"/>
      <c r="U755" s="113"/>
      <c r="V755" s="113"/>
      <c r="W755" s="112"/>
      <c r="X755" s="112"/>
      <c r="Y755" s="112"/>
      <c r="Z755" s="112"/>
      <c r="AA755" s="15"/>
      <c r="AB755" s="15"/>
      <c r="AC755" s="15"/>
      <c r="AD755" s="15"/>
      <c r="AE755" s="114" t="str">
        <f>IF(NOT(ISBLANK(Audit[[#This Row],[Audit Winning Candidate]])), Audit[[#This Row],[Audit Winning Candidate]]-Audit[[#This Row],[Winning Candidate]], "")</f>
        <v/>
      </c>
      <c r="AF755" s="18" t="str">
        <f>IF(NOT(ISBLANK(Audit[[#This Row],[Audit Losing Candidate]])), Audit[[#This Row],[Audit Losing Candidate]]-Audit[[#This Row],[Losing Candidate]], "")</f>
        <v/>
      </c>
      <c r="AG755" s="18" t="str">
        <f>IF(NOT(ISBLANK(Audit[[#This Row],[Audit Candidate 3]])), Audit[[#This Row],[Audit Candidate 3]]-Audit[[#This Row],[Candidate 3]], "")</f>
        <v/>
      </c>
      <c r="AH755" s="18" t="str">
        <f>IF(NOT(ISBLANK(Audit[[#This Row],[Audit Candidate 4]])),Audit[[#This Row],[Audit Candidate 4]]-Audit[[#This Row],[Candidate 4]], "")</f>
        <v/>
      </c>
      <c r="AI755" s="18" t="str">
        <f>IF(NOT(ISBLANK(Audit[[#This Row],[Audit Candidate 5]])), Audit[[#This Row],[Audit Candidate 5]]-Audit[[#This Row],[Candidate 5]], "")</f>
        <v/>
      </c>
      <c r="AJ755" s="18" t="str">
        <f>IF(NOT(ISBLANK(Audit[[#This Row],[Audit Candidate 6]])), Audit[[#This Row],[Audit Candidate 6]]-Audit[[#This Row],[Candidate 6]], "")</f>
        <v/>
      </c>
      <c r="AK755" s="18" t="str">
        <f>IF(NOT(ISBLANK(Audit[[#This Row],[Audit Candidate 7]])), Audit[[#This Row],[Audit Candidate 7]]-Audit[[#This Row],[Candidate 7]], "")</f>
        <v/>
      </c>
      <c r="AL755" s="18" t="str">
        <f>IF(NOT(ISBLANK(Audit[[#This Row],[Audit Candidate 8]])), Audit[[#This Row],[Audit Candidate 8]]-Audit[[#This Row],[Candidate 8]], "")</f>
        <v/>
      </c>
      <c r="AM755" s="18" t="str">
        <f>IF(NOT(ISBLANK(Audit[[#This Row],[Audit Candidate 9]])), Audit[[#This Row],[Audit Candidate 9]]-Audit[[#This Row],[Candidate 9]], "")</f>
        <v/>
      </c>
      <c r="AN755" s="18" t="str">
        <f>IF(NOT(ISBLANK(Audit[[#This Row],[Audit Candidate 10]])), Audit[[#This Row],[Audit Candidate 10]]-Audit[[#This Row],[Candidate 10]], "")</f>
        <v/>
      </c>
      <c r="AO755" s="18" t="str">
        <f>IF(NOT(ISBLANK(Audit[[#This Row],[Audit Candidate 11]])), Audit[[#This Row],[Audit Candidate 11]]-Audit[[#This Row],[Candidate 11]], "")</f>
        <v/>
      </c>
      <c r="AP755" s="18" t="str">
        <f>IF(NOT(ISBLANK(Audit[[#This Row],[Audit Candidate 12]])), Audit[[#This Row],[Audit Candidate 12]]-Audit[[#This Row],[Candidate 12]], "")</f>
        <v/>
      </c>
      <c r="AQ755" s="18">
        <f>SUMIF(Audit[[#This Row],[Difference Winner]:[Difference Candidate 12]], "&gt;0")</f>
        <v>0</v>
      </c>
      <c r="AR755" s="18">
        <f>SUM(Audit[[#This Row],[Difference Winner]:[Difference Candidate 12]])</f>
        <v>0</v>
      </c>
      <c r="AS755" s="18">
        <f>IF(Audit[[#This Row],[Times p Drawn - With Replacement]]&gt;0, IF(Audit[[#This Row],[Canceled Differences]]&lt;0, Audit[[#This Row],[Max Differences]]+ABS(Audit[[#This Row],[Canceled Differences]]), Audit[[#This Row],[Max Differences]]), 0)</f>
        <v>0</v>
      </c>
      <c r="AT755" s="18">
        <f>'Sampling Data'!AB755</f>
        <v>4.3973992524421271E-4</v>
      </c>
      <c r="AU755" s="18">
        <f>IF(
      SUM(Audit[[#This Row],[Audit Losing Candidate]:[Audit Candidate 12]])
      &lt;&gt;0,
      (Audit[[#This Row],[Winning Candidate]]-Audit[[#This Row],[Losing Candidate]]-(Audit[[#This Row],[Audit Winning Candidate]]-Audit[[#This Row],[Audit Losing Candidate]]))/(Audit[[#Totals],[Winning Candidate]]-Audit[[#Totals],[Losing Candidate]]),
      0
)</f>
        <v>0</v>
      </c>
      <c r="AV7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8">
        <f>IF(Audit[[#This Row],[Max Relative Error (ep)]] = 0, 0, Audit[[#This Row],[Max Relative Error (ep)]]/Audit[[#This Row],[Error Bound (up) - Max. possible relative overstatement]])</f>
        <v>0</v>
      </c>
      <c r="BH7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5" s="18">
        <f t="shared" si="12"/>
        <v>1</v>
      </c>
      <c r="BJ755" s="18">
        <f>PRODUCT($BI$5:BI755)</f>
        <v>0.32656797278968008</v>
      </c>
      <c r="BK755" s="20">
        <f>1 - Audit[[#This Row],[K-M P Value]]</f>
        <v>0.67343202721031992</v>
      </c>
      <c r="BL755" s="18" t="str">
        <f>IF(Audit[[#This Row],[K-M P Value]]&gt;1-'General Info'!$B$12,"Continue", "Stop")</f>
        <v>Continue</v>
      </c>
      <c r="BM755" s="23" t="b">
        <f>IF(Audit[[#This Row],[Status - Continue or stop audit]] = "Continue", TRUE, IF(BL754 = "Continue", TRUE, FALSE))</f>
        <v>1</v>
      </c>
      <c r="BN755" s="23"/>
    </row>
    <row r="756" spans="1:66" ht="15" hidden="1" customHeight="1" x14ac:dyDescent="0.35">
      <c r="A756" s="18" t="str">
        <f>'Sampling Data'!AI756</f>
        <v/>
      </c>
      <c r="B756" s="18" t="str">
        <f>'Sampling Data'!A756</f>
        <v>2618 CIN 26-R   (ED)</v>
      </c>
      <c r="C756" s="18">
        <f>'Sampling Data'!B756</f>
        <v>7</v>
      </c>
      <c r="D756" s="18">
        <f>'Sampling Data'!C756</f>
        <v>0</v>
      </c>
      <c r="E756" s="19">
        <f>'Sampling Data'!D756</f>
        <v>0</v>
      </c>
      <c r="F756" s="19">
        <f>'Sampling Data'!E756</f>
        <v>0</v>
      </c>
      <c r="G756" s="19">
        <f>'Sampling Data'!F756</f>
        <v>0</v>
      </c>
      <c r="H756" s="19">
        <f>'Sampling Data'!G756</f>
        <v>0</v>
      </c>
      <c r="I756" s="19">
        <f>'Sampling Data'!H756</f>
        <v>0</v>
      </c>
      <c r="J756" s="19">
        <f>'Sampling Data'!I756</f>
        <v>0</v>
      </c>
      <c r="K756" s="19">
        <f>'Sampling Data'!J756</f>
        <v>0</v>
      </c>
      <c r="L756" s="19">
        <f>'Sampling Data'!K756</f>
        <v>0</v>
      </c>
      <c r="M756" s="19">
        <f>'Sampling Data'!L756</f>
        <v>0</v>
      </c>
      <c r="N756" s="19">
        <f>'Sampling Data'!M756</f>
        <v>0</v>
      </c>
      <c r="O756" s="18">
        <f>'Sampling Data'!N756</f>
        <v>0</v>
      </c>
      <c r="P756" s="18">
        <f>'Sampling Data'!O756</f>
        <v>0</v>
      </c>
      <c r="Q756" s="18">
        <f>'Sampling Data'!P756</f>
        <v>7</v>
      </c>
      <c r="R756" s="18">
        <f>'Sampling Data'!AJ756</f>
        <v>0</v>
      </c>
      <c r="S756" s="112"/>
      <c r="T756" s="112"/>
      <c r="U756" s="113"/>
      <c r="V756" s="113"/>
      <c r="W756" s="112"/>
      <c r="X756" s="112"/>
      <c r="Y756" s="112"/>
      <c r="Z756" s="112"/>
      <c r="AA756" s="15"/>
      <c r="AB756" s="15"/>
      <c r="AC756" s="15"/>
      <c r="AD756" s="15"/>
      <c r="AE756" s="114" t="str">
        <f>IF(NOT(ISBLANK(Audit[[#This Row],[Audit Winning Candidate]])), Audit[[#This Row],[Audit Winning Candidate]]-Audit[[#This Row],[Winning Candidate]], "")</f>
        <v/>
      </c>
      <c r="AF756" s="18" t="str">
        <f>IF(NOT(ISBLANK(Audit[[#This Row],[Audit Losing Candidate]])), Audit[[#This Row],[Audit Losing Candidate]]-Audit[[#This Row],[Losing Candidate]], "")</f>
        <v/>
      </c>
      <c r="AG756" s="18" t="str">
        <f>IF(NOT(ISBLANK(Audit[[#This Row],[Audit Candidate 3]])), Audit[[#This Row],[Audit Candidate 3]]-Audit[[#This Row],[Candidate 3]], "")</f>
        <v/>
      </c>
      <c r="AH756" s="18" t="str">
        <f>IF(NOT(ISBLANK(Audit[[#This Row],[Audit Candidate 4]])),Audit[[#This Row],[Audit Candidate 4]]-Audit[[#This Row],[Candidate 4]], "")</f>
        <v/>
      </c>
      <c r="AI756" s="18" t="str">
        <f>IF(NOT(ISBLANK(Audit[[#This Row],[Audit Candidate 5]])), Audit[[#This Row],[Audit Candidate 5]]-Audit[[#This Row],[Candidate 5]], "")</f>
        <v/>
      </c>
      <c r="AJ756" s="18" t="str">
        <f>IF(NOT(ISBLANK(Audit[[#This Row],[Audit Candidate 6]])), Audit[[#This Row],[Audit Candidate 6]]-Audit[[#This Row],[Candidate 6]], "")</f>
        <v/>
      </c>
      <c r="AK756" s="18" t="str">
        <f>IF(NOT(ISBLANK(Audit[[#This Row],[Audit Candidate 7]])), Audit[[#This Row],[Audit Candidate 7]]-Audit[[#This Row],[Candidate 7]], "")</f>
        <v/>
      </c>
      <c r="AL756" s="18" t="str">
        <f>IF(NOT(ISBLANK(Audit[[#This Row],[Audit Candidate 8]])), Audit[[#This Row],[Audit Candidate 8]]-Audit[[#This Row],[Candidate 8]], "")</f>
        <v/>
      </c>
      <c r="AM756" s="18" t="str">
        <f>IF(NOT(ISBLANK(Audit[[#This Row],[Audit Candidate 9]])), Audit[[#This Row],[Audit Candidate 9]]-Audit[[#This Row],[Candidate 9]], "")</f>
        <v/>
      </c>
      <c r="AN756" s="18" t="str">
        <f>IF(NOT(ISBLANK(Audit[[#This Row],[Audit Candidate 10]])), Audit[[#This Row],[Audit Candidate 10]]-Audit[[#This Row],[Candidate 10]], "")</f>
        <v/>
      </c>
      <c r="AO756" s="18" t="str">
        <f>IF(NOT(ISBLANK(Audit[[#This Row],[Audit Candidate 11]])), Audit[[#This Row],[Audit Candidate 11]]-Audit[[#This Row],[Candidate 11]], "")</f>
        <v/>
      </c>
      <c r="AP756" s="18" t="str">
        <f>IF(NOT(ISBLANK(Audit[[#This Row],[Audit Candidate 12]])), Audit[[#This Row],[Audit Candidate 12]]-Audit[[#This Row],[Candidate 12]], "")</f>
        <v/>
      </c>
      <c r="AQ756" s="18">
        <f>SUMIF(Audit[[#This Row],[Difference Winner]:[Difference Candidate 12]], "&gt;0")</f>
        <v>0</v>
      </c>
      <c r="AR756" s="18">
        <f>SUM(Audit[[#This Row],[Difference Winner]:[Difference Candidate 12]])</f>
        <v>0</v>
      </c>
      <c r="AS756" s="18">
        <f>IF(Audit[[#This Row],[Times p Drawn - With Replacement]]&gt;0, IF(Audit[[#This Row],[Canceled Differences]]&lt;0, Audit[[#This Row],[Max Differences]]+ABS(Audit[[#This Row],[Canceled Differences]]), Audit[[#This Row],[Max Differences]]), 0)</f>
        <v>0</v>
      </c>
      <c r="AT756" s="18">
        <f>'Sampling Data'!AB756</f>
        <v>4.3973992524421271E-4</v>
      </c>
      <c r="AU756" s="18">
        <f>IF(
      SUM(Audit[[#This Row],[Audit Losing Candidate]:[Audit Candidate 12]])
      &lt;&gt;0,
      (Audit[[#This Row],[Winning Candidate]]-Audit[[#This Row],[Losing Candidate]]-(Audit[[#This Row],[Audit Winning Candidate]]-Audit[[#This Row],[Audit Losing Candidate]]))/(Audit[[#Totals],[Winning Candidate]]-Audit[[#Totals],[Losing Candidate]]),
      0
)</f>
        <v>0</v>
      </c>
      <c r="AV7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8">
        <f>IF(Audit[[#This Row],[Max Relative Error (ep)]] = 0, 0, Audit[[#This Row],[Max Relative Error (ep)]]/Audit[[#This Row],[Error Bound (up) - Max. possible relative overstatement]])</f>
        <v>0</v>
      </c>
      <c r="BH7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6" s="18">
        <f t="shared" si="12"/>
        <v>1</v>
      </c>
      <c r="BJ756" s="18">
        <f>PRODUCT($BI$5:BI756)</f>
        <v>0.32656797278968008</v>
      </c>
      <c r="BK756" s="20">
        <f>1 - Audit[[#This Row],[K-M P Value]]</f>
        <v>0.67343202721031992</v>
      </c>
      <c r="BL756" s="18" t="str">
        <f>IF(Audit[[#This Row],[K-M P Value]]&gt;1-'General Info'!$B$12,"Continue", "Stop")</f>
        <v>Continue</v>
      </c>
      <c r="BM756" s="23" t="b">
        <f>IF(Audit[[#This Row],[Status - Continue or stop audit]] = "Continue", TRUE, IF(BL755 = "Continue", TRUE, FALSE))</f>
        <v>1</v>
      </c>
      <c r="BN756" s="23"/>
    </row>
    <row r="757" spans="1:66" ht="15" hidden="1" customHeight="1" x14ac:dyDescent="0.35">
      <c r="A757" s="18" t="str">
        <f>'Sampling Data'!AI757</f>
        <v/>
      </c>
      <c r="B757" s="18" t="str">
        <f>'Sampling Data'!A757</f>
        <v>2619 CIN 26-S   (ED)</v>
      </c>
      <c r="C757" s="18">
        <f>'Sampling Data'!B757</f>
        <v>28</v>
      </c>
      <c r="D757" s="18">
        <f>'Sampling Data'!C757</f>
        <v>6</v>
      </c>
      <c r="E757" s="19">
        <f>'Sampling Data'!D757</f>
        <v>0</v>
      </c>
      <c r="F757" s="19">
        <f>'Sampling Data'!E757</f>
        <v>0</v>
      </c>
      <c r="G757" s="19">
        <f>'Sampling Data'!F757</f>
        <v>0</v>
      </c>
      <c r="H757" s="19">
        <f>'Sampling Data'!G757</f>
        <v>0</v>
      </c>
      <c r="I757" s="19">
        <f>'Sampling Data'!H757</f>
        <v>0</v>
      </c>
      <c r="J757" s="19">
        <f>'Sampling Data'!I757</f>
        <v>0</v>
      </c>
      <c r="K757" s="19">
        <f>'Sampling Data'!J757</f>
        <v>0</v>
      </c>
      <c r="L757" s="19">
        <f>'Sampling Data'!K757</f>
        <v>0</v>
      </c>
      <c r="M757" s="19">
        <f>'Sampling Data'!L757</f>
        <v>0</v>
      </c>
      <c r="N757" s="19">
        <f>'Sampling Data'!M757</f>
        <v>0</v>
      </c>
      <c r="O757" s="18">
        <f>'Sampling Data'!N757</f>
        <v>0</v>
      </c>
      <c r="P757" s="18">
        <f>'Sampling Data'!O757</f>
        <v>0</v>
      </c>
      <c r="Q757" s="18">
        <f>'Sampling Data'!P757</f>
        <v>34</v>
      </c>
      <c r="R757" s="18">
        <f>'Sampling Data'!AJ757</f>
        <v>0</v>
      </c>
      <c r="S757" s="112"/>
      <c r="T757" s="112"/>
      <c r="U757" s="113"/>
      <c r="V757" s="113"/>
      <c r="W757" s="112"/>
      <c r="X757" s="112"/>
      <c r="Y757" s="112"/>
      <c r="Z757" s="112"/>
      <c r="AA757" s="15"/>
      <c r="AB757" s="15"/>
      <c r="AC757" s="15"/>
      <c r="AD757" s="15"/>
      <c r="AE757" s="114" t="str">
        <f>IF(NOT(ISBLANK(Audit[[#This Row],[Audit Winning Candidate]])), Audit[[#This Row],[Audit Winning Candidate]]-Audit[[#This Row],[Winning Candidate]], "")</f>
        <v/>
      </c>
      <c r="AF757" s="18" t="str">
        <f>IF(NOT(ISBLANK(Audit[[#This Row],[Audit Losing Candidate]])), Audit[[#This Row],[Audit Losing Candidate]]-Audit[[#This Row],[Losing Candidate]], "")</f>
        <v/>
      </c>
      <c r="AG757" s="18" t="str">
        <f>IF(NOT(ISBLANK(Audit[[#This Row],[Audit Candidate 3]])), Audit[[#This Row],[Audit Candidate 3]]-Audit[[#This Row],[Candidate 3]], "")</f>
        <v/>
      </c>
      <c r="AH757" s="18" t="str">
        <f>IF(NOT(ISBLANK(Audit[[#This Row],[Audit Candidate 4]])),Audit[[#This Row],[Audit Candidate 4]]-Audit[[#This Row],[Candidate 4]], "")</f>
        <v/>
      </c>
      <c r="AI757" s="18" t="str">
        <f>IF(NOT(ISBLANK(Audit[[#This Row],[Audit Candidate 5]])), Audit[[#This Row],[Audit Candidate 5]]-Audit[[#This Row],[Candidate 5]], "")</f>
        <v/>
      </c>
      <c r="AJ757" s="18" t="str">
        <f>IF(NOT(ISBLANK(Audit[[#This Row],[Audit Candidate 6]])), Audit[[#This Row],[Audit Candidate 6]]-Audit[[#This Row],[Candidate 6]], "")</f>
        <v/>
      </c>
      <c r="AK757" s="18" t="str">
        <f>IF(NOT(ISBLANK(Audit[[#This Row],[Audit Candidate 7]])), Audit[[#This Row],[Audit Candidate 7]]-Audit[[#This Row],[Candidate 7]], "")</f>
        <v/>
      </c>
      <c r="AL757" s="18" t="str">
        <f>IF(NOT(ISBLANK(Audit[[#This Row],[Audit Candidate 8]])), Audit[[#This Row],[Audit Candidate 8]]-Audit[[#This Row],[Candidate 8]], "")</f>
        <v/>
      </c>
      <c r="AM757" s="18" t="str">
        <f>IF(NOT(ISBLANK(Audit[[#This Row],[Audit Candidate 9]])), Audit[[#This Row],[Audit Candidate 9]]-Audit[[#This Row],[Candidate 9]], "")</f>
        <v/>
      </c>
      <c r="AN757" s="18" t="str">
        <f>IF(NOT(ISBLANK(Audit[[#This Row],[Audit Candidate 10]])), Audit[[#This Row],[Audit Candidate 10]]-Audit[[#This Row],[Candidate 10]], "")</f>
        <v/>
      </c>
      <c r="AO757" s="18" t="str">
        <f>IF(NOT(ISBLANK(Audit[[#This Row],[Audit Candidate 11]])), Audit[[#This Row],[Audit Candidate 11]]-Audit[[#This Row],[Candidate 11]], "")</f>
        <v/>
      </c>
      <c r="AP757" s="18" t="str">
        <f>IF(NOT(ISBLANK(Audit[[#This Row],[Audit Candidate 12]])), Audit[[#This Row],[Audit Candidate 12]]-Audit[[#This Row],[Candidate 12]], "")</f>
        <v/>
      </c>
      <c r="AQ757" s="18">
        <f>SUMIF(Audit[[#This Row],[Difference Winner]:[Difference Candidate 12]], "&gt;0")</f>
        <v>0</v>
      </c>
      <c r="AR757" s="18">
        <f>SUM(Audit[[#This Row],[Difference Winner]:[Difference Candidate 12]])</f>
        <v>0</v>
      </c>
      <c r="AS757" s="18">
        <f>IF(Audit[[#This Row],[Times p Drawn - With Replacement]]&gt;0, IF(Audit[[#This Row],[Canceled Differences]]&lt;0, Audit[[#This Row],[Max Differences]]+ABS(Audit[[#This Row],[Canceled Differences]]), Audit[[#This Row],[Max Differences]]), 0)</f>
        <v>0</v>
      </c>
      <c r="AT757" s="18">
        <f>'Sampling Data'!AB757</f>
        <v>1.7589597009768508E-3</v>
      </c>
      <c r="AU757" s="18">
        <f>IF(
      SUM(Audit[[#This Row],[Audit Losing Candidate]:[Audit Candidate 12]])
      &lt;&gt;0,
      (Audit[[#This Row],[Winning Candidate]]-Audit[[#This Row],[Losing Candidate]]-(Audit[[#This Row],[Audit Winning Candidate]]-Audit[[#This Row],[Audit Losing Candidate]]))/(Audit[[#Totals],[Winning Candidate]]-Audit[[#Totals],[Losing Candidate]]),
      0
)</f>
        <v>0</v>
      </c>
      <c r="AV7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8">
        <f>IF(Audit[[#This Row],[Max Relative Error (ep)]] = 0, 0, Audit[[#This Row],[Max Relative Error (ep)]]/Audit[[#This Row],[Error Bound (up) - Max. possible relative overstatement]])</f>
        <v>0</v>
      </c>
      <c r="BH7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7" s="18">
        <f t="shared" si="12"/>
        <v>1</v>
      </c>
      <c r="BJ757" s="18">
        <f>PRODUCT($BI$5:BI757)</f>
        <v>0.32656797278968008</v>
      </c>
      <c r="BK757" s="20">
        <f>1 - Audit[[#This Row],[K-M P Value]]</f>
        <v>0.67343202721031992</v>
      </c>
      <c r="BL757" s="18" t="str">
        <f>IF(Audit[[#This Row],[K-M P Value]]&gt;1-'General Info'!$B$12,"Continue", "Stop")</f>
        <v>Continue</v>
      </c>
      <c r="BM757" s="23" t="b">
        <f>IF(Audit[[#This Row],[Status - Continue or stop audit]] = "Continue", TRUE, IF(BL756 = "Continue", TRUE, FALSE))</f>
        <v>1</v>
      </c>
      <c r="BN757" s="23"/>
    </row>
    <row r="758" spans="1:66" ht="15" hidden="1" customHeight="1" x14ac:dyDescent="0.35">
      <c r="A758" s="18" t="str">
        <f>'Sampling Data'!AI758</f>
        <v/>
      </c>
      <c r="B758" s="18" t="str">
        <f>'Sampling Data'!A758</f>
        <v>2811 BLUE 1-A   (ED)</v>
      </c>
      <c r="C758" s="18">
        <f>'Sampling Data'!B758</f>
        <v>80</v>
      </c>
      <c r="D758" s="18">
        <f>'Sampling Data'!C758</f>
        <v>16</v>
      </c>
      <c r="E758" s="19">
        <f>'Sampling Data'!D758</f>
        <v>0</v>
      </c>
      <c r="F758" s="19">
        <f>'Sampling Data'!E758</f>
        <v>0</v>
      </c>
      <c r="G758" s="19">
        <f>'Sampling Data'!F758</f>
        <v>0</v>
      </c>
      <c r="H758" s="19">
        <f>'Sampling Data'!G758</f>
        <v>0</v>
      </c>
      <c r="I758" s="19">
        <f>'Sampling Data'!H758</f>
        <v>0</v>
      </c>
      <c r="J758" s="19">
        <f>'Sampling Data'!I758</f>
        <v>0</v>
      </c>
      <c r="K758" s="19">
        <f>'Sampling Data'!J758</f>
        <v>0</v>
      </c>
      <c r="L758" s="19">
        <f>'Sampling Data'!K758</f>
        <v>0</v>
      </c>
      <c r="M758" s="19">
        <f>'Sampling Data'!L758</f>
        <v>0</v>
      </c>
      <c r="N758" s="19">
        <f>'Sampling Data'!M758</f>
        <v>0</v>
      </c>
      <c r="O758" s="18">
        <f>'Sampling Data'!N758</f>
        <v>0</v>
      </c>
      <c r="P758" s="18">
        <f>'Sampling Data'!O758</f>
        <v>1</v>
      </c>
      <c r="Q758" s="18">
        <f>'Sampling Data'!P758</f>
        <v>97</v>
      </c>
      <c r="R758" s="18">
        <f>'Sampling Data'!AJ758</f>
        <v>0</v>
      </c>
      <c r="S758" s="112"/>
      <c r="T758" s="112"/>
      <c r="U758" s="113"/>
      <c r="V758" s="113"/>
      <c r="W758" s="112"/>
      <c r="X758" s="112"/>
      <c r="Y758" s="112"/>
      <c r="Z758" s="112"/>
      <c r="AA758" s="15"/>
      <c r="AB758" s="15"/>
      <c r="AC758" s="15"/>
      <c r="AD758" s="15"/>
      <c r="AE758" s="114" t="str">
        <f>IF(NOT(ISBLANK(Audit[[#This Row],[Audit Winning Candidate]])), Audit[[#This Row],[Audit Winning Candidate]]-Audit[[#This Row],[Winning Candidate]], "")</f>
        <v/>
      </c>
      <c r="AF758" s="18" t="str">
        <f>IF(NOT(ISBLANK(Audit[[#This Row],[Audit Losing Candidate]])), Audit[[#This Row],[Audit Losing Candidate]]-Audit[[#This Row],[Losing Candidate]], "")</f>
        <v/>
      </c>
      <c r="AG758" s="18" t="str">
        <f>IF(NOT(ISBLANK(Audit[[#This Row],[Audit Candidate 3]])), Audit[[#This Row],[Audit Candidate 3]]-Audit[[#This Row],[Candidate 3]], "")</f>
        <v/>
      </c>
      <c r="AH758" s="18" t="str">
        <f>IF(NOT(ISBLANK(Audit[[#This Row],[Audit Candidate 4]])),Audit[[#This Row],[Audit Candidate 4]]-Audit[[#This Row],[Candidate 4]], "")</f>
        <v/>
      </c>
      <c r="AI758" s="18" t="str">
        <f>IF(NOT(ISBLANK(Audit[[#This Row],[Audit Candidate 5]])), Audit[[#This Row],[Audit Candidate 5]]-Audit[[#This Row],[Candidate 5]], "")</f>
        <v/>
      </c>
      <c r="AJ758" s="18" t="str">
        <f>IF(NOT(ISBLANK(Audit[[#This Row],[Audit Candidate 6]])), Audit[[#This Row],[Audit Candidate 6]]-Audit[[#This Row],[Candidate 6]], "")</f>
        <v/>
      </c>
      <c r="AK758" s="18" t="str">
        <f>IF(NOT(ISBLANK(Audit[[#This Row],[Audit Candidate 7]])), Audit[[#This Row],[Audit Candidate 7]]-Audit[[#This Row],[Candidate 7]], "")</f>
        <v/>
      </c>
      <c r="AL758" s="18" t="str">
        <f>IF(NOT(ISBLANK(Audit[[#This Row],[Audit Candidate 8]])), Audit[[#This Row],[Audit Candidate 8]]-Audit[[#This Row],[Candidate 8]], "")</f>
        <v/>
      </c>
      <c r="AM758" s="18" t="str">
        <f>IF(NOT(ISBLANK(Audit[[#This Row],[Audit Candidate 9]])), Audit[[#This Row],[Audit Candidate 9]]-Audit[[#This Row],[Candidate 9]], "")</f>
        <v/>
      </c>
      <c r="AN758" s="18" t="str">
        <f>IF(NOT(ISBLANK(Audit[[#This Row],[Audit Candidate 10]])), Audit[[#This Row],[Audit Candidate 10]]-Audit[[#This Row],[Candidate 10]], "")</f>
        <v/>
      </c>
      <c r="AO758" s="18" t="str">
        <f>IF(NOT(ISBLANK(Audit[[#This Row],[Audit Candidate 11]])), Audit[[#This Row],[Audit Candidate 11]]-Audit[[#This Row],[Candidate 11]], "")</f>
        <v/>
      </c>
      <c r="AP758" s="18" t="str">
        <f>IF(NOT(ISBLANK(Audit[[#This Row],[Audit Candidate 12]])), Audit[[#This Row],[Audit Candidate 12]]-Audit[[#This Row],[Candidate 12]], "")</f>
        <v/>
      </c>
      <c r="AQ758" s="18">
        <f>SUMIF(Audit[[#This Row],[Difference Winner]:[Difference Candidate 12]], "&gt;0")</f>
        <v>0</v>
      </c>
      <c r="AR758" s="18">
        <f>SUM(Audit[[#This Row],[Difference Winner]:[Difference Candidate 12]])</f>
        <v>0</v>
      </c>
      <c r="AS758" s="18">
        <f>IF(Audit[[#This Row],[Times p Drawn - With Replacement]]&gt;0, IF(Audit[[#This Row],[Canceled Differences]]&lt;0, Audit[[#This Row],[Max Differences]]+ABS(Audit[[#This Row],[Canceled Differences]]), Audit[[#This Row],[Max Differences]]), 0)</f>
        <v>0</v>
      </c>
      <c r="AT758" s="18">
        <f>'Sampling Data'!AB758</f>
        <v>5.0570091403084457E-3</v>
      </c>
      <c r="AU758" s="18">
        <f>IF(
      SUM(Audit[[#This Row],[Audit Losing Candidate]:[Audit Candidate 12]])
      &lt;&gt;0,
      (Audit[[#This Row],[Winning Candidate]]-Audit[[#This Row],[Losing Candidate]]-(Audit[[#This Row],[Audit Winning Candidate]]-Audit[[#This Row],[Audit Losing Candidate]]))/(Audit[[#Totals],[Winning Candidate]]-Audit[[#Totals],[Losing Candidate]]),
      0
)</f>
        <v>0</v>
      </c>
      <c r="AV7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8">
        <f>IF(Audit[[#This Row],[Max Relative Error (ep)]] = 0, 0, Audit[[#This Row],[Max Relative Error (ep)]]/Audit[[#This Row],[Error Bound (up) - Max. possible relative overstatement]])</f>
        <v>0</v>
      </c>
      <c r="BH7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8" s="18">
        <f t="shared" si="12"/>
        <v>1</v>
      </c>
      <c r="BJ758" s="18">
        <f>PRODUCT($BI$5:BI758)</f>
        <v>0.32656797278968008</v>
      </c>
      <c r="BK758" s="20">
        <f>1 - Audit[[#This Row],[K-M P Value]]</f>
        <v>0.67343202721031992</v>
      </c>
      <c r="BL758" s="18" t="str">
        <f>IF(Audit[[#This Row],[K-M P Value]]&gt;1-'General Info'!$B$12,"Continue", "Stop")</f>
        <v>Continue</v>
      </c>
      <c r="BM758" s="23" t="b">
        <f>IF(Audit[[#This Row],[Status - Continue or stop audit]] = "Continue", TRUE, IF(BL757 = "Continue", TRUE, FALSE))</f>
        <v>1</v>
      </c>
      <c r="BN758" s="23"/>
    </row>
    <row r="759" spans="1:66" ht="15" hidden="1" customHeight="1" x14ac:dyDescent="0.35">
      <c r="A759" s="18" t="str">
        <f>'Sampling Data'!AI759</f>
        <v/>
      </c>
      <c r="B759" s="18" t="str">
        <f>'Sampling Data'!A759</f>
        <v>2812 BLUE 1-B   (ED)</v>
      </c>
      <c r="C759" s="18">
        <f>'Sampling Data'!B759</f>
        <v>49</v>
      </c>
      <c r="D759" s="18">
        <f>'Sampling Data'!C759</f>
        <v>2</v>
      </c>
      <c r="E759" s="19">
        <f>'Sampling Data'!D759</f>
        <v>0</v>
      </c>
      <c r="F759" s="19">
        <f>'Sampling Data'!E759</f>
        <v>0</v>
      </c>
      <c r="G759" s="19">
        <f>'Sampling Data'!F759</f>
        <v>0</v>
      </c>
      <c r="H759" s="19">
        <f>'Sampling Data'!G759</f>
        <v>0</v>
      </c>
      <c r="I759" s="19">
        <f>'Sampling Data'!H759</f>
        <v>0</v>
      </c>
      <c r="J759" s="19">
        <f>'Sampling Data'!I759</f>
        <v>0</v>
      </c>
      <c r="K759" s="19">
        <f>'Sampling Data'!J759</f>
        <v>0</v>
      </c>
      <c r="L759" s="19">
        <f>'Sampling Data'!K759</f>
        <v>0</v>
      </c>
      <c r="M759" s="19">
        <f>'Sampling Data'!L759</f>
        <v>0</v>
      </c>
      <c r="N759" s="19">
        <f>'Sampling Data'!M759</f>
        <v>0</v>
      </c>
      <c r="O759" s="18">
        <f>'Sampling Data'!N759</f>
        <v>0</v>
      </c>
      <c r="P759" s="18">
        <f>'Sampling Data'!O759</f>
        <v>2</v>
      </c>
      <c r="Q759" s="18">
        <f>'Sampling Data'!P759</f>
        <v>53</v>
      </c>
      <c r="R759" s="18">
        <f>'Sampling Data'!AJ759</f>
        <v>0</v>
      </c>
      <c r="S759" s="112"/>
      <c r="T759" s="112"/>
      <c r="U759" s="113"/>
      <c r="V759" s="113"/>
      <c r="W759" s="112"/>
      <c r="X759" s="112"/>
      <c r="Y759" s="112"/>
      <c r="Z759" s="112"/>
      <c r="AA759" s="15"/>
      <c r="AB759" s="15"/>
      <c r="AC759" s="15"/>
      <c r="AD759" s="15"/>
      <c r="AE759" s="114" t="str">
        <f>IF(NOT(ISBLANK(Audit[[#This Row],[Audit Winning Candidate]])), Audit[[#This Row],[Audit Winning Candidate]]-Audit[[#This Row],[Winning Candidate]], "")</f>
        <v/>
      </c>
      <c r="AF759" s="18" t="str">
        <f>IF(NOT(ISBLANK(Audit[[#This Row],[Audit Losing Candidate]])), Audit[[#This Row],[Audit Losing Candidate]]-Audit[[#This Row],[Losing Candidate]], "")</f>
        <v/>
      </c>
      <c r="AG759" s="18" t="str">
        <f>IF(NOT(ISBLANK(Audit[[#This Row],[Audit Candidate 3]])), Audit[[#This Row],[Audit Candidate 3]]-Audit[[#This Row],[Candidate 3]], "")</f>
        <v/>
      </c>
      <c r="AH759" s="18" t="str">
        <f>IF(NOT(ISBLANK(Audit[[#This Row],[Audit Candidate 4]])),Audit[[#This Row],[Audit Candidate 4]]-Audit[[#This Row],[Candidate 4]], "")</f>
        <v/>
      </c>
      <c r="AI759" s="18" t="str">
        <f>IF(NOT(ISBLANK(Audit[[#This Row],[Audit Candidate 5]])), Audit[[#This Row],[Audit Candidate 5]]-Audit[[#This Row],[Candidate 5]], "")</f>
        <v/>
      </c>
      <c r="AJ759" s="18" t="str">
        <f>IF(NOT(ISBLANK(Audit[[#This Row],[Audit Candidate 6]])), Audit[[#This Row],[Audit Candidate 6]]-Audit[[#This Row],[Candidate 6]], "")</f>
        <v/>
      </c>
      <c r="AK759" s="18" t="str">
        <f>IF(NOT(ISBLANK(Audit[[#This Row],[Audit Candidate 7]])), Audit[[#This Row],[Audit Candidate 7]]-Audit[[#This Row],[Candidate 7]], "")</f>
        <v/>
      </c>
      <c r="AL759" s="18" t="str">
        <f>IF(NOT(ISBLANK(Audit[[#This Row],[Audit Candidate 8]])), Audit[[#This Row],[Audit Candidate 8]]-Audit[[#This Row],[Candidate 8]], "")</f>
        <v/>
      </c>
      <c r="AM759" s="18" t="str">
        <f>IF(NOT(ISBLANK(Audit[[#This Row],[Audit Candidate 9]])), Audit[[#This Row],[Audit Candidate 9]]-Audit[[#This Row],[Candidate 9]], "")</f>
        <v/>
      </c>
      <c r="AN759" s="18" t="str">
        <f>IF(NOT(ISBLANK(Audit[[#This Row],[Audit Candidate 10]])), Audit[[#This Row],[Audit Candidate 10]]-Audit[[#This Row],[Candidate 10]], "")</f>
        <v/>
      </c>
      <c r="AO759" s="18" t="str">
        <f>IF(NOT(ISBLANK(Audit[[#This Row],[Audit Candidate 11]])), Audit[[#This Row],[Audit Candidate 11]]-Audit[[#This Row],[Candidate 11]], "")</f>
        <v/>
      </c>
      <c r="AP759" s="18" t="str">
        <f>IF(NOT(ISBLANK(Audit[[#This Row],[Audit Candidate 12]])), Audit[[#This Row],[Audit Candidate 12]]-Audit[[#This Row],[Candidate 12]], "")</f>
        <v/>
      </c>
      <c r="AQ759" s="18">
        <f>SUMIF(Audit[[#This Row],[Difference Winner]:[Difference Candidate 12]], "&gt;0")</f>
        <v>0</v>
      </c>
      <c r="AR759" s="18">
        <f>SUM(Audit[[#This Row],[Difference Winner]:[Difference Candidate 12]])</f>
        <v>0</v>
      </c>
      <c r="AS759" s="18">
        <f>IF(Audit[[#This Row],[Times p Drawn - With Replacement]]&gt;0, IF(Audit[[#This Row],[Canceled Differences]]&lt;0, Audit[[#This Row],[Max Differences]]+ABS(Audit[[#This Row],[Canceled Differences]]), Audit[[#This Row],[Max Differences]]), 0)</f>
        <v>0</v>
      </c>
      <c r="AT759" s="18">
        <f>'Sampling Data'!AB759</f>
        <v>3.1409994660300906E-3</v>
      </c>
      <c r="AU759" s="18">
        <f>IF(
      SUM(Audit[[#This Row],[Audit Losing Candidate]:[Audit Candidate 12]])
      &lt;&gt;0,
      (Audit[[#This Row],[Winning Candidate]]-Audit[[#This Row],[Losing Candidate]]-(Audit[[#This Row],[Audit Winning Candidate]]-Audit[[#This Row],[Audit Losing Candidate]]))/(Audit[[#Totals],[Winning Candidate]]-Audit[[#Totals],[Losing Candidate]]),
      0
)</f>
        <v>0</v>
      </c>
      <c r="AV7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8">
        <f>IF(Audit[[#This Row],[Max Relative Error (ep)]] = 0, 0, Audit[[#This Row],[Max Relative Error (ep)]]/Audit[[#This Row],[Error Bound (up) - Max. possible relative overstatement]])</f>
        <v>0</v>
      </c>
      <c r="BH7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59" s="18">
        <f t="shared" si="12"/>
        <v>1</v>
      </c>
      <c r="BJ759" s="18">
        <f>PRODUCT($BI$5:BI759)</f>
        <v>0.32656797278968008</v>
      </c>
      <c r="BK759" s="20">
        <f>1 - Audit[[#This Row],[K-M P Value]]</f>
        <v>0.67343202721031992</v>
      </c>
      <c r="BL759" s="18" t="str">
        <f>IF(Audit[[#This Row],[K-M P Value]]&gt;1-'General Info'!$B$12,"Continue", "Stop")</f>
        <v>Continue</v>
      </c>
      <c r="BM759" s="23" t="b">
        <f>IF(Audit[[#This Row],[Status - Continue or stop audit]] = "Continue", TRUE, IF(BL758 = "Continue", TRUE, FALSE))</f>
        <v>1</v>
      </c>
      <c r="BN759" s="23"/>
    </row>
    <row r="760" spans="1:66" ht="15" hidden="1" customHeight="1" x14ac:dyDescent="0.35">
      <c r="A760" s="18" t="str">
        <f>'Sampling Data'!AI760</f>
        <v/>
      </c>
      <c r="B760" s="18" t="str">
        <f>'Sampling Data'!A760</f>
        <v>2821 BLUE 2-A   (ED)</v>
      </c>
      <c r="C760" s="18">
        <f>'Sampling Data'!B760</f>
        <v>55</v>
      </c>
      <c r="D760" s="18">
        <f>'Sampling Data'!C760</f>
        <v>6</v>
      </c>
      <c r="E760" s="19">
        <f>'Sampling Data'!D760</f>
        <v>0</v>
      </c>
      <c r="F760" s="19">
        <f>'Sampling Data'!E760</f>
        <v>0</v>
      </c>
      <c r="G760" s="19">
        <f>'Sampling Data'!F760</f>
        <v>0</v>
      </c>
      <c r="H760" s="19">
        <f>'Sampling Data'!G760</f>
        <v>0</v>
      </c>
      <c r="I760" s="19">
        <f>'Sampling Data'!H760</f>
        <v>0</v>
      </c>
      <c r="J760" s="19">
        <f>'Sampling Data'!I760</f>
        <v>0</v>
      </c>
      <c r="K760" s="19">
        <f>'Sampling Data'!J760</f>
        <v>0</v>
      </c>
      <c r="L760" s="19">
        <f>'Sampling Data'!K760</f>
        <v>0</v>
      </c>
      <c r="M760" s="19">
        <f>'Sampling Data'!L760</f>
        <v>0</v>
      </c>
      <c r="N760" s="19">
        <f>'Sampling Data'!M760</f>
        <v>0</v>
      </c>
      <c r="O760" s="18">
        <f>'Sampling Data'!N760</f>
        <v>0</v>
      </c>
      <c r="P760" s="18">
        <f>'Sampling Data'!O760</f>
        <v>0</v>
      </c>
      <c r="Q760" s="18">
        <f>'Sampling Data'!P760</f>
        <v>61</v>
      </c>
      <c r="R760" s="18">
        <f>'Sampling Data'!AJ760</f>
        <v>0</v>
      </c>
      <c r="S760" s="112"/>
      <c r="T760" s="112"/>
      <c r="U760" s="113"/>
      <c r="V760" s="113"/>
      <c r="W760" s="112"/>
      <c r="X760" s="112"/>
      <c r="Y760" s="112"/>
      <c r="Z760" s="112"/>
      <c r="AA760" s="15"/>
      <c r="AB760" s="15"/>
      <c r="AC760" s="15"/>
      <c r="AD760" s="15"/>
      <c r="AE760" s="114" t="str">
        <f>IF(NOT(ISBLANK(Audit[[#This Row],[Audit Winning Candidate]])), Audit[[#This Row],[Audit Winning Candidate]]-Audit[[#This Row],[Winning Candidate]], "")</f>
        <v/>
      </c>
      <c r="AF760" s="18" t="str">
        <f>IF(NOT(ISBLANK(Audit[[#This Row],[Audit Losing Candidate]])), Audit[[#This Row],[Audit Losing Candidate]]-Audit[[#This Row],[Losing Candidate]], "")</f>
        <v/>
      </c>
      <c r="AG760" s="18" t="str">
        <f>IF(NOT(ISBLANK(Audit[[#This Row],[Audit Candidate 3]])), Audit[[#This Row],[Audit Candidate 3]]-Audit[[#This Row],[Candidate 3]], "")</f>
        <v/>
      </c>
      <c r="AH760" s="18" t="str">
        <f>IF(NOT(ISBLANK(Audit[[#This Row],[Audit Candidate 4]])),Audit[[#This Row],[Audit Candidate 4]]-Audit[[#This Row],[Candidate 4]], "")</f>
        <v/>
      </c>
      <c r="AI760" s="18" t="str">
        <f>IF(NOT(ISBLANK(Audit[[#This Row],[Audit Candidate 5]])), Audit[[#This Row],[Audit Candidate 5]]-Audit[[#This Row],[Candidate 5]], "")</f>
        <v/>
      </c>
      <c r="AJ760" s="18" t="str">
        <f>IF(NOT(ISBLANK(Audit[[#This Row],[Audit Candidate 6]])), Audit[[#This Row],[Audit Candidate 6]]-Audit[[#This Row],[Candidate 6]], "")</f>
        <v/>
      </c>
      <c r="AK760" s="18" t="str">
        <f>IF(NOT(ISBLANK(Audit[[#This Row],[Audit Candidate 7]])), Audit[[#This Row],[Audit Candidate 7]]-Audit[[#This Row],[Candidate 7]], "")</f>
        <v/>
      </c>
      <c r="AL760" s="18" t="str">
        <f>IF(NOT(ISBLANK(Audit[[#This Row],[Audit Candidate 8]])), Audit[[#This Row],[Audit Candidate 8]]-Audit[[#This Row],[Candidate 8]], "")</f>
        <v/>
      </c>
      <c r="AM760" s="18" t="str">
        <f>IF(NOT(ISBLANK(Audit[[#This Row],[Audit Candidate 9]])), Audit[[#This Row],[Audit Candidate 9]]-Audit[[#This Row],[Candidate 9]], "")</f>
        <v/>
      </c>
      <c r="AN760" s="18" t="str">
        <f>IF(NOT(ISBLANK(Audit[[#This Row],[Audit Candidate 10]])), Audit[[#This Row],[Audit Candidate 10]]-Audit[[#This Row],[Candidate 10]], "")</f>
        <v/>
      </c>
      <c r="AO760" s="18" t="str">
        <f>IF(NOT(ISBLANK(Audit[[#This Row],[Audit Candidate 11]])), Audit[[#This Row],[Audit Candidate 11]]-Audit[[#This Row],[Candidate 11]], "")</f>
        <v/>
      </c>
      <c r="AP760" s="18" t="str">
        <f>IF(NOT(ISBLANK(Audit[[#This Row],[Audit Candidate 12]])), Audit[[#This Row],[Audit Candidate 12]]-Audit[[#This Row],[Candidate 12]], "")</f>
        <v/>
      </c>
      <c r="AQ760" s="18">
        <f>SUMIF(Audit[[#This Row],[Difference Winner]:[Difference Candidate 12]], "&gt;0")</f>
        <v>0</v>
      </c>
      <c r="AR760" s="18">
        <f>SUM(Audit[[#This Row],[Difference Winner]:[Difference Candidate 12]])</f>
        <v>0</v>
      </c>
      <c r="AS760" s="18">
        <f>IF(Audit[[#This Row],[Times p Drawn - With Replacement]]&gt;0, IF(Audit[[#This Row],[Canceled Differences]]&lt;0, Audit[[#This Row],[Max Differences]]+ABS(Audit[[#This Row],[Canceled Differences]]), Audit[[#This Row],[Max Differences]]), 0)</f>
        <v>0</v>
      </c>
      <c r="AT760" s="18">
        <f>'Sampling Data'!AB760</f>
        <v>3.4550994126330997E-3</v>
      </c>
      <c r="AU760" s="18">
        <f>IF(
      SUM(Audit[[#This Row],[Audit Losing Candidate]:[Audit Candidate 12]])
      &lt;&gt;0,
      (Audit[[#This Row],[Winning Candidate]]-Audit[[#This Row],[Losing Candidate]]-(Audit[[#This Row],[Audit Winning Candidate]]-Audit[[#This Row],[Audit Losing Candidate]]))/(Audit[[#Totals],[Winning Candidate]]-Audit[[#Totals],[Losing Candidate]]),
      0
)</f>
        <v>0</v>
      </c>
      <c r="AV7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8">
        <f>IF(Audit[[#This Row],[Max Relative Error (ep)]] = 0, 0, Audit[[#This Row],[Max Relative Error (ep)]]/Audit[[#This Row],[Error Bound (up) - Max. possible relative overstatement]])</f>
        <v>0</v>
      </c>
      <c r="BH7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0" s="18">
        <f t="shared" si="12"/>
        <v>1</v>
      </c>
      <c r="BJ760" s="18">
        <f>PRODUCT($BI$5:BI760)</f>
        <v>0.32656797278968008</v>
      </c>
      <c r="BK760" s="20">
        <f>1 - Audit[[#This Row],[K-M P Value]]</f>
        <v>0.67343202721031992</v>
      </c>
      <c r="BL760" s="18" t="str">
        <f>IF(Audit[[#This Row],[K-M P Value]]&gt;1-'General Info'!$B$12,"Continue", "Stop")</f>
        <v>Continue</v>
      </c>
      <c r="BM760" s="23" t="b">
        <f>IF(Audit[[#This Row],[Status - Continue or stop audit]] = "Continue", TRUE, IF(BL759 = "Continue", TRUE, FALSE))</f>
        <v>1</v>
      </c>
      <c r="BN760" s="23"/>
    </row>
    <row r="761" spans="1:66" ht="15" hidden="1" customHeight="1" x14ac:dyDescent="0.35">
      <c r="A761" s="18" t="str">
        <f>'Sampling Data'!AI761</f>
        <v/>
      </c>
      <c r="B761" s="18" t="str">
        <f>'Sampling Data'!A761</f>
        <v>2822 BLUE 2-B   (ED)</v>
      </c>
      <c r="C761" s="18">
        <f>'Sampling Data'!B761</f>
        <v>63</v>
      </c>
      <c r="D761" s="18">
        <f>'Sampling Data'!C761</f>
        <v>4</v>
      </c>
      <c r="E761" s="19">
        <f>'Sampling Data'!D761</f>
        <v>0</v>
      </c>
      <c r="F761" s="19">
        <f>'Sampling Data'!E761</f>
        <v>0</v>
      </c>
      <c r="G761" s="19">
        <f>'Sampling Data'!F761</f>
        <v>0</v>
      </c>
      <c r="H761" s="19">
        <f>'Sampling Data'!G761</f>
        <v>0</v>
      </c>
      <c r="I761" s="19">
        <f>'Sampling Data'!H761</f>
        <v>0</v>
      </c>
      <c r="J761" s="19">
        <f>'Sampling Data'!I761</f>
        <v>0</v>
      </c>
      <c r="K761" s="19">
        <f>'Sampling Data'!J761</f>
        <v>0</v>
      </c>
      <c r="L761" s="19">
        <f>'Sampling Data'!K761</f>
        <v>0</v>
      </c>
      <c r="M761" s="19">
        <f>'Sampling Data'!L761</f>
        <v>0</v>
      </c>
      <c r="N761" s="19">
        <f>'Sampling Data'!M761</f>
        <v>0</v>
      </c>
      <c r="O761" s="18">
        <f>'Sampling Data'!N761</f>
        <v>0</v>
      </c>
      <c r="P761" s="18">
        <f>'Sampling Data'!O761</f>
        <v>1</v>
      </c>
      <c r="Q761" s="18">
        <f>'Sampling Data'!P761</f>
        <v>68</v>
      </c>
      <c r="R761" s="18">
        <f>'Sampling Data'!AJ761</f>
        <v>0</v>
      </c>
      <c r="S761" s="112"/>
      <c r="T761" s="112"/>
      <c r="U761" s="113"/>
      <c r="V761" s="113"/>
      <c r="W761" s="112"/>
      <c r="X761" s="112"/>
      <c r="Y761" s="112"/>
      <c r="Z761" s="112"/>
      <c r="AA761" s="15"/>
      <c r="AB761" s="15"/>
      <c r="AC761" s="15"/>
      <c r="AD761" s="15"/>
      <c r="AE761" s="114" t="str">
        <f>IF(NOT(ISBLANK(Audit[[#This Row],[Audit Winning Candidate]])), Audit[[#This Row],[Audit Winning Candidate]]-Audit[[#This Row],[Winning Candidate]], "")</f>
        <v/>
      </c>
      <c r="AF761" s="18" t="str">
        <f>IF(NOT(ISBLANK(Audit[[#This Row],[Audit Losing Candidate]])), Audit[[#This Row],[Audit Losing Candidate]]-Audit[[#This Row],[Losing Candidate]], "")</f>
        <v/>
      </c>
      <c r="AG761" s="18" t="str">
        <f>IF(NOT(ISBLANK(Audit[[#This Row],[Audit Candidate 3]])), Audit[[#This Row],[Audit Candidate 3]]-Audit[[#This Row],[Candidate 3]], "")</f>
        <v/>
      </c>
      <c r="AH761" s="18" t="str">
        <f>IF(NOT(ISBLANK(Audit[[#This Row],[Audit Candidate 4]])),Audit[[#This Row],[Audit Candidate 4]]-Audit[[#This Row],[Candidate 4]], "")</f>
        <v/>
      </c>
      <c r="AI761" s="18" t="str">
        <f>IF(NOT(ISBLANK(Audit[[#This Row],[Audit Candidate 5]])), Audit[[#This Row],[Audit Candidate 5]]-Audit[[#This Row],[Candidate 5]], "")</f>
        <v/>
      </c>
      <c r="AJ761" s="18" t="str">
        <f>IF(NOT(ISBLANK(Audit[[#This Row],[Audit Candidate 6]])), Audit[[#This Row],[Audit Candidate 6]]-Audit[[#This Row],[Candidate 6]], "")</f>
        <v/>
      </c>
      <c r="AK761" s="18" t="str">
        <f>IF(NOT(ISBLANK(Audit[[#This Row],[Audit Candidate 7]])), Audit[[#This Row],[Audit Candidate 7]]-Audit[[#This Row],[Candidate 7]], "")</f>
        <v/>
      </c>
      <c r="AL761" s="18" t="str">
        <f>IF(NOT(ISBLANK(Audit[[#This Row],[Audit Candidate 8]])), Audit[[#This Row],[Audit Candidate 8]]-Audit[[#This Row],[Candidate 8]], "")</f>
        <v/>
      </c>
      <c r="AM761" s="18" t="str">
        <f>IF(NOT(ISBLANK(Audit[[#This Row],[Audit Candidate 9]])), Audit[[#This Row],[Audit Candidate 9]]-Audit[[#This Row],[Candidate 9]], "")</f>
        <v/>
      </c>
      <c r="AN761" s="18" t="str">
        <f>IF(NOT(ISBLANK(Audit[[#This Row],[Audit Candidate 10]])), Audit[[#This Row],[Audit Candidate 10]]-Audit[[#This Row],[Candidate 10]], "")</f>
        <v/>
      </c>
      <c r="AO761" s="18" t="str">
        <f>IF(NOT(ISBLANK(Audit[[#This Row],[Audit Candidate 11]])), Audit[[#This Row],[Audit Candidate 11]]-Audit[[#This Row],[Candidate 11]], "")</f>
        <v/>
      </c>
      <c r="AP761" s="18" t="str">
        <f>IF(NOT(ISBLANK(Audit[[#This Row],[Audit Candidate 12]])), Audit[[#This Row],[Audit Candidate 12]]-Audit[[#This Row],[Candidate 12]], "")</f>
        <v/>
      </c>
      <c r="AQ761" s="18">
        <f>SUMIF(Audit[[#This Row],[Difference Winner]:[Difference Candidate 12]], "&gt;0")</f>
        <v>0</v>
      </c>
      <c r="AR761" s="18">
        <f>SUM(Audit[[#This Row],[Difference Winner]:[Difference Candidate 12]])</f>
        <v>0</v>
      </c>
      <c r="AS761" s="18">
        <f>IF(Audit[[#This Row],[Times p Drawn - With Replacement]]&gt;0, IF(Audit[[#This Row],[Canceled Differences]]&lt;0, Audit[[#This Row],[Max Differences]]+ABS(Audit[[#This Row],[Canceled Differences]]), Audit[[#This Row],[Max Differences]]), 0)</f>
        <v>0</v>
      </c>
      <c r="AT761" s="18">
        <f>'Sampling Data'!AB761</f>
        <v>3.989069321858215E-3</v>
      </c>
      <c r="AU761" s="18">
        <f>IF(
      SUM(Audit[[#This Row],[Audit Losing Candidate]:[Audit Candidate 12]])
      &lt;&gt;0,
      (Audit[[#This Row],[Winning Candidate]]-Audit[[#This Row],[Losing Candidate]]-(Audit[[#This Row],[Audit Winning Candidate]]-Audit[[#This Row],[Audit Losing Candidate]]))/(Audit[[#Totals],[Winning Candidate]]-Audit[[#Totals],[Losing Candidate]]),
      0
)</f>
        <v>0</v>
      </c>
      <c r="AV7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8">
        <f>IF(Audit[[#This Row],[Max Relative Error (ep)]] = 0, 0, Audit[[#This Row],[Max Relative Error (ep)]]/Audit[[#This Row],[Error Bound (up) - Max. possible relative overstatement]])</f>
        <v>0</v>
      </c>
      <c r="BH7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1" s="18">
        <f t="shared" si="12"/>
        <v>1</v>
      </c>
      <c r="BJ761" s="18">
        <f>PRODUCT($BI$5:BI761)</f>
        <v>0.32656797278968008</v>
      </c>
      <c r="BK761" s="20">
        <f>1 - Audit[[#This Row],[K-M P Value]]</f>
        <v>0.67343202721031992</v>
      </c>
      <c r="BL761" s="18" t="str">
        <f>IF(Audit[[#This Row],[K-M P Value]]&gt;1-'General Info'!$B$12,"Continue", "Stop")</f>
        <v>Continue</v>
      </c>
      <c r="BM761" s="23" t="b">
        <f>IF(Audit[[#This Row],[Status - Continue or stop audit]] = "Continue", TRUE, IF(BL760 = "Continue", TRUE, FALSE))</f>
        <v>1</v>
      </c>
      <c r="BN761" s="23"/>
    </row>
    <row r="762" spans="1:66" ht="15" hidden="1" customHeight="1" x14ac:dyDescent="0.35">
      <c r="A762" s="18" t="str">
        <f>'Sampling Data'!AI762</f>
        <v/>
      </c>
      <c r="B762" s="18" t="str">
        <f>'Sampling Data'!A762</f>
        <v>2823 BLUE 2-C   (ED)</v>
      </c>
      <c r="C762" s="18">
        <f>'Sampling Data'!B762</f>
        <v>77</v>
      </c>
      <c r="D762" s="18">
        <f>'Sampling Data'!C762</f>
        <v>11</v>
      </c>
      <c r="E762" s="19">
        <f>'Sampling Data'!D762</f>
        <v>0</v>
      </c>
      <c r="F762" s="19">
        <f>'Sampling Data'!E762</f>
        <v>0</v>
      </c>
      <c r="G762" s="19">
        <f>'Sampling Data'!F762</f>
        <v>0</v>
      </c>
      <c r="H762" s="19">
        <f>'Sampling Data'!G762</f>
        <v>0</v>
      </c>
      <c r="I762" s="19">
        <f>'Sampling Data'!H762</f>
        <v>0</v>
      </c>
      <c r="J762" s="19">
        <f>'Sampling Data'!I762</f>
        <v>0</v>
      </c>
      <c r="K762" s="19">
        <f>'Sampling Data'!J762</f>
        <v>0</v>
      </c>
      <c r="L762" s="19">
        <f>'Sampling Data'!K762</f>
        <v>0</v>
      </c>
      <c r="M762" s="19">
        <f>'Sampling Data'!L762</f>
        <v>0</v>
      </c>
      <c r="N762" s="19">
        <f>'Sampling Data'!M762</f>
        <v>0</v>
      </c>
      <c r="O762" s="18">
        <f>'Sampling Data'!N762</f>
        <v>0</v>
      </c>
      <c r="P762" s="18">
        <f>'Sampling Data'!O762</f>
        <v>1</v>
      </c>
      <c r="Q762" s="18">
        <f>'Sampling Data'!P762</f>
        <v>89</v>
      </c>
      <c r="R762" s="18">
        <f>'Sampling Data'!AJ762</f>
        <v>0</v>
      </c>
      <c r="S762" s="112"/>
      <c r="T762" s="112"/>
      <c r="U762" s="113"/>
      <c r="V762" s="113"/>
      <c r="W762" s="112"/>
      <c r="X762" s="112"/>
      <c r="Y762" s="112"/>
      <c r="Z762" s="112"/>
      <c r="AA762" s="15"/>
      <c r="AB762" s="15"/>
      <c r="AC762" s="15"/>
      <c r="AD762" s="15"/>
      <c r="AE762" s="114" t="str">
        <f>IF(NOT(ISBLANK(Audit[[#This Row],[Audit Winning Candidate]])), Audit[[#This Row],[Audit Winning Candidate]]-Audit[[#This Row],[Winning Candidate]], "")</f>
        <v/>
      </c>
      <c r="AF762" s="18" t="str">
        <f>IF(NOT(ISBLANK(Audit[[#This Row],[Audit Losing Candidate]])), Audit[[#This Row],[Audit Losing Candidate]]-Audit[[#This Row],[Losing Candidate]], "")</f>
        <v/>
      </c>
      <c r="AG762" s="18" t="str">
        <f>IF(NOT(ISBLANK(Audit[[#This Row],[Audit Candidate 3]])), Audit[[#This Row],[Audit Candidate 3]]-Audit[[#This Row],[Candidate 3]], "")</f>
        <v/>
      </c>
      <c r="AH762" s="18" t="str">
        <f>IF(NOT(ISBLANK(Audit[[#This Row],[Audit Candidate 4]])),Audit[[#This Row],[Audit Candidate 4]]-Audit[[#This Row],[Candidate 4]], "")</f>
        <v/>
      </c>
      <c r="AI762" s="18" t="str">
        <f>IF(NOT(ISBLANK(Audit[[#This Row],[Audit Candidate 5]])), Audit[[#This Row],[Audit Candidate 5]]-Audit[[#This Row],[Candidate 5]], "")</f>
        <v/>
      </c>
      <c r="AJ762" s="18" t="str">
        <f>IF(NOT(ISBLANK(Audit[[#This Row],[Audit Candidate 6]])), Audit[[#This Row],[Audit Candidate 6]]-Audit[[#This Row],[Candidate 6]], "")</f>
        <v/>
      </c>
      <c r="AK762" s="18" t="str">
        <f>IF(NOT(ISBLANK(Audit[[#This Row],[Audit Candidate 7]])), Audit[[#This Row],[Audit Candidate 7]]-Audit[[#This Row],[Candidate 7]], "")</f>
        <v/>
      </c>
      <c r="AL762" s="18" t="str">
        <f>IF(NOT(ISBLANK(Audit[[#This Row],[Audit Candidate 8]])), Audit[[#This Row],[Audit Candidate 8]]-Audit[[#This Row],[Candidate 8]], "")</f>
        <v/>
      </c>
      <c r="AM762" s="18" t="str">
        <f>IF(NOT(ISBLANK(Audit[[#This Row],[Audit Candidate 9]])), Audit[[#This Row],[Audit Candidate 9]]-Audit[[#This Row],[Candidate 9]], "")</f>
        <v/>
      </c>
      <c r="AN762" s="18" t="str">
        <f>IF(NOT(ISBLANK(Audit[[#This Row],[Audit Candidate 10]])), Audit[[#This Row],[Audit Candidate 10]]-Audit[[#This Row],[Candidate 10]], "")</f>
        <v/>
      </c>
      <c r="AO762" s="18" t="str">
        <f>IF(NOT(ISBLANK(Audit[[#This Row],[Audit Candidate 11]])), Audit[[#This Row],[Audit Candidate 11]]-Audit[[#This Row],[Candidate 11]], "")</f>
        <v/>
      </c>
      <c r="AP762" s="18" t="str">
        <f>IF(NOT(ISBLANK(Audit[[#This Row],[Audit Candidate 12]])), Audit[[#This Row],[Audit Candidate 12]]-Audit[[#This Row],[Candidate 12]], "")</f>
        <v/>
      </c>
      <c r="AQ762" s="18">
        <f>SUMIF(Audit[[#This Row],[Difference Winner]:[Difference Candidate 12]], "&gt;0")</f>
        <v>0</v>
      </c>
      <c r="AR762" s="18">
        <f>SUM(Audit[[#This Row],[Difference Winner]:[Difference Candidate 12]])</f>
        <v>0</v>
      </c>
      <c r="AS762" s="18">
        <f>IF(Audit[[#This Row],[Times p Drawn - With Replacement]]&gt;0, IF(Audit[[#This Row],[Canceled Differences]]&lt;0, Audit[[#This Row],[Max Differences]]+ABS(Audit[[#This Row],[Canceled Differences]]), Audit[[#This Row],[Max Differences]]), 0)</f>
        <v>0</v>
      </c>
      <c r="AT762" s="18">
        <f>'Sampling Data'!AB762</f>
        <v>4.8685491723466411E-3</v>
      </c>
      <c r="AU762" s="18">
        <f>IF(
      SUM(Audit[[#This Row],[Audit Losing Candidate]:[Audit Candidate 12]])
      &lt;&gt;0,
      (Audit[[#This Row],[Winning Candidate]]-Audit[[#This Row],[Losing Candidate]]-(Audit[[#This Row],[Audit Winning Candidate]]-Audit[[#This Row],[Audit Losing Candidate]]))/(Audit[[#Totals],[Winning Candidate]]-Audit[[#Totals],[Losing Candidate]]),
      0
)</f>
        <v>0</v>
      </c>
      <c r="AV7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8">
        <f>IF(Audit[[#This Row],[Max Relative Error (ep)]] = 0, 0, Audit[[#This Row],[Max Relative Error (ep)]]/Audit[[#This Row],[Error Bound (up) - Max. possible relative overstatement]])</f>
        <v>0</v>
      </c>
      <c r="BH7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2" s="18">
        <f t="shared" si="12"/>
        <v>1</v>
      </c>
      <c r="BJ762" s="18">
        <f>PRODUCT($BI$5:BI762)</f>
        <v>0.32656797278968008</v>
      </c>
      <c r="BK762" s="20">
        <f>1 - Audit[[#This Row],[K-M P Value]]</f>
        <v>0.67343202721031992</v>
      </c>
      <c r="BL762" s="18" t="str">
        <f>IF(Audit[[#This Row],[K-M P Value]]&gt;1-'General Info'!$B$12,"Continue", "Stop")</f>
        <v>Continue</v>
      </c>
      <c r="BM762" s="23" t="b">
        <f>IF(Audit[[#This Row],[Status - Continue or stop audit]] = "Continue", TRUE, IF(BL761 = "Continue", TRUE, FALSE))</f>
        <v>1</v>
      </c>
      <c r="BN762" s="23"/>
    </row>
    <row r="763" spans="1:66" ht="15" hidden="1" customHeight="1" x14ac:dyDescent="0.35">
      <c r="A763" s="18" t="str">
        <f>'Sampling Data'!AI763</f>
        <v/>
      </c>
      <c r="B763" s="18" t="str">
        <f>'Sampling Data'!A763</f>
        <v>2831 BLUE 3-A   (ED)</v>
      </c>
      <c r="C763" s="18">
        <f>'Sampling Data'!B763</f>
        <v>71</v>
      </c>
      <c r="D763" s="18">
        <f>'Sampling Data'!C763</f>
        <v>13</v>
      </c>
      <c r="E763" s="19">
        <f>'Sampling Data'!D763</f>
        <v>0</v>
      </c>
      <c r="F763" s="19">
        <f>'Sampling Data'!E763</f>
        <v>0</v>
      </c>
      <c r="G763" s="19">
        <f>'Sampling Data'!F763</f>
        <v>0</v>
      </c>
      <c r="H763" s="19">
        <f>'Sampling Data'!G763</f>
        <v>0</v>
      </c>
      <c r="I763" s="19">
        <f>'Sampling Data'!H763</f>
        <v>0</v>
      </c>
      <c r="J763" s="19">
        <f>'Sampling Data'!I763</f>
        <v>0</v>
      </c>
      <c r="K763" s="19">
        <f>'Sampling Data'!J763</f>
        <v>0</v>
      </c>
      <c r="L763" s="19">
        <f>'Sampling Data'!K763</f>
        <v>0</v>
      </c>
      <c r="M763" s="19">
        <f>'Sampling Data'!L763</f>
        <v>0</v>
      </c>
      <c r="N763" s="19">
        <f>'Sampling Data'!M763</f>
        <v>0</v>
      </c>
      <c r="O763" s="18">
        <f>'Sampling Data'!N763</f>
        <v>0</v>
      </c>
      <c r="P763" s="18">
        <f>'Sampling Data'!O763</f>
        <v>3</v>
      </c>
      <c r="Q763" s="18">
        <f>'Sampling Data'!P763</f>
        <v>87</v>
      </c>
      <c r="R763" s="18">
        <f>'Sampling Data'!AJ763</f>
        <v>0</v>
      </c>
      <c r="S763" s="112"/>
      <c r="T763" s="112"/>
      <c r="U763" s="113"/>
      <c r="V763" s="113"/>
      <c r="W763" s="112"/>
      <c r="X763" s="112"/>
      <c r="Y763" s="112"/>
      <c r="Z763" s="112"/>
      <c r="AA763" s="15"/>
      <c r="AB763" s="15"/>
      <c r="AC763" s="15"/>
      <c r="AD763" s="15"/>
      <c r="AE763" s="114" t="str">
        <f>IF(NOT(ISBLANK(Audit[[#This Row],[Audit Winning Candidate]])), Audit[[#This Row],[Audit Winning Candidate]]-Audit[[#This Row],[Winning Candidate]], "")</f>
        <v/>
      </c>
      <c r="AF763" s="18" t="str">
        <f>IF(NOT(ISBLANK(Audit[[#This Row],[Audit Losing Candidate]])), Audit[[#This Row],[Audit Losing Candidate]]-Audit[[#This Row],[Losing Candidate]], "")</f>
        <v/>
      </c>
      <c r="AG763" s="18" t="str">
        <f>IF(NOT(ISBLANK(Audit[[#This Row],[Audit Candidate 3]])), Audit[[#This Row],[Audit Candidate 3]]-Audit[[#This Row],[Candidate 3]], "")</f>
        <v/>
      </c>
      <c r="AH763" s="18" t="str">
        <f>IF(NOT(ISBLANK(Audit[[#This Row],[Audit Candidate 4]])),Audit[[#This Row],[Audit Candidate 4]]-Audit[[#This Row],[Candidate 4]], "")</f>
        <v/>
      </c>
      <c r="AI763" s="18" t="str">
        <f>IF(NOT(ISBLANK(Audit[[#This Row],[Audit Candidate 5]])), Audit[[#This Row],[Audit Candidate 5]]-Audit[[#This Row],[Candidate 5]], "")</f>
        <v/>
      </c>
      <c r="AJ763" s="18" t="str">
        <f>IF(NOT(ISBLANK(Audit[[#This Row],[Audit Candidate 6]])), Audit[[#This Row],[Audit Candidate 6]]-Audit[[#This Row],[Candidate 6]], "")</f>
        <v/>
      </c>
      <c r="AK763" s="18" t="str">
        <f>IF(NOT(ISBLANK(Audit[[#This Row],[Audit Candidate 7]])), Audit[[#This Row],[Audit Candidate 7]]-Audit[[#This Row],[Candidate 7]], "")</f>
        <v/>
      </c>
      <c r="AL763" s="18" t="str">
        <f>IF(NOT(ISBLANK(Audit[[#This Row],[Audit Candidate 8]])), Audit[[#This Row],[Audit Candidate 8]]-Audit[[#This Row],[Candidate 8]], "")</f>
        <v/>
      </c>
      <c r="AM763" s="18" t="str">
        <f>IF(NOT(ISBLANK(Audit[[#This Row],[Audit Candidate 9]])), Audit[[#This Row],[Audit Candidate 9]]-Audit[[#This Row],[Candidate 9]], "")</f>
        <v/>
      </c>
      <c r="AN763" s="18" t="str">
        <f>IF(NOT(ISBLANK(Audit[[#This Row],[Audit Candidate 10]])), Audit[[#This Row],[Audit Candidate 10]]-Audit[[#This Row],[Candidate 10]], "")</f>
        <v/>
      </c>
      <c r="AO763" s="18" t="str">
        <f>IF(NOT(ISBLANK(Audit[[#This Row],[Audit Candidate 11]])), Audit[[#This Row],[Audit Candidate 11]]-Audit[[#This Row],[Candidate 11]], "")</f>
        <v/>
      </c>
      <c r="AP763" s="18" t="str">
        <f>IF(NOT(ISBLANK(Audit[[#This Row],[Audit Candidate 12]])), Audit[[#This Row],[Audit Candidate 12]]-Audit[[#This Row],[Candidate 12]], "")</f>
        <v/>
      </c>
      <c r="AQ763" s="18">
        <f>SUMIF(Audit[[#This Row],[Difference Winner]:[Difference Candidate 12]], "&gt;0")</f>
        <v>0</v>
      </c>
      <c r="AR763" s="18">
        <f>SUM(Audit[[#This Row],[Difference Winner]:[Difference Candidate 12]])</f>
        <v>0</v>
      </c>
      <c r="AS763" s="18">
        <f>IF(Audit[[#This Row],[Times p Drawn - With Replacement]]&gt;0, IF(Audit[[#This Row],[Canceled Differences]]&lt;0, Audit[[#This Row],[Max Differences]]+ABS(Audit[[#This Row],[Canceled Differences]]), Audit[[#This Row],[Max Differences]]), 0)</f>
        <v>0</v>
      </c>
      <c r="AT763" s="18">
        <f>'Sampling Data'!AB763</f>
        <v>4.5544492257436316E-3</v>
      </c>
      <c r="AU763" s="18">
        <f>IF(
      SUM(Audit[[#This Row],[Audit Losing Candidate]:[Audit Candidate 12]])
      &lt;&gt;0,
      (Audit[[#This Row],[Winning Candidate]]-Audit[[#This Row],[Losing Candidate]]-(Audit[[#This Row],[Audit Winning Candidate]]-Audit[[#This Row],[Audit Losing Candidate]]))/(Audit[[#Totals],[Winning Candidate]]-Audit[[#Totals],[Losing Candidate]]),
      0
)</f>
        <v>0</v>
      </c>
      <c r="AV7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8">
        <f>IF(Audit[[#This Row],[Max Relative Error (ep)]] = 0, 0, Audit[[#This Row],[Max Relative Error (ep)]]/Audit[[#This Row],[Error Bound (up) - Max. possible relative overstatement]])</f>
        <v>0</v>
      </c>
      <c r="BH7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3" s="18">
        <f t="shared" si="12"/>
        <v>1</v>
      </c>
      <c r="BJ763" s="18">
        <f>PRODUCT($BI$5:BI763)</f>
        <v>0.32656797278968008</v>
      </c>
      <c r="BK763" s="20">
        <f>1 - Audit[[#This Row],[K-M P Value]]</f>
        <v>0.67343202721031992</v>
      </c>
      <c r="BL763" s="18" t="str">
        <f>IF(Audit[[#This Row],[K-M P Value]]&gt;1-'General Info'!$B$12,"Continue", "Stop")</f>
        <v>Continue</v>
      </c>
      <c r="BM763" s="23" t="b">
        <f>IF(Audit[[#This Row],[Status - Continue or stop audit]] = "Continue", TRUE, IF(BL762 = "Continue", TRUE, FALSE))</f>
        <v>1</v>
      </c>
      <c r="BN763" s="23"/>
    </row>
    <row r="764" spans="1:66" ht="15" hidden="1" customHeight="1" x14ac:dyDescent="0.35">
      <c r="A764" s="18" t="str">
        <f>'Sampling Data'!AI764</f>
        <v/>
      </c>
      <c r="B764" s="18" t="str">
        <f>'Sampling Data'!A764</f>
        <v>2832 BLUE 3-B   (ED)</v>
      </c>
      <c r="C764" s="18">
        <f>'Sampling Data'!B764</f>
        <v>52</v>
      </c>
      <c r="D764" s="18">
        <f>'Sampling Data'!C764</f>
        <v>5</v>
      </c>
      <c r="E764" s="19">
        <f>'Sampling Data'!D764</f>
        <v>0</v>
      </c>
      <c r="F764" s="19">
        <f>'Sampling Data'!E764</f>
        <v>0</v>
      </c>
      <c r="G764" s="19">
        <f>'Sampling Data'!F764</f>
        <v>0</v>
      </c>
      <c r="H764" s="19">
        <f>'Sampling Data'!G764</f>
        <v>0</v>
      </c>
      <c r="I764" s="19">
        <f>'Sampling Data'!H764</f>
        <v>0</v>
      </c>
      <c r="J764" s="19">
        <f>'Sampling Data'!I764</f>
        <v>0</v>
      </c>
      <c r="K764" s="19">
        <f>'Sampling Data'!J764</f>
        <v>0</v>
      </c>
      <c r="L764" s="19">
        <f>'Sampling Data'!K764</f>
        <v>0</v>
      </c>
      <c r="M764" s="19">
        <f>'Sampling Data'!L764</f>
        <v>0</v>
      </c>
      <c r="N764" s="19">
        <f>'Sampling Data'!M764</f>
        <v>0</v>
      </c>
      <c r="O764" s="18">
        <f>'Sampling Data'!N764</f>
        <v>0</v>
      </c>
      <c r="P764" s="18">
        <f>'Sampling Data'!O764</f>
        <v>1</v>
      </c>
      <c r="Q764" s="18">
        <f>'Sampling Data'!P764</f>
        <v>58</v>
      </c>
      <c r="R764" s="18">
        <f>'Sampling Data'!AJ764</f>
        <v>0</v>
      </c>
      <c r="S764" s="112"/>
      <c r="T764" s="112"/>
      <c r="U764" s="113"/>
      <c r="V764" s="113"/>
      <c r="W764" s="112"/>
      <c r="X764" s="112"/>
      <c r="Y764" s="112"/>
      <c r="Z764" s="112"/>
      <c r="AA764" s="15"/>
      <c r="AB764" s="15"/>
      <c r="AC764" s="15"/>
      <c r="AD764" s="15"/>
      <c r="AE764" s="114" t="str">
        <f>IF(NOT(ISBLANK(Audit[[#This Row],[Audit Winning Candidate]])), Audit[[#This Row],[Audit Winning Candidate]]-Audit[[#This Row],[Winning Candidate]], "")</f>
        <v/>
      </c>
      <c r="AF764" s="18" t="str">
        <f>IF(NOT(ISBLANK(Audit[[#This Row],[Audit Losing Candidate]])), Audit[[#This Row],[Audit Losing Candidate]]-Audit[[#This Row],[Losing Candidate]], "")</f>
        <v/>
      </c>
      <c r="AG764" s="18" t="str">
        <f>IF(NOT(ISBLANK(Audit[[#This Row],[Audit Candidate 3]])), Audit[[#This Row],[Audit Candidate 3]]-Audit[[#This Row],[Candidate 3]], "")</f>
        <v/>
      </c>
      <c r="AH764" s="18" t="str">
        <f>IF(NOT(ISBLANK(Audit[[#This Row],[Audit Candidate 4]])),Audit[[#This Row],[Audit Candidate 4]]-Audit[[#This Row],[Candidate 4]], "")</f>
        <v/>
      </c>
      <c r="AI764" s="18" t="str">
        <f>IF(NOT(ISBLANK(Audit[[#This Row],[Audit Candidate 5]])), Audit[[#This Row],[Audit Candidate 5]]-Audit[[#This Row],[Candidate 5]], "")</f>
        <v/>
      </c>
      <c r="AJ764" s="18" t="str">
        <f>IF(NOT(ISBLANK(Audit[[#This Row],[Audit Candidate 6]])), Audit[[#This Row],[Audit Candidate 6]]-Audit[[#This Row],[Candidate 6]], "")</f>
        <v/>
      </c>
      <c r="AK764" s="18" t="str">
        <f>IF(NOT(ISBLANK(Audit[[#This Row],[Audit Candidate 7]])), Audit[[#This Row],[Audit Candidate 7]]-Audit[[#This Row],[Candidate 7]], "")</f>
        <v/>
      </c>
      <c r="AL764" s="18" t="str">
        <f>IF(NOT(ISBLANK(Audit[[#This Row],[Audit Candidate 8]])), Audit[[#This Row],[Audit Candidate 8]]-Audit[[#This Row],[Candidate 8]], "")</f>
        <v/>
      </c>
      <c r="AM764" s="18" t="str">
        <f>IF(NOT(ISBLANK(Audit[[#This Row],[Audit Candidate 9]])), Audit[[#This Row],[Audit Candidate 9]]-Audit[[#This Row],[Candidate 9]], "")</f>
        <v/>
      </c>
      <c r="AN764" s="18" t="str">
        <f>IF(NOT(ISBLANK(Audit[[#This Row],[Audit Candidate 10]])), Audit[[#This Row],[Audit Candidate 10]]-Audit[[#This Row],[Candidate 10]], "")</f>
        <v/>
      </c>
      <c r="AO764" s="18" t="str">
        <f>IF(NOT(ISBLANK(Audit[[#This Row],[Audit Candidate 11]])), Audit[[#This Row],[Audit Candidate 11]]-Audit[[#This Row],[Candidate 11]], "")</f>
        <v/>
      </c>
      <c r="AP764" s="18" t="str">
        <f>IF(NOT(ISBLANK(Audit[[#This Row],[Audit Candidate 12]])), Audit[[#This Row],[Audit Candidate 12]]-Audit[[#This Row],[Candidate 12]], "")</f>
        <v/>
      </c>
      <c r="AQ764" s="18">
        <f>SUMIF(Audit[[#This Row],[Difference Winner]:[Difference Candidate 12]], "&gt;0")</f>
        <v>0</v>
      </c>
      <c r="AR764" s="18">
        <f>SUM(Audit[[#This Row],[Difference Winner]:[Difference Candidate 12]])</f>
        <v>0</v>
      </c>
      <c r="AS764" s="18">
        <f>IF(Audit[[#This Row],[Times p Drawn - With Replacement]]&gt;0, IF(Audit[[#This Row],[Canceled Differences]]&lt;0, Audit[[#This Row],[Max Differences]]+ABS(Audit[[#This Row],[Canceled Differences]]), Audit[[#This Row],[Max Differences]]), 0)</f>
        <v>0</v>
      </c>
      <c r="AT764" s="18">
        <f>'Sampling Data'!AB764</f>
        <v>3.2980494393315954E-3</v>
      </c>
      <c r="AU764" s="18">
        <f>IF(
      SUM(Audit[[#This Row],[Audit Losing Candidate]:[Audit Candidate 12]])
      &lt;&gt;0,
      (Audit[[#This Row],[Winning Candidate]]-Audit[[#This Row],[Losing Candidate]]-(Audit[[#This Row],[Audit Winning Candidate]]-Audit[[#This Row],[Audit Losing Candidate]]))/(Audit[[#Totals],[Winning Candidate]]-Audit[[#Totals],[Losing Candidate]]),
      0
)</f>
        <v>0</v>
      </c>
      <c r="AV7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8">
        <f>IF(Audit[[#This Row],[Max Relative Error (ep)]] = 0, 0, Audit[[#This Row],[Max Relative Error (ep)]]/Audit[[#This Row],[Error Bound (up) - Max. possible relative overstatement]])</f>
        <v>0</v>
      </c>
      <c r="BH7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4" s="18">
        <f t="shared" si="12"/>
        <v>1</v>
      </c>
      <c r="BJ764" s="18">
        <f>PRODUCT($BI$5:BI764)</f>
        <v>0.32656797278968008</v>
      </c>
      <c r="BK764" s="20">
        <f>1 - Audit[[#This Row],[K-M P Value]]</f>
        <v>0.67343202721031992</v>
      </c>
      <c r="BL764" s="18" t="str">
        <f>IF(Audit[[#This Row],[K-M P Value]]&gt;1-'General Info'!$B$12,"Continue", "Stop")</f>
        <v>Continue</v>
      </c>
      <c r="BM764" s="23" t="b">
        <f>IF(Audit[[#This Row],[Status - Continue or stop audit]] = "Continue", TRUE, IF(BL763 = "Continue", TRUE, FALSE))</f>
        <v>1</v>
      </c>
      <c r="BN764" s="23"/>
    </row>
    <row r="765" spans="1:66" ht="15" hidden="1" customHeight="1" x14ac:dyDescent="0.35">
      <c r="A765" s="18" t="str">
        <f>'Sampling Data'!AI765</f>
        <v/>
      </c>
      <c r="B765" s="18" t="str">
        <f>'Sampling Data'!A765</f>
        <v>2841 BLUE 4-A   (ED)</v>
      </c>
      <c r="C765" s="18">
        <f>'Sampling Data'!B765</f>
        <v>49</v>
      </c>
      <c r="D765" s="18">
        <f>'Sampling Data'!C765</f>
        <v>9</v>
      </c>
      <c r="E765" s="19">
        <f>'Sampling Data'!D765</f>
        <v>0</v>
      </c>
      <c r="F765" s="19">
        <f>'Sampling Data'!E765</f>
        <v>0</v>
      </c>
      <c r="G765" s="19">
        <f>'Sampling Data'!F765</f>
        <v>0</v>
      </c>
      <c r="H765" s="19">
        <f>'Sampling Data'!G765</f>
        <v>0</v>
      </c>
      <c r="I765" s="19">
        <f>'Sampling Data'!H765</f>
        <v>0</v>
      </c>
      <c r="J765" s="19">
        <f>'Sampling Data'!I765</f>
        <v>0</v>
      </c>
      <c r="K765" s="19">
        <f>'Sampling Data'!J765</f>
        <v>0</v>
      </c>
      <c r="L765" s="19">
        <f>'Sampling Data'!K765</f>
        <v>0</v>
      </c>
      <c r="M765" s="19">
        <f>'Sampling Data'!L765</f>
        <v>0</v>
      </c>
      <c r="N765" s="19">
        <f>'Sampling Data'!M765</f>
        <v>0</v>
      </c>
      <c r="O765" s="18">
        <f>'Sampling Data'!N765</f>
        <v>0</v>
      </c>
      <c r="P765" s="18">
        <f>'Sampling Data'!O765</f>
        <v>1</v>
      </c>
      <c r="Q765" s="18">
        <f>'Sampling Data'!P765</f>
        <v>59</v>
      </c>
      <c r="R765" s="18">
        <f>'Sampling Data'!AJ765</f>
        <v>0</v>
      </c>
      <c r="S765" s="112"/>
      <c r="T765" s="112"/>
      <c r="U765" s="113"/>
      <c r="V765" s="113"/>
      <c r="W765" s="112"/>
      <c r="X765" s="112"/>
      <c r="Y765" s="112"/>
      <c r="Z765" s="112"/>
      <c r="AA765" s="15"/>
      <c r="AB765" s="15"/>
      <c r="AC765" s="15"/>
      <c r="AD765" s="15"/>
      <c r="AE765" s="114" t="str">
        <f>IF(NOT(ISBLANK(Audit[[#This Row],[Audit Winning Candidate]])), Audit[[#This Row],[Audit Winning Candidate]]-Audit[[#This Row],[Winning Candidate]], "")</f>
        <v/>
      </c>
      <c r="AF765" s="18" t="str">
        <f>IF(NOT(ISBLANK(Audit[[#This Row],[Audit Losing Candidate]])), Audit[[#This Row],[Audit Losing Candidate]]-Audit[[#This Row],[Losing Candidate]], "")</f>
        <v/>
      </c>
      <c r="AG765" s="18" t="str">
        <f>IF(NOT(ISBLANK(Audit[[#This Row],[Audit Candidate 3]])), Audit[[#This Row],[Audit Candidate 3]]-Audit[[#This Row],[Candidate 3]], "")</f>
        <v/>
      </c>
      <c r="AH765" s="18" t="str">
        <f>IF(NOT(ISBLANK(Audit[[#This Row],[Audit Candidate 4]])),Audit[[#This Row],[Audit Candidate 4]]-Audit[[#This Row],[Candidate 4]], "")</f>
        <v/>
      </c>
      <c r="AI765" s="18" t="str">
        <f>IF(NOT(ISBLANK(Audit[[#This Row],[Audit Candidate 5]])), Audit[[#This Row],[Audit Candidate 5]]-Audit[[#This Row],[Candidate 5]], "")</f>
        <v/>
      </c>
      <c r="AJ765" s="18" t="str">
        <f>IF(NOT(ISBLANK(Audit[[#This Row],[Audit Candidate 6]])), Audit[[#This Row],[Audit Candidate 6]]-Audit[[#This Row],[Candidate 6]], "")</f>
        <v/>
      </c>
      <c r="AK765" s="18" t="str">
        <f>IF(NOT(ISBLANK(Audit[[#This Row],[Audit Candidate 7]])), Audit[[#This Row],[Audit Candidate 7]]-Audit[[#This Row],[Candidate 7]], "")</f>
        <v/>
      </c>
      <c r="AL765" s="18" t="str">
        <f>IF(NOT(ISBLANK(Audit[[#This Row],[Audit Candidate 8]])), Audit[[#This Row],[Audit Candidate 8]]-Audit[[#This Row],[Candidate 8]], "")</f>
        <v/>
      </c>
      <c r="AM765" s="18" t="str">
        <f>IF(NOT(ISBLANK(Audit[[#This Row],[Audit Candidate 9]])), Audit[[#This Row],[Audit Candidate 9]]-Audit[[#This Row],[Candidate 9]], "")</f>
        <v/>
      </c>
      <c r="AN765" s="18" t="str">
        <f>IF(NOT(ISBLANK(Audit[[#This Row],[Audit Candidate 10]])), Audit[[#This Row],[Audit Candidate 10]]-Audit[[#This Row],[Candidate 10]], "")</f>
        <v/>
      </c>
      <c r="AO765" s="18" t="str">
        <f>IF(NOT(ISBLANK(Audit[[#This Row],[Audit Candidate 11]])), Audit[[#This Row],[Audit Candidate 11]]-Audit[[#This Row],[Candidate 11]], "")</f>
        <v/>
      </c>
      <c r="AP765" s="18" t="str">
        <f>IF(NOT(ISBLANK(Audit[[#This Row],[Audit Candidate 12]])), Audit[[#This Row],[Audit Candidate 12]]-Audit[[#This Row],[Candidate 12]], "")</f>
        <v/>
      </c>
      <c r="AQ765" s="18">
        <f>SUMIF(Audit[[#This Row],[Difference Winner]:[Difference Candidate 12]], "&gt;0")</f>
        <v>0</v>
      </c>
      <c r="AR765" s="18">
        <f>SUM(Audit[[#This Row],[Difference Winner]:[Difference Candidate 12]])</f>
        <v>0</v>
      </c>
      <c r="AS765" s="18">
        <f>IF(Audit[[#This Row],[Times p Drawn - With Replacement]]&gt;0, IF(Audit[[#This Row],[Canceled Differences]]&lt;0, Audit[[#This Row],[Max Differences]]+ABS(Audit[[#This Row],[Canceled Differences]]), Audit[[#This Row],[Max Differences]]), 0)</f>
        <v>0</v>
      </c>
      <c r="AT765" s="18">
        <f>'Sampling Data'!AB765</f>
        <v>3.1095894713697898E-3</v>
      </c>
      <c r="AU765" s="18">
        <f>IF(
      SUM(Audit[[#This Row],[Audit Losing Candidate]:[Audit Candidate 12]])
      &lt;&gt;0,
      (Audit[[#This Row],[Winning Candidate]]-Audit[[#This Row],[Losing Candidate]]-(Audit[[#This Row],[Audit Winning Candidate]]-Audit[[#This Row],[Audit Losing Candidate]]))/(Audit[[#Totals],[Winning Candidate]]-Audit[[#Totals],[Losing Candidate]]),
      0
)</f>
        <v>0</v>
      </c>
      <c r="AV7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8">
        <f>IF(Audit[[#This Row],[Max Relative Error (ep)]] = 0, 0, Audit[[#This Row],[Max Relative Error (ep)]]/Audit[[#This Row],[Error Bound (up) - Max. possible relative overstatement]])</f>
        <v>0</v>
      </c>
      <c r="BH7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5" s="18">
        <f t="shared" si="12"/>
        <v>1</v>
      </c>
      <c r="BJ765" s="18">
        <f>PRODUCT($BI$5:BI765)</f>
        <v>0.32656797278968008</v>
      </c>
      <c r="BK765" s="20">
        <f>1 - Audit[[#This Row],[K-M P Value]]</f>
        <v>0.67343202721031992</v>
      </c>
      <c r="BL765" s="18" t="str">
        <f>IF(Audit[[#This Row],[K-M P Value]]&gt;1-'General Info'!$B$12,"Continue", "Stop")</f>
        <v>Continue</v>
      </c>
      <c r="BM765" s="23" t="b">
        <f>IF(Audit[[#This Row],[Status - Continue or stop audit]] = "Continue", TRUE, IF(BL764 = "Continue", TRUE, FALSE))</f>
        <v>1</v>
      </c>
      <c r="BN765" s="23"/>
    </row>
    <row r="766" spans="1:66" ht="15" hidden="1" customHeight="1" x14ac:dyDescent="0.35">
      <c r="A766" s="18" t="str">
        <f>'Sampling Data'!AI766</f>
        <v/>
      </c>
      <c r="B766" s="18" t="str">
        <f>'Sampling Data'!A766</f>
        <v>2842 BLUE 4-B   (ED)</v>
      </c>
      <c r="C766" s="18">
        <f>'Sampling Data'!B766</f>
        <v>65</v>
      </c>
      <c r="D766" s="18">
        <f>'Sampling Data'!C766</f>
        <v>10</v>
      </c>
      <c r="E766" s="19">
        <f>'Sampling Data'!D766</f>
        <v>0</v>
      </c>
      <c r="F766" s="19">
        <f>'Sampling Data'!E766</f>
        <v>0</v>
      </c>
      <c r="G766" s="19">
        <f>'Sampling Data'!F766</f>
        <v>0</v>
      </c>
      <c r="H766" s="19">
        <f>'Sampling Data'!G766</f>
        <v>0</v>
      </c>
      <c r="I766" s="19">
        <f>'Sampling Data'!H766</f>
        <v>0</v>
      </c>
      <c r="J766" s="19">
        <f>'Sampling Data'!I766</f>
        <v>0</v>
      </c>
      <c r="K766" s="19">
        <f>'Sampling Data'!J766</f>
        <v>0</v>
      </c>
      <c r="L766" s="19">
        <f>'Sampling Data'!K766</f>
        <v>0</v>
      </c>
      <c r="M766" s="19">
        <f>'Sampling Data'!L766</f>
        <v>0</v>
      </c>
      <c r="N766" s="19">
        <f>'Sampling Data'!M766</f>
        <v>0</v>
      </c>
      <c r="O766" s="18">
        <f>'Sampling Data'!N766</f>
        <v>0</v>
      </c>
      <c r="P766" s="18">
        <f>'Sampling Data'!O766</f>
        <v>1</v>
      </c>
      <c r="Q766" s="18">
        <f>'Sampling Data'!P766</f>
        <v>76</v>
      </c>
      <c r="R766" s="18">
        <f>'Sampling Data'!AJ766</f>
        <v>0</v>
      </c>
      <c r="S766" s="112"/>
      <c r="T766" s="112"/>
      <c r="U766" s="113"/>
      <c r="V766" s="113"/>
      <c r="W766" s="112"/>
      <c r="X766" s="112"/>
      <c r="Y766" s="112"/>
      <c r="Z766" s="112"/>
      <c r="AA766" s="15"/>
      <c r="AB766" s="15"/>
      <c r="AC766" s="15"/>
      <c r="AD766" s="15"/>
      <c r="AE766" s="114" t="str">
        <f>IF(NOT(ISBLANK(Audit[[#This Row],[Audit Winning Candidate]])), Audit[[#This Row],[Audit Winning Candidate]]-Audit[[#This Row],[Winning Candidate]], "")</f>
        <v/>
      </c>
      <c r="AF766" s="18" t="str">
        <f>IF(NOT(ISBLANK(Audit[[#This Row],[Audit Losing Candidate]])), Audit[[#This Row],[Audit Losing Candidate]]-Audit[[#This Row],[Losing Candidate]], "")</f>
        <v/>
      </c>
      <c r="AG766" s="18" t="str">
        <f>IF(NOT(ISBLANK(Audit[[#This Row],[Audit Candidate 3]])), Audit[[#This Row],[Audit Candidate 3]]-Audit[[#This Row],[Candidate 3]], "")</f>
        <v/>
      </c>
      <c r="AH766" s="18" t="str">
        <f>IF(NOT(ISBLANK(Audit[[#This Row],[Audit Candidate 4]])),Audit[[#This Row],[Audit Candidate 4]]-Audit[[#This Row],[Candidate 4]], "")</f>
        <v/>
      </c>
      <c r="AI766" s="18" t="str">
        <f>IF(NOT(ISBLANK(Audit[[#This Row],[Audit Candidate 5]])), Audit[[#This Row],[Audit Candidate 5]]-Audit[[#This Row],[Candidate 5]], "")</f>
        <v/>
      </c>
      <c r="AJ766" s="18" t="str">
        <f>IF(NOT(ISBLANK(Audit[[#This Row],[Audit Candidate 6]])), Audit[[#This Row],[Audit Candidate 6]]-Audit[[#This Row],[Candidate 6]], "")</f>
        <v/>
      </c>
      <c r="AK766" s="18" t="str">
        <f>IF(NOT(ISBLANK(Audit[[#This Row],[Audit Candidate 7]])), Audit[[#This Row],[Audit Candidate 7]]-Audit[[#This Row],[Candidate 7]], "")</f>
        <v/>
      </c>
      <c r="AL766" s="18" t="str">
        <f>IF(NOT(ISBLANK(Audit[[#This Row],[Audit Candidate 8]])), Audit[[#This Row],[Audit Candidate 8]]-Audit[[#This Row],[Candidate 8]], "")</f>
        <v/>
      </c>
      <c r="AM766" s="18" t="str">
        <f>IF(NOT(ISBLANK(Audit[[#This Row],[Audit Candidate 9]])), Audit[[#This Row],[Audit Candidate 9]]-Audit[[#This Row],[Candidate 9]], "")</f>
        <v/>
      </c>
      <c r="AN766" s="18" t="str">
        <f>IF(NOT(ISBLANK(Audit[[#This Row],[Audit Candidate 10]])), Audit[[#This Row],[Audit Candidate 10]]-Audit[[#This Row],[Candidate 10]], "")</f>
        <v/>
      </c>
      <c r="AO766" s="18" t="str">
        <f>IF(NOT(ISBLANK(Audit[[#This Row],[Audit Candidate 11]])), Audit[[#This Row],[Audit Candidate 11]]-Audit[[#This Row],[Candidate 11]], "")</f>
        <v/>
      </c>
      <c r="AP766" s="18" t="str">
        <f>IF(NOT(ISBLANK(Audit[[#This Row],[Audit Candidate 12]])), Audit[[#This Row],[Audit Candidate 12]]-Audit[[#This Row],[Candidate 12]], "")</f>
        <v/>
      </c>
      <c r="AQ766" s="18">
        <f>SUMIF(Audit[[#This Row],[Difference Winner]:[Difference Candidate 12]], "&gt;0")</f>
        <v>0</v>
      </c>
      <c r="AR766" s="18">
        <f>SUM(Audit[[#This Row],[Difference Winner]:[Difference Candidate 12]])</f>
        <v>0</v>
      </c>
      <c r="AS766" s="18">
        <f>IF(Audit[[#This Row],[Times p Drawn - With Replacement]]&gt;0, IF(Audit[[#This Row],[Canceled Differences]]&lt;0, Audit[[#This Row],[Max Differences]]+ABS(Audit[[#This Row],[Canceled Differences]]), Audit[[#This Row],[Max Differences]]), 0)</f>
        <v>0</v>
      </c>
      <c r="AT766" s="18">
        <f>'Sampling Data'!AB766</f>
        <v>4.114709300499419E-3</v>
      </c>
      <c r="AU766" s="18">
        <f>IF(
      SUM(Audit[[#This Row],[Audit Losing Candidate]:[Audit Candidate 12]])
      &lt;&gt;0,
      (Audit[[#This Row],[Winning Candidate]]-Audit[[#This Row],[Losing Candidate]]-(Audit[[#This Row],[Audit Winning Candidate]]-Audit[[#This Row],[Audit Losing Candidate]]))/(Audit[[#Totals],[Winning Candidate]]-Audit[[#Totals],[Losing Candidate]]),
      0
)</f>
        <v>0</v>
      </c>
      <c r="AV7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8">
        <f>IF(Audit[[#This Row],[Max Relative Error (ep)]] = 0, 0, Audit[[#This Row],[Max Relative Error (ep)]]/Audit[[#This Row],[Error Bound (up) - Max. possible relative overstatement]])</f>
        <v>0</v>
      </c>
      <c r="BH7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6" s="18">
        <f t="shared" si="12"/>
        <v>1</v>
      </c>
      <c r="BJ766" s="18">
        <f>PRODUCT($BI$5:BI766)</f>
        <v>0.32656797278968008</v>
      </c>
      <c r="BK766" s="20">
        <f>1 - Audit[[#This Row],[K-M P Value]]</f>
        <v>0.67343202721031992</v>
      </c>
      <c r="BL766" s="18" t="str">
        <f>IF(Audit[[#This Row],[K-M P Value]]&gt;1-'General Info'!$B$12,"Continue", "Stop")</f>
        <v>Continue</v>
      </c>
      <c r="BM766" s="23" t="b">
        <f>IF(Audit[[#This Row],[Status - Continue or stop audit]] = "Continue", TRUE, IF(BL765 = "Continue", TRUE, FALSE))</f>
        <v>1</v>
      </c>
      <c r="BN766" s="23"/>
    </row>
    <row r="767" spans="1:66" ht="15" hidden="1" customHeight="1" x14ac:dyDescent="0.35">
      <c r="A767" s="18" t="str">
        <f>'Sampling Data'!AI767</f>
        <v/>
      </c>
      <c r="B767" s="18" t="str">
        <f>'Sampling Data'!A767</f>
        <v>2851 BLUE 5-A   (ED)</v>
      </c>
      <c r="C767" s="18">
        <f>'Sampling Data'!B767</f>
        <v>72</v>
      </c>
      <c r="D767" s="18">
        <f>'Sampling Data'!C767</f>
        <v>12</v>
      </c>
      <c r="E767" s="19">
        <f>'Sampling Data'!D767</f>
        <v>0</v>
      </c>
      <c r="F767" s="19">
        <f>'Sampling Data'!E767</f>
        <v>0</v>
      </c>
      <c r="G767" s="19">
        <f>'Sampling Data'!F767</f>
        <v>0</v>
      </c>
      <c r="H767" s="19">
        <f>'Sampling Data'!G767</f>
        <v>0</v>
      </c>
      <c r="I767" s="19">
        <f>'Sampling Data'!H767</f>
        <v>0</v>
      </c>
      <c r="J767" s="19">
        <f>'Sampling Data'!I767</f>
        <v>0</v>
      </c>
      <c r="K767" s="19">
        <f>'Sampling Data'!J767</f>
        <v>0</v>
      </c>
      <c r="L767" s="19">
        <f>'Sampling Data'!K767</f>
        <v>0</v>
      </c>
      <c r="M767" s="19">
        <f>'Sampling Data'!L767</f>
        <v>0</v>
      </c>
      <c r="N767" s="19">
        <f>'Sampling Data'!M767</f>
        <v>0</v>
      </c>
      <c r="O767" s="18">
        <f>'Sampling Data'!N767</f>
        <v>0</v>
      </c>
      <c r="P767" s="18">
        <f>'Sampling Data'!O767</f>
        <v>0</v>
      </c>
      <c r="Q767" s="18">
        <f>'Sampling Data'!P767</f>
        <v>84</v>
      </c>
      <c r="R767" s="18">
        <f>'Sampling Data'!AJ767</f>
        <v>0</v>
      </c>
      <c r="S767" s="112"/>
      <c r="T767" s="112"/>
      <c r="U767" s="113"/>
      <c r="V767" s="113"/>
      <c r="W767" s="112"/>
      <c r="X767" s="112"/>
      <c r="Y767" s="112"/>
      <c r="Z767" s="112"/>
      <c r="AA767" s="15"/>
      <c r="AB767" s="15"/>
      <c r="AC767" s="15"/>
      <c r="AD767" s="15"/>
      <c r="AE767" s="114" t="str">
        <f>IF(NOT(ISBLANK(Audit[[#This Row],[Audit Winning Candidate]])), Audit[[#This Row],[Audit Winning Candidate]]-Audit[[#This Row],[Winning Candidate]], "")</f>
        <v/>
      </c>
      <c r="AF767" s="18" t="str">
        <f>IF(NOT(ISBLANK(Audit[[#This Row],[Audit Losing Candidate]])), Audit[[#This Row],[Audit Losing Candidate]]-Audit[[#This Row],[Losing Candidate]], "")</f>
        <v/>
      </c>
      <c r="AG767" s="18" t="str">
        <f>IF(NOT(ISBLANK(Audit[[#This Row],[Audit Candidate 3]])), Audit[[#This Row],[Audit Candidate 3]]-Audit[[#This Row],[Candidate 3]], "")</f>
        <v/>
      </c>
      <c r="AH767" s="18" t="str">
        <f>IF(NOT(ISBLANK(Audit[[#This Row],[Audit Candidate 4]])),Audit[[#This Row],[Audit Candidate 4]]-Audit[[#This Row],[Candidate 4]], "")</f>
        <v/>
      </c>
      <c r="AI767" s="18" t="str">
        <f>IF(NOT(ISBLANK(Audit[[#This Row],[Audit Candidate 5]])), Audit[[#This Row],[Audit Candidate 5]]-Audit[[#This Row],[Candidate 5]], "")</f>
        <v/>
      </c>
      <c r="AJ767" s="18" t="str">
        <f>IF(NOT(ISBLANK(Audit[[#This Row],[Audit Candidate 6]])), Audit[[#This Row],[Audit Candidate 6]]-Audit[[#This Row],[Candidate 6]], "")</f>
        <v/>
      </c>
      <c r="AK767" s="18" t="str">
        <f>IF(NOT(ISBLANK(Audit[[#This Row],[Audit Candidate 7]])), Audit[[#This Row],[Audit Candidate 7]]-Audit[[#This Row],[Candidate 7]], "")</f>
        <v/>
      </c>
      <c r="AL767" s="18" t="str">
        <f>IF(NOT(ISBLANK(Audit[[#This Row],[Audit Candidate 8]])), Audit[[#This Row],[Audit Candidate 8]]-Audit[[#This Row],[Candidate 8]], "")</f>
        <v/>
      </c>
      <c r="AM767" s="18" t="str">
        <f>IF(NOT(ISBLANK(Audit[[#This Row],[Audit Candidate 9]])), Audit[[#This Row],[Audit Candidate 9]]-Audit[[#This Row],[Candidate 9]], "")</f>
        <v/>
      </c>
      <c r="AN767" s="18" t="str">
        <f>IF(NOT(ISBLANK(Audit[[#This Row],[Audit Candidate 10]])), Audit[[#This Row],[Audit Candidate 10]]-Audit[[#This Row],[Candidate 10]], "")</f>
        <v/>
      </c>
      <c r="AO767" s="18" t="str">
        <f>IF(NOT(ISBLANK(Audit[[#This Row],[Audit Candidate 11]])), Audit[[#This Row],[Audit Candidate 11]]-Audit[[#This Row],[Candidate 11]], "")</f>
        <v/>
      </c>
      <c r="AP767" s="18" t="str">
        <f>IF(NOT(ISBLANK(Audit[[#This Row],[Audit Candidate 12]])), Audit[[#This Row],[Audit Candidate 12]]-Audit[[#This Row],[Candidate 12]], "")</f>
        <v/>
      </c>
      <c r="AQ767" s="18">
        <f>SUMIF(Audit[[#This Row],[Difference Winner]:[Difference Candidate 12]], "&gt;0")</f>
        <v>0</v>
      </c>
      <c r="AR767" s="18">
        <f>SUM(Audit[[#This Row],[Difference Winner]:[Difference Candidate 12]])</f>
        <v>0</v>
      </c>
      <c r="AS767" s="18">
        <f>IF(Audit[[#This Row],[Times p Drawn - With Replacement]]&gt;0, IF(Audit[[#This Row],[Canceled Differences]]&lt;0, Audit[[#This Row],[Max Differences]]+ABS(Audit[[#This Row],[Canceled Differences]]), Audit[[#This Row],[Max Differences]]), 0)</f>
        <v>0</v>
      </c>
      <c r="AT767" s="18">
        <f>'Sampling Data'!AB767</f>
        <v>4.5230392310833308E-3</v>
      </c>
      <c r="AU767" s="18">
        <f>IF(
      SUM(Audit[[#This Row],[Audit Losing Candidate]:[Audit Candidate 12]])
      &lt;&gt;0,
      (Audit[[#This Row],[Winning Candidate]]-Audit[[#This Row],[Losing Candidate]]-(Audit[[#This Row],[Audit Winning Candidate]]-Audit[[#This Row],[Audit Losing Candidate]]))/(Audit[[#Totals],[Winning Candidate]]-Audit[[#Totals],[Losing Candidate]]),
      0
)</f>
        <v>0</v>
      </c>
      <c r="AV7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8">
        <f>IF(Audit[[#This Row],[Max Relative Error (ep)]] = 0, 0, Audit[[#This Row],[Max Relative Error (ep)]]/Audit[[#This Row],[Error Bound (up) - Max. possible relative overstatement]])</f>
        <v>0</v>
      </c>
      <c r="BH7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7" s="18">
        <f t="shared" si="12"/>
        <v>1</v>
      </c>
      <c r="BJ767" s="18">
        <f>PRODUCT($BI$5:BI767)</f>
        <v>0.32656797278968008</v>
      </c>
      <c r="BK767" s="20">
        <f>1 - Audit[[#This Row],[K-M P Value]]</f>
        <v>0.67343202721031992</v>
      </c>
      <c r="BL767" s="18" t="str">
        <f>IF(Audit[[#This Row],[K-M P Value]]&gt;1-'General Info'!$B$12,"Continue", "Stop")</f>
        <v>Continue</v>
      </c>
      <c r="BM767" s="23" t="b">
        <f>IF(Audit[[#This Row],[Status - Continue or stop audit]] = "Continue", TRUE, IF(BL766 = "Continue", TRUE, FALSE))</f>
        <v>1</v>
      </c>
      <c r="BN767" s="23"/>
    </row>
    <row r="768" spans="1:66" ht="15" hidden="1" customHeight="1" x14ac:dyDescent="0.35">
      <c r="A768" s="18" t="str">
        <f>'Sampling Data'!AI768</f>
        <v/>
      </c>
      <c r="B768" s="18" t="str">
        <f>'Sampling Data'!A768</f>
        <v>2852 BLUE 5-B   (ED)</v>
      </c>
      <c r="C768" s="18">
        <f>'Sampling Data'!B768</f>
        <v>41</v>
      </c>
      <c r="D768" s="18">
        <f>'Sampling Data'!C768</f>
        <v>4</v>
      </c>
      <c r="E768" s="19">
        <f>'Sampling Data'!D768</f>
        <v>0</v>
      </c>
      <c r="F768" s="19">
        <f>'Sampling Data'!E768</f>
        <v>0</v>
      </c>
      <c r="G768" s="19">
        <f>'Sampling Data'!F768</f>
        <v>0</v>
      </c>
      <c r="H768" s="19">
        <f>'Sampling Data'!G768</f>
        <v>0</v>
      </c>
      <c r="I768" s="19">
        <f>'Sampling Data'!H768</f>
        <v>0</v>
      </c>
      <c r="J768" s="19">
        <f>'Sampling Data'!I768</f>
        <v>0</v>
      </c>
      <c r="K768" s="19">
        <f>'Sampling Data'!J768</f>
        <v>0</v>
      </c>
      <c r="L768" s="19">
        <f>'Sampling Data'!K768</f>
        <v>0</v>
      </c>
      <c r="M768" s="19">
        <f>'Sampling Data'!L768</f>
        <v>0</v>
      </c>
      <c r="N768" s="19">
        <f>'Sampling Data'!M768</f>
        <v>0</v>
      </c>
      <c r="O768" s="18">
        <f>'Sampling Data'!N768</f>
        <v>0</v>
      </c>
      <c r="P768" s="18">
        <f>'Sampling Data'!O768</f>
        <v>0</v>
      </c>
      <c r="Q768" s="18">
        <f>'Sampling Data'!P768</f>
        <v>45</v>
      </c>
      <c r="R768" s="18">
        <f>'Sampling Data'!AJ768</f>
        <v>0</v>
      </c>
      <c r="S768" s="112"/>
      <c r="T768" s="112"/>
      <c r="U768" s="113"/>
      <c r="V768" s="113"/>
      <c r="W768" s="112"/>
      <c r="X768" s="112"/>
      <c r="Y768" s="112"/>
      <c r="Z768" s="112"/>
      <c r="AA768" s="15"/>
      <c r="AB768" s="15"/>
      <c r="AC768" s="15"/>
      <c r="AD768" s="15"/>
      <c r="AE768" s="114" t="str">
        <f>IF(NOT(ISBLANK(Audit[[#This Row],[Audit Winning Candidate]])), Audit[[#This Row],[Audit Winning Candidate]]-Audit[[#This Row],[Winning Candidate]], "")</f>
        <v/>
      </c>
      <c r="AF768" s="18" t="str">
        <f>IF(NOT(ISBLANK(Audit[[#This Row],[Audit Losing Candidate]])), Audit[[#This Row],[Audit Losing Candidate]]-Audit[[#This Row],[Losing Candidate]], "")</f>
        <v/>
      </c>
      <c r="AG768" s="18" t="str">
        <f>IF(NOT(ISBLANK(Audit[[#This Row],[Audit Candidate 3]])), Audit[[#This Row],[Audit Candidate 3]]-Audit[[#This Row],[Candidate 3]], "")</f>
        <v/>
      </c>
      <c r="AH768" s="18" t="str">
        <f>IF(NOT(ISBLANK(Audit[[#This Row],[Audit Candidate 4]])),Audit[[#This Row],[Audit Candidate 4]]-Audit[[#This Row],[Candidate 4]], "")</f>
        <v/>
      </c>
      <c r="AI768" s="18" t="str">
        <f>IF(NOT(ISBLANK(Audit[[#This Row],[Audit Candidate 5]])), Audit[[#This Row],[Audit Candidate 5]]-Audit[[#This Row],[Candidate 5]], "")</f>
        <v/>
      </c>
      <c r="AJ768" s="18" t="str">
        <f>IF(NOT(ISBLANK(Audit[[#This Row],[Audit Candidate 6]])), Audit[[#This Row],[Audit Candidate 6]]-Audit[[#This Row],[Candidate 6]], "")</f>
        <v/>
      </c>
      <c r="AK768" s="18" t="str">
        <f>IF(NOT(ISBLANK(Audit[[#This Row],[Audit Candidate 7]])), Audit[[#This Row],[Audit Candidate 7]]-Audit[[#This Row],[Candidate 7]], "")</f>
        <v/>
      </c>
      <c r="AL768" s="18" t="str">
        <f>IF(NOT(ISBLANK(Audit[[#This Row],[Audit Candidate 8]])), Audit[[#This Row],[Audit Candidate 8]]-Audit[[#This Row],[Candidate 8]], "")</f>
        <v/>
      </c>
      <c r="AM768" s="18" t="str">
        <f>IF(NOT(ISBLANK(Audit[[#This Row],[Audit Candidate 9]])), Audit[[#This Row],[Audit Candidate 9]]-Audit[[#This Row],[Candidate 9]], "")</f>
        <v/>
      </c>
      <c r="AN768" s="18" t="str">
        <f>IF(NOT(ISBLANK(Audit[[#This Row],[Audit Candidate 10]])), Audit[[#This Row],[Audit Candidate 10]]-Audit[[#This Row],[Candidate 10]], "")</f>
        <v/>
      </c>
      <c r="AO768" s="18" t="str">
        <f>IF(NOT(ISBLANK(Audit[[#This Row],[Audit Candidate 11]])), Audit[[#This Row],[Audit Candidate 11]]-Audit[[#This Row],[Candidate 11]], "")</f>
        <v/>
      </c>
      <c r="AP768" s="18" t="str">
        <f>IF(NOT(ISBLANK(Audit[[#This Row],[Audit Candidate 12]])), Audit[[#This Row],[Audit Candidate 12]]-Audit[[#This Row],[Candidate 12]], "")</f>
        <v/>
      </c>
      <c r="AQ768" s="18">
        <f>SUMIF(Audit[[#This Row],[Difference Winner]:[Difference Candidate 12]], "&gt;0")</f>
        <v>0</v>
      </c>
      <c r="AR768" s="18">
        <f>SUM(Audit[[#This Row],[Difference Winner]:[Difference Candidate 12]])</f>
        <v>0</v>
      </c>
      <c r="AS768" s="18">
        <f>IF(Audit[[#This Row],[Times p Drawn - With Replacement]]&gt;0, IF(Audit[[#This Row],[Canceled Differences]]&lt;0, Audit[[#This Row],[Max Differences]]+ABS(Audit[[#This Row],[Canceled Differences]]), Audit[[#This Row],[Max Differences]]), 0)</f>
        <v>0</v>
      </c>
      <c r="AT768" s="18">
        <f>'Sampling Data'!AB768</f>
        <v>2.5756195621446745E-3</v>
      </c>
      <c r="AU768" s="18">
        <f>IF(
      SUM(Audit[[#This Row],[Audit Losing Candidate]:[Audit Candidate 12]])
      &lt;&gt;0,
      (Audit[[#This Row],[Winning Candidate]]-Audit[[#This Row],[Losing Candidate]]-(Audit[[#This Row],[Audit Winning Candidate]]-Audit[[#This Row],[Audit Losing Candidate]]))/(Audit[[#Totals],[Winning Candidate]]-Audit[[#Totals],[Losing Candidate]]),
      0
)</f>
        <v>0</v>
      </c>
      <c r="AV7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8">
        <f>IF(Audit[[#This Row],[Max Relative Error (ep)]] = 0, 0, Audit[[#This Row],[Max Relative Error (ep)]]/Audit[[#This Row],[Error Bound (up) - Max. possible relative overstatement]])</f>
        <v>0</v>
      </c>
      <c r="BH7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8" s="18">
        <f t="shared" si="12"/>
        <v>1</v>
      </c>
      <c r="BJ768" s="18">
        <f>PRODUCT($BI$5:BI768)</f>
        <v>0.32656797278968008</v>
      </c>
      <c r="BK768" s="20">
        <f>1 - Audit[[#This Row],[K-M P Value]]</f>
        <v>0.67343202721031992</v>
      </c>
      <c r="BL768" s="18" t="str">
        <f>IF(Audit[[#This Row],[K-M P Value]]&gt;1-'General Info'!$B$12,"Continue", "Stop")</f>
        <v>Continue</v>
      </c>
      <c r="BM768" s="23" t="b">
        <f>IF(Audit[[#This Row],[Status - Continue or stop audit]] = "Continue", TRUE, IF(BL767 = "Continue", TRUE, FALSE))</f>
        <v>1</v>
      </c>
      <c r="BN768" s="23"/>
    </row>
    <row r="769" spans="1:66" ht="15" hidden="1" customHeight="1" x14ac:dyDescent="0.35">
      <c r="A769" s="18" t="str">
        <f>'Sampling Data'!AI769</f>
        <v/>
      </c>
      <c r="B769" s="18" t="str">
        <f>'Sampling Data'!A769</f>
        <v>2911 CHEV 1-A   (ED)</v>
      </c>
      <c r="C769" s="18">
        <f>'Sampling Data'!B769</f>
        <v>70</v>
      </c>
      <c r="D769" s="18">
        <f>'Sampling Data'!C769</f>
        <v>10</v>
      </c>
      <c r="E769" s="19">
        <f>'Sampling Data'!D769</f>
        <v>0</v>
      </c>
      <c r="F769" s="19">
        <f>'Sampling Data'!E769</f>
        <v>0</v>
      </c>
      <c r="G769" s="19">
        <f>'Sampling Data'!F769</f>
        <v>0</v>
      </c>
      <c r="H769" s="19">
        <f>'Sampling Data'!G769</f>
        <v>0</v>
      </c>
      <c r="I769" s="19">
        <f>'Sampling Data'!H769</f>
        <v>0</v>
      </c>
      <c r="J769" s="19">
        <f>'Sampling Data'!I769</f>
        <v>0</v>
      </c>
      <c r="K769" s="19">
        <f>'Sampling Data'!J769</f>
        <v>0</v>
      </c>
      <c r="L769" s="19">
        <f>'Sampling Data'!K769</f>
        <v>0</v>
      </c>
      <c r="M769" s="19">
        <f>'Sampling Data'!L769</f>
        <v>0</v>
      </c>
      <c r="N769" s="19">
        <f>'Sampling Data'!M769</f>
        <v>0</v>
      </c>
      <c r="O769" s="18">
        <f>'Sampling Data'!N769</f>
        <v>0</v>
      </c>
      <c r="P769" s="18">
        <f>'Sampling Data'!O769</f>
        <v>0</v>
      </c>
      <c r="Q769" s="18">
        <f>'Sampling Data'!P769</f>
        <v>80</v>
      </c>
      <c r="R769" s="18">
        <f>'Sampling Data'!AJ769</f>
        <v>0</v>
      </c>
      <c r="S769" s="112"/>
      <c r="T769" s="112"/>
      <c r="U769" s="113"/>
      <c r="V769" s="113"/>
      <c r="W769" s="112"/>
      <c r="X769" s="112"/>
      <c r="Y769" s="112"/>
      <c r="Z769" s="112"/>
      <c r="AA769" s="15"/>
      <c r="AB769" s="15"/>
      <c r="AC769" s="15"/>
      <c r="AD769" s="15"/>
      <c r="AE769" s="114" t="str">
        <f>IF(NOT(ISBLANK(Audit[[#This Row],[Audit Winning Candidate]])), Audit[[#This Row],[Audit Winning Candidate]]-Audit[[#This Row],[Winning Candidate]], "")</f>
        <v/>
      </c>
      <c r="AF769" s="18" t="str">
        <f>IF(NOT(ISBLANK(Audit[[#This Row],[Audit Losing Candidate]])), Audit[[#This Row],[Audit Losing Candidate]]-Audit[[#This Row],[Losing Candidate]], "")</f>
        <v/>
      </c>
      <c r="AG769" s="18" t="str">
        <f>IF(NOT(ISBLANK(Audit[[#This Row],[Audit Candidate 3]])), Audit[[#This Row],[Audit Candidate 3]]-Audit[[#This Row],[Candidate 3]], "")</f>
        <v/>
      </c>
      <c r="AH769" s="18" t="str">
        <f>IF(NOT(ISBLANK(Audit[[#This Row],[Audit Candidate 4]])),Audit[[#This Row],[Audit Candidate 4]]-Audit[[#This Row],[Candidate 4]], "")</f>
        <v/>
      </c>
      <c r="AI769" s="18" t="str">
        <f>IF(NOT(ISBLANK(Audit[[#This Row],[Audit Candidate 5]])), Audit[[#This Row],[Audit Candidate 5]]-Audit[[#This Row],[Candidate 5]], "")</f>
        <v/>
      </c>
      <c r="AJ769" s="18" t="str">
        <f>IF(NOT(ISBLANK(Audit[[#This Row],[Audit Candidate 6]])), Audit[[#This Row],[Audit Candidate 6]]-Audit[[#This Row],[Candidate 6]], "")</f>
        <v/>
      </c>
      <c r="AK769" s="18" t="str">
        <f>IF(NOT(ISBLANK(Audit[[#This Row],[Audit Candidate 7]])), Audit[[#This Row],[Audit Candidate 7]]-Audit[[#This Row],[Candidate 7]], "")</f>
        <v/>
      </c>
      <c r="AL769" s="18" t="str">
        <f>IF(NOT(ISBLANK(Audit[[#This Row],[Audit Candidate 8]])), Audit[[#This Row],[Audit Candidate 8]]-Audit[[#This Row],[Candidate 8]], "")</f>
        <v/>
      </c>
      <c r="AM769" s="18" t="str">
        <f>IF(NOT(ISBLANK(Audit[[#This Row],[Audit Candidate 9]])), Audit[[#This Row],[Audit Candidate 9]]-Audit[[#This Row],[Candidate 9]], "")</f>
        <v/>
      </c>
      <c r="AN769" s="18" t="str">
        <f>IF(NOT(ISBLANK(Audit[[#This Row],[Audit Candidate 10]])), Audit[[#This Row],[Audit Candidate 10]]-Audit[[#This Row],[Candidate 10]], "")</f>
        <v/>
      </c>
      <c r="AO769" s="18" t="str">
        <f>IF(NOT(ISBLANK(Audit[[#This Row],[Audit Candidate 11]])), Audit[[#This Row],[Audit Candidate 11]]-Audit[[#This Row],[Candidate 11]], "")</f>
        <v/>
      </c>
      <c r="AP769" s="18" t="str">
        <f>IF(NOT(ISBLANK(Audit[[#This Row],[Audit Candidate 12]])), Audit[[#This Row],[Audit Candidate 12]]-Audit[[#This Row],[Candidate 12]], "")</f>
        <v/>
      </c>
      <c r="AQ769" s="18">
        <f>SUMIF(Audit[[#This Row],[Difference Winner]:[Difference Candidate 12]], "&gt;0")</f>
        <v>0</v>
      </c>
      <c r="AR769" s="18">
        <f>SUM(Audit[[#This Row],[Difference Winner]:[Difference Candidate 12]])</f>
        <v>0</v>
      </c>
      <c r="AS769" s="18">
        <f>IF(Audit[[#This Row],[Times p Drawn - With Replacement]]&gt;0, IF(Audit[[#This Row],[Canceled Differences]]&lt;0, Audit[[#This Row],[Max Differences]]+ABS(Audit[[#This Row],[Canceled Differences]]), Audit[[#This Row],[Max Differences]]), 0)</f>
        <v>0</v>
      </c>
      <c r="AT769" s="18">
        <f>'Sampling Data'!AB769</f>
        <v>4.3973992524421269E-3</v>
      </c>
      <c r="AU769" s="18">
        <f>IF(
      SUM(Audit[[#This Row],[Audit Losing Candidate]:[Audit Candidate 12]])
      &lt;&gt;0,
      (Audit[[#This Row],[Winning Candidate]]-Audit[[#This Row],[Losing Candidate]]-(Audit[[#This Row],[Audit Winning Candidate]]-Audit[[#This Row],[Audit Losing Candidate]]))/(Audit[[#Totals],[Winning Candidate]]-Audit[[#Totals],[Losing Candidate]]),
      0
)</f>
        <v>0</v>
      </c>
      <c r="AV7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8">
        <f>IF(Audit[[#This Row],[Max Relative Error (ep)]] = 0, 0, Audit[[#This Row],[Max Relative Error (ep)]]/Audit[[#This Row],[Error Bound (up) - Max. possible relative overstatement]])</f>
        <v>0</v>
      </c>
      <c r="BH7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69" s="18">
        <f t="shared" si="12"/>
        <v>1</v>
      </c>
      <c r="BJ769" s="18">
        <f>PRODUCT($BI$5:BI769)</f>
        <v>0.32656797278968008</v>
      </c>
      <c r="BK769" s="20">
        <f>1 - Audit[[#This Row],[K-M P Value]]</f>
        <v>0.67343202721031992</v>
      </c>
      <c r="BL769" s="18" t="str">
        <f>IF(Audit[[#This Row],[K-M P Value]]&gt;1-'General Info'!$B$12,"Continue", "Stop")</f>
        <v>Continue</v>
      </c>
      <c r="BM769" s="23" t="b">
        <f>IF(Audit[[#This Row],[Status - Continue or stop audit]] = "Continue", TRUE, IF(BL768 = "Continue", TRUE, FALSE))</f>
        <v>1</v>
      </c>
      <c r="BN769" s="23"/>
    </row>
    <row r="770" spans="1:66" ht="15" hidden="1" customHeight="1" x14ac:dyDescent="0.35">
      <c r="A770" s="18" t="str">
        <f>'Sampling Data'!AI770</f>
        <v/>
      </c>
      <c r="B770" s="18" t="str">
        <f>'Sampling Data'!A770</f>
        <v>2921 CHEV 2-A   (ED)</v>
      </c>
      <c r="C770" s="18">
        <f>'Sampling Data'!B770</f>
        <v>66</v>
      </c>
      <c r="D770" s="18">
        <f>'Sampling Data'!C770</f>
        <v>13</v>
      </c>
      <c r="E770" s="19">
        <f>'Sampling Data'!D770</f>
        <v>0</v>
      </c>
      <c r="F770" s="19">
        <f>'Sampling Data'!E770</f>
        <v>0</v>
      </c>
      <c r="G770" s="19">
        <f>'Sampling Data'!F770</f>
        <v>0</v>
      </c>
      <c r="H770" s="19">
        <f>'Sampling Data'!G770</f>
        <v>0</v>
      </c>
      <c r="I770" s="19">
        <f>'Sampling Data'!H770</f>
        <v>0</v>
      </c>
      <c r="J770" s="19">
        <f>'Sampling Data'!I770</f>
        <v>0</v>
      </c>
      <c r="K770" s="19">
        <f>'Sampling Data'!J770</f>
        <v>0</v>
      </c>
      <c r="L770" s="19">
        <f>'Sampling Data'!K770</f>
        <v>0</v>
      </c>
      <c r="M770" s="19">
        <f>'Sampling Data'!L770</f>
        <v>0</v>
      </c>
      <c r="N770" s="19">
        <f>'Sampling Data'!M770</f>
        <v>0</v>
      </c>
      <c r="O770" s="18">
        <f>'Sampling Data'!N770</f>
        <v>0</v>
      </c>
      <c r="P770" s="18">
        <f>'Sampling Data'!O770</f>
        <v>1</v>
      </c>
      <c r="Q770" s="18">
        <f>'Sampling Data'!P770</f>
        <v>80</v>
      </c>
      <c r="R770" s="18">
        <f>'Sampling Data'!AJ770</f>
        <v>0</v>
      </c>
      <c r="S770" s="112"/>
      <c r="T770" s="112"/>
      <c r="U770" s="113"/>
      <c r="V770" s="113"/>
      <c r="W770" s="112"/>
      <c r="X770" s="112"/>
      <c r="Y770" s="112"/>
      <c r="Z770" s="112"/>
      <c r="AA770" s="15"/>
      <c r="AB770" s="15"/>
      <c r="AC770" s="15"/>
      <c r="AD770" s="15"/>
      <c r="AE770" s="114" t="str">
        <f>IF(NOT(ISBLANK(Audit[[#This Row],[Audit Winning Candidate]])), Audit[[#This Row],[Audit Winning Candidate]]-Audit[[#This Row],[Winning Candidate]], "")</f>
        <v/>
      </c>
      <c r="AF770" s="18" t="str">
        <f>IF(NOT(ISBLANK(Audit[[#This Row],[Audit Losing Candidate]])), Audit[[#This Row],[Audit Losing Candidate]]-Audit[[#This Row],[Losing Candidate]], "")</f>
        <v/>
      </c>
      <c r="AG770" s="18" t="str">
        <f>IF(NOT(ISBLANK(Audit[[#This Row],[Audit Candidate 3]])), Audit[[#This Row],[Audit Candidate 3]]-Audit[[#This Row],[Candidate 3]], "")</f>
        <v/>
      </c>
      <c r="AH770" s="18" t="str">
        <f>IF(NOT(ISBLANK(Audit[[#This Row],[Audit Candidate 4]])),Audit[[#This Row],[Audit Candidate 4]]-Audit[[#This Row],[Candidate 4]], "")</f>
        <v/>
      </c>
      <c r="AI770" s="18" t="str">
        <f>IF(NOT(ISBLANK(Audit[[#This Row],[Audit Candidate 5]])), Audit[[#This Row],[Audit Candidate 5]]-Audit[[#This Row],[Candidate 5]], "")</f>
        <v/>
      </c>
      <c r="AJ770" s="18" t="str">
        <f>IF(NOT(ISBLANK(Audit[[#This Row],[Audit Candidate 6]])), Audit[[#This Row],[Audit Candidate 6]]-Audit[[#This Row],[Candidate 6]], "")</f>
        <v/>
      </c>
      <c r="AK770" s="18" t="str">
        <f>IF(NOT(ISBLANK(Audit[[#This Row],[Audit Candidate 7]])), Audit[[#This Row],[Audit Candidate 7]]-Audit[[#This Row],[Candidate 7]], "")</f>
        <v/>
      </c>
      <c r="AL770" s="18" t="str">
        <f>IF(NOT(ISBLANK(Audit[[#This Row],[Audit Candidate 8]])), Audit[[#This Row],[Audit Candidate 8]]-Audit[[#This Row],[Candidate 8]], "")</f>
        <v/>
      </c>
      <c r="AM770" s="18" t="str">
        <f>IF(NOT(ISBLANK(Audit[[#This Row],[Audit Candidate 9]])), Audit[[#This Row],[Audit Candidate 9]]-Audit[[#This Row],[Candidate 9]], "")</f>
        <v/>
      </c>
      <c r="AN770" s="18" t="str">
        <f>IF(NOT(ISBLANK(Audit[[#This Row],[Audit Candidate 10]])), Audit[[#This Row],[Audit Candidate 10]]-Audit[[#This Row],[Candidate 10]], "")</f>
        <v/>
      </c>
      <c r="AO770" s="18" t="str">
        <f>IF(NOT(ISBLANK(Audit[[#This Row],[Audit Candidate 11]])), Audit[[#This Row],[Audit Candidate 11]]-Audit[[#This Row],[Candidate 11]], "")</f>
        <v/>
      </c>
      <c r="AP770" s="18" t="str">
        <f>IF(NOT(ISBLANK(Audit[[#This Row],[Audit Candidate 12]])), Audit[[#This Row],[Audit Candidate 12]]-Audit[[#This Row],[Candidate 12]], "")</f>
        <v/>
      </c>
      <c r="AQ770" s="18">
        <f>SUMIF(Audit[[#This Row],[Difference Winner]:[Difference Candidate 12]], "&gt;0")</f>
        <v>0</v>
      </c>
      <c r="AR770" s="18">
        <f>SUM(Audit[[#This Row],[Difference Winner]:[Difference Candidate 12]])</f>
        <v>0</v>
      </c>
      <c r="AS770" s="18">
        <f>IF(Audit[[#This Row],[Times p Drawn - With Replacement]]&gt;0, IF(Audit[[#This Row],[Canceled Differences]]&lt;0, Audit[[#This Row],[Max Differences]]+ABS(Audit[[#This Row],[Canceled Differences]]), Audit[[#This Row],[Max Differences]]), 0)</f>
        <v>0</v>
      </c>
      <c r="AT770" s="18">
        <f>'Sampling Data'!AB770</f>
        <v>4.1775292898200206E-3</v>
      </c>
      <c r="AU770" s="18">
        <f>IF(
      SUM(Audit[[#This Row],[Audit Losing Candidate]:[Audit Candidate 12]])
      &lt;&gt;0,
      (Audit[[#This Row],[Winning Candidate]]-Audit[[#This Row],[Losing Candidate]]-(Audit[[#This Row],[Audit Winning Candidate]]-Audit[[#This Row],[Audit Losing Candidate]]))/(Audit[[#Totals],[Winning Candidate]]-Audit[[#Totals],[Losing Candidate]]),
      0
)</f>
        <v>0</v>
      </c>
      <c r="AV7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8">
        <f>IF(Audit[[#This Row],[Max Relative Error (ep)]] = 0, 0, Audit[[#This Row],[Max Relative Error (ep)]]/Audit[[#This Row],[Error Bound (up) - Max. possible relative overstatement]])</f>
        <v>0</v>
      </c>
      <c r="BH7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0" s="18">
        <f t="shared" si="12"/>
        <v>1</v>
      </c>
      <c r="BJ770" s="18">
        <f>PRODUCT($BI$5:BI770)</f>
        <v>0.32656797278968008</v>
      </c>
      <c r="BK770" s="20">
        <f>1 - Audit[[#This Row],[K-M P Value]]</f>
        <v>0.67343202721031992</v>
      </c>
      <c r="BL770" s="18" t="str">
        <f>IF(Audit[[#This Row],[K-M P Value]]&gt;1-'General Info'!$B$12,"Continue", "Stop")</f>
        <v>Continue</v>
      </c>
      <c r="BM770" s="23" t="b">
        <f>IF(Audit[[#This Row],[Status - Continue or stop audit]] = "Continue", TRUE, IF(BL769 = "Continue", TRUE, FALSE))</f>
        <v>1</v>
      </c>
      <c r="BN770" s="23"/>
    </row>
    <row r="771" spans="1:66" ht="15" hidden="1" customHeight="1" x14ac:dyDescent="0.35">
      <c r="A771" s="18" t="str">
        <f>'Sampling Data'!AI771</f>
        <v/>
      </c>
      <c r="B771" s="18" t="str">
        <f>'Sampling Data'!A771</f>
        <v>2931 CHEV 3-A   (ED)</v>
      </c>
      <c r="C771" s="18">
        <f>'Sampling Data'!B771</f>
        <v>47</v>
      </c>
      <c r="D771" s="18">
        <f>'Sampling Data'!C771</f>
        <v>3</v>
      </c>
      <c r="E771" s="19">
        <f>'Sampling Data'!D771</f>
        <v>0</v>
      </c>
      <c r="F771" s="19">
        <f>'Sampling Data'!E771</f>
        <v>0</v>
      </c>
      <c r="G771" s="19">
        <f>'Sampling Data'!F771</f>
        <v>0</v>
      </c>
      <c r="H771" s="19">
        <f>'Sampling Data'!G771</f>
        <v>0</v>
      </c>
      <c r="I771" s="19">
        <f>'Sampling Data'!H771</f>
        <v>0</v>
      </c>
      <c r="J771" s="19">
        <f>'Sampling Data'!I771</f>
        <v>0</v>
      </c>
      <c r="K771" s="19">
        <f>'Sampling Data'!J771</f>
        <v>0</v>
      </c>
      <c r="L771" s="19">
        <f>'Sampling Data'!K771</f>
        <v>0</v>
      </c>
      <c r="M771" s="19">
        <f>'Sampling Data'!L771</f>
        <v>0</v>
      </c>
      <c r="N771" s="19">
        <f>'Sampling Data'!M771</f>
        <v>0</v>
      </c>
      <c r="O771" s="18">
        <f>'Sampling Data'!N771</f>
        <v>0</v>
      </c>
      <c r="P771" s="18">
        <f>'Sampling Data'!O771</f>
        <v>2</v>
      </c>
      <c r="Q771" s="18">
        <f>'Sampling Data'!P771</f>
        <v>52</v>
      </c>
      <c r="R771" s="18">
        <f>'Sampling Data'!AJ771</f>
        <v>0</v>
      </c>
      <c r="S771" s="112"/>
      <c r="T771" s="112"/>
      <c r="U771" s="113"/>
      <c r="V771" s="113"/>
      <c r="W771" s="112"/>
      <c r="X771" s="112"/>
      <c r="Y771" s="112"/>
      <c r="Z771" s="112"/>
      <c r="AA771" s="15"/>
      <c r="AB771" s="15"/>
      <c r="AC771" s="15"/>
      <c r="AD771" s="15"/>
      <c r="AE771" s="114" t="str">
        <f>IF(NOT(ISBLANK(Audit[[#This Row],[Audit Winning Candidate]])), Audit[[#This Row],[Audit Winning Candidate]]-Audit[[#This Row],[Winning Candidate]], "")</f>
        <v/>
      </c>
      <c r="AF771" s="18" t="str">
        <f>IF(NOT(ISBLANK(Audit[[#This Row],[Audit Losing Candidate]])), Audit[[#This Row],[Audit Losing Candidate]]-Audit[[#This Row],[Losing Candidate]], "")</f>
        <v/>
      </c>
      <c r="AG771" s="18" t="str">
        <f>IF(NOT(ISBLANK(Audit[[#This Row],[Audit Candidate 3]])), Audit[[#This Row],[Audit Candidate 3]]-Audit[[#This Row],[Candidate 3]], "")</f>
        <v/>
      </c>
      <c r="AH771" s="18" t="str">
        <f>IF(NOT(ISBLANK(Audit[[#This Row],[Audit Candidate 4]])),Audit[[#This Row],[Audit Candidate 4]]-Audit[[#This Row],[Candidate 4]], "")</f>
        <v/>
      </c>
      <c r="AI771" s="18" t="str">
        <f>IF(NOT(ISBLANK(Audit[[#This Row],[Audit Candidate 5]])), Audit[[#This Row],[Audit Candidate 5]]-Audit[[#This Row],[Candidate 5]], "")</f>
        <v/>
      </c>
      <c r="AJ771" s="18" t="str">
        <f>IF(NOT(ISBLANK(Audit[[#This Row],[Audit Candidate 6]])), Audit[[#This Row],[Audit Candidate 6]]-Audit[[#This Row],[Candidate 6]], "")</f>
        <v/>
      </c>
      <c r="AK771" s="18" t="str">
        <f>IF(NOT(ISBLANK(Audit[[#This Row],[Audit Candidate 7]])), Audit[[#This Row],[Audit Candidate 7]]-Audit[[#This Row],[Candidate 7]], "")</f>
        <v/>
      </c>
      <c r="AL771" s="18" t="str">
        <f>IF(NOT(ISBLANK(Audit[[#This Row],[Audit Candidate 8]])), Audit[[#This Row],[Audit Candidate 8]]-Audit[[#This Row],[Candidate 8]], "")</f>
        <v/>
      </c>
      <c r="AM771" s="18" t="str">
        <f>IF(NOT(ISBLANK(Audit[[#This Row],[Audit Candidate 9]])), Audit[[#This Row],[Audit Candidate 9]]-Audit[[#This Row],[Candidate 9]], "")</f>
        <v/>
      </c>
      <c r="AN771" s="18" t="str">
        <f>IF(NOT(ISBLANK(Audit[[#This Row],[Audit Candidate 10]])), Audit[[#This Row],[Audit Candidate 10]]-Audit[[#This Row],[Candidate 10]], "")</f>
        <v/>
      </c>
      <c r="AO771" s="18" t="str">
        <f>IF(NOT(ISBLANK(Audit[[#This Row],[Audit Candidate 11]])), Audit[[#This Row],[Audit Candidate 11]]-Audit[[#This Row],[Candidate 11]], "")</f>
        <v/>
      </c>
      <c r="AP771" s="18" t="str">
        <f>IF(NOT(ISBLANK(Audit[[#This Row],[Audit Candidate 12]])), Audit[[#This Row],[Audit Candidate 12]]-Audit[[#This Row],[Candidate 12]], "")</f>
        <v/>
      </c>
      <c r="AQ771" s="18">
        <f>SUMIF(Audit[[#This Row],[Difference Winner]:[Difference Candidate 12]], "&gt;0")</f>
        <v>0</v>
      </c>
      <c r="AR771" s="18">
        <f>SUM(Audit[[#This Row],[Difference Winner]:[Difference Candidate 12]])</f>
        <v>0</v>
      </c>
      <c r="AS771" s="18">
        <f>IF(Audit[[#This Row],[Times p Drawn - With Replacement]]&gt;0, IF(Audit[[#This Row],[Canceled Differences]]&lt;0, Audit[[#This Row],[Max Differences]]+ABS(Audit[[#This Row],[Canceled Differences]]), Audit[[#This Row],[Max Differences]]), 0)</f>
        <v>0</v>
      </c>
      <c r="AT771" s="18">
        <f>'Sampling Data'!AB771</f>
        <v>3.0153594873888871E-3</v>
      </c>
      <c r="AU771" s="18">
        <f>IF(
      SUM(Audit[[#This Row],[Audit Losing Candidate]:[Audit Candidate 12]])
      &lt;&gt;0,
      (Audit[[#This Row],[Winning Candidate]]-Audit[[#This Row],[Losing Candidate]]-(Audit[[#This Row],[Audit Winning Candidate]]-Audit[[#This Row],[Audit Losing Candidate]]))/(Audit[[#Totals],[Winning Candidate]]-Audit[[#Totals],[Losing Candidate]]),
      0
)</f>
        <v>0</v>
      </c>
      <c r="AV7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8">
        <f>IF(Audit[[#This Row],[Max Relative Error (ep)]] = 0, 0, Audit[[#This Row],[Max Relative Error (ep)]]/Audit[[#This Row],[Error Bound (up) - Max. possible relative overstatement]])</f>
        <v>0</v>
      </c>
      <c r="BH7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1" s="18">
        <f t="shared" si="12"/>
        <v>1</v>
      </c>
      <c r="BJ771" s="18">
        <f>PRODUCT($BI$5:BI771)</f>
        <v>0.32656797278968008</v>
      </c>
      <c r="BK771" s="20">
        <f>1 - Audit[[#This Row],[K-M P Value]]</f>
        <v>0.67343202721031992</v>
      </c>
      <c r="BL771" s="18" t="str">
        <f>IF(Audit[[#This Row],[K-M P Value]]&gt;1-'General Info'!$B$12,"Continue", "Stop")</f>
        <v>Continue</v>
      </c>
      <c r="BM771" s="23" t="b">
        <f>IF(Audit[[#This Row],[Status - Continue or stop audit]] = "Continue", TRUE, IF(BL770 = "Continue", TRUE, FALSE))</f>
        <v>1</v>
      </c>
      <c r="BN771" s="23"/>
    </row>
    <row r="772" spans="1:66" ht="15" hidden="1" customHeight="1" x14ac:dyDescent="0.35">
      <c r="A772" s="18" t="str">
        <f>'Sampling Data'!AI772</f>
        <v/>
      </c>
      <c r="B772" s="18" t="str">
        <f>'Sampling Data'!A772</f>
        <v>2941 CHEV 4-A   (ED)</v>
      </c>
      <c r="C772" s="18">
        <f>'Sampling Data'!B772</f>
        <v>49</v>
      </c>
      <c r="D772" s="18">
        <f>'Sampling Data'!C772</f>
        <v>7</v>
      </c>
      <c r="E772" s="19">
        <f>'Sampling Data'!D772</f>
        <v>0</v>
      </c>
      <c r="F772" s="19">
        <f>'Sampling Data'!E772</f>
        <v>0</v>
      </c>
      <c r="G772" s="19">
        <f>'Sampling Data'!F772</f>
        <v>0</v>
      </c>
      <c r="H772" s="19">
        <f>'Sampling Data'!G772</f>
        <v>0</v>
      </c>
      <c r="I772" s="19">
        <f>'Sampling Data'!H772</f>
        <v>0</v>
      </c>
      <c r="J772" s="19">
        <f>'Sampling Data'!I772</f>
        <v>0</v>
      </c>
      <c r="K772" s="19">
        <f>'Sampling Data'!J772</f>
        <v>0</v>
      </c>
      <c r="L772" s="19">
        <f>'Sampling Data'!K772</f>
        <v>0</v>
      </c>
      <c r="M772" s="19">
        <f>'Sampling Data'!L772</f>
        <v>0</v>
      </c>
      <c r="N772" s="19">
        <f>'Sampling Data'!M772</f>
        <v>0</v>
      </c>
      <c r="O772" s="18">
        <f>'Sampling Data'!N772</f>
        <v>0</v>
      </c>
      <c r="P772" s="18">
        <f>'Sampling Data'!O772</f>
        <v>2</v>
      </c>
      <c r="Q772" s="18">
        <f>'Sampling Data'!P772</f>
        <v>58</v>
      </c>
      <c r="R772" s="18">
        <f>'Sampling Data'!AJ772</f>
        <v>0</v>
      </c>
      <c r="S772" s="112"/>
      <c r="T772" s="112"/>
      <c r="U772" s="113"/>
      <c r="V772" s="113"/>
      <c r="W772" s="112"/>
      <c r="X772" s="112"/>
      <c r="Y772" s="112"/>
      <c r="Z772" s="112"/>
      <c r="AA772" s="15"/>
      <c r="AB772" s="15"/>
      <c r="AC772" s="15"/>
      <c r="AD772" s="15"/>
      <c r="AE772" s="114" t="str">
        <f>IF(NOT(ISBLANK(Audit[[#This Row],[Audit Winning Candidate]])), Audit[[#This Row],[Audit Winning Candidate]]-Audit[[#This Row],[Winning Candidate]], "")</f>
        <v/>
      </c>
      <c r="AF772" s="18" t="str">
        <f>IF(NOT(ISBLANK(Audit[[#This Row],[Audit Losing Candidate]])), Audit[[#This Row],[Audit Losing Candidate]]-Audit[[#This Row],[Losing Candidate]], "")</f>
        <v/>
      </c>
      <c r="AG772" s="18" t="str">
        <f>IF(NOT(ISBLANK(Audit[[#This Row],[Audit Candidate 3]])), Audit[[#This Row],[Audit Candidate 3]]-Audit[[#This Row],[Candidate 3]], "")</f>
        <v/>
      </c>
      <c r="AH772" s="18" t="str">
        <f>IF(NOT(ISBLANK(Audit[[#This Row],[Audit Candidate 4]])),Audit[[#This Row],[Audit Candidate 4]]-Audit[[#This Row],[Candidate 4]], "")</f>
        <v/>
      </c>
      <c r="AI772" s="18" t="str">
        <f>IF(NOT(ISBLANK(Audit[[#This Row],[Audit Candidate 5]])), Audit[[#This Row],[Audit Candidate 5]]-Audit[[#This Row],[Candidate 5]], "")</f>
        <v/>
      </c>
      <c r="AJ772" s="18" t="str">
        <f>IF(NOT(ISBLANK(Audit[[#This Row],[Audit Candidate 6]])), Audit[[#This Row],[Audit Candidate 6]]-Audit[[#This Row],[Candidate 6]], "")</f>
        <v/>
      </c>
      <c r="AK772" s="18" t="str">
        <f>IF(NOT(ISBLANK(Audit[[#This Row],[Audit Candidate 7]])), Audit[[#This Row],[Audit Candidate 7]]-Audit[[#This Row],[Candidate 7]], "")</f>
        <v/>
      </c>
      <c r="AL772" s="18" t="str">
        <f>IF(NOT(ISBLANK(Audit[[#This Row],[Audit Candidate 8]])), Audit[[#This Row],[Audit Candidate 8]]-Audit[[#This Row],[Candidate 8]], "")</f>
        <v/>
      </c>
      <c r="AM772" s="18" t="str">
        <f>IF(NOT(ISBLANK(Audit[[#This Row],[Audit Candidate 9]])), Audit[[#This Row],[Audit Candidate 9]]-Audit[[#This Row],[Candidate 9]], "")</f>
        <v/>
      </c>
      <c r="AN772" s="18" t="str">
        <f>IF(NOT(ISBLANK(Audit[[#This Row],[Audit Candidate 10]])), Audit[[#This Row],[Audit Candidate 10]]-Audit[[#This Row],[Candidate 10]], "")</f>
        <v/>
      </c>
      <c r="AO772" s="18" t="str">
        <f>IF(NOT(ISBLANK(Audit[[#This Row],[Audit Candidate 11]])), Audit[[#This Row],[Audit Candidate 11]]-Audit[[#This Row],[Candidate 11]], "")</f>
        <v/>
      </c>
      <c r="AP772" s="18" t="str">
        <f>IF(NOT(ISBLANK(Audit[[#This Row],[Audit Candidate 12]])), Audit[[#This Row],[Audit Candidate 12]]-Audit[[#This Row],[Candidate 12]], "")</f>
        <v/>
      </c>
      <c r="AQ772" s="18">
        <f>SUMIF(Audit[[#This Row],[Difference Winner]:[Difference Candidate 12]], "&gt;0")</f>
        <v>0</v>
      </c>
      <c r="AR772" s="18">
        <f>SUM(Audit[[#This Row],[Difference Winner]:[Difference Candidate 12]])</f>
        <v>0</v>
      </c>
      <c r="AS772" s="18">
        <f>IF(Audit[[#This Row],[Times p Drawn - With Replacement]]&gt;0, IF(Audit[[#This Row],[Canceled Differences]]&lt;0, Audit[[#This Row],[Max Differences]]+ABS(Audit[[#This Row],[Canceled Differences]]), Audit[[#This Row],[Max Differences]]), 0)</f>
        <v>0</v>
      </c>
      <c r="AT772" s="18">
        <f>'Sampling Data'!AB772</f>
        <v>3.1409994660300906E-3</v>
      </c>
      <c r="AU772" s="18">
        <f>IF(
      SUM(Audit[[#This Row],[Audit Losing Candidate]:[Audit Candidate 12]])
      &lt;&gt;0,
      (Audit[[#This Row],[Winning Candidate]]-Audit[[#This Row],[Losing Candidate]]-(Audit[[#This Row],[Audit Winning Candidate]]-Audit[[#This Row],[Audit Losing Candidate]]))/(Audit[[#Totals],[Winning Candidate]]-Audit[[#Totals],[Losing Candidate]]),
      0
)</f>
        <v>0</v>
      </c>
      <c r="AV7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8">
        <f>IF(Audit[[#This Row],[Max Relative Error (ep)]] = 0, 0, Audit[[#This Row],[Max Relative Error (ep)]]/Audit[[#This Row],[Error Bound (up) - Max. possible relative overstatement]])</f>
        <v>0</v>
      </c>
      <c r="BH7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2" s="18">
        <f t="shared" si="12"/>
        <v>1</v>
      </c>
      <c r="BJ772" s="18">
        <f>PRODUCT($BI$5:BI772)</f>
        <v>0.32656797278968008</v>
      </c>
      <c r="BK772" s="20">
        <f>1 - Audit[[#This Row],[K-M P Value]]</f>
        <v>0.67343202721031992</v>
      </c>
      <c r="BL772" s="18" t="str">
        <f>IF(Audit[[#This Row],[K-M P Value]]&gt;1-'General Info'!$B$12,"Continue", "Stop")</f>
        <v>Continue</v>
      </c>
      <c r="BM772" s="23" t="b">
        <f>IF(Audit[[#This Row],[Status - Continue or stop audit]] = "Continue", TRUE, IF(BL771 = "Continue", TRUE, FALSE))</f>
        <v>1</v>
      </c>
      <c r="BN772" s="23"/>
    </row>
    <row r="773" spans="1:66" ht="15" hidden="1" customHeight="1" x14ac:dyDescent="0.35">
      <c r="A773" s="18" t="str">
        <f>'Sampling Data'!AI773</f>
        <v/>
      </c>
      <c r="B773" s="18" t="str">
        <f>'Sampling Data'!A773</f>
        <v>3111 DR PK 1-A   (ED)</v>
      </c>
      <c r="C773" s="18">
        <f>'Sampling Data'!B773</f>
        <v>49</v>
      </c>
      <c r="D773" s="18">
        <f>'Sampling Data'!C773</f>
        <v>15</v>
      </c>
      <c r="E773" s="19">
        <f>'Sampling Data'!D773</f>
        <v>0</v>
      </c>
      <c r="F773" s="19">
        <f>'Sampling Data'!E773</f>
        <v>0</v>
      </c>
      <c r="G773" s="19">
        <f>'Sampling Data'!F773</f>
        <v>0</v>
      </c>
      <c r="H773" s="19">
        <f>'Sampling Data'!G773</f>
        <v>0</v>
      </c>
      <c r="I773" s="19">
        <f>'Sampling Data'!H773</f>
        <v>0</v>
      </c>
      <c r="J773" s="19">
        <f>'Sampling Data'!I773</f>
        <v>0</v>
      </c>
      <c r="K773" s="19">
        <f>'Sampling Data'!J773</f>
        <v>0</v>
      </c>
      <c r="L773" s="19">
        <f>'Sampling Data'!K773</f>
        <v>0</v>
      </c>
      <c r="M773" s="19">
        <f>'Sampling Data'!L773</f>
        <v>0</v>
      </c>
      <c r="N773" s="19">
        <f>'Sampling Data'!M773</f>
        <v>0</v>
      </c>
      <c r="O773" s="18">
        <f>'Sampling Data'!N773</f>
        <v>0</v>
      </c>
      <c r="P773" s="18">
        <f>'Sampling Data'!O773</f>
        <v>1</v>
      </c>
      <c r="Q773" s="18">
        <f>'Sampling Data'!P773</f>
        <v>65</v>
      </c>
      <c r="R773" s="18">
        <f>'Sampling Data'!AJ773</f>
        <v>0</v>
      </c>
      <c r="S773" s="112"/>
      <c r="T773" s="112"/>
      <c r="U773" s="113"/>
      <c r="V773" s="113"/>
      <c r="W773" s="112"/>
      <c r="X773" s="112"/>
      <c r="Y773" s="112"/>
      <c r="Z773" s="112"/>
      <c r="AA773" s="15"/>
      <c r="AB773" s="15"/>
      <c r="AC773" s="15"/>
      <c r="AD773" s="15"/>
      <c r="AE773" s="114" t="str">
        <f>IF(NOT(ISBLANK(Audit[[#This Row],[Audit Winning Candidate]])), Audit[[#This Row],[Audit Winning Candidate]]-Audit[[#This Row],[Winning Candidate]], "")</f>
        <v/>
      </c>
      <c r="AF773" s="18" t="str">
        <f>IF(NOT(ISBLANK(Audit[[#This Row],[Audit Losing Candidate]])), Audit[[#This Row],[Audit Losing Candidate]]-Audit[[#This Row],[Losing Candidate]], "")</f>
        <v/>
      </c>
      <c r="AG773" s="18" t="str">
        <f>IF(NOT(ISBLANK(Audit[[#This Row],[Audit Candidate 3]])), Audit[[#This Row],[Audit Candidate 3]]-Audit[[#This Row],[Candidate 3]], "")</f>
        <v/>
      </c>
      <c r="AH773" s="18" t="str">
        <f>IF(NOT(ISBLANK(Audit[[#This Row],[Audit Candidate 4]])),Audit[[#This Row],[Audit Candidate 4]]-Audit[[#This Row],[Candidate 4]], "")</f>
        <v/>
      </c>
      <c r="AI773" s="18" t="str">
        <f>IF(NOT(ISBLANK(Audit[[#This Row],[Audit Candidate 5]])), Audit[[#This Row],[Audit Candidate 5]]-Audit[[#This Row],[Candidate 5]], "")</f>
        <v/>
      </c>
      <c r="AJ773" s="18" t="str">
        <f>IF(NOT(ISBLANK(Audit[[#This Row],[Audit Candidate 6]])), Audit[[#This Row],[Audit Candidate 6]]-Audit[[#This Row],[Candidate 6]], "")</f>
        <v/>
      </c>
      <c r="AK773" s="18" t="str">
        <f>IF(NOT(ISBLANK(Audit[[#This Row],[Audit Candidate 7]])), Audit[[#This Row],[Audit Candidate 7]]-Audit[[#This Row],[Candidate 7]], "")</f>
        <v/>
      </c>
      <c r="AL773" s="18" t="str">
        <f>IF(NOT(ISBLANK(Audit[[#This Row],[Audit Candidate 8]])), Audit[[#This Row],[Audit Candidate 8]]-Audit[[#This Row],[Candidate 8]], "")</f>
        <v/>
      </c>
      <c r="AM773" s="18" t="str">
        <f>IF(NOT(ISBLANK(Audit[[#This Row],[Audit Candidate 9]])), Audit[[#This Row],[Audit Candidate 9]]-Audit[[#This Row],[Candidate 9]], "")</f>
        <v/>
      </c>
      <c r="AN773" s="18" t="str">
        <f>IF(NOT(ISBLANK(Audit[[#This Row],[Audit Candidate 10]])), Audit[[#This Row],[Audit Candidate 10]]-Audit[[#This Row],[Candidate 10]], "")</f>
        <v/>
      </c>
      <c r="AO773" s="18" t="str">
        <f>IF(NOT(ISBLANK(Audit[[#This Row],[Audit Candidate 11]])), Audit[[#This Row],[Audit Candidate 11]]-Audit[[#This Row],[Candidate 11]], "")</f>
        <v/>
      </c>
      <c r="AP773" s="18" t="str">
        <f>IF(NOT(ISBLANK(Audit[[#This Row],[Audit Candidate 12]])), Audit[[#This Row],[Audit Candidate 12]]-Audit[[#This Row],[Candidate 12]], "")</f>
        <v/>
      </c>
      <c r="AQ773" s="18">
        <f>SUMIF(Audit[[#This Row],[Difference Winner]:[Difference Candidate 12]], "&gt;0")</f>
        <v>0</v>
      </c>
      <c r="AR773" s="18">
        <f>SUM(Audit[[#This Row],[Difference Winner]:[Difference Candidate 12]])</f>
        <v>0</v>
      </c>
      <c r="AS773" s="18">
        <f>IF(Audit[[#This Row],[Times p Drawn - With Replacement]]&gt;0, IF(Audit[[#This Row],[Canceled Differences]]&lt;0, Audit[[#This Row],[Max Differences]]+ABS(Audit[[#This Row],[Canceled Differences]]), Audit[[#This Row],[Max Differences]]), 0)</f>
        <v>0</v>
      </c>
      <c r="AT773" s="18">
        <f>'Sampling Data'!AB773</f>
        <v>3.1095894713697898E-3</v>
      </c>
      <c r="AU773" s="18">
        <f>IF(
      SUM(Audit[[#This Row],[Audit Losing Candidate]:[Audit Candidate 12]])
      &lt;&gt;0,
      (Audit[[#This Row],[Winning Candidate]]-Audit[[#This Row],[Losing Candidate]]-(Audit[[#This Row],[Audit Winning Candidate]]-Audit[[#This Row],[Audit Losing Candidate]]))/(Audit[[#Totals],[Winning Candidate]]-Audit[[#Totals],[Losing Candidate]]),
      0
)</f>
        <v>0</v>
      </c>
      <c r="AV7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8">
        <f>IF(Audit[[#This Row],[Max Relative Error (ep)]] = 0, 0, Audit[[#This Row],[Max Relative Error (ep)]]/Audit[[#This Row],[Error Bound (up) - Max. possible relative overstatement]])</f>
        <v>0</v>
      </c>
      <c r="BH7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3" s="18">
        <f t="shared" si="12"/>
        <v>1</v>
      </c>
      <c r="BJ773" s="18">
        <f>PRODUCT($BI$5:BI773)</f>
        <v>0.32656797278968008</v>
      </c>
      <c r="BK773" s="20">
        <f>1 - Audit[[#This Row],[K-M P Value]]</f>
        <v>0.67343202721031992</v>
      </c>
      <c r="BL773" s="18" t="str">
        <f>IF(Audit[[#This Row],[K-M P Value]]&gt;1-'General Info'!$B$12,"Continue", "Stop")</f>
        <v>Continue</v>
      </c>
      <c r="BM773" s="23" t="b">
        <f>IF(Audit[[#This Row],[Status - Continue or stop audit]] = "Continue", TRUE, IF(BL772 = "Continue", TRUE, FALSE))</f>
        <v>1</v>
      </c>
      <c r="BN773" s="23"/>
    </row>
    <row r="774" spans="1:66" ht="15" hidden="1" customHeight="1" x14ac:dyDescent="0.35">
      <c r="A774" s="18" t="str">
        <f>'Sampling Data'!AI774</f>
        <v/>
      </c>
      <c r="B774" s="18" t="str">
        <f>'Sampling Data'!A774</f>
        <v>3121 DR PK 2-A   (ED)</v>
      </c>
      <c r="C774" s="18">
        <f>'Sampling Data'!B774</f>
        <v>79</v>
      </c>
      <c r="D774" s="18">
        <f>'Sampling Data'!C774</f>
        <v>10</v>
      </c>
      <c r="E774" s="19">
        <f>'Sampling Data'!D774</f>
        <v>0</v>
      </c>
      <c r="F774" s="19">
        <f>'Sampling Data'!E774</f>
        <v>0</v>
      </c>
      <c r="G774" s="19">
        <f>'Sampling Data'!F774</f>
        <v>0</v>
      </c>
      <c r="H774" s="19">
        <f>'Sampling Data'!G774</f>
        <v>0</v>
      </c>
      <c r="I774" s="19">
        <f>'Sampling Data'!H774</f>
        <v>0</v>
      </c>
      <c r="J774" s="19">
        <f>'Sampling Data'!I774</f>
        <v>0</v>
      </c>
      <c r="K774" s="19">
        <f>'Sampling Data'!J774</f>
        <v>0</v>
      </c>
      <c r="L774" s="19">
        <f>'Sampling Data'!K774</f>
        <v>0</v>
      </c>
      <c r="M774" s="19">
        <f>'Sampling Data'!L774</f>
        <v>0</v>
      </c>
      <c r="N774" s="19">
        <f>'Sampling Data'!M774</f>
        <v>0</v>
      </c>
      <c r="O774" s="18">
        <f>'Sampling Data'!N774</f>
        <v>0</v>
      </c>
      <c r="P774" s="18">
        <f>'Sampling Data'!O774</f>
        <v>0</v>
      </c>
      <c r="Q774" s="18">
        <f>'Sampling Data'!P774</f>
        <v>89</v>
      </c>
      <c r="R774" s="18">
        <f>'Sampling Data'!AJ774</f>
        <v>0</v>
      </c>
      <c r="S774" s="112"/>
      <c r="T774" s="112"/>
      <c r="U774" s="113"/>
      <c r="V774" s="113"/>
      <c r="W774" s="112"/>
      <c r="X774" s="112"/>
      <c r="Y774" s="112"/>
      <c r="Z774" s="112"/>
      <c r="AA774" s="15"/>
      <c r="AB774" s="15"/>
      <c r="AC774" s="15"/>
      <c r="AD774" s="15"/>
      <c r="AE774" s="114" t="str">
        <f>IF(NOT(ISBLANK(Audit[[#This Row],[Audit Winning Candidate]])), Audit[[#This Row],[Audit Winning Candidate]]-Audit[[#This Row],[Winning Candidate]], "")</f>
        <v/>
      </c>
      <c r="AF774" s="18" t="str">
        <f>IF(NOT(ISBLANK(Audit[[#This Row],[Audit Losing Candidate]])), Audit[[#This Row],[Audit Losing Candidate]]-Audit[[#This Row],[Losing Candidate]], "")</f>
        <v/>
      </c>
      <c r="AG774" s="18" t="str">
        <f>IF(NOT(ISBLANK(Audit[[#This Row],[Audit Candidate 3]])), Audit[[#This Row],[Audit Candidate 3]]-Audit[[#This Row],[Candidate 3]], "")</f>
        <v/>
      </c>
      <c r="AH774" s="18" t="str">
        <f>IF(NOT(ISBLANK(Audit[[#This Row],[Audit Candidate 4]])),Audit[[#This Row],[Audit Candidate 4]]-Audit[[#This Row],[Candidate 4]], "")</f>
        <v/>
      </c>
      <c r="AI774" s="18" t="str">
        <f>IF(NOT(ISBLANK(Audit[[#This Row],[Audit Candidate 5]])), Audit[[#This Row],[Audit Candidate 5]]-Audit[[#This Row],[Candidate 5]], "")</f>
        <v/>
      </c>
      <c r="AJ774" s="18" t="str">
        <f>IF(NOT(ISBLANK(Audit[[#This Row],[Audit Candidate 6]])), Audit[[#This Row],[Audit Candidate 6]]-Audit[[#This Row],[Candidate 6]], "")</f>
        <v/>
      </c>
      <c r="AK774" s="18" t="str">
        <f>IF(NOT(ISBLANK(Audit[[#This Row],[Audit Candidate 7]])), Audit[[#This Row],[Audit Candidate 7]]-Audit[[#This Row],[Candidate 7]], "")</f>
        <v/>
      </c>
      <c r="AL774" s="18" t="str">
        <f>IF(NOT(ISBLANK(Audit[[#This Row],[Audit Candidate 8]])), Audit[[#This Row],[Audit Candidate 8]]-Audit[[#This Row],[Candidate 8]], "")</f>
        <v/>
      </c>
      <c r="AM774" s="18" t="str">
        <f>IF(NOT(ISBLANK(Audit[[#This Row],[Audit Candidate 9]])), Audit[[#This Row],[Audit Candidate 9]]-Audit[[#This Row],[Candidate 9]], "")</f>
        <v/>
      </c>
      <c r="AN774" s="18" t="str">
        <f>IF(NOT(ISBLANK(Audit[[#This Row],[Audit Candidate 10]])), Audit[[#This Row],[Audit Candidate 10]]-Audit[[#This Row],[Candidate 10]], "")</f>
        <v/>
      </c>
      <c r="AO774" s="18" t="str">
        <f>IF(NOT(ISBLANK(Audit[[#This Row],[Audit Candidate 11]])), Audit[[#This Row],[Audit Candidate 11]]-Audit[[#This Row],[Candidate 11]], "")</f>
        <v/>
      </c>
      <c r="AP774" s="18" t="str">
        <f>IF(NOT(ISBLANK(Audit[[#This Row],[Audit Candidate 12]])), Audit[[#This Row],[Audit Candidate 12]]-Audit[[#This Row],[Candidate 12]], "")</f>
        <v/>
      </c>
      <c r="AQ774" s="18">
        <f>SUMIF(Audit[[#This Row],[Difference Winner]:[Difference Candidate 12]], "&gt;0")</f>
        <v>0</v>
      </c>
      <c r="AR774" s="18">
        <f>SUM(Audit[[#This Row],[Difference Winner]:[Difference Candidate 12]])</f>
        <v>0</v>
      </c>
      <c r="AS774" s="18">
        <f>IF(Audit[[#This Row],[Times p Drawn - With Replacement]]&gt;0, IF(Audit[[#This Row],[Canceled Differences]]&lt;0, Audit[[#This Row],[Max Differences]]+ABS(Audit[[#This Row],[Canceled Differences]]), Audit[[#This Row],[Max Differences]]), 0)</f>
        <v>0</v>
      </c>
      <c r="AT774" s="18">
        <f>'Sampling Data'!AB774</f>
        <v>4.9627791563275434E-3</v>
      </c>
      <c r="AU774" s="18">
        <f>IF(
      SUM(Audit[[#This Row],[Audit Losing Candidate]:[Audit Candidate 12]])
      &lt;&gt;0,
      (Audit[[#This Row],[Winning Candidate]]-Audit[[#This Row],[Losing Candidate]]-(Audit[[#This Row],[Audit Winning Candidate]]-Audit[[#This Row],[Audit Losing Candidate]]))/(Audit[[#Totals],[Winning Candidate]]-Audit[[#Totals],[Losing Candidate]]),
      0
)</f>
        <v>0</v>
      </c>
      <c r="AV7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8">
        <f>IF(Audit[[#This Row],[Max Relative Error (ep)]] = 0, 0, Audit[[#This Row],[Max Relative Error (ep)]]/Audit[[#This Row],[Error Bound (up) - Max. possible relative overstatement]])</f>
        <v>0</v>
      </c>
      <c r="BH7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4" s="18">
        <f t="shared" si="12"/>
        <v>1</v>
      </c>
      <c r="BJ774" s="18">
        <f>PRODUCT($BI$5:BI774)</f>
        <v>0.32656797278968008</v>
      </c>
      <c r="BK774" s="20">
        <f>1 - Audit[[#This Row],[K-M P Value]]</f>
        <v>0.67343202721031992</v>
      </c>
      <c r="BL774" s="18" t="str">
        <f>IF(Audit[[#This Row],[K-M P Value]]&gt;1-'General Info'!$B$12,"Continue", "Stop")</f>
        <v>Continue</v>
      </c>
      <c r="BM774" s="23" t="b">
        <f>IF(Audit[[#This Row],[Status - Continue or stop audit]] = "Continue", TRUE, IF(BL773 = "Continue", TRUE, FALSE))</f>
        <v>1</v>
      </c>
      <c r="BN774" s="23"/>
    </row>
    <row r="775" spans="1:66" ht="15" hidden="1" customHeight="1" x14ac:dyDescent="0.35">
      <c r="A775" s="18" t="str">
        <f>'Sampling Data'!AI775</f>
        <v/>
      </c>
      <c r="B775" s="18" t="str">
        <f>'Sampling Data'!A775</f>
        <v>3131 DR PK 3-A   (ED)</v>
      </c>
      <c r="C775" s="18">
        <f>'Sampling Data'!B775</f>
        <v>45</v>
      </c>
      <c r="D775" s="18">
        <f>'Sampling Data'!C775</f>
        <v>8</v>
      </c>
      <c r="E775" s="19">
        <f>'Sampling Data'!D775</f>
        <v>0</v>
      </c>
      <c r="F775" s="19">
        <f>'Sampling Data'!E775</f>
        <v>0</v>
      </c>
      <c r="G775" s="19">
        <f>'Sampling Data'!F775</f>
        <v>0</v>
      </c>
      <c r="H775" s="19">
        <f>'Sampling Data'!G775</f>
        <v>0</v>
      </c>
      <c r="I775" s="19">
        <f>'Sampling Data'!H775</f>
        <v>0</v>
      </c>
      <c r="J775" s="19">
        <f>'Sampling Data'!I775</f>
        <v>0</v>
      </c>
      <c r="K775" s="19">
        <f>'Sampling Data'!J775</f>
        <v>0</v>
      </c>
      <c r="L775" s="19">
        <f>'Sampling Data'!K775</f>
        <v>0</v>
      </c>
      <c r="M775" s="19">
        <f>'Sampling Data'!L775</f>
        <v>0</v>
      </c>
      <c r="N775" s="19">
        <f>'Sampling Data'!M775</f>
        <v>0</v>
      </c>
      <c r="O775" s="18">
        <f>'Sampling Data'!N775</f>
        <v>0</v>
      </c>
      <c r="P775" s="18">
        <f>'Sampling Data'!O775</f>
        <v>0</v>
      </c>
      <c r="Q775" s="18">
        <f>'Sampling Data'!P775</f>
        <v>53</v>
      </c>
      <c r="R775" s="18">
        <f>'Sampling Data'!AJ775</f>
        <v>0</v>
      </c>
      <c r="S775" s="112"/>
      <c r="T775" s="112"/>
      <c r="U775" s="113"/>
      <c r="V775" s="113"/>
      <c r="W775" s="112"/>
      <c r="X775" s="112"/>
      <c r="Y775" s="112"/>
      <c r="Z775" s="112"/>
      <c r="AA775" s="15"/>
      <c r="AB775" s="15"/>
      <c r="AC775" s="15"/>
      <c r="AD775" s="15"/>
      <c r="AE775" s="114" t="str">
        <f>IF(NOT(ISBLANK(Audit[[#This Row],[Audit Winning Candidate]])), Audit[[#This Row],[Audit Winning Candidate]]-Audit[[#This Row],[Winning Candidate]], "")</f>
        <v/>
      </c>
      <c r="AF775" s="18" t="str">
        <f>IF(NOT(ISBLANK(Audit[[#This Row],[Audit Losing Candidate]])), Audit[[#This Row],[Audit Losing Candidate]]-Audit[[#This Row],[Losing Candidate]], "")</f>
        <v/>
      </c>
      <c r="AG775" s="18" t="str">
        <f>IF(NOT(ISBLANK(Audit[[#This Row],[Audit Candidate 3]])), Audit[[#This Row],[Audit Candidate 3]]-Audit[[#This Row],[Candidate 3]], "")</f>
        <v/>
      </c>
      <c r="AH775" s="18" t="str">
        <f>IF(NOT(ISBLANK(Audit[[#This Row],[Audit Candidate 4]])),Audit[[#This Row],[Audit Candidate 4]]-Audit[[#This Row],[Candidate 4]], "")</f>
        <v/>
      </c>
      <c r="AI775" s="18" t="str">
        <f>IF(NOT(ISBLANK(Audit[[#This Row],[Audit Candidate 5]])), Audit[[#This Row],[Audit Candidate 5]]-Audit[[#This Row],[Candidate 5]], "")</f>
        <v/>
      </c>
      <c r="AJ775" s="18" t="str">
        <f>IF(NOT(ISBLANK(Audit[[#This Row],[Audit Candidate 6]])), Audit[[#This Row],[Audit Candidate 6]]-Audit[[#This Row],[Candidate 6]], "")</f>
        <v/>
      </c>
      <c r="AK775" s="18" t="str">
        <f>IF(NOT(ISBLANK(Audit[[#This Row],[Audit Candidate 7]])), Audit[[#This Row],[Audit Candidate 7]]-Audit[[#This Row],[Candidate 7]], "")</f>
        <v/>
      </c>
      <c r="AL775" s="18" t="str">
        <f>IF(NOT(ISBLANK(Audit[[#This Row],[Audit Candidate 8]])), Audit[[#This Row],[Audit Candidate 8]]-Audit[[#This Row],[Candidate 8]], "")</f>
        <v/>
      </c>
      <c r="AM775" s="18" t="str">
        <f>IF(NOT(ISBLANK(Audit[[#This Row],[Audit Candidate 9]])), Audit[[#This Row],[Audit Candidate 9]]-Audit[[#This Row],[Candidate 9]], "")</f>
        <v/>
      </c>
      <c r="AN775" s="18" t="str">
        <f>IF(NOT(ISBLANK(Audit[[#This Row],[Audit Candidate 10]])), Audit[[#This Row],[Audit Candidate 10]]-Audit[[#This Row],[Candidate 10]], "")</f>
        <v/>
      </c>
      <c r="AO775" s="18" t="str">
        <f>IF(NOT(ISBLANK(Audit[[#This Row],[Audit Candidate 11]])), Audit[[#This Row],[Audit Candidate 11]]-Audit[[#This Row],[Candidate 11]], "")</f>
        <v/>
      </c>
      <c r="AP775" s="18" t="str">
        <f>IF(NOT(ISBLANK(Audit[[#This Row],[Audit Candidate 12]])), Audit[[#This Row],[Audit Candidate 12]]-Audit[[#This Row],[Candidate 12]], "")</f>
        <v/>
      </c>
      <c r="AQ775" s="18">
        <f>SUMIF(Audit[[#This Row],[Difference Winner]:[Difference Candidate 12]], "&gt;0")</f>
        <v>0</v>
      </c>
      <c r="AR775" s="18">
        <f>SUM(Audit[[#This Row],[Difference Winner]:[Difference Candidate 12]])</f>
        <v>0</v>
      </c>
      <c r="AS775" s="18">
        <f>IF(Audit[[#This Row],[Times p Drawn - With Replacement]]&gt;0, IF(Audit[[#This Row],[Canceled Differences]]&lt;0, Audit[[#This Row],[Max Differences]]+ABS(Audit[[#This Row],[Canceled Differences]]), Audit[[#This Row],[Max Differences]]), 0)</f>
        <v>0</v>
      </c>
      <c r="AT775" s="18">
        <f>'Sampling Data'!AB775</f>
        <v>2.8268995194270815E-3</v>
      </c>
      <c r="AU775" s="18">
        <f>IF(
      SUM(Audit[[#This Row],[Audit Losing Candidate]:[Audit Candidate 12]])
      &lt;&gt;0,
      (Audit[[#This Row],[Winning Candidate]]-Audit[[#This Row],[Losing Candidate]]-(Audit[[#This Row],[Audit Winning Candidate]]-Audit[[#This Row],[Audit Losing Candidate]]))/(Audit[[#Totals],[Winning Candidate]]-Audit[[#Totals],[Losing Candidate]]),
      0
)</f>
        <v>0</v>
      </c>
      <c r="AV7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8">
        <f>IF(Audit[[#This Row],[Max Relative Error (ep)]] = 0, 0, Audit[[#This Row],[Max Relative Error (ep)]]/Audit[[#This Row],[Error Bound (up) - Max. possible relative overstatement]])</f>
        <v>0</v>
      </c>
      <c r="BH7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5" s="18">
        <f t="shared" si="12"/>
        <v>1</v>
      </c>
      <c r="BJ775" s="18">
        <f>PRODUCT($BI$5:BI775)</f>
        <v>0.32656797278968008</v>
      </c>
      <c r="BK775" s="20">
        <f>1 - Audit[[#This Row],[K-M P Value]]</f>
        <v>0.67343202721031992</v>
      </c>
      <c r="BL775" s="18" t="str">
        <f>IF(Audit[[#This Row],[K-M P Value]]&gt;1-'General Info'!$B$12,"Continue", "Stop")</f>
        <v>Continue</v>
      </c>
      <c r="BM775" s="23" t="b">
        <f>IF(Audit[[#This Row],[Status - Continue or stop audit]] = "Continue", TRUE, IF(BL774 = "Continue", TRUE, FALSE))</f>
        <v>1</v>
      </c>
      <c r="BN775" s="23"/>
    </row>
    <row r="776" spans="1:66" ht="15" hidden="1" customHeight="1" x14ac:dyDescent="0.35">
      <c r="A776" s="18" t="str">
        <f>'Sampling Data'!AI776</f>
        <v/>
      </c>
      <c r="B776" s="18" t="str">
        <f>'Sampling Data'!A776</f>
        <v>3141 DR PK 4-A   (ED)</v>
      </c>
      <c r="C776" s="18">
        <f>'Sampling Data'!B776</f>
        <v>69</v>
      </c>
      <c r="D776" s="18">
        <f>'Sampling Data'!C776</f>
        <v>11</v>
      </c>
      <c r="E776" s="19">
        <f>'Sampling Data'!D776</f>
        <v>0</v>
      </c>
      <c r="F776" s="19">
        <f>'Sampling Data'!E776</f>
        <v>0</v>
      </c>
      <c r="G776" s="19">
        <f>'Sampling Data'!F776</f>
        <v>0</v>
      </c>
      <c r="H776" s="19">
        <f>'Sampling Data'!G776</f>
        <v>0</v>
      </c>
      <c r="I776" s="19">
        <f>'Sampling Data'!H776</f>
        <v>0</v>
      </c>
      <c r="J776" s="19">
        <f>'Sampling Data'!I776</f>
        <v>0</v>
      </c>
      <c r="K776" s="19">
        <f>'Sampling Data'!J776</f>
        <v>0</v>
      </c>
      <c r="L776" s="19">
        <f>'Sampling Data'!K776</f>
        <v>0</v>
      </c>
      <c r="M776" s="19">
        <f>'Sampling Data'!L776</f>
        <v>0</v>
      </c>
      <c r="N776" s="19">
        <f>'Sampling Data'!M776</f>
        <v>0</v>
      </c>
      <c r="O776" s="18">
        <f>'Sampling Data'!N776</f>
        <v>0</v>
      </c>
      <c r="P776" s="18">
        <f>'Sampling Data'!O776</f>
        <v>2</v>
      </c>
      <c r="Q776" s="18">
        <f>'Sampling Data'!P776</f>
        <v>82</v>
      </c>
      <c r="R776" s="18">
        <f>'Sampling Data'!AJ776</f>
        <v>0</v>
      </c>
      <c r="S776" s="112"/>
      <c r="T776" s="112"/>
      <c r="U776" s="113"/>
      <c r="V776" s="113"/>
      <c r="W776" s="112"/>
      <c r="X776" s="112"/>
      <c r="Y776" s="112"/>
      <c r="Z776" s="112"/>
      <c r="AA776" s="15"/>
      <c r="AB776" s="15"/>
      <c r="AC776" s="15"/>
      <c r="AD776" s="15"/>
      <c r="AE776" s="114" t="str">
        <f>IF(NOT(ISBLANK(Audit[[#This Row],[Audit Winning Candidate]])), Audit[[#This Row],[Audit Winning Candidate]]-Audit[[#This Row],[Winning Candidate]], "")</f>
        <v/>
      </c>
      <c r="AF776" s="18" t="str">
        <f>IF(NOT(ISBLANK(Audit[[#This Row],[Audit Losing Candidate]])), Audit[[#This Row],[Audit Losing Candidate]]-Audit[[#This Row],[Losing Candidate]], "")</f>
        <v/>
      </c>
      <c r="AG776" s="18" t="str">
        <f>IF(NOT(ISBLANK(Audit[[#This Row],[Audit Candidate 3]])), Audit[[#This Row],[Audit Candidate 3]]-Audit[[#This Row],[Candidate 3]], "")</f>
        <v/>
      </c>
      <c r="AH776" s="18" t="str">
        <f>IF(NOT(ISBLANK(Audit[[#This Row],[Audit Candidate 4]])),Audit[[#This Row],[Audit Candidate 4]]-Audit[[#This Row],[Candidate 4]], "")</f>
        <v/>
      </c>
      <c r="AI776" s="18" t="str">
        <f>IF(NOT(ISBLANK(Audit[[#This Row],[Audit Candidate 5]])), Audit[[#This Row],[Audit Candidate 5]]-Audit[[#This Row],[Candidate 5]], "")</f>
        <v/>
      </c>
      <c r="AJ776" s="18" t="str">
        <f>IF(NOT(ISBLANK(Audit[[#This Row],[Audit Candidate 6]])), Audit[[#This Row],[Audit Candidate 6]]-Audit[[#This Row],[Candidate 6]], "")</f>
        <v/>
      </c>
      <c r="AK776" s="18" t="str">
        <f>IF(NOT(ISBLANK(Audit[[#This Row],[Audit Candidate 7]])), Audit[[#This Row],[Audit Candidate 7]]-Audit[[#This Row],[Candidate 7]], "")</f>
        <v/>
      </c>
      <c r="AL776" s="18" t="str">
        <f>IF(NOT(ISBLANK(Audit[[#This Row],[Audit Candidate 8]])), Audit[[#This Row],[Audit Candidate 8]]-Audit[[#This Row],[Candidate 8]], "")</f>
        <v/>
      </c>
      <c r="AM776" s="18" t="str">
        <f>IF(NOT(ISBLANK(Audit[[#This Row],[Audit Candidate 9]])), Audit[[#This Row],[Audit Candidate 9]]-Audit[[#This Row],[Candidate 9]], "")</f>
        <v/>
      </c>
      <c r="AN776" s="18" t="str">
        <f>IF(NOT(ISBLANK(Audit[[#This Row],[Audit Candidate 10]])), Audit[[#This Row],[Audit Candidate 10]]-Audit[[#This Row],[Candidate 10]], "")</f>
        <v/>
      </c>
      <c r="AO776" s="18" t="str">
        <f>IF(NOT(ISBLANK(Audit[[#This Row],[Audit Candidate 11]])), Audit[[#This Row],[Audit Candidate 11]]-Audit[[#This Row],[Candidate 11]], "")</f>
        <v/>
      </c>
      <c r="AP776" s="18" t="str">
        <f>IF(NOT(ISBLANK(Audit[[#This Row],[Audit Candidate 12]])), Audit[[#This Row],[Audit Candidate 12]]-Audit[[#This Row],[Candidate 12]], "")</f>
        <v/>
      </c>
      <c r="AQ776" s="18">
        <f>SUMIF(Audit[[#This Row],[Difference Winner]:[Difference Candidate 12]], "&gt;0")</f>
        <v>0</v>
      </c>
      <c r="AR776" s="18">
        <f>SUM(Audit[[#This Row],[Difference Winner]:[Difference Candidate 12]])</f>
        <v>0</v>
      </c>
      <c r="AS776" s="18">
        <f>IF(Audit[[#This Row],[Times p Drawn - With Replacement]]&gt;0, IF(Audit[[#This Row],[Canceled Differences]]&lt;0, Audit[[#This Row],[Max Differences]]+ABS(Audit[[#This Row],[Canceled Differences]]), Audit[[#This Row],[Max Differences]]), 0)</f>
        <v>0</v>
      </c>
      <c r="AT776" s="18">
        <f>'Sampling Data'!AB776</f>
        <v>4.3973992524421269E-3</v>
      </c>
      <c r="AU776" s="18">
        <f>IF(
      SUM(Audit[[#This Row],[Audit Losing Candidate]:[Audit Candidate 12]])
      &lt;&gt;0,
      (Audit[[#This Row],[Winning Candidate]]-Audit[[#This Row],[Losing Candidate]]-(Audit[[#This Row],[Audit Winning Candidate]]-Audit[[#This Row],[Audit Losing Candidate]]))/(Audit[[#Totals],[Winning Candidate]]-Audit[[#Totals],[Losing Candidate]]),
      0
)</f>
        <v>0</v>
      </c>
      <c r="AV7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8">
        <f>IF(Audit[[#This Row],[Max Relative Error (ep)]] = 0, 0, Audit[[#This Row],[Max Relative Error (ep)]]/Audit[[#This Row],[Error Bound (up) - Max. possible relative overstatement]])</f>
        <v>0</v>
      </c>
      <c r="BH7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6" s="18">
        <f t="shared" si="12"/>
        <v>1</v>
      </c>
      <c r="BJ776" s="18">
        <f>PRODUCT($BI$5:BI776)</f>
        <v>0.32656797278968008</v>
      </c>
      <c r="BK776" s="20">
        <f>1 - Audit[[#This Row],[K-M P Value]]</f>
        <v>0.67343202721031992</v>
      </c>
      <c r="BL776" s="18" t="str">
        <f>IF(Audit[[#This Row],[K-M P Value]]&gt;1-'General Info'!$B$12,"Continue", "Stop")</f>
        <v>Continue</v>
      </c>
      <c r="BM776" s="23" t="b">
        <f>IF(Audit[[#This Row],[Status - Continue or stop audit]] = "Continue", TRUE, IF(BL775 = "Continue", TRUE, FALSE))</f>
        <v>1</v>
      </c>
      <c r="BN776" s="23"/>
    </row>
    <row r="777" spans="1:66" ht="15" hidden="1" customHeight="1" x14ac:dyDescent="0.35">
      <c r="A777" s="18" t="str">
        <f>'Sampling Data'!AI777</f>
        <v/>
      </c>
      <c r="B777" s="18" t="str">
        <f>'Sampling Data'!A777</f>
        <v>3201 FR PK A   (ED)</v>
      </c>
      <c r="C777" s="18">
        <f>'Sampling Data'!B777</f>
        <v>20</v>
      </c>
      <c r="D777" s="18">
        <f>'Sampling Data'!C777</f>
        <v>3</v>
      </c>
      <c r="E777" s="19">
        <f>'Sampling Data'!D777</f>
        <v>0</v>
      </c>
      <c r="F777" s="19">
        <f>'Sampling Data'!E777</f>
        <v>0</v>
      </c>
      <c r="G777" s="19">
        <f>'Sampling Data'!F777</f>
        <v>0</v>
      </c>
      <c r="H777" s="19">
        <f>'Sampling Data'!G777</f>
        <v>0</v>
      </c>
      <c r="I777" s="19">
        <f>'Sampling Data'!H777</f>
        <v>0</v>
      </c>
      <c r="J777" s="19">
        <f>'Sampling Data'!I777</f>
        <v>0</v>
      </c>
      <c r="K777" s="19">
        <f>'Sampling Data'!J777</f>
        <v>0</v>
      </c>
      <c r="L777" s="19">
        <f>'Sampling Data'!K777</f>
        <v>0</v>
      </c>
      <c r="M777" s="19">
        <f>'Sampling Data'!L777</f>
        <v>0</v>
      </c>
      <c r="N777" s="19">
        <f>'Sampling Data'!M777</f>
        <v>0</v>
      </c>
      <c r="O777" s="18">
        <f>'Sampling Data'!N777</f>
        <v>0</v>
      </c>
      <c r="P777" s="18">
        <f>'Sampling Data'!O777</f>
        <v>0</v>
      </c>
      <c r="Q777" s="18">
        <f>'Sampling Data'!P777</f>
        <v>23</v>
      </c>
      <c r="R777" s="18">
        <f>'Sampling Data'!AJ777</f>
        <v>0</v>
      </c>
      <c r="S777" s="112"/>
      <c r="T777" s="112"/>
      <c r="U777" s="113"/>
      <c r="V777" s="113"/>
      <c r="W777" s="112"/>
      <c r="X777" s="112"/>
      <c r="Y777" s="112"/>
      <c r="Z777" s="112"/>
      <c r="AA777" s="15"/>
      <c r="AB777" s="15"/>
      <c r="AC777" s="15"/>
      <c r="AD777" s="15"/>
      <c r="AE777" s="114" t="str">
        <f>IF(NOT(ISBLANK(Audit[[#This Row],[Audit Winning Candidate]])), Audit[[#This Row],[Audit Winning Candidate]]-Audit[[#This Row],[Winning Candidate]], "")</f>
        <v/>
      </c>
      <c r="AF777" s="18" t="str">
        <f>IF(NOT(ISBLANK(Audit[[#This Row],[Audit Losing Candidate]])), Audit[[#This Row],[Audit Losing Candidate]]-Audit[[#This Row],[Losing Candidate]], "")</f>
        <v/>
      </c>
      <c r="AG777" s="18" t="str">
        <f>IF(NOT(ISBLANK(Audit[[#This Row],[Audit Candidate 3]])), Audit[[#This Row],[Audit Candidate 3]]-Audit[[#This Row],[Candidate 3]], "")</f>
        <v/>
      </c>
      <c r="AH777" s="18" t="str">
        <f>IF(NOT(ISBLANK(Audit[[#This Row],[Audit Candidate 4]])),Audit[[#This Row],[Audit Candidate 4]]-Audit[[#This Row],[Candidate 4]], "")</f>
        <v/>
      </c>
      <c r="AI777" s="18" t="str">
        <f>IF(NOT(ISBLANK(Audit[[#This Row],[Audit Candidate 5]])), Audit[[#This Row],[Audit Candidate 5]]-Audit[[#This Row],[Candidate 5]], "")</f>
        <v/>
      </c>
      <c r="AJ777" s="18" t="str">
        <f>IF(NOT(ISBLANK(Audit[[#This Row],[Audit Candidate 6]])), Audit[[#This Row],[Audit Candidate 6]]-Audit[[#This Row],[Candidate 6]], "")</f>
        <v/>
      </c>
      <c r="AK777" s="18" t="str">
        <f>IF(NOT(ISBLANK(Audit[[#This Row],[Audit Candidate 7]])), Audit[[#This Row],[Audit Candidate 7]]-Audit[[#This Row],[Candidate 7]], "")</f>
        <v/>
      </c>
      <c r="AL777" s="18" t="str">
        <f>IF(NOT(ISBLANK(Audit[[#This Row],[Audit Candidate 8]])), Audit[[#This Row],[Audit Candidate 8]]-Audit[[#This Row],[Candidate 8]], "")</f>
        <v/>
      </c>
      <c r="AM777" s="18" t="str">
        <f>IF(NOT(ISBLANK(Audit[[#This Row],[Audit Candidate 9]])), Audit[[#This Row],[Audit Candidate 9]]-Audit[[#This Row],[Candidate 9]], "")</f>
        <v/>
      </c>
      <c r="AN777" s="18" t="str">
        <f>IF(NOT(ISBLANK(Audit[[#This Row],[Audit Candidate 10]])), Audit[[#This Row],[Audit Candidate 10]]-Audit[[#This Row],[Candidate 10]], "")</f>
        <v/>
      </c>
      <c r="AO777" s="18" t="str">
        <f>IF(NOT(ISBLANK(Audit[[#This Row],[Audit Candidate 11]])), Audit[[#This Row],[Audit Candidate 11]]-Audit[[#This Row],[Candidate 11]], "")</f>
        <v/>
      </c>
      <c r="AP777" s="18" t="str">
        <f>IF(NOT(ISBLANK(Audit[[#This Row],[Audit Candidate 12]])), Audit[[#This Row],[Audit Candidate 12]]-Audit[[#This Row],[Candidate 12]], "")</f>
        <v/>
      </c>
      <c r="AQ777" s="18">
        <f>SUMIF(Audit[[#This Row],[Difference Winner]:[Difference Candidate 12]], "&gt;0")</f>
        <v>0</v>
      </c>
      <c r="AR777" s="18">
        <f>SUM(Audit[[#This Row],[Difference Winner]:[Difference Candidate 12]])</f>
        <v>0</v>
      </c>
      <c r="AS777" s="18">
        <f>IF(Audit[[#This Row],[Times p Drawn - With Replacement]]&gt;0, IF(Audit[[#This Row],[Canceled Differences]]&lt;0, Audit[[#This Row],[Max Differences]]+ABS(Audit[[#This Row],[Canceled Differences]]), Audit[[#This Row],[Max Differences]]), 0)</f>
        <v>0</v>
      </c>
      <c r="AT777" s="18">
        <f>'Sampling Data'!AB777</f>
        <v>1.2563997864120362E-3</v>
      </c>
      <c r="AU777" s="18">
        <f>IF(
      SUM(Audit[[#This Row],[Audit Losing Candidate]:[Audit Candidate 12]])
      &lt;&gt;0,
      (Audit[[#This Row],[Winning Candidate]]-Audit[[#This Row],[Losing Candidate]]-(Audit[[#This Row],[Audit Winning Candidate]]-Audit[[#This Row],[Audit Losing Candidate]]))/(Audit[[#Totals],[Winning Candidate]]-Audit[[#Totals],[Losing Candidate]]),
      0
)</f>
        <v>0</v>
      </c>
      <c r="AV7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8">
        <f>IF(Audit[[#This Row],[Max Relative Error (ep)]] = 0, 0, Audit[[#This Row],[Max Relative Error (ep)]]/Audit[[#This Row],[Error Bound (up) - Max. possible relative overstatement]])</f>
        <v>0</v>
      </c>
      <c r="BH7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7" s="18">
        <f t="shared" si="12"/>
        <v>1</v>
      </c>
      <c r="BJ777" s="18">
        <f>PRODUCT($BI$5:BI777)</f>
        <v>0.32656797278968008</v>
      </c>
      <c r="BK777" s="20">
        <f>1 - Audit[[#This Row],[K-M P Value]]</f>
        <v>0.67343202721031992</v>
      </c>
      <c r="BL777" s="18" t="str">
        <f>IF(Audit[[#This Row],[K-M P Value]]&gt;1-'General Info'!$B$12,"Continue", "Stop")</f>
        <v>Continue</v>
      </c>
      <c r="BM777" s="23" t="b">
        <f>IF(Audit[[#This Row],[Status - Continue or stop audit]] = "Continue", TRUE, IF(BL776 = "Continue", TRUE, FALSE))</f>
        <v>1</v>
      </c>
      <c r="BN777" s="23"/>
    </row>
    <row r="778" spans="1:66" ht="15" hidden="1" customHeight="1" x14ac:dyDescent="0.35">
      <c r="A778" s="18" t="str">
        <f>'Sampling Data'!AI778</f>
        <v/>
      </c>
      <c r="B778" s="18" t="str">
        <f>'Sampling Data'!A778</f>
        <v>3202 FR PK B   (ED)</v>
      </c>
      <c r="C778" s="18">
        <f>'Sampling Data'!B778</f>
        <v>32</v>
      </c>
      <c r="D778" s="18">
        <f>'Sampling Data'!C778</f>
        <v>2</v>
      </c>
      <c r="E778" s="19">
        <f>'Sampling Data'!D778</f>
        <v>0</v>
      </c>
      <c r="F778" s="19">
        <f>'Sampling Data'!E778</f>
        <v>0</v>
      </c>
      <c r="G778" s="19">
        <f>'Sampling Data'!F778</f>
        <v>0</v>
      </c>
      <c r="H778" s="19">
        <f>'Sampling Data'!G778</f>
        <v>0</v>
      </c>
      <c r="I778" s="19">
        <f>'Sampling Data'!H778</f>
        <v>0</v>
      </c>
      <c r="J778" s="19">
        <f>'Sampling Data'!I778</f>
        <v>0</v>
      </c>
      <c r="K778" s="19">
        <f>'Sampling Data'!J778</f>
        <v>0</v>
      </c>
      <c r="L778" s="19">
        <f>'Sampling Data'!K778</f>
        <v>0</v>
      </c>
      <c r="M778" s="19">
        <f>'Sampling Data'!L778</f>
        <v>0</v>
      </c>
      <c r="N778" s="19">
        <f>'Sampling Data'!M778</f>
        <v>0</v>
      </c>
      <c r="O778" s="18">
        <f>'Sampling Data'!N778</f>
        <v>0</v>
      </c>
      <c r="P778" s="18">
        <f>'Sampling Data'!O778</f>
        <v>2</v>
      </c>
      <c r="Q778" s="18">
        <f>'Sampling Data'!P778</f>
        <v>36</v>
      </c>
      <c r="R778" s="18">
        <f>'Sampling Data'!AJ778</f>
        <v>0</v>
      </c>
      <c r="S778" s="112"/>
      <c r="T778" s="112"/>
      <c r="U778" s="113"/>
      <c r="V778" s="113"/>
      <c r="W778" s="112"/>
      <c r="X778" s="112"/>
      <c r="Y778" s="112"/>
      <c r="Z778" s="112"/>
      <c r="AA778" s="15"/>
      <c r="AB778" s="15"/>
      <c r="AC778" s="15"/>
      <c r="AD778" s="15"/>
      <c r="AE778" s="114" t="str">
        <f>IF(NOT(ISBLANK(Audit[[#This Row],[Audit Winning Candidate]])), Audit[[#This Row],[Audit Winning Candidate]]-Audit[[#This Row],[Winning Candidate]], "")</f>
        <v/>
      </c>
      <c r="AF778" s="18" t="str">
        <f>IF(NOT(ISBLANK(Audit[[#This Row],[Audit Losing Candidate]])), Audit[[#This Row],[Audit Losing Candidate]]-Audit[[#This Row],[Losing Candidate]], "")</f>
        <v/>
      </c>
      <c r="AG778" s="18" t="str">
        <f>IF(NOT(ISBLANK(Audit[[#This Row],[Audit Candidate 3]])), Audit[[#This Row],[Audit Candidate 3]]-Audit[[#This Row],[Candidate 3]], "")</f>
        <v/>
      </c>
      <c r="AH778" s="18" t="str">
        <f>IF(NOT(ISBLANK(Audit[[#This Row],[Audit Candidate 4]])),Audit[[#This Row],[Audit Candidate 4]]-Audit[[#This Row],[Candidate 4]], "")</f>
        <v/>
      </c>
      <c r="AI778" s="18" t="str">
        <f>IF(NOT(ISBLANK(Audit[[#This Row],[Audit Candidate 5]])), Audit[[#This Row],[Audit Candidate 5]]-Audit[[#This Row],[Candidate 5]], "")</f>
        <v/>
      </c>
      <c r="AJ778" s="18" t="str">
        <f>IF(NOT(ISBLANK(Audit[[#This Row],[Audit Candidate 6]])), Audit[[#This Row],[Audit Candidate 6]]-Audit[[#This Row],[Candidate 6]], "")</f>
        <v/>
      </c>
      <c r="AK778" s="18" t="str">
        <f>IF(NOT(ISBLANK(Audit[[#This Row],[Audit Candidate 7]])), Audit[[#This Row],[Audit Candidate 7]]-Audit[[#This Row],[Candidate 7]], "")</f>
        <v/>
      </c>
      <c r="AL778" s="18" t="str">
        <f>IF(NOT(ISBLANK(Audit[[#This Row],[Audit Candidate 8]])), Audit[[#This Row],[Audit Candidate 8]]-Audit[[#This Row],[Candidate 8]], "")</f>
        <v/>
      </c>
      <c r="AM778" s="18" t="str">
        <f>IF(NOT(ISBLANK(Audit[[#This Row],[Audit Candidate 9]])), Audit[[#This Row],[Audit Candidate 9]]-Audit[[#This Row],[Candidate 9]], "")</f>
        <v/>
      </c>
      <c r="AN778" s="18" t="str">
        <f>IF(NOT(ISBLANK(Audit[[#This Row],[Audit Candidate 10]])), Audit[[#This Row],[Audit Candidate 10]]-Audit[[#This Row],[Candidate 10]], "")</f>
        <v/>
      </c>
      <c r="AO778" s="18" t="str">
        <f>IF(NOT(ISBLANK(Audit[[#This Row],[Audit Candidate 11]])), Audit[[#This Row],[Audit Candidate 11]]-Audit[[#This Row],[Candidate 11]], "")</f>
        <v/>
      </c>
      <c r="AP778" s="18" t="str">
        <f>IF(NOT(ISBLANK(Audit[[#This Row],[Audit Candidate 12]])), Audit[[#This Row],[Audit Candidate 12]]-Audit[[#This Row],[Candidate 12]], "")</f>
        <v/>
      </c>
      <c r="AQ778" s="18">
        <f>SUMIF(Audit[[#This Row],[Difference Winner]:[Difference Candidate 12]], "&gt;0")</f>
        <v>0</v>
      </c>
      <c r="AR778" s="18">
        <f>SUM(Audit[[#This Row],[Difference Winner]:[Difference Candidate 12]])</f>
        <v>0</v>
      </c>
      <c r="AS778" s="18">
        <f>IF(Audit[[#This Row],[Times p Drawn - With Replacement]]&gt;0, IF(Audit[[#This Row],[Canceled Differences]]&lt;0, Audit[[#This Row],[Max Differences]]+ABS(Audit[[#This Row],[Canceled Differences]]), Audit[[#This Row],[Max Differences]]), 0)</f>
        <v>0</v>
      </c>
      <c r="AT778" s="18">
        <f>'Sampling Data'!AB778</f>
        <v>2.0730596475798599E-3</v>
      </c>
      <c r="AU778" s="18">
        <f>IF(
      SUM(Audit[[#This Row],[Audit Losing Candidate]:[Audit Candidate 12]])
      &lt;&gt;0,
      (Audit[[#This Row],[Winning Candidate]]-Audit[[#This Row],[Losing Candidate]]-(Audit[[#This Row],[Audit Winning Candidate]]-Audit[[#This Row],[Audit Losing Candidate]]))/(Audit[[#Totals],[Winning Candidate]]-Audit[[#Totals],[Losing Candidate]]),
      0
)</f>
        <v>0</v>
      </c>
      <c r="AV7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8">
        <f>IF(Audit[[#This Row],[Max Relative Error (ep)]] = 0, 0, Audit[[#This Row],[Max Relative Error (ep)]]/Audit[[#This Row],[Error Bound (up) - Max. possible relative overstatement]])</f>
        <v>0</v>
      </c>
      <c r="BH7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8" s="18">
        <f t="shared" si="12"/>
        <v>1</v>
      </c>
      <c r="BJ778" s="18">
        <f>PRODUCT($BI$5:BI778)</f>
        <v>0.32656797278968008</v>
      </c>
      <c r="BK778" s="20">
        <f>1 - Audit[[#This Row],[K-M P Value]]</f>
        <v>0.67343202721031992</v>
      </c>
      <c r="BL778" s="18" t="str">
        <f>IF(Audit[[#This Row],[K-M P Value]]&gt;1-'General Info'!$B$12,"Continue", "Stop")</f>
        <v>Continue</v>
      </c>
      <c r="BM778" s="23" t="b">
        <f>IF(Audit[[#This Row],[Status - Continue or stop audit]] = "Continue", TRUE, IF(BL777 = "Continue", TRUE, FALSE))</f>
        <v>1</v>
      </c>
      <c r="BN778" s="23"/>
    </row>
    <row r="779" spans="1:66" ht="15" hidden="1" customHeight="1" x14ac:dyDescent="0.35">
      <c r="A779" s="18" t="str">
        <f>'Sampling Data'!AI779</f>
        <v/>
      </c>
      <c r="B779" s="18" t="str">
        <f>'Sampling Data'!A779</f>
        <v>3203 FR PK C   (ED)</v>
      </c>
      <c r="C779" s="18">
        <f>'Sampling Data'!B779</f>
        <v>8</v>
      </c>
      <c r="D779" s="18">
        <f>'Sampling Data'!C779</f>
        <v>3</v>
      </c>
      <c r="E779" s="19">
        <f>'Sampling Data'!D779</f>
        <v>0</v>
      </c>
      <c r="F779" s="19">
        <f>'Sampling Data'!E779</f>
        <v>0</v>
      </c>
      <c r="G779" s="19">
        <f>'Sampling Data'!F779</f>
        <v>0</v>
      </c>
      <c r="H779" s="19">
        <f>'Sampling Data'!G779</f>
        <v>0</v>
      </c>
      <c r="I779" s="19">
        <f>'Sampling Data'!H779</f>
        <v>0</v>
      </c>
      <c r="J779" s="19">
        <f>'Sampling Data'!I779</f>
        <v>0</v>
      </c>
      <c r="K779" s="19">
        <f>'Sampling Data'!J779</f>
        <v>0</v>
      </c>
      <c r="L779" s="19">
        <f>'Sampling Data'!K779</f>
        <v>0</v>
      </c>
      <c r="M779" s="19">
        <f>'Sampling Data'!L779</f>
        <v>0</v>
      </c>
      <c r="N779" s="19">
        <f>'Sampling Data'!M779</f>
        <v>0</v>
      </c>
      <c r="O779" s="18">
        <f>'Sampling Data'!N779</f>
        <v>0</v>
      </c>
      <c r="P779" s="18">
        <f>'Sampling Data'!O779</f>
        <v>0</v>
      </c>
      <c r="Q779" s="18">
        <f>'Sampling Data'!P779</f>
        <v>11</v>
      </c>
      <c r="R779" s="18">
        <f>'Sampling Data'!AJ779</f>
        <v>0</v>
      </c>
      <c r="S779" s="112"/>
      <c r="T779" s="112"/>
      <c r="U779" s="113"/>
      <c r="V779" s="113"/>
      <c r="W779" s="112"/>
      <c r="X779" s="112"/>
      <c r="Y779" s="112"/>
      <c r="Z779" s="112"/>
      <c r="AA779" s="15"/>
      <c r="AB779" s="15"/>
      <c r="AC779" s="15"/>
      <c r="AD779" s="15"/>
      <c r="AE779" s="114" t="str">
        <f>IF(NOT(ISBLANK(Audit[[#This Row],[Audit Winning Candidate]])), Audit[[#This Row],[Audit Winning Candidate]]-Audit[[#This Row],[Winning Candidate]], "")</f>
        <v/>
      </c>
      <c r="AF779" s="18" t="str">
        <f>IF(NOT(ISBLANK(Audit[[#This Row],[Audit Losing Candidate]])), Audit[[#This Row],[Audit Losing Candidate]]-Audit[[#This Row],[Losing Candidate]], "")</f>
        <v/>
      </c>
      <c r="AG779" s="18" t="str">
        <f>IF(NOT(ISBLANK(Audit[[#This Row],[Audit Candidate 3]])), Audit[[#This Row],[Audit Candidate 3]]-Audit[[#This Row],[Candidate 3]], "")</f>
        <v/>
      </c>
      <c r="AH779" s="18" t="str">
        <f>IF(NOT(ISBLANK(Audit[[#This Row],[Audit Candidate 4]])),Audit[[#This Row],[Audit Candidate 4]]-Audit[[#This Row],[Candidate 4]], "")</f>
        <v/>
      </c>
      <c r="AI779" s="18" t="str">
        <f>IF(NOT(ISBLANK(Audit[[#This Row],[Audit Candidate 5]])), Audit[[#This Row],[Audit Candidate 5]]-Audit[[#This Row],[Candidate 5]], "")</f>
        <v/>
      </c>
      <c r="AJ779" s="18" t="str">
        <f>IF(NOT(ISBLANK(Audit[[#This Row],[Audit Candidate 6]])), Audit[[#This Row],[Audit Candidate 6]]-Audit[[#This Row],[Candidate 6]], "")</f>
        <v/>
      </c>
      <c r="AK779" s="18" t="str">
        <f>IF(NOT(ISBLANK(Audit[[#This Row],[Audit Candidate 7]])), Audit[[#This Row],[Audit Candidate 7]]-Audit[[#This Row],[Candidate 7]], "")</f>
        <v/>
      </c>
      <c r="AL779" s="18" t="str">
        <f>IF(NOT(ISBLANK(Audit[[#This Row],[Audit Candidate 8]])), Audit[[#This Row],[Audit Candidate 8]]-Audit[[#This Row],[Candidate 8]], "")</f>
        <v/>
      </c>
      <c r="AM779" s="18" t="str">
        <f>IF(NOT(ISBLANK(Audit[[#This Row],[Audit Candidate 9]])), Audit[[#This Row],[Audit Candidate 9]]-Audit[[#This Row],[Candidate 9]], "")</f>
        <v/>
      </c>
      <c r="AN779" s="18" t="str">
        <f>IF(NOT(ISBLANK(Audit[[#This Row],[Audit Candidate 10]])), Audit[[#This Row],[Audit Candidate 10]]-Audit[[#This Row],[Candidate 10]], "")</f>
        <v/>
      </c>
      <c r="AO779" s="18" t="str">
        <f>IF(NOT(ISBLANK(Audit[[#This Row],[Audit Candidate 11]])), Audit[[#This Row],[Audit Candidate 11]]-Audit[[#This Row],[Candidate 11]], "")</f>
        <v/>
      </c>
      <c r="AP779" s="18" t="str">
        <f>IF(NOT(ISBLANK(Audit[[#This Row],[Audit Candidate 12]])), Audit[[#This Row],[Audit Candidate 12]]-Audit[[#This Row],[Candidate 12]], "")</f>
        <v/>
      </c>
      <c r="AQ779" s="18">
        <f>SUMIF(Audit[[#This Row],[Difference Winner]:[Difference Candidate 12]], "&gt;0")</f>
        <v>0</v>
      </c>
      <c r="AR779" s="18">
        <f>SUM(Audit[[#This Row],[Difference Winner]:[Difference Candidate 12]])</f>
        <v>0</v>
      </c>
      <c r="AS779" s="18">
        <f>IF(Audit[[#This Row],[Times p Drawn - With Replacement]]&gt;0, IF(Audit[[#This Row],[Canceled Differences]]&lt;0, Audit[[#This Row],[Max Differences]]+ABS(Audit[[#This Row],[Canceled Differences]]), Audit[[#This Row],[Max Differences]]), 0)</f>
        <v>0</v>
      </c>
      <c r="AT779" s="18">
        <f>'Sampling Data'!AB779</f>
        <v>5.0255991456481448E-4</v>
      </c>
      <c r="AU779" s="18">
        <f>IF(
      SUM(Audit[[#This Row],[Audit Losing Candidate]:[Audit Candidate 12]])
      &lt;&gt;0,
      (Audit[[#This Row],[Winning Candidate]]-Audit[[#This Row],[Losing Candidate]]-(Audit[[#This Row],[Audit Winning Candidate]]-Audit[[#This Row],[Audit Losing Candidate]]))/(Audit[[#Totals],[Winning Candidate]]-Audit[[#Totals],[Losing Candidate]]),
      0
)</f>
        <v>0</v>
      </c>
      <c r="AV7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8">
        <f>IF(Audit[[#This Row],[Max Relative Error (ep)]] = 0, 0, Audit[[#This Row],[Max Relative Error (ep)]]/Audit[[#This Row],[Error Bound (up) - Max. possible relative overstatement]])</f>
        <v>0</v>
      </c>
      <c r="BH7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79" s="18">
        <f t="shared" si="12"/>
        <v>1</v>
      </c>
      <c r="BJ779" s="18">
        <f>PRODUCT($BI$5:BI779)</f>
        <v>0.32656797278968008</v>
      </c>
      <c r="BK779" s="20">
        <f>1 - Audit[[#This Row],[K-M P Value]]</f>
        <v>0.67343202721031992</v>
      </c>
      <c r="BL779" s="18" t="str">
        <f>IF(Audit[[#This Row],[K-M P Value]]&gt;1-'General Info'!$B$12,"Continue", "Stop")</f>
        <v>Continue</v>
      </c>
      <c r="BM779" s="23" t="b">
        <f>IF(Audit[[#This Row],[Status - Continue or stop audit]] = "Continue", TRUE, IF(BL778 = "Continue", TRUE, FALSE))</f>
        <v>1</v>
      </c>
      <c r="BN779" s="23"/>
    </row>
    <row r="780" spans="1:66" ht="15" hidden="1" customHeight="1" x14ac:dyDescent="0.35">
      <c r="A780" s="18" t="str">
        <f>'Sampling Data'!AI780</f>
        <v/>
      </c>
      <c r="B780" s="18" t="str">
        <f>'Sampling Data'!A780</f>
        <v>3204 FR PK D   (ED)</v>
      </c>
      <c r="C780" s="18">
        <f>'Sampling Data'!B780</f>
        <v>12</v>
      </c>
      <c r="D780" s="18">
        <f>'Sampling Data'!C780</f>
        <v>3</v>
      </c>
      <c r="E780" s="19">
        <f>'Sampling Data'!D780</f>
        <v>0</v>
      </c>
      <c r="F780" s="19">
        <f>'Sampling Data'!E780</f>
        <v>0</v>
      </c>
      <c r="G780" s="19">
        <f>'Sampling Data'!F780</f>
        <v>0</v>
      </c>
      <c r="H780" s="19">
        <f>'Sampling Data'!G780</f>
        <v>0</v>
      </c>
      <c r="I780" s="19">
        <f>'Sampling Data'!H780</f>
        <v>0</v>
      </c>
      <c r="J780" s="19">
        <f>'Sampling Data'!I780</f>
        <v>0</v>
      </c>
      <c r="K780" s="19">
        <f>'Sampling Data'!J780</f>
        <v>0</v>
      </c>
      <c r="L780" s="19">
        <f>'Sampling Data'!K780</f>
        <v>0</v>
      </c>
      <c r="M780" s="19">
        <f>'Sampling Data'!L780</f>
        <v>0</v>
      </c>
      <c r="N780" s="19">
        <f>'Sampling Data'!M780</f>
        <v>0</v>
      </c>
      <c r="O780" s="18">
        <f>'Sampling Data'!N780</f>
        <v>0</v>
      </c>
      <c r="P780" s="18">
        <f>'Sampling Data'!O780</f>
        <v>0</v>
      </c>
      <c r="Q780" s="18">
        <f>'Sampling Data'!P780</f>
        <v>15</v>
      </c>
      <c r="R780" s="18">
        <f>'Sampling Data'!AJ780</f>
        <v>0</v>
      </c>
      <c r="S780" s="112"/>
      <c r="T780" s="112"/>
      <c r="U780" s="113"/>
      <c r="V780" s="113"/>
      <c r="W780" s="112"/>
      <c r="X780" s="112"/>
      <c r="Y780" s="112"/>
      <c r="Z780" s="112"/>
      <c r="AA780" s="15"/>
      <c r="AB780" s="15"/>
      <c r="AC780" s="15"/>
      <c r="AD780" s="15"/>
      <c r="AE780" s="114" t="str">
        <f>IF(NOT(ISBLANK(Audit[[#This Row],[Audit Winning Candidate]])), Audit[[#This Row],[Audit Winning Candidate]]-Audit[[#This Row],[Winning Candidate]], "")</f>
        <v/>
      </c>
      <c r="AF780" s="18" t="str">
        <f>IF(NOT(ISBLANK(Audit[[#This Row],[Audit Losing Candidate]])), Audit[[#This Row],[Audit Losing Candidate]]-Audit[[#This Row],[Losing Candidate]], "")</f>
        <v/>
      </c>
      <c r="AG780" s="18" t="str">
        <f>IF(NOT(ISBLANK(Audit[[#This Row],[Audit Candidate 3]])), Audit[[#This Row],[Audit Candidate 3]]-Audit[[#This Row],[Candidate 3]], "")</f>
        <v/>
      </c>
      <c r="AH780" s="18" t="str">
        <f>IF(NOT(ISBLANK(Audit[[#This Row],[Audit Candidate 4]])),Audit[[#This Row],[Audit Candidate 4]]-Audit[[#This Row],[Candidate 4]], "")</f>
        <v/>
      </c>
      <c r="AI780" s="18" t="str">
        <f>IF(NOT(ISBLANK(Audit[[#This Row],[Audit Candidate 5]])), Audit[[#This Row],[Audit Candidate 5]]-Audit[[#This Row],[Candidate 5]], "")</f>
        <v/>
      </c>
      <c r="AJ780" s="18" t="str">
        <f>IF(NOT(ISBLANK(Audit[[#This Row],[Audit Candidate 6]])), Audit[[#This Row],[Audit Candidate 6]]-Audit[[#This Row],[Candidate 6]], "")</f>
        <v/>
      </c>
      <c r="AK780" s="18" t="str">
        <f>IF(NOT(ISBLANK(Audit[[#This Row],[Audit Candidate 7]])), Audit[[#This Row],[Audit Candidate 7]]-Audit[[#This Row],[Candidate 7]], "")</f>
        <v/>
      </c>
      <c r="AL780" s="18" t="str">
        <f>IF(NOT(ISBLANK(Audit[[#This Row],[Audit Candidate 8]])), Audit[[#This Row],[Audit Candidate 8]]-Audit[[#This Row],[Candidate 8]], "")</f>
        <v/>
      </c>
      <c r="AM780" s="18" t="str">
        <f>IF(NOT(ISBLANK(Audit[[#This Row],[Audit Candidate 9]])), Audit[[#This Row],[Audit Candidate 9]]-Audit[[#This Row],[Candidate 9]], "")</f>
        <v/>
      </c>
      <c r="AN780" s="18" t="str">
        <f>IF(NOT(ISBLANK(Audit[[#This Row],[Audit Candidate 10]])), Audit[[#This Row],[Audit Candidate 10]]-Audit[[#This Row],[Candidate 10]], "")</f>
        <v/>
      </c>
      <c r="AO780" s="18" t="str">
        <f>IF(NOT(ISBLANK(Audit[[#This Row],[Audit Candidate 11]])), Audit[[#This Row],[Audit Candidate 11]]-Audit[[#This Row],[Candidate 11]], "")</f>
        <v/>
      </c>
      <c r="AP780" s="18" t="str">
        <f>IF(NOT(ISBLANK(Audit[[#This Row],[Audit Candidate 12]])), Audit[[#This Row],[Audit Candidate 12]]-Audit[[#This Row],[Candidate 12]], "")</f>
        <v/>
      </c>
      <c r="AQ780" s="18">
        <f>SUMIF(Audit[[#This Row],[Difference Winner]:[Difference Candidate 12]], "&gt;0")</f>
        <v>0</v>
      </c>
      <c r="AR780" s="18">
        <f>SUM(Audit[[#This Row],[Difference Winner]:[Difference Candidate 12]])</f>
        <v>0</v>
      </c>
      <c r="AS780" s="18">
        <f>IF(Audit[[#This Row],[Times p Drawn - With Replacement]]&gt;0, IF(Audit[[#This Row],[Canceled Differences]]&lt;0, Audit[[#This Row],[Max Differences]]+ABS(Audit[[#This Row],[Canceled Differences]]), Audit[[#This Row],[Max Differences]]), 0)</f>
        <v>0</v>
      </c>
      <c r="AT780" s="18">
        <f>'Sampling Data'!AB780</f>
        <v>7.5383987184722177E-4</v>
      </c>
      <c r="AU780" s="18">
        <f>IF(
      SUM(Audit[[#This Row],[Audit Losing Candidate]:[Audit Candidate 12]])
      &lt;&gt;0,
      (Audit[[#This Row],[Winning Candidate]]-Audit[[#This Row],[Losing Candidate]]-(Audit[[#This Row],[Audit Winning Candidate]]-Audit[[#This Row],[Audit Losing Candidate]]))/(Audit[[#Totals],[Winning Candidate]]-Audit[[#Totals],[Losing Candidate]]),
      0
)</f>
        <v>0</v>
      </c>
      <c r="AV7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8">
        <f>IF(Audit[[#This Row],[Max Relative Error (ep)]] = 0, 0, Audit[[#This Row],[Max Relative Error (ep)]]/Audit[[#This Row],[Error Bound (up) - Max. possible relative overstatement]])</f>
        <v>0</v>
      </c>
      <c r="BH7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0" s="18">
        <f t="shared" si="12"/>
        <v>1</v>
      </c>
      <c r="BJ780" s="18">
        <f>PRODUCT($BI$5:BI780)</f>
        <v>0.32656797278968008</v>
      </c>
      <c r="BK780" s="20">
        <f>1 - Audit[[#This Row],[K-M P Value]]</f>
        <v>0.67343202721031992</v>
      </c>
      <c r="BL780" s="18" t="str">
        <f>IF(Audit[[#This Row],[K-M P Value]]&gt;1-'General Info'!$B$12,"Continue", "Stop")</f>
        <v>Continue</v>
      </c>
      <c r="BM780" s="23" t="b">
        <f>IF(Audit[[#This Row],[Status - Continue or stop audit]] = "Continue", TRUE, IF(BL779 = "Continue", TRUE, FALSE))</f>
        <v>1</v>
      </c>
      <c r="BN780" s="23"/>
    </row>
    <row r="781" spans="1:66" ht="15" hidden="1" customHeight="1" x14ac:dyDescent="0.35">
      <c r="A781" s="18" t="str">
        <f>'Sampling Data'!AI781</f>
        <v/>
      </c>
      <c r="B781" s="18" t="str">
        <f>'Sampling Data'!A781</f>
        <v>3205 FR PK E   (ED)</v>
      </c>
      <c r="C781" s="18">
        <f>'Sampling Data'!B781</f>
        <v>22</v>
      </c>
      <c r="D781" s="18">
        <f>'Sampling Data'!C781</f>
        <v>1</v>
      </c>
      <c r="E781" s="19">
        <f>'Sampling Data'!D781</f>
        <v>0</v>
      </c>
      <c r="F781" s="19">
        <f>'Sampling Data'!E781</f>
        <v>0</v>
      </c>
      <c r="G781" s="19">
        <f>'Sampling Data'!F781</f>
        <v>0</v>
      </c>
      <c r="H781" s="19">
        <f>'Sampling Data'!G781</f>
        <v>0</v>
      </c>
      <c r="I781" s="19">
        <f>'Sampling Data'!H781</f>
        <v>0</v>
      </c>
      <c r="J781" s="19">
        <f>'Sampling Data'!I781</f>
        <v>0</v>
      </c>
      <c r="K781" s="19">
        <f>'Sampling Data'!J781</f>
        <v>0</v>
      </c>
      <c r="L781" s="19">
        <f>'Sampling Data'!K781</f>
        <v>0</v>
      </c>
      <c r="M781" s="19">
        <f>'Sampling Data'!L781</f>
        <v>0</v>
      </c>
      <c r="N781" s="19">
        <f>'Sampling Data'!M781</f>
        <v>0</v>
      </c>
      <c r="O781" s="18">
        <f>'Sampling Data'!N781</f>
        <v>0</v>
      </c>
      <c r="P781" s="18">
        <f>'Sampling Data'!O781</f>
        <v>1</v>
      </c>
      <c r="Q781" s="18">
        <f>'Sampling Data'!P781</f>
        <v>24</v>
      </c>
      <c r="R781" s="18">
        <f>'Sampling Data'!AJ781</f>
        <v>0</v>
      </c>
      <c r="S781" s="112"/>
      <c r="T781" s="112"/>
      <c r="U781" s="113"/>
      <c r="V781" s="113"/>
      <c r="W781" s="112"/>
      <c r="X781" s="112"/>
      <c r="Y781" s="112"/>
      <c r="Z781" s="112"/>
      <c r="AA781" s="15"/>
      <c r="AB781" s="15"/>
      <c r="AC781" s="15"/>
      <c r="AD781" s="15"/>
      <c r="AE781" s="114" t="str">
        <f>IF(NOT(ISBLANK(Audit[[#This Row],[Audit Winning Candidate]])), Audit[[#This Row],[Audit Winning Candidate]]-Audit[[#This Row],[Winning Candidate]], "")</f>
        <v/>
      </c>
      <c r="AF781" s="18" t="str">
        <f>IF(NOT(ISBLANK(Audit[[#This Row],[Audit Losing Candidate]])), Audit[[#This Row],[Audit Losing Candidate]]-Audit[[#This Row],[Losing Candidate]], "")</f>
        <v/>
      </c>
      <c r="AG781" s="18" t="str">
        <f>IF(NOT(ISBLANK(Audit[[#This Row],[Audit Candidate 3]])), Audit[[#This Row],[Audit Candidate 3]]-Audit[[#This Row],[Candidate 3]], "")</f>
        <v/>
      </c>
      <c r="AH781" s="18" t="str">
        <f>IF(NOT(ISBLANK(Audit[[#This Row],[Audit Candidate 4]])),Audit[[#This Row],[Audit Candidate 4]]-Audit[[#This Row],[Candidate 4]], "")</f>
        <v/>
      </c>
      <c r="AI781" s="18" t="str">
        <f>IF(NOT(ISBLANK(Audit[[#This Row],[Audit Candidate 5]])), Audit[[#This Row],[Audit Candidate 5]]-Audit[[#This Row],[Candidate 5]], "")</f>
        <v/>
      </c>
      <c r="AJ781" s="18" t="str">
        <f>IF(NOT(ISBLANK(Audit[[#This Row],[Audit Candidate 6]])), Audit[[#This Row],[Audit Candidate 6]]-Audit[[#This Row],[Candidate 6]], "")</f>
        <v/>
      </c>
      <c r="AK781" s="18" t="str">
        <f>IF(NOT(ISBLANK(Audit[[#This Row],[Audit Candidate 7]])), Audit[[#This Row],[Audit Candidate 7]]-Audit[[#This Row],[Candidate 7]], "")</f>
        <v/>
      </c>
      <c r="AL781" s="18" t="str">
        <f>IF(NOT(ISBLANK(Audit[[#This Row],[Audit Candidate 8]])), Audit[[#This Row],[Audit Candidate 8]]-Audit[[#This Row],[Candidate 8]], "")</f>
        <v/>
      </c>
      <c r="AM781" s="18" t="str">
        <f>IF(NOT(ISBLANK(Audit[[#This Row],[Audit Candidate 9]])), Audit[[#This Row],[Audit Candidate 9]]-Audit[[#This Row],[Candidate 9]], "")</f>
        <v/>
      </c>
      <c r="AN781" s="18" t="str">
        <f>IF(NOT(ISBLANK(Audit[[#This Row],[Audit Candidate 10]])), Audit[[#This Row],[Audit Candidate 10]]-Audit[[#This Row],[Candidate 10]], "")</f>
        <v/>
      </c>
      <c r="AO781" s="18" t="str">
        <f>IF(NOT(ISBLANK(Audit[[#This Row],[Audit Candidate 11]])), Audit[[#This Row],[Audit Candidate 11]]-Audit[[#This Row],[Candidate 11]], "")</f>
        <v/>
      </c>
      <c r="AP781" s="18" t="str">
        <f>IF(NOT(ISBLANK(Audit[[#This Row],[Audit Candidate 12]])), Audit[[#This Row],[Audit Candidate 12]]-Audit[[#This Row],[Candidate 12]], "")</f>
        <v/>
      </c>
      <c r="AQ781" s="18">
        <f>SUMIF(Audit[[#This Row],[Difference Winner]:[Difference Candidate 12]], "&gt;0")</f>
        <v>0</v>
      </c>
      <c r="AR781" s="18">
        <f>SUM(Audit[[#This Row],[Difference Winner]:[Difference Candidate 12]])</f>
        <v>0</v>
      </c>
      <c r="AS781" s="18">
        <f>IF(Audit[[#This Row],[Times p Drawn - With Replacement]]&gt;0, IF(Audit[[#This Row],[Canceled Differences]]&lt;0, Audit[[#This Row],[Max Differences]]+ABS(Audit[[#This Row],[Canceled Differences]]), Audit[[#This Row],[Max Differences]]), 0)</f>
        <v>0</v>
      </c>
      <c r="AT781" s="18">
        <f>'Sampling Data'!AB781</f>
        <v>1.4134497597135408E-3</v>
      </c>
      <c r="AU781" s="18">
        <f>IF(
      SUM(Audit[[#This Row],[Audit Losing Candidate]:[Audit Candidate 12]])
      &lt;&gt;0,
      (Audit[[#This Row],[Winning Candidate]]-Audit[[#This Row],[Losing Candidate]]-(Audit[[#This Row],[Audit Winning Candidate]]-Audit[[#This Row],[Audit Losing Candidate]]))/(Audit[[#Totals],[Winning Candidate]]-Audit[[#Totals],[Losing Candidate]]),
      0
)</f>
        <v>0</v>
      </c>
      <c r="AV7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8">
        <f>IF(Audit[[#This Row],[Max Relative Error (ep)]] = 0, 0, Audit[[#This Row],[Max Relative Error (ep)]]/Audit[[#This Row],[Error Bound (up) - Max. possible relative overstatement]])</f>
        <v>0</v>
      </c>
      <c r="BH7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1" s="18">
        <f t="shared" si="12"/>
        <v>1</v>
      </c>
      <c r="BJ781" s="18">
        <f>PRODUCT($BI$5:BI781)</f>
        <v>0.32656797278968008</v>
      </c>
      <c r="BK781" s="20">
        <f>1 - Audit[[#This Row],[K-M P Value]]</f>
        <v>0.67343202721031992</v>
      </c>
      <c r="BL781" s="18" t="str">
        <f>IF(Audit[[#This Row],[K-M P Value]]&gt;1-'General Info'!$B$12,"Continue", "Stop")</f>
        <v>Continue</v>
      </c>
      <c r="BM781" s="23" t="b">
        <f>IF(Audit[[#This Row],[Status - Continue or stop audit]] = "Continue", TRUE, IF(BL780 = "Continue", TRUE, FALSE))</f>
        <v>1</v>
      </c>
      <c r="BN781" s="23"/>
    </row>
    <row r="782" spans="1:66" ht="15" hidden="1" customHeight="1" x14ac:dyDescent="0.35">
      <c r="A782" s="18" t="str">
        <f>'Sampling Data'!AI782</f>
        <v/>
      </c>
      <c r="B782" s="18" t="str">
        <f>'Sampling Data'!A782</f>
        <v>3206 FR PK F   (ED)</v>
      </c>
      <c r="C782" s="18">
        <f>'Sampling Data'!B782</f>
        <v>15</v>
      </c>
      <c r="D782" s="18">
        <f>'Sampling Data'!C782</f>
        <v>0</v>
      </c>
      <c r="E782" s="19">
        <f>'Sampling Data'!D782</f>
        <v>0</v>
      </c>
      <c r="F782" s="19">
        <f>'Sampling Data'!E782</f>
        <v>0</v>
      </c>
      <c r="G782" s="19">
        <f>'Sampling Data'!F782</f>
        <v>0</v>
      </c>
      <c r="H782" s="19">
        <f>'Sampling Data'!G782</f>
        <v>0</v>
      </c>
      <c r="I782" s="19">
        <f>'Sampling Data'!H782</f>
        <v>0</v>
      </c>
      <c r="J782" s="19">
        <f>'Sampling Data'!I782</f>
        <v>0</v>
      </c>
      <c r="K782" s="19">
        <f>'Sampling Data'!J782</f>
        <v>0</v>
      </c>
      <c r="L782" s="19">
        <f>'Sampling Data'!K782</f>
        <v>0</v>
      </c>
      <c r="M782" s="19">
        <f>'Sampling Data'!L782</f>
        <v>0</v>
      </c>
      <c r="N782" s="19">
        <f>'Sampling Data'!M782</f>
        <v>0</v>
      </c>
      <c r="O782" s="18">
        <f>'Sampling Data'!N782</f>
        <v>0</v>
      </c>
      <c r="P782" s="18">
        <f>'Sampling Data'!O782</f>
        <v>0</v>
      </c>
      <c r="Q782" s="18">
        <f>'Sampling Data'!P782</f>
        <v>15</v>
      </c>
      <c r="R782" s="18">
        <f>'Sampling Data'!AJ782</f>
        <v>0</v>
      </c>
      <c r="S782" s="112"/>
      <c r="T782" s="112"/>
      <c r="U782" s="113"/>
      <c r="V782" s="113"/>
      <c r="W782" s="112"/>
      <c r="X782" s="112"/>
      <c r="Y782" s="112"/>
      <c r="Z782" s="112"/>
      <c r="AA782" s="15"/>
      <c r="AB782" s="15"/>
      <c r="AC782" s="15"/>
      <c r="AD782" s="15"/>
      <c r="AE782" s="114" t="str">
        <f>IF(NOT(ISBLANK(Audit[[#This Row],[Audit Winning Candidate]])), Audit[[#This Row],[Audit Winning Candidate]]-Audit[[#This Row],[Winning Candidate]], "")</f>
        <v/>
      </c>
      <c r="AF782" s="18" t="str">
        <f>IF(NOT(ISBLANK(Audit[[#This Row],[Audit Losing Candidate]])), Audit[[#This Row],[Audit Losing Candidate]]-Audit[[#This Row],[Losing Candidate]], "")</f>
        <v/>
      </c>
      <c r="AG782" s="18" t="str">
        <f>IF(NOT(ISBLANK(Audit[[#This Row],[Audit Candidate 3]])), Audit[[#This Row],[Audit Candidate 3]]-Audit[[#This Row],[Candidate 3]], "")</f>
        <v/>
      </c>
      <c r="AH782" s="18" t="str">
        <f>IF(NOT(ISBLANK(Audit[[#This Row],[Audit Candidate 4]])),Audit[[#This Row],[Audit Candidate 4]]-Audit[[#This Row],[Candidate 4]], "")</f>
        <v/>
      </c>
      <c r="AI782" s="18" t="str">
        <f>IF(NOT(ISBLANK(Audit[[#This Row],[Audit Candidate 5]])), Audit[[#This Row],[Audit Candidate 5]]-Audit[[#This Row],[Candidate 5]], "")</f>
        <v/>
      </c>
      <c r="AJ782" s="18" t="str">
        <f>IF(NOT(ISBLANK(Audit[[#This Row],[Audit Candidate 6]])), Audit[[#This Row],[Audit Candidate 6]]-Audit[[#This Row],[Candidate 6]], "")</f>
        <v/>
      </c>
      <c r="AK782" s="18" t="str">
        <f>IF(NOT(ISBLANK(Audit[[#This Row],[Audit Candidate 7]])), Audit[[#This Row],[Audit Candidate 7]]-Audit[[#This Row],[Candidate 7]], "")</f>
        <v/>
      </c>
      <c r="AL782" s="18" t="str">
        <f>IF(NOT(ISBLANK(Audit[[#This Row],[Audit Candidate 8]])), Audit[[#This Row],[Audit Candidate 8]]-Audit[[#This Row],[Candidate 8]], "")</f>
        <v/>
      </c>
      <c r="AM782" s="18" t="str">
        <f>IF(NOT(ISBLANK(Audit[[#This Row],[Audit Candidate 9]])), Audit[[#This Row],[Audit Candidate 9]]-Audit[[#This Row],[Candidate 9]], "")</f>
        <v/>
      </c>
      <c r="AN782" s="18" t="str">
        <f>IF(NOT(ISBLANK(Audit[[#This Row],[Audit Candidate 10]])), Audit[[#This Row],[Audit Candidate 10]]-Audit[[#This Row],[Candidate 10]], "")</f>
        <v/>
      </c>
      <c r="AO782" s="18" t="str">
        <f>IF(NOT(ISBLANK(Audit[[#This Row],[Audit Candidate 11]])), Audit[[#This Row],[Audit Candidate 11]]-Audit[[#This Row],[Candidate 11]], "")</f>
        <v/>
      </c>
      <c r="AP782" s="18" t="str">
        <f>IF(NOT(ISBLANK(Audit[[#This Row],[Audit Candidate 12]])), Audit[[#This Row],[Audit Candidate 12]]-Audit[[#This Row],[Candidate 12]], "")</f>
        <v/>
      </c>
      <c r="AQ782" s="18">
        <f>SUMIF(Audit[[#This Row],[Difference Winner]:[Difference Candidate 12]], "&gt;0")</f>
        <v>0</v>
      </c>
      <c r="AR782" s="18">
        <f>SUM(Audit[[#This Row],[Difference Winner]:[Difference Candidate 12]])</f>
        <v>0</v>
      </c>
      <c r="AS782" s="18">
        <f>IF(Audit[[#This Row],[Times p Drawn - With Replacement]]&gt;0, IF(Audit[[#This Row],[Canceled Differences]]&lt;0, Audit[[#This Row],[Max Differences]]+ABS(Audit[[#This Row],[Canceled Differences]]), Audit[[#This Row],[Max Differences]]), 0)</f>
        <v>0</v>
      </c>
      <c r="AT782" s="18">
        <f>'Sampling Data'!AB782</f>
        <v>9.4229983980902718E-4</v>
      </c>
      <c r="AU782" s="18">
        <f>IF(
      SUM(Audit[[#This Row],[Audit Losing Candidate]:[Audit Candidate 12]])
      &lt;&gt;0,
      (Audit[[#This Row],[Winning Candidate]]-Audit[[#This Row],[Losing Candidate]]-(Audit[[#This Row],[Audit Winning Candidate]]-Audit[[#This Row],[Audit Losing Candidate]]))/(Audit[[#Totals],[Winning Candidate]]-Audit[[#Totals],[Losing Candidate]]),
      0
)</f>
        <v>0</v>
      </c>
      <c r="AV7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8">
        <f>IF(Audit[[#This Row],[Max Relative Error (ep)]] = 0, 0, Audit[[#This Row],[Max Relative Error (ep)]]/Audit[[#This Row],[Error Bound (up) - Max. possible relative overstatement]])</f>
        <v>0</v>
      </c>
      <c r="BH7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2" s="18">
        <f t="shared" si="12"/>
        <v>1</v>
      </c>
      <c r="BJ782" s="18">
        <f>PRODUCT($BI$5:BI782)</f>
        <v>0.32656797278968008</v>
      </c>
      <c r="BK782" s="20">
        <f>1 - Audit[[#This Row],[K-M P Value]]</f>
        <v>0.67343202721031992</v>
      </c>
      <c r="BL782" s="18" t="str">
        <f>IF(Audit[[#This Row],[K-M P Value]]&gt;1-'General Info'!$B$12,"Continue", "Stop")</f>
        <v>Continue</v>
      </c>
      <c r="BM782" s="23" t="b">
        <f>IF(Audit[[#This Row],[Status - Continue or stop audit]] = "Continue", TRUE, IF(BL781 = "Continue", TRUE, FALSE))</f>
        <v>1</v>
      </c>
      <c r="BN782" s="23"/>
    </row>
    <row r="783" spans="1:66" ht="15" hidden="1" customHeight="1" x14ac:dyDescent="0.35">
      <c r="A783" s="18" t="str">
        <f>'Sampling Data'!AI783</f>
        <v/>
      </c>
      <c r="B783" s="18" t="str">
        <f>'Sampling Data'!A783</f>
        <v>3207 FR PK G   (ED)</v>
      </c>
      <c r="C783" s="18">
        <f>'Sampling Data'!B783</f>
        <v>7</v>
      </c>
      <c r="D783" s="18">
        <f>'Sampling Data'!C783</f>
        <v>4</v>
      </c>
      <c r="E783" s="19">
        <f>'Sampling Data'!D783</f>
        <v>0</v>
      </c>
      <c r="F783" s="19">
        <f>'Sampling Data'!E783</f>
        <v>0</v>
      </c>
      <c r="G783" s="19">
        <f>'Sampling Data'!F783</f>
        <v>0</v>
      </c>
      <c r="H783" s="19">
        <f>'Sampling Data'!G783</f>
        <v>0</v>
      </c>
      <c r="I783" s="19">
        <f>'Sampling Data'!H783</f>
        <v>0</v>
      </c>
      <c r="J783" s="19">
        <f>'Sampling Data'!I783</f>
        <v>0</v>
      </c>
      <c r="K783" s="19">
        <f>'Sampling Data'!J783</f>
        <v>0</v>
      </c>
      <c r="L783" s="19">
        <f>'Sampling Data'!K783</f>
        <v>0</v>
      </c>
      <c r="M783" s="19">
        <f>'Sampling Data'!L783</f>
        <v>0</v>
      </c>
      <c r="N783" s="19">
        <f>'Sampling Data'!M783</f>
        <v>0</v>
      </c>
      <c r="O783" s="18">
        <f>'Sampling Data'!N783</f>
        <v>0</v>
      </c>
      <c r="P783" s="18">
        <f>'Sampling Data'!O783</f>
        <v>0</v>
      </c>
      <c r="Q783" s="18">
        <f>'Sampling Data'!P783</f>
        <v>11</v>
      </c>
      <c r="R783" s="18">
        <f>'Sampling Data'!AJ783</f>
        <v>0</v>
      </c>
      <c r="S783" s="112"/>
      <c r="T783" s="112"/>
      <c r="U783" s="113"/>
      <c r="V783" s="113"/>
      <c r="W783" s="112"/>
      <c r="X783" s="112"/>
      <c r="Y783" s="112"/>
      <c r="Z783" s="112"/>
      <c r="AA783" s="15"/>
      <c r="AB783" s="15"/>
      <c r="AC783" s="15"/>
      <c r="AD783" s="15"/>
      <c r="AE783" s="114" t="str">
        <f>IF(NOT(ISBLANK(Audit[[#This Row],[Audit Winning Candidate]])), Audit[[#This Row],[Audit Winning Candidate]]-Audit[[#This Row],[Winning Candidate]], "")</f>
        <v/>
      </c>
      <c r="AF783" s="18" t="str">
        <f>IF(NOT(ISBLANK(Audit[[#This Row],[Audit Losing Candidate]])), Audit[[#This Row],[Audit Losing Candidate]]-Audit[[#This Row],[Losing Candidate]], "")</f>
        <v/>
      </c>
      <c r="AG783" s="18" t="str">
        <f>IF(NOT(ISBLANK(Audit[[#This Row],[Audit Candidate 3]])), Audit[[#This Row],[Audit Candidate 3]]-Audit[[#This Row],[Candidate 3]], "")</f>
        <v/>
      </c>
      <c r="AH783" s="18" t="str">
        <f>IF(NOT(ISBLANK(Audit[[#This Row],[Audit Candidate 4]])),Audit[[#This Row],[Audit Candidate 4]]-Audit[[#This Row],[Candidate 4]], "")</f>
        <v/>
      </c>
      <c r="AI783" s="18" t="str">
        <f>IF(NOT(ISBLANK(Audit[[#This Row],[Audit Candidate 5]])), Audit[[#This Row],[Audit Candidate 5]]-Audit[[#This Row],[Candidate 5]], "")</f>
        <v/>
      </c>
      <c r="AJ783" s="18" t="str">
        <f>IF(NOT(ISBLANK(Audit[[#This Row],[Audit Candidate 6]])), Audit[[#This Row],[Audit Candidate 6]]-Audit[[#This Row],[Candidate 6]], "")</f>
        <v/>
      </c>
      <c r="AK783" s="18" t="str">
        <f>IF(NOT(ISBLANK(Audit[[#This Row],[Audit Candidate 7]])), Audit[[#This Row],[Audit Candidate 7]]-Audit[[#This Row],[Candidate 7]], "")</f>
        <v/>
      </c>
      <c r="AL783" s="18" t="str">
        <f>IF(NOT(ISBLANK(Audit[[#This Row],[Audit Candidate 8]])), Audit[[#This Row],[Audit Candidate 8]]-Audit[[#This Row],[Candidate 8]], "")</f>
        <v/>
      </c>
      <c r="AM783" s="18" t="str">
        <f>IF(NOT(ISBLANK(Audit[[#This Row],[Audit Candidate 9]])), Audit[[#This Row],[Audit Candidate 9]]-Audit[[#This Row],[Candidate 9]], "")</f>
        <v/>
      </c>
      <c r="AN783" s="18" t="str">
        <f>IF(NOT(ISBLANK(Audit[[#This Row],[Audit Candidate 10]])), Audit[[#This Row],[Audit Candidate 10]]-Audit[[#This Row],[Candidate 10]], "")</f>
        <v/>
      </c>
      <c r="AO783" s="18" t="str">
        <f>IF(NOT(ISBLANK(Audit[[#This Row],[Audit Candidate 11]])), Audit[[#This Row],[Audit Candidate 11]]-Audit[[#This Row],[Candidate 11]], "")</f>
        <v/>
      </c>
      <c r="AP783" s="18" t="str">
        <f>IF(NOT(ISBLANK(Audit[[#This Row],[Audit Candidate 12]])), Audit[[#This Row],[Audit Candidate 12]]-Audit[[#This Row],[Candidate 12]], "")</f>
        <v/>
      </c>
      <c r="AQ783" s="18">
        <f>SUMIF(Audit[[#This Row],[Difference Winner]:[Difference Candidate 12]], "&gt;0")</f>
        <v>0</v>
      </c>
      <c r="AR783" s="18">
        <f>SUM(Audit[[#This Row],[Difference Winner]:[Difference Candidate 12]])</f>
        <v>0</v>
      </c>
      <c r="AS783" s="18">
        <f>IF(Audit[[#This Row],[Times p Drawn - With Replacement]]&gt;0, IF(Audit[[#This Row],[Canceled Differences]]&lt;0, Audit[[#This Row],[Max Differences]]+ABS(Audit[[#This Row],[Canceled Differences]]), Audit[[#This Row],[Max Differences]]), 0)</f>
        <v>0</v>
      </c>
      <c r="AT783" s="18">
        <f>'Sampling Data'!AB783</f>
        <v>4.3973992524421271E-4</v>
      </c>
      <c r="AU783" s="18">
        <f>IF(
      SUM(Audit[[#This Row],[Audit Losing Candidate]:[Audit Candidate 12]])
      &lt;&gt;0,
      (Audit[[#This Row],[Winning Candidate]]-Audit[[#This Row],[Losing Candidate]]-(Audit[[#This Row],[Audit Winning Candidate]]-Audit[[#This Row],[Audit Losing Candidate]]))/(Audit[[#Totals],[Winning Candidate]]-Audit[[#Totals],[Losing Candidate]]),
      0
)</f>
        <v>0</v>
      </c>
      <c r="AV7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8">
        <f>IF(Audit[[#This Row],[Max Relative Error (ep)]] = 0, 0, Audit[[#This Row],[Max Relative Error (ep)]]/Audit[[#This Row],[Error Bound (up) - Max. possible relative overstatement]])</f>
        <v>0</v>
      </c>
      <c r="BH7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3" s="18">
        <f t="shared" ref="BI783:BI846" si="13">IF(ISERR(POWER(BH783,R783)), 0, POWER(BH783,R783))</f>
        <v>1</v>
      </c>
      <c r="BJ783" s="18">
        <f>PRODUCT($BI$5:BI783)</f>
        <v>0.32656797278968008</v>
      </c>
      <c r="BK783" s="20">
        <f>1 - Audit[[#This Row],[K-M P Value]]</f>
        <v>0.67343202721031992</v>
      </c>
      <c r="BL783" s="18" t="str">
        <f>IF(Audit[[#This Row],[K-M P Value]]&gt;1-'General Info'!$B$12,"Continue", "Stop")</f>
        <v>Continue</v>
      </c>
      <c r="BM783" s="23" t="b">
        <f>IF(Audit[[#This Row],[Status - Continue or stop audit]] = "Continue", TRUE, IF(BL782 = "Continue", TRUE, FALSE))</f>
        <v>1</v>
      </c>
      <c r="BN783" s="23"/>
    </row>
    <row r="784" spans="1:66" ht="15" hidden="1" customHeight="1" x14ac:dyDescent="0.35">
      <c r="A784" s="18" t="str">
        <f>'Sampling Data'!AI784</f>
        <v/>
      </c>
      <c r="B784" s="18" t="str">
        <f>'Sampling Data'!A784</f>
        <v>3208 FR PK H   (ED)</v>
      </c>
      <c r="C784" s="18">
        <f>'Sampling Data'!B784</f>
        <v>9</v>
      </c>
      <c r="D784" s="18">
        <f>'Sampling Data'!C784</f>
        <v>4</v>
      </c>
      <c r="E784" s="19">
        <f>'Sampling Data'!D784</f>
        <v>0</v>
      </c>
      <c r="F784" s="19">
        <f>'Sampling Data'!E784</f>
        <v>0</v>
      </c>
      <c r="G784" s="19">
        <f>'Sampling Data'!F784</f>
        <v>0</v>
      </c>
      <c r="H784" s="19">
        <f>'Sampling Data'!G784</f>
        <v>0</v>
      </c>
      <c r="I784" s="19">
        <f>'Sampling Data'!H784</f>
        <v>0</v>
      </c>
      <c r="J784" s="19">
        <f>'Sampling Data'!I784</f>
        <v>0</v>
      </c>
      <c r="K784" s="19">
        <f>'Sampling Data'!J784</f>
        <v>0</v>
      </c>
      <c r="L784" s="19">
        <f>'Sampling Data'!K784</f>
        <v>0</v>
      </c>
      <c r="M784" s="19">
        <f>'Sampling Data'!L784</f>
        <v>0</v>
      </c>
      <c r="N784" s="19">
        <f>'Sampling Data'!M784</f>
        <v>0</v>
      </c>
      <c r="O784" s="18">
        <f>'Sampling Data'!N784</f>
        <v>0</v>
      </c>
      <c r="P784" s="18">
        <f>'Sampling Data'!O784</f>
        <v>0</v>
      </c>
      <c r="Q784" s="18">
        <f>'Sampling Data'!P784</f>
        <v>13</v>
      </c>
      <c r="R784" s="18">
        <f>'Sampling Data'!AJ784</f>
        <v>0</v>
      </c>
      <c r="S784" s="112"/>
      <c r="T784" s="112"/>
      <c r="U784" s="113"/>
      <c r="V784" s="113"/>
      <c r="W784" s="112"/>
      <c r="X784" s="112"/>
      <c r="Y784" s="112"/>
      <c r="Z784" s="112"/>
      <c r="AA784" s="15"/>
      <c r="AB784" s="15"/>
      <c r="AC784" s="15"/>
      <c r="AD784" s="15"/>
      <c r="AE784" s="114" t="str">
        <f>IF(NOT(ISBLANK(Audit[[#This Row],[Audit Winning Candidate]])), Audit[[#This Row],[Audit Winning Candidate]]-Audit[[#This Row],[Winning Candidate]], "")</f>
        <v/>
      </c>
      <c r="AF784" s="18" t="str">
        <f>IF(NOT(ISBLANK(Audit[[#This Row],[Audit Losing Candidate]])), Audit[[#This Row],[Audit Losing Candidate]]-Audit[[#This Row],[Losing Candidate]], "")</f>
        <v/>
      </c>
      <c r="AG784" s="18" t="str">
        <f>IF(NOT(ISBLANK(Audit[[#This Row],[Audit Candidate 3]])), Audit[[#This Row],[Audit Candidate 3]]-Audit[[#This Row],[Candidate 3]], "")</f>
        <v/>
      </c>
      <c r="AH784" s="18" t="str">
        <f>IF(NOT(ISBLANK(Audit[[#This Row],[Audit Candidate 4]])),Audit[[#This Row],[Audit Candidate 4]]-Audit[[#This Row],[Candidate 4]], "")</f>
        <v/>
      </c>
      <c r="AI784" s="18" t="str">
        <f>IF(NOT(ISBLANK(Audit[[#This Row],[Audit Candidate 5]])), Audit[[#This Row],[Audit Candidate 5]]-Audit[[#This Row],[Candidate 5]], "")</f>
        <v/>
      </c>
      <c r="AJ784" s="18" t="str">
        <f>IF(NOT(ISBLANK(Audit[[#This Row],[Audit Candidate 6]])), Audit[[#This Row],[Audit Candidate 6]]-Audit[[#This Row],[Candidate 6]], "")</f>
        <v/>
      </c>
      <c r="AK784" s="18" t="str">
        <f>IF(NOT(ISBLANK(Audit[[#This Row],[Audit Candidate 7]])), Audit[[#This Row],[Audit Candidate 7]]-Audit[[#This Row],[Candidate 7]], "")</f>
        <v/>
      </c>
      <c r="AL784" s="18" t="str">
        <f>IF(NOT(ISBLANK(Audit[[#This Row],[Audit Candidate 8]])), Audit[[#This Row],[Audit Candidate 8]]-Audit[[#This Row],[Candidate 8]], "")</f>
        <v/>
      </c>
      <c r="AM784" s="18" t="str">
        <f>IF(NOT(ISBLANK(Audit[[#This Row],[Audit Candidate 9]])), Audit[[#This Row],[Audit Candidate 9]]-Audit[[#This Row],[Candidate 9]], "")</f>
        <v/>
      </c>
      <c r="AN784" s="18" t="str">
        <f>IF(NOT(ISBLANK(Audit[[#This Row],[Audit Candidate 10]])), Audit[[#This Row],[Audit Candidate 10]]-Audit[[#This Row],[Candidate 10]], "")</f>
        <v/>
      </c>
      <c r="AO784" s="18" t="str">
        <f>IF(NOT(ISBLANK(Audit[[#This Row],[Audit Candidate 11]])), Audit[[#This Row],[Audit Candidate 11]]-Audit[[#This Row],[Candidate 11]], "")</f>
        <v/>
      </c>
      <c r="AP784" s="18" t="str">
        <f>IF(NOT(ISBLANK(Audit[[#This Row],[Audit Candidate 12]])), Audit[[#This Row],[Audit Candidate 12]]-Audit[[#This Row],[Candidate 12]], "")</f>
        <v/>
      </c>
      <c r="AQ784" s="18">
        <f>SUMIF(Audit[[#This Row],[Difference Winner]:[Difference Candidate 12]], "&gt;0")</f>
        <v>0</v>
      </c>
      <c r="AR784" s="18">
        <f>SUM(Audit[[#This Row],[Difference Winner]:[Difference Candidate 12]])</f>
        <v>0</v>
      </c>
      <c r="AS784" s="18">
        <f>IF(Audit[[#This Row],[Times p Drawn - With Replacement]]&gt;0, IF(Audit[[#This Row],[Canceled Differences]]&lt;0, Audit[[#This Row],[Max Differences]]+ABS(Audit[[#This Row],[Canceled Differences]]), Audit[[#This Row],[Max Differences]]), 0)</f>
        <v>0</v>
      </c>
      <c r="AT784" s="18">
        <f>'Sampling Data'!AB784</f>
        <v>5.6537990388541635E-4</v>
      </c>
      <c r="AU784" s="18">
        <f>IF(
      SUM(Audit[[#This Row],[Audit Losing Candidate]:[Audit Candidate 12]])
      &lt;&gt;0,
      (Audit[[#This Row],[Winning Candidate]]-Audit[[#This Row],[Losing Candidate]]-(Audit[[#This Row],[Audit Winning Candidate]]-Audit[[#This Row],[Audit Losing Candidate]]))/(Audit[[#Totals],[Winning Candidate]]-Audit[[#Totals],[Losing Candidate]]),
      0
)</f>
        <v>0</v>
      </c>
      <c r="AV7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8">
        <f>IF(Audit[[#This Row],[Max Relative Error (ep)]] = 0, 0, Audit[[#This Row],[Max Relative Error (ep)]]/Audit[[#This Row],[Error Bound (up) - Max. possible relative overstatement]])</f>
        <v>0</v>
      </c>
      <c r="BH7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4" s="18">
        <f t="shared" si="13"/>
        <v>1</v>
      </c>
      <c r="BJ784" s="18">
        <f>PRODUCT($BI$5:BI784)</f>
        <v>0.32656797278968008</v>
      </c>
      <c r="BK784" s="20">
        <f>1 - Audit[[#This Row],[K-M P Value]]</f>
        <v>0.67343202721031992</v>
      </c>
      <c r="BL784" s="18" t="str">
        <f>IF(Audit[[#This Row],[K-M P Value]]&gt;1-'General Info'!$B$12,"Continue", "Stop")</f>
        <v>Continue</v>
      </c>
      <c r="BM784" s="23" t="b">
        <f>IF(Audit[[#This Row],[Status - Continue or stop audit]] = "Continue", TRUE, IF(BL783 = "Continue", TRUE, FALSE))</f>
        <v>1</v>
      </c>
      <c r="BN784" s="23"/>
    </row>
    <row r="785" spans="1:66" ht="15" hidden="1" customHeight="1" x14ac:dyDescent="0.35">
      <c r="A785" s="18" t="str">
        <f>'Sampling Data'!AI785</f>
        <v/>
      </c>
      <c r="B785" s="18" t="str">
        <f>'Sampling Data'!A785</f>
        <v>3209 FR PK I   (ED)</v>
      </c>
      <c r="C785" s="18">
        <f>'Sampling Data'!B785</f>
        <v>29</v>
      </c>
      <c r="D785" s="18">
        <f>'Sampling Data'!C785</f>
        <v>7</v>
      </c>
      <c r="E785" s="19">
        <f>'Sampling Data'!D785</f>
        <v>0</v>
      </c>
      <c r="F785" s="19">
        <f>'Sampling Data'!E785</f>
        <v>0</v>
      </c>
      <c r="G785" s="19">
        <f>'Sampling Data'!F785</f>
        <v>0</v>
      </c>
      <c r="H785" s="19">
        <f>'Sampling Data'!G785</f>
        <v>0</v>
      </c>
      <c r="I785" s="19">
        <f>'Sampling Data'!H785</f>
        <v>0</v>
      </c>
      <c r="J785" s="19">
        <f>'Sampling Data'!I785</f>
        <v>0</v>
      </c>
      <c r="K785" s="19">
        <f>'Sampling Data'!J785</f>
        <v>0</v>
      </c>
      <c r="L785" s="19">
        <f>'Sampling Data'!K785</f>
        <v>0</v>
      </c>
      <c r="M785" s="19">
        <f>'Sampling Data'!L785</f>
        <v>0</v>
      </c>
      <c r="N785" s="19">
        <f>'Sampling Data'!M785</f>
        <v>0</v>
      </c>
      <c r="O785" s="18">
        <f>'Sampling Data'!N785</f>
        <v>0</v>
      </c>
      <c r="P785" s="18">
        <f>'Sampling Data'!O785</f>
        <v>0</v>
      </c>
      <c r="Q785" s="18">
        <f>'Sampling Data'!P785</f>
        <v>36</v>
      </c>
      <c r="R785" s="18">
        <f>'Sampling Data'!AJ785</f>
        <v>0</v>
      </c>
      <c r="S785" s="112"/>
      <c r="T785" s="112"/>
      <c r="U785" s="113"/>
      <c r="V785" s="113"/>
      <c r="W785" s="112"/>
      <c r="X785" s="112"/>
      <c r="Y785" s="112"/>
      <c r="Z785" s="112"/>
      <c r="AA785" s="15"/>
      <c r="AB785" s="15"/>
      <c r="AC785" s="15"/>
      <c r="AD785" s="15"/>
      <c r="AE785" s="114" t="str">
        <f>IF(NOT(ISBLANK(Audit[[#This Row],[Audit Winning Candidate]])), Audit[[#This Row],[Audit Winning Candidate]]-Audit[[#This Row],[Winning Candidate]], "")</f>
        <v/>
      </c>
      <c r="AF785" s="18" t="str">
        <f>IF(NOT(ISBLANK(Audit[[#This Row],[Audit Losing Candidate]])), Audit[[#This Row],[Audit Losing Candidate]]-Audit[[#This Row],[Losing Candidate]], "")</f>
        <v/>
      </c>
      <c r="AG785" s="18" t="str">
        <f>IF(NOT(ISBLANK(Audit[[#This Row],[Audit Candidate 3]])), Audit[[#This Row],[Audit Candidate 3]]-Audit[[#This Row],[Candidate 3]], "")</f>
        <v/>
      </c>
      <c r="AH785" s="18" t="str">
        <f>IF(NOT(ISBLANK(Audit[[#This Row],[Audit Candidate 4]])),Audit[[#This Row],[Audit Candidate 4]]-Audit[[#This Row],[Candidate 4]], "")</f>
        <v/>
      </c>
      <c r="AI785" s="18" t="str">
        <f>IF(NOT(ISBLANK(Audit[[#This Row],[Audit Candidate 5]])), Audit[[#This Row],[Audit Candidate 5]]-Audit[[#This Row],[Candidate 5]], "")</f>
        <v/>
      </c>
      <c r="AJ785" s="18" t="str">
        <f>IF(NOT(ISBLANK(Audit[[#This Row],[Audit Candidate 6]])), Audit[[#This Row],[Audit Candidate 6]]-Audit[[#This Row],[Candidate 6]], "")</f>
        <v/>
      </c>
      <c r="AK785" s="18" t="str">
        <f>IF(NOT(ISBLANK(Audit[[#This Row],[Audit Candidate 7]])), Audit[[#This Row],[Audit Candidate 7]]-Audit[[#This Row],[Candidate 7]], "")</f>
        <v/>
      </c>
      <c r="AL785" s="18" t="str">
        <f>IF(NOT(ISBLANK(Audit[[#This Row],[Audit Candidate 8]])), Audit[[#This Row],[Audit Candidate 8]]-Audit[[#This Row],[Candidate 8]], "")</f>
        <v/>
      </c>
      <c r="AM785" s="18" t="str">
        <f>IF(NOT(ISBLANK(Audit[[#This Row],[Audit Candidate 9]])), Audit[[#This Row],[Audit Candidate 9]]-Audit[[#This Row],[Candidate 9]], "")</f>
        <v/>
      </c>
      <c r="AN785" s="18" t="str">
        <f>IF(NOT(ISBLANK(Audit[[#This Row],[Audit Candidate 10]])), Audit[[#This Row],[Audit Candidate 10]]-Audit[[#This Row],[Candidate 10]], "")</f>
        <v/>
      </c>
      <c r="AO785" s="18" t="str">
        <f>IF(NOT(ISBLANK(Audit[[#This Row],[Audit Candidate 11]])), Audit[[#This Row],[Audit Candidate 11]]-Audit[[#This Row],[Candidate 11]], "")</f>
        <v/>
      </c>
      <c r="AP785" s="18" t="str">
        <f>IF(NOT(ISBLANK(Audit[[#This Row],[Audit Candidate 12]])), Audit[[#This Row],[Audit Candidate 12]]-Audit[[#This Row],[Candidate 12]], "")</f>
        <v/>
      </c>
      <c r="AQ785" s="18">
        <f>SUMIF(Audit[[#This Row],[Difference Winner]:[Difference Candidate 12]], "&gt;0")</f>
        <v>0</v>
      </c>
      <c r="AR785" s="18">
        <f>SUM(Audit[[#This Row],[Difference Winner]:[Difference Candidate 12]])</f>
        <v>0</v>
      </c>
      <c r="AS785" s="18">
        <f>IF(Audit[[#This Row],[Times p Drawn - With Replacement]]&gt;0, IF(Audit[[#This Row],[Canceled Differences]]&lt;0, Audit[[#This Row],[Max Differences]]+ABS(Audit[[#This Row],[Canceled Differences]]), Audit[[#This Row],[Max Differences]]), 0)</f>
        <v>0</v>
      </c>
      <c r="AT785" s="18">
        <f>'Sampling Data'!AB785</f>
        <v>1.8217796902974526E-3</v>
      </c>
      <c r="AU785" s="18">
        <f>IF(
      SUM(Audit[[#This Row],[Audit Losing Candidate]:[Audit Candidate 12]])
      &lt;&gt;0,
      (Audit[[#This Row],[Winning Candidate]]-Audit[[#This Row],[Losing Candidate]]-(Audit[[#This Row],[Audit Winning Candidate]]-Audit[[#This Row],[Audit Losing Candidate]]))/(Audit[[#Totals],[Winning Candidate]]-Audit[[#Totals],[Losing Candidate]]),
      0
)</f>
        <v>0</v>
      </c>
      <c r="AV7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8">
        <f>IF(Audit[[#This Row],[Max Relative Error (ep)]] = 0, 0, Audit[[#This Row],[Max Relative Error (ep)]]/Audit[[#This Row],[Error Bound (up) - Max. possible relative overstatement]])</f>
        <v>0</v>
      </c>
      <c r="BH7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5" s="18">
        <f t="shared" si="13"/>
        <v>1</v>
      </c>
      <c r="BJ785" s="18">
        <f>PRODUCT($BI$5:BI785)</f>
        <v>0.32656797278968008</v>
      </c>
      <c r="BK785" s="20">
        <f>1 - Audit[[#This Row],[K-M P Value]]</f>
        <v>0.67343202721031992</v>
      </c>
      <c r="BL785" s="18" t="str">
        <f>IF(Audit[[#This Row],[K-M P Value]]&gt;1-'General Info'!$B$12,"Continue", "Stop")</f>
        <v>Continue</v>
      </c>
      <c r="BM785" s="23" t="b">
        <f>IF(Audit[[#This Row],[Status - Continue or stop audit]] = "Continue", TRUE, IF(BL784 = "Continue", TRUE, FALSE))</f>
        <v>1</v>
      </c>
      <c r="BN785" s="23"/>
    </row>
    <row r="786" spans="1:66" ht="15" hidden="1" customHeight="1" x14ac:dyDescent="0.35">
      <c r="A786" s="18" t="str">
        <f>'Sampling Data'!AI786</f>
        <v/>
      </c>
      <c r="B786" s="18" t="str">
        <f>'Sampling Data'!A786</f>
        <v>3210 FR PK J   (ED)</v>
      </c>
      <c r="C786" s="18">
        <f>'Sampling Data'!B786</f>
        <v>8</v>
      </c>
      <c r="D786" s="18">
        <f>'Sampling Data'!C786</f>
        <v>2</v>
      </c>
      <c r="E786" s="19">
        <f>'Sampling Data'!D786</f>
        <v>0</v>
      </c>
      <c r="F786" s="19">
        <f>'Sampling Data'!E786</f>
        <v>0</v>
      </c>
      <c r="G786" s="19">
        <f>'Sampling Data'!F786</f>
        <v>0</v>
      </c>
      <c r="H786" s="19">
        <f>'Sampling Data'!G786</f>
        <v>0</v>
      </c>
      <c r="I786" s="19">
        <f>'Sampling Data'!H786</f>
        <v>0</v>
      </c>
      <c r="J786" s="19">
        <f>'Sampling Data'!I786</f>
        <v>0</v>
      </c>
      <c r="K786" s="19">
        <f>'Sampling Data'!J786</f>
        <v>0</v>
      </c>
      <c r="L786" s="19">
        <f>'Sampling Data'!K786</f>
        <v>0</v>
      </c>
      <c r="M786" s="19">
        <f>'Sampling Data'!L786</f>
        <v>0</v>
      </c>
      <c r="N786" s="19">
        <f>'Sampling Data'!M786</f>
        <v>0</v>
      </c>
      <c r="O786" s="18">
        <f>'Sampling Data'!N786</f>
        <v>0</v>
      </c>
      <c r="P786" s="18">
        <f>'Sampling Data'!O786</f>
        <v>0</v>
      </c>
      <c r="Q786" s="18">
        <f>'Sampling Data'!P786</f>
        <v>10</v>
      </c>
      <c r="R786" s="18">
        <f>'Sampling Data'!AJ786</f>
        <v>0</v>
      </c>
      <c r="S786" s="112"/>
      <c r="T786" s="112"/>
      <c r="U786" s="113"/>
      <c r="V786" s="113"/>
      <c r="W786" s="112"/>
      <c r="X786" s="112"/>
      <c r="Y786" s="112"/>
      <c r="Z786" s="112"/>
      <c r="AA786" s="15"/>
      <c r="AB786" s="15"/>
      <c r="AC786" s="15"/>
      <c r="AD786" s="15"/>
      <c r="AE786" s="114" t="str">
        <f>IF(NOT(ISBLANK(Audit[[#This Row],[Audit Winning Candidate]])), Audit[[#This Row],[Audit Winning Candidate]]-Audit[[#This Row],[Winning Candidate]], "")</f>
        <v/>
      </c>
      <c r="AF786" s="18" t="str">
        <f>IF(NOT(ISBLANK(Audit[[#This Row],[Audit Losing Candidate]])), Audit[[#This Row],[Audit Losing Candidate]]-Audit[[#This Row],[Losing Candidate]], "")</f>
        <v/>
      </c>
      <c r="AG786" s="18" t="str">
        <f>IF(NOT(ISBLANK(Audit[[#This Row],[Audit Candidate 3]])), Audit[[#This Row],[Audit Candidate 3]]-Audit[[#This Row],[Candidate 3]], "")</f>
        <v/>
      </c>
      <c r="AH786" s="18" t="str">
        <f>IF(NOT(ISBLANK(Audit[[#This Row],[Audit Candidate 4]])),Audit[[#This Row],[Audit Candidate 4]]-Audit[[#This Row],[Candidate 4]], "")</f>
        <v/>
      </c>
      <c r="AI786" s="18" t="str">
        <f>IF(NOT(ISBLANK(Audit[[#This Row],[Audit Candidate 5]])), Audit[[#This Row],[Audit Candidate 5]]-Audit[[#This Row],[Candidate 5]], "")</f>
        <v/>
      </c>
      <c r="AJ786" s="18" t="str">
        <f>IF(NOT(ISBLANK(Audit[[#This Row],[Audit Candidate 6]])), Audit[[#This Row],[Audit Candidate 6]]-Audit[[#This Row],[Candidate 6]], "")</f>
        <v/>
      </c>
      <c r="AK786" s="18" t="str">
        <f>IF(NOT(ISBLANK(Audit[[#This Row],[Audit Candidate 7]])), Audit[[#This Row],[Audit Candidate 7]]-Audit[[#This Row],[Candidate 7]], "")</f>
        <v/>
      </c>
      <c r="AL786" s="18" t="str">
        <f>IF(NOT(ISBLANK(Audit[[#This Row],[Audit Candidate 8]])), Audit[[#This Row],[Audit Candidate 8]]-Audit[[#This Row],[Candidate 8]], "")</f>
        <v/>
      </c>
      <c r="AM786" s="18" t="str">
        <f>IF(NOT(ISBLANK(Audit[[#This Row],[Audit Candidate 9]])), Audit[[#This Row],[Audit Candidate 9]]-Audit[[#This Row],[Candidate 9]], "")</f>
        <v/>
      </c>
      <c r="AN786" s="18" t="str">
        <f>IF(NOT(ISBLANK(Audit[[#This Row],[Audit Candidate 10]])), Audit[[#This Row],[Audit Candidate 10]]-Audit[[#This Row],[Candidate 10]], "")</f>
        <v/>
      </c>
      <c r="AO786" s="18" t="str">
        <f>IF(NOT(ISBLANK(Audit[[#This Row],[Audit Candidate 11]])), Audit[[#This Row],[Audit Candidate 11]]-Audit[[#This Row],[Candidate 11]], "")</f>
        <v/>
      </c>
      <c r="AP786" s="18" t="str">
        <f>IF(NOT(ISBLANK(Audit[[#This Row],[Audit Candidate 12]])), Audit[[#This Row],[Audit Candidate 12]]-Audit[[#This Row],[Candidate 12]], "")</f>
        <v/>
      </c>
      <c r="AQ786" s="18">
        <f>SUMIF(Audit[[#This Row],[Difference Winner]:[Difference Candidate 12]], "&gt;0")</f>
        <v>0</v>
      </c>
      <c r="AR786" s="18">
        <f>SUM(Audit[[#This Row],[Difference Winner]:[Difference Candidate 12]])</f>
        <v>0</v>
      </c>
      <c r="AS786" s="18">
        <f>IF(Audit[[#This Row],[Times p Drawn - With Replacement]]&gt;0, IF(Audit[[#This Row],[Canceled Differences]]&lt;0, Audit[[#This Row],[Max Differences]]+ABS(Audit[[#This Row],[Canceled Differences]]), Audit[[#This Row],[Max Differences]]), 0)</f>
        <v>0</v>
      </c>
      <c r="AT786" s="18">
        <f>'Sampling Data'!AB786</f>
        <v>5.0255991456481448E-4</v>
      </c>
      <c r="AU786" s="18">
        <f>IF(
      SUM(Audit[[#This Row],[Audit Losing Candidate]:[Audit Candidate 12]])
      &lt;&gt;0,
      (Audit[[#This Row],[Winning Candidate]]-Audit[[#This Row],[Losing Candidate]]-(Audit[[#This Row],[Audit Winning Candidate]]-Audit[[#This Row],[Audit Losing Candidate]]))/(Audit[[#Totals],[Winning Candidate]]-Audit[[#Totals],[Losing Candidate]]),
      0
)</f>
        <v>0</v>
      </c>
      <c r="AV7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8">
        <f>IF(Audit[[#This Row],[Max Relative Error (ep)]] = 0, 0, Audit[[#This Row],[Max Relative Error (ep)]]/Audit[[#This Row],[Error Bound (up) - Max. possible relative overstatement]])</f>
        <v>0</v>
      </c>
      <c r="BH7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6" s="18">
        <f t="shared" si="13"/>
        <v>1</v>
      </c>
      <c r="BJ786" s="18">
        <f>PRODUCT($BI$5:BI786)</f>
        <v>0.32656797278968008</v>
      </c>
      <c r="BK786" s="20">
        <f>1 - Audit[[#This Row],[K-M P Value]]</f>
        <v>0.67343202721031992</v>
      </c>
      <c r="BL786" s="18" t="str">
        <f>IF(Audit[[#This Row],[K-M P Value]]&gt;1-'General Info'!$B$12,"Continue", "Stop")</f>
        <v>Continue</v>
      </c>
      <c r="BM786" s="23" t="b">
        <f>IF(Audit[[#This Row],[Status - Continue or stop audit]] = "Continue", TRUE, IF(BL785 = "Continue", TRUE, FALSE))</f>
        <v>1</v>
      </c>
      <c r="BN786" s="23"/>
    </row>
    <row r="787" spans="1:66" ht="15" hidden="1" customHeight="1" x14ac:dyDescent="0.35">
      <c r="A787" s="18" t="str">
        <f>'Sampling Data'!AI787</f>
        <v/>
      </c>
      <c r="B787" s="18" t="str">
        <f>'Sampling Data'!A787</f>
        <v>3211 FR PK K   (ED)</v>
      </c>
      <c r="C787" s="18">
        <f>'Sampling Data'!B787</f>
        <v>16</v>
      </c>
      <c r="D787" s="18">
        <f>'Sampling Data'!C787</f>
        <v>2</v>
      </c>
      <c r="E787" s="19">
        <f>'Sampling Data'!D787</f>
        <v>0</v>
      </c>
      <c r="F787" s="19">
        <f>'Sampling Data'!E787</f>
        <v>0</v>
      </c>
      <c r="G787" s="19">
        <f>'Sampling Data'!F787</f>
        <v>0</v>
      </c>
      <c r="H787" s="19">
        <f>'Sampling Data'!G787</f>
        <v>0</v>
      </c>
      <c r="I787" s="19">
        <f>'Sampling Data'!H787</f>
        <v>0</v>
      </c>
      <c r="J787" s="19">
        <f>'Sampling Data'!I787</f>
        <v>0</v>
      </c>
      <c r="K787" s="19">
        <f>'Sampling Data'!J787</f>
        <v>0</v>
      </c>
      <c r="L787" s="19">
        <f>'Sampling Data'!K787</f>
        <v>0</v>
      </c>
      <c r="M787" s="19">
        <f>'Sampling Data'!L787</f>
        <v>0</v>
      </c>
      <c r="N787" s="19">
        <f>'Sampling Data'!M787</f>
        <v>0</v>
      </c>
      <c r="O787" s="18">
        <f>'Sampling Data'!N787</f>
        <v>0</v>
      </c>
      <c r="P787" s="18">
        <f>'Sampling Data'!O787</f>
        <v>0</v>
      </c>
      <c r="Q787" s="18">
        <f>'Sampling Data'!P787</f>
        <v>18</v>
      </c>
      <c r="R787" s="18">
        <f>'Sampling Data'!AJ787</f>
        <v>0</v>
      </c>
      <c r="S787" s="112"/>
      <c r="T787" s="112"/>
      <c r="U787" s="113"/>
      <c r="V787" s="113"/>
      <c r="W787" s="112"/>
      <c r="X787" s="112"/>
      <c r="Y787" s="112"/>
      <c r="Z787" s="112"/>
      <c r="AA787" s="15"/>
      <c r="AB787" s="15"/>
      <c r="AC787" s="15"/>
      <c r="AD787" s="15"/>
      <c r="AE787" s="114" t="str">
        <f>IF(NOT(ISBLANK(Audit[[#This Row],[Audit Winning Candidate]])), Audit[[#This Row],[Audit Winning Candidate]]-Audit[[#This Row],[Winning Candidate]], "")</f>
        <v/>
      </c>
      <c r="AF787" s="18" t="str">
        <f>IF(NOT(ISBLANK(Audit[[#This Row],[Audit Losing Candidate]])), Audit[[#This Row],[Audit Losing Candidate]]-Audit[[#This Row],[Losing Candidate]], "")</f>
        <v/>
      </c>
      <c r="AG787" s="18" t="str">
        <f>IF(NOT(ISBLANK(Audit[[#This Row],[Audit Candidate 3]])), Audit[[#This Row],[Audit Candidate 3]]-Audit[[#This Row],[Candidate 3]], "")</f>
        <v/>
      </c>
      <c r="AH787" s="18" t="str">
        <f>IF(NOT(ISBLANK(Audit[[#This Row],[Audit Candidate 4]])),Audit[[#This Row],[Audit Candidate 4]]-Audit[[#This Row],[Candidate 4]], "")</f>
        <v/>
      </c>
      <c r="AI787" s="18" t="str">
        <f>IF(NOT(ISBLANK(Audit[[#This Row],[Audit Candidate 5]])), Audit[[#This Row],[Audit Candidate 5]]-Audit[[#This Row],[Candidate 5]], "")</f>
        <v/>
      </c>
      <c r="AJ787" s="18" t="str">
        <f>IF(NOT(ISBLANK(Audit[[#This Row],[Audit Candidate 6]])), Audit[[#This Row],[Audit Candidate 6]]-Audit[[#This Row],[Candidate 6]], "")</f>
        <v/>
      </c>
      <c r="AK787" s="18" t="str">
        <f>IF(NOT(ISBLANK(Audit[[#This Row],[Audit Candidate 7]])), Audit[[#This Row],[Audit Candidate 7]]-Audit[[#This Row],[Candidate 7]], "")</f>
        <v/>
      </c>
      <c r="AL787" s="18" t="str">
        <f>IF(NOT(ISBLANK(Audit[[#This Row],[Audit Candidate 8]])), Audit[[#This Row],[Audit Candidate 8]]-Audit[[#This Row],[Candidate 8]], "")</f>
        <v/>
      </c>
      <c r="AM787" s="18" t="str">
        <f>IF(NOT(ISBLANK(Audit[[#This Row],[Audit Candidate 9]])), Audit[[#This Row],[Audit Candidate 9]]-Audit[[#This Row],[Candidate 9]], "")</f>
        <v/>
      </c>
      <c r="AN787" s="18" t="str">
        <f>IF(NOT(ISBLANK(Audit[[#This Row],[Audit Candidate 10]])), Audit[[#This Row],[Audit Candidate 10]]-Audit[[#This Row],[Candidate 10]], "")</f>
        <v/>
      </c>
      <c r="AO787" s="18" t="str">
        <f>IF(NOT(ISBLANK(Audit[[#This Row],[Audit Candidate 11]])), Audit[[#This Row],[Audit Candidate 11]]-Audit[[#This Row],[Candidate 11]], "")</f>
        <v/>
      </c>
      <c r="AP787" s="18" t="str">
        <f>IF(NOT(ISBLANK(Audit[[#This Row],[Audit Candidate 12]])), Audit[[#This Row],[Audit Candidate 12]]-Audit[[#This Row],[Candidate 12]], "")</f>
        <v/>
      </c>
      <c r="AQ787" s="18">
        <f>SUMIF(Audit[[#This Row],[Difference Winner]:[Difference Candidate 12]], "&gt;0")</f>
        <v>0</v>
      </c>
      <c r="AR787" s="18">
        <f>SUM(Audit[[#This Row],[Difference Winner]:[Difference Candidate 12]])</f>
        <v>0</v>
      </c>
      <c r="AS787" s="18">
        <f>IF(Audit[[#This Row],[Times p Drawn - With Replacement]]&gt;0, IF(Audit[[#This Row],[Canceled Differences]]&lt;0, Audit[[#This Row],[Max Differences]]+ABS(Audit[[#This Row],[Canceled Differences]]), Audit[[#This Row],[Max Differences]]), 0)</f>
        <v>0</v>
      </c>
      <c r="AT787" s="18">
        <f>'Sampling Data'!AB787</f>
        <v>1.005119829129629E-3</v>
      </c>
      <c r="AU787" s="18">
        <f>IF(
      SUM(Audit[[#This Row],[Audit Losing Candidate]:[Audit Candidate 12]])
      &lt;&gt;0,
      (Audit[[#This Row],[Winning Candidate]]-Audit[[#This Row],[Losing Candidate]]-(Audit[[#This Row],[Audit Winning Candidate]]-Audit[[#This Row],[Audit Losing Candidate]]))/(Audit[[#Totals],[Winning Candidate]]-Audit[[#Totals],[Losing Candidate]]),
      0
)</f>
        <v>0</v>
      </c>
      <c r="AV7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8">
        <f>IF(Audit[[#This Row],[Max Relative Error (ep)]] = 0, 0, Audit[[#This Row],[Max Relative Error (ep)]]/Audit[[#This Row],[Error Bound (up) - Max. possible relative overstatement]])</f>
        <v>0</v>
      </c>
      <c r="BH7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7" s="18">
        <f t="shared" si="13"/>
        <v>1</v>
      </c>
      <c r="BJ787" s="18">
        <f>PRODUCT($BI$5:BI787)</f>
        <v>0.32656797278968008</v>
      </c>
      <c r="BK787" s="20">
        <f>1 - Audit[[#This Row],[K-M P Value]]</f>
        <v>0.67343202721031992</v>
      </c>
      <c r="BL787" s="18" t="str">
        <f>IF(Audit[[#This Row],[K-M P Value]]&gt;1-'General Info'!$B$12,"Continue", "Stop")</f>
        <v>Continue</v>
      </c>
      <c r="BM787" s="23" t="b">
        <f>IF(Audit[[#This Row],[Status - Continue or stop audit]] = "Continue", TRUE, IF(BL786 = "Continue", TRUE, FALSE))</f>
        <v>1</v>
      </c>
      <c r="BN787" s="23"/>
    </row>
    <row r="788" spans="1:66" ht="15" hidden="1" customHeight="1" x14ac:dyDescent="0.35">
      <c r="A788" s="18" t="str">
        <f>'Sampling Data'!AI788</f>
        <v/>
      </c>
      <c r="B788" s="18" t="str">
        <f>'Sampling Data'!A788</f>
        <v>3212 FR PK L   (ED)</v>
      </c>
      <c r="C788" s="18">
        <f>'Sampling Data'!B788</f>
        <v>22</v>
      </c>
      <c r="D788" s="18">
        <f>'Sampling Data'!C788</f>
        <v>4</v>
      </c>
      <c r="E788" s="19">
        <f>'Sampling Data'!D788</f>
        <v>0</v>
      </c>
      <c r="F788" s="19">
        <f>'Sampling Data'!E788</f>
        <v>0</v>
      </c>
      <c r="G788" s="19">
        <f>'Sampling Data'!F788</f>
        <v>0</v>
      </c>
      <c r="H788" s="19">
        <f>'Sampling Data'!G788</f>
        <v>0</v>
      </c>
      <c r="I788" s="19">
        <f>'Sampling Data'!H788</f>
        <v>0</v>
      </c>
      <c r="J788" s="19">
        <f>'Sampling Data'!I788</f>
        <v>0</v>
      </c>
      <c r="K788" s="19">
        <f>'Sampling Data'!J788</f>
        <v>0</v>
      </c>
      <c r="L788" s="19">
        <f>'Sampling Data'!K788</f>
        <v>0</v>
      </c>
      <c r="M788" s="19">
        <f>'Sampling Data'!L788</f>
        <v>0</v>
      </c>
      <c r="N788" s="19">
        <f>'Sampling Data'!M788</f>
        <v>0</v>
      </c>
      <c r="O788" s="18">
        <f>'Sampling Data'!N788</f>
        <v>0</v>
      </c>
      <c r="P788" s="18">
        <f>'Sampling Data'!O788</f>
        <v>0</v>
      </c>
      <c r="Q788" s="18">
        <f>'Sampling Data'!P788</f>
        <v>26</v>
      </c>
      <c r="R788" s="18">
        <f>'Sampling Data'!AJ788</f>
        <v>0</v>
      </c>
      <c r="S788" s="112"/>
      <c r="T788" s="112"/>
      <c r="U788" s="113"/>
      <c r="V788" s="113"/>
      <c r="W788" s="112"/>
      <c r="X788" s="112"/>
      <c r="Y788" s="112"/>
      <c r="Z788" s="112"/>
      <c r="AA788" s="15"/>
      <c r="AB788" s="15"/>
      <c r="AC788" s="15"/>
      <c r="AD788" s="15"/>
      <c r="AE788" s="114" t="str">
        <f>IF(NOT(ISBLANK(Audit[[#This Row],[Audit Winning Candidate]])), Audit[[#This Row],[Audit Winning Candidate]]-Audit[[#This Row],[Winning Candidate]], "")</f>
        <v/>
      </c>
      <c r="AF788" s="18" t="str">
        <f>IF(NOT(ISBLANK(Audit[[#This Row],[Audit Losing Candidate]])), Audit[[#This Row],[Audit Losing Candidate]]-Audit[[#This Row],[Losing Candidate]], "")</f>
        <v/>
      </c>
      <c r="AG788" s="18" t="str">
        <f>IF(NOT(ISBLANK(Audit[[#This Row],[Audit Candidate 3]])), Audit[[#This Row],[Audit Candidate 3]]-Audit[[#This Row],[Candidate 3]], "")</f>
        <v/>
      </c>
      <c r="AH788" s="18" t="str">
        <f>IF(NOT(ISBLANK(Audit[[#This Row],[Audit Candidate 4]])),Audit[[#This Row],[Audit Candidate 4]]-Audit[[#This Row],[Candidate 4]], "")</f>
        <v/>
      </c>
      <c r="AI788" s="18" t="str">
        <f>IF(NOT(ISBLANK(Audit[[#This Row],[Audit Candidate 5]])), Audit[[#This Row],[Audit Candidate 5]]-Audit[[#This Row],[Candidate 5]], "")</f>
        <v/>
      </c>
      <c r="AJ788" s="18" t="str">
        <f>IF(NOT(ISBLANK(Audit[[#This Row],[Audit Candidate 6]])), Audit[[#This Row],[Audit Candidate 6]]-Audit[[#This Row],[Candidate 6]], "")</f>
        <v/>
      </c>
      <c r="AK788" s="18" t="str">
        <f>IF(NOT(ISBLANK(Audit[[#This Row],[Audit Candidate 7]])), Audit[[#This Row],[Audit Candidate 7]]-Audit[[#This Row],[Candidate 7]], "")</f>
        <v/>
      </c>
      <c r="AL788" s="18" t="str">
        <f>IF(NOT(ISBLANK(Audit[[#This Row],[Audit Candidate 8]])), Audit[[#This Row],[Audit Candidate 8]]-Audit[[#This Row],[Candidate 8]], "")</f>
        <v/>
      </c>
      <c r="AM788" s="18" t="str">
        <f>IF(NOT(ISBLANK(Audit[[#This Row],[Audit Candidate 9]])), Audit[[#This Row],[Audit Candidate 9]]-Audit[[#This Row],[Candidate 9]], "")</f>
        <v/>
      </c>
      <c r="AN788" s="18" t="str">
        <f>IF(NOT(ISBLANK(Audit[[#This Row],[Audit Candidate 10]])), Audit[[#This Row],[Audit Candidate 10]]-Audit[[#This Row],[Candidate 10]], "")</f>
        <v/>
      </c>
      <c r="AO788" s="18" t="str">
        <f>IF(NOT(ISBLANK(Audit[[#This Row],[Audit Candidate 11]])), Audit[[#This Row],[Audit Candidate 11]]-Audit[[#This Row],[Candidate 11]], "")</f>
        <v/>
      </c>
      <c r="AP788" s="18" t="str">
        <f>IF(NOT(ISBLANK(Audit[[#This Row],[Audit Candidate 12]])), Audit[[#This Row],[Audit Candidate 12]]-Audit[[#This Row],[Candidate 12]], "")</f>
        <v/>
      </c>
      <c r="AQ788" s="18">
        <f>SUMIF(Audit[[#This Row],[Difference Winner]:[Difference Candidate 12]], "&gt;0")</f>
        <v>0</v>
      </c>
      <c r="AR788" s="18">
        <f>SUM(Audit[[#This Row],[Difference Winner]:[Difference Candidate 12]])</f>
        <v>0</v>
      </c>
      <c r="AS788" s="18">
        <f>IF(Audit[[#This Row],[Times p Drawn - With Replacement]]&gt;0, IF(Audit[[#This Row],[Canceled Differences]]&lt;0, Audit[[#This Row],[Max Differences]]+ABS(Audit[[#This Row],[Canceled Differences]]), Audit[[#This Row],[Max Differences]]), 0)</f>
        <v>0</v>
      </c>
      <c r="AT788" s="18">
        <f>'Sampling Data'!AB788</f>
        <v>1.38203976505324E-3</v>
      </c>
      <c r="AU788" s="18">
        <f>IF(
      SUM(Audit[[#This Row],[Audit Losing Candidate]:[Audit Candidate 12]])
      &lt;&gt;0,
      (Audit[[#This Row],[Winning Candidate]]-Audit[[#This Row],[Losing Candidate]]-(Audit[[#This Row],[Audit Winning Candidate]]-Audit[[#This Row],[Audit Losing Candidate]]))/(Audit[[#Totals],[Winning Candidate]]-Audit[[#Totals],[Losing Candidate]]),
      0
)</f>
        <v>0</v>
      </c>
      <c r="AV7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8">
        <f>IF(Audit[[#This Row],[Max Relative Error (ep)]] = 0, 0, Audit[[#This Row],[Max Relative Error (ep)]]/Audit[[#This Row],[Error Bound (up) - Max. possible relative overstatement]])</f>
        <v>0</v>
      </c>
      <c r="BH7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8" s="18">
        <f t="shared" si="13"/>
        <v>1</v>
      </c>
      <c r="BJ788" s="18">
        <f>PRODUCT($BI$5:BI788)</f>
        <v>0.32656797278968008</v>
      </c>
      <c r="BK788" s="20">
        <f>1 - Audit[[#This Row],[K-M P Value]]</f>
        <v>0.67343202721031992</v>
      </c>
      <c r="BL788" s="18" t="str">
        <f>IF(Audit[[#This Row],[K-M P Value]]&gt;1-'General Info'!$B$12,"Continue", "Stop")</f>
        <v>Continue</v>
      </c>
      <c r="BM788" s="23" t="b">
        <f>IF(Audit[[#This Row],[Status - Continue or stop audit]] = "Continue", TRUE, IF(BL787 = "Continue", TRUE, FALSE))</f>
        <v>1</v>
      </c>
      <c r="BN788" s="23"/>
    </row>
    <row r="789" spans="1:66" ht="15" hidden="1" customHeight="1" x14ac:dyDescent="0.35">
      <c r="A789" s="18" t="str">
        <f>'Sampling Data'!AI789</f>
        <v/>
      </c>
      <c r="B789" s="18" t="str">
        <f>'Sampling Data'!A789</f>
        <v>3213 FR PK M   (ED)</v>
      </c>
      <c r="C789" s="18">
        <f>'Sampling Data'!B789</f>
        <v>16</v>
      </c>
      <c r="D789" s="18">
        <f>'Sampling Data'!C789</f>
        <v>0</v>
      </c>
      <c r="E789" s="19">
        <f>'Sampling Data'!D789</f>
        <v>0</v>
      </c>
      <c r="F789" s="19">
        <f>'Sampling Data'!E789</f>
        <v>0</v>
      </c>
      <c r="G789" s="19">
        <f>'Sampling Data'!F789</f>
        <v>0</v>
      </c>
      <c r="H789" s="19">
        <f>'Sampling Data'!G789</f>
        <v>0</v>
      </c>
      <c r="I789" s="19">
        <f>'Sampling Data'!H789</f>
        <v>0</v>
      </c>
      <c r="J789" s="19">
        <f>'Sampling Data'!I789</f>
        <v>0</v>
      </c>
      <c r="K789" s="19">
        <f>'Sampling Data'!J789</f>
        <v>0</v>
      </c>
      <c r="L789" s="19">
        <f>'Sampling Data'!K789</f>
        <v>0</v>
      </c>
      <c r="M789" s="19">
        <f>'Sampling Data'!L789</f>
        <v>0</v>
      </c>
      <c r="N789" s="19">
        <f>'Sampling Data'!M789</f>
        <v>0</v>
      </c>
      <c r="O789" s="18">
        <f>'Sampling Data'!N789</f>
        <v>0</v>
      </c>
      <c r="P789" s="18">
        <f>'Sampling Data'!O789</f>
        <v>0</v>
      </c>
      <c r="Q789" s="18">
        <f>'Sampling Data'!P789</f>
        <v>16</v>
      </c>
      <c r="R789" s="18">
        <f>'Sampling Data'!AJ789</f>
        <v>0</v>
      </c>
      <c r="S789" s="112"/>
      <c r="T789" s="112"/>
      <c r="U789" s="113"/>
      <c r="V789" s="113"/>
      <c r="W789" s="112"/>
      <c r="X789" s="112"/>
      <c r="Y789" s="112"/>
      <c r="Z789" s="112"/>
      <c r="AA789" s="15"/>
      <c r="AB789" s="15"/>
      <c r="AC789" s="15"/>
      <c r="AD789" s="15"/>
      <c r="AE789" s="114" t="str">
        <f>IF(NOT(ISBLANK(Audit[[#This Row],[Audit Winning Candidate]])), Audit[[#This Row],[Audit Winning Candidate]]-Audit[[#This Row],[Winning Candidate]], "")</f>
        <v/>
      </c>
      <c r="AF789" s="18" t="str">
        <f>IF(NOT(ISBLANK(Audit[[#This Row],[Audit Losing Candidate]])), Audit[[#This Row],[Audit Losing Candidate]]-Audit[[#This Row],[Losing Candidate]], "")</f>
        <v/>
      </c>
      <c r="AG789" s="18" t="str">
        <f>IF(NOT(ISBLANK(Audit[[#This Row],[Audit Candidate 3]])), Audit[[#This Row],[Audit Candidate 3]]-Audit[[#This Row],[Candidate 3]], "")</f>
        <v/>
      </c>
      <c r="AH789" s="18" t="str">
        <f>IF(NOT(ISBLANK(Audit[[#This Row],[Audit Candidate 4]])),Audit[[#This Row],[Audit Candidate 4]]-Audit[[#This Row],[Candidate 4]], "")</f>
        <v/>
      </c>
      <c r="AI789" s="18" t="str">
        <f>IF(NOT(ISBLANK(Audit[[#This Row],[Audit Candidate 5]])), Audit[[#This Row],[Audit Candidate 5]]-Audit[[#This Row],[Candidate 5]], "")</f>
        <v/>
      </c>
      <c r="AJ789" s="18" t="str">
        <f>IF(NOT(ISBLANK(Audit[[#This Row],[Audit Candidate 6]])), Audit[[#This Row],[Audit Candidate 6]]-Audit[[#This Row],[Candidate 6]], "")</f>
        <v/>
      </c>
      <c r="AK789" s="18" t="str">
        <f>IF(NOT(ISBLANK(Audit[[#This Row],[Audit Candidate 7]])), Audit[[#This Row],[Audit Candidate 7]]-Audit[[#This Row],[Candidate 7]], "")</f>
        <v/>
      </c>
      <c r="AL789" s="18" t="str">
        <f>IF(NOT(ISBLANK(Audit[[#This Row],[Audit Candidate 8]])), Audit[[#This Row],[Audit Candidate 8]]-Audit[[#This Row],[Candidate 8]], "")</f>
        <v/>
      </c>
      <c r="AM789" s="18" t="str">
        <f>IF(NOT(ISBLANK(Audit[[#This Row],[Audit Candidate 9]])), Audit[[#This Row],[Audit Candidate 9]]-Audit[[#This Row],[Candidate 9]], "")</f>
        <v/>
      </c>
      <c r="AN789" s="18" t="str">
        <f>IF(NOT(ISBLANK(Audit[[#This Row],[Audit Candidate 10]])), Audit[[#This Row],[Audit Candidate 10]]-Audit[[#This Row],[Candidate 10]], "")</f>
        <v/>
      </c>
      <c r="AO789" s="18" t="str">
        <f>IF(NOT(ISBLANK(Audit[[#This Row],[Audit Candidate 11]])), Audit[[#This Row],[Audit Candidate 11]]-Audit[[#This Row],[Candidate 11]], "")</f>
        <v/>
      </c>
      <c r="AP789" s="18" t="str">
        <f>IF(NOT(ISBLANK(Audit[[#This Row],[Audit Candidate 12]])), Audit[[#This Row],[Audit Candidate 12]]-Audit[[#This Row],[Candidate 12]], "")</f>
        <v/>
      </c>
      <c r="AQ789" s="18">
        <f>SUMIF(Audit[[#This Row],[Difference Winner]:[Difference Candidate 12]], "&gt;0")</f>
        <v>0</v>
      </c>
      <c r="AR789" s="18">
        <f>SUM(Audit[[#This Row],[Difference Winner]:[Difference Candidate 12]])</f>
        <v>0</v>
      </c>
      <c r="AS789" s="18">
        <f>IF(Audit[[#This Row],[Times p Drawn - With Replacement]]&gt;0, IF(Audit[[#This Row],[Canceled Differences]]&lt;0, Audit[[#This Row],[Max Differences]]+ABS(Audit[[#This Row],[Canceled Differences]]), Audit[[#This Row],[Max Differences]]), 0)</f>
        <v>0</v>
      </c>
      <c r="AT789" s="18">
        <f>'Sampling Data'!AB789</f>
        <v>1.005119829129629E-3</v>
      </c>
      <c r="AU789" s="18">
        <f>IF(
      SUM(Audit[[#This Row],[Audit Losing Candidate]:[Audit Candidate 12]])
      &lt;&gt;0,
      (Audit[[#This Row],[Winning Candidate]]-Audit[[#This Row],[Losing Candidate]]-(Audit[[#This Row],[Audit Winning Candidate]]-Audit[[#This Row],[Audit Losing Candidate]]))/(Audit[[#Totals],[Winning Candidate]]-Audit[[#Totals],[Losing Candidate]]),
      0
)</f>
        <v>0</v>
      </c>
      <c r="AV7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8">
        <f>IF(Audit[[#This Row],[Max Relative Error (ep)]] = 0, 0, Audit[[#This Row],[Max Relative Error (ep)]]/Audit[[#This Row],[Error Bound (up) - Max. possible relative overstatement]])</f>
        <v>0</v>
      </c>
      <c r="BH7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89" s="18">
        <f t="shared" si="13"/>
        <v>1</v>
      </c>
      <c r="BJ789" s="18">
        <f>PRODUCT($BI$5:BI789)</f>
        <v>0.32656797278968008</v>
      </c>
      <c r="BK789" s="20">
        <f>1 - Audit[[#This Row],[K-M P Value]]</f>
        <v>0.67343202721031992</v>
      </c>
      <c r="BL789" s="18" t="str">
        <f>IF(Audit[[#This Row],[K-M P Value]]&gt;1-'General Info'!$B$12,"Continue", "Stop")</f>
        <v>Continue</v>
      </c>
      <c r="BM789" s="23" t="b">
        <f>IF(Audit[[#This Row],[Status - Continue or stop audit]] = "Continue", TRUE, IF(BL788 = "Continue", TRUE, FALSE))</f>
        <v>1</v>
      </c>
      <c r="BN789" s="23"/>
    </row>
    <row r="790" spans="1:66" ht="15" hidden="1" customHeight="1" x14ac:dyDescent="0.35">
      <c r="A790" s="18" t="str">
        <f>'Sampling Data'!AI790</f>
        <v/>
      </c>
      <c r="B790" s="18" t="str">
        <f>'Sampling Data'!A790</f>
        <v>3401 HARR A   (ED)</v>
      </c>
      <c r="C790" s="18">
        <f>'Sampling Data'!B790</f>
        <v>165</v>
      </c>
      <c r="D790" s="18">
        <f>'Sampling Data'!C790</f>
        <v>28</v>
      </c>
      <c r="E790" s="19">
        <f>'Sampling Data'!D790</f>
        <v>0</v>
      </c>
      <c r="F790" s="19">
        <f>'Sampling Data'!E790</f>
        <v>0</v>
      </c>
      <c r="G790" s="19">
        <f>'Sampling Data'!F790</f>
        <v>0</v>
      </c>
      <c r="H790" s="19">
        <f>'Sampling Data'!G790</f>
        <v>0</v>
      </c>
      <c r="I790" s="19">
        <f>'Sampling Data'!H790</f>
        <v>0</v>
      </c>
      <c r="J790" s="19">
        <f>'Sampling Data'!I790</f>
        <v>0</v>
      </c>
      <c r="K790" s="19">
        <f>'Sampling Data'!J790</f>
        <v>0</v>
      </c>
      <c r="L790" s="19">
        <f>'Sampling Data'!K790</f>
        <v>0</v>
      </c>
      <c r="M790" s="19">
        <f>'Sampling Data'!L790</f>
        <v>0</v>
      </c>
      <c r="N790" s="19">
        <f>'Sampling Data'!M790</f>
        <v>0</v>
      </c>
      <c r="O790" s="18">
        <f>'Sampling Data'!N790</f>
        <v>0</v>
      </c>
      <c r="P790" s="18">
        <f>'Sampling Data'!O790</f>
        <v>21</v>
      </c>
      <c r="Q790" s="18">
        <f>'Sampling Data'!P790</f>
        <v>214</v>
      </c>
      <c r="R790" s="18">
        <f>'Sampling Data'!AJ790</f>
        <v>0</v>
      </c>
      <c r="S790" s="112"/>
      <c r="T790" s="112"/>
      <c r="U790" s="113"/>
      <c r="V790" s="113"/>
      <c r="W790" s="112"/>
      <c r="X790" s="112"/>
      <c r="Y790" s="112"/>
      <c r="Z790" s="112"/>
      <c r="AA790" s="15"/>
      <c r="AB790" s="15"/>
      <c r="AC790" s="15"/>
      <c r="AD790" s="15"/>
      <c r="AE790" s="114" t="str">
        <f>IF(NOT(ISBLANK(Audit[[#This Row],[Audit Winning Candidate]])), Audit[[#This Row],[Audit Winning Candidate]]-Audit[[#This Row],[Winning Candidate]], "")</f>
        <v/>
      </c>
      <c r="AF790" s="18" t="str">
        <f>IF(NOT(ISBLANK(Audit[[#This Row],[Audit Losing Candidate]])), Audit[[#This Row],[Audit Losing Candidate]]-Audit[[#This Row],[Losing Candidate]], "")</f>
        <v/>
      </c>
      <c r="AG790" s="18" t="str">
        <f>IF(NOT(ISBLANK(Audit[[#This Row],[Audit Candidate 3]])), Audit[[#This Row],[Audit Candidate 3]]-Audit[[#This Row],[Candidate 3]], "")</f>
        <v/>
      </c>
      <c r="AH790" s="18" t="str">
        <f>IF(NOT(ISBLANK(Audit[[#This Row],[Audit Candidate 4]])),Audit[[#This Row],[Audit Candidate 4]]-Audit[[#This Row],[Candidate 4]], "")</f>
        <v/>
      </c>
      <c r="AI790" s="18" t="str">
        <f>IF(NOT(ISBLANK(Audit[[#This Row],[Audit Candidate 5]])), Audit[[#This Row],[Audit Candidate 5]]-Audit[[#This Row],[Candidate 5]], "")</f>
        <v/>
      </c>
      <c r="AJ790" s="18" t="str">
        <f>IF(NOT(ISBLANK(Audit[[#This Row],[Audit Candidate 6]])), Audit[[#This Row],[Audit Candidate 6]]-Audit[[#This Row],[Candidate 6]], "")</f>
        <v/>
      </c>
      <c r="AK790" s="18" t="str">
        <f>IF(NOT(ISBLANK(Audit[[#This Row],[Audit Candidate 7]])), Audit[[#This Row],[Audit Candidate 7]]-Audit[[#This Row],[Candidate 7]], "")</f>
        <v/>
      </c>
      <c r="AL790" s="18" t="str">
        <f>IF(NOT(ISBLANK(Audit[[#This Row],[Audit Candidate 8]])), Audit[[#This Row],[Audit Candidate 8]]-Audit[[#This Row],[Candidate 8]], "")</f>
        <v/>
      </c>
      <c r="AM790" s="18" t="str">
        <f>IF(NOT(ISBLANK(Audit[[#This Row],[Audit Candidate 9]])), Audit[[#This Row],[Audit Candidate 9]]-Audit[[#This Row],[Candidate 9]], "")</f>
        <v/>
      </c>
      <c r="AN790" s="18" t="str">
        <f>IF(NOT(ISBLANK(Audit[[#This Row],[Audit Candidate 10]])), Audit[[#This Row],[Audit Candidate 10]]-Audit[[#This Row],[Candidate 10]], "")</f>
        <v/>
      </c>
      <c r="AO790" s="18" t="str">
        <f>IF(NOT(ISBLANK(Audit[[#This Row],[Audit Candidate 11]])), Audit[[#This Row],[Audit Candidate 11]]-Audit[[#This Row],[Candidate 11]], "")</f>
        <v/>
      </c>
      <c r="AP790" s="18" t="str">
        <f>IF(NOT(ISBLANK(Audit[[#This Row],[Audit Candidate 12]])), Audit[[#This Row],[Audit Candidate 12]]-Audit[[#This Row],[Candidate 12]], "")</f>
        <v/>
      </c>
      <c r="AQ790" s="18">
        <f>SUMIF(Audit[[#This Row],[Difference Winner]:[Difference Candidate 12]], "&gt;0")</f>
        <v>0</v>
      </c>
      <c r="AR790" s="18">
        <f>SUM(Audit[[#This Row],[Difference Winner]:[Difference Candidate 12]])</f>
        <v>0</v>
      </c>
      <c r="AS790" s="18">
        <f>IF(Audit[[#This Row],[Times p Drawn - With Replacement]]&gt;0, IF(Audit[[#This Row],[Canceled Differences]]&lt;0, Audit[[#This Row],[Max Differences]]+ABS(Audit[[#This Row],[Canceled Differences]]), Audit[[#This Row],[Max Differences]]), 0)</f>
        <v>0</v>
      </c>
      <c r="AT790" s="18">
        <f>'Sampling Data'!AB790</f>
        <v>1.1024908125765618E-2</v>
      </c>
      <c r="AU790" s="18">
        <f>IF(
      SUM(Audit[[#This Row],[Audit Losing Candidate]:[Audit Candidate 12]])
      &lt;&gt;0,
      (Audit[[#This Row],[Winning Candidate]]-Audit[[#This Row],[Losing Candidate]]-(Audit[[#This Row],[Audit Winning Candidate]]-Audit[[#This Row],[Audit Losing Candidate]]))/(Audit[[#Totals],[Winning Candidate]]-Audit[[#Totals],[Losing Candidate]]),
      0
)</f>
        <v>0</v>
      </c>
      <c r="AV7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8">
        <f>IF(Audit[[#This Row],[Max Relative Error (ep)]] = 0, 0, Audit[[#This Row],[Max Relative Error (ep)]]/Audit[[#This Row],[Error Bound (up) - Max. possible relative overstatement]])</f>
        <v>0</v>
      </c>
      <c r="BH7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0" s="18">
        <f t="shared" si="13"/>
        <v>1</v>
      </c>
      <c r="BJ790" s="18">
        <f>PRODUCT($BI$5:BI790)</f>
        <v>0.32656797278968008</v>
      </c>
      <c r="BK790" s="20">
        <f>1 - Audit[[#This Row],[K-M P Value]]</f>
        <v>0.67343202721031992</v>
      </c>
      <c r="BL790" s="18" t="str">
        <f>IF(Audit[[#This Row],[K-M P Value]]&gt;1-'General Info'!$B$12,"Continue", "Stop")</f>
        <v>Continue</v>
      </c>
      <c r="BM790" s="23" t="b">
        <f>IF(Audit[[#This Row],[Status - Continue or stop audit]] = "Continue", TRUE, IF(BL789 = "Continue", TRUE, FALSE))</f>
        <v>1</v>
      </c>
      <c r="BN790" s="23"/>
    </row>
    <row r="791" spans="1:66" ht="15" hidden="1" customHeight="1" x14ac:dyDescent="0.35">
      <c r="A791" s="18" t="str">
        <f>'Sampling Data'!AI791</f>
        <v/>
      </c>
      <c r="B791" s="18" t="str">
        <f>'Sampling Data'!A791</f>
        <v>3402 HARR B   (ED)</v>
      </c>
      <c r="C791" s="18">
        <f>'Sampling Data'!B791</f>
        <v>153</v>
      </c>
      <c r="D791" s="18">
        <f>'Sampling Data'!C791</f>
        <v>44</v>
      </c>
      <c r="E791" s="19">
        <f>'Sampling Data'!D791</f>
        <v>0</v>
      </c>
      <c r="F791" s="19">
        <f>'Sampling Data'!E791</f>
        <v>0</v>
      </c>
      <c r="G791" s="19">
        <f>'Sampling Data'!F791</f>
        <v>0</v>
      </c>
      <c r="H791" s="19">
        <f>'Sampling Data'!G791</f>
        <v>0</v>
      </c>
      <c r="I791" s="19">
        <f>'Sampling Data'!H791</f>
        <v>0</v>
      </c>
      <c r="J791" s="19">
        <f>'Sampling Data'!I791</f>
        <v>0</v>
      </c>
      <c r="K791" s="19">
        <f>'Sampling Data'!J791</f>
        <v>0</v>
      </c>
      <c r="L791" s="19">
        <f>'Sampling Data'!K791</f>
        <v>0</v>
      </c>
      <c r="M791" s="19">
        <f>'Sampling Data'!L791</f>
        <v>0</v>
      </c>
      <c r="N791" s="19">
        <f>'Sampling Data'!M791</f>
        <v>0</v>
      </c>
      <c r="O791" s="18">
        <f>'Sampling Data'!N791</f>
        <v>0</v>
      </c>
      <c r="P791" s="18">
        <f>'Sampling Data'!O791</f>
        <v>15</v>
      </c>
      <c r="Q791" s="18">
        <f>'Sampling Data'!P791</f>
        <v>212</v>
      </c>
      <c r="R791" s="18">
        <f>'Sampling Data'!AJ791</f>
        <v>0</v>
      </c>
      <c r="S791" s="112"/>
      <c r="T791" s="112"/>
      <c r="U791" s="113"/>
      <c r="V791" s="113"/>
      <c r="W791" s="112"/>
      <c r="X791" s="112"/>
      <c r="Y791" s="112"/>
      <c r="Z791" s="112"/>
      <c r="AA791" s="15"/>
      <c r="AB791" s="15"/>
      <c r="AC791" s="15"/>
      <c r="AD791" s="15"/>
      <c r="AE791" s="114" t="str">
        <f>IF(NOT(ISBLANK(Audit[[#This Row],[Audit Winning Candidate]])), Audit[[#This Row],[Audit Winning Candidate]]-Audit[[#This Row],[Winning Candidate]], "")</f>
        <v/>
      </c>
      <c r="AF791" s="18" t="str">
        <f>IF(NOT(ISBLANK(Audit[[#This Row],[Audit Losing Candidate]])), Audit[[#This Row],[Audit Losing Candidate]]-Audit[[#This Row],[Losing Candidate]], "")</f>
        <v/>
      </c>
      <c r="AG791" s="18" t="str">
        <f>IF(NOT(ISBLANK(Audit[[#This Row],[Audit Candidate 3]])), Audit[[#This Row],[Audit Candidate 3]]-Audit[[#This Row],[Candidate 3]], "")</f>
        <v/>
      </c>
      <c r="AH791" s="18" t="str">
        <f>IF(NOT(ISBLANK(Audit[[#This Row],[Audit Candidate 4]])),Audit[[#This Row],[Audit Candidate 4]]-Audit[[#This Row],[Candidate 4]], "")</f>
        <v/>
      </c>
      <c r="AI791" s="18" t="str">
        <f>IF(NOT(ISBLANK(Audit[[#This Row],[Audit Candidate 5]])), Audit[[#This Row],[Audit Candidate 5]]-Audit[[#This Row],[Candidate 5]], "")</f>
        <v/>
      </c>
      <c r="AJ791" s="18" t="str">
        <f>IF(NOT(ISBLANK(Audit[[#This Row],[Audit Candidate 6]])), Audit[[#This Row],[Audit Candidate 6]]-Audit[[#This Row],[Candidate 6]], "")</f>
        <v/>
      </c>
      <c r="AK791" s="18" t="str">
        <f>IF(NOT(ISBLANK(Audit[[#This Row],[Audit Candidate 7]])), Audit[[#This Row],[Audit Candidate 7]]-Audit[[#This Row],[Candidate 7]], "")</f>
        <v/>
      </c>
      <c r="AL791" s="18" t="str">
        <f>IF(NOT(ISBLANK(Audit[[#This Row],[Audit Candidate 8]])), Audit[[#This Row],[Audit Candidate 8]]-Audit[[#This Row],[Candidate 8]], "")</f>
        <v/>
      </c>
      <c r="AM791" s="18" t="str">
        <f>IF(NOT(ISBLANK(Audit[[#This Row],[Audit Candidate 9]])), Audit[[#This Row],[Audit Candidate 9]]-Audit[[#This Row],[Candidate 9]], "")</f>
        <v/>
      </c>
      <c r="AN791" s="18" t="str">
        <f>IF(NOT(ISBLANK(Audit[[#This Row],[Audit Candidate 10]])), Audit[[#This Row],[Audit Candidate 10]]-Audit[[#This Row],[Candidate 10]], "")</f>
        <v/>
      </c>
      <c r="AO791" s="18" t="str">
        <f>IF(NOT(ISBLANK(Audit[[#This Row],[Audit Candidate 11]])), Audit[[#This Row],[Audit Candidate 11]]-Audit[[#This Row],[Candidate 11]], "")</f>
        <v/>
      </c>
      <c r="AP791" s="18" t="str">
        <f>IF(NOT(ISBLANK(Audit[[#This Row],[Audit Candidate 12]])), Audit[[#This Row],[Audit Candidate 12]]-Audit[[#This Row],[Candidate 12]], "")</f>
        <v/>
      </c>
      <c r="AQ791" s="18">
        <f>SUMIF(Audit[[#This Row],[Difference Winner]:[Difference Candidate 12]], "&gt;0")</f>
        <v>0</v>
      </c>
      <c r="AR791" s="18">
        <f>SUM(Audit[[#This Row],[Difference Winner]:[Difference Candidate 12]])</f>
        <v>0</v>
      </c>
      <c r="AS791" s="18">
        <f>IF(Audit[[#This Row],[Times p Drawn - With Replacement]]&gt;0, IF(Audit[[#This Row],[Canceled Differences]]&lt;0, Audit[[#This Row],[Max Differences]]+ABS(Audit[[#This Row],[Canceled Differences]]), Audit[[#This Row],[Max Differences]]), 0)</f>
        <v>0</v>
      </c>
      <c r="AT791" s="18">
        <f>'Sampling Data'!AB791</f>
        <v>1.0082608285956592E-2</v>
      </c>
      <c r="AU791" s="18">
        <f>IF(
      SUM(Audit[[#This Row],[Audit Losing Candidate]:[Audit Candidate 12]])
      &lt;&gt;0,
      (Audit[[#This Row],[Winning Candidate]]-Audit[[#This Row],[Losing Candidate]]-(Audit[[#This Row],[Audit Winning Candidate]]-Audit[[#This Row],[Audit Losing Candidate]]))/(Audit[[#Totals],[Winning Candidate]]-Audit[[#Totals],[Losing Candidate]]),
      0
)</f>
        <v>0</v>
      </c>
      <c r="AV7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8">
        <f>IF(Audit[[#This Row],[Max Relative Error (ep)]] = 0, 0, Audit[[#This Row],[Max Relative Error (ep)]]/Audit[[#This Row],[Error Bound (up) - Max. possible relative overstatement]])</f>
        <v>0</v>
      </c>
      <c r="BH7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1" s="18">
        <f t="shared" si="13"/>
        <v>1</v>
      </c>
      <c r="BJ791" s="18">
        <f>PRODUCT($BI$5:BI791)</f>
        <v>0.32656797278968008</v>
      </c>
      <c r="BK791" s="20">
        <f>1 - Audit[[#This Row],[K-M P Value]]</f>
        <v>0.67343202721031992</v>
      </c>
      <c r="BL791" s="18" t="str">
        <f>IF(Audit[[#This Row],[K-M P Value]]&gt;1-'General Info'!$B$12,"Continue", "Stop")</f>
        <v>Continue</v>
      </c>
      <c r="BM791" s="23" t="b">
        <f>IF(Audit[[#This Row],[Status - Continue or stop audit]] = "Continue", TRUE, IF(BL790 = "Continue", TRUE, FALSE))</f>
        <v>1</v>
      </c>
      <c r="BN791" s="23"/>
    </row>
    <row r="792" spans="1:66" ht="15" hidden="1" customHeight="1" x14ac:dyDescent="0.35">
      <c r="A792" s="18" t="str">
        <f>'Sampling Data'!AI792</f>
        <v/>
      </c>
      <c r="B792" s="18" t="str">
        <f>'Sampling Data'!A792</f>
        <v>3403 HARR C   (ED)</v>
      </c>
      <c r="C792" s="18">
        <f>'Sampling Data'!B792</f>
        <v>241</v>
      </c>
      <c r="D792" s="18">
        <f>'Sampling Data'!C792</f>
        <v>25</v>
      </c>
      <c r="E792" s="19">
        <f>'Sampling Data'!D792</f>
        <v>0</v>
      </c>
      <c r="F792" s="19">
        <f>'Sampling Data'!E792</f>
        <v>0</v>
      </c>
      <c r="G792" s="19">
        <f>'Sampling Data'!F792</f>
        <v>0</v>
      </c>
      <c r="H792" s="19">
        <f>'Sampling Data'!G792</f>
        <v>0</v>
      </c>
      <c r="I792" s="19">
        <f>'Sampling Data'!H792</f>
        <v>0</v>
      </c>
      <c r="J792" s="19">
        <f>'Sampling Data'!I792</f>
        <v>0</v>
      </c>
      <c r="K792" s="19">
        <f>'Sampling Data'!J792</f>
        <v>0</v>
      </c>
      <c r="L792" s="19">
        <f>'Sampling Data'!K792</f>
        <v>0</v>
      </c>
      <c r="M792" s="19">
        <f>'Sampling Data'!L792</f>
        <v>0</v>
      </c>
      <c r="N792" s="19">
        <f>'Sampling Data'!M792</f>
        <v>0</v>
      </c>
      <c r="O792" s="18">
        <f>'Sampling Data'!N792</f>
        <v>0</v>
      </c>
      <c r="P792" s="18">
        <f>'Sampling Data'!O792</f>
        <v>20</v>
      </c>
      <c r="Q792" s="18">
        <f>'Sampling Data'!P792</f>
        <v>286</v>
      </c>
      <c r="R792" s="18">
        <f>'Sampling Data'!AJ792</f>
        <v>0</v>
      </c>
      <c r="S792" s="112"/>
      <c r="T792" s="112"/>
      <c r="U792" s="113"/>
      <c r="V792" s="113"/>
      <c r="W792" s="112"/>
      <c r="X792" s="112"/>
      <c r="Y792" s="112"/>
      <c r="Z792" s="112"/>
      <c r="AA792" s="15"/>
      <c r="AB792" s="15"/>
      <c r="AC792" s="15"/>
      <c r="AD792" s="15"/>
      <c r="AE792" s="114" t="str">
        <f>IF(NOT(ISBLANK(Audit[[#This Row],[Audit Winning Candidate]])), Audit[[#This Row],[Audit Winning Candidate]]-Audit[[#This Row],[Winning Candidate]], "")</f>
        <v/>
      </c>
      <c r="AF792" s="18" t="str">
        <f>IF(NOT(ISBLANK(Audit[[#This Row],[Audit Losing Candidate]])), Audit[[#This Row],[Audit Losing Candidate]]-Audit[[#This Row],[Losing Candidate]], "")</f>
        <v/>
      </c>
      <c r="AG792" s="18" t="str">
        <f>IF(NOT(ISBLANK(Audit[[#This Row],[Audit Candidate 3]])), Audit[[#This Row],[Audit Candidate 3]]-Audit[[#This Row],[Candidate 3]], "")</f>
        <v/>
      </c>
      <c r="AH792" s="18" t="str">
        <f>IF(NOT(ISBLANK(Audit[[#This Row],[Audit Candidate 4]])),Audit[[#This Row],[Audit Candidate 4]]-Audit[[#This Row],[Candidate 4]], "")</f>
        <v/>
      </c>
      <c r="AI792" s="18" t="str">
        <f>IF(NOT(ISBLANK(Audit[[#This Row],[Audit Candidate 5]])), Audit[[#This Row],[Audit Candidate 5]]-Audit[[#This Row],[Candidate 5]], "")</f>
        <v/>
      </c>
      <c r="AJ792" s="18" t="str">
        <f>IF(NOT(ISBLANK(Audit[[#This Row],[Audit Candidate 6]])), Audit[[#This Row],[Audit Candidate 6]]-Audit[[#This Row],[Candidate 6]], "")</f>
        <v/>
      </c>
      <c r="AK792" s="18" t="str">
        <f>IF(NOT(ISBLANK(Audit[[#This Row],[Audit Candidate 7]])), Audit[[#This Row],[Audit Candidate 7]]-Audit[[#This Row],[Candidate 7]], "")</f>
        <v/>
      </c>
      <c r="AL792" s="18" t="str">
        <f>IF(NOT(ISBLANK(Audit[[#This Row],[Audit Candidate 8]])), Audit[[#This Row],[Audit Candidate 8]]-Audit[[#This Row],[Candidate 8]], "")</f>
        <v/>
      </c>
      <c r="AM792" s="18" t="str">
        <f>IF(NOT(ISBLANK(Audit[[#This Row],[Audit Candidate 9]])), Audit[[#This Row],[Audit Candidate 9]]-Audit[[#This Row],[Candidate 9]], "")</f>
        <v/>
      </c>
      <c r="AN792" s="18" t="str">
        <f>IF(NOT(ISBLANK(Audit[[#This Row],[Audit Candidate 10]])), Audit[[#This Row],[Audit Candidate 10]]-Audit[[#This Row],[Candidate 10]], "")</f>
        <v/>
      </c>
      <c r="AO792" s="18" t="str">
        <f>IF(NOT(ISBLANK(Audit[[#This Row],[Audit Candidate 11]])), Audit[[#This Row],[Audit Candidate 11]]-Audit[[#This Row],[Candidate 11]], "")</f>
        <v/>
      </c>
      <c r="AP792" s="18" t="str">
        <f>IF(NOT(ISBLANK(Audit[[#This Row],[Audit Candidate 12]])), Audit[[#This Row],[Audit Candidate 12]]-Audit[[#This Row],[Candidate 12]], "")</f>
        <v/>
      </c>
      <c r="AQ792" s="18">
        <f>SUMIF(Audit[[#This Row],[Difference Winner]:[Difference Candidate 12]], "&gt;0")</f>
        <v>0</v>
      </c>
      <c r="AR792" s="18">
        <f>SUM(Audit[[#This Row],[Difference Winner]:[Difference Candidate 12]])</f>
        <v>0</v>
      </c>
      <c r="AS792" s="18">
        <f>IF(Audit[[#This Row],[Times p Drawn - With Replacement]]&gt;0, IF(Audit[[#This Row],[Canceled Differences]]&lt;0, Audit[[#This Row],[Max Differences]]+ABS(Audit[[#This Row],[Canceled Differences]]), Audit[[#This Row],[Max Differences]]), 0)</f>
        <v>0</v>
      </c>
      <c r="AT792" s="18">
        <f>'Sampling Data'!AB792</f>
        <v>1.5767817319471057E-2</v>
      </c>
      <c r="AU792" s="18">
        <f>IF(
      SUM(Audit[[#This Row],[Audit Losing Candidate]:[Audit Candidate 12]])
      &lt;&gt;0,
      (Audit[[#This Row],[Winning Candidate]]-Audit[[#This Row],[Losing Candidate]]-(Audit[[#This Row],[Audit Winning Candidate]]-Audit[[#This Row],[Audit Losing Candidate]]))/(Audit[[#Totals],[Winning Candidate]]-Audit[[#Totals],[Losing Candidate]]),
      0
)</f>
        <v>0</v>
      </c>
      <c r="AV7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8">
        <f>IF(Audit[[#This Row],[Max Relative Error (ep)]] = 0, 0, Audit[[#This Row],[Max Relative Error (ep)]]/Audit[[#This Row],[Error Bound (up) - Max. possible relative overstatement]])</f>
        <v>0</v>
      </c>
      <c r="BH7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2" s="18">
        <f t="shared" si="13"/>
        <v>1</v>
      </c>
      <c r="BJ792" s="18">
        <f>PRODUCT($BI$5:BI792)</f>
        <v>0.32656797278968008</v>
      </c>
      <c r="BK792" s="20">
        <f>1 - Audit[[#This Row],[K-M P Value]]</f>
        <v>0.67343202721031992</v>
      </c>
      <c r="BL792" s="18" t="str">
        <f>IF(Audit[[#This Row],[K-M P Value]]&gt;1-'General Info'!$B$12,"Continue", "Stop")</f>
        <v>Continue</v>
      </c>
      <c r="BM792" s="23" t="b">
        <f>IF(Audit[[#This Row],[Status - Continue or stop audit]] = "Continue", TRUE, IF(BL791 = "Continue", TRUE, FALSE))</f>
        <v>1</v>
      </c>
      <c r="BN792" s="23"/>
    </row>
    <row r="793" spans="1:66" ht="15" hidden="1" customHeight="1" x14ac:dyDescent="0.35">
      <c r="A793" s="18" t="str">
        <f>'Sampling Data'!AI793</f>
        <v/>
      </c>
      <c r="B793" s="18" t="str">
        <f>'Sampling Data'!A793</f>
        <v>3404 HARR D   (ED)</v>
      </c>
      <c r="C793" s="18">
        <f>'Sampling Data'!B793</f>
        <v>227</v>
      </c>
      <c r="D793" s="18">
        <f>'Sampling Data'!C793</f>
        <v>35</v>
      </c>
      <c r="E793" s="19">
        <f>'Sampling Data'!D793</f>
        <v>0</v>
      </c>
      <c r="F793" s="19">
        <f>'Sampling Data'!E793</f>
        <v>0</v>
      </c>
      <c r="G793" s="19">
        <f>'Sampling Data'!F793</f>
        <v>0</v>
      </c>
      <c r="H793" s="19">
        <f>'Sampling Data'!G793</f>
        <v>0</v>
      </c>
      <c r="I793" s="19">
        <f>'Sampling Data'!H793</f>
        <v>0</v>
      </c>
      <c r="J793" s="19">
        <f>'Sampling Data'!I793</f>
        <v>0</v>
      </c>
      <c r="K793" s="19">
        <f>'Sampling Data'!J793</f>
        <v>0</v>
      </c>
      <c r="L793" s="19">
        <f>'Sampling Data'!K793</f>
        <v>0</v>
      </c>
      <c r="M793" s="19">
        <f>'Sampling Data'!L793</f>
        <v>0</v>
      </c>
      <c r="N793" s="19">
        <f>'Sampling Data'!M793</f>
        <v>0</v>
      </c>
      <c r="O793" s="18">
        <f>'Sampling Data'!N793</f>
        <v>0</v>
      </c>
      <c r="P793" s="18">
        <f>'Sampling Data'!O793</f>
        <v>10</v>
      </c>
      <c r="Q793" s="18">
        <f>'Sampling Data'!P793</f>
        <v>272</v>
      </c>
      <c r="R793" s="18">
        <f>'Sampling Data'!AJ793</f>
        <v>0</v>
      </c>
      <c r="S793" s="112"/>
      <c r="T793" s="112"/>
      <c r="U793" s="113"/>
      <c r="V793" s="113"/>
      <c r="W793" s="112"/>
      <c r="X793" s="112"/>
      <c r="Y793" s="112"/>
      <c r="Z793" s="112"/>
      <c r="AA793" s="15"/>
      <c r="AB793" s="15"/>
      <c r="AC793" s="15"/>
      <c r="AD793" s="15"/>
      <c r="AE793" s="114" t="str">
        <f>IF(NOT(ISBLANK(Audit[[#This Row],[Audit Winning Candidate]])), Audit[[#This Row],[Audit Winning Candidate]]-Audit[[#This Row],[Winning Candidate]], "")</f>
        <v/>
      </c>
      <c r="AF793" s="18" t="str">
        <f>IF(NOT(ISBLANK(Audit[[#This Row],[Audit Losing Candidate]])), Audit[[#This Row],[Audit Losing Candidate]]-Audit[[#This Row],[Losing Candidate]], "")</f>
        <v/>
      </c>
      <c r="AG793" s="18" t="str">
        <f>IF(NOT(ISBLANK(Audit[[#This Row],[Audit Candidate 3]])), Audit[[#This Row],[Audit Candidate 3]]-Audit[[#This Row],[Candidate 3]], "")</f>
        <v/>
      </c>
      <c r="AH793" s="18" t="str">
        <f>IF(NOT(ISBLANK(Audit[[#This Row],[Audit Candidate 4]])),Audit[[#This Row],[Audit Candidate 4]]-Audit[[#This Row],[Candidate 4]], "")</f>
        <v/>
      </c>
      <c r="AI793" s="18" t="str">
        <f>IF(NOT(ISBLANK(Audit[[#This Row],[Audit Candidate 5]])), Audit[[#This Row],[Audit Candidate 5]]-Audit[[#This Row],[Candidate 5]], "")</f>
        <v/>
      </c>
      <c r="AJ793" s="18" t="str">
        <f>IF(NOT(ISBLANK(Audit[[#This Row],[Audit Candidate 6]])), Audit[[#This Row],[Audit Candidate 6]]-Audit[[#This Row],[Candidate 6]], "")</f>
        <v/>
      </c>
      <c r="AK793" s="18" t="str">
        <f>IF(NOT(ISBLANK(Audit[[#This Row],[Audit Candidate 7]])), Audit[[#This Row],[Audit Candidate 7]]-Audit[[#This Row],[Candidate 7]], "")</f>
        <v/>
      </c>
      <c r="AL793" s="18" t="str">
        <f>IF(NOT(ISBLANK(Audit[[#This Row],[Audit Candidate 8]])), Audit[[#This Row],[Audit Candidate 8]]-Audit[[#This Row],[Candidate 8]], "")</f>
        <v/>
      </c>
      <c r="AM793" s="18" t="str">
        <f>IF(NOT(ISBLANK(Audit[[#This Row],[Audit Candidate 9]])), Audit[[#This Row],[Audit Candidate 9]]-Audit[[#This Row],[Candidate 9]], "")</f>
        <v/>
      </c>
      <c r="AN793" s="18" t="str">
        <f>IF(NOT(ISBLANK(Audit[[#This Row],[Audit Candidate 10]])), Audit[[#This Row],[Audit Candidate 10]]-Audit[[#This Row],[Candidate 10]], "")</f>
        <v/>
      </c>
      <c r="AO793" s="18" t="str">
        <f>IF(NOT(ISBLANK(Audit[[#This Row],[Audit Candidate 11]])), Audit[[#This Row],[Audit Candidate 11]]-Audit[[#This Row],[Candidate 11]], "")</f>
        <v/>
      </c>
      <c r="AP793" s="18" t="str">
        <f>IF(NOT(ISBLANK(Audit[[#This Row],[Audit Candidate 12]])), Audit[[#This Row],[Audit Candidate 12]]-Audit[[#This Row],[Candidate 12]], "")</f>
        <v/>
      </c>
      <c r="AQ793" s="18">
        <f>SUMIF(Audit[[#This Row],[Difference Winner]:[Difference Candidate 12]], "&gt;0")</f>
        <v>0</v>
      </c>
      <c r="AR793" s="18">
        <f>SUM(Audit[[#This Row],[Difference Winner]:[Difference Candidate 12]])</f>
        <v>0</v>
      </c>
      <c r="AS793" s="18">
        <f>IF(Audit[[#This Row],[Times p Drawn - With Replacement]]&gt;0, IF(Audit[[#This Row],[Canceled Differences]]&lt;0, Audit[[#This Row],[Max Differences]]+ABS(Audit[[#This Row],[Canceled Differences]]), Audit[[#This Row],[Max Differences]]), 0)</f>
        <v>0</v>
      </c>
      <c r="AT793" s="18">
        <f>'Sampling Data'!AB793</f>
        <v>1.4574237522379621E-2</v>
      </c>
      <c r="AU793" s="18">
        <f>IF(
      SUM(Audit[[#This Row],[Audit Losing Candidate]:[Audit Candidate 12]])
      &lt;&gt;0,
      (Audit[[#This Row],[Winning Candidate]]-Audit[[#This Row],[Losing Candidate]]-(Audit[[#This Row],[Audit Winning Candidate]]-Audit[[#This Row],[Audit Losing Candidate]]))/(Audit[[#Totals],[Winning Candidate]]-Audit[[#Totals],[Losing Candidate]]),
      0
)</f>
        <v>0</v>
      </c>
      <c r="AV7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8">
        <f>IF(Audit[[#This Row],[Max Relative Error (ep)]] = 0, 0, Audit[[#This Row],[Max Relative Error (ep)]]/Audit[[#This Row],[Error Bound (up) - Max. possible relative overstatement]])</f>
        <v>0</v>
      </c>
      <c r="BH7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3" s="18">
        <f t="shared" si="13"/>
        <v>1</v>
      </c>
      <c r="BJ793" s="18">
        <f>PRODUCT($BI$5:BI793)</f>
        <v>0.32656797278968008</v>
      </c>
      <c r="BK793" s="20">
        <f>1 - Audit[[#This Row],[K-M P Value]]</f>
        <v>0.67343202721031992</v>
      </c>
      <c r="BL793" s="18" t="str">
        <f>IF(Audit[[#This Row],[K-M P Value]]&gt;1-'General Info'!$B$12,"Continue", "Stop")</f>
        <v>Continue</v>
      </c>
      <c r="BM793" s="23" t="b">
        <f>IF(Audit[[#This Row],[Status - Continue or stop audit]] = "Continue", TRUE, IF(BL792 = "Continue", TRUE, FALSE))</f>
        <v>1</v>
      </c>
      <c r="BN793" s="23"/>
    </row>
    <row r="794" spans="1:66" ht="15" hidden="1" customHeight="1" x14ac:dyDescent="0.35">
      <c r="A794" s="18" t="str">
        <f>'Sampling Data'!AI794</f>
        <v/>
      </c>
      <c r="B794" s="18" t="str">
        <f>'Sampling Data'!A794</f>
        <v>3405 HARR E   (ED)</v>
      </c>
      <c r="C794" s="18">
        <f>'Sampling Data'!B794</f>
        <v>255</v>
      </c>
      <c r="D794" s="18">
        <f>'Sampling Data'!C794</f>
        <v>49</v>
      </c>
      <c r="E794" s="19">
        <f>'Sampling Data'!D794</f>
        <v>0</v>
      </c>
      <c r="F794" s="19">
        <f>'Sampling Data'!E794</f>
        <v>0</v>
      </c>
      <c r="G794" s="19">
        <f>'Sampling Data'!F794</f>
        <v>0</v>
      </c>
      <c r="H794" s="19">
        <f>'Sampling Data'!G794</f>
        <v>0</v>
      </c>
      <c r="I794" s="19">
        <f>'Sampling Data'!H794</f>
        <v>0</v>
      </c>
      <c r="J794" s="19">
        <f>'Sampling Data'!I794</f>
        <v>0</v>
      </c>
      <c r="K794" s="19">
        <f>'Sampling Data'!J794</f>
        <v>0</v>
      </c>
      <c r="L794" s="19">
        <f>'Sampling Data'!K794</f>
        <v>0</v>
      </c>
      <c r="M794" s="19">
        <f>'Sampling Data'!L794</f>
        <v>0</v>
      </c>
      <c r="N794" s="19">
        <f>'Sampling Data'!M794</f>
        <v>0</v>
      </c>
      <c r="O794" s="18">
        <f>'Sampling Data'!N794</f>
        <v>1</v>
      </c>
      <c r="P794" s="18">
        <f>'Sampling Data'!O794</f>
        <v>28</v>
      </c>
      <c r="Q794" s="18">
        <f>'Sampling Data'!P794</f>
        <v>333</v>
      </c>
      <c r="R794" s="18">
        <f>'Sampling Data'!AJ794</f>
        <v>0</v>
      </c>
      <c r="S794" s="112"/>
      <c r="T794" s="112"/>
      <c r="U794" s="113"/>
      <c r="V794" s="113"/>
      <c r="W794" s="112"/>
      <c r="X794" s="112"/>
      <c r="Y794" s="112"/>
      <c r="Z794" s="112"/>
      <c r="AA794" s="15"/>
      <c r="AB794" s="15"/>
      <c r="AC794" s="15"/>
      <c r="AD794" s="15"/>
      <c r="AE794" s="114" t="str">
        <f>IF(NOT(ISBLANK(Audit[[#This Row],[Audit Winning Candidate]])), Audit[[#This Row],[Audit Winning Candidate]]-Audit[[#This Row],[Winning Candidate]], "")</f>
        <v/>
      </c>
      <c r="AF794" s="18" t="str">
        <f>IF(NOT(ISBLANK(Audit[[#This Row],[Audit Losing Candidate]])), Audit[[#This Row],[Audit Losing Candidate]]-Audit[[#This Row],[Losing Candidate]], "")</f>
        <v/>
      </c>
      <c r="AG794" s="18" t="str">
        <f>IF(NOT(ISBLANK(Audit[[#This Row],[Audit Candidate 3]])), Audit[[#This Row],[Audit Candidate 3]]-Audit[[#This Row],[Candidate 3]], "")</f>
        <v/>
      </c>
      <c r="AH794" s="18" t="str">
        <f>IF(NOT(ISBLANK(Audit[[#This Row],[Audit Candidate 4]])),Audit[[#This Row],[Audit Candidate 4]]-Audit[[#This Row],[Candidate 4]], "")</f>
        <v/>
      </c>
      <c r="AI794" s="18" t="str">
        <f>IF(NOT(ISBLANK(Audit[[#This Row],[Audit Candidate 5]])), Audit[[#This Row],[Audit Candidate 5]]-Audit[[#This Row],[Candidate 5]], "")</f>
        <v/>
      </c>
      <c r="AJ794" s="18" t="str">
        <f>IF(NOT(ISBLANK(Audit[[#This Row],[Audit Candidate 6]])), Audit[[#This Row],[Audit Candidate 6]]-Audit[[#This Row],[Candidate 6]], "")</f>
        <v/>
      </c>
      <c r="AK794" s="18" t="str">
        <f>IF(NOT(ISBLANK(Audit[[#This Row],[Audit Candidate 7]])), Audit[[#This Row],[Audit Candidate 7]]-Audit[[#This Row],[Candidate 7]], "")</f>
        <v/>
      </c>
      <c r="AL794" s="18" t="str">
        <f>IF(NOT(ISBLANK(Audit[[#This Row],[Audit Candidate 8]])), Audit[[#This Row],[Audit Candidate 8]]-Audit[[#This Row],[Candidate 8]], "")</f>
        <v/>
      </c>
      <c r="AM794" s="18" t="str">
        <f>IF(NOT(ISBLANK(Audit[[#This Row],[Audit Candidate 9]])), Audit[[#This Row],[Audit Candidate 9]]-Audit[[#This Row],[Candidate 9]], "")</f>
        <v/>
      </c>
      <c r="AN794" s="18" t="str">
        <f>IF(NOT(ISBLANK(Audit[[#This Row],[Audit Candidate 10]])), Audit[[#This Row],[Audit Candidate 10]]-Audit[[#This Row],[Candidate 10]], "")</f>
        <v/>
      </c>
      <c r="AO794" s="18" t="str">
        <f>IF(NOT(ISBLANK(Audit[[#This Row],[Audit Candidate 11]])), Audit[[#This Row],[Audit Candidate 11]]-Audit[[#This Row],[Candidate 11]], "")</f>
        <v/>
      </c>
      <c r="AP794" s="18" t="str">
        <f>IF(NOT(ISBLANK(Audit[[#This Row],[Audit Candidate 12]])), Audit[[#This Row],[Audit Candidate 12]]-Audit[[#This Row],[Candidate 12]], "")</f>
        <v/>
      </c>
      <c r="AQ794" s="18">
        <f>SUMIF(Audit[[#This Row],[Difference Winner]:[Difference Candidate 12]], "&gt;0")</f>
        <v>0</v>
      </c>
      <c r="AR794" s="18">
        <f>SUM(Audit[[#This Row],[Difference Winner]:[Difference Candidate 12]])</f>
        <v>0</v>
      </c>
      <c r="AS794" s="18">
        <f>IF(Audit[[#This Row],[Times p Drawn - With Replacement]]&gt;0, IF(Audit[[#This Row],[Canceled Differences]]&lt;0, Audit[[#This Row],[Max Differences]]+ABS(Audit[[#This Row],[Canceled Differences]]), Audit[[#This Row],[Max Differences]]), 0)</f>
        <v>0</v>
      </c>
      <c r="AT794" s="18">
        <f>'Sampling Data'!AB794</f>
        <v>1.692998712190219E-2</v>
      </c>
      <c r="AU794" s="18">
        <f>IF(
      SUM(Audit[[#This Row],[Audit Losing Candidate]:[Audit Candidate 12]])
      &lt;&gt;0,
      (Audit[[#This Row],[Winning Candidate]]-Audit[[#This Row],[Losing Candidate]]-(Audit[[#This Row],[Audit Winning Candidate]]-Audit[[#This Row],[Audit Losing Candidate]]))/(Audit[[#Totals],[Winning Candidate]]-Audit[[#Totals],[Losing Candidate]]),
      0
)</f>
        <v>0</v>
      </c>
      <c r="AV7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8">
        <f>IF(Audit[[#This Row],[Max Relative Error (ep)]] = 0, 0, Audit[[#This Row],[Max Relative Error (ep)]]/Audit[[#This Row],[Error Bound (up) - Max. possible relative overstatement]])</f>
        <v>0</v>
      </c>
      <c r="BH7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4" s="18">
        <f t="shared" si="13"/>
        <v>1</v>
      </c>
      <c r="BJ794" s="18">
        <f>PRODUCT($BI$5:BI794)</f>
        <v>0.32656797278968008</v>
      </c>
      <c r="BK794" s="20">
        <f>1 - Audit[[#This Row],[K-M P Value]]</f>
        <v>0.67343202721031992</v>
      </c>
      <c r="BL794" s="18" t="str">
        <f>IF(Audit[[#This Row],[K-M P Value]]&gt;1-'General Info'!$B$12,"Continue", "Stop")</f>
        <v>Continue</v>
      </c>
      <c r="BM794" s="23" t="b">
        <f>IF(Audit[[#This Row],[Status - Continue or stop audit]] = "Continue", TRUE, IF(BL793 = "Continue", TRUE, FALSE))</f>
        <v>1</v>
      </c>
      <c r="BN794" s="23"/>
    </row>
    <row r="795" spans="1:66" ht="15" hidden="1" customHeight="1" x14ac:dyDescent="0.35">
      <c r="A795" s="18" t="str">
        <f>'Sampling Data'!AI795</f>
        <v/>
      </c>
      <c r="B795" s="18" t="str">
        <f>'Sampling Data'!A795</f>
        <v>3406 HARR F   (ED)</v>
      </c>
      <c r="C795" s="18">
        <f>'Sampling Data'!B795</f>
        <v>203</v>
      </c>
      <c r="D795" s="18">
        <f>'Sampling Data'!C795</f>
        <v>30</v>
      </c>
      <c r="E795" s="19">
        <f>'Sampling Data'!D795</f>
        <v>0</v>
      </c>
      <c r="F795" s="19">
        <f>'Sampling Data'!E795</f>
        <v>0</v>
      </c>
      <c r="G795" s="19">
        <f>'Sampling Data'!F795</f>
        <v>0</v>
      </c>
      <c r="H795" s="19">
        <f>'Sampling Data'!G795</f>
        <v>0</v>
      </c>
      <c r="I795" s="19">
        <f>'Sampling Data'!H795</f>
        <v>0</v>
      </c>
      <c r="J795" s="19">
        <f>'Sampling Data'!I795</f>
        <v>0</v>
      </c>
      <c r="K795" s="19">
        <f>'Sampling Data'!J795</f>
        <v>0</v>
      </c>
      <c r="L795" s="19">
        <f>'Sampling Data'!K795</f>
        <v>0</v>
      </c>
      <c r="M795" s="19">
        <f>'Sampling Data'!L795</f>
        <v>0</v>
      </c>
      <c r="N795" s="19">
        <f>'Sampling Data'!M795</f>
        <v>0</v>
      </c>
      <c r="O795" s="18">
        <f>'Sampling Data'!N795</f>
        <v>0</v>
      </c>
      <c r="P795" s="18">
        <f>'Sampling Data'!O795</f>
        <v>28</v>
      </c>
      <c r="Q795" s="18">
        <f>'Sampling Data'!P795</f>
        <v>261</v>
      </c>
      <c r="R795" s="18">
        <f>'Sampling Data'!AJ795</f>
        <v>0</v>
      </c>
      <c r="S795" s="112"/>
      <c r="T795" s="112"/>
      <c r="U795" s="113"/>
      <c r="V795" s="113"/>
      <c r="W795" s="112"/>
      <c r="X795" s="112"/>
      <c r="Y795" s="112"/>
      <c r="Z795" s="112"/>
      <c r="AA795" s="15"/>
      <c r="AB795" s="15"/>
      <c r="AC795" s="15"/>
      <c r="AD795" s="15"/>
      <c r="AE795" s="114" t="str">
        <f>IF(NOT(ISBLANK(Audit[[#This Row],[Audit Winning Candidate]])), Audit[[#This Row],[Audit Winning Candidate]]-Audit[[#This Row],[Winning Candidate]], "")</f>
        <v/>
      </c>
      <c r="AF795" s="18" t="str">
        <f>IF(NOT(ISBLANK(Audit[[#This Row],[Audit Losing Candidate]])), Audit[[#This Row],[Audit Losing Candidate]]-Audit[[#This Row],[Losing Candidate]], "")</f>
        <v/>
      </c>
      <c r="AG795" s="18" t="str">
        <f>IF(NOT(ISBLANK(Audit[[#This Row],[Audit Candidate 3]])), Audit[[#This Row],[Audit Candidate 3]]-Audit[[#This Row],[Candidate 3]], "")</f>
        <v/>
      </c>
      <c r="AH795" s="18" t="str">
        <f>IF(NOT(ISBLANK(Audit[[#This Row],[Audit Candidate 4]])),Audit[[#This Row],[Audit Candidate 4]]-Audit[[#This Row],[Candidate 4]], "")</f>
        <v/>
      </c>
      <c r="AI795" s="18" t="str">
        <f>IF(NOT(ISBLANK(Audit[[#This Row],[Audit Candidate 5]])), Audit[[#This Row],[Audit Candidate 5]]-Audit[[#This Row],[Candidate 5]], "")</f>
        <v/>
      </c>
      <c r="AJ795" s="18" t="str">
        <f>IF(NOT(ISBLANK(Audit[[#This Row],[Audit Candidate 6]])), Audit[[#This Row],[Audit Candidate 6]]-Audit[[#This Row],[Candidate 6]], "")</f>
        <v/>
      </c>
      <c r="AK795" s="18" t="str">
        <f>IF(NOT(ISBLANK(Audit[[#This Row],[Audit Candidate 7]])), Audit[[#This Row],[Audit Candidate 7]]-Audit[[#This Row],[Candidate 7]], "")</f>
        <v/>
      </c>
      <c r="AL795" s="18" t="str">
        <f>IF(NOT(ISBLANK(Audit[[#This Row],[Audit Candidate 8]])), Audit[[#This Row],[Audit Candidate 8]]-Audit[[#This Row],[Candidate 8]], "")</f>
        <v/>
      </c>
      <c r="AM795" s="18" t="str">
        <f>IF(NOT(ISBLANK(Audit[[#This Row],[Audit Candidate 9]])), Audit[[#This Row],[Audit Candidate 9]]-Audit[[#This Row],[Candidate 9]], "")</f>
        <v/>
      </c>
      <c r="AN795" s="18" t="str">
        <f>IF(NOT(ISBLANK(Audit[[#This Row],[Audit Candidate 10]])), Audit[[#This Row],[Audit Candidate 10]]-Audit[[#This Row],[Candidate 10]], "")</f>
        <v/>
      </c>
      <c r="AO795" s="18" t="str">
        <f>IF(NOT(ISBLANK(Audit[[#This Row],[Audit Candidate 11]])), Audit[[#This Row],[Audit Candidate 11]]-Audit[[#This Row],[Candidate 11]], "")</f>
        <v/>
      </c>
      <c r="AP795" s="18" t="str">
        <f>IF(NOT(ISBLANK(Audit[[#This Row],[Audit Candidate 12]])), Audit[[#This Row],[Audit Candidate 12]]-Audit[[#This Row],[Candidate 12]], "")</f>
        <v/>
      </c>
      <c r="AQ795" s="18">
        <f>SUMIF(Audit[[#This Row],[Difference Winner]:[Difference Candidate 12]], "&gt;0")</f>
        <v>0</v>
      </c>
      <c r="AR795" s="18">
        <f>SUM(Audit[[#This Row],[Difference Winner]:[Difference Candidate 12]])</f>
        <v>0</v>
      </c>
      <c r="AS795" s="18">
        <f>IF(Audit[[#This Row],[Times p Drawn - With Replacement]]&gt;0, IF(Audit[[#This Row],[Canceled Differences]]&lt;0, Audit[[#This Row],[Max Differences]]+ABS(Audit[[#This Row],[Canceled Differences]]), Audit[[#This Row],[Max Differences]]), 0)</f>
        <v>0</v>
      </c>
      <c r="AT795" s="18">
        <f>'Sampling Data'!AB795</f>
        <v>1.3631937682570594E-2</v>
      </c>
      <c r="AU795" s="18">
        <f>IF(
      SUM(Audit[[#This Row],[Audit Losing Candidate]:[Audit Candidate 12]])
      &lt;&gt;0,
      (Audit[[#This Row],[Winning Candidate]]-Audit[[#This Row],[Losing Candidate]]-(Audit[[#This Row],[Audit Winning Candidate]]-Audit[[#This Row],[Audit Losing Candidate]]))/(Audit[[#Totals],[Winning Candidate]]-Audit[[#Totals],[Losing Candidate]]),
      0
)</f>
        <v>0</v>
      </c>
      <c r="AV7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8">
        <f>IF(Audit[[#This Row],[Max Relative Error (ep)]] = 0, 0, Audit[[#This Row],[Max Relative Error (ep)]]/Audit[[#This Row],[Error Bound (up) - Max. possible relative overstatement]])</f>
        <v>0</v>
      </c>
      <c r="BH7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5" s="18">
        <f t="shared" si="13"/>
        <v>1</v>
      </c>
      <c r="BJ795" s="18">
        <f>PRODUCT($BI$5:BI795)</f>
        <v>0.32656797278968008</v>
      </c>
      <c r="BK795" s="20">
        <f>1 - Audit[[#This Row],[K-M P Value]]</f>
        <v>0.67343202721031992</v>
      </c>
      <c r="BL795" s="18" t="str">
        <f>IF(Audit[[#This Row],[K-M P Value]]&gt;1-'General Info'!$B$12,"Continue", "Stop")</f>
        <v>Continue</v>
      </c>
      <c r="BM795" s="23" t="b">
        <f>IF(Audit[[#This Row],[Status - Continue or stop audit]] = "Continue", TRUE, IF(BL794 = "Continue", TRUE, FALSE))</f>
        <v>1</v>
      </c>
      <c r="BN795" s="23"/>
    </row>
    <row r="796" spans="1:66" ht="15" hidden="1" customHeight="1" x14ac:dyDescent="0.35">
      <c r="A796" s="18" t="str">
        <f>'Sampling Data'!AI796</f>
        <v/>
      </c>
      <c r="B796" s="18" t="str">
        <f>'Sampling Data'!A796</f>
        <v>3407 HARR G   (ED)</v>
      </c>
      <c r="C796" s="18">
        <f>'Sampling Data'!B796</f>
        <v>206</v>
      </c>
      <c r="D796" s="18">
        <f>'Sampling Data'!C796</f>
        <v>25</v>
      </c>
      <c r="E796" s="19">
        <f>'Sampling Data'!D796</f>
        <v>0</v>
      </c>
      <c r="F796" s="19">
        <f>'Sampling Data'!E796</f>
        <v>0</v>
      </c>
      <c r="G796" s="19">
        <f>'Sampling Data'!F796</f>
        <v>0</v>
      </c>
      <c r="H796" s="19">
        <f>'Sampling Data'!G796</f>
        <v>0</v>
      </c>
      <c r="I796" s="19">
        <f>'Sampling Data'!H796</f>
        <v>0</v>
      </c>
      <c r="J796" s="19">
        <f>'Sampling Data'!I796</f>
        <v>0</v>
      </c>
      <c r="K796" s="19">
        <f>'Sampling Data'!J796</f>
        <v>0</v>
      </c>
      <c r="L796" s="19">
        <f>'Sampling Data'!K796</f>
        <v>0</v>
      </c>
      <c r="M796" s="19">
        <f>'Sampling Data'!L796</f>
        <v>0</v>
      </c>
      <c r="N796" s="19">
        <f>'Sampling Data'!M796</f>
        <v>0</v>
      </c>
      <c r="O796" s="18">
        <f>'Sampling Data'!N796</f>
        <v>0</v>
      </c>
      <c r="P796" s="18">
        <f>'Sampling Data'!O796</f>
        <v>20</v>
      </c>
      <c r="Q796" s="18">
        <f>'Sampling Data'!P796</f>
        <v>251</v>
      </c>
      <c r="R796" s="18">
        <f>'Sampling Data'!AJ796</f>
        <v>0</v>
      </c>
      <c r="S796" s="112"/>
      <c r="T796" s="112"/>
      <c r="U796" s="113"/>
      <c r="V796" s="113"/>
      <c r="W796" s="112"/>
      <c r="X796" s="112"/>
      <c r="Y796" s="112"/>
      <c r="Z796" s="112"/>
      <c r="AA796" s="15"/>
      <c r="AB796" s="15"/>
      <c r="AC796" s="15"/>
      <c r="AD796" s="15"/>
      <c r="AE796" s="114" t="str">
        <f>IF(NOT(ISBLANK(Audit[[#This Row],[Audit Winning Candidate]])), Audit[[#This Row],[Audit Winning Candidate]]-Audit[[#This Row],[Winning Candidate]], "")</f>
        <v/>
      </c>
      <c r="AF796" s="18" t="str">
        <f>IF(NOT(ISBLANK(Audit[[#This Row],[Audit Losing Candidate]])), Audit[[#This Row],[Audit Losing Candidate]]-Audit[[#This Row],[Losing Candidate]], "")</f>
        <v/>
      </c>
      <c r="AG796" s="18" t="str">
        <f>IF(NOT(ISBLANK(Audit[[#This Row],[Audit Candidate 3]])), Audit[[#This Row],[Audit Candidate 3]]-Audit[[#This Row],[Candidate 3]], "")</f>
        <v/>
      </c>
      <c r="AH796" s="18" t="str">
        <f>IF(NOT(ISBLANK(Audit[[#This Row],[Audit Candidate 4]])),Audit[[#This Row],[Audit Candidate 4]]-Audit[[#This Row],[Candidate 4]], "")</f>
        <v/>
      </c>
      <c r="AI796" s="18" t="str">
        <f>IF(NOT(ISBLANK(Audit[[#This Row],[Audit Candidate 5]])), Audit[[#This Row],[Audit Candidate 5]]-Audit[[#This Row],[Candidate 5]], "")</f>
        <v/>
      </c>
      <c r="AJ796" s="18" t="str">
        <f>IF(NOT(ISBLANK(Audit[[#This Row],[Audit Candidate 6]])), Audit[[#This Row],[Audit Candidate 6]]-Audit[[#This Row],[Candidate 6]], "")</f>
        <v/>
      </c>
      <c r="AK796" s="18" t="str">
        <f>IF(NOT(ISBLANK(Audit[[#This Row],[Audit Candidate 7]])), Audit[[#This Row],[Audit Candidate 7]]-Audit[[#This Row],[Candidate 7]], "")</f>
        <v/>
      </c>
      <c r="AL796" s="18" t="str">
        <f>IF(NOT(ISBLANK(Audit[[#This Row],[Audit Candidate 8]])), Audit[[#This Row],[Audit Candidate 8]]-Audit[[#This Row],[Candidate 8]], "")</f>
        <v/>
      </c>
      <c r="AM796" s="18" t="str">
        <f>IF(NOT(ISBLANK(Audit[[#This Row],[Audit Candidate 9]])), Audit[[#This Row],[Audit Candidate 9]]-Audit[[#This Row],[Candidate 9]], "")</f>
        <v/>
      </c>
      <c r="AN796" s="18" t="str">
        <f>IF(NOT(ISBLANK(Audit[[#This Row],[Audit Candidate 10]])), Audit[[#This Row],[Audit Candidate 10]]-Audit[[#This Row],[Candidate 10]], "")</f>
        <v/>
      </c>
      <c r="AO796" s="18" t="str">
        <f>IF(NOT(ISBLANK(Audit[[#This Row],[Audit Candidate 11]])), Audit[[#This Row],[Audit Candidate 11]]-Audit[[#This Row],[Candidate 11]], "")</f>
        <v/>
      </c>
      <c r="AP796" s="18" t="str">
        <f>IF(NOT(ISBLANK(Audit[[#This Row],[Audit Candidate 12]])), Audit[[#This Row],[Audit Candidate 12]]-Audit[[#This Row],[Candidate 12]], "")</f>
        <v/>
      </c>
      <c r="AQ796" s="18">
        <f>SUMIF(Audit[[#This Row],[Difference Winner]:[Difference Candidate 12]], "&gt;0")</f>
        <v>0</v>
      </c>
      <c r="AR796" s="18">
        <f>SUM(Audit[[#This Row],[Difference Winner]:[Difference Candidate 12]])</f>
        <v>0</v>
      </c>
      <c r="AS796" s="18">
        <f>IF(Audit[[#This Row],[Times p Drawn - With Replacement]]&gt;0, IF(Audit[[#This Row],[Canceled Differences]]&lt;0, Audit[[#This Row],[Max Differences]]+ABS(Audit[[#This Row],[Canceled Differences]]), Audit[[#This Row],[Max Differences]]), 0)</f>
        <v>0</v>
      </c>
      <c r="AT796" s="18">
        <f>'Sampling Data'!AB796</f>
        <v>1.3569117693249992E-2</v>
      </c>
      <c r="AU796" s="18">
        <f>IF(
      SUM(Audit[[#This Row],[Audit Losing Candidate]:[Audit Candidate 12]])
      &lt;&gt;0,
      (Audit[[#This Row],[Winning Candidate]]-Audit[[#This Row],[Losing Candidate]]-(Audit[[#This Row],[Audit Winning Candidate]]-Audit[[#This Row],[Audit Losing Candidate]]))/(Audit[[#Totals],[Winning Candidate]]-Audit[[#Totals],[Losing Candidate]]),
      0
)</f>
        <v>0</v>
      </c>
      <c r="AV7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8">
        <f>IF(Audit[[#This Row],[Max Relative Error (ep)]] = 0, 0, Audit[[#This Row],[Max Relative Error (ep)]]/Audit[[#This Row],[Error Bound (up) - Max. possible relative overstatement]])</f>
        <v>0</v>
      </c>
      <c r="BH7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6" s="18">
        <f t="shared" si="13"/>
        <v>1</v>
      </c>
      <c r="BJ796" s="18">
        <f>PRODUCT($BI$5:BI796)</f>
        <v>0.32656797278968008</v>
      </c>
      <c r="BK796" s="20">
        <f>1 - Audit[[#This Row],[K-M P Value]]</f>
        <v>0.67343202721031992</v>
      </c>
      <c r="BL796" s="18" t="str">
        <f>IF(Audit[[#This Row],[K-M P Value]]&gt;1-'General Info'!$B$12,"Continue", "Stop")</f>
        <v>Continue</v>
      </c>
      <c r="BM796" s="23" t="b">
        <f>IF(Audit[[#This Row],[Status - Continue or stop audit]] = "Continue", TRUE, IF(BL795 = "Continue", TRUE, FALSE))</f>
        <v>1</v>
      </c>
      <c r="BN796" s="23"/>
    </row>
    <row r="797" spans="1:66" ht="15" hidden="1" customHeight="1" x14ac:dyDescent="0.35">
      <c r="A797" s="18" t="str">
        <f>'Sampling Data'!AI797</f>
        <v/>
      </c>
      <c r="B797" s="18" t="str">
        <f>'Sampling Data'!A797</f>
        <v>3501 IND HLL A   (ED)</v>
      </c>
      <c r="C797" s="18">
        <f>'Sampling Data'!B797</f>
        <v>66</v>
      </c>
      <c r="D797" s="18">
        <f>'Sampling Data'!C797</f>
        <v>8</v>
      </c>
      <c r="E797" s="19">
        <f>'Sampling Data'!D797</f>
        <v>0</v>
      </c>
      <c r="F797" s="19">
        <f>'Sampling Data'!E797</f>
        <v>0</v>
      </c>
      <c r="G797" s="19">
        <f>'Sampling Data'!F797</f>
        <v>0</v>
      </c>
      <c r="H797" s="19">
        <f>'Sampling Data'!G797</f>
        <v>0</v>
      </c>
      <c r="I797" s="19">
        <f>'Sampling Data'!H797</f>
        <v>0</v>
      </c>
      <c r="J797" s="19">
        <f>'Sampling Data'!I797</f>
        <v>0</v>
      </c>
      <c r="K797" s="19">
        <f>'Sampling Data'!J797</f>
        <v>0</v>
      </c>
      <c r="L797" s="19">
        <f>'Sampling Data'!K797</f>
        <v>0</v>
      </c>
      <c r="M797" s="19">
        <f>'Sampling Data'!L797</f>
        <v>0</v>
      </c>
      <c r="N797" s="19">
        <f>'Sampling Data'!M797</f>
        <v>0</v>
      </c>
      <c r="O797" s="18">
        <f>'Sampling Data'!N797</f>
        <v>0</v>
      </c>
      <c r="P797" s="18">
        <f>'Sampling Data'!O797</f>
        <v>0</v>
      </c>
      <c r="Q797" s="18">
        <f>'Sampling Data'!P797</f>
        <v>74</v>
      </c>
      <c r="R797" s="18">
        <f>'Sampling Data'!AJ797</f>
        <v>0</v>
      </c>
      <c r="S797" s="112"/>
      <c r="T797" s="112"/>
      <c r="U797" s="113"/>
      <c r="V797" s="113"/>
      <c r="W797" s="112"/>
      <c r="X797" s="112"/>
      <c r="Y797" s="112"/>
      <c r="Z797" s="112"/>
      <c r="AA797" s="15"/>
      <c r="AB797" s="15"/>
      <c r="AC797" s="15"/>
      <c r="AD797" s="15"/>
      <c r="AE797" s="114" t="str">
        <f>IF(NOT(ISBLANK(Audit[[#This Row],[Audit Winning Candidate]])), Audit[[#This Row],[Audit Winning Candidate]]-Audit[[#This Row],[Winning Candidate]], "")</f>
        <v/>
      </c>
      <c r="AF797" s="18" t="str">
        <f>IF(NOT(ISBLANK(Audit[[#This Row],[Audit Losing Candidate]])), Audit[[#This Row],[Audit Losing Candidate]]-Audit[[#This Row],[Losing Candidate]], "")</f>
        <v/>
      </c>
      <c r="AG797" s="18" t="str">
        <f>IF(NOT(ISBLANK(Audit[[#This Row],[Audit Candidate 3]])), Audit[[#This Row],[Audit Candidate 3]]-Audit[[#This Row],[Candidate 3]], "")</f>
        <v/>
      </c>
      <c r="AH797" s="18" t="str">
        <f>IF(NOT(ISBLANK(Audit[[#This Row],[Audit Candidate 4]])),Audit[[#This Row],[Audit Candidate 4]]-Audit[[#This Row],[Candidate 4]], "")</f>
        <v/>
      </c>
      <c r="AI797" s="18" t="str">
        <f>IF(NOT(ISBLANK(Audit[[#This Row],[Audit Candidate 5]])), Audit[[#This Row],[Audit Candidate 5]]-Audit[[#This Row],[Candidate 5]], "")</f>
        <v/>
      </c>
      <c r="AJ797" s="18" t="str">
        <f>IF(NOT(ISBLANK(Audit[[#This Row],[Audit Candidate 6]])), Audit[[#This Row],[Audit Candidate 6]]-Audit[[#This Row],[Candidate 6]], "")</f>
        <v/>
      </c>
      <c r="AK797" s="18" t="str">
        <f>IF(NOT(ISBLANK(Audit[[#This Row],[Audit Candidate 7]])), Audit[[#This Row],[Audit Candidate 7]]-Audit[[#This Row],[Candidate 7]], "")</f>
        <v/>
      </c>
      <c r="AL797" s="18" t="str">
        <f>IF(NOT(ISBLANK(Audit[[#This Row],[Audit Candidate 8]])), Audit[[#This Row],[Audit Candidate 8]]-Audit[[#This Row],[Candidate 8]], "")</f>
        <v/>
      </c>
      <c r="AM797" s="18" t="str">
        <f>IF(NOT(ISBLANK(Audit[[#This Row],[Audit Candidate 9]])), Audit[[#This Row],[Audit Candidate 9]]-Audit[[#This Row],[Candidate 9]], "")</f>
        <v/>
      </c>
      <c r="AN797" s="18" t="str">
        <f>IF(NOT(ISBLANK(Audit[[#This Row],[Audit Candidate 10]])), Audit[[#This Row],[Audit Candidate 10]]-Audit[[#This Row],[Candidate 10]], "")</f>
        <v/>
      </c>
      <c r="AO797" s="18" t="str">
        <f>IF(NOT(ISBLANK(Audit[[#This Row],[Audit Candidate 11]])), Audit[[#This Row],[Audit Candidate 11]]-Audit[[#This Row],[Candidate 11]], "")</f>
        <v/>
      </c>
      <c r="AP797" s="18" t="str">
        <f>IF(NOT(ISBLANK(Audit[[#This Row],[Audit Candidate 12]])), Audit[[#This Row],[Audit Candidate 12]]-Audit[[#This Row],[Candidate 12]], "")</f>
        <v/>
      </c>
      <c r="AQ797" s="18">
        <f>SUMIF(Audit[[#This Row],[Difference Winner]:[Difference Candidate 12]], "&gt;0")</f>
        <v>0</v>
      </c>
      <c r="AR797" s="18">
        <f>SUM(Audit[[#This Row],[Difference Winner]:[Difference Candidate 12]])</f>
        <v>0</v>
      </c>
      <c r="AS797" s="18">
        <f>IF(Audit[[#This Row],[Times p Drawn - With Replacement]]&gt;0, IF(Audit[[#This Row],[Canceled Differences]]&lt;0, Audit[[#This Row],[Max Differences]]+ABS(Audit[[#This Row],[Canceled Differences]]), Audit[[#This Row],[Max Differences]]), 0)</f>
        <v>0</v>
      </c>
      <c r="AT797" s="18">
        <f>'Sampling Data'!AB797</f>
        <v>4.1461192951597198E-3</v>
      </c>
      <c r="AU797" s="18">
        <f>IF(
      SUM(Audit[[#This Row],[Audit Losing Candidate]:[Audit Candidate 12]])
      &lt;&gt;0,
      (Audit[[#This Row],[Winning Candidate]]-Audit[[#This Row],[Losing Candidate]]-(Audit[[#This Row],[Audit Winning Candidate]]-Audit[[#This Row],[Audit Losing Candidate]]))/(Audit[[#Totals],[Winning Candidate]]-Audit[[#Totals],[Losing Candidate]]),
      0
)</f>
        <v>0</v>
      </c>
      <c r="AV7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8">
        <f>IF(Audit[[#This Row],[Max Relative Error (ep)]] = 0, 0, Audit[[#This Row],[Max Relative Error (ep)]]/Audit[[#This Row],[Error Bound (up) - Max. possible relative overstatement]])</f>
        <v>0</v>
      </c>
      <c r="BH7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7" s="18">
        <f t="shared" si="13"/>
        <v>1</v>
      </c>
      <c r="BJ797" s="18">
        <f>PRODUCT($BI$5:BI797)</f>
        <v>0.32656797278968008</v>
      </c>
      <c r="BK797" s="20">
        <f>1 - Audit[[#This Row],[K-M P Value]]</f>
        <v>0.67343202721031992</v>
      </c>
      <c r="BL797" s="18" t="str">
        <f>IF(Audit[[#This Row],[K-M P Value]]&gt;1-'General Info'!$B$12,"Continue", "Stop")</f>
        <v>Continue</v>
      </c>
      <c r="BM797" s="23" t="b">
        <f>IF(Audit[[#This Row],[Status - Continue or stop audit]] = "Continue", TRUE, IF(BL796 = "Continue", TRUE, FALSE))</f>
        <v>1</v>
      </c>
      <c r="BN797" s="23"/>
    </row>
    <row r="798" spans="1:66" ht="15" hidden="1" customHeight="1" x14ac:dyDescent="0.35">
      <c r="A798" s="18" t="str">
        <f>'Sampling Data'!AI798</f>
        <v/>
      </c>
      <c r="B798" s="18" t="str">
        <f>'Sampling Data'!A798</f>
        <v>3502 IND HLL B   (ED)</v>
      </c>
      <c r="C798" s="18">
        <f>'Sampling Data'!B798</f>
        <v>104</v>
      </c>
      <c r="D798" s="18">
        <f>'Sampling Data'!C798</f>
        <v>13</v>
      </c>
      <c r="E798" s="19">
        <f>'Sampling Data'!D798</f>
        <v>0</v>
      </c>
      <c r="F798" s="19">
        <f>'Sampling Data'!E798</f>
        <v>0</v>
      </c>
      <c r="G798" s="19">
        <f>'Sampling Data'!F798</f>
        <v>0</v>
      </c>
      <c r="H798" s="19">
        <f>'Sampling Data'!G798</f>
        <v>0</v>
      </c>
      <c r="I798" s="19">
        <f>'Sampling Data'!H798</f>
        <v>0</v>
      </c>
      <c r="J798" s="19">
        <f>'Sampling Data'!I798</f>
        <v>0</v>
      </c>
      <c r="K798" s="19">
        <f>'Sampling Data'!J798</f>
        <v>0</v>
      </c>
      <c r="L798" s="19">
        <f>'Sampling Data'!K798</f>
        <v>0</v>
      </c>
      <c r="M798" s="19">
        <f>'Sampling Data'!L798</f>
        <v>0</v>
      </c>
      <c r="N798" s="19">
        <f>'Sampling Data'!M798</f>
        <v>0</v>
      </c>
      <c r="O798" s="18">
        <f>'Sampling Data'!N798</f>
        <v>1</v>
      </c>
      <c r="P798" s="18">
        <f>'Sampling Data'!O798</f>
        <v>2</v>
      </c>
      <c r="Q798" s="18">
        <f>'Sampling Data'!P798</f>
        <v>120</v>
      </c>
      <c r="R798" s="18">
        <f>'Sampling Data'!AJ798</f>
        <v>0</v>
      </c>
      <c r="S798" s="112"/>
      <c r="T798" s="112"/>
      <c r="U798" s="113"/>
      <c r="V798" s="113"/>
      <c r="W798" s="112"/>
      <c r="X798" s="112"/>
      <c r="Y798" s="112"/>
      <c r="Z798" s="112"/>
      <c r="AA798" s="15"/>
      <c r="AB798" s="15"/>
      <c r="AC798" s="15"/>
      <c r="AD798" s="15"/>
      <c r="AE798" s="114" t="str">
        <f>IF(NOT(ISBLANK(Audit[[#This Row],[Audit Winning Candidate]])), Audit[[#This Row],[Audit Winning Candidate]]-Audit[[#This Row],[Winning Candidate]], "")</f>
        <v/>
      </c>
      <c r="AF798" s="18" t="str">
        <f>IF(NOT(ISBLANK(Audit[[#This Row],[Audit Losing Candidate]])), Audit[[#This Row],[Audit Losing Candidate]]-Audit[[#This Row],[Losing Candidate]], "")</f>
        <v/>
      </c>
      <c r="AG798" s="18" t="str">
        <f>IF(NOT(ISBLANK(Audit[[#This Row],[Audit Candidate 3]])), Audit[[#This Row],[Audit Candidate 3]]-Audit[[#This Row],[Candidate 3]], "")</f>
        <v/>
      </c>
      <c r="AH798" s="18" t="str">
        <f>IF(NOT(ISBLANK(Audit[[#This Row],[Audit Candidate 4]])),Audit[[#This Row],[Audit Candidate 4]]-Audit[[#This Row],[Candidate 4]], "")</f>
        <v/>
      </c>
      <c r="AI798" s="18" t="str">
        <f>IF(NOT(ISBLANK(Audit[[#This Row],[Audit Candidate 5]])), Audit[[#This Row],[Audit Candidate 5]]-Audit[[#This Row],[Candidate 5]], "")</f>
        <v/>
      </c>
      <c r="AJ798" s="18" t="str">
        <f>IF(NOT(ISBLANK(Audit[[#This Row],[Audit Candidate 6]])), Audit[[#This Row],[Audit Candidate 6]]-Audit[[#This Row],[Candidate 6]], "")</f>
        <v/>
      </c>
      <c r="AK798" s="18" t="str">
        <f>IF(NOT(ISBLANK(Audit[[#This Row],[Audit Candidate 7]])), Audit[[#This Row],[Audit Candidate 7]]-Audit[[#This Row],[Candidate 7]], "")</f>
        <v/>
      </c>
      <c r="AL798" s="18" t="str">
        <f>IF(NOT(ISBLANK(Audit[[#This Row],[Audit Candidate 8]])), Audit[[#This Row],[Audit Candidate 8]]-Audit[[#This Row],[Candidate 8]], "")</f>
        <v/>
      </c>
      <c r="AM798" s="18" t="str">
        <f>IF(NOT(ISBLANK(Audit[[#This Row],[Audit Candidate 9]])), Audit[[#This Row],[Audit Candidate 9]]-Audit[[#This Row],[Candidate 9]], "")</f>
        <v/>
      </c>
      <c r="AN798" s="18" t="str">
        <f>IF(NOT(ISBLANK(Audit[[#This Row],[Audit Candidate 10]])), Audit[[#This Row],[Audit Candidate 10]]-Audit[[#This Row],[Candidate 10]], "")</f>
        <v/>
      </c>
      <c r="AO798" s="18" t="str">
        <f>IF(NOT(ISBLANK(Audit[[#This Row],[Audit Candidate 11]])), Audit[[#This Row],[Audit Candidate 11]]-Audit[[#This Row],[Candidate 11]], "")</f>
        <v/>
      </c>
      <c r="AP798" s="18" t="str">
        <f>IF(NOT(ISBLANK(Audit[[#This Row],[Audit Candidate 12]])), Audit[[#This Row],[Audit Candidate 12]]-Audit[[#This Row],[Candidate 12]], "")</f>
        <v/>
      </c>
      <c r="AQ798" s="18">
        <f>SUMIF(Audit[[#This Row],[Difference Winner]:[Difference Candidate 12]], "&gt;0")</f>
        <v>0</v>
      </c>
      <c r="AR798" s="18">
        <f>SUM(Audit[[#This Row],[Difference Winner]:[Difference Candidate 12]])</f>
        <v>0</v>
      </c>
      <c r="AS798" s="18">
        <f>IF(Audit[[#This Row],[Times p Drawn - With Replacement]]&gt;0, IF(Audit[[#This Row],[Canceled Differences]]&lt;0, Audit[[#This Row],[Max Differences]]+ABS(Audit[[#This Row],[Canceled Differences]]), Audit[[#This Row],[Max Differences]]), 0)</f>
        <v>0</v>
      </c>
      <c r="AT798" s="18">
        <f>'Sampling Data'!AB798</f>
        <v>6.6275088733234915E-3</v>
      </c>
      <c r="AU798" s="18">
        <f>IF(
      SUM(Audit[[#This Row],[Audit Losing Candidate]:[Audit Candidate 12]])
      &lt;&gt;0,
      (Audit[[#This Row],[Winning Candidate]]-Audit[[#This Row],[Losing Candidate]]-(Audit[[#This Row],[Audit Winning Candidate]]-Audit[[#This Row],[Audit Losing Candidate]]))/(Audit[[#Totals],[Winning Candidate]]-Audit[[#Totals],[Losing Candidate]]),
      0
)</f>
        <v>0</v>
      </c>
      <c r="AV7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8">
        <f>IF(Audit[[#This Row],[Max Relative Error (ep)]] = 0, 0, Audit[[#This Row],[Max Relative Error (ep)]]/Audit[[#This Row],[Error Bound (up) - Max. possible relative overstatement]])</f>
        <v>0</v>
      </c>
      <c r="BH7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8" s="18">
        <f t="shared" si="13"/>
        <v>1</v>
      </c>
      <c r="BJ798" s="18">
        <f>PRODUCT($BI$5:BI798)</f>
        <v>0.32656797278968008</v>
      </c>
      <c r="BK798" s="20">
        <f>1 - Audit[[#This Row],[K-M P Value]]</f>
        <v>0.67343202721031992</v>
      </c>
      <c r="BL798" s="18" t="str">
        <f>IF(Audit[[#This Row],[K-M P Value]]&gt;1-'General Info'!$B$12,"Continue", "Stop")</f>
        <v>Continue</v>
      </c>
      <c r="BM798" s="23" t="b">
        <f>IF(Audit[[#This Row],[Status - Continue or stop audit]] = "Continue", TRUE, IF(BL797 = "Continue", TRUE, FALSE))</f>
        <v>1</v>
      </c>
      <c r="BN798" s="23"/>
    </row>
    <row r="799" spans="1:66" ht="15" hidden="1" customHeight="1" x14ac:dyDescent="0.35">
      <c r="A799" s="18" t="str">
        <f>'Sampling Data'!AI799</f>
        <v/>
      </c>
      <c r="B799" s="18" t="str">
        <f>'Sampling Data'!A799</f>
        <v>3503 IND HLL C   (ED)</v>
      </c>
      <c r="C799" s="18">
        <f>'Sampling Data'!B799</f>
        <v>78</v>
      </c>
      <c r="D799" s="18">
        <f>'Sampling Data'!C799</f>
        <v>11</v>
      </c>
      <c r="E799" s="19">
        <f>'Sampling Data'!D799</f>
        <v>0</v>
      </c>
      <c r="F799" s="19">
        <f>'Sampling Data'!E799</f>
        <v>0</v>
      </c>
      <c r="G799" s="19">
        <f>'Sampling Data'!F799</f>
        <v>0</v>
      </c>
      <c r="H799" s="19">
        <f>'Sampling Data'!G799</f>
        <v>0</v>
      </c>
      <c r="I799" s="19">
        <f>'Sampling Data'!H799</f>
        <v>0</v>
      </c>
      <c r="J799" s="19">
        <f>'Sampling Data'!I799</f>
        <v>0</v>
      </c>
      <c r="K799" s="19">
        <f>'Sampling Data'!J799</f>
        <v>0</v>
      </c>
      <c r="L799" s="19">
        <f>'Sampling Data'!K799</f>
        <v>0</v>
      </c>
      <c r="M799" s="19">
        <f>'Sampling Data'!L799</f>
        <v>0</v>
      </c>
      <c r="N799" s="19">
        <f>'Sampling Data'!M799</f>
        <v>0</v>
      </c>
      <c r="O799" s="18">
        <f>'Sampling Data'!N799</f>
        <v>0</v>
      </c>
      <c r="P799" s="18">
        <f>'Sampling Data'!O799</f>
        <v>2</v>
      </c>
      <c r="Q799" s="18">
        <f>'Sampling Data'!P799</f>
        <v>91</v>
      </c>
      <c r="R799" s="18">
        <f>'Sampling Data'!AJ799</f>
        <v>0</v>
      </c>
      <c r="S799" s="112"/>
      <c r="T799" s="112"/>
      <c r="U799" s="113"/>
      <c r="V799" s="113"/>
      <c r="W799" s="112"/>
      <c r="X799" s="112"/>
      <c r="Y799" s="112"/>
      <c r="Z799" s="112"/>
      <c r="AA799" s="15"/>
      <c r="AB799" s="15"/>
      <c r="AC799" s="15"/>
      <c r="AD799" s="15"/>
      <c r="AE799" s="114" t="str">
        <f>IF(NOT(ISBLANK(Audit[[#This Row],[Audit Winning Candidate]])), Audit[[#This Row],[Audit Winning Candidate]]-Audit[[#This Row],[Winning Candidate]], "")</f>
        <v/>
      </c>
      <c r="AF799" s="18" t="str">
        <f>IF(NOT(ISBLANK(Audit[[#This Row],[Audit Losing Candidate]])), Audit[[#This Row],[Audit Losing Candidate]]-Audit[[#This Row],[Losing Candidate]], "")</f>
        <v/>
      </c>
      <c r="AG799" s="18" t="str">
        <f>IF(NOT(ISBLANK(Audit[[#This Row],[Audit Candidate 3]])), Audit[[#This Row],[Audit Candidate 3]]-Audit[[#This Row],[Candidate 3]], "")</f>
        <v/>
      </c>
      <c r="AH799" s="18" t="str">
        <f>IF(NOT(ISBLANK(Audit[[#This Row],[Audit Candidate 4]])),Audit[[#This Row],[Audit Candidate 4]]-Audit[[#This Row],[Candidate 4]], "")</f>
        <v/>
      </c>
      <c r="AI799" s="18" t="str">
        <f>IF(NOT(ISBLANK(Audit[[#This Row],[Audit Candidate 5]])), Audit[[#This Row],[Audit Candidate 5]]-Audit[[#This Row],[Candidate 5]], "")</f>
        <v/>
      </c>
      <c r="AJ799" s="18" t="str">
        <f>IF(NOT(ISBLANK(Audit[[#This Row],[Audit Candidate 6]])), Audit[[#This Row],[Audit Candidate 6]]-Audit[[#This Row],[Candidate 6]], "")</f>
        <v/>
      </c>
      <c r="AK799" s="18" t="str">
        <f>IF(NOT(ISBLANK(Audit[[#This Row],[Audit Candidate 7]])), Audit[[#This Row],[Audit Candidate 7]]-Audit[[#This Row],[Candidate 7]], "")</f>
        <v/>
      </c>
      <c r="AL799" s="18" t="str">
        <f>IF(NOT(ISBLANK(Audit[[#This Row],[Audit Candidate 8]])), Audit[[#This Row],[Audit Candidate 8]]-Audit[[#This Row],[Candidate 8]], "")</f>
        <v/>
      </c>
      <c r="AM799" s="18" t="str">
        <f>IF(NOT(ISBLANK(Audit[[#This Row],[Audit Candidate 9]])), Audit[[#This Row],[Audit Candidate 9]]-Audit[[#This Row],[Candidate 9]], "")</f>
        <v/>
      </c>
      <c r="AN799" s="18" t="str">
        <f>IF(NOT(ISBLANK(Audit[[#This Row],[Audit Candidate 10]])), Audit[[#This Row],[Audit Candidate 10]]-Audit[[#This Row],[Candidate 10]], "")</f>
        <v/>
      </c>
      <c r="AO799" s="18" t="str">
        <f>IF(NOT(ISBLANK(Audit[[#This Row],[Audit Candidate 11]])), Audit[[#This Row],[Audit Candidate 11]]-Audit[[#This Row],[Candidate 11]], "")</f>
        <v/>
      </c>
      <c r="AP799" s="18" t="str">
        <f>IF(NOT(ISBLANK(Audit[[#This Row],[Audit Candidate 12]])), Audit[[#This Row],[Audit Candidate 12]]-Audit[[#This Row],[Candidate 12]], "")</f>
        <v/>
      </c>
      <c r="AQ799" s="18">
        <f>SUMIF(Audit[[#This Row],[Difference Winner]:[Difference Candidate 12]], "&gt;0")</f>
        <v>0</v>
      </c>
      <c r="AR799" s="18">
        <f>SUM(Audit[[#This Row],[Difference Winner]:[Difference Candidate 12]])</f>
        <v>0</v>
      </c>
      <c r="AS799" s="18">
        <f>IF(Audit[[#This Row],[Times p Drawn - With Replacement]]&gt;0, IF(Audit[[#This Row],[Canceled Differences]]&lt;0, Audit[[#This Row],[Max Differences]]+ABS(Audit[[#This Row],[Canceled Differences]]), Audit[[#This Row],[Max Differences]]), 0)</f>
        <v>0</v>
      </c>
      <c r="AT799" s="18">
        <f>'Sampling Data'!AB799</f>
        <v>4.9627791563275434E-3</v>
      </c>
      <c r="AU799" s="18">
        <f>IF(
      SUM(Audit[[#This Row],[Audit Losing Candidate]:[Audit Candidate 12]])
      &lt;&gt;0,
      (Audit[[#This Row],[Winning Candidate]]-Audit[[#This Row],[Losing Candidate]]-(Audit[[#This Row],[Audit Winning Candidate]]-Audit[[#This Row],[Audit Losing Candidate]]))/(Audit[[#Totals],[Winning Candidate]]-Audit[[#Totals],[Losing Candidate]]),
      0
)</f>
        <v>0</v>
      </c>
      <c r="AV7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8">
        <f>IF(Audit[[#This Row],[Max Relative Error (ep)]] = 0, 0, Audit[[#This Row],[Max Relative Error (ep)]]/Audit[[#This Row],[Error Bound (up) - Max. possible relative overstatement]])</f>
        <v>0</v>
      </c>
      <c r="BH7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799" s="18">
        <f t="shared" si="13"/>
        <v>1</v>
      </c>
      <c r="BJ799" s="18">
        <f>PRODUCT($BI$5:BI799)</f>
        <v>0.32656797278968008</v>
      </c>
      <c r="BK799" s="20">
        <f>1 - Audit[[#This Row],[K-M P Value]]</f>
        <v>0.67343202721031992</v>
      </c>
      <c r="BL799" s="18" t="str">
        <f>IF(Audit[[#This Row],[K-M P Value]]&gt;1-'General Info'!$B$12,"Continue", "Stop")</f>
        <v>Continue</v>
      </c>
      <c r="BM799" s="23" t="b">
        <f>IF(Audit[[#This Row],[Status - Continue or stop audit]] = "Continue", TRUE, IF(BL798 = "Continue", TRUE, FALSE))</f>
        <v>1</v>
      </c>
      <c r="BN799" s="23"/>
    </row>
    <row r="800" spans="1:66" ht="15" hidden="1" customHeight="1" x14ac:dyDescent="0.35">
      <c r="A800" s="18" t="str">
        <f>'Sampling Data'!AI800</f>
        <v/>
      </c>
      <c r="B800" s="18" t="str">
        <f>'Sampling Data'!A800</f>
        <v>3504 IND HLL D   (ED)</v>
      </c>
      <c r="C800" s="18">
        <f>'Sampling Data'!B800</f>
        <v>63</v>
      </c>
      <c r="D800" s="18">
        <f>'Sampling Data'!C800</f>
        <v>4</v>
      </c>
      <c r="E800" s="19">
        <f>'Sampling Data'!D800</f>
        <v>0</v>
      </c>
      <c r="F800" s="19">
        <f>'Sampling Data'!E800</f>
        <v>0</v>
      </c>
      <c r="G800" s="19">
        <f>'Sampling Data'!F800</f>
        <v>0</v>
      </c>
      <c r="H800" s="19">
        <f>'Sampling Data'!G800</f>
        <v>0</v>
      </c>
      <c r="I800" s="19">
        <f>'Sampling Data'!H800</f>
        <v>0</v>
      </c>
      <c r="J800" s="19">
        <f>'Sampling Data'!I800</f>
        <v>0</v>
      </c>
      <c r="K800" s="19">
        <f>'Sampling Data'!J800</f>
        <v>0</v>
      </c>
      <c r="L800" s="19">
        <f>'Sampling Data'!K800</f>
        <v>0</v>
      </c>
      <c r="M800" s="19">
        <f>'Sampling Data'!L800</f>
        <v>0</v>
      </c>
      <c r="N800" s="19">
        <f>'Sampling Data'!M800</f>
        <v>0</v>
      </c>
      <c r="O800" s="18">
        <f>'Sampling Data'!N800</f>
        <v>0</v>
      </c>
      <c r="P800" s="18">
        <f>'Sampling Data'!O800</f>
        <v>1</v>
      </c>
      <c r="Q800" s="18">
        <f>'Sampling Data'!P800</f>
        <v>68</v>
      </c>
      <c r="R800" s="18">
        <f>'Sampling Data'!AJ800</f>
        <v>0</v>
      </c>
      <c r="S800" s="112"/>
      <c r="T800" s="112"/>
      <c r="U800" s="113"/>
      <c r="V800" s="113"/>
      <c r="W800" s="112"/>
      <c r="X800" s="112"/>
      <c r="Y800" s="112"/>
      <c r="Z800" s="112"/>
      <c r="AA800" s="15"/>
      <c r="AB800" s="15"/>
      <c r="AC800" s="15"/>
      <c r="AD800" s="15"/>
      <c r="AE800" s="114" t="str">
        <f>IF(NOT(ISBLANK(Audit[[#This Row],[Audit Winning Candidate]])), Audit[[#This Row],[Audit Winning Candidate]]-Audit[[#This Row],[Winning Candidate]], "")</f>
        <v/>
      </c>
      <c r="AF800" s="18" t="str">
        <f>IF(NOT(ISBLANK(Audit[[#This Row],[Audit Losing Candidate]])), Audit[[#This Row],[Audit Losing Candidate]]-Audit[[#This Row],[Losing Candidate]], "")</f>
        <v/>
      </c>
      <c r="AG800" s="18" t="str">
        <f>IF(NOT(ISBLANK(Audit[[#This Row],[Audit Candidate 3]])), Audit[[#This Row],[Audit Candidate 3]]-Audit[[#This Row],[Candidate 3]], "")</f>
        <v/>
      </c>
      <c r="AH800" s="18" t="str">
        <f>IF(NOT(ISBLANK(Audit[[#This Row],[Audit Candidate 4]])),Audit[[#This Row],[Audit Candidate 4]]-Audit[[#This Row],[Candidate 4]], "")</f>
        <v/>
      </c>
      <c r="AI800" s="18" t="str">
        <f>IF(NOT(ISBLANK(Audit[[#This Row],[Audit Candidate 5]])), Audit[[#This Row],[Audit Candidate 5]]-Audit[[#This Row],[Candidate 5]], "")</f>
        <v/>
      </c>
      <c r="AJ800" s="18" t="str">
        <f>IF(NOT(ISBLANK(Audit[[#This Row],[Audit Candidate 6]])), Audit[[#This Row],[Audit Candidate 6]]-Audit[[#This Row],[Candidate 6]], "")</f>
        <v/>
      </c>
      <c r="AK800" s="18" t="str">
        <f>IF(NOT(ISBLANK(Audit[[#This Row],[Audit Candidate 7]])), Audit[[#This Row],[Audit Candidate 7]]-Audit[[#This Row],[Candidate 7]], "")</f>
        <v/>
      </c>
      <c r="AL800" s="18" t="str">
        <f>IF(NOT(ISBLANK(Audit[[#This Row],[Audit Candidate 8]])), Audit[[#This Row],[Audit Candidate 8]]-Audit[[#This Row],[Candidate 8]], "")</f>
        <v/>
      </c>
      <c r="AM800" s="18" t="str">
        <f>IF(NOT(ISBLANK(Audit[[#This Row],[Audit Candidate 9]])), Audit[[#This Row],[Audit Candidate 9]]-Audit[[#This Row],[Candidate 9]], "")</f>
        <v/>
      </c>
      <c r="AN800" s="18" t="str">
        <f>IF(NOT(ISBLANK(Audit[[#This Row],[Audit Candidate 10]])), Audit[[#This Row],[Audit Candidate 10]]-Audit[[#This Row],[Candidate 10]], "")</f>
        <v/>
      </c>
      <c r="AO800" s="18" t="str">
        <f>IF(NOT(ISBLANK(Audit[[#This Row],[Audit Candidate 11]])), Audit[[#This Row],[Audit Candidate 11]]-Audit[[#This Row],[Candidate 11]], "")</f>
        <v/>
      </c>
      <c r="AP800" s="18" t="str">
        <f>IF(NOT(ISBLANK(Audit[[#This Row],[Audit Candidate 12]])), Audit[[#This Row],[Audit Candidate 12]]-Audit[[#This Row],[Candidate 12]], "")</f>
        <v/>
      </c>
      <c r="AQ800" s="18">
        <f>SUMIF(Audit[[#This Row],[Difference Winner]:[Difference Candidate 12]], "&gt;0")</f>
        <v>0</v>
      </c>
      <c r="AR800" s="18">
        <f>SUM(Audit[[#This Row],[Difference Winner]:[Difference Candidate 12]])</f>
        <v>0</v>
      </c>
      <c r="AS800" s="18">
        <f>IF(Audit[[#This Row],[Times p Drawn - With Replacement]]&gt;0, IF(Audit[[#This Row],[Canceled Differences]]&lt;0, Audit[[#This Row],[Max Differences]]+ABS(Audit[[#This Row],[Canceled Differences]]), Audit[[#This Row],[Max Differences]]), 0)</f>
        <v>0</v>
      </c>
      <c r="AT800" s="18">
        <f>'Sampling Data'!AB800</f>
        <v>3.989069321858215E-3</v>
      </c>
      <c r="AU800" s="18">
        <f>IF(
      SUM(Audit[[#This Row],[Audit Losing Candidate]:[Audit Candidate 12]])
      &lt;&gt;0,
      (Audit[[#This Row],[Winning Candidate]]-Audit[[#This Row],[Losing Candidate]]-(Audit[[#This Row],[Audit Winning Candidate]]-Audit[[#This Row],[Audit Losing Candidate]]))/(Audit[[#Totals],[Winning Candidate]]-Audit[[#Totals],[Losing Candidate]]),
      0
)</f>
        <v>0</v>
      </c>
      <c r="AV8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8">
        <f>IF(Audit[[#This Row],[Max Relative Error (ep)]] = 0, 0, Audit[[#This Row],[Max Relative Error (ep)]]/Audit[[#This Row],[Error Bound (up) - Max. possible relative overstatement]])</f>
        <v>0</v>
      </c>
      <c r="BH8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0" s="18">
        <f t="shared" si="13"/>
        <v>1</v>
      </c>
      <c r="BJ800" s="18">
        <f>PRODUCT($BI$5:BI800)</f>
        <v>0.32656797278968008</v>
      </c>
      <c r="BK800" s="20">
        <f>1 - Audit[[#This Row],[K-M P Value]]</f>
        <v>0.67343202721031992</v>
      </c>
      <c r="BL800" s="18" t="str">
        <f>IF(Audit[[#This Row],[K-M P Value]]&gt;1-'General Info'!$B$12,"Continue", "Stop")</f>
        <v>Continue</v>
      </c>
      <c r="BM800" s="23" t="b">
        <f>IF(Audit[[#This Row],[Status - Continue or stop audit]] = "Continue", TRUE, IF(BL799 = "Continue", TRUE, FALSE))</f>
        <v>1</v>
      </c>
      <c r="BN800" s="23"/>
    </row>
    <row r="801" spans="1:66" ht="15" hidden="1" customHeight="1" x14ac:dyDescent="0.35">
      <c r="A801" s="18" t="str">
        <f>'Sampling Data'!AI801</f>
        <v/>
      </c>
      <c r="B801" s="18" t="str">
        <f>'Sampling Data'!A801</f>
        <v>3505 IND HLL E   (ED)</v>
      </c>
      <c r="C801" s="18">
        <f>'Sampling Data'!B801</f>
        <v>87</v>
      </c>
      <c r="D801" s="18">
        <f>'Sampling Data'!C801</f>
        <v>5</v>
      </c>
      <c r="E801" s="19">
        <f>'Sampling Data'!D801</f>
        <v>0</v>
      </c>
      <c r="F801" s="19">
        <f>'Sampling Data'!E801</f>
        <v>0</v>
      </c>
      <c r="G801" s="19">
        <f>'Sampling Data'!F801</f>
        <v>0</v>
      </c>
      <c r="H801" s="19">
        <f>'Sampling Data'!G801</f>
        <v>0</v>
      </c>
      <c r="I801" s="19">
        <f>'Sampling Data'!H801</f>
        <v>0</v>
      </c>
      <c r="J801" s="19">
        <f>'Sampling Data'!I801</f>
        <v>0</v>
      </c>
      <c r="K801" s="19">
        <f>'Sampling Data'!J801</f>
        <v>0</v>
      </c>
      <c r="L801" s="19">
        <f>'Sampling Data'!K801</f>
        <v>0</v>
      </c>
      <c r="M801" s="19">
        <f>'Sampling Data'!L801</f>
        <v>0</v>
      </c>
      <c r="N801" s="19">
        <f>'Sampling Data'!M801</f>
        <v>0</v>
      </c>
      <c r="O801" s="18">
        <f>'Sampling Data'!N801</f>
        <v>0</v>
      </c>
      <c r="P801" s="18">
        <f>'Sampling Data'!O801</f>
        <v>0</v>
      </c>
      <c r="Q801" s="18">
        <f>'Sampling Data'!P801</f>
        <v>92</v>
      </c>
      <c r="R801" s="18">
        <f>'Sampling Data'!AJ801</f>
        <v>0</v>
      </c>
      <c r="S801" s="112"/>
      <c r="T801" s="112"/>
      <c r="U801" s="113"/>
      <c r="V801" s="113"/>
      <c r="W801" s="112"/>
      <c r="X801" s="112"/>
      <c r="Y801" s="112"/>
      <c r="Z801" s="112"/>
      <c r="AA801" s="15"/>
      <c r="AB801" s="15"/>
      <c r="AC801" s="15"/>
      <c r="AD801" s="15"/>
      <c r="AE801" s="114" t="str">
        <f>IF(NOT(ISBLANK(Audit[[#This Row],[Audit Winning Candidate]])), Audit[[#This Row],[Audit Winning Candidate]]-Audit[[#This Row],[Winning Candidate]], "")</f>
        <v/>
      </c>
      <c r="AF801" s="18" t="str">
        <f>IF(NOT(ISBLANK(Audit[[#This Row],[Audit Losing Candidate]])), Audit[[#This Row],[Audit Losing Candidate]]-Audit[[#This Row],[Losing Candidate]], "")</f>
        <v/>
      </c>
      <c r="AG801" s="18" t="str">
        <f>IF(NOT(ISBLANK(Audit[[#This Row],[Audit Candidate 3]])), Audit[[#This Row],[Audit Candidate 3]]-Audit[[#This Row],[Candidate 3]], "")</f>
        <v/>
      </c>
      <c r="AH801" s="18" t="str">
        <f>IF(NOT(ISBLANK(Audit[[#This Row],[Audit Candidate 4]])),Audit[[#This Row],[Audit Candidate 4]]-Audit[[#This Row],[Candidate 4]], "")</f>
        <v/>
      </c>
      <c r="AI801" s="18" t="str">
        <f>IF(NOT(ISBLANK(Audit[[#This Row],[Audit Candidate 5]])), Audit[[#This Row],[Audit Candidate 5]]-Audit[[#This Row],[Candidate 5]], "")</f>
        <v/>
      </c>
      <c r="AJ801" s="18" t="str">
        <f>IF(NOT(ISBLANK(Audit[[#This Row],[Audit Candidate 6]])), Audit[[#This Row],[Audit Candidate 6]]-Audit[[#This Row],[Candidate 6]], "")</f>
        <v/>
      </c>
      <c r="AK801" s="18" t="str">
        <f>IF(NOT(ISBLANK(Audit[[#This Row],[Audit Candidate 7]])), Audit[[#This Row],[Audit Candidate 7]]-Audit[[#This Row],[Candidate 7]], "")</f>
        <v/>
      </c>
      <c r="AL801" s="18" t="str">
        <f>IF(NOT(ISBLANK(Audit[[#This Row],[Audit Candidate 8]])), Audit[[#This Row],[Audit Candidate 8]]-Audit[[#This Row],[Candidate 8]], "")</f>
        <v/>
      </c>
      <c r="AM801" s="18" t="str">
        <f>IF(NOT(ISBLANK(Audit[[#This Row],[Audit Candidate 9]])), Audit[[#This Row],[Audit Candidate 9]]-Audit[[#This Row],[Candidate 9]], "")</f>
        <v/>
      </c>
      <c r="AN801" s="18" t="str">
        <f>IF(NOT(ISBLANK(Audit[[#This Row],[Audit Candidate 10]])), Audit[[#This Row],[Audit Candidate 10]]-Audit[[#This Row],[Candidate 10]], "")</f>
        <v/>
      </c>
      <c r="AO801" s="18" t="str">
        <f>IF(NOT(ISBLANK(Audit[[#This Row],[Audit Candidate 11]])), Audit[[#This Row],[Audit Candidate 11]]-Audit[[#This Row],[Candidate 11]], "")</f>
        <v/>
      </c>
      <c r="AP801" s="18" t="str">
        <f>IF(NOT(ISBLANK(Audit[[#This Row],[Audit Candidate 12]])), Audit[[#This Row],[Audit Candidate 12]]-Audit[[#This Row],[Candidate 12]], "")</f>
        <v/>
      </c>
      <c r="AQ801" s="18">
        <f>SUMIF(Audit[[#This Row],[Difference Winner]:[Difference Candidate 12]], "&gt;0")</f>
        <v>0</v>
      </c>
      <c r="AR801" s="18">
        <f>SUM(Audit[[#This Row],[Difference Winner]:[Difference Candidate 12]])</f>
        <v>0</v>
      </c>
      <c r="AS801" s="18">
        <f>IF(Audit[[#This Row],[Times p Drawn - With Replacement]]&gt;0, IF(Audit[[#This Row],[Canceled Differences]]&lt;0, Audit[[#This Row],[Max Differences]]+ABS(Audit[[#This Row],[Canceled Differences]]), Audit[[#This Row],[Max Differences]]), 0)</f>
        <v>0</v>
      </c>
      <c r="AT801" s="18">
        <f>'Sampling Data'!AB801</f>
        <v>5.4653390708923576E-3</v>
      </c>
      <c r="AU801" s="18">
        <f>IF(
      SUM(Audit[[#This Row],[Audit Losing Candidate]:[Audit Candidate 12]])
      &lt;&gt;0,
      (Audit[[#This Row],[Winning Candidate]]-Audit[[#This Row],[Losing Candidate]]-(Audit[[#This Row],[Audit Winning Candidate]]-Audit[[#This Row],[Audit Losing Candidate]]))/(Audit[[#Totals],[Winning Candidate]]-Audit[[#Totals],[Losing Candidate]]),
      0
)</f>
        <v>0</v>
      </c>
      <c r="AV8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8">
        <f>IF(Audit[[#This Row],[Max Relative Error (ep)]] = 0, 0, Audit[[#This Row],[Max Relative Error (ep)]]/Audit[[#This Row],[Error Bound (up) - Max. possible relative overstatement]])</f>
        <v>0</v>
      </c>
      <c r="BH8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1" s="18">
        <f t="shared" si="13"/>
        <v>1</v>
      </c>
      <c r="BJ801" s="18">
        <f>PRODUCT($BI$5:BI801)</f>
        <v>0.32656797278968008</v>
      </c>
      <c r="BK801" s="20">
        <f>1 - Audit[[#This Row],[K-M P Value]]</f>
        <v>0.67343202721031992</v>
      </c>
      <c r="BL801" s="18" t="str">
        <f>IF(Audit[[#This Row],[K-M P Value]]&gt;1-'General Info'!$B$12,"Continue", "Stop")</f>
        <v>Continue</v>
      </c>
      <c r="BM801" s="23" t="b">
        <f>IF(Audit[[#This Row],[Status - Continue or stop audit]] = "Continue", TRUE, IF(BL800 = "Continue", TRUE, FALSE))</f>
        <v>1</v>
      </c>
      <c r="BN801" s="23"/>
    </row>
    <row r="802" spans="1:66" ht="15" hidden="1" customHeight="1" x14ac:dyDescent="0.35">
      <c r="A802" s="18" t="str">
        <f>'Sampling Data'!AI802</f>
        <v/>
      </c>
      <c r="B802" s="18" t="str">
        <f>'Sampling Data'!A802</f>
        <v>3506 IND HLL F   (ED)</v>
      </c>
      <c r="C802" s="18">
        <f>'Sampling Data'!B802</f>
        <v>74</v>
      </c>
      <c r="D802" s="18">
        <f>'Sampling Data'!C802</f>
        <v>12</v>
      </c>
      <c r="E802" s="19">
        <f>'Sampling Data'!D802</f>
        <v>0</v>
      </c>
      <c r="F802" s="19">
        <f>'Sampling Data'!E802</f>
        <v>0</v>
      </c>
      <c r="G802" s="19">
        <f>'Sampling Data'!F802</f>
        <v>0</v>
      </c>
      <c r="H802" s="19">
        <f>'Sampling Data'!G802</f>
        <v>0</v>
      </c>
      <c r="I802" s="19">
        <f>'Sampling Data'!H802</f>
        <v>0</v>
      </c>
      <c r="J802" s="19">
        <f>'Sampling Data'!I802</f>
        <v>0</v>
      </c>
      <c r="K802" s="19">
        <f>'Sampling Data'!J802</f>
        <v>0</v>
      </c>
      <c r="L802" s="19">
        <f>'Sampling Data'!K802</f>
        <v>0</v>
      </c>
      <c r="M802" s="19">
        <f>'Sampling Data'!L802</f>
        <v>0</v>
      </c>
      <c r="N802" s="19">
        <f>'Sampling Data'!M802</f>
        <v>0</v>
      </c>
      <c r="O802" s="18">
        <f>'Sampling Data'!N802</f>
        <v>0</v>
      </c>
      <c r="P802" s="18">
        <f>'Sampling Data'!O802</f>
        <v>1</v>
      </c>
      <c r="Q802" s="18">
        <f>'Sampling Data'!P802</f>
        <v>87</v>
      </c>
      <c r="R802" s="18">
        <f>'Sampling Data'!AJ802</f>
        <v>0</v>
      </c>
      <c r="S802" s="112"/>
      <c r="T802" s="112"/>
      <c r="U802" s="113"/>
      <c r="V802" s="113"/>
      <c r="W802" s="112"/>
      <c r="X802" s="112"/>
      <c r="Y802" s="112"/>
      <c r="Z802" s="112"/>
      <c r="AA802" s="15"/>
      <c r="AB802" s="15"/>
      <c r="AC802" s="15"/>
      <c r="AD802" s="15"/>
      <c r="AE802" s="114" t="str">
        <f>IF(NOT(ISBLANK(Audit[[#This Row],[Audit Winning Candidate]])), Audit[[#This Row],[Audit Winning Candidate]]-Audit[[#This Row],[Winning Candidate]], "")</f>
        <v/>
      </c>
      <c r="AF802" s="18" t="str">
        <f>IF(NOT(ISBLANK(Audit[[#This Row],[Audit Losing Candidate]])), Audit[[#This Row],[Audit Losing Candidate]]-Audit[[#This Row],[Losing Candidate]], "")</f>
        <v/>
      </c>
      <c r="AG802" s="18" t="str">
        <f>IF(NOT(ISBLANK(Audit[[#This Row],[Audit Candidate 3]])), Audit[[#This Row],[Audit Candidate 3]]-Audit[[#This Row],[Candidate 3]], "")</f>
        <v/>
      </c>
      <c r="AH802" s="18" t="str">
        <f>IF(NOT(ISBLANK(Audit[[#This Row],[Audit Candidate 4]])),Audit[[#This Row],[Audit Candidate 4]]-Audit[[#This Row],[Candidate 4]], "")</f>
        <v/>
      </c>
      <c r="AI802" s="18" t="str">
        <f>IF(NOT(ISBLANK(Audit[[#This Row],[Audit Candidate 5]])), Audit[[#This Row],[Audit Candidate 5]]-Audit[[#This Row],[Candidate 5]], "")</f>
        <v/>
      </c>
      <c r="AJ802" s="18" t="str">
        <f>IF(NOT(ISBLANK(Audit[[#This Row],[Audit Candidate 6]])), Audit[[#This Row],[Audit Candidate 6]]-Audit[[#This Row],[Candidate 6]], "")</f>
        <v/>
      </c>
      <c r="AK802" s="18" t="str">
        <f>IF(NOT(ISBLANK(Audit[[#This Row],[Audit Candidate 7]])), Audit[[#This Row],[Audit Candidate 7]]-Audit[[#This Row],[Candidate 7]], "")</f>
        <v/>
      </c>
      <c r="AL802" s="18" t="str">
        <f>IF(NOT(ISBLANK(Audit[[#This Row],[Audit Candidate 8]])), Audit[[#This Row],[Audit Candidate 8]]-Audit[[#This Row],[Candidate 8]], "")</f>
        <v/>
      </c>
      <c r="AM802" s="18" t="str">
        <f>IF(NOT(ISBLANK(Audit[[#This Row],[Audit Candidate 9]])), Audit[[#This Row],[Audit Candidate 9]]-Audit[[#This Row],[Candidate 9]], "")</f>
        <v/>
      </c>
      <c r="AN802" s="18" t="str">
        <f>IF(NOT(ISBLANK(Audit[[#This Row],[Audit Candidate 10]])), Audit[[#This Row],[Audit Candidate 10]]-Audit[[#This Row],[Candidate 10]], "")</f>
        <v/>
      </c>
      <c r="AO802" s="18" t="str">
        <f>IF(NOT(ISBLANK(Audit[[#This Row],[Audit Candidate 11]])), Audit[[#This Row],[Audit Candidate 11]]-Audit[[#This Row],[Candidate 11]], "")</f>
        <v/>
      </c>
      <c r="AP802" s="18" t="str">
        <f>IF(NOT(ISBLANK(Audit[[#This Row],[Audit Candidate 12]])), Audit[[#This Row],[Audit Candidate 12]]-Audit[[#This Row],[Candidate 12]], "")</f>
        <v/>
      </c>
      <c r="AQ802" s="18">
        <f>SUMIF(Audit[[#This Row],[Difference Winner]:[Difference Candidate 12]], "&gt;0")</f>
        <v>0</v>
      </c>
      <c r="AR802" s="18">
        <f>SUM(Audit[[#This Row],[Difference Winner]:[Difference Candidate 12]])</f>
        <v>0</v>
      </c>
      <c r="AS802" s="18">
        <f>IF(Audit[[#This Row],[Times p Drawn - With Replacement]]&gt;0, IF(Audit[[#This Row],[Canceled Differences]]&lt;0, Audit[[#This Row],[Max Differences]]+ABS(Audit[[#This Row],[Canceled Differences]]), Audit[[#This Row],[Max Differences]]), 0)</f>
        <v>0</v>
      </c>
      <c r="AT802" s="18">
        <f>'Sampling Data'!AB802</f>
        <v>4.6800892043848356E-3</v>
      </c>
      <c r="AU802" s="18">
        <f>IF(
      SUM(Audit[[#This Row],[Audit Losing Candidate]:[Audit Candidate 12]])
      &lt;&gt;0,
      (Audit[[#This Row],[Winning Candidate]]-Audit[[#This Row],[Losing Candidate]]-(Audit[[#This Row],[Audit Winning Candidate]]-Audit[[#This Row],[Audit Losing Candidate]]))/(Audit[[#Totals],[Winning Candidate]]-Audit[[#Totals],[Losing Candidate]]),
      0
)</f>
        <v>0</v>
      </c>
      <c r="AV8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8">
        <f>IF(Audit[[#This Row],[Max Relative Error (ep)]] = 0, 0, Audit[[#This Row],[Max Relative Error (ep)]]/Audit[[#This Row],[Error Bound (up) - Max. possible relative overstatement]])</f>
        <v>0</v>
      </c>
      <c r="BH8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2" s="18">
        <f t="shared" si="13"/>
        <v>1</v>
      </c>
      <c r="BJ802" s="18">
        <f>PRODUCT($BI$5:BI802)</f>
        <v>0.32656797278968008</v>
      </c>
      <c r="BK802" s="20">
        <f>1 - Audit[[#This Row],[K-M P Value]]</f>
        <v>0.67343202721031992</v>
      </c>
      <c r="BL802" s="18" t="str">
        <f>IF(Audit[[#This Row],[K-M P Value]]&gt;1-'General Info'!$B$12,"Continue", "Stop")</f>
        <v>Continue</v>
      </c>
      <c r="BM802" s="23" t="b">
        <f>IF(Audit[[#This Row],[Status - Continue or stop audit]] = "Continue", TRUE, IF(BL801 = "Continue", TRUE, FALSE))</f>
        <v>1</v>
      </c>
      <c r="BN802" s="23"/>
    </row>
    <row r="803" spans="1:66" ht="15" hidden="1" customHeight="1" x14ac:dyDescent="0.35">
      <c r="A803" s="18" t="str">
        <f>'Sampling Data'!AI803</f>
        <v/>
      </c>
      <c r="B803" s="18" t="str">
        <f>'Sampling Data'!A803</f>
        <v>3701 LOVE A   (ED)</v>
      </c>
      <c r="C803" s="18">
        <f>'Sampling Data'!B803</f>
        <v>69</v>
      </c>
      <c r="D803" s="18">
        <f>'Sampling Data'!C803</f>
        <v>9</v>
      </c>
      <c r="E803" s="19">
        <f>'Sampling Data'!D803</f>
        <v>0</v>
      </c>
      <c r="F803" s="19">
        <f>'Sampling Data'!E803</f>
        <v>0</v>
      </c>
      <c r="G803" s="19">
        <f>'Sampling Data'!F803</f>
        <v>0</v>
      </c>
      <c r="H803" s="19">
        <f>'Sampling Data'!G803</f>
        <v>0</v>
      </c>
      <c r="I803" s="19">
        <f>'Sampling Data'!H803</f>
        <v>0</v>
      </c>
      <c r="J803" s="19">
        <f>'Sampling Data'!I803</f>
        <v>0</v>
      </c>
      <c r="K803" s="19">
        <f>'Sampling Data'!J803</f>
        <v>0</v>
      </c>
      <c r="L803" s="19">
        <f>'Sampling Data'!K803</f>
        <v>0</v>
      </c>
      <c r="M803" s="19">
        <f>'Sampling Data'!L803</f>
        <v>0</v>
      </c>
      <c r="N803" s="19">
        <f>'Sampling Data'!M803</f>
        <v>0</v>
      </c>
      <c r="O803" s="18">
        <f>'Sampling Data'!N803</f>
        <v>0</v>
      </c>
      <c r="P803" s="18">
        <f>'Sampling Data'!O803</f>
        <v>0</v>
      </c>
      <c r="Q803" s="18">
        <f>'Sampling Data'!P803</f>
        <v>78</v>
      </c>
      <c r="R803" s="18">
        <f>'Sampling Data'!AJ803</f>
        <v>0</v>
      </c>
      <c r="S803" s="112"/>
      <c r="T803" s="112"/>
      <c r="U803" s="113"/>
      <c r="V803" s="113"/>
      <c r="W803" s="112"/>
      <c r="X803" s="112"/>
      <c r="Y803" s="112"/>
      <c r="Z803" s="112"/>
      <c r="AA803" s="15"/>
      <c r="AB803" s="15"/>
      <c r="AC803" s="15"/>
      <c r="AD803" s="15"/>
      <c r="AE803" s="114" t="str">
        <f>IF(NOT(ISBLANK(Audit[[#This Row],[Audit Winning Candidate]])), Audit[[#This Row],[Audit Winning Candidate]]-Audit[[#This Row],[Winning Candidate]], "")</f>
        <v/>
      </c>
      <c r="AF803" s="18" t="str">
        <f>IF(NOT(ISBLANK(Audit[[#This Row],[Audit Losing Candidate]])), Audit[[#This Row],[Audit Losing Candidate]]-Audit[[#This Row],[Losing Candidate]], "")</f>
        <v/>
      </c>
      <c r="AG803" s="18" t="str">
        <f>IF(NOT(ISBLANK(Audit[[#This Row],[Audit Candidate 3]])), Audit[[#This Row],[Audit Candidate 3]]-Audit[[#This Row],[Candidate 3]], "")</f>
        <v/>
      </c>
      <c r="AH803" s="18" t="str">
        <f>IF(NOT(ISBLANK(Audit[[#This Row],[Audit Candidate 4]])),Audit[[#This Row],[Audit Candidate 4]]-Audit[[#This Row],[Candidate 4]], "")</f>
        <v/>
      </c>
      <c r="AI803" s="18" t="str">
        <f>IF(NOT(ISBLANK(Audit[[#This Row],[Audit Candidate 5]])), Audit[[#This Row],[Audit Candidate 5]]-Audit[[#This Row],[Candidate 5]], "")</f>
        <v/>
      </c>
      <c r="AJ803" s="18" t="str">
        <f>IF(NOT(ISBLANK(Audit[[#This Row],[Audit Candidate 6]])), Audit[[#This Row],[Audit Candidate 6]]-Audit[[#This Row],[Candidate 6]], "")</f>
        <v/>
      </c>
      <c r="AK803" s="18" t="str">
        <f>IF(NOT(ISBLANK(Audit[[#This Row],[Audit Candidate 7]])), Audit[[#This Row],[Audit Candidate 7]]-Audit[[#This Row],[Candidate 7]], "")</f>
        <v/>
      </c>
      <c r="AL803" s="18" t="str">
        <f>IF(NOT(ISBLANK(Audit[[#This Row],[Audit Candidate 8]])), Audit[[#This Row],[Audit Candidate 8]]-Audit[[#This Row],[Candidate 8]], "")</f>
        <v/>
      </c>
      <c r="AM803" s="18" t="str">
        <f>IF(NOT(ISBLANK(Audit[[#This Row],[Audit Candidate 9]])), Audit[[#This Row],[Audit Candidate 9]]-Audit[[#This Row],[Candidate 9]], "")</f>
        <v/>
      </c>
      <c r="AN803" s="18" t="str">
        <f>IF(NOT(ISBLANK(Audit[[#This Row],[Audit Candidate 10]])), Audit[[#This Row],[Audit Candidate 10]]-Audit[[#This Row],[Candidate 10]], "")</f>
        <v/>
      </c>
      <c r="AO803" s="18" t="str">
        <f>IF(NOT(ISBLANK(Audit[[#This Row],[Audit Candidate 11]])), Audit[[#This Row],[Audit Candidate 11]]-Audit[[#This Row],[Candidate 11]], "")</f>
        <v/>
      </c>
      <c r="AP803" s="18" t="str">
        <f>IF(NOT(ISBLANK(Audit[[#This Row],[Audit Candidate 12]])), Audit[[#This Row],[Audit Candidate 12]]-Audit[[#This Row],[Candidate 12]], "")</f>
        <v/>
      </c>
      <c r="AQ803" s="18">
        <f>SUMIF(Audit[[#This Row],[Difference Winner]:[Difference Candidate 12]], "&gt;0")</f>
        <v>0</v>
      </c>
      <c r="AR803" s="18">
        <f>SUM(Audit[[#This Row],[Difference Winner]:[Difference Candidate 12]])</f>
        <v>0</v>
      </c>
      <c r="AS803" s="18">
        <f>IF(Audit[[#This Row],[Times p Drawn - With Replacement]]&gt;0, IF(Audit[[#This Row],[Canceled Differences]]&lt;0, Audit[[#This Row],[Max Differences]]+ABS(Audit[[#This Row],[Canceled Differences]]), Audit[[#This Row],[Max Differences]]), 0)</f>
        <v>0</v>
      </c>
      <c r="AT803" s="18">
        <f>'Sampling Data'!AB803</f>
        <v>4.3345792631215253E-3</v>
      </c>
      <c r="AU803" s="18">
        <f>IF(
      SUM(Audit[[#This Row],[Audit Losing Candidate]:[Audit Candidate 12]])
      &lt;&gt;0,
      (Audit[[#This Row],[Winning Candidate]]-Audit[[#This Row],[Losing Candidate]]-(Audit[[#This Row],[Audit Winning Candidate]]-Audit[[#This Row],[Audit Losing Candidate]]))/(Audit[[#Totals],[Winning Candidate]]-Audit[[#Totals],[Losing Candidate]]),
      0
)</f>
        <v>0</v>
      </c>
      <c r="AV8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8">
        <f>IF(Audit[[#This Row],[Max Relative Error (ep)]] = 0, 0, Audit[[#This Row],[Max Relative Error (ep)]]/Audit[[#This Row],[Error Bound (up) - Max. possible relative overstatement]])</f>
        <v>0</v>
      </c>
      <c r="BH8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3" s="18">
        <f t="shared" si="13"/>
        <v>1</v>
      </c>
      <c r="BJ803" s="18">
        <f>PRODUCT($BI$5:BI803)</f>
        <v>0.32656797278968008</v>
      </c>
      <c r="BK803" s="20">
        <f>1 - Audit[[#This Row],[K-M P Value]]</f>
        <v>0.67343202721031992</v>
      </c>
      <c r="BL803" s="18" t="str">
        <f>IF(Audit[[#This Row],[K-M P Value]]&gt;1-'General Info'!$B$12,"Continue", "Stop")</f>
        <v>Continue</v>
      </c>
      <c r="BM803" s="23" t="b">
        <f>IF(Audit[[#This Row],[Status - Continue or stop audit]] = "Continue", TRUE, IF(BL802 = "Continue", TRUE, FALSE))</f>
        <v>1</v>
      </c>
      <c r="BN803" s="23"/>
    </row>
    <row r="804" spans="1:66" ht="15" hidden="1" customHeight="1" x14ac:dyDescent="0.35">
      <c r="A804" s="18" t="str">
        <f>'Sampling Data'!AI804</f>
        <v/>
      </c>
      <c r="B804" s="18" t="str">
        <f>'Sampling Data'!A804</f>
        <v>3702 LOVE B   (ED)</v>
      </c>
      <c r="C804" s="18">
        <f>'Sampling Data'!B804</f>
        <v>76</v>
      </c>
      <c r="D804" s="18">
        <f>'Sampling Data'!C804</f>
        <v>15</v>
      </c>
      <c r="E804" s="19">
        <f>'Sampling Data'!D804</f>
        <v>0</v>
      </c>
      <c r="F804" s="19">
        <f>'Sampling Data'!E804</f>
        <v>0</v>
      </c>
      <c r="G804" s="19">
        <f>'Sampling Data'!F804</f>
        <v>0</v>
      </c>
      <c r="H804" s="19">
        <f>'Sampling Data'!G804</f>
        <v>0</v>
      </c>
      <c r="I804" s="19">
        <f>'Sampling Data'!H804</f>
        <v>0</v>
      </c>
      <c r="J804" s="19">
        <f>'Sampling Data'!I804</f>
        <v>0</v>
      </c>
      <c r="K804" s="19">
        <f>'Sampling Data'!J804</f>
        <v>0</v>
      </c>
      <c r="L804" s="19">
        <f>'Sampling Data'!K804</f>
        <v>0</v>
      </c>
      <c r="M804" s="19">
        <f>'Sampling Data'!L804</f>
        <v>0</v>
      </c>
      <c r="N804" s="19">
        <f>'Sampling Data'!M804</f>
        <v>0</v>
      </c>
      <c r="O804" s="18">
        <f>'Sampling Data'!N804</f>
        <v>0</v>
      </c>
      <c r="P804" s="18">
        <f>'Sampling Data'!O804</f>
        <v>0</v>
      </c>
      <c r="Q804" s="18">
        <f>'Sampling Data'!P804</f>
        <v>91</v>
      </c>
      <c r="R804" s="18">
        <f>'Sampling Data'!AJ804</f>
        <v>0</v>
      </c>
      <c r="S804" s="112"/>
      <c r="T804" s="112"/>
      <c r="U804" s="113"/>
      <c r="V804" s="113"/>
      <c r="W804" s="112"/>
      <c r="X804" s="112"/>
      <c r="Y804" s="112"/>
      <c r="Z804" s="112"/>
      <c r="AA804" s="15"/>
      <c r="AB804" s="15"/>
      <c r="AC804" s="15"/>
      <c r="AD804" s="15"/>
      <c r="AE804" s="114" t="str">
        <f>IF(NOT(ISBLANK(Audit[[#This Row],[Audit Winning Candidate]])), Audit[[#This Row],[Audit Winning Candidate]]-Audit[[#This Row],[Winning Candidate]], "")</f>
        <v/>
      </c>
      <c r="AF804" s="18" t="str">
        <f>IF(NOT(ISBLANK(Audit[[#This Row],[Audit Losing Candidate]])), Audit[[#This Row],[Audit Losing Candidate]]-Audit[[#This Row],[Losing Candidate]], "")</f>
        <v/>
      </c>
      <c r="AG804" s="18" t="str">
        <f>IF(NOT(ISBLANK(Audit[[#This Row],[Audit Candidate 3]])), Audit[[#This Row],[Audit Candidate 3]]-Audit[[#This Row],[Candidate 3]], "")</f>
        <v/>
      </c>
      <c r="AH804" s="18" t="str">
        <f>IF(NOT(ISBLANK(Audit[[#This Row],[Audit Candidate 4]])),Audit[[#This Row],[Audit Candidate 4]]-Audit[[#This Row],[Candidate 4]], "")</f>
        <v/>
      </c>
      <c r="AI804" s="18" t="str">
        <f>IF(NOT(ISBLANK(Audit[[#This Row],[Audit Candidate 5]])), Audit[[#This Row],[Audit Candidate 5]]-Audit[[#This Row],[Candidate 5]], "")</f>
        <v/>
      </c>
      <c r="AJ804" s="18" t="str">
        <f>IF(NOT(ISBLANK(Audit[[#This Row],[Audit Candidate 6]])), Audit[[#This Row],[Audit Candidate 6]]-Audit[[#This Row],[Candidate 6]], "")</f>
        <v/>
      </c>
      <c r="AK804" s="18" t="str">
        <f>IF(NOT(ISBLANK(Audit[[#This Row],[Audit Candidate 7]])), Audit[[#This Row],[Audit Candidate 7]]-Audit[[#This Row],[Candidate 7]], "")</f>
        <v/>
      </c>
      <c r="AL804" s="18" t="str">
        <f>IF(NOT(ISBLANK(Audit[[#This Row],[Audit Candidate 8]])), Audit[[#This Row],[Audit Candidate 8]]-Audit[[#This Row],[Candidate 8]], "")</f>
        <v/>
      </c>
      <c r="AM804" s="18" t="str">
        <f>IF(NOT(ISBLANK(Audit[[#This Row],[Audit Candidate 9]])), Audit[[#This Row],[Audit Candidate 9]]-Audit[[#This Row],[Candidate 9]], "")</f>
        <v/>
      </c>
      <c r="AN804" s="18" t="str">
        <f>IF(NOT(ISBLANK(Audit[[#This Row],[Audit Candidate 10]])), Audit[[#This Row],[Audit Candidate 10]]-Audit[[#This Row],[Candidate 10]], "")</f>
        <v/>
      </c>
      <c r="AO804" s="18" t="str">
        <f>IF(NOT(ISBLANK(Audit[[#This Row],[Audit Candidate 11]])), Audit[[#This Row],[Audit Candidate 11]]-Audit[[#This Row],[Candidate 11]], "")</f>
        <v/>
      </c>
      <c r="AP804" s="18" t="str">
        <f>IF(NOT(ISBLANK(Audit[[#This Row],[Audit Candidate 12]])), Audit[[#This Row],[Audit Candidate 12]]-Audit[[#This Row],[Candidate 12]], "")</f>
        <v/>
      </c>
      <c r="AQ804" s="18">
        <f>SUMIF(Audit[[#This Row],[Difference Winner]:[Difference Candidate 12]], "&gt;0")</f>
        <v>0</v>
      </c>
      <c r="AR804" s="18">
        <f>SUM(Audit[[#This Row],[Difference Winner]:[Difference Candidate 12]])</f>
        <v>0</v>
      </c>
      <c r="AS804" s="18">
        <f>IF(Audit[[#This Row],[Times p Drawn - With Replacement]]&gt;0, IF(Audit[[#This Row],[Canceled Differences]]&lt;0, Audit[[#This Row],[Max Differences]]+ABS(Audit[[#This Row],[Canceled Differences]]), Audit[[#This Row],[Max Differences]]), 0)</f>
        <v>0</v>
      </c>
      <c r="AT804" s="18">
        <f>'Sampling Data'!AB804</f>
        <v>4.7743191883657379E-3</v>
      </c>
      <c r="AU804" s="18">
        <f>IF(
      SUM(Audit[[#This Row],[Audit Losing Candidate]:[Audit Candidate 12]])
      &lt;&gt;0,
      (Audit[[#This Row],[Winning Candidate]]-Audit[[#This Row],[Losing Candidate]]-(Audit[[#This Row],[Audit Winning Candidate]]-Audit[[#This Row],[Audit Losing Candidate]]))/(Audit[[#Totals],[Winning Candidate]]-Audit[[#Totals],[Losing Candidate]]),
      0
)</f>
        <v>0</v>
      </c>
      <c r="AV8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8">
        <f>IF(Audit[[#This Row],[Max Relative Error (ep)]] = 0, 0, Audit[[#This Row],[Max Relative Error (ep)]]/Audit[[#This Row],[Error Bound (up) - Max. possible relative overstatement]])</f>
        <v>0</v>
      </c>
      <c r="BH8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4" s="18">
        <f t="shared" si="13"/>
        <v>1</v>
      </c>
      <c r="BJ804" s="18">
        <f>PRODUCT($BI$5:BI804)</f>
        <v>0.32656797278968008</v>
      </c>
      <c r="BK804" s="20">
        <f>1 - Audit[[#This Row],[K-M P Value]]</f>
        <v>0.67343202721031992</v>
      </c>
      <c r="BL804" s="18" t="str">
        <f>IF(Audit[[#This Row],[K-M P Value]]&gt;1-'General Info'!$B$12,"Continue", "Stop")</f>
        <v>Continue</v>
      </c>
      <c r="BM804" s="23" t="b">
        <f>IF(Audit[[#This Row],[Status - Continue or stop audit]] = "Continue", TRUE, IF(BL803 = "Continue", TRUE, FALSE))</f>
        <v>1</v>
      </c>
      <c r="BN804" s="23"/>
    </row>
    <row r="805" spans="1:66" ht="15" hidden="1" customHeight="1" x14ac:dyDescent="0.35">
      <c r="A805" s="18" t="str">
        <f>'Sampling Data'!AI805</f>
        <v/>
      </c>
      <c r="B805" s="18" t="str">
        <f>'Sampling Data'!A805</f>
        <v>3703 LOVE C   (ED)</v>
      </c>
      <c r="C805" s="18">
        <f>'Sampling Data'!B805</f>
        <v>69</v>
      </c>
      <c r="D805" s="18">
        <f>'Sampling Data'!C805</f>
        <v>11</v>
      </c>
      <c r="E805" s="19">
        <f>'Sampling Data'!D805</f>
        <v>0</v>
      </c>
      <c r="F805" s="19">
        <f>'Sampling Data'!E805</f>
        <v>0</v>
      </c>
      <c r="G805" s="19">
        <f>'Sampling Data'!F805</f>
        <v>0</v>
      </c>
      <c r="H805" s="19">
        <f>'Sampling Data'!G805</f>
        <v>0</v>
      </c>
      <c r="I805" s="19">
        <f>'Sampling Data'!H805</f>
        <v>0</v>
      </c>
      <c r="J805" s="19">
        <f>'Sampling Data'!I805</f>
        <v>0</v>
      </c>
      <c r="K805" s="19">
        <f>'Sampling Data'!J805</f>
        <v>0</v>
      </c>
      <c r="L805" s="19">
        <f>'Sampling Data'!K805</f>
        <v>0</v>
      </c>
      <c r="M805" s="19">
        <f>'Sampling Data'!L805</f>
        <v>0</v>
      </c>
      <c r="N805" s="19">
        <f>'Sampling Data'!M805</f>
        <v>0</v>
      </c>
      <c r="O805" s="18">
        <f>'Sampling Data'!N805</f>
        <v>0</v>
      </c>
      <c r="P805" s="18">
        <f>'Sampling Data'!O805</f>
        <v>2</v>
      </c>
      <c r="Q805" s="18">
        <f>'Sampling Data'!P805</f>
        <v>82</v>
      </c>
      <c r="R805" s="18">
        <f>'Sampling Data'!AJ805</f>
        <v>0</v>
      </c>
      <c r="S805" s="112"/>
      <c r="T805" s="112"/>
      <c r="U805" s="113"/>
      <c r="V805" s="113"/>
      <c r="W805" s="112"/>
      <c r="X805" s="112"/>
      <c r="Y805" s="112"/>
      <c r="Z805" s="112"/>
      <c r="AA805" s="15"/>
      <c r="AB805" s="15"/>
      <c r="AC805" s="15"/>
      <c r="AD805" s="15"/>
      <c r="AE805" s="114" t="str">
        <f>IF(NOT(ISBLANK(Audit[[#This Row],[Audit Winning Candidate]])), Audit[[#This Row],[Audit Winning Candidate]]-Audit[[#This Row],[Winning Candidate]], "")</f>
        <v/>
      </c>
      <c r="AF805" s="18" t="str">
        <f>IF(NOT(ISBLANK(Audit[[#This Row],[Audit Losing Candidate]])), Audit[[#This Row],[Audit Losing Candidate]]-Audit[[#This Row],[Losing Candidate]], "")</f>
        <v/>
      </c>
      <c r="AG805" s="18" t="str">
        <f>IF(NOT(ISBLANK(Audit[[#This Row],[Audit Candidate 3]])), Audit[[#This Row],[Audit Candidate 3]]-Audit[[#This Row],[Candidate 3]], "")</f>
        <v/>
      </c>
      <c r="AH805" s="18" t="str">
        <f>IF(NOT(ISBLANK(Audit[[#This Row],[Audit Candidate 4]])),Audit[[#This Row],[Audit Candidate 4]]-Audit[[#This Row],[Candidate 4]], "")</f>
        <v/>
      </c>
      <c r="AI805" s="18" t="str">
        <f>IF(NOT(ISBLANK(Audit[[#This Row],[Audit Candidate 5]])), Audit[[#This Row],[Audit Candidate 5]]-Audit[[#This Row],[Candidate 5]], "")</f>
        <v/>
      </c>
      <c r="AJ805" s="18" t="str">
        <f>IF(NOT(ISBLANK(Audit[[#This Row],[Audit Candidate 6]])), Audit[[#This Row],[Audit Candidate 6]]-Audit[[#This Row],[Candidate 6]], "")</f>
        <v/>
      </c>
      <c r="AK805" s="18" t="str">
        <f>IF(NOT(ISBLANK(Audit[[#This Row],[Audit Candidate 7]])), Audit[[#This Row],[Audit Candidate 7]]-Audit[[#This Row],[Candidate 7]], "")</f>
        <v/>
      </c>
      <c r="AL805" s="18" t="str">
        <f>IF(NOT(ISBLANK(Audit[[#This Row],[Audit Candidate 8]])), Audit[[#This Row],[Audit Candidate 8]]-Audit[[#This Row],[Candidate 8]], "")</f>
        <v/>
      </c>
      <c r="AM805" s="18" t="str">
        <f>IF(NOT(ISBLANK(Audit[[#This Row],[Audit Candidate 9]])), Audit[[#This Row],[Audit Candidate 9]]-Audit[[#This Row],[Candidate 9]], "")</f>
        <v/>
      </c>
      <c r="AN805" s="18" t="str">
        <f>IF(NOT(ISBLANK(Audit[[#This Row],[Audit Candidate 10]])), Audit[[#This Row],[Audit Candidate 10]]-Audit[[#This Row],[Candidate 10]], "")</f>
        <v/>
      </c>
      <c r="AO805" s="18" t="str">
        <f>IF(NOT(ISBLANK(Audit[[#This Row],[Audit Candidate 11]])), Audit[[#This Row],[Audit Candidate 11]]-Audit[[#This Row],[Candidate 11]], "")</f>
        <v/>
      </c>
      <c r="AP805" s="18" t="str">
        <f>IF(NOT(ISBLANK(Audit[[#This Row],[Audit Candidate 12]])), Audit[[#This Row],[Audit Candidate 12]]-Audit[[#This Row],[Candidate 12]], "")</f>
        <v/>
      </c>
      <c r="AQ805" s="18">
        <f>SUMIF(Audit[[#This Row],[Difference Winner]:[Difference Candidate 12]], "&gt;0")</f>
        <v>0</v>
      </c>
      <c r="AR805" s="18">
        <f>SUM(Audit[[#This Row],[Difference Winner]:[Difference Candidate 12]])</f>
        <v>0</v>
      </c>
      <c r="AS805" s="18">
        <f>IF(Audit[[#This Row],[Times p Drawn - With Replacement]]&gt;0, IF(Audit[[#This Row],[Canceled Differences]]&lt;0, Audit[[#This Row],[Max Differences]]+ABS(Audit[[#This Row],[Canceled Differences]]), Audit[[#This Row],[Max Differences]]), 0)</f>
        <v>0</v>
      </c>
      <c r="AT805" s="18">
        <f>'Sampling Data'!AB805</f>
        <v>4.3973992524421269E-3</v>
      </c>
      <c r="AU805" s="18">
        <f>IF(
      SUM(Audit[[#This Row],[Audit Losing Candidate]:[Audit Candidate 12]])
      &lt;&gt;0,
      (Audit[[#This Row],[Winning Candidate]]-Audit[[#This Row],[Losing Candidate]]-(Audit[[#This Row],[Audit Winning Candidate]]-Audit[[#This Row],[Audit Losing Candidate]]))/(Audit[[#Totals],[Winning Candidate]]-Audit[[#Totals],[Losing Candidate]]),
      0
)</f>
        <v>0</v>
      </c>
      <c r="AV8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8">
        <f>IF(Audit[[#This Row],[Max Relative Error (ep)]] = 0, 0, Audit[[#This Row],[Max Relative Error (ep)]]/Audit[[#This Row],[Error Bound (up) - Max. possible relative overstatement]])</f>
        <v>0</v>
      </c>
      <c r="BH8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5" s="18">
        <f t="shared" si="13"/>
        <v>1</v>
      </c>
      <c r="BJ805" s="18">
        <f>PRODUCT($BI$5:BI805)</f>
        <v>0.32656797278968008</v>
      </c>
      <c r="BK805" s="20">
        <f>1 - Audit[[#This Row],[K-M P Value]]</f>
        <v>0.67343202721031992</v>
      </c>
      <c r="BL805" s="18" t="str">
        <f>IF(Audit[[#This Row],[K-M P Value]]&gt;1-'General Info'!$B$12,"Continue", "Stop")</f>
        <v>Continue</v>
      </c>
      <c r="BM805" s="23" t="b">
        <f>IF(Audit[[#This Row],[Status - Continue or stop audit]] = "Continue", TRUE, IF(BL804 = "Continue", TRUE, FALSE))</f>
        <v>1</v>
      </c>
      <c r="BN805" s="23"/>
    </row>
    <row r="806" spans="1:66" ht="15" hidden="1" customHeight="1" x14ac:dyDescent="0.35">
      <c r="A806" s="18" t="str">
        <f>'Sampling Data'!AI806</f>
        <v/>
      </c>
      <c r="B806" s="18" t="str">
        <f>'Sampling Data'!A806</f>
        <v>3704 LOVE D   (ED)</v>
      </c>
      <c r="C806" s="18">
        <f>'Sampling Data'!B806</f>
        <v>49</v>
      </c>
      <c r="D806" s="18">
        <f>'Sampling Data'!C806</f>
        <v>5</v>
      </c>
      <c r="E806" s="19">
        <f>'Sampling Data'!D806</f>
        <v>0</v>
      </c>
      <c r="F806" s="19">
        <f>'Sampling Data'!E806</f>
        <v>0</v>
      </c>
      <c r="G806" s="19">
        <f>'Sampling Data'!F806</f>
        <v>0</v>
      </c>
      <c r="H806" s="19">
        <f>'Sampling Data'!G806</f>
        <v>0</v>
      </c>
      <c r="I806" s="19">
        <f>'Sampling Data'!H806</f>
        <v>0</v>
      </c>
      <c r="J806" s="19">
        <f>'Sampling Data'!I806</f>
        <v>0</v>
      </c>
      <c r="K806" s="19">
        <f>'Sampling Data'!J806</f>
        <v>0</v>
      </c>
      <c r="L806" s="19">
        <f>'Sampling Data'!K806</f>
        <v>0</v>
      </c>
      <c r="M806" s="19">
        <f>'Sampling Data'!L806</f>
        <v>0</v>
      </c>
      <c r="N806" s="19">
        <f>'Sampling Data'!M806</f>
        <v>0</v>
      </c>
      <c r="O806" s="18">
        <f>'Sampling Data'!N806</f>
        <v>0</v>
      </c>
      <c r="P806" s="18">
        <f>'Sampling Data'!O806</f>
        <v>0</v>
      </c>
      <c r="Q806" s="18">
        <f>'Sampling Data'!P806</f>
        <v>54</v>
      </c>
      <c r="R806" s="18">
        <f>'Sampling Data'!AJ806</f>
        <v>0</v>
      </c>
      <c r="S806" s="112"/>
      <c r="T806" s="112"/>
      <c r="U806" s="113"/>
      <c r="V806" s="113"/>
      <c r="W806" s="112"/>
      <c r="X806" s="112"/>
      <c r="Y806" s="112"/>
      <c r="Z806" s="112"/>
      <c r="AA806" s="15"/>
      <c r="AB806" s="15"/>
      <c r="AC806" s="15"/>
      <c r="AD806" s="15"/>
      <c r="AE806" s="114" t="str">
        <f>IF(NOT(ISBLANK(Audit[[#This Row],[Audit Winning Candidate]])), Audit[[#This Row],[Audit Winning Candidate]]-Audit[[#This Row],[Winning Candidate]], "")</f>
        <v/>
      </c>
      <c r="AF806" s="18" t="str">
        <f>IF(NOT(ISBLANK(Audit[[#This Row],[Audit Losing Candidate]])), Audit[[#This Row],[Audit Losing Candidate]]-Audit[[#This Row],[Losing Candidate]], "")</f>
        <v/>
      </c>
      <c r="AG806" s="18" t="str">
        <f>IF(NOT(ISBLANK(Audit[[#This Row],[Audit Candidate 3]])), Audit[[#This Row],[Audit Candidate 3]]-Audit[[#This Row],[Candidate 3]], "")</f>
        <v/>
      </c>
      <c r="AH806" s="18" t="str">
        <f>IF(NOT(ISBLANK(Audit[[#This Row],[Audit Candidate 4]])),Audit[[#This Row],[Audit Candidate 4]]-Audit[[#This Row],[Candidate 4]], "")</f>
        <v/>
      </c>
      <c r="AI806" s="18" t="str">
        <f>IF(NOT(ISBLANK(Audit[[#This Row],[Audit Candidate 5]])), Audit[[#This Row],[Audit Candidate 5]]-Audit[[#This Row],[Candidate 5]], "")</f>
        <v/>
      </c>
      <c r="AJ806" s="18" t="str">
        <f>IF(NOT(ISBLANK(Audit[[#This Row],[Audit Candidate 6]])), Audit[[#This Row],[Audit Candidate 6]]-Audit[[#This Row],[Candidate 6]], "")</f>
        <v/>
      </c>
      <c r="AK806" s="18" t="str">
        <f>IF(NOT(ISBLANK(Audit[[#This Row],[Audit Candidate 7]])), Audit[[#This Row],[Audit Candidate 7]]-Audit[[#This Row],[Candidate 7]], "")</f>
        <v/>
      </c>
      <c r="AL806" s="18" t="str">
        <f>IF(NOT(ISBLANK(Audit[[#This Row],[Audit Candidate 8]])), Audit[[#This Row],[Audit Candidate 8]]-Audit[[#This Row],[Candidate 8]], "")</f>
        <v/>
      </c>
      <c r="AM806" s="18" t="str">
        <f>IF(NOT(ISBLANK(Audit[[#This Row],[Audit Candidate 9]])), Audit[[#This Row],[Audit Candidate 9]]-Audit[[#This Row],[Candidate 9]], "")</f>
        <v/>
      </c>
      <c r="AN806" s="18" t="str">
        <f>IF(NOT(ISBLANK(Audit[[#This Row],[Audit Candidate 10]])), Audit[[#This Row],[Audit Candidate 10]]-Audit[[#This Row],[Candidate 10]], "")</f>
        <v/>
      </c>
      <c r="AO806" s="18" t="str">
        <f>IF(NOT(ISBLANK(Audit[[#This Row],[Audit Candidate 11]])), Audit[[#This Row],[Audit Candidate 11]]-Audit[[#This Row],[Candidate 11]], "")</f>
        <v/>
      </c>
      <c r="AP806" s="18" t="str">
        <f>IF(NOT(ISBLANK(Audit[[#This Row],[Audit Candidate 12]])), Audit[[#This Row],[Audit Candidate 12]]-Audit[[#This Row],[Candidate 12]], "")</f>
        <v/>
      </c>
      <c r="AQ806" s="18">
        <f>SUMIF(Audit[[#This Row],[Difference Winner]:[Difference Candidate 12]], "&gt;0")</f>
        <v>0</v>
      </c>
      <c r="AR806" s="18">
        <f>SUM(Audit[[#This Row],[Difference Winner]:[Difference Candidate 12]])</f>
        <v>0</v>
      </c>
      <c r="AS806" s="18">
        <f>IF(Audit[[#This Row],[Times p Drawn - With Replacement]]&gt;0, IF(Audit[[#This Row],[Canceled Differences]]&lt;0, Audit[[#This Row],[Max Differences]]+ABS(Audit[[#This Row],[Canceled Differences]]), Audit[[#This Row],[Max Differences]]), 0)</f>
        <v>0</v>
      </c>
      <c r="AT806" s="18">
        <f>'Sampling Data'!AB806</f>
        <v>3.0781794767094891E-3</v>
      </c>
      <c r="AU806" s="18">
        <f>IF(
      SUM(Audit[[#This Row],[Audit Losing Candidate]:[Audit Candidate 12]])
      &lt;&gt;0,
      (Audit[[#This Row],[Winning Candidate]]-Audit[[#This Row],[Losing Candidate]]-(Audit[[#This Row],[Audit Winning Candidate]]-Audit[[#This Row],[Audit Losing Candidate]]))/(Audit[[#Totals],[Winning Candidate]]-Audit[[#Totals],[Losing Candidate]]),
      0
)</f>
        <v>0</v>
      </c>
      <c r="AV8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8">
        <f>IF(Audit[[#This Row],[Max Relative Error (ep)]] = 0, 0, Audit[[#This Row],[Max Relative Error (ep)]]/Audit[[#This Row],[Error Bound (up) - Max. possible relative overstatement]])</f>
        <v>0</v>
      </c>
      <c r="BH8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6" s="18">
        <f t="shared" si="13"/>
        <v>1</v>
      </c>
      <c r="BJ806" s="18">
        <f>PRODUCT($BI$5:BI806)</f>
        <v>0.32656797278968008</v>
      </c>
      <c r="BK806" s="20">
        <f>1 - Audit[[#This Row],[K-M P Value]]</f>
        <v>0.67343202721031992</v>
      </c>
      <c r="BL806" s="18" t="str">
        <f>IF(Audit[[#This Row],[K-M P Value]]&gt;1-'General Info'!$B$12,"Continue", "Stop")</f>
        <v>Continue</v>
      </c>
      <c r="BM806" s="23" t="b">
        <f>IF(Audit[[#This Row],[Status - Continue or stop audit]] = "Continue", TRUE, IF(BL805 = "Continue", TRUE, FALSE))</f>
        <v>1</v>
      </c>
      <c r="BN806" s="23"/>
    </row>
    <row r="807" spans="1:66" ht="15" hidden="1" customHeight="1" x14ac:dyDescent="0.35">
      <c r="A807" s="18" t="str">
        <f>'Sampling Data'!AI807</f>
        <v/>
      </c>
      <c r="B807" s="18" t="str">
        <f>'Sampling Data'!A807</f>
        <v>3705 LOVE E   (ED)</v>
      </c>
      <c r="C807" s="18">
        <f>'Sampling Data'!B807</f>
        <v>82</v>
      </c>
      <c r="D807" s="18">
        <f>'Sampling Data'!C807</f>
        <v>9</v>
      </c>
      <c r="E807" s="19">
        <f>'Sampling Data'!D807</f>
        <v>0</v>
      </c>
      <c r="F807" s="19">
        <f>'Sampling Data'!E807</f>
        <v>0</v>
      </c>
      <c r="G807" s="19">
        <f>'Sampling Data'!F807</f>
        <v>0</v>
      </c>
      <c r="H807" s="19">
        <f>'Sampling Data'!G807</f>
        <v>0</v>
      </c>
      <c r="I807" s="19">
        <f>'Sampling Data'!H807</f>
        <v>0</v>
      </c>
      <c r="J807" s="19">
        <f>'Sampling Data'!I807</f>
        <v>0</v>
      </c>
      <c r="K807" s="19">
        <f>'Sampling Data'!J807</f>
        <v>0</v>
      </c>
      <c r="L807" s="19">
        <f>'Sampling Data'!K807</f>
        <v>0</v>
      </c>
      <c r="M807" s="19">
        <f>'Sampling Data'!L807</f>
        <v>0</v>
      </c>
      <c r="N807" s="19">
        <f>'Sampling Data'!M807</f>
        <v>0</v>
      </c>
      <c r="O807" s="18">
        <f>'Sampling Data'!N807</f>
        <v>0</v>
      </c>
      <c r="P807" s="18">
        <f>'Sampling Data'!O807</f>
        <v>0</v>
      </c>
      <c r="Q807" s="18">
        <f>'Sampling Data'!P807</f>
        <v>91</v>
      </c>
      <c r="R807" s="18">
        <f>'Sampling Data'!AJ807</f>
        <v>0</v>
      </c>
      <c r="S807" s="112"/>
      <c r="T807" s="112"/>
      <c r="U807" s="113"/>
      <c r="V807" s="113"/>
      <c r="W807" s="112"/>
      <c r="X807" s="112"/>
      <c r="Y807" s="112"/>
      <c r="Z807" s="112"/>
      <c r="AA807" s="15"/>
      <c r="AB807" s="15"/>
      <c r="AC807" s="15"/>
      <c r="AD807" s="15"/>
      <c r="AE807" s="114" t="str">
        <f>IF(NOT(ISBLANK(Audit[[#This Row],[Audit Winning Candidate]])), Audit[[#This Row],[Audit Winning Candidate]]-Audit[[#This Row],[Winning Candidate]], "")</f>
        <v/>
      </c>
      <c r="AF807" s="18" t="str">
        <f>IF(NOT(ISBLANK(Audit[[#This Row],[Audit Losing Candidate]])), Audit[[#This Row],[Audit Losing Candidate]]-Audit[[#This Row],[Losing Candidate]], "")</f>
        <v/>
      </c>
      <c r="AG807" s="18" t="str">
        <f>IF(NOT(ISBLANK(Audit[[#This Row],[Audit Candidate 3]])), Audit[[#This Row],[Audit Candidate 3]]-Audit[[#This Row],[Candidate 3]], "")</f>
        <v/>
      </c>
      <c r="AH807" s="18" t="str">
        <f>IF(NOT(ISBLANK(Audit[[#This Row],[Audit Candidate 4]])),Audit[[#This Row],[Audit Candidate 4]]-Audit[[#This Row],[Candidate 4]], "")</f>
        <v/>
      </c>
      <c r="AI807" s="18" t="str">
        <f>IF(NOT(ISBLANK(Audit[[#This Row],[Audit Candidate 5]])), Audit[[#This Row],[Audit Candidate 5]]-Audit[[#This Row],[Candidate 5]], "")</f>
        <v/>
      </c>
      <c r="AJ807" s="18" t="str">
        <f>IF(NOT(ISBLANK(Audit[[#This Row],[Audit Candidate 6]])), Audit[[#This Row],[Audit Candidate 6]]-Audit[[#This Row],[Candidate 6]], "")</f>
        <v/>
      </c>
      <c r="AK807" s="18" t="str">
        <f>IF(NOT(ISBLANK(Audit[[#This Row],[Audit Candidate 7]])), Audit[[#This Row],[Audit Candidate 7]]-Audit[[#This Row],[Candidate 7]], "")</f>
        <v/>
      </c>
      <c r="AL807" s="18" t="str">
        <f>IF(NOT(ISBLANK(Audit[[#This Row],[Audit Candidate 8]])), Audit[[#This Row],[Audit Candidate 8]]-Audit[[#This Row],[Candidate 8]], "")</f>
        <v/>
      </c>
      <c r="AM807" s="18" t="str">
        <f>IF(NOT(ISBLANK(Audit[[#This Row],[Audit Candidate 9]])), Audit[[#This Row],[Audit Candidate 9]]-Audit[[#This Row],[Candidate 9]], "")</f>
        <v/>
      </c>
      <c r="AN807" s="18" t="str">
        <f>IF(NOT(ISBLANK(Audit[[#This Row],[Audit Candidate 10]])), Audit[[#This Row],[Audit Candidate 10]]-Audit[[#This Row],[Candidate 10]], "")</f>
        <v/>
      </c>
      <c r="AO807" s="18" t="str">
        <f>IF(NOT(ISBLANK(Audit[[#This Row],[Audit Candidate 11]])), Audit[[#This Row],[Audit Candidate 11]]-Audit[[#This Row],[Candidate 11]], "")</f>
        <v/>
      </c>
      <c r="AP807" s="18" t="str">
        <f>IF(NOT(ISBLANK(Audit[[#This Row],[Audit Candidate 12]])), Audit[[#This Row],[Audit Candidate 12]]-Audit[[#This Row],[Candidate 12]], "")</f>
        <v/>
      </c>
      <c r="AQ807" s="18">
        <f>SUMIF(Audit[[#This Row],[Difference Winner]:[Difference Candidate 12]], "&gt;0")</f>
        <v>0</v>
      </c>
      <c r="AR807" s="18">
        <f>SUM(Audit[[#This Row],[Difference Winner]:[Difference Candidate 12]])</f>
        <v>0</v>
      </c>
      <c r="AS807" s="18">
        <f>IF(Audit[[#This Row],[Times p Drawn - With Replacement]]&gt;0, IF(Audit[[#This Row],[Canceled Differences]]&lt;0, Audit[[#This Row],[Max Differences]]+ABS(Audit[[#This Row],[Canceled Differences]]), Audit[[#This Row],[Max Differences]]), 0)</f>
        <v>0</v>
      </c>
      <c r="AT807" s="18">
        <f>'Sampling Data'!AB807</f>
        <v>5.1512391242893489E-3</v>
      </c>
      <c r="AU807" s="18">
        <f>IF(
      SUM(Audit[[#This Row],[Audit Losing Candidate]:[Audit Candidate 12]])
      &lt;&gt;0,
      (Audit[[#This Row],[Winning Candidate]]-Audit[[#This Row],[Losing Candidate]]-(Audit[[#This Row],[Audit Winning Candidate]]-Audit[[#This Row],[Audit Losing Candidate]]))/(Audit[[#Totals],[Winning Candidate]]-Audit[[#Totals],[Losing Candidate]]),
      0
)</f>
        <v>0</v>
      </c>
      <c r="AV8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8">
        <f>IF(Audit[[#This Row],[Max Relative Error (ep)]] = 0, 0, Audit[[#This Row],[Max Relative Error (ep)]]/Audit[[#This Row],[Error Bound (up) - Max. possible relative overstatement]])</f>
        <v>0</v>
      </c>
      <c r="BH8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7" s="18">
        <f t="shared" si="13"/>
        <v>1</v>
      </c>
      <c r="BJ807" s="18">
        <f>PRODUCT($BI$5:BI807)</f>
        <v>0.32656797278968008</v>
      </c>
      <c r="BK807" s="20">
        <f>1 - Audit[[#This Row],[K-M P Value]]</f>
        <v>0.67343202721031992</v>
      </c>
      <c r="BL807" s="18" t="str">
        <f>IF(Audit[[#This Row],[K-M P Value]]&gt;1-'General Info'!$B$12,"Continue", "Stop")</f>
        <v>Continue</v>
      </c>
      <c r="BM807" s="23" t="b">
        <f>IF(Audit[[#This Row],[Status - Continue or stop audit]] = "Continue", TRUE, IF(BL806 = "Continue", TRUE, FALSE))</f>
        <v>1</v>
      </c>
      <c r="BN807" s="23"/>
    </row>
    <row r="808" spans="1:66" ht="15" hidden="1" customHeight="1" x14ac:dyDescent="0.35">
      <c r="A808" s="18" t="str">
        <f>'Sampling Data'!AI808</f>
        <v/>
      </c>
      <c r="B808" s="18" t="str">
        <f>'Sampling Data'!A808</f>
        <v>3706 LOVE F   (ED)</v>
      </c>
      <c r="C808" s="18">
        <f>'Sampling Data'!B808</f>
        <v>61</v>
      </c>
      <c r="D808" s="18">
        <f>'Sampling Data'!C808</f>
        <v>8</v>
      </c>
      <c r="E808" s="19">
        <f>'Sampling Data'!D808</f>
        <v>0</v>
      </c>
      <c r="F808" s="19">
        <f>'Sampling Data'!E808</f>
        <v>0</v>
      </c>
      <c r="G808" s="19">
        <f>'Sampling Data'!F808</f>
        <v>0</v>
      </c>
      <c r="H808" s="19">
        <f>'Sampling Data'!G808</f>
        <v>0</v>
      </c>
      <c r="I808" s="19">
        <f>'Sampling Data'!H808</f>
        <v>0</v>
      </c>
      <c r="J808" s="19">
        <f>'Sampling Data'!I808</f>
        <v>0</v>
      </c>
      <c r="K808" s="19">
        <f>'Sampling Data'!J808</f>
        <v>0</v>
      </c>
      <c r="L808" s="19">
        <f>'Sampling Data'!K808</f>
        <v>0</v>
      </c>
      <c r="M808" s="19">
        <f>'Sampling Data'!L808</f>
        <v>0</v>
      </c>
      <c r="N808" s="19">
        <f>'Sampling Data'!M808</f>
        <v>0</v>
      </c>
      <c r="O808" s="18">
        <f>'Sampling Data'!N808</f>
        <v>0</v>
      </c>
      <c r="P808" s="18">
        <f>'Sampling Data'!O808</f>
        <v>3</v>
      </c>
      <c r="Q808" s="18">
        <f>'Sampling Data'!P808</f>
        <v>72</v>
      </c>
      <c r="R808" s="18">
        <f>'Sampling Data'!AJ808</f>
        <v>0</v>
      </c>
      <c r="S808" s="112"/>
      <c r="T808" s="112"/>
      <c r="U808" s="113"/>
      <c r="V808" s="113"/>
      <c r="W808" s="112"/>
      <c r="X808" s="112"/>
      <c r="Y808" s="112"/>
      <c r="Z808" s="112"/>
      <c r="AA808" s="15"/>
      <c r="AB808" s="15"/>
      <c r="AC808" s="15"/>
      <c r="AD808" s="15"/>
      <c r="AE808" s="114" t="str">
        <f>IF(NOT(ISBLANK(Audit[[#This Row],[Audit Winning Candidate]])), Audit[[#This Row],[Audit Winning Candidate]]-Audit[[#This Row],[Winning Candidate]], "")</f>
        <v/>
      </c>
      <c r="AF808" s="18" t="str">
        <f>IF(NOT(ISBLANK(Audit[[#This Row],[Audit Losing Candidate]])), Audit[[#This Row],[Audit Losing Candidate]]-Audit[[#This Row],[Losing Candidate]], "")</f>
        <v/>
      </c>
      <c r="AG808" s="18" t="str">
        <f>IF(NOT(ISBLANK(Audit[[#This Row],[Audit Candidate 3]])), Audit[[#This Row],[Audit Candidate 3]]-Audit[[#This Row],[Candidate 3]], "")</f>
        <v/>
      </c>
      <c r="AH808" s="18" t="str">
        <f>IF(NOT(ISBLANK(Audit[[#This Row],[Audit Candidate 4]])),Audit[[#This Row],[Audit Candidate 4]]-Audit[[#This Row],[Candidate 4]], "")</f>
        <v/>
      </c>
      <c r="AI808" s="18" t="str">
        <f>IF(NOT(ISBLANK(Audit[[#This Row],[Audit Candidate 5]])), Audit[[#This Row],[Audit Candidate 5]]-Audit[[#This Row],[Candidate 5]], "")</f>
        <v/>
      </c>
      <c r="AJ808" s="18" t="str">
        <f>IF(NOT(ISBLANK(Audit[[#This Row],[Audit Candidate 6]])), Audit[[#This Row],[Audit Candidate 6]]-Audit[[#This Row],[Candidate 6]], "")</f>
        <v/>
      </c>
      <c r="AK808" s="18" t="str">
        <f>IF(NOT(ISBLANK(Audit[[#This Row],[Audit Candidate 7]])), Audit[[#This Row],[Audit Candidate 7]]-Audit[[#This Row],[Candidate 7]], "")</f>
        <v/>
      </c>
      <c r="AL808" s="18" t="str">
        <f>IF(NOT(ISBLANK(Audit[[#This Row],[Audit Candidate 8]])), Audit[[#This Row],[Audit Candidate 8]]-Audit[[#This Row],[Candidate 8]], "")</f>
        <v/>
      </c>
      <c r="AM808" s="18" t="str">
        <f>IF(NOT(ISBLANK(Audit[[#This Row],[Audit Candidate 9]])), Audit[[#This Row],[Audit Candidate 9]]-Audit[[#This Row],[Candidate 9]], "")</f>
        <v/>
      </c>
      <c r="AN808" s="18" t="str">
        <f>IF(NOT(ISBLANK(Audit[[#This Row],[Audit Candidate 10]])), Audit[[#This Row],[Audit Candidate 10]]-Audit[[#This Row],[Candidate 10]], "")</f>
        <v/>
      </c>
      <c r="AO808" s="18" t="str">
        <f>IF(NOT(ISBLANK(Audit[[#This Row],[Audit Candidate 11]])), Audit[[#This Row],[Audit Candidate 11]]-Audit[[#This Row],[Candidate 11]], "")</f>
        <v/>
      </c>
      <c r="AP808" s="18" t="str">
        <f>IF(NOT(ISBLANK(Audit[[#This Row],[Audit Candidate 12]])), Audit[[#This Row],[Audit Candidate 12]]-Audit[[#This Row],[Candidate 12]], "")</f>
        <v/>
      </c>
      <c r="AQ808" s="18">
        <f>SUMIF(Audit[[#This Row],[Difference Winner]:[Difference Candidate 12]], "&gt;0")</f>
        <v>0</v>
      </c>
      <c r="AR808" s="18">
        <f>SUM(Audit[[#This Row],[Difference Winner]:[Difference Candidate 12]])</f>
        <v>0</v>
      </c>
      <c r="AS808" s="18">
        <f>IF(Audit[[#This Row],[Times p Drawn - With Replacement]]&gt;0, IF(Audit[[#This Row],[Canceled Differences]]&lt;0, Audit[[#This Row],[Max Differences]]+ABS(Audit[[#This Row],[Canceled Differences]]), Audit[[#This Row],[Max Differences]]), 0)</f>
        <v>0</v>
      </c>
      <c r="AT808" s="18">
        <f>'Sampling Data'!AB808</f>
        <v>3.9262493325376135E-3</v>
      </c>
      <c r="AU808" s="18">
        <f>IF(
      SUM(Audit[[#This Row],[Audit Losing Candidate]:[Audit Candidate 12]])
      &lt;&gt;0,
      (Audit[[#This Row],[Winning Candidate]]-Audit[[#This Row],[Losing Candidate]]-(Audit[[#This Row],[Audit Winning Candidate]]-Audit[[#This Row],[Audit Losing Candidate]]))/(Audit[[#Totals],[Winning Candidate]]-Audit[[#Totals],[Losing Candidate]]),
      0
)</f>
        <v>0</v>
      </c>
      <c r="AV8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8">
        <f>IF(Audit[[#This Row],[Max Relative Error (ep)]] = 0, 0, Audit[[#This Row],[Max Relative Error (ep)]]/Audit[[#This Row],[Error Bound (up) - Max. possible relative overstatement]])</f>
        <v>0</v>
      </c>
      <c r="BH8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8" s="18">
        <f t="shared" si="13"/>
        <v>1</v>
      </c>
      <c r="BJ808" s="18">
        <f>PRODUCT($BI$5:BI808)</f>
        <v>0.32656797278968008</v>
      </c>
      <c r="BK808" s="20">
        <f>1 - Audit[[#This Row],[K-M P Value]]</f>
        <v>0.67343202721031992</v>
      </c>
      <c r="BL808" s="18" t="str">
        <f>IF(Audit[[#This Row],[K-M P Value]]&gt;1-'General Info'!$B$12,"Continue", "Stop")</f>
        <v>Continue</v>
      </c>
      <c r="BM808" s="23" t="b">
        <f>IF(Audit[[#This Row],[Status - Continue or stop audit]] = "Continue", TRUE, IF(BL807 = "Continue", TRUE, FALSE))</f>
        <v>1</v>
      </c>
      <c r="BN808" s="23"/>
    </row>
    <row r="809" spans="1:66" ht="15" hidden="1" customHeight="1" x14ac:dyDescent="0.35">
      <c r="A809" s="18" t="str">
        <f>'Sampling Data'!AI809</f>
        <v/>
      </c>
      <c r="B809" s="18" t="str">
        <f>'Sampling Data'!A809</f>
        <v>3707 LOVE G   (ED)</v>
      </c>
      <c r="C809" s="18">
        <f>'Sampling Data'!B809</f>
        <v>48</v>
      </c>
      <c r="D809" s="18">
        <f>'Sampling Data'!C809</f>
        <v>9</v>
      </c>
      <c r="E809" s="19">
        <f>'Sampling Data'!D809</f>
        <v>0</v>
      </c>
      <c r="F809" s="19">
        <f>'Sampling Data'!E809</f>
        <v>0</v>
      </c>
      <c r="G809" s="19">
        <f>'Sampling Data'!F809</f>
        <v>0</v>
      </c>
      <c r="H809" s="19">
        <f>'Sampling Data'!G809</f>
        <v>0</v>
      </c>
      <c r="I809" s="19">
        <f>'Sampling Data'!H809</f>
        <v>0</v>
      </c>
      <c r="J809" s="19">
        <f>'Sampling Data'!I809</f>
        <v>0</v>
      </c>
      <c r="K809" s="19">
        <f>'Sampling Data'!J809</f>
        <v>0</v>
      </c>
      <c r="L809" s="19">
        <f>'Sampling Data'!K809</f>
        <v>0</v>
      </c>
      <c r="M809" s="19">
        <f>'Sampling Data'!L809</f>
        <v>0</v>
      </c>
      <c r="N809" s="19">
        <f>'Sampling Data'!M809</f>
        <v>0</v>
      </c>
      <c r="O809" s="18">
        <f>'Sampling Data'!N809</f>
        <v>0</v>
      </c>
      <c r="P809" s="18">
        <f>'Sampling Data'!O809</f>
        <v>1</v>
      </c>
      <c r="Q809" s="18">
        <f>'Sampling Data'!P809</f>
        <v>58</v>
      </c>
      <c r="R809" s="18">
        <f>'Sampling Data'!AJ809</f>
        <v>0</v>
      </c>
      <c r="S809" s="112"/>
      <c r="T809" s="112"/>
      <c r="U809" s="113"/>
      <c r="V809" s="113"/>
      <c r="W809" s="112"/>
      <c r="X809" s="112"/>
      <c r="Y809" s="112"/>
      <c r="Z809" s="112"/>
      <c r="AA809" s="15"/>
      <c r="AB809" s="15"/>
      <c r="AC809" s="15"/>
      <c r="AD809" s="15"/>
      <c r="AE809" s="114" t="str">
        <f>IF(NOT(ISBLANK(Audit[[#This Row],[Audit Winning Candidate]])), Audit[[#This Row],[Audit Winning Candidate]]-Audit[[#This Row],[Winning Candidate]], "")</f>
        <v/>
      </c>
      <c r="AF809" s="18" t="str">
        <f>IF(NOT(ISBLANK(Audit[[#This Row],[Audit Losing Candidate]])), Audit[[#This Row],[Audit Losing Candidate]]-Audit[[#This Row],[Losing Candidate]], "")</f>
        <v/>
      </c>
      <c r="AG809" s="18" t="str">
        <f>IF(NOT(ISBLANK(Audit[[#This Row],[Audit Candidate 3]])), Audit[[#This Row],[Audit Candidate 3]]-Audit[[#This Row],[Candidate 3]], "")</f>
        <v/>
      </c>
      <c r="AH809" s="18" t="str">
        <f>IF(NOT(ISBLANK(Audit[[#This Row],[Audit Candidate 4]])),Audit[[#This Row],[Audit Candidate 4]]-Audit[[#This Row],[Candidate 4]], "")</f>
        <v/>
      </c>
      <c r="AI809" s="18" t="str">
        <f>IF(NOT(ISBLANK(Audit[[#This Row],[Audit Candidate 5]])), Audit[[#This Row],[Audit Candidate 5]]-Audit[[#This Row],[Candidate 5]], "")</f>
        <v/>
      </c>
      <c r="AJ809" s="18" t="str">
        <f>IF(NOT(ISBLANK(Audit[[#This Row],[Audit Candidate 6]])), Audit[[#This Row],[Audit Candidate 6]]-Audit[[#This Row],[Candidate 6]], "")</f>
        <v/>
      </c>
      <c r="AK809" s="18" t="str">
        <f>IF(NOT(ISBLANK(Audit[[#This Row],[Audit Candidate 7]])), Audit[[#This Row],[Audit Candidate 7]]-Audit[[#This Row],[Candidate 7]], "")</f>
        <v/>
      </c>
      <c r="AL809" s="18" t="str">
        <f>IF(NOT(ISBLANK(Audit[[#This Row],[Audit Candidate 8]])), Audit[[#This Row],[Audit Candidate 8]]-Audit[[#This Row],[Candidate 8]], "")</f>
        <v/>
      </c>
      <c r="AM809" s="18" t="str">
        <f>IF(NOT(ISBLANK(Audit[[#This Row],[Audit Candidate 9]])), Audit[[#This Row],[Audit Candidate 9]]-Audit[[#This Row],[Candidate 9]], "")</f>
        <v/>
      </c>
      <c r="AN809" s="18" t="str">
        <f>IF(NOT(ISBLANK(Audit[[#This Row],[Audit Candidate 10]])), Audit[[#This Row],[Audit Candidate 10]]-Audit[[#This Row],[Candidate 10]], "")</f>
        <v/>
      </c>
      <c r="AO809" s="18" t="str">
        <f>IF(NOT(ISBLANK(Audit[[#This Row],[Audit Candidate 11]])), Audit[[#This Row],[Audit Candidate 11]]-Audit[[#This Row],[Candidate 11]], "")</f>
        <v/>
      </c>
      <c r="AP809" s="18" t="str">
        <f>IF(NOT(ISBLANK(Audit[[#This Row],[Audit Candidate 12]])), Audit[[#This Row],[Audit Candidate 12]]-Audit[[#This Row],[Candidate 12]], "")</f>
        <v/>
      </c>
      <c r="AQ809" s="18">
        <f>SUMIF(Audit[[#This Row],[Difference Winner]:[Difference Candidate 12]], "&gt;0")</f>
        <v>0</v>
      </c>
      <c r="AR809" s="18">
        <f>SUM(Audit[[#This Row],[Difference Winner]:[Difference Candidate 12]])</f>
        <v>0</v>
      </c>
      <c r="AS809" s="18">
        <f>IF(Audit[[#This Row],[Times p Drawn - With Replacement]]&gt;0, IF(Audit[[#This Row],[Canceled Differences]]&lt;0, Audit[[#This Row],[Max Differences]]+ABS(Audit[[#This Row],[Canceled Differences]]), Audit[[#This Row],[Max Differences]]), 0)</f>
        <v>0</v>
      </c>
      <c r="AT809" s="18">
        <f>'Sampling Data'!AB809</f>
        <v>3.0467694820491878E-3</v>
      </c>
      <c r="AU809" s="18">
        <f>IF(
      SUM(Audit[[#This Row],[Audit Losing Candidate]:[Audit Candidate 12]])
      &lt;&gt;0,
      (Audit[[#This Row],[Winning Candidate]]-Audit[[#This Row],[Losing Candidate]]-(Audit[[#This Row],[Audit Winning Candidate]]-Audit[[#This Row],[Audit Losing Candidate]]))/(Audit[[#Totals],[Winning Candidate]]-Audit[[#Totals],[Losing Candidate]]),
      0
)</f>
        <v>0</v>
      </c>
      <c r="AV8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8">
        <f>IF(Audit[[#This Row],[Max Relative Error (ep)]] = 0, 0, Audit[[#This Row],[Max Relative Error (ep)]]/Audit[[#This Row],[Error Bound (up) - Max. possible relative overstatement]])</f>
        <v>0</v>
      </c>
      <c r="BH8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09" s="18">
        <f t="shared" si="13"/>
        <v>1</v>
      </c>
      <c r="BJ809" s="18">
        <f>PRODUCT($BI$5:BI809)</f>
        <v>0.32656797278968008</v>
      </c>
      <c r="BK809" s="20">
        <f>1 - Audit[[#This Row],[K-M P Value]]</f>
        <v>0.67343202721031992</v>
      </c>
      <c r="BL809" s="18" t="str">
        <f>IF(Audit[[#This Row],[K-M P Value]]&gt;1-'General Info'!$B$12,"Continue", "Stop")</f>
        <v>Continue</v>
      </c>
      <c r="BM809" s="23" t="b">
        <f>IF(Audit[[#This Row],[Status - Continue or stop audit]] = "Continue", TRUE, IF(BL808 = "Continue", TRUE, FALSE))</f>
        <v>1</v>
      </c>
      <c r="BN809" s="23"/>
    </row>
    <row r="810" spans="1:66" ht="15" hidden="1" customHeight="1" x14ac:dyDescent="0.35">
      <c r="A810" s="18" t="str">
        <f>'Sampling Data'!AI810</f>
        <v/>
      </c>
      <c r="B810" s="18" t="str">
        <f>'Sampling Data'!A810</f>
        <v>3801 MADRA A   (ED)</v>
      </c>
      <c r="C810" s="18">
        <f>'Sampling Data'!B810</f>
        <v>80</v>
      </c>
      <c r="D810" s="18">
        <f>'Sampling Data'!C810</f>
        <v>4</v>
      </c>
      <c r="E810" s="19">
        <f>'Sampling Data'!D810</f>
        <v>0</v>
      </c>
      <c r="F810" s="19">
        <f>'Sampling Data'!E810</f>
        <v>0</v>
      </c>
      <c r="G810" s="19">
        <f>'Sampling Data'!F810</f>
        <v>0</v>
      </c>
      <c r="H810" s="19">
        <f>'Sampling Data'!G810</f>
        <v>0</v>
      </c>
      <c r="I810" s="19">
        <f>'Sampling Data'!H810</f>
        <v>0</v>
      </c>
      <c r="J810" s="19">
        <f>'Sampling Data'!I810</f>
        <v>0</v>
      </c>
      <c r="K810" s="19">
        <f>'Sampling Data'!J810</f>
        <v>0</v>
      </c>
      <c r="L810" s="19">
        <f>'Sampling Data'!K810</f>
        <v>0</v>
      </c>
      <c r="M810" s="19">
        <f>'Sampling Data'!L810</f>
        <v>0</v>
      </c>
      <c r="N810" s="19">
        <f>'Sampling Data'!M810</f>
        <v>0</v>
      </c>
      <c r="O810" s="18">
        <f>'Sampling Data'!N810</f>
        <v>0</v>
      </c>
      <c r="P810" s="18">
        <f>'Sampling Data'!O810</f>
        <v>0</v>
      </c>
      <c r="Q810" s="18">
        <f>'Sampling Data'!P810</f>
        <v>84</v>
      </c>
      <c r="R810" s="18">
        <f>'Sampling Data'!AJ810</f>
        <v>0</v>
      </c>
      <c r="S810" s="112"/>
      <c r="T810" s="112"/>
      <c r="U810" s="113"/>
      <c r="V810" s="113"/>
      <c r="W810" s="112"/>
      <c r="X810" s="112"/>
      <c r="Y810" s="112"/>
      <c r="Z810" s="112"/>
      <c r="AA810" s="15"/>
      <c r="AB810" s="15"/>
      <c r="AC810" s="15"/>
      <c r="AD810" s="15"/>
      <c r="AE810" s="114" t="str">
        <f>IF(NOT(ISBLANK(Audit[[#This Row],[Audit Winning Candidate]])), Audit[[#This Row],[Audit Winning Candidate]]-Audit[[#This Row],[Winning Candidate]], "")</f>
        <v/>
      </c>
      <c r="AF810" s="18" t="str">
        <f>IF(NOT(ISBLANK(Audit[[#This Row],[Audit Losing Candidate]])), Audit[[#This Row],[Audit Losing Candidate]]-Audit[[#This Row],[Losing Candidate]], "")</f>
        <v/>
      </c>
      <c r="AG810" s="18" t="str">
        <f>IF(NOT(ISBLANK(Audit[[#This Row],[Audit Candidate 3]])), Audit[[#This Row],[Audit Candidate 3]]-Audit[[#This Row],[Candidate 3]], "")</f>
        <v/>
      </c>
      <c r="AH810" s="18" t="str">
        <f>IF(NOT(ISBLANK(Audit[[#This Row],[Audit Candidate 4]])),Audit[[#This Row],[Audit Candidate 4]]-Audit[[#This Row],[Candidate 4]], "")</f>
        <v/>
      </c>
      <c r="AI810" s="18" t="str">
        <f>IF(NOT(ISBLANK(Audit[[#This Row],[Audit Candidate 5]])), Audit[[#This Row],[Audit Candidate 5]]-Audit[[#This Row],[Candidate 5]], "")</f>
        <v/>
      </c>
      <c r="AJ810" s="18" t="str">
        <f>IF(NOT(ISBLANK(Audit[[#This Row],[Audit Candidate 6]])), Audit[[#This Row],[Audit Candidate 6]]-Audit[[#This Row],[Candidate 6]], "")</f>
        <v/>
      </c>
      <c r="AK810" s="18" t="str">
        <f>IF(NOT(ISBLANK(Audit[[#This Row],[Audit Candidate 7]])), Audit[[#This Row],[Audit Candidate 7]]-Audit[[#This Row],[Candidate 7]], "")</f>
        <v/>
      </c>
      <c r="AL810" s="18" t="str">
        <f>IF(NOT(ISBLANK(Audit[[#This Row],[Audit Candidate 8]])), Audit[[#This Row],[Audit Candidate 8]]-Audit[[#This Row],[Candidate 8]], "")</f>
        <v/>
      </c>
      <c r="AM810" s="18" t="str">
        <f>IF(NOT(ISBLANK(Audit[[#This Row],[Audit Candidate 9]])), Audit[[#This Row],[Audit Candidate 9]]-Audit[[#This Row],[Candidate 9]], "")</f>
        <v/>
      </c>
      <c r="AN810" s="18" t="str">
        <f>IF(NOT(ISBLANK(Audit[[#This Row],[Audit Candidate 10]])), Audit[[#This Row],[Audit Candidate 10]]-Audit[[#This Row],[Candidate 10]], "")</f>
        <v/>
      </c>
      <c r="AO810" s="18" t="str">
        <f>IF(NOT(ISBLANK(Audit[[#This Row],[Audit Candidate 11]])), Audit[[#This Row],[Audit Candidate 11]]-Audit[[#This Row],[Candidate 11]], "")</f>
        <v/>
      </c>
      <c r="AP810" s="18" t="str">
        <f>IF(NOT(ISBLANK(Audit[[#This Row],[Audit Candidate 12]])), Audit[[#This Row],[Audit Candidate 12]]-Audit[[#This Row],[Candidate 12]], "")</f>
        <v/>
      </c>
      <c r="AQ810" s="18">
        <f>SUMIF(Audit[[#This Row],[Difference Winner]:[Difference Candidate 12]], "&gt;0")</f>
        <v>0</v>
      </c>
      <c r="AR810" s="18">
        <f>SUM(Audit[[#This Row],[Difference Winner]:[Difference Candidate 12]])</f>
        <v>0</v>
      </c>
      <c r="AS810" s="18">
        <f>IF(Audit[[#This Row],[Times p Drawn - With Replacement]]&gt;0, IF(Audit[[#This Row],[Canceled Differences]]&lt;0, Audit[[#This Row],[Max Differences]]+ABS(Audit[[#This Row],[Canceled Differences]]), Audit[[#This Row],[Max Differences]]), 0)</f>
        <v>0</v>
      </c>
      <c r="AT810" s="18">
        <f>'Sampling Data'!AB810</f>
        <v>5.025599145648145E-3</v>
      </c>
      <c r="AU810" s="18">
        <f>IF(
      SUM(Audit[[#This Row],[Audit Losing Candidate]:[Audit Candidate 12]])
      &lt;&gt;0,
      (Audit[[#This Row],[Winning Candidate]]-Audit[[#This Row],[Losing Candidate]]-(Audit[[#This Row],[Audit Winning Candidate]]-Audit[[#This Row],[Audit Losing Candidate]]))/(Audit[[#Totals],[Winning Candidate]]-Audit[[#Totals],[Losing Candidate]]),
      0
)</f>
        <v>0</v>
      </c>
      <c r="AV8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8">
        <f>IF(Audit[[#This Row],[Max Relative Error (ep)]] = 0, 0, Audit[[#This Row],[Max Relative Error (ep)]]/Audit[[#This Row],[Error Bound (up) - Max. possible relative overstatement]])</f>
        <v>0</v>
      </c>
      <c r="BH8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0" s="18">
        <f t="shared" si="13"/>
        <v>1</v>
      </c>
      <c r="BJ810" s="18">
        <f>PRODUCT($BI$5:BI810)</f>
        <v>0.32656797278968008</v>
      </c>
      <c r="BK810" s="20">
        <f>1 - Audit[[#This Row],[K-M P Value]]</f>
        <v>0.67343202721031992</v>
      </c>
      <c r="BL810" s="18" t="str">
        <f>IF(Audit[[#This Row],[K-M P Value]]&gt;1-'General Info'!$B$12,"Continue", "Stop")</f>
        <v>Continue</v>
      </c>
      <c r="BM810" s="23" t="b">
        <f>IF(Audit[[#This Row],[Status - Continue or stop audit]] = "Continue", TRUE, IF(BL809 = "Continue", TRUE, FALSE))</f>
        <v>1</v>
      </c>
      <c r="BN810" s="23"/>
    </row>
    <row r="811" spans="1:66" ht="15" hidden="1" customHeight="1" x14ac:dyDescent="0.35">
      <c r="A811" s="18" t="str">
        <f>'Sampling Data'!AI811</f>
        <v/>
      </c>
      <c r="B811" s="18" t="str">
        <f>'Sampling Data'!A811</f>
        <v>3802 MADRA B   (ED)</v>
      </c>
      <c r="C811" s="18">
        <f>'Sampling Data'!B811</f>
        <v>64</v>
      </c>
      <c r="D811" s="18">
        <f>'Sampling Data'!C811</f>
        <v>7</v>
      </c>
      <c r="E811" s="19">
        <f>'Sampling Data'!D811</f>
        <v>0</v>
      </c>
      <c r="F811" s="19">
        <f>'Sampling Data'!E811</f>
        <v>0</v>
      </c>
      <c r="G811" s="19">
        <f>'Sampling Data'!F811</f>
        <v>0</v>
      </c>
      <c r="H811" s="19">
        <f>'Sampling Data'!G811</f>
        <v>0</v>
      </c>
      <c r="I811" s="19">
        <f>'Sampling Data'!H811</f>
        <v>0</v>
      </c>
      <c r="J811" s="19">
        <f>'Sampling Data'!I811</f>
        <v>0</v>
      </c>
      <c r="K811" s="19">
        <f>'Sampling Data'!J811</f>
        <v>0</v>
      </c>
      <c r="L811" s="19">
        <f>'Sampling Data'!K811</f>
        <v>0</v>
      </c>
      <c r="M811" s="19">
        <f>'Sampling Data'!L811</f>
        <v>0</v>
      </c>
      <c r="N811" s="19">
        <f>'Sampling Data'!M811</f>
        <v>0</v>
      </c>
      <c r="O811" s="18">
        <f>'Sampling Data'!N811</f>
        <v>0</v>
      </c>
      <c r="P811" s="18">
        <f>'Sampling Data'!O811</f>
        <v>1</v>
      </c>
      <c r="Q811" s="18">
        <f>'Sampling Data'!P811</f>
        <v>72</v>
      </c>
      <c r="R811" s="18">
        <f>'Sampling Data'!AJ811</f>
        <v>0</v>
      </c>
      <c r="S811" s="112"/>
      <c r="T811" s="112"/>
      <c r="U811" s="113"/>
      <c r="V811" s="113"/>
      <c r="W811" s="112"/>
      <c r="X811" s="112"/>
      <c r="Y811" s="112"/>
      <c r="Z811" s="112"/>
      <c r="AA811" s="15"/>
      <c r="AB811" s="15"/>
      <c r="AC811" s="15"/>
      <c r="AD811" s="15"/>
      <c r="AE811" s="114" t="str">
        <f>IF(NOT(ISBLANK(Audit[[#This Row],[Audit Winning Candidate]])), Audit[[#This Row],[Audit Winning Candidate]]-Audit[[#This Row],[Winning Candidate]], "")</f>
        <v/>
      </c>
      <c r="AF811" s="18" t="str">
        <f>IF(NOT(ISBLANK(Audit[[#This Row],[Audit Losing Candidate]])), Audit[[#This Row],[Audit Losing Candidate]]-Audit[[#This Row],[Losing Candidate]], "")</f>
        <v/>
      </c>
      <c r="AG811" s="18" t="str">
        <f>IF(NOT(ISBLANK(Audit[[#This Row],[Audit Candidate 3]])), Audit[[#This Row],[Audit Candidate 3]]-Audit[[#This Row],[Candidate 3]], "")</f>
        <v/>
      </c>
      <c r="AH811" s="18" t="str">
        <f>IF(NOT(ISBLANK(Audit[[#This Row],[Audit Candidate 4]])),Audit[[#This Row],[Audit Candidate 4]]-Audit[[#This Row],[Candidate 4]], "")</f>
        <v/>
      </c>
      <c r="AI811" s="18" t="str">
        <f>IF(NOT(ISBLANK(Audit[[#This Row],[Audit Candidate 5]])), Audit[[#This Row],[Audit Candidate 5]]-Audit[[#This Row],[Candidate 5]], "")</f>
        <v/>
      </c>
      <c r="AJ811" s="18" t="str">
        <f>IF(NOT(ISBLANK(Audit[[#This Row],[Audit Candidate 6]])), Audit[[#This Row],[Audit Candidate 6]]-Audit[[#This Row],[Candidate 6]], "")</f>
        <v/>
      </c>
      <c r="AK811" s="18" t="str">
        <f>IF(NOT(ISBLANK(Audit[[#This Row],[Audit Candidate 7]])), Audit[[#This Row],[Audit Candidate 7]]-Audit[[#This Row],[Candidate 7]], "")</f>
        <v/>
      </c>
      <c r="AL811" s="18" t="str">
        <f>IF(NOT(ISBLANK(Audit[[#This Row],[Audit Candidate 8]])), Audit[[#This Row],[Audit Candidate 8]]-Audit[[#This Row],[Candidate 8]], "")</f>
        <v/>
      </c>
      <c r="AM811" s="18" t="str">
        <f>IF(NOT(ISBLANK(Audit[[#This Row],[Audit Candidate 9]])), Audit[[#This Row],[Audit Candidate 9]]-Audit[[#This Row],[Candidate 9]], "")</f>
        <v/>
      </c>
      <c r="AN811" s="18" t="str">
        <f>IF(NOT(ISBLANK(Audit[[#This Row],[Audit Candidate 10]])), Audit[[#This Row],[Audit Candidate 10]]-Audit[[#This Row],[Candidate 10]], "")</f>
        <v/>
      </c>
      <c r="AO811" s="18" t="str">
        <f>IF(NOT(ISBLANK(Audit[[#This Row],[Audit Candidate 11]])), Audit[[#This Row],[Audit Candidate 11]]-Audit[[#This Row],[Candidate 11]], "")</f>
        <v/>
      </c>
      <c r="AP811" s="18" t="str">
        <f>IF(NOT(ISBLANK(Audit[[#This Row],[Audit Candidate 12]])), Audit[[#This Row],[Audit Candidate 12]]-Audit[[#This Row],[Candidate 12]], "")</f>
        <v/>
      </c>
      <c r="AQ811" s="18">
        <f>SUMIF(Audit[[#This Row],[Difference Winner]:[Difference Candidate 12]], "&gt;0")</f>
        <v>0</v>
      </c>
      <c r="AR811" s="18">
        <f>SUM(Audit[[#This Row],[Difference Winner]:[Difference Candidate 12]])</f>
        <v>0</v>
      </c>
      <c r="AS811" s="18">
        <f>IF(Audit[[#This Row],[Times p Drawn - With Replacement]]&gt;0, IF(Audit[[#This Row],[Canceled Differences]]&lt;0, Audit[[#This Row],[Max Differences]]+ABS(Audit[[#This Row],[Canceled Differences]]), Audit[[#This Row],[Max Differences]]), 0)</f>
        <v>0</v>
      </c>
      <c r="AT811" s="18">
        <f>'Sampling Data'!AB811</f>
        <v>4.0518893111788174E-3</v>
      </c>
      <c r="AU811" s="18">
        <f>IF(
      SUM(Audit[[#This Row],[Audit Losing Candidate]:[Audit Candidate 12]])
      &lt;&gt;0,
      (Audit[[#This Row],[Winning Candidate]]-Audit[[#This Row],[Losing Candidate]]-(Audit[[#This Row],[Audit Winning Candidate]]-Audit[[#This Row],[Audit Losing Candidate]]))/(Audit[[#Totals],[Winning Candidate]]-Audit[[#Totals],[Losing Candidate]]),
      0
)</f>
        <v>0</v>
      </c>
      <c r="AV8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8">
        <f>IF(Audit[[#This Row],[Max Relative Error (ep)]] = 0, 0, Audit[[#This Row],[Max Relative Error (ep)]]/Audit[[#This Row],[Error Bound (up) - Max. possible relative overstatement]])</f>
        <v>0</v>
      </c>
      <c r="BH8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1" s="18">
        <f t="shared" si="13"/>
        <v>1</v>
      </c>
      <c r="BJ811" s="18">
        <f>PRODUCT($BI$5:BI811)</f>
        <v>0.32656797278968008</v>
      </c>
      <c r="BK811" s="20">
        <f>1 - Audit[[#This Row],[K-M P Value]]</f>
        <v>0.67343202721031992</v>
      </c>
      <c r="BL811" s="18" t="str">
        <f>IF(Audit[[#This Row],[K-M P Value]]&gt;1-'General Info'!$B$12,"Continue", "Stop")</f>
        <v>Continue</v>
      </c>
      <c r="BM811" s="23" t="b">
        <f>IF(Audit[[#This Row],[Status - Continue or stop audit]] = "Continue", TRUE, IF(BL810 = "Continue", TRUE, FALSE))</f>
        <v>1</v>
      </c>
      <c r="BN811" s="23"/>
    </row>
    <row r="812" spans="1:66" ht="15" hidden="1" customHeight="1" x14ac:dyDescent="0.35">
      <c r="A812" s="18" t="str">
        <f>'Sampling Data'!AI812</f>
        <v/>
      </c>
      <c r="B812" s="18" t="str">
        <f>'Sampling Data'!A812</f>
        <v>3803 MADRA C   (ED)</v>
      </c>
      <c r="C812" s="18">
        <f>'Sampling Data'!B812</f>
        <v>47</v>
      </c>
      <c r="D812" s="18">
        <f>'Sampling Data'!C812</f>
        <v>6</v>
      </c>
      <c r="E812" s="19">
        <f>'Sampling Data'!D812</f>
        <v>0</v>
      </c>
      <c r="F812" s="19">
        <f>'Sampling Data'!E812</f>
        <v>0</v>
      </c>
      <c r="G812" s="19">
        <f>'Sampling Data'!F812</f>
        <v>0</v>
      </c>
      <c r="H812" s="19">
        <f>'Sampling Data'!G812</f>
        <v>0</v>
      </c>
      <c r="I812" s="19">
        <f>'Sampling Data'!H812</f>
        <v>0</v>
      </c>
      <c r="J812" s="19">
        <f>'Sampling Data'!I812</f>
        <v>0</v>
      </c>
      <c r="K812" s="19">
        <f>'Sampling Data'!J812</f>
        <v>0</v>
      </c>
      <c r="L812" s="19">
        <f>'Sampling Data'!K812</f>
        <v>0</v>
      </c>
      <c r="M812" s="19">
        <f>'Sampling Data'!L812</f>
        <v>0</v>
      </c>
      <c r="N812" s="19">
        <f>'Sampling Data'!M812</f>
        <v>0</v>
      </c>
      <c r="O812" s="18">
        <f>'Sampling Data'!N812</f>
        <v>0</v>
      </c>
      <c r="P812" s="18">
        <f>'Sampling Data'!O812</f>
        <v>0</v>
      </c>
      <c r="Q812" s="18">
        <f>'Sampling Data'!P812</f>
        <v>53</v>
      </c>
      <c r="R812" s="18">
        <f>'Sampling Data'!AJ812</f>
        <v>0</v>
      </c>
      <c r="S812" s="112"/>
      <c r="T812" s="112"/>
      <c r="U812" s="113"/>
      <c r="V812" s="113"/>
      <c r="W812" s="112"/>
      <c r="X812" s="112"/>
      <c r="Y812" s="112"/>
      <c r="Z812" s="112"/>
      <c r="AA812" s="15"/>
      <c r="AB812" s="15"/>
      <c r="AC812" s="15"/>
      <c r="AD812" s="15"/>
      <c r="AE812" s="114" t="str">
        <f>IF(NOT(ISBLANK(Audit[[#This Row],[Audit Winning Candidate]])), Audit[[#This Row],[Audit Winning Candidate]]-Audit[[#This Row],[Winning Candidate]], "")</f>
        <v/>
      </c>
      <c r="AF812" s="18" t="str">
        <f>IF(NOT(ISBLANK(Audit[[#This Row],[Audit Losing Candidate]])), Audit[[#This Row],[Audit Losing Candidate]]-Audit[[#This Row],[Losing Candidate]], "")</f>
        <v/>
      </c>
      <c r="AG812" s="18" t="str">
        <f>IF(NOT(ISBLANK(Audit[[#This Row],[Audit Candidate 3]])), Audit[[#This Row],[Audit Candidate 3]]-Audit[[#This Row],[Candidate 3]], "")</f>
        <v/>
      </c>
      <c r="AH812" s="18" t="str">
        <f>IF(NOT(ISBLANK(Audit[[#This Row],[Audit Candidate 4]])),Audit[[#This Row],[Audit Candidate 4]]-Audit[[#This Row],[Candidate 4]], "")</f>
        <v/>
      </c>
      <c r="AI812" s="18" t="str">
        <f>IF(NOT(ISBLANK(Audit[[#This Row],[Audit Candidate 5]])), Audit[[#This Row],[Audit Candidate 5]]-Audit[[#This Row],[Candidate 5]], "")</f>
        <v/>
      </c>
      <c r="AJ812" s="18" t="str">
        <f>IF(NOT(ISBLANK(Audit[[#This Row],[Audit Candidate 6]])), Audit[[#This Row],[Audit Candidate 6]]-Audit[[#This Row],[Candidate 6]], "")</f>
        <v/>
      </c>
      <c r="AK812" s="18" t="str">
        <f>IF(NOT(ISBLANK(Audit[[#This Row],[Audit Candidate 7]])), Audit[[#This Row],[Audit Candidate 7]]-Audit[[#This Row],[Candidate 7]], "")</f>
        <v/>
      </c>
      <c r="AL812" s="18" t="str">
        <f>IF(NOT(ISBLANK(Audit[[#This Row],[Audit Candidate 8]])), Audit[[#This Row],[Audit Candidate 8]]-Audit[[#This Row],[Candidate 8]], "")</f>
        <v/>
      </c>
      <c r="AM812" s="18" t="str">
        <f>IF(NOT(ISBLANK(Audit[[#This Row],[Audit Candidate 9]])), Audit[[#This Row],[Audit Candidate 9]]-Audit[[#This Row],[Candidate 9]], "")</f>
        <v/>
      </c>
      <c r="AN812" s="18" t="str">
        <f>IF(NOT(ISBLANK(Audit[[#This Row],[Audit Candidate 10]])), Audit[[#This Row],[Audit Candidate 10]]-Audit[[#This Row],[Candidate 10]], "")</f>
        <v/>
      </c>
      <c r="AO812" s="18" t="str">
        <f>IF(NOT(ISBLANK(Audit[[#This Row],[Audit Candidate 11]])), Audit[[#This Row],[Audit Candidate 11]]-Audit[[#This Row],[Candidate 11]], "")</f>
        <v/>
      </c>
      <c r="AP812" s="18" t="str">
        <f>IF(NOT(ISBLANK(Audit[[#This Row],[Audit Candidate 12]])), Audit[[#This Row],[Audit Candidate 12]]-Audit[[#This Row],[Candidate 12]], "")</f>
        <v/>
      </c>
      <c r="AQ812" s="18">
        <f>SUMIF(Audit[[#This Row],[Difference Winner]:[Difference Candidate 12]], "&gt;0")</f>
        <v>0</v>
      </c>
      <c r="AR812" s="18">
        <f>SUM(Audit[[#This Row],[Difference Winner]:[Difference Candidate 12]])</f>
        <v>0</v>
      </c>
      <c r="AS812" s="18">
        <f>IF(Audit[[#This Row],[Times p Drawn - With Replacement]]&gt;0, IF(Audit[[#This Row],[Canceled Differences]]&lt;0, Audit[[#This Row],[Max Differences]]+ABS(Audit[[#This Row],[Canceled Differences]]), Audit[[#This Row],[Max Differences]]), 0)</f>
        <v>0</v>
      </c>
      <c r="AT812" s="18">
        <f>'Sampling Data'!AB812</f>
        <v>2.9525394980682855E-3</v>
      </c>
      <c r="AU812" s="18">
        <f>IF(
      SUM(Audit[[#This Row],[Audit Losing Candidate]:[Audit Candidate 12]])
      &lt;&gt;0,
      (Audit[[#This Row],[Winning Candidate]]-Audit[[#This Row],[Losing Candidate]]-(Audit[[#This Row],[Audit Winning Candidate]]-Audit[[#This Row],[Audit Losing Candidate]]))/(Audit[[#Totals],[Winning Candidate]]-Audit[[#Totals],[Losing Candidate]]),
      0
)</f>
        <v>0</v>
      </c>
      <c r="AV8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8">
        <f>IF(Audit[[#This Row],[Max Relative Error (ep)]] = 0, 0, Audit[[#This Row],[Max Relative Error (ep)]]/Audit[[#This Row],[Error Bound (up) - Max. possible relative overstatement]])</f>
        <v>0</v>
      </c>
      <c r="BH8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2" s="18">
        <f t="shared" si="13"/>
        <v>1</v>
      </c>
      <c r="BJ812" s="18">
        <f>PRODUCT($BI$5:BI812)</f>
        <v>0.32656797278968008</v>
      </c>
      <c r="BK812" s="20">
        <f>1 - Audit[[#This Row],[K-M P Value]]</f>
        <v>0.67343202721031992</v>
      </c>
      <c r="BL812" s="18" t="str">
        <f>IF(Audit[[#This Row],[K-M P Value]]&gt;1-'General Info'!$B$12,"Continue", "Stop")</f>
        <v>Continue</v>
      </c>
      <c r="BM812" s="23" t="b">
        <f>IF(Audit[[#This Row],[Status - Continue or stop audit]] = "Continue", TRUE, IF(BL811 = "Continue", TRUE, FALSE))</f>
        <v>1</v>
      </c>
      <c r="BN812" s="23"/>
    </row>
    <row r="813" spans="1:66" ht="15" hidden="1" customHeight="1" x14ac:dyDescent="0.35">
      <c r="A813" s="18" t="str">
        <f>'Sampling Data'!AI813</f>
        <v/>
      </c>
      <c r="B813" s="18" t="str">
        <f>'Sampling Data'!A813</f>
        <v>3804 MADRA D   (ED)</v>
      </c>
      <c r="C813" s="18">
        <f>'Sampling Data'!B813</f>
        <v>100</v>
      </c>
      <c r="D813" s="18">
        <f>'Sampling Data'!C813</f>
        <v>11</v>
      </c>
      <c r="E813" s="19">
        <f>'Sampling Data'!D813</f>
        <v>0</v>
      </c>
      <c r="F813" s="19">
        <f>'Sampling Data'!E813</f>
        <v>0</v>
      </c>
      <c r="G813" s="19">
        <f>'Sampling Data'!F813</f>
        <v>0</v>
      </c>
      <c r="H813" s="19">
        <f>'Sampling Data'!G813</f>
        <v>0</v>
      </c>
      <c r="I813" s="19">
        <f>'Sampling Data'!H813</f>
        <v>0</v>
      </c>
      <c r="J813" s="19">
        <f>'Sampling Data'!I813</f>
        <v>0</v>
      </c>
      <c r="K813" s="19">
        <f>'Sampling Data'!J813</f>
        <v>0</v>
      </c>
      <c r="L813" s="19">
        <f>'Sampling Data'!K813</f>
        <v>0</v>
      </c>
      <c r="M813" s="19">
        <f>'Sampling Data'!L813</f>
        <v>0</v>
      </c>
      <c r="N813" s="19">
        <f>'Sampling Data'!M813</f>
        <v>0</v>
      </c>
      <c r="O813" s="18">
        <f>'Sampling Data'!N813</f>
        <v>0</v>
      </c>
      <c r="P813" s="18">
        <f>'Sampling Data'!O813</f>
        <v>0</v>
      </c>
      <c r="Q813" s="18">
        <f>'Sampling Data'!P813</f>
        <v>111</v>
      </c>
      <c r="R813" s="18">
        <f>'Sampling Data'!AJ813</f>
        <v>0</v>
      </c>
      <c r="S813" s="112"/>
      <c r="T813" s="112"/>
      <c r="U813" s="113"/>
      <c r="V813" s="113"/>
      <c r="W813" s="112"/>
      <c r="X813" s="112"/>
      <c r="Y813" s="112"/>
      <c r="Z813" s="112"/>
      <c r="AA813" s="15"/>
      <c r="AB813" s="15"/>
      <c r="AC813" s="15"/>
      <c r="AD813" s="15"/>
      <c r="AE813" s="114" t="str">
        <f>IF(NOT(ISBLANK(Audit[[#This Row],[Audit Winning Candidate]])), Audit[[#This Row],[Audit Winning Candidate]]-Audit[[#This Row],[Winning Candidate]], "")</f>
        <v/>
      </c>
      <c r="AF813" s="18" t="str">
        <f>IF(NOT(ISBLANK(Audit[[#This Row],[Audit Losing Candidate]])), Audit[[#This Row],[Audit Losing Candidate]]-Audit[[#This Row],[Losing Candidate]], "")</f>
        <v/>
      </c>
      <c r="AG813" s="18" t="str">
        <f>IF(NOT(ISBLANK(Audit[[#This Row],[Audit Candidate 3]])), Audit[[#This Row],[Audit Candidate 3]]-Audit[[#This Row],[Candidate 3]], "")</f>
        <v/>
      </c>
      <c r="AH813" s="18" t="str">
        <f>IF(NOT(ISBLANK(Audit[[#This Row],[Audit Candidate 4]])),Audit[[#This Row],[Audit Candidate 4]]-Audit[[#This Row],[Candidate 4]], "")</f>
        <v/>
      </c>
      <c r="AI813" s="18" t="str">
        <f>IF(NOT(ISBLANK(Audit[[#This Row],[Audit Candidate 5]])), Audit[[#This Row],[Audit Candidate 5]]-Audit[[#This Row],[Candidate 5]], "")</f>
        <v/>
      </c>
      <c r="AJ813" s="18" t="str">
        <f>IF(NOT(ISBLANK(Audit[[#This Row],[Audit Candidate 6]])), Audit[[#This Row],[Audit Candidate 6]]-Audit[[#This Row],[Candidate 6]], "")</f>
        <v/>
      </c>
      <c r="AK813" s="18" t="str">
        <f>IF(NOT(ISBLANK(Audit[[#This Row],[Audit Candidate 7]])), Audit[[#This Row],[Audit Candidate 7]]-Audit[[#This Row],[Candidate 7]], "")</f>
        <v/>
      </c>
      <c r="AL813" s="18" t="str">
        <f>IF(NOT(ISBLANK(Audit[[#This Row],[Audit Candidate 8]])), Audit[[#This Row],[Audit Candidate 8]]-Audit[[#This Row],[Candidate 8]], "")</f>
        <v/>
      </c>
      <c r="AM813" s="18" t="str">
        <f>IF(NOT(ISBLANK(Audit[[#This Row],[Audit Candidate 9]])), Audit[[#This Row],[Audit Candidate 9]]-Audit[[#This Row],[Candidate 9]], "")</f>
        <v/>
      </c>
      <c r="AN813" s="18" t="str">
        <f>IF(NOT(ISBLANK(Audit[[#This Row],[Audit Candidate 10]])), Audit[[#This Row],[Audit Candidate 10]]-Audit[[#This Row],[Candidate 10]], "")</f>
        <v/>
      </c>
      <c r="AO813" s="18" t="str">
        <f>IF(NOT(ISBLANK(Audit[[#This Row],[Audit Candidate 11]])), Audit[[#This Row],[Audit Candidate 11]]-Audit[[#This Row],[Candidate 11]], "")</f>
        <v/>
      </c>
      <c r="AP813" s="18" t="str">
        <f>IF(NOT(ISBLANK(Audit[[#This Row],[Audit Candidate 12]])), Audit[[#This Row],[Audit Candidate 12]]-Audit[[#This Row],[Candidate 12]], "")</f>
        <v/>
      </c>
      <c r="AQ813" s="18">
        <f>SUMIF(Audit[[#This Row],[Difference Winner]:[Difference Candidate 12]], "&gt;0")</f>
        <v>0</v>
      </c>
      <c r="AR813" s="18">
        <f>SUM(Audit[[#This Row],[Difference Winner]:[Difference Candidate 12]])</f>
        <v>0</v>
      </c>
      <c r="AS813" s="18">
        <f>IF(Audit[[#This Row],[Times p Drawn - With Replacement]]&gt;0, IF(Audit[[#This Row],[Canceled Differences]]&lt;0, Audit[[#This Row],[Max Differences]]+ABS(Audit[[#This Row],[Canceled Differences]]), Audit[[#This Row],[Max Differences]]), 0)</f>
        <v>0</v>
      </c>
      <c r="AT813" s="18">
        <f>'Sampling Data'!AB813</f>
        <v>6.2819989320601812E-3</v>
      </c>
      <c r="AU813" s="18">
        <f>IF(
      SUM(Audit[[#This Row],[Audit Losing Candidate]:[Audit Candidate 12]])
      &lt;&gt;0,
      (Audit[[#This Row],[Winning Candidate]]-Audit[[#This Row],[Losing Candidate]]-(Audit[[#This Row],[Audit Winning Candidate]]-Audit[[#This Row],[Audit Losing Candidate]]))/(Audit[[#Totals],[Winning Candidate]]-Audit[[#Totals],[Losing Candidate]]),
      0
)</f>
        <v>0</v>
      </c>
      <c r="AV8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8">
        <f>IF(Audit[[#This Row],[Max Relative Error (ep)]] = 0, 0, Audit[[#This Row],[Max Relative Error (ep)]]/Audit[[#This Row],[Error Bound (up) - Max. possible relative overstatement]])</f>
        <v>0</v>
      </c>
      <c r="BH8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3" s="18">
        <f t="shared" si="13"/>
        <v>1</v>
      </c>
      <c r="BJ813" s="18">
        <f>PRODUCT($BI$5:BI813)</f>
        <v>0.32656797278968008</v>
      </c>
      <c r="BK813" s="20">
        <f>1 - Audit[[#This Row],[K-M P Value]]</f>
        <v>0.67343202721031992</v>
      </c>
      <c r="BL813" s="18" t="str">
        <f>IF(Audit[[#This Row],[K-M P Value]]&gt;1-'General Info'!$B$12,"Continue", "Stop")</f>
        <v>Continue</v>
      </c>
      <c r="BM813" s="23" t="b">
        <f>IF(Audit[[#This Row],[Status - Continue or stop audit]] = "Continue", TRUE, IF(BL812 = "Continue", TRUE, FALSE))</f>
        <v>1</v>
      </c>
      <c r="BN813" s="23"/>
    </row>
    <row r="814" spans="1:66" ht="15" hidden="1" customHeight="1" x14ac:dyDescent="0.35">
      <c r="A814" s="18" t="str">
        <f>'Sampling Data'!AI814</f>
        <v/>
      </c>
      <c r="B814" s="18" t="str">
        <f>'Sampling Data'!A814</f>
        <v>3805 MADRA E   (ED)</v>
      </c>
      <c r="C814" s="18">
        <f>'Sampling Data'!B814</f>
        <v>41</v>
      </c>
      <c r="D814" s="18">
        <f>'Sampling Data'!C814</f>
        <v>11</v>
      </c>
      <c r="E814" s="19">
        <f>'Sampling Data'!D814</f>
        <v>0</v>
      </c>
      <c r="F814" s="19">
        <f>'Sampling Data'!E814</f>
        <v>0</v>
      </c>
      <c r="G814" s="19">
        <f>'Sampling Data'!F814</f>
        <v>0</v>
      </c>
      <c r="H814" s="19">
        <f>'Sampling Data'!G814</f>
        <v>0</v>
      </c>
      <c r="I814" s="19">
        <f>'Sampling Data'!H814</f>
        <v>0</v>
      </c>
      <c r="J814" s="19">
        <f>'Sampling Data'!I814</f>
        <v>0</v>
      </c>
      <c r="K814" s="19">
        <f>'Sampling Data'!J814</f>
        <v>0</v>
      </c>
      <c r="L814" s="19">
        <f>'Sampling Data'!K814</f>
        <v>0</v>
      </c>
      <c r="M814" s="19">
        <f>'Sampling Data'!L814</f>
        <v>0</v>
      </c>
      <c r="N814" s="19">
        <f>'Sampling Data'!M814</f>
        <v>0</v>
      </c>
      <c r="O814" s="18">
        <f>'Sampling Data'!N814</f>
        <v>0</v>
      </c>
      <c r="P814" s="18">
        <f>'Sampling Data'!O814</f>
        <v>1</v>
      </c>
      <c r="Q814" s="18">
        <f>'Sampling Data'!P814</f>
        <v>53</v>
      </c>
      <c r="R814" s="18">
        <f>'Sampling Data'!AJ814</f>
        <v>0</v>
      </c>
      <c r="S814" s="112"/>
      <c r="T814" s="112"/>
      <c r="U814" s="113"/>
      <c r="V814" s="113"/>
      <c r="W814" s="112"/>
      <c r="X814" s="112"/>
      <c r="Y814" s="112"/>
      <c r="Z814" s="112"/>
      <c r="AA814" s="15"/>
      <c r="AB814" s="15"/>
      <c r="AC814" s="15"/>
      <c r="AD814" s="15"/>
      <c r="AE814" s="114" t="str">
        <f>IF(NOT(ISBLANK(Audit[[#This Row],[Audit Winning Candidate]])), Audit[[#This Row],[Audit Winning Candidate]]-Audit[[#This Row],[Winning Candidate]], "")</f>
        <v/>
      </c>
      <c r="AF814" s="18" t="str">
        <f>IF(NOT(ISBLANK(Audit[[#This Row],[Audit Losing Candidate]])), Audit[[#This Row],[Audit Losing Candidate]]-Audit[[#This Row],[Losing Candidate]], "")</f>
        <v/>
      </c>
      <c r="AG814" s="18" t="str">
        <f>IF(NOT(ISBLANK(Audit[[#This Row],[Audit Candidate 3]])), Audit[[#This Row],[Audit Candidate 3]]-Audit[[#This Row],[Candidate 3]], "")</f>
        <v/>
      </c>
      <c r="AH814" s="18" t="str">
        <f>IF(NOT(ISBLANK(Audit[[#This Row],[Audit Candidate 4]])),Audit[[#This Row],[Audit Candidate 4]]-Audit[[#This Row],[Candidate 4]], "")</f>
        <v/>
      </c>
      <c r="AI814" s="18" t="str">
        <f>IF(NOT(ISBLANK(Audit[[#This Row],[Audit Candidate 5]])), Audit[[#This Row],[Audit Candidate 5]]-Audit[[#This Row],[Candidate 5]], "")</f>
        <v/>
      </c>
      <c r="AJ814" s="18" t="str">
        <f>IF(NOT(ISBLANK(Audit[[#This Row],[Audit Candidate 6]])), Audit[[#This Row],[Audit Candidate 6]]-Audit[[#This Row],[Candidate 6]], "")</f>
        <v/>
      </c>
      <c r="AK814" s="18" t="str">
        <f>IF(NOT(ISBLANK(Audit[[#This Row],[Audit Candidate 7]])), Audit[[#This Row],[Audit Candidate 7]]-Audit[[#This Row],[Candidate 7]], "")</f>
        <v/>
      </c>
      <c r="AL814" s="18" t="str">
        <f>IF(NOT(ISBLANK(Audit[[#This Row],[Audit Candidate 8]])), Audit[[#This Row],[Audit Candidate 8]]-Audit[[#This Row],[Candidate 8]], "")</f>
        <v/>
      </c>
      <c r="AM814" s="18" t="str">
        <f>IF(NOT(ISBLANK(Audit[[#This Row],[Audit Candidate 9]])), Audit[[#This Row],[Audit Candidate 9]]-Audit[[#This Row],[Candidate 9]], "")</f>
        <v/>
      </c>
      <c r="AN814" s="18" t="str">
        <f>IF(NOT(ISBLANK(Audit[[#This Row],[Audit Candidate 10]])), Audit[[#This Row],[Audit Candidate 10]]-Audit[[#This Row],[Candidate 10]], "")</f>
        <v/>
      </c>
      <c r="AO814" s="18" t="str">
        <f>IF(NOT(ISBLANK(Audit[[#This Row],[Audit Candidate 11]])), Audit[[#This Row],[Audit Candidate 11]]-Audit[[#This Row],[Candidate 11]], "")</f>
        <v/>
      </c>
      <c r="AP814" s="18" t="str">
        <f>IF(NOT(ISBLANK(Audit[[#This Row],[Audit Candidate 12]])), Audit[[#This Row],[Audit Candidate 12]]-Audit[[#This Row],[Candidate 12]], "")</f>
        <v/>
      </c>
      <c r="AQ814" s="18">
        <f>SUMIF(Audit[[#This Row],[Difference Winner]:[Difference Candidate 12]], "&gt;0")</f>
        <v>0</v>
      </c>
      <c r="AR814" s="18">
        <f>SUM(Audit[[#This Row],[Difference Winner]:[Difference Candidate 12]])</f>
        <v>0</v>
      </c>
      <c r="AS814" s="18">
        <f>IF(Audit[[#This Row],[Times p Drawn - With Replacement]]&gt;0, IF(Audit[[#This Row],[Canceled Differences]]&lt;0, Audit[[#This Row],[Max Differences]]+ABS(Audit[[#This Row],[Canceled Differences]]), Audit[[#This Row],[Max Differences]]), 0)</f>
        <v>0</v>
      </c>
      <c r="AT814" s="18">
        <f>'Sampling Data'!AB814</f>
        <v>2.6070295568049752E-3</v>
      </c>
      <c r="AU814" s="18">
        <f>IF(
      SUM(Audit[[#This Row],[Audit Losing Candidate]:[Audit Candidate 12]])
      &lt;&gt;0,
      (Audit[[#This Row],[Winning Candidate]]-Audit[[#This Row],[Losing Candidate]]-(Audit[[#This Row],[Audit Winning Candidate]]-Audit[[#This Row],[Audit Losing Candidate]]))/(Audit[[#Totals],[Winning Candidate]]-Audit[[#Totals],[Losing Candidate]]),
      0
)</f>
        <v>0</v>
      </c>
      <c r="AV8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8">
        <f>IF(Audit[[#This Row],[Max Relative Error (ep)]] = 0, 0, Audit[[#This Row],[Max Relative Error (ep)]]/Audit[[#This Row],[Error Bound (up) - Max. possible relative overstatement]])</f>
        <v>0</v>
      </c>
      <c r="BH8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4" s="18">
        <f t="shared" si="13"/>
        <v>1</v>
      </c>
      <c r="BJ814" s="18">
        <f>PRODUCT($BI$5:BI814)</f>
        <v>0.32656797278968008</v>
      </c>
      <c r="BK814" s="20">
        <f>1 - Audit[[#This Row],[K-M P Value]]</f>
        <v>0.67343202721031992</v>
      </c>
      <c r="BL814" s="18" t="str">
        <f>IF(Audit[[#This Row],[K-M P Value]]&gt;1-'General Info'!$B$12,"Continue", "Stop")</f>
        <v>Continue</v>
      </c>
      <c r="BM814" s="23" t="b">
        <f>IF(Audit[[#This Row],[Status - Continue or stop audit]] = "Continue", TRUE, IF(BL813 = "Continue", TRUE, FALSE))</f>
        <v>1</v>
      </c>
      <c r="BN814" s="23"/>
    </row>
    <row r="815" spans="1:66" ht="15" hidden="1" customHeight="1" x14ac:dyDescent="0.35">
      <c r="A815" s="18" t="str">
        <f>'Sampling Data'!AI815</f>
        <v/>
      </c>
      <c r="B815" s="18" t="str">
        <f>'Sampling Data'!A815</f>
        <v>3806 MADRA F   (ED)</v>
      </c>
      <c r="C815" s="18">
        <f>'Sampling Data'!B815</f>
        <v>87</v>
      </c>
      <c r="D815" s="18">
        <f>'Sampling Data'!C815</f>
        <v>14</v>
      </c>
      <c r="E815" s="19">
        <f>'Sampling Data'!D815</f>
        <v>0</v>
      </c>
      <c r="F815" s="19">
        <f>'Sampling Data'!E815</f>
        <v>0</v>
      </c>
      <c r="G815" s="19">
        <f>'Sampling Data'!F815</f>
        <v>0</v>
      </c>
      <c r="H815" s="19">
        <f>'Sampling Data'!G815</f>
        <v>0</v>
      </c>
      <c r="I815" s="19">
        <f>'Sampling Data'!H815</f>
        <v>0</v>
      </c>
      <c r="J815" s="19">
        <f>'Sampling Data'!I815</f>
        <v>0</v>
      </c>
      <c r="K815" s="19">
        <f>'Sampling Data'!J815</f>
        <v>0</v>
      </c>
      <c r="L815" s="19">
        <f>'Sampling Data'!K815</f>
        <v>0</v>
      </c>
      <c r="M815" s="19">
        <f>'Sampling Data'!L815</f>
        <v>0</v>
      </c>
      <c r="N815" s="19">
        <f>'Sampling Data'!M815</f>
        <v>0</v>
      </c>
      <c r="O815" s="18">
        <f>'Sampling Data'!N815</f>
        <v>0</v>
      </c>
      <c r="P815" s="18">
        <f>'Sampling Data'!O815</f>
        <v>1</v>
      </c>
      <c r="Q815" s="18">
        <f>'Sampling Data'!P815</f>
        <v>102</v>
      </c>
      <c r="R815" s="18">
        <f>'Sampling Data'!AJ815</f>
        <v>0</v>
      </c>
      <c r="S815" s="112"/>
      <c r="T815" s="112"/>
      <c r="U815" s="113"/>
      <c r="V815" s="113"/>
      <c r="W815" s="112"/>
      <c r="X815" s="112"/>
      <c r="Y815" s="112"/>
      <c r="Z815" s="112"/>
      <c r="AA815" s="15"/>
      <c r="AB815" s="15"/>
      <c r="AC815" s="15"/>
      <c r="AD815" s="15"/>
      <c r="AE815" s="114" t="str">
        <f>IF(NOT(ISBLANK(Audit[[#This Row],[Audit Winning Candidate]])), Audit[[#This Row],[Audit Winning Candidate]]-Audit[[#This Row],[Winning Candidate]], "")</f>
        <v/>
      </c>
      <c r="AF815" s="18" t="str">
        <f>IF(NOT(ISBLANK(Audit[[#This Row],[Audit Losing Candidate]])), Audit[[#This Row],[Audit Losing Candidate]]-Audit[[#This Row],[Losing Candidate]], "")</f>
        <v/>
      </c>
      <c r="AG815" s="18" t="str">
        <f>IF(NOT(ISBLANK(Audit[[#This Row],[Audit Candidate 3]])), Audit[[#This Row],[Audit Candidate 3]]-Audit[[#This Row],[Candidate 3]], "")</f>
        <v/>
      </c>
      <c r="AH815" s="18" t="str">
        <f>IF(NOT(ISBLANK(Audit[[#This Row],[Audit Candidate 4]])),Audit[[#This Row],[Audit Candidate 4]]-Audit[[#This Row],[Candidate 4]], "")</f>
        <v/>
      </c>
      <c r="AI815" s="18" t="str">
        <f>IF(NOT(ISBLANK(Audit[[#This Row],[Audit Candidate 5]])), Audit[[#This Row],[Audit Candidate 5]]-Audit[[#This Row],[Candidate 5]], "")</f>
        <v/>
      </c>
      <c r="AJ815" s="18" t="str">
        <f>IF(NOT(ISBLANK(Audit[[#This Row],[Audit Candidate 6]])), Audit[[#This Row],[Audit Candidate 6]]-Audit[[#This Row],[Candidate 6]], "")</f>
        <v/>
      </c>
      <c r="AK815" s="18" t="str">
        <f>IF(NOT(ISBLANK(Audit[[#This Row],[Audit Candidate 7]])), Audit[[#This Row],[Audit Candidate 7]]-Audit[[#This Row],[Candidate 7]], "")</f>
        <v/>
      </c>
      <c r="AL815" s="18" t="str">
        <f>IF(NOT(ISBLANK(Audit[[#This Row],[Audit Candidate 8]])), Audit[[#This Row],[Audit Candidate 8]]-Audit[[#This Row],[Candidate 8]], "")</f>
        <v/>
      </c>
      <c r="AM815" s="18" t="str">
        <f>IF(NOT(ISBLANK(Audit[[#This Row],[Audit Candidate 9]])), Audit[[#This Row],[Audit Candidate 9]]-Audit[[#This Row],[Candidate 9]], "")</f>
        <v/>
      </c>
      <c r="AN815" s="18" t="str">
        <f>IF(NOT(ISBLANK(Audit[[#This Row],[Audit Candidate 10]])), Audit[[#This Row],[Audit Candidate 10]]-Audit[[#This Row],[Candidate 10]], "")</f>
        <v/>
      </c>
      <c r="AO815" s="18" t="str">
        <f>IF(NOT(ISBLANK(Audit[[#This Row],[Audit Candidate 11]])), Audit[[#This Row],[Audit Candidate 11]]-Audit[[#This Row],[Candidate 11]], "")</f>
        <v/>
      </c>
      <c r="AP815" s="18" t="str">
        <f>IF(NOT(ISBLANK(Audit[[#This Row],[Audit Candidate 12]])), Audit[[#This Row],[Audit Candidate 12]]-Audit[[#This Row],[Candidate 12]], "")</f>
        <v/>
      </c>
      <c r="AQ815" s="18">
        <f>SUMIF(Audit[[#This Row],[Difference Winner]:[Difference Candidate 12]], "&gt;0")</f>
        <v>0</v>
      </c>
      <c r="AR815" s="18">
        <f>SUM(Audit[[#This Row],[Difference Winner]:[Difference Candidate 12]])</f>
        <v>0</v>
      </c>
      <c r="AS815" s="18">
        <f>IF(Audit[[#This Row],[Times p Drawn - With Replacement]]&gt;0, IF(Audit[[#This Row],[Canceled Differences]]&lt;0, Audit[[#This Row],[Max Differences]]+ABS(Audit[[#This Row],[Canceled Differences]]), Audit[[#This Row],[Max Differences]]), 0)</f>
        <v>0</v>
      </c>
      <c r="AT815" s="18">
        <f>'Sampling Data'!AB815</f>
        <v>5.4967490655526592E-3</v>
      </c>
      <c r="AU815" s="18">
        <f>IF(
      SUM(Audit[[#This Row],[Audit Losing Candidate]:[Audit Candidate 12]])
      &lt;&gt;0,
      (Audit[[#This Row],[Winning Candidate]]-Audit[[#This Row],[Losing Candidate]]-(Audit[[#This Row],[Audit Winning Candidate]]-Audit[[#This Row],[Audit Losing Candidate]]))/(Audit[[#Totals],[Winning Candidate]]-Audit[[#Totals],[Losing Candidate]]),
      0
)</f>
        <v>0</v>
      </c>
      <c r="AV8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8">
        <f>IF(Audit[[#This Row],[Max Relative Error (ep)]] = 0, 0, Audit[[#This Row],[Max Relative Error (ep)]]/Audit[[#This Row],[Error Bound (up) - Max. possible relative overstatement]])</f>
        <v>0</v>
      </c>
      <c r="BH8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5" s="18">
        <f t="shared" si="13"/>
        <v>1</v>
      </c>
      <c r="BJ815" s="18">
        <f>PRODUCT($BI$5:BI815)</f>
        <v>0.32656797278968008</v>
      </c>
      <c r="BK815" s="20">
        <f>1 - Audit[[#This Row],[K-M P Value]]</f>
        <v>0.67343202721031992</v>
      </c>
      <c r="BL815" s="18" t="str">
        <f>IF(Audit[[#This Row],[K-M P Value]]&gt;1-'General Info'!$B$12,"Continue", "Stop")</f>
        <v>Continue</v>
      </c>
      <c r="BM815" s="23" t="b">
        <f>IF(Audit[[#This Row],[Status - Continue or stop audit]] = "Continue", TRUE, IF(BL814 = "Continue", TRUE, FALSE))</f>
        <v>1</v>
      </c>
      <c r="BN815" s="23"/>
    </row>
    <row r="816" spans="1:66" ht="15" hidden="1" customHeight="1" x14ac:dyDescent="0.35">
      <c r="A816" s="18" t="str">
        <f>'Sampling Data'!AI816</f>
        <v/>
      </c>
      <c r="B816" s="18" t="str">
        <f>'Sampling Data'!A816</f>
        <v>3807 MADRA G   (ED)</v>
      </c>
      <c r="C816" s="18">
        <f>'Sampling Data'!B816</f>
        <v>47</v>
      </c>
      <c r="D816" s="18">
        <f>'Sampling Data'!C816</f>
        <v>3</v>
      </c>
      <c r="E816" s="19">
        <f>'Sampling Data'!D816</f>
        <v>0</v>
      </c>
      <c r="F816" s="19">
        <f>'Sampling Data'!E816</f>
        <v>0</v>
      </c>
      <c r="G816" s="19">
        <f>'Sampling Data'!F816</f>
        <v>0</v>
      </c>
      <c r="H816" s="19">
        <f>'Sampling Data'!G816</f>
        <v>0</v>
      </c>
      <c r="I816" s="19">
        <f>'Sampling Data'!H816</f>
        <v>0</v>
      </c>
      <c r="J816" s="19">
        <f>'Sampling Data'!I816</f>
        <v>0</v>
      </c>
      <c r="K816" s="19">
        <f>'Sampling Data'!J816</f>
        <v>0</v>
      </c>
      <c r="L816" s="19">
        <f>'Sampling Data'!K816</f>
        <v>0</v>
      </c>
      <c r="M816" s="19">
        <f>'Sampling Data'!L816</f>
        <v>0</v>
      </c>
      <c r="N816" s="19">
        <f>'Sampling Data'!M816</f>
        <v>0</v>
      </c>
      <c r="O816" s="18">
        <f>'Sampling Data'!N816</f>
        <v>0</v>
      </c>
      <c r="P816" s="18">
        <f>'Sampling Data'!O816</f>
        <v>1</v>
      </c>
      <c r="Q816" s="18">
        <f>'Sampling Data'!P816</f>
        <v>51</v>
      </c>
      <c r="R816" s="18">
        <f>'Sampling Data'!AJ816</f>
        <v>0</v>
      </c>
      <c r="S816" s="112"/>
      <c r="T816" s="112"/>
      <c r="U816" s="113"/>
      <c r="V816" s="113"/>
      <c r="W816" s="112"/>
      <c r="X816" s="112"/>
      <c r="Y816" s="112"/>
      <c r="Z816" s="112"/>
      <c r="AA816" s="15"/>
      <c r="AB816" s="15"/>
      <c r="AC816" s="15"/>
      <c r="AD816" s="15"/>
      <c r="AE816" s="114" t="str">
        <f>IF(NOT(ISBLANK(Audit[[#This Row],[Audit Winning Candidate]])), Audit[[#This Row],[Audit Winning Candidate]]-Audit[[#This Row],[Winning Candidate]], "")</f>
        <v/>
      </c>
      <c r="AF816" s="18" t="str">
        <f>IF(NOT(ISBLANK(Audit[[#This Row],[Audit Losing Candidate]])), Audit[[#This Row],[Audit Losing Candidate]]-Audit[[#This Row],[Losing Candidate]], "")</f>
        <v/>
      </c>
      <c r="AG816" s="18" t="str">
        <f>IF(NOT(ISBLANK(Audit[[#This Row],[Audit Candidate 3]])), Audit[[#This Row],[Audit Candidate 3]]-Audit[[#This Row],[Candidate 3]], "")</f>
        <v/>
      </c>
      <c r="AH816" s="18" t="str">
        <f>IF(NOT(ISBLANK(Audit[[#This Row],[Audit Candidate 4]])),Audit[[#This Row],[Audit Candidate 4]]-Audit[[#This Row],[Candidate 4]], "")</f>
        <v/>
      </c>
      <c r="AI816" s="18" t="str">
        <f>IF(NOT(ISBLANK(Audit[[#This Row],[Audit Candidate 5]])), Audit[[#This Row],[Audit Candidate 5]]-Audit[[#This Row],[Candidate 5]], "")</f>
        <v/>
      </c>
      <c r="AJ816" s="18" t="str">
        <f>IF(NOT(ISBLANK(Audit[[#This Row],[Audit Candidate 6]])), Audit[[#This Row],[Audit Candidate 6]]-Audit[[#This Row],[Candidate 6]], "")</f>
        <v/>
      </c>
      <c r="AK816" s="18" t="str">
        <f>IF(NOT(ISBLANK(Audit[[#This Row],[Audit Candidate 7]])), Audit[[#This Row],[Audit Candidate 7]]-Audit[[#This Row],[Candidate 7]], "")</f>
        <v/>
      </c>
      <c r="AL816" s="18" t="str">
        <f>IF(NOT(ISBLANK(Audit[[#This Row],[Audit Candidate 8]])), Audit[[#This Row],[Audit Candidate 8]]-Audit[[#This Row],[Candidate 8]], "")</f>
        <v/>
      </c>
      <c r="AM816" s="18" t="str">
        <f>IF(NOT(ISBLANK(Audit[[#This Row],[Audit Candidate 9]])), Audit[[#This Row],[Audit Candidate 9]]-Audit[[#This Row],[Candidate 9]], "")</f>
        <v/>
      </c>
      <c r="AN816" s="18" t="str">
        <f>IF(NOT(ISBLANK(Audit[[#This Row],[Audit Candidate 10]])), Audit[[#This Row],[Audit Candidate 10]]-Audit[[#This Row],[Candidate 10]], "")</f>
        <v/>
      </c>
      <c r="AO816" s="18" t="str">
        <f>IF(NOT(ISBLANK(Audit[[#This Row],[Audit Candidate 11]])), Audit[[#This Row],[Audit Candidate 11]]-Audit[[#This Row],[Candidate 11]], "")</f>
        <v/>
      </c>
      <c r="AP816" s="18" t="str">
        <f>IF(NOT(ISBLANK(Audit[[#This Row],[Audit Candidate 12]])), Audit[[#This Row],[Audit Candidate 12]]-Audit[[#This Row],[Candidate 12]], "")</f>
        <v/>
      </c>
      <c r="AQ816" s="18">
        <f>SUMIF(Audit[[#This Row],[Difference Winner]:[Difference Candidate 12]], "&gt;0")</f>
        <v>0</v>
      </c>
      <c r="AR816" s="18">
        <f>SUM(Audit[[#This Row],[Difference Winner]:[Difference Candidate 12]])</f>
        <v>0</v>
      </c>
      <c r="AS816" s="18">
        <f>IF(Audit[[#This Row],[Times p Drawn - With Replacement]]&gt;0, IF(Audit[[#This Row],[Canceled Differences]]&lt;0, Audit[[#This Row],[Max Differences]]+ABS(Audit[[#This Row],[Canceled Differences]]), Audit[[#This Row],[Max Differences]]), 0)</f>
        <v>0</v>
      </c>
      <c r="AT816" s="18">
        <f>'Sampling Data'!AB816</f>
        <v>2.9839494927285863E-3</v>
      </c>
      <c r="AU816" s="18">
        <f>IF(
      SUM(Audit[[#This Row],[Audit Losing Candidate]:[Audit Candidate 12]])
      &lt;&gt;0,
      (Audit[[#This Row],[Winning Candidate]]-Audit[[#This Row],[Losing Candidate]]-(Audit[[#This Row],[Audit Winning Candidate]]-Audit[[#This Row],[Audit Losing Candidate]]))/(Audit[[#Totals],[Winning Candidate]]-Audit[[#Totals],[Losing Candidate]]),
      0
)</f>
        <v>0</v>
      </c>
      <c r="AV8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8">
        <f>IF(Audit[[#This Row],[Max Relative Error (ep)]] = 0, 0, Audit[[#This Row],[Max Relative Error (ep)]]/Audit[[#This Row],[Error Bound (up) - Max. possible relative overstatement]])</f>
        <v>0</v>
      </c>
      <c r="BH8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6" s="18">
        <f t="shared" si="13"/>
        <v>1</v>
      </c>
      <c r="BJ816" s="18">
        <f>PRODUCT($BI$5:BI816)</f>
        <v>0.32656797278968008</v>
      </c>
      <c r="BK816" s="20">
        <f>1 - Audit[[#This Row],[K-M P Value]]</f>
        <v>0.67343202721031992</v>
      </c>
      <c r="BL816" s="18" t="str">
        <f>IF(Audit[[#This Row],[K-M P Value]]&gt;1-'General Info'!$B$12,"Continue", "Stop")</f>
        <v>Continue</v>
      </c>
      <c r="BM816" s="23" t="b">
        <f>IF(Audit[[#This Row],[Status - Continue or stop audit]] = "Continue", TRUE, IF(BL815 = "Continue", TRUE, FALSE))</f>
        <v>1</v>
      </c>
      <c r="BN816" s="23"/>
    </row>
    <row r="817" spans="1:66" ht="15" hidden="1" customHeight="1" x14ac:dyDescent="0.35">
      <c r="A817" s="18" t="str">
        <f>'Sampling Data'!AI817</f>
        <v/>
      </c>
      <c r="B817" s="18" t="str">
        <f>'Sampling Data'!A817</f>
        <v>3808 MADRA H   (ED)</v>
      </c>
      <c r="C817" s="18">
        <f>'Sampling Data'!B817</f>
        <v>62</v>
      </c>
      <c r="D817" s="18">
        <f>'Sampling Data'!C817</f>
        <v>7</v>
      </c>
      <c r="E817" s="19">
        <f>'Sampling Data'!D817</f>
        <v>0</v>
      </c>
      <c r="F817" s="19">
        <f>'Sampling Data'!E817</f>
        <v>0</v>
      </c>
      <c r="G817" s="19">
        <f>'Sampling Data'!F817</f>
        <v>0</v>
      </c>
      <c r="H817" s="19">
        <f>'Sampling Data'!G817</f>
        <v>0</v>
      </c>
      <c r="I817" s="19">
        <f>'Sampling Data'!H817</f>
        <v>0</v>
      </c>
      <c r="J817" s="19">
        <f>'Sampling Data'!I817</f>
        <v>0</v>
      </c>
      <c r="K817" s="19">
        <f>'Sampling Data'!J817</f>
        <v>0</v>
      </c>
      <c r="L817" s="19">
        <f>'Sampling Data'!K817</f>
        <v>0</v>
      </c>
      <c r="M817" s="19">
        <f>'Sampling Data'!L817</f>
        <v>0</v>
      </c>
      <c r="N817" s="19">
        <f>'Sampling Data'!M817</f>
        <v>0</v>
      </c>
      <c r="O817" s="18">
        <f>'Sampling Data'!N817</f>
        <v>0</v>
      </c>
      <c r="P817" s="18">
        <f>'Sampling Data'!O817</f>
        <v>0</v>
      </c>
      <c r="Q817" s="18">
        <f>'Sampling Data'!P817</f>
        <v>69</v>
      </c>
      <c r="R817" s="18">
        <f>'Sampling Data'!AJ817</f>
        <v>0</v>
      </c>
      <c r="S817" s="112"/>
      <c r="T817" s="112"/>
      <c r="U817" s="113"/>
      <c r="V817" s="113"/>
      <c r="W817" s="112"/>
      <c r="X817" s="112"/>
      <c r="Y817" s="112"/>
      <c r="Z817" s="112"/>
      <c r="AA817" s="15"/>
      <c r="AB817" s="15"/>
      <c r="AC817" s="15"/>
      <c r="AD817" s="15"/>
      <c r="AE817" s="114" t="str">
        <f>IF(NOT(ISBLANK(Audit[[#This Row],[Audit Winning Candidate]])), Audit[[#This Row],[Audit Winning Candidate]]-Audit[[#This Row],[Winning Candidate]], "")</f>
        <v/>
      </c>
      <c r="AF817" s="18" t="str">
        <f>IF(NOT(ISBLANK(Audit[[#This Row],[Audit Losing Candidate]])), Audit[[#This Row],[Audit Losing Candidate]]-Audit[[#This Row],[Losing Candidate]], "")</f>
        <v/>
      </c>
      <c r="AG817" s="18" t="str">
        <f>IF(NOT(ISBLANK(Audit[[#This Row],[Audit Candidate 3]])), Audit[[#This Row],[Audit Candidate 3]]-Audit[[#This Row],[Candidate 3]], "")</f>
        <v/>
      </c>
      <c r="AH817" s="18" t="str">
        <f>IF(NOT(ISBLANK(Audit[[#This Row],[Audit Candidate 4]])),Audit[[#This Row],[Audit Candidate 4]]-Audit[[#This Row],[Candidate 4]], "")</f>
        <v/>
      </c>
      <c r="AI817" s="18" t="str">
        <f>IF(NOT(ISBLANK(Audit[[#This Row],[Audit Candidate 5]])), Audit[[#This Row],[Audit Candidate 5]]-Audit[[#This Row],[Candidate 5]], "")</f>
        <v/>
      </c>
      <c r="AJ817" s="18" t="str">
        <f>IF(NOT(ISBLANK(Audit[[#This Row],[Audit Candidate 6]])), Audit[[#This Row],[Audit Candidate 6]]-Audit[[#This Row],[Candidate 6]], "")</f>
        <v/>
      </c>
      <c r="AK817" s="18" t="str">
        <f>IF(NOT(ISBLANK(Audit[[#This Row],[Audit Candidate 7]])), Audit[[#This Row],[Audit Candidate 7]]-Audit[[#This Row],[Candidate 7]], "")</f>
        <v/>
      </c>
      <c r="AL817" s="18" t="str">
        <f>IF(NOT(ISBLANK(Audit[[#This Row],[Audit Candidate 8]])), Audit[[#This Row],[Audit Candidate 8]]-Audit[[#This Row],[Candidate 8]], "")</f>
        <v/>
      </c>
      <c r="AM817" s="18" t="str">
        <f>IF(NOT(ISBLANK(Audit[[#This Row],[Audit Candidate 9]])), Audit[[#This Row],[Audit Candidate 9]]-Audit[[#This Row],[Candidate 9]], "")</f>
        <v/>
      </c>
      <c r="AN817" s="18" t="str">
        <f>IF(NOT(ISBLANK(Audit[[#This Row],[Audit Candidate 10]])), Audit[[#This Row],[Audit Candidate 10]]-Audit[[#This Row],[Candidate 10]], "")</f>
        <v/>
      </c>
      <c r="AO817" s="18" t="str">
        <f>IF(NOT(ISBLANK(Audit[[#This Row],[Audit Candidate 11]])), Audit[[#This Row],[Audit Candidate 11]]-Audit[[#This Row],[Candidate 11]], "")</f>
        <v/>
      </c>
      <c r="AP817" s="18" t="str">
        <f>IF(NOT(ISBLANK(Audit[[#This Row],[Audit Candidate 12]])), Audit[[#This Row],[Audit Candidate 12]]-Audit[[#This Row],[Candidate 12]], "")</f>
        <v/>
      </c>
      <c r="AQ817" s="18">
        <f>SUMIF(Audit[[#This Row],[Difference Winner]:[Difference Candidate 12]], "&gt;0")</f>
        <v>0</v>
      </c>
      <c r="AR817" s="18">
        <f>SUM(Audit[[#This Row],[Difference Winner]:[Difference Candidate 12]])</f>
        <v>0</v>
      </c>
      <c r="AS817" s="18">
        <f>IF(Audit[[#This Row],[Times p Drawn - With Replacement]]&gt;0, IF(Audit[[#This Row],[Canceled Differences]]&lt;0, Audit[[#This Row],[Max Differences]]+ABS(Audit[[#This Row],[Canceled Differences]]), Audit[[#This Row],[Max Differences]]), 0)</f>
        <v>0</v>
      </c>
      <c r="AT817" s="18">
        <f>'Sampling Data'!AB817</f>
        <v>3.8948393378773127E-3</v>
      </c>
      <c r="AU817" s="18">
        <f>IF(
      SUM(Audit[[#This Row],[Audit Losing Candidate]:[Audit Candidate 12]])
      &lt;&gt;0,
      (Audit[[#This Row],[Winning Candidate]]-Audit[[#This Row],[Losing Candidate]]-(Audit[[#This Row],[Audit Winning Candidate]]-Audit[[#This Row],[Audit Losing Candidate]]))/(Audit[[#Totals],[Winning Candidate]]-Audit[[#Totals],[Losing Candidate]]),
      0
)</f>
        <v>0</v>
      </c>
      <c r="AV8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8">
        <f>IF(Audit[[#This Row],[Max Relative Error (ep)]] = 0, 0, Audit[[#This Row],[Max Relative Error (ep)]]/Audit[[#This Row],[Error Bound (up) - Max. possible relative overstatement]])</f>
        <v>0</v>
      </c>
      <c r="BH8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7" s="18">
        <f t="shared" si="13"/>
        <v>1</v>
      </c>
      <c r="BJ817" s="18">
        <f>PRODUCT($BI$5:BI817)</f>
        <v>0.32656797278968008</v>
      </c>
      <c r="BK817" s="20">
        <f>1 - Audit[[#This Row],[K-M P Value]]</f>
        <v>0.67343202721031992</v>
      </c>
      <c r="BL817" s="18" t="str">
        <f>IF(Audit[[#This Row],[K-M P Value]]&gt;1-'General Info'!$B$12,"Continue", "Stop")</f>
        <v>Continue</v>
      </c>
      <c r="BM817" s="23" t="b">
        <f>IF(Audit[[#This Row],[Status - Continue or stop audit]] = "Continue", TRUE, IF(BL816 = "Continue", TRUE, FALSE))</f>
        <v>1</v>
      </c>
      <c r="BN817" s="23"/>
    </row>
    <row r="818" spans="1:66" ht="15" hidden="1" customHeight="1" x14ac:dyDescent="0.35">
      <c r="A818" s="18" t="str">
        <f>'Sampling Data'!AI818</f>
        <v/>
      </c>
      <c r="B818" s="18" t="str">
        <f>'Sampling Data'!A818</f>
        <v>3901 MILF A  (ED)</v>
      </c>
      <c r="C818" s="18">
        <f>'Sampling Data'!B818</f>
        <v>5</v>
      </c>
      <c r="D818" s="18">
        <f>'Sampling Data'!C818</f>
        <v>1</v>
      </c>
      <c r="E818" s="19">
        <f>'Sampling Data'!D818</f>
        <v>0</v>
      </c>
      <c r="F818" s="19">
        <f>'Sampling Data'!E818</f>
        <v>0</v>
      </c>
      <c r="G818" s="19">
        <f>'Sampling Data'!F818</f>
        <v>0</v>
      </c>
      <c r="H818" s="19">
        <f>'Sampling Data'!G818</f>
        <v>0</v>
      </c>
      <c r="I818" s="19">
        <f>'Sampling Data'!H818</f>
        <v>0</v>
      </c>
      <c r="J818" s="19">
        <f>'Sampling Data'!I818</f>
        <v>0</v>
      </c>
      <c r="K818" s="19">
        <f>'Sampling Data'!J818</f>
        <v>0</v>
      </c>
      <c r="L818" s="19">
        <f>'Sampling Data'!K818</f>
        <v>0</v>
      </c>
      <c r="M818" s="19">
        <f>'Sampling Data'!L818</f>
        <v>0</v>
      </c>
      <c r="N818" s="19">
        <f>'Sampling Data'!M818</f>
        <v>0</v>
      </c>
      <c r="O818" s="18">
        <f>'Sampling Data'!N818</f>
        <v>0</v>
      </c>
      <c r="P818" s="18">
        <f>'Sampling Data'!O818</f>
        <v>0</v>
      </c>
      <c r="Q818" s="18">
        <f>'Sampling Data'!P818</f>
        <v>6</v>
      </c>
      <c r="R818" s="18">
        <f>'Sampling Data'!AJ818</f>
        <v>0</v>
      </c>
      <c r="S818" s="112"/>
      <c r="T818" s="112"/>
      <c r="U818" s="113"/>
      <c r="V818" s="113"/>
      <c r="W818" s="112"/>
      <c r="X818" s="112"/>
      <c r="Y818" s="112"/>
      <c r="Z818" s="112"/>
      <c r="AA818" s="15"/>
      <c r="AB818" s="15"/>
      <c r="AC818" s="15"/>
      <c r="AD818" s="15"/>
      <c r="AE818" s="114" t="str">
        <f>IF(NOT(ISBLANK(Audit[[#This Row],[Audit Winning Candidate]])), Audit[[#This Row],[Audit Winning Candidate]]-Audit[[#This Row],[Winning Candidate]], "")</f>
        <v/>
      </c>
      <c r="AF818" s="18" t="str">
        <f>IF(NOT(ISBLANK(Audit[[#This Row],[Audit Losing Candidate]])), Audit[[#This Row],[Audit Losing Candidate]]-Audit[[#This Row],[Losing Candidate]], "")</f>
        <v/>
      </c>
      <c r="AG818" s="18" t="str">
        <f>IF(NOT(ISBLANK(Audit[[#This Row],[Audit Candidate 3]])), Audit[[#This Row],[Audit Candidate 3]]-Audit[[#This Row],[Candidate 3]], "")</f>
        <v/>
      </c>
      <c r="AH818" s="18" t="str">
        <f>IF(NOT(ISBLANK(Audit[[#This Row],[Audit Candidate 4]])),Audit[[#This Row],[Audit Candidate 4]]-Audit[[#This Row],[Candidate 4]], "")</f>
        <v/>
      </c>
      <c r="AI818" s="18" t="str">
        <f>IF(NOT(ISBLANK(Audit[[#This Row],[Audit Candidate 5]])), Audit[[#This Row],[Audit Candidate 5]]-Audit[[#This Row],[Candidate 5]], "")</f>
        <v/>
      </c>
      <c r="AJ818" s="18" t="str">
        <f>IF(NOT(ISBLANK(Audit[[#This Row],[Audit Candidate 6]])), Audit[[#This Row],[Audit Candidate 6]]-Audit[[#This Row],[Candidate 6]], "")</f>
        <v/>
      </c>
      <c r="AK818" s="18" t="str">
        <f>IF(NOT(ISBLANK(Audit[[#This Row],[Audit Candidate 7]])), Audit[[#This Row],[Audit Candidate 7]]-Audit[[#This Row],[Candidate 7]], "")</f>
        <v/>
      </c>
      <c r="AL818" s="18" t="str">
        <f>IF(NOT(ISBLANK(Audit[[#This Row],[Audit Candidate 8]])), Audit[[#This Row],[Audit Candidate 8]]-Audit[[#This Row],[Candidate 8]], "")</f>
        <v/>
      </c>
      <c r="AM818" s="18" t="str">
        <f>IF(NOT(ISBLANK(Audit[[#This Row],[Audit Candidate 9]])), Audit[[#This Row],[Audit Candidate 9]]-Audit[[#This Row],[Candidate 9]], "")</f>
        <v/>
      </c>
      <c r="AN818" s="18" t="str">
        <f>IF(NOT(ISBLANK(Audit[[#This Row],[Audit Candidate 10]])), Audit[[#This Row],[Audit Candidate 10]]-Audit[[#This Row],[Candidate 10]], "")</f>
        <v/>
      </c>
      <c r="AO818" s="18" t="str">
        <f>IF(NOT(ISBLANK(Audit[[#This Row],[Audit Candidate 11]])), Audit[[#This Row],[Audit Candidate 11]]-Audit[[#This Row],[Candidate 11]], "")</f>
        <v/>
      </c>
      <c r="AP818" s="18" t="str">
        <f>IF(NOT(ISBLANK(Audit[[#This Row],[Audit Candidate 12]])), Audit[[#This Row],[Audit Candidate 12]]-Audit[[#This Row],[Candidate 12]], "")</f>
        <v/>
      </c>
      <c r="AQ818" s="18">
        <f>SUMIF(Audit[[#This Row],[Difference Winner]:[Difference Candidate 12]], "&gt;0")</f>
        <v>0</v>
      </c>
      <c r="AR818" s="18">
        <f>SUM(Audit[[#This Row],[Difference Winner]:[Difference Candidate 12]])</f>
        <v>0</v>
      </c>
      <c r="AS818" s="18">
        <f>IF(Audit[[#This Row],[Times p Drawn - With Replacement]]&gt;0, IF(Audit[[#This Row],[Canceled Differences]]&lt;0, Audit[[#This Row],[Max Differences]]+ABS(Audit[[#This Row],[Canceled Differences]]), Audit[[#This Row],[Max Differences]]), 0)</f>
        <v>0</v>
      </c>
      <c r="AT818" s="18">
        <f>'Sampling Data'!AB818</f>
        <v>3.1409994660300906E-4</v>
      </c>
      <c r="AU818" s="18">
        <f>IF(
      SUM(Audit[[#This Row],[Audit Losing Candidate]:[Audit Candidate 12]])
      &lt;&gt;0,
      (Audit[[#This Row],[Winning Candidate]]-Audit[[#This Row],[Losing Candidate]]-(Audit[[#This Row],[Audit Winning Candidate]]-Audit[[#This Row],[Audit Losing Candidate]]))/(Audit[[#Totals],[Winning Candidate]]-Audit[[#Totals],[Losing Candidate]]),
      0
)</f>
        <v>0</v>
      </c>
      <c r="AV8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8">
        <f>IF(Audit[[#This Row],[Max Relative Error (ep)]] = 0, 0, Audit[[#This Row],[Max Relative Error (ep)]]/Audit[[#This Row],[Error Bound (up) - Max. possible relative overstatement]])</f>
        <v>0</v>
      </c>
      <c r="BH8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8" s="18">
        <f t="shared" si="13"/>
        <v>1</v>
      </c>
      <c r="BJ818" s="18">
        <f>PRODUCT($BI$5:BI818)</f>
        <v>0.32656797278968008</v>
      </c>
      <c r="BK818" s="20">
        <f>1 - Audit[[#This Row],[K-M P Value]]</f>
        <v>0.67343202721031992</v>
      </c>
      <c r="BL818" s="18" t="str">
        <f>IF(Audit[[#This Row],[K-M P Value]]&gt;1-'General Info'!$B$12,"Continue", "Stop")</f>
        <v>Continue</v>
      </c>
      <c r="BM818" s="23" t="b">
        <f>IF(Audit[[#This Row],[Status - Continue or stop audit]] = "Continue", TRUE, IF(BL817 = "Continue", TRUE, FALSE))</f>
        <v>1</v>
      </c>
      <c r="BN818" s="23"/>
    </row>
    <row r="819" spans="1:66" ht="15" hidden="1" customHeight="1" x14ac:dyDescent="0.35">
      <c r="A819" s="18" t="str">
        <f>'Sampling Data'!AI819</f>
        <v/>
      </c>
      <c r="B819" s="18" t="str">
        <f>'Sampling Data'!A819</f>
        <v>4001 MONT A   (ED)</v>
      </c>
      <c r="C819" s="18">
        <f>'Sampling Data'!B819</f>
        <v>110</v>
      </c>
      <c r="D819" s="18">
        <f>'Sampling Data'!C819</f>
        <v>13</v>
      </c>
      <c r="E819" s="19">
        <f>'Sampling Data'!D819</f>
        <v>0</v>
      </c>
      <c r="F819" s="19">
        <f>'Sampling Data'!E819</f>
        <v>0</v>
      </c>
      <c r="G819" s="19">
        <f>'Sampling Data'!F819</f>
        <v>0</v>
      </c>
      <c r="H819" s="19">
        <f>'Sampling Data'!G819</f>
        <v>0</v>
      </c>
      <c r="I819" s="19">
        <f>'Sampling Data'!H819</f>
        <v>0</v>
      </c>
      <c r="J819" s="19">
        <f>'Sampling Data'!I819</f>
        <v>0</v>
      </c>
      <c r="K819" s="19">
        <f>'Sampling Data'!J819</f>
        <v>0</v>
      </c>
      <c r="L819" s="19">
        <f>'Sampling Data'!K819</f>
        <v>0</v>
      </c>
      <c r="M819" s="19">
        <f>'Sampling Data'!L819</f>
        <v>0</v>
      </c>
      <c r="N819" s="19">
        <f>'Sampling Data'!M819</f>
        <v>0</v>
      </c>
      <c r="O819" s="18">
        <f>'Sampling Data'!N819</f>
        <v>0</v>
      </c>
      <c r="P819" s="18">
        <f>'Sampling Data'!O819</f>
        <v>1</v>
      </c>
      <c r="Q819" s="18">
        <f>'Sampling Data'!P819</f>
        <v>124</v>
      </c>
      <c r="R819" s="18">
        <f>'Sampling Data'!AJ819</f>
        <v>0</v>
      </c>
      <c r="S819" s="112"/>
      <c r="T819" s="112"/>
      <c r="U819" s="113"/>
      <c r="V819" s="113"/>
      <c r="W819" s="112"/>
      <c r="X819" s="112"/>
      <c r="Y819" s="112"/>
      <c r="Z819" s="112"/>
      <c r="AA819" s="15"/>
      <c r="AB819" s="15"/>
      <c r="AC819" s="15"/>
      <c r="AD819" s="15"/>
      <c r="AE819" s="114" t="str">
        <f>IF(NOT(ISBLANK(Audit[[#This Row],[Audit Winning Candidate]])), Audit[[#This Row],[Audit Winning Candidate]]-Audit[[#This Row],[Winning Candidate]], "")</f>
        <v/>
      </c>
      <c r="AF819" s="18" t="str">
        <f>IF(NOT(ISBLANK(Audit[[#This Row],[Audit Losing Candidate]])), Audit[[#This Row],[Audit Losing Candidate]]-Audit[[#This Row],[Losing Candidate]], "")</f>
        <v/>
      </c>
      <c r="AG819" s="18" t="str">
        <f>IF(NOT(ISBLANK(Audit[[#This Row],[Audit Candidate 3]])), Audit[[#This Row],[Audit Candidate 3]]-Audit[[#This Row],[Candidate 3]], "")</f>
        <v/>
      </c>
      <c r="AH819" s="18" t="str">
        <f>IF(NOT(ISBLANK(Audit[[#This Row],[Audit Candidate 4]])),Audit[[#This Row],[Audit Candidate 4]]-Audit[[#This Row],[Candidate 4]], "")</f>
        <v/>
      </c>
      <c r="AI819" s="18" t="str">
        <f>IF(NOT(ISBLANK(Audit[[#This Row],[Audit Candidate 5]])), Audit[[#This Row],[Audit Candidate 5]]-Audit[[#This Row],[Candidate 5]], "")</f>
        <v/>
      </c>
      <c r="AJ819" s="18" t="str">
        <f>IF(NOT(ISBLANK(Audit[[#This Row],[Audit Candidate 6]])), Audit[[#This Row],[Audit Candidate 6]]-Audit[[#This Row],[Candidate 6]], "")</f>
        <v/>
      </c>
      <c r="AK819" s="18" t="str">
        <f>IF(NOT(ISBLANK(Audit[[#This Row],[Audit Candidate 7]])), Audit[[#This Row],[Audit Candidate 7]]-Audit[[#This Row],[Candidate 7]], "")</f>
        <v/>
      </c>
      <c r="AL819" s="18" t="str">
        <f>IF(NOT(ISBLANK(Audit[[#This Row],[Audit Candidate 8]])), Audit[[#This Row],[Audit Candidate 8]]-Audit[[#This Row],[Candidate 8]], "")</f>
        <v/>
      </c>
      <c r="AM819" s="18" t="str">
        <f>IF(NOT(ISBLANK(Audit[[#This Row],[Audit Candidate 9]])), Audit[[#This Row],[Audit Candidate 9]]-Audit[[#This Row],[Candidate 9]], "")</f>
        <v/>
      </c>
      <c r="AN819" s="18" t="str">
        <f>IF(NOT(ISBLANK(Audit[[#This Row],[Audit Candidate 10]])), Audit[[#This Row],[Audit Candidate 10]]-Audit[[#This Row],[Candidate 10]], "")</f>
        <v/>
      </c>
      <c r="AO819" s="18" t="str">
        <f>IF(NOT(ISBLANK(Audit[[#This Row],[Audit Candidate 11]])), Audit[[#This Row],[Audit Candidate 11]]-Audit[[#This Row],[Candidate 11]], "")</f>
        <v/>
      </c>
      <c r="AP819" s="18" t="str">
        <f>IF(NOT(ISBLANK(Audit[[#This Row],[Audit Candidate 12]])), Audit[[#This Row],[Audit Candidate 12]]-Audit[[#This Row],[Candidate 12]], "")</f>
        <v/>
      </c>
      <c r="AQ819" s="18">
        <f>SUMIF(Audit[[#This Row],[Difference Winner]:[Difference Candidate 12]], "&gt;0")</f>
        <v>0</v>
      </c>
      <c r="AR819" s="18">
        <f>SUM(Audit[[#This Row],[Difference Winner]:[Difference Candidate 12]])</f>
        <v>0</v>
      </c>
      <c r="AS819" s="18">
        <f>IF(Audit[[#This Row],[Times p Drawn - With Replacement]]&gt;0, IF(Audit[[#This Row],[Canceled Differences]]&lt;0, Audit[[#This Row],[Max Differences]]+ABS(Audit[[#This Row],[Canceled Differences]]), Audit[[#This Row],[Max Differences]]), 0)</f>
        <v>0</v>
      </c>
      <c r="AT819" s="18">
        <f>'Sampling Data'!AB819</f>
        <v>6.941608819926501E-3</v>
      </c>
      <c r="AU819" s="18">
        <f>IF(
      SUM(Audit[[#This Row],[Audit Losing Candidate]:[Audit Candidate 12]])
      &lt;&gt;0,
      (Audit[[#This Row],[Winning Candidate]]-Audit[[#This Row],[Losing Candidate]]-(Audit[[#This Row],[Audit Winning Candidate]]-Audit[[#This Row],[Audit Losing Candidate]]))/(Audit[[#Totals],[Winning Candidate]]-Audit[[#Totals],[Losing Candidate]]),
      0
)</f>
        <v>0</v>
      </c>
      <c r="AV8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8">
        <f>IF(Audit[[#This Row],[Max Relative Error (ep)]] = 0, 0, Audit[[#This Row],[Max Relative Error (ep)]]/Audit[[#This Row],[Error Bound (up) - Max. possible relative overstatement]])</f>
        <v>0</v>
      </c>
      <c r="BH8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19" s="18">
        <f t="shared" si="13"/>
        <v>1</v>
      </c>
      <c r="BJ819" s="18">
        <f>PRODUCT($BI$5:BI819)</f>
        <v>0.32656797278968008</v>
      </c>
      <c r="BK819" s="20">
        <f>1 - Audit[[#This Row],[K-M P Value]]</f>
        <v>0.67343202721031992</v>
      </c>
      <c r="BL819" s="18" t="str">
        <f>IF(Audit[[#This Row],[K-M P Value]]&gt;1-'General Info'!$B$12,"Continue", "Stop")</f>
        <v>Continue</v>
      </c>
      <c r="BM819" s="23" t="b">
        <f>IF(Audit[[#This Row],[Status - Continue or stop audit]] = "Continue", TRUE, IF(BL818 = "Continue", TRUE, FALSE))</f>
        <v>1</v>
      </c>
      <c r="BN819" s="23"/>
    </row>
    <row r="820" spans="1:66" ht="15" hidden="1" customHeight="1" x14ac:dyDescent="0.35">
      <c r="A820" s="18" t="str">
        <f>'Sampling Data'!AI820</f>
        <v/>
      </c>
      <c r="B820" s="18" t="str">
        <f>'Sampling Data'!A820</f>
        <v>4002 MONT B   (ED)</v>
      </c>
      <c r="C820" s="18">
        <f>'Sampling Data'!B820</f>
        <v>101</v>
      </c>
      <c r="D820" s="18">
        <f>'Sampling Data'!C820</f>
        <v>11</v>
      </c>
      <c r="E820" s="19">
        <f>'Sampling Data'!D820</f>
        <v>0</v>
      </c>
      <c r="F820" s="19">
        <f>'Sampling Data'!E820</f>
        <v>0</v>
      </c>
      <c r="G820" s="19">
        <f>'Sampling Data'!F820</f>
        <v>0</v>
      </c>
      <c r="H820" s="19">
        <f>'Sampling Data'!G820</f>
        <v>0</v>
      </c>
      <c r="I820" s="19">
        <f>'Sampling Data'!H820</f>
        <v>0</v>
      </c>
      <c r="J820" s="19">
        <f>'Sampling Data'!I820</f>
        <v>0</v>
      </c>
      <c r="K820" s="19">
        <f>'Sampling Data'!J820</f>
        <v>0</v>
      </c>
      <c r="L820" s="19">
        <f>'Sampling Data'!K820</f>
        <v>0</v>
      </c>
      <c r="M820" s="19">
        <f>'Sampling Data'!L820</f>
        <v>0</v>
      </c>
      <c r="N820" s="19">
        <f>'Sampling Data'!M820</f>
        <v>0</v>
      </c>
      <c r="O820" s="18">
        <f>'Sampling Data'!N820</f>
        <v>0</v>
      </c>
      <c r="P820" s="18">
        <f>'Sampling Data'!O820</f>
        <v>0</v>
      </c>
      <c r="Q820" s="18">
        <f>'Sampling Data'!P820</f>
        <v>112</v>
      </c>
      <c r="R820" s="18">
        <f>'Sampling Data'!AJ820</f>
        <v>0</v>
      </c>
      <c r="S820" s="112"/>
      <c r="T820" s="112"/>
      <c r="U820" s="113"/>
      <c r="V820" s="113"/>
      <c r="W820" s="112"/>
      <c r="X820" s="112"/>
      <c r="Y820" s="112"/>
      <c r="Z820" s="112"/>
      <c r="AA820" s="15"/>
      <c r="AB820" s="15"/>
      <c r="AC820" s="15"/>
      <c r="AD820" s="15"/>
      <c r="AE820" s="114" t="str">
        <f>IF(NOT(ISBLANK(Audit[[#This Row],[Audit Winning Candidate]])), Audit[[#This Row],[Audit Winning Candidate]]-Audit[[#This Row],[Winning Candidate]], "")</f>
        <v/>
      </c>
      <c r="AF820" s="18" t="str">
        <f>IF(NOT(ISBLANK(Audit[[#This Row],[Audit Losing Candidate]])), Audit[[#This Row],[Audit Losing Candidate]]-Audit[[#This Row],[Losing Candidate]], "")</f>
        <v/>
      </c>
      <c r="AG820" s="18" t="str">
        <f>IF(NOT(ISBLANK(Audit[[#This Row],[Audit Candidate 3]])), Audit[[#This Row],[Audit Candidate 3]]-Audit[[#This Row],[Candidate 3]], "")</f>
        <v/>
      </c>
      <c r="AH820" s="18" t="str">
        <f>IF(NOT(ISBLANK(Audit[[#This Row],[Audit Candidate 4]])),Audit[[#This Row],[Audit Candidate 4]]-Audit[[#This Row],[Candidate 4]], "")</f>
        <v/>
      </c>
      <c r="AI820" s="18" t="str">
        <f>IF(NOT(ISBLANK(Audit[[#This Row],[Audit Candidate 5]])), Audit[[#This Row],[Audit Candidate 5]]-Audit[[#This Row],[Candidate 5]], "")</f>
        <v/>
      </c>
      <c r="AJ820" s="18" t="str">
        <f>IF(NOT(ISBLANK(Audit[[#This Row],[Audit Candidate 6]])), Audit[[#This Row],[Audit Candidate 6]]-Audit[[#This Row],[Candidate 6]], "")</f>
        <v/>
      </c>
      <c r="AK820" s="18" t="str">
        <f>IF(NOT(ISBLANK(Audit[[#This Row],[Audit Candidate 7]])), Audit[[#This Row],[Audit Candidate 7]]-Audit[[#This Row],[Candidate 7]], "")</f>
        <v/>
      </c>
      <c r="AL820" s="18" t="str">
        <f>IF(NOT(ISBLANK(Audit[[#This Row],[Audit Candidate 8]])), Audit[[#This Row],[Audit Candidate 8]]-Audit[[#This Row],[Candidate 8]], "")</f>
        <v/>
      </c>
      <c r="AM820" s="18" t="str">
        <f>IF(NOT(ISBLANK(Audit[[#This Row],[Audit Candidate 9]])), Audit[[#This Row],[Audit Candidate 9]]-Audit[[#This Row],[Candidate 9]], "")</f>
        <v/>
      </c>
      <c r="AN820" s="18" t="str">
        <f>IF(NOT(ISBLANK(Audit[[#This Row],[Audit Candidate 10]])), Audit[[#This Row],[Audit Candidate 10]]-Audit[[#This Row],[Candidate 10]], "")</f>
        <v/>
      </c>
      <c r="AO820" s="18" t="str">
        <f>IF(NOT(ISBLANK(Audit[[#This Row],[Audit Candidate 11]])), Audit[[#This Row],[Audit Candidate 11]]-Audit[[#This Row],[Candidate 11]], "")</f>
        <v/>
      </c>
      <c r="AP820" s="18" t="str">
        <f>IF(NOT(ISBLANK(Audit[[#This Row],[Audit Candidate 12]])), Audit[[#This Row],[Audit Candidate 12]]-Audit[[#This Row],[Candidate 12]], "")</f>
        <v/>
      </c>
      <c r="AQ820" s="18">
        <f>SUMIF(Audit[[#This Row],[Difference Winner]:[Difference Candidate 12]], "&gt;0")</f>
        <v>0</v>
      </c>
      <c r="AR820" s="18">
        <f>SUM(Audit[[#This Row],[Difference Winner]:[Difference Candidate 12]])</f>
        <v>0</v>
      </c>
      <c r="AS820" s="18">
        <f>IF(Audit[[#This Row],[Times p Drawn - With Replacement]]&gt;0, IF(Audit[[#This Row],[Canceled Differences]]&lt;0, Audit[[#This Row],[Max Differences]]+ABS(Audit[[#This Row],[Canceled Differences]]), Audit[[#This Row],[Max Differences]]), 0)</f>
        <v>0</v>
      </c>
      <c r="AT820" s="18">
        <f>'Sampling Data'!AB820</f>
        <v>6.3448189213807836E-3</v>
      </c>
      <c r="AU820" s="18">
        <f>IF(
      SUM(Audit[[#This Row],[Audit Losing Candidate]:[Audit Candidate 12]])
      &lt;&gt;0,
      (Audit[[#This Row],[Winning Candidate]]-Audit[[#This Row],[Losing Candidate]]-(Audit[[#This Row],[Audit Winning Candidate]]-Audit[[#This Row],[Audit Losing Candidate]]))/(Audit[[#Totals],[Winning Candidate]]-Audit[[#Totals],[Losing Candidate]]),
      0
)</f>
        <v>0</v>
      </c>
      <c r="AV8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8">
        <f>IF(Audit[[#This Row],[Max Relative Error (ep)]] = 0, 0, Audit[[#This Row],[Max Relative Error (ep)]]/Audit[[#This Row],[Error Bound (up) - Max. possible relative overstatement]])</f>
        <v>0</v>
      </c>
      <c r="BH8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0" s="18">
        <f t="shared" si="13"/>
        <v>1</v>
      </c>
      <c r="BJ820" s="18">
        <f>PRODUCT($BI$5:BI820)</f>
        <v>0.32656797278968008</v>
      </c>
      <c r="BK820" s="20">
        <f>1 - Audit[[#This Row],[K-M P Value]]</f>
        <v>0.67343202721031992</v>
      </c>
      <c r="BL820" s="18" t="str">
        <f>IF(Audit[[#This Row],[K-M P Value]]&gt;1-'General Info'!$B$12,"Continue", "Stop")</f>
        <v>Continue</v>
      </c>
      <c r="BM820" s="23" t="b">
        <f>IF(Audit[[#This Row],[Status - Continue or stop audit]] = "Continue", TRUE, IF(BL819 = "Continue", TRUE, FALSE))</f>
        <v>1</v>
      </c>
      <c r="BN820" s="23"/>
    </row>
    <row r="821" spans="1:66" ht="15" hidden="1" customHeight="1" x14ac:dyDescent="0.35">
      <c r="A821" s="18" t="str">
        <f>'Sampling Data'!AI821</f>
        <v/>
      </c>
      <c r="B821" s="18" t="str">
        <f>'Sampling Data'!A821</f>
        <v>4003 MONT C   (ED)</v>
      </c>
      <c r="C821" s="18">
        <f>'Sampling Data'!B821</f>
        <v>118</v>
      </c>
      <c r="D821" s="18">
        <f>'Sampling Data'!C821</f>
        <v>17</v>
      </c>
      <c r="E821" s="19">
        <f>'Sampling Data'!D821</f>
        <v>0</v>
      </c>
      <c r="F821" s="19">
        <f>'Sampling Data'!E821</f>
        <v>0</v>
      </c>
      <c r="G821" s="19">
        <f>'Sampling Data'!F821</f>
        <v>0</v>
      </c>
      <c r="H821" s="19">
        <f>'Sampling Data'!G821</f>
        <v>0</v>
      </c>
      <c r="I821" s="19">
        <f>'Sampling Data'!H821</f>
        <v>0</v>
      </c>
      <c r="J821" s="19">
        <f>'Sampling Data'!I821</f>
        <v>0</v>
      </c>
      <c r="K821" s="19">
        <f>'Sampling Data'!J821</f>
        <v>0</v>
      </c>
      <c r="L821" s="19">
        <f>'Sampling Data'!K821</f>
        <v>0</v>
      </c>
      <c r="M821" s="19">
        <f>'Sampling Data'!L821</f>
        <v>0</v>
      </c>
      <c r="N821" s="19">
        <f>'Sampling Data'!M821</f>
        <v>0</v>
      </c>
      <c r="O821" s="18">
        <f>'Sampling Data'!N821</f>
        <v>0</v>
      </c>
      <c r="P821" s="18">
        <f>'Sampling Data'!O821</f>
        <v>3</v>
      </c>
      <c r="Q821" s="18">
        <f>'Sampling Data'!P821</f>
        <v>138</v>
      </c>
      <c r="R821" s="18">
        <f>'Sampling Data'!AJ821</f>
        <v>0</v>
      </c>
      <c r="S821" s="112"/>
      <c r="T821" s="112"/>
      <c r="U821" s="113"/>
      <c r="V821" s="113"/>
      <c r="W821" s="112"/>
      <c r="X821" s="112"/>
      <c r="Y821" s="112"/>
      <c r="Z821" s="112"/>
      <c r="AA821" s="15"/>
      <c r="AB821" s="15"/>
      <c r="AC821" s="15"/>
      <c r="AD821" s="15"/>
      <c r="AE821" s="114" t="str">
        <f>IF(NOT(ISBLANK(Audit[[#This Row],[Audit Winning Candidate]])), Audit[[#This Row],[Audit Winning Candidate]]-Audit[[#This Row],[Winning Candidate]], "")</f>
        <v/>
      </c>
      <c r="AF821" s="18" t="str">
        <f>IF(NOT(ISBLANK(Audit[[#This Row],[Audit Losing Candidate]])), Audit[[#This Row],[Audit Losing Candidate]]-Audit[[#This Row],[Losing Candidate]], "")</f>
        <v/>
      </c>
      <c r="AG821" s="18" t="str">
        <f>IF(NOT(ISBLANK(Audit[[#This Row],[Audit Candidate 3]])), Audit[[#This Row],[Audit Candidate 3]]-Audit[[#This Row],[Candidate 3]], "")</f>
        <v/>
      </c>
      <c r="AH821" s="18" t="str">
        <f>IF(NOT(ISBLANK(Audit[[#This Row],[Audit Candidate 4]])),Audit[[#This Row],[Audit Candidate 4]]-Audit[[#This Row],[Candidate 4]], "")</f>
        <v/>
      </c>
      <c r="AI821" s="18" t="str">
        <f>IF(NOT(ISBLANK(Audit[[#This Row],[Audit Candidate 5]])), Audit[[#This Row],[Audit Candidate 5]]-Audit[[#This Row],[Candidate 5]], "")</f>
        <v/>
      </c>
      <c r="AJ821" s="18" t="str">
        <f>IF(NOT(ISBLANK(Audit[[#This Row],[Audit Candidate 6]])), Audit[[#This Row],[Audit Candidate 6]]-Audit[[#This Row],[Candidate 6]], "")</f>
        <v/>
      </c>
      <c r="AK821" s="18" t="str">
        <f>IF(NOT(ISBLANK(Audit[[#This Row],[Audit Candidate 7]])), Audit[[#This Row],[Audit Candidate 7]]-Audit[[#This Row],[Candidate 7]], "")</f>
        <v/>
      </c>
      <c r="AL821" s="18" t="str">
        <f>IF(NOT(ISBLANK(Audit[[#This Row],[Audit Candidate 8]])), Audit[[#This Row],[Audit Candidate 8]]-Audit[[#This Row],[Candidate 8]], "")</f>
        <v/>
      </c>
      <c r="AM821" s="18" t="str">
        <f>IF(NOT(ISBLANK(Audit[[#This Row],[Audit Candidate 9]])), Audit[[#This Row],[Audit Candidate 9]]-Audit[[#This Row],[Candidate 9]], "")</f>
        <v/>
      </c>
      <c r="AN821" s="18" t="str">
        <f>IF(NOT(ISBLANK(Audit[[#This Row],[Audit Candidate 10]])), Audit[[#This Row],[Audit Candidate 10]]-Audit[[#This Row],[Candidate 10]], "")</f>
        <v/>
      </c>
      <c r="AO821" s="18" t="str">
        <f>IF(NOT(ISBLANK(Audit[[#This Row],[Audit Candidate 11]])), Audit[[#This Row],[Audit Candidate 11]]-Audit[[#This Row],[Candidate 11]], "")</f>
        <v/>
      </c>
      <c r="AP821" s="18" t="str">
        <f>IF(NOT(ISBLANK(Audit[[#This Row],[Audit Candidate 12]])), Audit[[#This Row],[Audit Candidate 12]]-Audit[[#This Row],[Candidate 12]], "")</f>
        <v/>
      </c>
      <c r="AQ821" s="18">
        <f>SUMIF(Audit[[#This Row],[Difference Winner]:[Difference Candidate 12]], "&gt;0")</f>
        <v>0</v>
      </c>
      <c r="AR821" s="18">
        <f>SUM(Audit[[#This Row],[Difference Winner]:[Difference Candidate 12]])</f>
        <v>0</v>
      </c>
      <c r="AS821" s="18">
        <f>IF(Audit[[#This Row],[Times p Drawn - With Replacement]]&gt;0, IF(Audit[[#This Row],[Canceled Differences]]&lt;0, Audit[[#This Row],[Max Differences]]+ABS(Audit[[#This Row],[Canceled Differences]]), Audit[[#This Row],[Max Differences]]), 0)</f>
        <v>0</v>
      </c>
      <c r="AT821" s="18">
        <f>'Sampling Data'!AB821</f>
        <v>7.5069887238119167E-3</v>
      </c>
      <c r="AU821" s="18">
        <f>IF(
      SUM(Audit[[#This Row],[Audit Losing Candidate]:[Audit Candidate 12]])
      &lt;&gt;0,
      (Audit[[#This Row],[Winning Candidate]]-Audit[[#This Row],[Losing Candidate]]-(Audit[[#This Row],[Audit Winning Candidate]]-Audit[[#This Row],[Audit Losing Candidate]]))/(Audit[[#Totals],[Winning Candidate]]-Audit[[#Totals],[Losing Candidate]]),
      0
)</f>
        <v>0</v>
      </c>
      <c r="AV8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8">
        <f>IF(Audit[[#This Row],[Max Relative Error (ep)]] = 0, 0, Audit[[#This Row],[Max Relative Error (ep)]]/Audit[[#This Row],[Error Bound (up) - Max. possible relative overstatement]])</f>
        <v>0</v>
      </c>
      <c r="BH8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1" s="18">
        <f t="shared" si="13"/>
        <v>1</v>
      </c>
      <c r="BJ821" s="18">
        <f>PRODUCT($BI$5:BI821)</f>
        <v>0.32656797278968008</v>
      </c>
      <c r="BK821" s="20">
        <f>1 - Audit[[#This Row],[K-M P Value]]</f>
        <v>0.67343202721031992</v>
      </c>
      <c r="BL821" s="18" t="str">
        <f>IF(Audit[[#This Row],[K-M P Value]]&gt;1-'General Info'!$B$12,"Continue", "Stop")</f>
        <v>Continue</v>
      </c>
      <c r="BM821" s="23" t="b">
        <f>IF(Audit[[#This Row],[Status - Continue or stop audit]] = "Continue", TRUE, IF(BL820 = "Continue", TRUE, FALSE))</f>
        <v>1</v>
      </c>
      <c r="BN821" s="23"/>
    </row>
    <row r="822" spans="1:66" ht="15" hidden="1" customHeight="1" x14ac:dyDescent="0.35">
      <c r="A822" s="18" t="str">
        <f>'Sampling Data'!AI822</f>
        <v/>
      </c>
      <c r="B822" s="18" t="str">
        <f>'Sampling Data'!A822</f>
        <v>4004 MONT D   (ED)</v>
      </c>
      <c r="C822" s="18">
        <f>'Sampling Data'!B822</f>
        <v>44</v>
      </c>
      <c r="D822" s="18">
        <f>'Sampling Data'!C822</f>
        <v>3</v>
      </c>
      <c r="E822" s="19">
        <f>'Sampling Data'!D822</f>
        <v>0</v>
      </c>
      <c r="F822" s="19">
        <f>'Sampling Data'!E822</f>
        <v>0</v>
      </c>
      <c r="G822" s="19">
        <f>'Sampling Data'!F822</f>
        <v>0</v>
      </c>
      <c r="H822" s="19">
        <f>'Sampling Data'!G822</f>
        <v>0</v>
      </c>
      <c r="I822" s="19">
        <f>'Sampling Data'!H822</f>
        <v>0</v>
      </c>
      <c r="J822" s="19">
        <f>'Sampling Data'!I822</f>
        <v>0</v>
      </c>
      <c r="K822" s="19">
        <f>'Sampling Data'!J822</f>
        <v>0</v>
      </c>
      <c r="L822" s="19">
        <f>'Sampling Data'!K822</f>
        <v>0</v>
      </c>
      <c r="M822" s="19">
        <f>'Sampling Data'!L822</f>
        <v>0</v>
      </c>
      <c r="N822" s="19">
        <f>'Sampling Data'!M822</f>
        <v>0</v>
      </c>
      <c r="O822" s="18">
        <f>'Sampling Data'!N822</f>
        <v>0</v>
      </c>
      <c r="P822" s="18">
        <f>'Sampling Data'!O822</f>
        <v>0</v>
      </c>
      <c r="Q822" s="18">
        <f>'Sampling Data'!P822</f>
        <v>47</v>
      </c>
      <c r="R822" s="18">
        <f>'Sampling Data'!AJ822</f>
        <v>0</v>
      </c>
      <c r="S822" s="112"/>
      <c r="T822" s="112"/>
      <c r="U822" s="113"/>
      <c r="V822" s="113"/>
      <c r="W822" s="112"/>
      <c r="X822" s="112"/>
      <c r="Y822" s="112"/>
      <c r="Z822" s="112"/>
      <c r="AA822" s="15"/>
      <c r="AB822" s="15"/>
      <c r="AC822" s="15"/>
      <c r="AD822" s="15"/>
      <c r="AE822" s="114" t="str">
        <f>IF(NOT(ISBLANK(Audit[[#This Row],[Audit Winning Candidate]])), Audit[[#This Row],[Audit Winning Candidate]]-Audit[[#This Row],[Winning Candidate]], "")</f>
        <v/>
      </c>
      <c r="AF822" s="18" t="str">
        <f>IF(NOT(ISBLANK(Audit[[#This Row],[Audit Losing Candidate]])), Audit[[#This Row],[Audit Losing Candidate]]-Audit[[#This Row],[Losing Candidate]], "")</f>
        <v/>
      </c>
      <c r="AG822" s="18" t="str">
        <f>IF(NOT(ISBLANK(Audit[[#This Row],[Audit Candidate 3]])), Audit[[#This Row],[Audit Candidate 3]]-Audit[[#This Row],[Candidate 3]], "")</f>
        <v/>
      </c>
      <c r="AH822" s="18" t="str">
        <f>IF(NOT(ISBLANK(Audit[[#This Row],[Audit Candidate 4]])),Audit[[#This Row],[Audit Candidate 4]]-Audit[[#This Row],[Candidate 4]], "")</f>
        <v/>
      </c>
      <c r="AI822" s="18" t="str">
        <f>IF(NOT(ISBLANK(Audit[[#This Row],[Audit Candidate 5]])), Audit[[#This Row],[Audit Candidate 5]]-Audit[[#This Row],[Candidate 5]], "")</f>
        <v/>
      </c>
      <c r="AJ822" s="18" t="str">
        <f>IF(NOT(ISBLANK(Audit[[#This Row],[Audit Candidate 6]])), Audit[[#This Row],[Audit Candidate 6]]-Audit[[#This Row],[Candidate 6]], "")</f>
        <v/>
      </c>
      <c r="AK822" s="18" t="str">
        <f>IF(NOT(ISBLANK(Audit[[#This Row],[Audit Candidate 7]])), Audit[[#This Row],[Audit Candidate 7]]-Audit[[#This Row],[Candidate 7]], "")</f>
        <v/>
      </c>
      <c r="AL822" s="18" t="str">
        <f>IF(NOT(ISBLANK(Audit[[#This Row],[Audit Candidate 8]])), Audit[[#This Row],[Audit Candidate 8]]-Audit[[#This Row],[Candidate 8]], "")</f>
        <v/>
      </c>
      <c r="AM822" s="18" t="str">
        <f>IF(NOT(ISBLANK(Audit[[#This Row],[Audit Candidate 9]])), Audit[[#This Row],[Audit Candidate 9]]-Audit[[#This Row],[Candidate 9]], "")</f>
        <v/>
      </c>
      <c r="AN822" s="18" t="str">
        <f>IF(NOT(ISBLANK(Audit[[#This Row],[Audit Candidate 10]])), Audit[[#This Row],[Audit Candidate 10]]-Audit[[#This Row],[Candidate 10]], "")</f>
        <v/>
      </c>
      <c r="AO822" s="18" t="str">
        <f>IF(NOT(ISBLANK(Audit[[#This Row],[Audit Candidate 11]])), Audit[[#This Row],[Audit Candidate 11]]-Audit[[#This Row],[Candidate 11]], "")</f>
        <v/>
      </c>
      <c r="AP822" s="18" t="str">
        <f>IF(NOT(ISBLANK(Audit[[#This Row],[Audit Candidate 12]])), Audit[[#This Row],[Audit Candidate 12]]-Audit[[#This Row],[Candidate 12]], "")</f>
        <v/>
      </c>
      <c r="AQ822" s="18">
        <f>SUMIF(Audit[[#This Row],[Difference Winner]:[Difference Candidate 12]], "&gt;0")</f>
        <v>0</v>
      </c>
      <c r="AR822" s="18">
        <f>SUM(Audit[[#This Row],[Difference Winner]:[Difference Candidate 12]])</f>
        <v>0</v>
      </c>
      <c r="AS822" s="18">
        <f>IF(Audit[[#This Row],[Times p Drawn - With Replacement]]&gt;0, IF(Audit[[#This Row],[Canceled Differences]]&lt;0, Audit[[#This Row],[Max Differences]]+ABS(Audit[[#This Row],[Canceled Differences]]), Audit[[#This Row],[Max Differences]]), 0)</f>
        <v>0</v>
      </c>
      <c r="AT822" s="18">
        <f>'Sampling Data'!AB822</f>
        <v>2.76407953010648E-3</v>
      </c>
      <c r="AU822" s="18">
        <f>IF(
      SUM(Audit[[#This Row],[Audit Losing Candidate]:[Audit Candidate 12]])
      &lt;&gt;0,
      (Audit[[#This Row],[Winning Candidate]]-Audit[[#This Row],[Losing Candidate]]-(Audit[[#This Row],[Audit Winning Candidate]]-Audit[[#This Row],[Audit Losing Candidate]]))/(Audit[[#Totals],[Winning Candidate]]-Audit[[#Totals],[Losing Candidate]]),
      0
)</f>
        <v>0</v>
      </c>
      <c r="AV8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8">
        <f>IF(Audit[[#This Row],[Max Relative Error (ep)]] = 0, 0, Audit[[#This Row],[Max Relative Error (ep)]]/Audit[[#This Row],[Error Bound (up) - Max. possible relative overstatement]])</f>
        <v>0</v>
      </c>
      <c r="BH8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2" s="18">
        <f t="shared" si="13"/>
        <v>1</v>
      </c>
      <c r="BJ822" s="18">
        <f>PRODUCT($BI$5:BI822)</f>
        <v>0.32656797278968008</v>
      </c>
      <c r="BK822" s="20">
        <f>1 - Audit[[#This Row],[K-M P Value]]</f>
        <v>0.67343202721031992</v>
      </c>
      <c r="BL822" s="18" t="str">
        <f>IF(Audit[[#This Row],[K-M P Value]]&gt;1-'General Info'!$B$12,"Continue", "Stop")</f>
        <v>Continue</v>
      </c>
      <c r="BM822" s="23" t="b">
        <f>IF(Audit[[#This Row],[Status - Continue or stop audit]] = "Continue", TRUE, IF(BL821 = "Continue", TRUE, FALSE))</f>
        <v>1</v>
      </c>
      <c r="BN822" s="23"/>
    </row>
    <row r="823" spans="1:66" ht="15" hidden="1" customHeight="1" x14ac:dyDescent="0.35">
      <c r="A823" s="18" t="str">
        <f>'Sampling Data'!AI823</f>
        <v/>
      </c>
      <c r="B823" s="18" t="str">
        <f>'Sampling Data'!A823</f>
        <v>4005 MONT E   (ED)</v>
      </c>
      <c r="C823" s="18">
        <f>'Sampling Data'!B823</f>
        <v>42</v>
      </c>
      <c r="D823" s="18">
        <f>'Sampling Data'!C823</f>
        <v>3</v>
      </c>
      <c r="E823" s="19">
        <f>'Sampling Data'!D823</f>
        <v>0</v>
      </c>
      <c r="F823" s="19">
        <f>'Sampling Data'!E823</f>
        <v>0</v>
      </c>
      <c r="G823" s="19">
        <f>'Sampling Data'!F823</f>
        <v>0</v>
      </c>
      <c r="H823" s="19">
        <f>'Sampling Data'!G823</f>
        <v>0</v>
      </c>
      <c r="I823" s="19">
        <f>'Sampling Data'!H823</f>
        <v>0</v>
      </c>
      <c r="J823" s="19">
        <f>'Sampling Data'!I823</f>
        <v>0</v>
      </c>
      <c r="K823" s="19">
        <f>'Sampling Data'!J823</f>
        <v>0</v>
      </c>
      <c r="L823" s="19">
        <f>'Sampling Data'!K823</f>
        <v>0</v>
      </c>
      <c r="M823" s="19">
        <f>'Sampling Data'!L823</f>
        <v>0</v>
      </c>
      <c r="N823" s="19">
        <f>'Sampling Data'!M823</f>
        <v>0</v>
      </c>
      <c r="O823" s="18">
        <f>'Sampling Data'!N823</f>
        <v>0</v>
      </c>
      <c r="P823" s="18">
        <f>'Sampling Data'!O823</f>
        <v>0</v>
      </c>
      <c r="Q823" s="18">
        <f>'Sampling Data'!P823</f>
        <v>45</v>
      </c>
      <c r="R823" s="18">
        <f>'Sampling Data'!AJ823</f>
        <v>0</v>
      </c>
      <c r="S823" s="112"/>
      <c r="T823" s="112"/>
      <c r="U823" s="113"/>
      <c r="V823" s="113"/>
      <c r="W823" s="112"/>
      <c r="X823" s="112"/>
      <c r="Y823" s="112"/>
      <c r="Z823" s="112"/>
      <c r="AA823" s="15"/>
      <c r="AB823" s="15"/>
      <c r="AC823" s="15"/>
      <c r="AD823" s="15"/>
      <c r="AE823" s="114" t="str">
        <f>IF(NOT(ISBLANK(Audit[[#This Row],[Audit Winning Candidate]])), Audit[[#This Row],[Audit Winning Candidate]]-Audit[[#This Row],[Winning Candidate]], "")</f>
        <v/>
      </c>
      <c r="AF823" s="18" t="str">
        <f>IF(NOT(ISBLANK(Audit[[#This Row],[Audit Losing Candidate]])), Audit[[#This Row],[Audit Losing Candidate]]-Audit[[#This Row],[Losing Candidate]], "")</f>
        <v/>
      </c>
      <c r="AG823" s="18" t="str">
        <f>IF(NOT(ISBLANK(Audit[[#This Row],[Audit Candidate 3]])), Audit[[#This Row],[Audit Candidate 3]]-Audit[[#This Row],[Candidate 3]], "")</f>
        <v/>
      </c>
      <c r="AH823" s="18" t="str">
        <f>IF(NOT(ISBLANK(Audit[[#This Row],[Audit Candidate 4]])),Audit[[#This Row],[Audit Candidate 4]]-Audit[[#This Row],[Candidate 4]], "")</f>
        <v/>
      </c>
      <c r="AI823" s="18" t="str">
        <f>IF(NOT(ISBLANK(Audit[[#This Row],[Audit Candidate 5]])), Audit[[#This Row],[Audit Candidate 5]]-Audit[[#This Row],[Candidate 5]], "")</f>
        <v/>
      </c>
      <c r="AJ823" s="18" t="str">
        <f>IF(NOT(ISBLANK(Audit[[#This Row],[Audit Candidate 6]])), Audit[[#This Row],[Audit Candidate 6]]-Audit[[#This Row],[Candidate 6]], "")</f>
        <v/>
      </c>
      <c r="AK823" s="18" t="str">
        <f>IF(NOT(ISBLANK(Audit[[#This Row],[Audit Candidate 7]])), Audit[[#This Row],[Audit Candidate 7]]-Audit[[#This Row],[Candidate 7]], "")</f>
        <v/>
      </c>
      <c r="AL823" s="18" t="str">
        <f>IF(NOT(ISBLANK(Audit[[#This Row],[Audit Candidate 8]])), Audit[[#This Row],[Audit Candidate 8]]-Audit[[#This Row],[Candidate 8]], "")</f>
        <v/>
      </c>
      <c r="AM823" s="18" t="str">
        <f>IF(NOT(ISBLANK(Audit[[#This Row],[Audit Candidate 9]])), Audit[[#This Row],[Audit Candidate 9]]-Audit[[#This Row],[Candidate 9]], "")</f>
        <v/>
      </c>
      <c r="AN823" s="18" t="str">
        <f>IF(NOT(ISBLANK(Audit[[#This Row],[Audit Candidate 10]])), Audit[[#This Row],[Audit Candidate 10]]-Audit[[#This Row],[Candidate 10]], "")</f>
        <v/>
      </c>
      <c r="AO823" s="18" t="str">
        <f>IF(NOT(ISBLANK(Audit[[#This Row],[Audit Candidate 11]])), Audit[[#This Row],[Audit Candidate 11]]-Audit[[#This Row],[Candidate 11]], "")</f>
        <v/>
      </c>
      <c r="AP823" s="18" t="str">
        <f>IF(NOT(ISBLANK(Audit[[#This Row],[Audit Candidate 12]])), Audit[[#This Row],[Audit Candidate 12]]-Audit[[#This Row],[Candidate 12]], "")</f>
        <v/>
      </c>
      <c r="AQ823" s="18">
        <f>SUMIF(Audit[[#This Row],[Difference Winner]:[Difference Candidate 12]], "&gt;0")</f>
        <v>0</v>
      </c>
      <c r="AR823" s="18">
        <f>SUM(Audit[[#This Row],[Difference Winner]:[Difference Candidate 12]])</f>
        <v>0</v>
      </c>
      <c r="AS823" s="18">
        <f>IF(Audit[[#This Row],[Times p Drawn - With Replacement]]&gt;0, IF(Audit[[#This Row],[Canceled Differences]]&lt;0, Audit[[#This Row],[Max Differences]]+ABS(Audit[[#This Row],[Canceled Differences]]), Audit[[#This Row],[Max Differences]]), 0)</f>
        <v>0</v>
      </c>
      <c r="AT823" s="18">
        <f>'Sampling Data'!AB823</f>
        <v>2.6384395514652765E-3</v>
      </c>
      <c r="AU823" s="18">
        <f>IF(
      SUM(Audit[[#This Row],[Audit Losing Candidate]:[Audit Candidate 12]])
      &lt;&gt;0,
      (Audit[[#This Row],[Winning Candidate]]-Audit[[#This Row],[Losing Candidate]]-(Audit[[#This Row],[Audit Winning Candidate]]-Audit[[#This Row],[Audit Losing Candidate]]))/(Audit[[#Totals],[Winning Candidate]]-Audit[[#Totals],[Losing Candidate]]),
      0
)</f>
        <v>0</v>
      </c>
      <c r="AV8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8">
        <f>IF(Audit[[#This Row],[Max Relative Error (ep)]] = 0, 0, Audit[[#This Row],[Max Relative Error (ep)]]/Audit[[#This Row],[Error Bound (up) - Max. possible relative overstatement]])</f>
        <v>0</v>
      </c>
      <c r="BH8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3" s="18">
        <f t="shared" si="13"/>
        <v>1</v>
      </c>
      <c r="BJ823" s="18">
        <f>PRODUCT($BI$5:BI823)</f>
        <v>0.32656797278968008</v>
      </c>
      <c r="BK823" s="20">
        <f>1 - Audit[[#This Row],[K-M P Value]]</f>
        <v>0.67343202721031992</v>
      </c>
      <c r="BL823" s="18" t="str">
        <f>IF(Audit[[#This Row],[K-M P Value]]&gt;1-'General Info'!$B$12,"Continue", "Stop")</f>
        <v>Continue</v>
      </c>
      <c r="BM823" s="23" t="b">
        <f>IF(Audit[[#This Row],[Status - Continue or stop audit]] = "Continue", TRUE, IF(BL822 = "Continue", TRUE, FALSE))</f>
        <v>1</v>
      </c>
      <c r="BN823" s="23"/>
    </row>
    <row r="824" spans="1:66" ht="15" hidden="1" customHeight="1" x14ac:dyDescent="0.35">
      <c r="A824" s="18" t="str">
        <f>'Sampling Data'!AI824</f>
        <v/>
      </c>
      <c r="B824" s="18" t="str">
        <f>'Sampling Data'!A824</f>
        <v>4006 MONT F   (ED)</v>
      </c>
      <c r="C824" s="18">
        <f>'Sampling Data'!B824</f>
        <v>79</v>
      </c>
      <c r="D824" s="18">
        <f>'Sampling Data'!C824</f>
        <v>5</v>
      </c>
      <c r="E824" s="19">
        <f>'Sampling Data'!D824</f>
        <v>0</v>
      </c>
      <c r="F824" s="19">
        <f>'Sampling Data'!E824</f>
        <v>0</v>
      </c>
      <c r="G824" s="19">
        <f>'Sampling Data'!F824</f>
        <v>0</v>
      </c>
      <c r="H824" s="19">
        <f>'Sampling Data'!G824</f>
        <v>0</v>
      </c>
      <c r="I824" s="19">
        <f>'Sampling Data'!H824</f>
        <v>0</v>
      </c>
      <c r="J824" s="19">
        <f>'Sampling Data'!I824</f>
        <v>0</v>
      </c>
      <c r="K824" s="19">
        <f>'Sampling Data'!J824</f>
        <v>0</v>
      </c>
      <c r="L824" s="19">
        <f>'Sampling Data'!K824</f>
        <v>0</v>
      </c>
      <c r="M824" s="19">
        <f>'Sampling Data'!L824</f>
        <v>0</v>
      </c>
      <c r="N824" s="19">
        <f>'Sampling Data'!M824</f>
        <v>0</v>
      </c>
      <c r="O824" s="18">
        <f>'Sampling Data'!N824</f>
        <v>0</v>
      </c>
      <c r="P824" s="18">
        <f>'Sampling Data'!O824</f>
        <v>1</v>
      </c>
      <c r="Q824" s="18">
        <f>'Sampling Data'!P824</f>
        <v>85</v>
      </c>
      <c r="R824" s="18">
        <f>'Sampling Data'!AJ824</f>
        <v>0</v>
      </c>
      <c r="S824" s="112"/>
      <c r="T824" s="112"/>
      <c r="U824" s="113"/>
      <c r="V824" s="113"/>
      <c r="W824" s="112"/>
      <c r="X824" s="112"/>
      <c r="Y824" s="112"/>
      <c r="Z824" s="112"/>
      <c r="AA824" s="15"/>
      <c r="AB824" s="15"/>
      <c r="AC824" s="15"/>
      <c r="AD824" s="15"/>
      <c r="AE824" s="114" t="str">
        <f>IF(NOT(ISBLANK(Audit[[#This Row],[Audit Winning Candidate]])), Audit[[#This Row],[Audit Winning Candidate]]-Audit[[#This Row],[Winning Candidate]], "")</f>
        <v/>
      </c>
      <c r="AF824" s="18" t="str">
        <f>IF(NOT(ISBLANK(Audit[[#This Row],[Audit Losing Candidate]])), Audit[[#This Row],[Audit Losing Candidate]]-Audit[[#This Row],[Losing Candidate]], "")</f>
        <v/>
      </c>
      <c r="AG824" s="18" t="str">
        <f>IF(NOT(ISBLANK(Audit[[#This Row],[Audit Candidate 3]])), Audit[[#This Row],[Audit Candidate 3]]-Audit[[#This Row],[Candidate 3]], "")</f>
        <v/>
      </c>
      <c r="AH824" s="18" t="str">
        <f>IF(NOT(ISBLANK(Audit[[#This Row],[Audit Candidate 4]])),Audit[[#This Row],[Audit Candidate 4]]-Audit[[#This Row],[Candidate 4]], "")</f>
        <v/>
      </c>
      <c r="AI824" s="18" t="str">
        <f>IF(NOT(ISBLANK(Audit[[#This Row],[Audit Candidate 5]])), Audit[[#This Row],[Audit Candidate 5]]-Audit[[#This Row],[Candidate 5]], "")</f>
        <v/>
      </c>
      <c r="AJ824" s="18" t="str">
        <f>IF(NOT(ISBLANK(Audit[[#This Row],[Audit Candidate 6]])), Audit[[#This Row],[Audit Candidate 6]]-Audit[[#This Row],[Candidate 6]], "")</f>
        <v/>
      </c>
      <c r="AK824" s="18" t="str">
        <f>IF(NOT(ISBLANK(Audit[[#This Row],[Audit Candidate 7]])), Audit[[#This Row],[Audit Candidate 7]]-Audit[[#This Row],[Candidate 7]], "")</f>
        <v/>
      </c>
      <c r="AL824" s="18" t="str">
        <f>IF(NOT(ISBLANK(Audit[[#This Row],[Audit Candidate 8]])), Audit[[#This Row],[Audit Candidate 8]]-Audit[[#This Row],[Candidate 8]], "")</f>
        <v/>
      </c>
      <c r="AM824" s="18" t="str">
        <f>IF(NOT(ISBLANK(Audit[[#This Row],[Audit Candidate 9]])), Audit[[#This Row],[Audit Candidate 9]]-Audit[[#This Row],[Candidate 9]], "")</f>
        <v/>
      </c>
      <c r="AN824" s="18" t="str">
        <f>IF(NOT(ISBLANK(Audit[[#This Row],[Audit Candidate 10]])), Audit[[#This Row],[Audit Candidate 10]]-Audit[[#This Row],[Candidate 10]], "")</f>
        <v/>
      </c>
      <c r="AO824" s="18" t="str">
        <f>IF(NOT(ISBLANK(Audit[[#This Row],[Audit Candidate 11]])), Audit[[#This Row],[Audit Candidate 11]]-Audit[[#This Row],[Candidate 11]], "")</f>
        <v/>
      </c>
      <c r="AP824" s="18" t="str">
        <f>IF(NOT(ISBLANK(Audit[[#This Row],[Audit Candidate 12]])), Audit[[#This Row],[Audit Candidate 12]]-Audit[[#This Row],[Candidate 12]], "")</f>
        <v/>
      </c>
      <c r="AQ824" s="18">
        <f>SUMIF(Audit[[#This Row],[Difference Winner]:[Difference Candidate 12]], "&gt;0")</f>
        <v>0</v>
      </c>
      <c r="AR824" s="18">
        <f>SUM(Audit[[#This Row],[Difference Winner]:[Difference Candidate 12]])</f>
        <v>0</v>
      </c>
      <c r="AS824" s="18">
        <f>IF(Audit[[#This Row],[Times p Drawn - With Replacement]]&gt;0, IF(Audit[[#This Row],[Canceled Differences]]&lt;0, Audit[[#This Row],[Max Differences]]+ABS(Audit[[#This Row],[Canceled Differences]]), Audit[[#This Row],[Max Differences]]), 0)</f>
        <v>0</v>
      </c>
      <c r="AT824" s="18">
        <f>'Sampling Data'!AB824</f>
        <v>4.9941891509878442E-3</v>
      </c>
      <c r="AU824" s="18">
        <f>IF(
      SUM(Audit[[#This Row],[Audit Losing Candidate]:[Audit Candidate 12]])
      &lt;&gt;0,
      (Audit[[#This Row],[Winning Candidate]]-Audit[[#This Row],[Losing Candidate]]-(Audit[[#This Row],[Audit Winning Candidate]]-Audit[[#This Row],[Audit Losing Candidate]]))/(Audit[[#Totals],[Winning Candidate]]-Audit[[#Totals],[Losing Candidate]]),
      0
)</f>
        <v>0</v>
      </c>
      <c r="AV8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8">
        <f>IF(Audit[[#This Row],[Max Relative Error (ep)]] = 0, 0, Audit[[#This Row],[Max Relative Error (ep)]]/Audit[[#This Row],[Error Bound (up) - Max. possible relative overstatement]])</f>
        <v>0</v>
      </c>
      <c r="BH8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4" s="18">
        <f t="shared" si="13"/>
        <v>1</v>
      </c>
      <c r="BJ824" s="18">
        <f>PRODUCT($BI$5:BI824)</f>
        <v>0.32656797278968008</v>
      </c>
      <c r="BK824" s="20">
        <f>1 - Audit[[#This Row],[K-M P Value]]</f>
        <v>0.67343202721031992</v>
      </c>
      <c r="BL824" s="18" t="str">
        <f>IF(Audit[[#This Row],[K-M P Value]]&gt;1-'General Info'!$B$12,"Continue", "Stop")</f>
        <v>Continue</v>
      </c>
      <c r="BM824" s="23" t="b">
        <f>IF(Audit[[#This Row],[Status - Continue or stop audit]] = "Continue", TRUE, IF(BL823 = "Continue", TRUE, FALSE))</f>
        <v>1</v>
      </c>
      <c r="BN824" s="23"/>
    </row>
    <row r="825" spans="1:66" ht="15" hidden="1" customHeight="1" x14ac:dyDescent="0.35">
      <c r="A825" s="18" t="str">
        <f>'Sampling Data'!AI825</f>
        <v/>
      </c>
      <c r="B825" s="18" t="str">
        <f>'Sampling Data'!A825</f>
        <v>4007 MONT G   (ED)</v>
      </c>
      <c r="C825" s="18">
        <f>'Sampling Data'!B825</f>
        <v>51</v>
      </c>
      <c r="D825" s="18">
        <f>'Sampling Data'!C825</f>
        <v>12</v>
      </c>
      <c r="E825" s="19">
        <f>'Sampling Data'!D825</f>
        <v>0</v>
      </c>
      <c r="F825" s="19">
        <f>'Sampling Data'!E825</f>
        <v>0</v>
      </c>
      <c r="G825" s="19">
        <f>'Sampling Data'!F825</f>
        <v>0</v>
      </c>
      <c r="H825" s="19">
        <f>'Sampling Data'!G825</f>
        <v>0</v>
      </c>
      <c r="I825" s="19">
        <f>'Sampling Data'!H825</f>
        <v>0</v>
      </c>
      <c r="J825" s="19">
        <f>'Sampling Data'!I825</f>
        <v>0</v>
      </c>
      <c r="K825" s="19">
        <f>'Sampling Data'!J825</f>
        <v>0</v>
      </c>
      <c r="L825" s="19">
        <f>'Sampling Data'!K825</f>
        <v>0</v>
      </c>
      <c r="M825" s="19">
        <f>'Sampling Data'!L825</f>
        <v>0</v>
      </c>
      <c r="N825" s="19">
        <f>'Sampling Data'!M825</f>
        <v>0</v>
      </c>
      <c r="O825" s="18">
        <f>'Sampling Data'!N825</f>
        <v>0</v>
      </c>
      <c r="P825" s="18">
        <f>'Sampling Data'!O825</f>
        <v>0</v>
      </c>
      <c r="Q825" s="18">
        <f>'Sampling Data'!P825</f>
        <v>63</v>
      </c>
      <c r="R825" s="18">
        <f>'Sampling Data'!AJ825</f>
        <v>0</v>
      </c>
      <c r="S825" s="112"/>
      <c r="T825" s="112"/>
      <c r="U825" s="113"/>
      <c r="V825" s="113"/>
      <c r="W825" s="112"/>
      <c r="X825" s="112"/>
      <c r="Y825" s="112"/>
      <c r="Z825" s="112"/>
      <c r="AA825" s="15"/>
      <c r="AB825" s="15"/>
      <c r="AC825" s="15"/>
      <c r="AD825" s="15"/>
      <c r="AE825" s="114" t="str">
        <f>IF(NOT(ISBLANK(Audit[[#This Row],[Audit Winning Candidate]])), Audit[[#This Row],[Audit Winning Candidate]]-Audit[[#This Row],[Winning Candidate]], "")</f>
        <v/>
      </c>
      <c r="AF825" s="18" t="str">
        <f>IF(NOT(ISBLANK(Audit[[#This Row],[Audit Losing Candidate]])), Audit[[#This Row],[Audit Losing Candidate]]-Audit[[#This Row],[Losing Candidate]], "")</f>
        <v/>
      </c>
      <c r="AG825" s="18" t="str">
        <f>IF(NOT(ISBLANK(Audit[[#This Row],[Audit Candidate 3]])), Audit[[#This Row],[Audit Candidate 3]]-Audit[[#This Row],[Candidate 3]], "")</f>
        <v/>
      </c>
      <c r="AH825" s="18" t="str">
        <f>IF(NOT(ISBLANK(Audit[[#This Row],[Audit Candidate 4]])),Audit[[#This Row],[Audit Candidate 4]]-Audit[[#This Row],[Candidate 4]], "")</f>
        <v/>
      </c>
      <c r="AI825" s="18" t="str">
        <f>IF(NOT(ISBLANK(Audit[[#This Row],[Audit Candidate 5]])), Audit[[#This Row],[Audit Candidate 5]]-Audit[[#This Row],[Candidate 5]], "")</f>
        <v/>
      </c>
      <c r="AJ825" s="18" t="str">
        <f>IF(NOT(ISBLANK(Audit[[#This Row],[Audit Candidate 6]])), Audit[[#This Row],[Audit Candidate 6]]-Audit[[#This Row],[Candidate 6]], "")</f>
        <v/>
      </c>
      <c r="AK825" s="18" t="str">
        <f>IF(NOT(ISBLANK(Audit[[#This Row],[Audit Candidate 7]])), Audit[[#This Row],[Audit Candidate 7]]-Audit[[#This Row],[Candidate 7]], "")</f>
        <v/>
      </c>
      <c r="AL825" s="18" t="str">
        <f>IF(NOT(ISBLANK(Audit[[#This Row],[Audit Candidate 8]])), Audit[[#This Row],[Audit Candidate 8]]-Audit[[#This Row],[Candidate 8]], "")</f>
        <v/>
      </c>
      <c r="AM825" s="18" t="str">
        <f>IF(NOT(ISBLANK(Audit[[#This Row],[Audit Candidate 9]])), Audit[[#This Row],[Audit Candidate 9]]-Audit[[#This Row],[Candidate 9]], "")</f>
        <v/>
      </c>
      <c r="AN825" s="18" t="str">
        <f>IF(NOT(ISBLANK(Audit[[#This Row],[Audit Candidate 10]])), Audit[[#This Row],[Audit Candidate 10]]-Audit[[#This Row],[Candidate 10]], "")</f>
        <v/>
      </c>
      <c r="AO825" s="18" t="str">
        <f>IF(NOT(ISBLANK(Audit[[#This Row],[Audit Candidate 11]])), Audit[[#This Row],[Audit Candidate 11]]-Audit[[#This Row],[Candidate 11]], "")</f>
        <v/>
      </c>
      <c r="AP825" s="18" t="str">
        <f>IF(NOT(ISBLANK(Audit[[#This Row],[Audit Candidate 12]])), Audit[[#This Row],[Audit Candidate 12]]-Audit[[#This Row],[Candidate 12]], "")</f>
        <v/>
      </c>
      <c r="AQ825" s="18">
        <f>SUMIF(Audit[[#This Row],[Difference Winner]:[Difference Candidate 12]], "&gt;0")</f>
        <v>0</v>
      </c>
      <c r="AR825" s="18">
        <f>SUM(Audit[[#This Row],[Difference Winner]:[Difference Candidate 12]])</f>
        <v>0</v>
      </c>
      <c r="AS825" s="18">
        <f>IF(Audit[[#This Row],[Times p Drawn - With Replacement]]&gt;0, IF(Audit[[#This Row],[Canceled Differences]]&lt;0, Audit[[#This Row],[Max Differences]]+ABS(Audit[[#This Row],[Canceled Differences]]), Audit[[#This Row],[Max Differences]]), 0)</f>
        <v>0</v>
      </c>
      <c r="AT825" s="18">
        <f>'Sampling Data'!AB825</f>
        <v>3.2038194553506926E-3</v>
      </c>
      <c r="AU825" s="18">
        <f>IF(
      SUM(Audit[[#This Row],[Audit Losing Candidate]:[Audit Candidate 12]])
      &lt;&gt;0,
      (Audit[[#This Row],[Winning Candidate]]-Audit[[#This Row],[Losing Candidate]]-(Audit[[#This Row],[Audit Winning Candidate]]-Audit[[#This Row],[Audit Losing Candidate]]))/(Audit[[#Totals],[Winning Candidate]]-Audit[[#Totals],[Losing Candidate]]),
      0
)</f>
        <v>0</v>
      </c>
      <c r="AV8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8">
        <f>IF(Audit[[#This Row],[Max Relative Error (ep)]] = 0, 0, Audit[[#This Row],[Max Relative Error (ep)]]/Audit[[#This Row],[Error Bound (up) - Max. possible relative overstatement]])</f>
        <v>0</v>
      </c>
      <c r="BH8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5" s="18">
        <f t="shared" si="13"/>
        <v>1</v>
      </c>
      <c r="BJ825" s="18">
        <f>PRODUCT($BI$5:BI825)</f>
        <v>0.32656797278968008</v>
      </c>
      <c r="BK825" s="20">
        <f>1 - Audit[[#This Row],[K-M P Value]]</f>
        <v>0.67343202721031992</v>
      </c>
      <c r="BL825" s="18" t="str">
        <f>IF(Audit[[#This Row],[K-M P Value]]&gt;1-'General Info'!$B$12,"Continue", "Stop")</f>
        <v>Continue</v>
      </c>
      <c r="BM825" s="23" t="b">
        <f>IF(Audit[[#This Row],[Status - Continue or stop audit]] = "Continue", TRUE, IF(BL824 = "Continue", TRUE, FALSE))</f>
        <v>1</v>
      </c>
      <c r="BN825" s="23"/>
    </row>
    <row r="826" spans="1:66" ht="15" hidden="1" customHeight="1" x14ac:dyDescent="0.35">
      <c r="A826" s="18" t="str">
        <f>'Sampling Data'!AI826</f>
        <v/>
      </c>
      <c r="B826" s="18" t="str">
        <f>'Sampling Data'!A826</f>
        <v>4008 MONT H   (ED)</v>
      </c>
      <c r="C826" s="18">
        <f>'Sampling Data'!B826</f>
        <v>91</v>
      </c>
      <c r="D826" s="18">
        <f>'Sampling Data'!C826</f>
        <v>2</v>
      </c>
      <c r="E826" s="19">
        <f>'Sampling Data'!D826</f>
        <v>0</v>
      </c>
      <c r="F826" s="19">
        <f>'Sampling Data'!E826</f>
        <v>0</v>
      </c>
      <c r="G826" s="19">
        <f>'Sampling Data'!F826</f>
        <v>0</v>
      </c>
      <c r="H826" s="19">
        <f>'Sampling Data'!G826</f>
        <v>0</v>
      </c>
      <c r="I826" s="19">
        <f>'Sampling Data'!H826</f>
        <v>0</v>
      </c>
      <c r="J826" s="19">
        <f>'Sampling Data'!I826</f>
        <v>0</v>
      </c>
      <c r="K826" s="19">
        <f>'Sampling Data'!J826</f>
        <v>0</v>
      </c>
      <c r="L826" s="19">
        <f>'Sampling Data'!K826</f>
        <v>0</v>
      </c>
      <c r="M826" s="19">
        <f>'Sampling Data'!L826</f>
        <v>0</v>
      </c>
      <c r="N826" s="19">
        <f>'Sampling Data'!M826</f>
        <v>0</v>
      </c>
      <c r="O826" s="18">
        <f>'Sampling Data'!N826</f>
        <v>0</v>
      </c>
      <c r="P826" s="18">
        <f>'Sampling Data'!O826</f>
        <v>2</v>
      </c>
      <c r="Q826" s="18">
        <f>'Sampling Data'!P826</f>
        <v>95</v>
      </c>
      <c r="R826" s="18">
        <f>'Sampling Data'!AJ826</f>
        <v>0</v>
      </c>
      <c r="S826" s="112"/>
      <c r="T826" s="112"/>
      <c r="U826" s="113"/>
      <c r="V826" s="113"/>
      <c r="W826" s="112"/>
      <c r="X826" s="112"/>
      <c r="Y826" s="112"/>
      <c r="Z826" s="112"/>
      <c r="AA826" s="15"/>
      <c r="AB826" s="15"/>
      <c r="AC826" s="15"/>
      <c r="AD826" s="15"/>
      <c r="AE826" s="114" t="str">
        <f>IF(NOT(ISBLANK(Audit[[#This Row],[Audit Winning Candidate]])), Audit[[#This Row],[Audit Winning Candidate]]-Audit[[#This Row],[Winning Candidate]], "")</f>
        <v/>
      </c>
      <c r="AF826" s="18" t="str">
        <f>IF(NOT(ISBLANK(Audit[[#This Row],[Audit Losing Candidate]])), Audit[[#This Row],[Audit Losing Candidate]]-Audit[[#This Row],[Losing Candidate]], "")</f>
        <v/>
      </c>
      <c r="AG826" s="18" t="str">
        <f>IF(NOT(ISBLANK(Audit[[#This Row],[Audit Candidate 3]])), Audit[[#This Row],[Audit Candidate 3]]-Audit[[#This Row],[Candidate 3]], "")</f>
        <v/>
      </c>
      <c r="AH826" s="18" t="str">
        <f>IF(NOT(ISBLANK(Audit[[#This Row],[Audit Candidate 4]])),Audit[[#This Row],[Audit Candidate 4]]-Audit[[#This Row],[Candidate 4]], "")</f>
        <v/>
      </c>
      <c r="AI826" s="18" t="str">
        <f>IF(NOT(ISBLANK(Audit[[#This Row],[Audit Candidate 5]])), Audit[[#This Row],[Audit Candidate 5]]-Audit[[#This Row],[Candidate 5]], "")</f>
        <v/>
      </c>
      <c r="AJ826" s="18" t="str">
        <f>IF(NOT(ISBLANK(Audit[[#This Row],[Audit Candidate 6]])), Audit[[#This Row],[Audit Candidate 6]]-Audit[[#This Row],[Candidate 6]], "")</f>
        <v/>
      </c>
      <c r="AK826" s="18" t="str">
        <f>IF(NOT(ISBLANK(Audit[[#This Row],[Audit Candidate 7]])), Audit[[#This Row],[Audit Candidate 7]]-Audit[[#This Row],[Candidate 7]], "")</f>
        <v/>
      </c>
      <c r="AL826" s="18" t="str">
        <f>IF(NOT(ISBLANK(Audit[[#This Row],[Audit Candidate 8]])), Audit[[#This Row],[Audit Candidate 8]]-Audit[[#This Row],[Candidate 8]], "")</f>
        <v/>
      </c>
      <c r="AM826" s="18" t="str">
        <f>IF(NOT(ISBLANK(Audit[[#This Row],[Audit Candidate 9]])), Audit[[#This Row],[Audit Candidate 9]]-Audit[[#This Row],[Candidate 9]], "")</f>
        <v/>
      </c>
      <c r="AN826" s="18" t="str">
        <f>IF(NOT(ISBLANK(Audit[[#This Row],[Audit Candidate 10]])), Audit[[#This Row],[Audit Candidate 10]]-Audit[[#This Row],[Candidate 10]], "")</f>
        <v/>
      </c>
      <c r="AO826" s="18" t="str">
        <f>IF(NOT(ISBLANK(Audit[[#This Row],[Audit Candidate 11]])), Audit[[#This Row],[Audit Candidate 11]]-Audit[[#This Row],[Candidate 11]], "")</f>
        <v/>
      </c>
      <c r="AP826" s="18" t="str">
        <f>IF(NOT(ISBLANK(Audit[[#This Row],[Audit Candidate 12]])), Audit[[#This Row],[Audit Candidate 12]]-Audit[[#This Row],[Candidate 12]], "")</f>
        <v/>
      </c>
      <c r="AQ826" s="18">
        <f>SUMIF(Audit[[#This Row],[Difference Winner]:[Difference Candidate 12]], "&gt;0")</f>
        <v>0</v>
      </c>
      <c r="AR826" s="18">
        <f>SUM(Audit[[#This Row],[Difference Winner]:[Difference Candidate 12]])</f>
        <v>0</v>
      </c>
      <c r="AS826" s="18">
        <f>IF(Audit[[#This Row],[Times p Drawn - With Replacement]]&gt;0, IF(Audit[[#This Row],[Canceled Differences]]&lt;0, Audit[[#This Row],[Max Differences]]+ABS(Audit[[#This Row],[Canceled Differences]]), Audit[[#This Row],[Max Differences]]), 0)</f>
        <v>0</v>
      </c>
      <c r="AT826" s="18">
        <f>'Sampling Data'!AB826</f>
        <v>5.7794390174953671E-3</v>
      </c>
      <c r="AU826" s="18">
        <f>IF(
      SUM(Audit[[#This Row],[Audit Losing Candidate]:[Audit Candidate 12]])
      &lt;&gt;0,
      (Audit[[#This Row],[Winning Candidate]]-Audit[[#This Row],[Losing Candidate]]-(Audit[[#This Row],[Audit Winning Candidate]]-Audit[[#This Row],[Audit Losing Candidate]]))/(Audit[[#Totals],[Winning Candidate]]-Audit[[#Totals],[Losing Candidate]]),
      0
)</f>
        <v>0</v>
      </c>
      <c r="AV8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8">
        <f>IF(Audit[[#This Row],[Max Relative Error (ep)]] = 0, 0, Audit[[#This Row],[Max Relative Error (ep)]]/Audit[[#This Row],[Error Bound (up) - Max. possible relative overstatement]])</f>
        <v>0</v>
      </c>
      <c r="BH8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6" s="18">
        <f t="shared" si="13"/>
        <v>1</v>
      </c>
      <c r="BJ826" s="18">
        <f>PRODUCT($BI$5:BI826)</f>
        <v>0.32656797278968008</v>
      </c>
      <c r="BK826" s="20">
        <f>1 - Audit[[#This Row],[K-M P Value]]</f>
        <v>0.67343202721031992</v>
      </c>
      <c r="BL826" s="18" t="str">
        <f>IF(Audit[[#This Row],[K-M P Value]]&gt;1-'General Info'!$B$12,"Continue", "Stop")</f>
        <v>Continue</v>
      </c>
      <c r="BM826" s="23" t="b">
        <f>IF(Audit[[#This Row],[Status - Continue or stop audit]] = "Continue", TRUE, IF(BL825 = "Continue", TRUE, FALSE))</f>
        <v>1</v>
      </c>
      <c r="BN826" s="23"/>
    </row>
    <row r="827" spans="1:66" ht="15" hidden="1" customHeight="1" x14ac:dyDescent="0.35">
      <c r="A827" s="18" t="str">
        <f>'Sampling Data'!AI827</f>
        <v/>
      </c>
      <c r="B827" s="18" t="str">
        <f>'Sampling Data'!A827</f>
        <v>4009 MONT I   (ED)</v>
      </c>
      <c r="C827" s="18">
        <f>'Sampling Data'!B827</f>
        <v>93</v>
      </c>
      <c r="D827" s="18">
        <f>'Sampling Data'!C827</f>
        <v>11</v>
      </c>
      <c r="E827" s="19">
        <f>'Sampling Data'!D827</f>
        <v>0</v>
      </c>
      <c r="F827" s="19">
        <f>'Sampling Data'!E827</f>
        <v>0</v>
      </c>
      <c r="G827" s="19">
        <f>'Sampling Data'!F827</f>
        <v>0</v>
      </c>
      <c r="H827" s="19">
        <f>'Sampling Data'!G827</f>
        <v>0</v>
      </c>
      <c r="I827" s="19">
        <f>'Sampling Data'!H827</f>
        <v>0</v>
      </c>
      <c r="J827" s="19">
        <f>'Sampling Data'!I827</f>
        <v>0</v>
      </c>
      <c r="K827" s="19">
        <f>'Sampling Data'!J827</f>
        <v>0</v>
      </c>
      <c r="L827" s="19">
        <f>'Sampling Data'!K827</f>
        <v>0</v>
      </c>
      <c r="M827" s="19">
        <f>'Sampling Data'!L827</f>
        <v>0</v>
      </c>
      <c r="N827" s="19">
        <f>'Sampling Data'!M827</f>
        <v>0</v>
      </c>
      <c r="O827" s="18">
        <f>'Sampling Data'!N827</f>
        <v>0</v>
      </c>
      <c r="P827" s="18">
        <f>'Sampling Data'!O827</f>
        <v>1</v>
      </c>
      <c r="Q827" s="18">
        <f>'Sampling Data'!P827</f>
        <v>105</v>
      </c>
      <c r="R827" s="18">
        <f>'Sampling Data'!AJ827</f>
        <v>0</v>
      </c>
      <c r="S827" s="112"/>
      <c r="T827" s="112"/>
      <c r="U827" s="113"/>
      <c r="V827" s="113"/>
      <c r="W827" s="112"/>
      <c r="X827" s="112"/>
      <c r="Y827" s="112"/>
      <c r="Z827" s="112"/>
      <c r="AA827" s="15"/>
      <c r="AB827" s="15"/>
      <c r="AC827" s="15"/>
      <c r="AD827" s="15"/>
      <c r="AE827" s="114" t="str">
        <f>IF(NOT(ISBLANK(Audit[[#This Row],[Audit Winning Candidate]])), Audit[[#This Row],[Audit Winning Candidate]]-Audit[[#This Row],[Winning Candidate]], "")</f>
        <v/>
      </c>
      <c r="AF827" s="18" t="str">
        <f>IF(NOT(ISBLANK(Audit[[#This Row],[Audit Losing Candidate]])), Audit[[#This Row],[Audit Losing Candidate]]-Audit[[#This Row],[Losing Candidate]], "")</f>
        <v/>
      </c>
      <c r="AG827" s="18" t="str">
        <f>IF(NOT(ISBLANK(Audit[[#This Row],[Audit Candidate 3]])), Audit[[#This Row],[Audit Candidate 3]]-Audit[[#This Row],[Candidate 3]], "")</f>
        <v/>
      </c>
      <c r="AH827" s="18" t="str">
        <f>IF(NOT(ISBLANK(Audit[[#This Row],[Audit Candidate 4]])),Audit[[#This Row],[Audit Candidate 4]]-Audit[[#This Row],[Candidate 4]], "")</f>
        <v/>
      </c>
      <c r="AI827" s="18" t="str">
        <f>IF(NOT(ISBLANK(Audit[[#This Row],[Audit Candidate 5]])), Audit[[#This Row],[Audit Candidate 5]]-Audit[[#This Row],[Candidate 5]], "")</f>
        <v/>
      </c>
      <c r="AJ827" s="18" t="str">
        <f>IF(NOT(ISBLANK(Audit[[#This Row],[Audit Candidate 6]])), Audit[[#This Row],[Audit Candidate 6]]-Audit[[#This Row],[Candidate 6]], "")</f>
        <v/>
      </c>
      <c r="AK827" s="18" t="str">
        <f>IF(NOT(ISBLANK(Audit[[#This Row],[Audit Candidate 7]])), Audit[[#This Row],[Audit Candidate 7]]-Audit[[#This Row],[Candidate 7]], "")</f>
        <v/>
      </c>
      <c r="AL827" s="18" t="str">
        <f>IF(NOT(ISBLANK(Audit[[#This Row],[Audit Candidate 8]])), Audit[[#This Row],[Audit Candidate 8]]-Audit[[#This Row],[Candidate 8]], "")</f>
        <v/>
      </c>
      <c r="AM827" s="18" t="str">
        <f>IF(NOT(ISBLANK(Audit[[#This Row],[Audit Candidate 9]])), Audit[[#This Row],[Audit Candidate 9]]-Audit[[#This Row],[Candidate 9]], "")</f>
        <v/>
      </c>
      <c r="AN827" s="18" t="str">
        <f>IF(NOT(ISBLANK(Audit[[#This Row],[Audit Candidate 10]])), Audit[[#This Row],[Audit Candidate 10]]-Audit[[#This Row],[Candidate 10]], "")</f>
        <v/>
      </c>
      <c r="AO827" s="18" t="str">
        <f>IF(NOT(ISBLANK(Audit[[#This Row],[Audit Candidate 11]])), Audit[[#This Row],[Audit Candidate 11]]-Audit[[#This Row],[Candidate 11]], "")</f>
        <v/>
      </c>
      <c r="AP827" s="18" t="str">
        <f>IF(NOT(ISBLANK(Audit[[#This Row],[Audit Candidate 12]])), Audit[[#This Row],[Audit Candidate 12]]-Audit[[#This Row],[Candidate 12]], "")</f>
        <v/>
      </c>
      <c r="AQ827" s="18">
        <f>SUMIF(Audit[[#This Row],[Difference Winner]:[Difference Candidate 12]], "&gt;0")</f>
        <v>0</v>
      </c>
      <c r="AR827" s="18">
        <f>SUM(Audit[[#This Row],[Difference Winner]:[Difference Candidate 12]])</f>
        <v>0</v>
      </c>
      <c r="AS827" s="18">
        <f>IF(Audit[[#This Row],[Times p Drawn - With Replacement]]&gt;0, IF(Audit[[#This Row],[Canceled Differences]]&lt;0, Audit[[#This Row],[Max Differences]]+ABS(Audit[[#This Row],[Canceled Differences]]), Audit[[#This Row],[Max Differences]]), 0)</f>
        <v>0</v>
      </c>
      <c r="AT827" s="18">
        <f>'Sampling Data'!AB827</f>
        <v>5.8736690014762694E-3</v>
      </c>
      <c r="AU827" s="18">
        <f>IF(
      SUM(Audit[[#This Row],[Audit Losing Candidate]:[Audit Candidate 12]])
      &lt;&gt;0,
      (Audit[[#This Row],[Winning Candidate]]-Audit[[#This Row],[Losing Candidate]]-(Audit[[#This Row],[Audit Winning Candidate]]-Audit[[#This Row],[Audit Losing Candidate]]))/(Audit[[#Totals],[Winning Candidate]]-Audit[[#Totals],[Losing Candidate]]),
      0
)</f>
        <v>0</v>
      </c>
      <c r="AV8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8">
        <f>IF(Audit[[#This Row],[Max Relative Error (ep)]] = 0, 0, Audit[[#This Row],[Max Relative Error (ep)]]/Audit[[#This Row],[Error Bound (up) - Max. possible relative overstatement]])</f>
        <v>0</v>
      </c>
      <c r="BH8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7" s="18">
        <f t="shared" si="13"/>
        <v>1</v>
      </c>
      <c r="BJ827" s="18">
        <f>PRODUCT($BI$5:BI827)</f>
        <v>0.32656797278968008</v>
      </c>
      <c r="BK827" s="20">
        <f>1 - Audit[[#This Row],[K-M P Value]]</f>
        <v>0.67343202721031992</v>
      </c>
      <c r="BL827" s="18" t="str">
        <f>IF(Audit[[#This Row],[K-M P Value]]&gt;1-'General Info'!$B$12,"Continue", "Stop")</f>
        <v>Continue</v>
      </c>
      <c r="BM827" s="23" t="b">
        <f>IF(Audit[[#This Row],[Status - Continue or stop audit]] = "Continue", TRUE, IF(BL826 = "Continue", TRUE, FALSE))</f>
        <v>1</v>
      </c>
      <c r="BN827" s="23"/>
    </row>
    <row r="828" spans="1:66" ht="15" hidden="1" customHeight="1" x14ac:dyDescent="0.35">
      <c r="A828" s="18" t="str">
        <f>'Sampling Data'!AI828</f>
        <v/>
      </c>
      <c r="B828" s="18" t="str">
        <f>'Sampling Data'!A828</f>
        <v>4111 MTHY 1-A   (ED)</v>
      </c>
      <c r="C828" s="18">
        <f>'Sampling Data'!B828</f>
        <v>46</v>
      </c>
      <c r="D828" s="18">
        <f>'Sampling Data'!C828</f>
        <v>5</v>
      </c>
      <c r="E828" s="19">
        <f>'Sampling Data'!D828</f>
        <v>0</v>
      </c>
      <c r="F828" s="19">
        <f>'Sampling Data'!E828</f>
        <v>0</v>
      </c>
      <c r="G828" s="19">
        <f>'Sampling Data'!F828</f>
        <v>0</v>
      </c>
      <c r="H828" s="19">
        <f>'Sampling Data'!G828</f>
        <v>0</v>
      </c>
      <c r="I828" s="19">
        <f>'Sampling Data'!H828</f>
        <v>0</v>
      </c>
      <c r="J828" s="19">
        <f>'Sampling Data'!I828</f>
        <v>0</v>
      </c>
      <c r="K828" s="19">
        <f>'Sampling Data'!J828</f>
        <v>0</v>
      </c>
      <c r="L828" s="19">
        <f>'Sampling Data'!K828</f>
        <v>0</v>
      </c>
      <c r="M828" s="19">
        <f>'Sampling Data'!L828</f>
        <v>0</v>
      </c>
      <c r="N828" s="19">
        <f>'Sampling Data'!M828</f>
        <v>0</v>
      </c>
      <c r="O828" s="18">
        <f>'Sampling Data'!N828</f>
        <v>0</v>
      </c>
      <c r="P828" s="18">
        <f>'Sampling Data'!O828</f>
        <v>5</v>
      </c>
      <c r="Q828" s="18">
        <f>'Sampling Data'!P828</f>
        <v>56</v>
      </c>
      <c r="R828" s="18">
        <f>'Sampling Data'!AJ828</f>
        <v>0</v>
      </c>
      <c r="S828" s="112"/>
      <c r="T828" s="112"/>
      <c r="U828" s="113"/>
      <c r="V828" s="113"/>
      <c r="W828" s="112"/>
      <c r="X828" s="112"/>
      <c r="Y828" s="112"/>
      <c r="Z828" s="112"/>
      <c r="AA828" s="15"/>
      <c r="AB828" s="15"/>
      <c r="AC828" s="15"/>
      <c r="AD828" s="15"/>
      <c r="AE828" s="114" t="str">
        <f>IF(NOT(ISBLANK(Audit[[#This Row],[Audit Winning Candidate]])), Audit[[#This Row],[Audit Winning Candidate]]-Audit[[#This Row],[Winning Candidate]], "")</f>
        <v/>
      </c>
      <c r="AF828" s="18" t="str">
        <f>IF(NOT(ISBLANK(Audit[[#This Row],[Audit Losing Candidate]])), Audit[[#This Row],[Audit Losing Candidate]]-Audit[[#This Row],[Losing Candidate]], "")</f>
        <v/>
      </c>
      <c r="AG828" s="18" t="str">
        <f>IF(NOT(ISBLANK(Audit[[#This Row],[Audit Candidate 3]])), Audit[[#This Row],[Audit Candidate 3]]-Audit[[#This Row],[Candidate 3]], "")</f>
        <v/>
      </c>
      <c r="AH828" s="18" t="str">
        <f>IF(NOT(ISBLANK(Audit[[#This Row],[Audit Candidate 4]])),Audit[[#This Row],[Audit Candidate 4]]-Audit[[#This Row],[Candidate 4]], "")</f>
        <v/>
      </c>
      <c r="AI828" s="18" t="str">
        <f>IF(NOT(ISBLANK(Audit[[#This Row],[Audit Candidate 5]])), Audit[[#This Row],[Audit Candidate 5]]-Audit[[#This Row],[Candidate 5]], "")</f>
        <v/>
      </c>
      <c r="AJ828" s="18" t="str">
        <f>IF(NOT(ISBLANK(Audit[[#This Row],[Audit Candidate 6]])), Audit[[#This Row],[Audit Candidate 6]]-Audit[[#This Row],[Candidate 6]], "")</f>
        <v/>
      </c>
      <c r="AK828" s="18" t="str">
        <f>IF(NOT(ISBLANK(Audit[[#This Row],[Audit Candidate 7]])), Audit[[#This Row],[Audit Candidate 7]]-Audit[[#This Row],[Candidate 7]], "")</f>
        <v/>
      </c>
      <c r="AL828" s="18" t="str">
        <f>IF(NOT(ISBLANK(Audit[[#This Row],[Audit Candidate 8]])), Audit[[#This Row],[Audit Candidate 8]]-Audit[[#This Row],[Candidate 8]], "")</f>
        <v/>
      </c>
      <c r="AM828" s="18" t="str">
        <f>IF(NOT(ISBLANK(Audit[[#This Row],[Audit Candidate 9]])), Audit[[#This Row],[Audit Candidate 9]]-Audit[[#This Row],[Candidate 9]], "")</f>
        <v/>
      </c>
      <c r="AN828" s="18" t="str">
        <f>IF(NOT(ISBLANK(Audit[[#This Row],[Audit Candidate 10]])), Audit[[#This Row],[Audit Candidate 10]]-Audit[[#This Row],[Candidate 10]], "")</f>
        <v/>
      </c>
      <c r="AO828" s="18" t="str">
        <f>IF(NOT(ISBLANK(Audit[[#This Row],[Audit Candidate 11]])), Audit[[#This Row],[Audit Candidate 11]]-Audit[[#This Row],[Candidate 11]], "")</f>
        <v/>
      </c>
      <c r="AP828" s="18" t="str">
        <f>IF(NOT(ISBLANK(Audit[[#This Row],[Audit Candidate 12]])), Audit[[#This Row],[Audit Candidate 12]]-Audit[[#This Row],[Candidate 12]], "")</f>
        <v/>
      </c>
      <c r="AQ828" s="18">
        <f>SUMIF(Audit[[#This Row],[Difference Winner]:[Difference Candidate 12]], "&gt;0")</f>
        <v>0</v>
      </c>
      <c r="AR828" s="18">
        <f>SUM(Audit[[#This Row],[Difference Winner]:[Difference Candidate 12]])</f>
        <v>0</v>
      </c>
      <c r="AS828" s="18">
        <f>IF(Audit[[#This Row],[Times p Drawn - With Replacement]]&gt;0, IF(Audit[[#This Row],[Canceled Differences]]&lt;0, Audit[[#This Row],[Max Differences]]+ABS(Audit[[#This Row],[Canceled Differences]]), Audit[[#This Row],[Max Differences]]), 0)</f>
        <v>0</v>
      </c>
      <c r="AT828" s="18">
        <f>'Sampling Data'!AB828</f>
        <v>3.0467694820491878E-3</v>
      </c>
      <c r="AU828" s="18">
        <f>IF(
      SUM(Audit[[#This Row],[Audit Losing Candidate]:[Audit Candidate 12]])
      &lt;&gt;0,
      (Audit[[#This Row],[Winning Candidate]]-Audit[[#This Row],[Losing Candidate]]-(Audit[[#This Row],[Audit Winning Candidate]]-Audit[[#This Row],[Audit Losing Candidate]]))/(Audit[[#Totals],[Winning Candidate]]-Audit[[#Totals],[Losing Candidate]]),
      0
)</f>
        <v>0</v>
      </c>
      <c r="AV8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8">
        <f>IF(Audit[[#This Row],[Max Relative Error (ep)]] = 0, 0, Audit[[#This Row],[Max Relative Error (ep)]]/Audit[[#This Row],[Error Bound (up) - Max. possible relative overstatement]])</f>
        <v>0</v>
      </c>
      <c r="BH8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8" s="18">
        <f t="shared" si="13"/>
        <v>1</v>
      </c>
      <c r="BJ828" s="18">
        <f>PRODUCT($BI$5:BI828)</f>
        <v>0.32656797278968008</v>
      </c>
      <c r="BK828" s="20">
        <f>1 - Audit[[#This Row],[K-M P Value]]</f>
        <v>0.67343202721031992</v>
      </c>
      <c r="BL828" s="18" t="str">
        <f>IF(Audit[[#This Row],[K-M P Value]]&gt;1-'General Info'!$B$12,"Continue", "Stop")</f>
        <v>Continue</v>
      </c>
      <c r="BM828" s="23" t="b">
        <f>IF(Audit[[#This Row],[Status - Continue or stop audit]] = "Continue", TRUE, IF(BL827 = "Continue", TRUE, FALSE))</f>
        <v>1</v>
      </c>
      <c r="BN828" s="23"/>
    </row>
    <row r="829" spans="1:66" ht="15" hidden="1" customHeight="1" x14ac:dyDescent="0.35">
      <c r="A829" s="18" t="str">
        <f>'Sampling Data'!AI829</f>
        <v/>
      </c>
      <c r="B829" s="18" t="str">
        <f>'Sampling Data'!A829</f>
        <v>4121 MTHY 2-A   (ED)</v>
      </c>
      <c r="C829" s="18">
        <f>'Sampling Data'!B829</f>
        <v>77</v>
      </c>
      <c r="D829" s="18">
        <f>'Sampling Data'!C829</f>
        <v>8</v>
      </c>
      <c r="E829" s="19">
        <f>'Sampling Data'!D829</f>
        <v>0</v>
      </c>
      <c r="F829" s="19">
        <f>'Sampling Data'!E829</f>
        <v>0</v>
      </c>
      <c r="G829" s="19">
        <f>'Sampling Data'!F829</f>
        <v>0</v>
      </c>
      <c r="H829" s="19">
        <f>'Sampling Data'!G829</f>
        <v>0</v>
      </c>
      <c r="I829" s="19">
        <f>'Sampling Data'!H829</f>
        <v>0</v>
      </c>
      <c r="J829" s="19">
        <f>'Sampling Data'!I829</f>
        <v>0</v>
      </c>
      <c r="K829" s="19">
        <f>'Sampling Data'!J829</f>
        <v>0</v>
      </c>
      <c r="L829" s="19">
        <f>'Sampling Data'!K829</f>
        <v>0</v>
      </c>
      <c r="M829" s="19">
        <f>'Sampling Data'!L829</f>
        <v>0</v>
      </c>
      <c r="N829" s="19">
        <f>'Sampling Data'!M829</f>
        <v>0</v>
      </c>
      <c r="O829" s="18">
        <f>'Sampling Data'!N829</f>
        <v>0</v>
      </c>
      <c r="P829" s="18">
        <f>'Sampling Data'!O829</f>
        <v>2</v>
      </c>
      <c r="Q829" s="18">
        <f>'Sampling Data'!P829</f>
        <v>87</v>
      </c>
      <c r="R829" s="18">
        <f>'Sampling Data'!AJ829</f>
        <v>0</v>
      </c>
      <c r="S829" s="112"/>
      <c r="T829" s="112"/>
      <c r="U829" s="113"/>
      <c r="V829" s="113"/>
      <c r="W829" s="112"/>
      <c r="X829" s="112"/>
      <c r="Y829" s="112"/>
      <c r="Z829" s="112"/>
      <c r="AA829" s="15"/>
      <c r="AB829" s="15"/>
      <c r="AC829" s="15"/>
      <c r="AD829" s="15"/>
      <c r="AE829" s="114" t="str">
        <f>IF(NOT(ISBLANK(Audit[[#This Row],[Audit Winning Candidate]])), Audit[[#This Row],[Audit Winning Candidate]]-Audit[[#This Row],[Winning Candidate]], "")</f>
        <v/>
      </c>
      <c r="AF829" s="18" t="str">
        <f>IF(NOT(ISBLANK(Audit[[#This Row],[Audit Losing Candidate]])), Audit[[#This Row],[Audit Losing Candidate]]-Audit[[#This Row],[Losing Candidate]], "")</f>
        <v/>
      </c>
      <c r="AG829" s="18" t="str">
        <f>IF(NOT(ISBLANK(Audit[[#This Row],[Audit Candidate 3]])), Audit[[#This Row],[Audit Candidate 3]]-Audit[[#This Row],[Candidate 3]], "")</f>
        <v/>
      </c>
      <c r="AH829" s="18" t="str">
        <f>IF(NOT(ISBLANK(Audit[[#This Row],[Audit Candidate 4]])),Audit[[#This Row],[Audit Candidate 4]]-Audit[[#This Row],[Candidate 4]], "")</f>
        <v/>
      </c>
      <c r="AI829" s="18" t="str">
        <f>IF(NOT(ISBLANK(Audit[[#This Row],[Audit Candidate 5]])), Audit[[#This Row],[Audit Candidate 5]]-Audit[[#This Row],[Candidate 5]], "")</f>
        <v/>
      </c>
      <c r="AJ829" s="18" t="str">
        <f>IF(NOT(ISBLANK(Audit[[#This Row],[Audit Candidate 6]])), Audit[[#This Row],[Audit Candidate 6]]-Audit[[#This Row],[Candidate 6]], "")</f>
        <v/>
      </c>
      <c r="AK829" s="18" t="str">
        <f>IF(NOT(ISBLANK(Audit[[#This Row],[Audit Candidate 7]])), Audit[[#This Row],[Audit Candidate 7]]-Audit[[#This Row],[Candidate 7]], "")</f>
        <v/>
      </c>
      <c r="AL829" s="18" t="str">
        <f>IF(NOT(ISBLANK(Audit[[#This Row],[Audit Candidate 8]])), Audit[[#This Row],[Audit Candidate 8]]-Audit[[#This Row],[Candidate 8]], "")</f>
        <v/>
      </c>
      <c r="AM829" s="18" t="str">
        <f>IF(NOT(ISBLANK(Audit[[#This Row],[Audit Candidate 9]])), Audit[[#This Row],[Audit Candidate 9]]-Audit[[#This Row],[Candidate 9]], "")</f>
        <v/>
      </c>
      <c r="AN829" s="18" t="str">
        <f>IF(NOT(ISBLANK(Audit[[#This Row],[Audit Candidate 10]])), Audit[[#This Row],[Audit Candidate 10]]-Audit[[#This Row],[Candidate 10]], "")</f>
        <v/>
      </c>
      <c r="AO829" s="18" t="str">
        <f>IF(NOT(ISBLANK(Audit[[#This Row],[Audit Candidate 11]])), Audit[[#This Row],[Audit Candidate 11]]-Audit[[#This Row],[Candidate 11]], "")</f>
        <v/>
      </c>
      <c r="AP829" s="18" t="str">
        <f>IF(NOT(ISBLANK(Audit[[#This Row],[Audit Candidate 12]])), Audit[[#This Row],[Audit Candidate 12]]-Audit[[#This Row],[Candidate 12]], "")</f>
        <v/>
      </c>
      <c r="AQ829" s="18">
        <f>SUMIF(Audit[[#This Row],[Difference Winner]:[Difference Candidate 12]], "&gt;0")</f>
        <v>0</v>
      </c>
      <c r="AR829" s="18">
        <f>SUM(Audit[[#This Row],[Difference Winner]:[Difference Candidate 12]])</f>
        <v>0</v>
      </c>
      <c r="AS829" s="18">
        <f>IF(Audit[[#This Row],[Times p Drawn - With Replacement]]&gt;0, IF(Audit[[#This Row],[Canceled Differences]]&lt;0, Audit[[#This Row],[Max Differences]]+ABS(Audit[[#This Row],[Canceled Differences]]), Audit[[#This Row],[Max Differences]]), 0)</f>
        <v>0</v>
      </c>
      <c r="AT829" s="18">
        <f>'Sampling Data'!AB829</f>
        <v>4.8999591670069419E-3</v>
      </c>
      <c r="AU829" s="18">
        <f>IF(
      SUM(Audit[[#This Row],[Audit Losing Candidate]:[Audit Candidate 12]])
      &lt;&gt;0,
      (Audit[[#This Row],[Winning Candidate]]-Audit[[#This Row],[Losing Candidate]]-(Audit[[#This Row],[Audit Winning Candidate]]-Audit[[#This Row],[Audit Losing Candidate]]))/(Audit[[#Totals],[Winning Candidate]]-Audit[[#Totals],[Losing Candidate]]),
      0
)</f>
        <v>0</v>
      </c>
      <c r="AV8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8">
        <f>IF(Audit[[#This Row],[Max Relative Error (ep)]] = 0, 0, Audit[[#This Row],[Max Relative Error (ep)]]/Audit[[#This Row],[Error Bound (up) - Max. possible relative overstatement]])</f>
        <v>0</v>
      </c>
      <c r="BH8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29" s="18">
        <f t="shared" si="13"/>
        <v>1</v>
      </c>
      <c r="BJ829" s="18">
        <f>PRODUCT($BI$5:BI829)</f>
        <v>0.32656797278968008</v>
      </c>
      <c r="BK829" s="20">
        <f>1 - Audit[[#This Row],[K-M P Value]]</f>
        <v>0.67343202721031992</v>
      </c>
      <c r="BL829" s="18" t="str">
        <f>IF(Audit[[#This Row],[K-M P Value]]&gt;1-'General Info'!$B$12,"Continue", "Stop")</f>
        <v>Continue</v>
      </c>
      <c r="BM829" s="23" t="b">
        <f>IF(Audit[[#This Row],[Status - Continue or stop audit]] = "Continue", TRUE, IF(BL828 = "Continue", TRUE, FALSE))</f>
        <v>1</v>
      </c>
      <c r="BN829" s="23"/>
    </row>
    <row r="830" spans="1:66" ht="15" hidden="1" customHeight="1" x14ac:dyDescent="0.35">
      <c r="A830" s="18" t="str">
        <f>'Sampling Data'!AI830</f>
        <v/>
      </c>
      <c r="B830" s="18" t="str">
        <f>'Sampling Data'!A830</f>
        <v>4131 MTHY 3-A   (ED)</v>
      </c>
      <c r="C830" s="18">
        <f>'Sampling Data'!B830</f>
        <v>48</v>
      </c>
      <c r="D830" s="18">
        <f>'Sampling Data'!C830</f>
        <v>11</v>
      </c>
      <c r="E830" s="19">
        <f>'Sampling Data'!D830</f>
        <v>0</v>
      </c>
      <c r="F830" s="19">
        <f>'Sampling Data'!E830</f>
        <v>0</v>
      </c>
      <c r="G830" s="19">
        <f>'Sampling Data'!F830</f>
        <v>0</v>
      </c>
      <c r="H830" s="19">
        <f>'Sampling Data'!G830</f>
        <v>0</v>
      </c>
      <c r="I830" s="19">
        <f>'Sampling Data'!H830</f>
        <v>0</v>
      </c>
      <c r="J830" s="19">
        <f>'Sampling Data'!I830</f>
        <v>0</v>
      </c>
      <c r="K830" s="19">
        <f>'Sampling Data'!J830</f>
        <v>0</v>
      </c>
      <c r="L830" s="19">
        <f>'Sampling Data'!K830</f>
        <v>0</v>
      </c>
      <c r="M830" s="19">
        <f>'Sampling Data'!L830</f>
        <v>0</v>
      </c>
      <c r="N830" s="19">
        <f>'Sampling Data'!M830</f>
        <v>0</v>
      </c>
      <c r="O830" s="18">
        <f>'Sampling Data'!N830</f>
        <v>2</v>
      </c>
      <c r="P830" s="18">
        <f>'Sampling Data'!O830</f>
        <v>5</v>
      </c>
      <c r="Q830" s="18">
        <f>'Sampling Data'!P830</f>
        <v>66</v>
      </c>
      <c r="R830" s="18">
        <f>'Sampling Data'!AJ830</f>
        <v>0</v>
      </c>
      <c r="S830" s="112"/>
      <c r="T830" s="112"/>
      <c r="U830" s="113"/>
      <c r="V830" s="113"/>
      <c r="W830" s="112"/>
      <c r="X830" s="112"/>
      <c r="Y830" s="112"/>
      <c r="Z830" s="112"/>
      <c r="AA830" s="15"/>
      <c r="AB830" s="15"/>
      <c r="AC830" s="15"/>
      <c r="AD830" s="15"/>
      <c r="AE830" s="114" t="str">
        <f>IF(NOT(ISBLANK(Audit[[#This Row],[Audit Winning Candidate]])), Audit[[#This Row],[Audit Winning Candidate]]-Audit[[#This Row],[Winning Candidate]], "")</f>
        <v/>
      </c>
      <c r="AF830" s="18" t="str">
        <f>IF(NOT(ISBLANK(Audit[[#This Row],[Audit Losing Candidate]])), Audit[[#This Row],[Audit Losing Candidate]]-Audit[[#This Row],[Losing Candidate]], "")</f>
        <v/>
      </c>
      <c r="AG830" s="18" t="str">
        <f>IF(NOT(ISBLANK(Audit[[#This Row],[Audit Candidate 3]])), Audit[[#This Row],[Audit Candidate 3]]-Audit[[#This Row],[Candidate 3]], "")</f>
        <v/>
      </c>
      <c r="AH830" s="18" t="str">
        <f>IF(NOT(ISBLANK(Audit[[#This Row],[Audit Candidate 4]])),Audit[[#This Row],[Audit Candidate 4]]-Audit[[#This Row],[Candidate 4]], "")</f>
        <v/>
      </c>
      <c r="AI830" s="18" t="str">
        <f>IF(NOT(ISBLANK(Audit[[#This Row],[Audit Candidate 5]])), Audit[[#This Row],[Audit Candidate 5]]-Audit[[#This Row],[Candidate 5]], "")</f>
        <v/>
      </c>
      <c r="AJ830" s="18" t="str">
        <f>IF(NOT(ISBLANK(Audit[[#This Row],[Audit Candidate 6]])), Audit[[#This Row],[Audit Candidate 6]]-Audit[[#This Row],[Candidate 6]], "")</f>
        <v/>
      </c>
      <c r="AK830" s="18" t="str">
        <f>IF(NOT(ISBLANK(Audit[[#This Row],[Audit Candidate 7]])), Audit[[#This Row],[Audit Candidate 7]]-Audit[[#This Row],[Candidate 7]], "")</f>
        <v/>
      </c>
      <c r="AL830" s="18" t="str">
        <f>IF(NOT(ISBLANK(Audit[[#This Row],[Audit Candidate 8]])), Audit[[#This Row],[Audit Candidate 8]]-Audit[[#This Row],[Candidate 8]], "")</f>
        <v/>
      </c>
      <c r="AM830" s="18" t="str">
        <f>IF(NOT(ISBLANK(Audit[[#This Row],[Audit Candidate 9]])), Audit[[#This Row],[Audit Candidate 9]]-Audit[[#This Row],[Candidate 9]], "")</f>
        <v/>
      </c>
      <c r="AN830" s="18" t="str">
        <f>IF(NOT(ISBLANK(Audit[[#This Row],[Audit Candidate 10]])), Audit[[#This Row],[Audit Candidate 10]]-Audit[[#This Row],[Candidate 10]], "")</f>
        <v/>
      </c>
      <c r="AO830" s="18" t="str">
        <f>IF(NOT(ISBLANK(Audit[[#This Row],[Audit Candidate 11]])), Audit[[#This Row],[Audit Candidate 11]]-Audit[[#This Row],[Candidate 11]], "")</f>
        <v/>
      </c>
      <c r="AP830" s="18" t="str">
        <f>IF(NOT(ISBLANK(Audit[[#This Row],[Audit Candidate 12]])), Audit[[#This Row],[Audit Candidate 12]]-Audit[[#This Row],[Candidate 12]], "")</f>
        <v/>
      </c>
      <c r="AQ830" s="18">
        <f>SUMIF(Audit[[#This Row],[Difference Winner]:[Difference Candidate 12]], "&gt;0")</f>
        <v>0</v>
      </c>
      <c r="AR830" s="18">
        <f>SUM(Audit[[#This Row],[Difference Winner]:[Difference Candidate 12]])</f>
        <v>0</v>
      </c>
      <c r="AS830" s="18">
        <f>IF(Audit[[#This Row],[Times p Drawn - With Replacement]]&gt;0, IF(Audit[[#This Row],[Canceled Differences]]&lt;0, Audit[[#This Row],[Max Differences]]+ABS(Audit[[#This Row],[Canceled Differences]]), Audit[[#This Row],[Max Differences]]), 0)</f>
        <v>0</v>
      </c>
      <c r="AT830" s="18">
        <f>'Sampling Data'!AB830</f>
        <v>3.2352294500109934E-3</v>
      </c>
      <c r="AU830" s="18">
        <f>IF(
      SUM(Audit[[#This Row],[Audit Losing Candidate]:[Audit Candidate 12]])
      &lt;&gt;0,
      (Audit[[#This Row],[Winning Candidate]]-Audit[[#This Row],[Losing Candidate]]-(Audit[[#This Row],[Audit Winning Candidate]]-Audit[[#This Row],[Audit Losing Candidate]]))/(Audit[[#Totals],[Winning Candidate]]-Audit[[#Totals],[Losing Candidate]]),
      0
)</f>
        <v>0</v>
      </c>
      <c r="AV8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8">
        <f>IF(Audit[[#This Row],[Max Relative Error (ep)]] = 0, 0, Audit[[#This Row],[Max Relative Error (ep)]]/Audit[[#This Row],[Error Bound (up) - Max. possible relative overstatement]])</f>
        <v>0</v>
      </c>
      <c r="BH8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0" s="18">
        <f t="shared" si="13"/>
        <v>1</v>
      </c>
      <c r="BJ830" s="18">
        <f>PRODUCT($BI$5:BI830)</f>
        <v>0.32656797278968008</v>
      </c>
      <c r="BK830" s="20">
        <f>1 - Audit[[#This Row],[K-M P Value]]</f>
        <v>0.67343202721031992</v>
      </c>
      <c r="BL830" s="18" t="str">
        <f>IF(Audit[[#This Row],[K-M P Value]]&gt;1-'General Info'!$B$12,"Continue", "Stop")</f>
        <v>Continue</v>
      </c>
      <c r="BM830" s="23" t="b">
        <f>IF(Audit[[#This Row],[Status - Continue or stop audit]] = "Continue", TRUE, IF(BL829 = "Continue", TRUE, FALSE))</f>
        <v>1</v>
      </c>
      <c r="BN830" s="23"/>
    </row>
    <row r="831" spans="1:66" ht="15" hidden="1" customHeight="1" x14ac:dyDescent="0.35">
      <c r="A831" s="18" t="str">
        <f>'Sampling Data'!AI831</f>
        <v/>
      </c>
      <c r="B831" s="18" t="str">
        <f>'Sampling Data'!A831</f>
        <v>4141 MTHY 4-A   (ED)</v>
      </c>
      <c r="C831" s="18">
        <f>'Sampling Data'!B831</f>
        <v>25</v>
      </c>
      <c r="D831" s="18">
        <f>'Sampling Data'!C831</f>
        <v>6</v>
      </c>
      <c r="E831" s="19">
        <f>'Sampling Data'!D831</f>
        <v>0</v>
      </c>
      <c r="F831" s="19">
        <f>'Sampling Data'!E831</f>
        <v>0</v>
      </c>
      <c r="G831" s="19">
        <f>'Sampling Data'!F831</f>
        <v>0</v>
      </c>
      <c r="H831" s="19">
        <f>'Sampling Data'!G831</f>
        <v>0</v>
      </c>
      <c r="I831" s="19">
        <f>'Sampling Data'!H831</f>
        <v>0</v>
      </c>
      <c r="J831" s="19">
        <f>'Sampling Data'!I831</f>
        <v>0</v>
      </c>
      <c r="K831" s="19">
        <f>'Sampling Data'!J831</f>
        <v>0</v>
      </c>
      <c r="L831" s="19">
        <f>'Sampling Data'!K831</f>
        <v>0</v>
      </c>
      <c r="M831" s="19">
        <f>'Sampling Data'!L831</f>
        <v>0</v>
      </c>
      <c r="N831" s="19">
        <f>'Sampling Data'!M831</f>
        <v>0</v>
      </c>
      <c r="O831" s="18">
        <f>'Sampling Data'!N831</f>
        <v>0</v>
      </c>
      <c r="P831" s="18">
        <f>'Sampling Data'!O831</f>
        <v>3</v>
      </c>
      <c r="Q831" s="18">
        <f>'Sampling Data'!P831</f>
        <v>34</v>
      </c>
      <c r="R831" s="18">
        <f>'Sampling Data'!AJ831</f>
        <v>0</v>
      </c>
      <c r="S831" s="112"/>
      <c r="T831" s="112"/>
      <c r="U831" s="113"/>
      <c r="V831" s="113"/>
      <c r="W831" s="112"/>
      <c r="X831" s="112"/>
      <c r="Y831" s="112"/>
      <c r="Z831" s="112"/>
      <c r="AA831" s="15"/>
      <c r="AB831" s="15"/>
      <c r="AC831" s="15"/>
      <c r="AD831" s="15"/>
      <c r="AE831" s="114" t="str">
        <f>IF(NOT(ISBLANK(Audit[[#This Row],[Audit Winning Candidate]])), Audit[[#This Row],[Audit Winning Candidate]]-Audit[[#This Row],[Winning Candidate]], "")</f>
        <v/>
      </c>
      <c r="AF831" s="18" t="str">
        <f>IF(NOT(ISBLANK(Audit[[#This Row],[Audit Losing Candidate]])), Audit[[#This Row],[Audit Losing Candidate]]-Audit[[#This Row],[Losing Candidate]], "")</f>
        <v/>
      </c>
      <c r="AG831" s="18" t="str">
        <f>IF(NOT(ISBLANK(Audit[[#This Row],[Audit Candidate 3]])), Audit[[#This Row],[Audit Candidate 3]]-Audit[[#This Row],[Candidate 3]], "")</f>
        <v/>
      </c>
      <c r="AH831" s="18" t="str">
        <f>IF(NOT(ISBLANK(Audit[[#This Row],[Audit Candidate 4]])),Audit[[#This Row],[Audit Candidate 4]]-Audit[[#This Row],[Candidate 4]], "")</f>
        <v/>
      </c>
      <c r="AI831" s="18" t="str">
        <f>IF(NOT(ISBLANK(Audit[[#This Row],[Audit Candidate 5]])), Audit[[#This Row],[Audit Candidate 5]]-Audit[[#This Row],[Candidate 5]], "")</f>
        <v/>
      </c>
      <c r="AJ831" s="18" t="str">
        <f>IF(NOT(ISBLANK(Audit[[#This Row],[Audit Candidate 6]])), Audit[[#This Row],[Audit Candidate 6]]-Audit[[#This Row],[Candidate 6]], "")</f>
        <v/>
      </c>
      <c r="AK831" s="18" t="str">
        <f>IF(NOT(ISBLANK(Audit[[#This Row],[Audit Candidate 7]])), Audit[[#This Row],[Audit Candidate 7]]-Audit[[#This Row],[Candidate 7]], "")</f>
        <v/>
      </c>
      <c r="AL831" s="18" t="str">
        <f>IF(NOT(ISBLANK(Audit[[#This Row],[Audit Candidate 8]])), Audit[[#This Row],[Audit Candidate 8]]-Audit[[#This Row],[Candidate 8]], "")</f>
        <v/>
      </c>
      <c r="AM831" s="18" t="str">
        <f>IF(NOT(ISBLANK(Audit[[#This Row],[Audit Candidate 9]])), Audit[[#This Row],[Audit Candidate 9]]-Audit[[#This Row],[Candidate 9]], "")</f>
        <v/>
      </c>
      <c r="AN831" s="18" t="str">
        <f>IF(NOT(ISBLANK(Audit[[#This Row],[Audit Candidate 10]])), Audit[[#This Row],[Audit Candidate 10]]-Audit[[#This Row],[Candidate 10]], "")</f>
        <v/>
      </c>
      <c r="AO831" s="18" t="str">
        <f>IF(NOT(ISBLANK(Audit[[#This Row],[Audit Candidate 11]])), Audit[[#This Row],[Audit Candidate 11]]-Audit[[#This Row],[Candidate 11]], "")</f>
        <v/>
      </c>
      <c r="AP831" s="18" t="str">
        <f>IF(NOT(ISBLANK(Audit[[#This Row],[Audit Candidate 12]])), Audit[[#This Row],[Audit Candidate 12]]-Audit[[#This Row],[Candidate 12]], "")</f>
        <v/>
      </c>
      <c r="AQ831" s="18">
        <f>SUMIF(Audit[[#This Row],[Difference Winner]:[Difference Candidate 12]], "&gt;0")</f>
        <v>0</v>
      </c>
      <c r="AR831" s="18">
        <f>SUM(Audit[[#This Row],[Difference Winner]:[Difference Candidate 12]])</f>
        <v>0</v>
      </c>
      <c r="AS831" s="18">
        <f>IF(Audit[[#This Row],[Times p Drawn - With Replacement]]&gt;0, IF(Audit[[#This Row],[Canceled Differences]]&lt;0, Audit[[#This Row],[Max Differences]]+ABS(Audit[[#This Row],[Canceled Differences]]), Audit[[#This Row],[Max Differences]]), 0)</f>
        <v>0</v>
      </c>
      <c r="AT831" s="18">
        <f>'Sampling Data'!AB831</f>
        <v>1.6647297169959481E-3</v>
      </c>
      <c r="AU831" s="18">
        <f>IF(
      SUM(Audit[[#This Row],[Audit Losing Candidate]:[Audit Candidate 12]])
      &lt;&gt;0,
      (Audit[[#This Row],[Winning Candidate]]-Audit[[#This Row],[Losing Candidate]]-(Audit[[#This Row],[Audit Winning Candidate]]-Audit[[#This Row],[Audit Losing Candidate]]))/(Audit[[#Totals],[Winning Candidate]]-Audit[[#Totals],[Losing Candidate]]),
      0
)</f>
        <v>0</v>
      </c>
      <c r="AV8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8">
        <f>IF(Audit[[#This Row],[Max Relative Error (ep)]] = 0, 0, Audit[[#This Row],[Max Relative Error (ep)]]/Audit[[#This Row],[Error Bound (up) - Max. possible relative overstatement]])</f>
        <v>0</v>
      </c>
      <c r="BH8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1" s="18">
        <f t="shared" si="13"/>
        <v>1</v>
      </c>
      <c r="BJ831" s="18">
        <f>PRODUCT($BI$5:BI831)</f>
        <v>0.32656797278968008</v>
      </c>
      <c r="BK831" s="20">
        <f>1 - Audit[[#This Row],[K-M P Value]]</f>
        <v>0.67343202721031992</v>
      </c>
      <c r="BL831" s="18" t="str">
        <f>IF(Audit[[#This Row],[K-M P Value]]&gt;1-'General Info'!$B$12,"Continue", "Stop")</f>
        <v>Continue</v>
      </c>
      <c r="BM831" s="23" t="b">
        <f>IF(Audit[[#This Row],[Status - Continue or stop audit]] = "Continue", TRUE, IF(BL830 = "Continue", TRUE, FALSE))</f>
        <v>1</v>
      </c>
      <c r="BN831" s="23"/>
    </row>
    <row r="832" spans="1:66" ht="15" hidden="1" customHeight="1" x14ac:dyDescent="0.35">
      <c r="A832" s="18" t="str">
        <f>'Sampling Data'!AI832</f>
        <v/>
      </c>
      <c r="B832" s="18" t="str">
        <f>'Sampling Data'!A832</f>
        <v>4311 NCH 1-A   (ED)</v>
      </c>
      <c r="C832" s="18">
        <f>'Sampling Data'!B832</f>
        <v>19</v>
      </c>
      <c r="D832" s="18">
        <f>'Sampling Data'!C832</f>
        <v>4</v>
      </c>
      <c r="E832" s="19">
        <f>'Sampling Data'!D832</f>
        <v>0</v>
      </c>
      <c r="F832" s="19">
        <f>'Sampling Data'!E832</f>
        <v>0</v>
      </c>
      <c r="G832" s="19">
        <f>'Sampling Data'!F832</f>
        <v>0</v>
      </c>
      <c r="H832" s="19">
        <f>'Sampling Data'!G832</f>
        <v>0</v>
      </c>
      <c r="I832" s="19">
        <f>'Sampling Data'!H832</f>
        <v>0</v>
      </c>
      <c r="J832" s="19">
        <f>'Sampling Data'!I832</f>
        <v>0</v>
      </c>
      <c r="K832" s="19">
        <f>'Sampling Data'!J832</f>
        <v>0</v>
      </c>
      <c r="L832" s="19">
        <f>'Sampling Data'!K832</f>
        <v>0</v>
      </c>
      <c r="M832" s="19">
        <f>'Sampling Data'!L832</f>
        <v>0</v>
      </c>
      <c r="N832" s="19">
        <f>'Sampling Data'!M832</f>
        <v>0</v>
      </c>
      <c r="O832" s="18">
        <f>'Sampling Data'!N832</f>
        <v>0</v>
      </c>
      <c r="P832" s="18">
        <f>'Sampling Data'!O832</f>
        <v>0</v>
      </c>
      <c r="Q832" s="18">
        <f>'Sampling Data'!P832</f>
        <v>23</v>
      </c>
      <c r="R832" s="18">
        <f>'Sampling Data'!AJ832</f>
        <v>0</v>
      </c>
      <c r="S832" s="112"/>
      <c r="T832" s="112"/>
      <c r="U832" s="113"/>
      <c r="V832" s="113"/>
      <c r="W832" s="112"/>
      <c r="X832" s="112"/>
      <c r="Y832" s="112"/>
      <c r="Z832" s="112"/>
      <c r="AA832" s="15"/>
      <c r="AB832" s="15"/>
      <c r="AC832" s="15"/>
      <c r="AD832" s="15"/>
      <c r="AE832" s="114" t="str">
        <f>IF(NOT(ISBLANK(Audit[[#This Row],[Audit Winning Candidate]])), Audit[[#This Row],[Audit Winning Candidate]]-Audit[[#This Row],[Winning Candidate]], "")</f>
        <v/>
      </c>
      <c r="AF832" s="18" t="str">
        <f>IF(NOT(ISBLANK(Audit[[#This Row],[Audit Losing Candidate]])), Audit[[#This Row],[Audit Losing Candidate]]-Audit[[#This Row],[Losing Candidate]], "")</f>
        <v/>
      </c>
      <c r="AG832" s="18" t="str">
        <f>IF(NOT(ISBLANK(Audit[[#This Row],[Audit Candidate 3]])), Audit[[#This Row],[Audit Candidate 3]]-Audit[[#This Row],[Candidate 3]], "")</f>
        <v/>
      </c>
      <c r="AH832" s="18" t="str">
        <f>IF(NOT(ISBLANK(Audit[[#This Row],[Audit Candidate 4]])),Audit[[#This Row],[Audit Candidate 4]]-Audit[[#This Row],[Candidate 4]], "")</f>
        <v/>
      </c>
      <c r="AI832" s="18" t="str">
        <f>IF(NOT(ISBLANK(Audit[[#This Row],[Audit Candidate 5]])), Audit[[#This Row],[Audit Candidate 5]]-Audit[[#This Row],[Candidate 5]], "")</f>
        <v/>
      </c>
      <c r="AJ832" s="18" t="str">
        <f>IF(NOT(ISBLANK(Audit[[#This Row],[Audit Candidate 6]])), Audit[[#This Row],[Audit Candidate 6]]-Audit[[#This Row],[Candidate 6]], "")</f>
        <v/>
      </c>
      <c r="AK832" s="18" t="str">
        <f>IF(NOT(ISBLANK(Audit[[#This Row],[Audit Candidate 7]])), Audit[[#This Row],[Audit Candidate 7]]-Audit[[#This Row],[Candidate 7]], "")</f>
        <v/>
      </c>
      <c r="AL832" s="18" t="str">
        <f>IF(NOT(ISBLANK(Audit[[#This Row],[Audit Candidate 8]])), Audit[[#This Row],[Audit Candidate 8]]-Audit[[#This Row],[Candidate 8]], "")</f>
        <v/>
      </c>
      <c r="AM832" s="18" t="str">
        <f>IF(NOT(ISBLANK(Audit[[#This Row],[Audit Candidate 9]])), Audit[[#This Row],[Audit Candidate 9]]-Audit[[#This Row],[Candidate 9]], "")</f>
        <v/>
      </c>
      <c r="AN832" s="18" t="str">
        <f>IF(NOT(ISBLANK(Audit[[#This Row],[Audit Candidate 10]])), Audit[[#This Row],[Audit Candidate 10]]-Audit[[#This Row],[Candidate 10]], "")</f>
        <v/>
      </c>
      <c r="AO832" s="18" t="str">
        <f>IF(NOT(ISBLANK(Audit[[#This Row],[Audit Candidate 11]])), Audit[[#This Row],[Audit Candidate 11]]-Audit[[#This Row],[Candidate 11]], "")</f>
        <v/>
      </c>
      <c r="AP832" s="18" t="str">
        <f>IF(NOT(ISBLANK(Audit[[#This Row],[Audit Candidate 12]])), Audit[[#This Row],[Audit Candidate 12]]-Audit[[#This Row],[Candidate 12]], "")</f>
        <v/>
      </c>
      <c r="AQ832" s="18">
        <f>SUMIF(Audit[[#This Row],[Difference Winner]:[Difference Candidate 12]], "&gt;0")</f>
        <v>0</v>
      </c>
      <c r="AR832" s="18">
        <f>SUM(Audit[[#This Row],[Difference Winner]:[Difference Candidate 12]])</f>
        <v>0</v>
      </c>
      <c r="AS832" s="18">
        <f>IF(Audit[[#This Row],[Times p Drawn - With Replacement]]&gt;0, IF(Audit[[#This Row],[Canceled Differences]]&lt;0, Audit[[#This Row],[Max Differences]]+ABS(Audit[[#This Row],[Canceled Differences]]), Audit[[#This Row],[Max Differences]]), 0)</f>
        <v>0</v>
      </c>
      <c r="AT832" s="18">
        <f>'Sampling Data'!AB832</f>
        <v>1.1935797970914345E-3</v>
      </c>
      <c r="AU832" s="18">
        <f>IF(
      SUM(Audit[[#This Row],[Audit Losing Candidate]:[Audit Candidate 12]])
      &lt;&gt;0,
      (Audit[[#This Row],[Winning Candidate]]-Audit[[#This Row],[Losing Candidate]]-(Audit[[#This Row],[Audit Winning Candidate]]-Audit[[#This Row],[Audit Losing Candidate]]))/(Audit[[#Totals],[Winning Candidate]]-Audit[[#Totals],[Losing Candidate]]),
      0
)</f>
        <v>0</v>
      </c>
      <c r="AV8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8">
        <f>IF(Audit[[#This Row],[Max Relative Error (ep)]] = 0, 0, Audit[[#This Row],[Max Relative Error (ep)]]/Audit[[#This Row],[Error Bound (up) - Max. possible relative overstatement]])</f>
        <v>0</v>
      </c>
      <c r="BH8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2" s="18">
        <f t="shared" si="13"/>
        <v>1</v>
      </c>
      <c r="BJ832" s="18">
        <f>PRODUCT($BI$5:BI832)</f>
        <v>0.32656797278968008</v>
      </c>
      <c r="BK832" s="20">
        <f>1 - Audit[[#This Row],[K-M P Value]]</f>
        <v>0.67343202721031992</v>
      </c>
      <c r="BL832" s="18" t="str">
        <f>IF(Audit[[#This Row],[K-M P Value]]&gt;1-'General Info'!$B$12,"Continue", "Stop")</f>
        <v>Continue</v>
      </c>
      <c r="BM832" s="23" t="b">
        <f>IF(Audit[[#This Row],[Status - Continue or stop audit]] = "Continue", TRUE, IF(BL831 = "Continue", TRUE, FALSE))</f>
        <v>1</v>
      </c>
      <c r="BN832" s="23"/>
    </row>
    <row r="833" spans="1:66" ht="15" hidden="1" customHeight="1" x14ac:dyDescent="0.35">
      <c r="A833" s="18" t="str">
        <f>'Sampling Data'!AI833</f>
        <v/>
      </c>
      <c r="B833" s="18" t="str">
        <f>'Sampling Data'!A833</f>
        <v>4312 NCH 1-B   (ED)</v>
      </c>
      <c r="C833" s="18">
        <f>'Sampling Data'!B833</f>
        <v>41</v>
      </c>
      <c r="D833" s="18">
        <f>'Sampling Data'!C833</f>
        <v>6</v>
      </c>
      <c r="E833" s="19">
        <f>'Sampling Data'!D833</f>
        <v>0</v>
      </c>
      <c r="F833" s="19">
        <f>'Sampling Data'!E833</f>
        <v>0</v>
      </c>
      <c r="G833" s="19">
        <f>'Sampling Data'!F833</f>
        <v>0</v>
      </c>
      <c r="H833" s="19">
        <f>'Sampling Data'!G833</f>
        <v>0</v>
      </c>
      <c r="I833" s="19">
        <f>'Sampling Data'!H833</f>
        <v>0</v>
      </c>
      <c r="J833" s="19">
        <f>'Sampling Data'!I833</f>
        <v>0</v>
      </c>
      <c r="K833" s="19">
        <f>'Sampling Data'!J833</f>
        <v>0</v>
      </c>
      <c r="L833" s="19">
        <f>'Sampling Data'!K833</f>
        <v>0</v>
      </c>
      <c r="M833" s="19">
        <f>'Sampling Data'!L833</f>
        <v>0</v>
      </c>
      <c r="N833" s="19">
        <f>'Sampling Data'!M833</f>
        <v>0</v>
      </c>
      <c r="O833" s="18">
        <f>'Sampling Data'!N833</f>
        <v>0</v>
      </c>
      <c r="P833" s="18">
        <f>'Sampling Data'!O833</f>
        <v>2</v>
      </c>
      <c r="Q833" s="18">
        <f>'Sampling Data'!P833</f>
        <v>49</v>
      </c>
      <c r="R833" s="18">
        <f>'Sampling Data'!AJ833</f>
        <v>0</v>
      </c>
      <c r="S833" s="112"/>
      <c r="T833" s="112"/>
      <c r="U833" s="113"/>
      <c r="V833" s="113"/>
      <c r="W833" s="112"/>
      <c r="X833" s="112"/>
      <c r="Y833" s="112"/>
      <c r="Z833" s="112"/>
      <c r="AA833" s="15"/>
      <c r="AB833" s="15"/>
      <c r="AC833" s="15"/>
      <c r="AD833" s="15"/>
      <c r="AE833" s="114" t="str">
        <f>IF(NOT(ISBLANK(Audit[[#This Row],[Audit Winning Candidate]])), Audit[[#This Row],[Audit Winning Candidate]]-Audit[[#This Row],[Winning Candidate]], "")</f>
        <v/>
      </c>
      <c r="AF833" s="18" t="str">
        <f>IF(NOT(ISBLANK(Audit[[#This Row],[Audit Losing Candidate]])), Audit[[#This Row],[Audit Losing Candidate]]-Audit[[#This Row],[Losing Candidate]], "")</f>
        <v/>
      </c>
      <c r="AG833" s="18" t="str">
        <f>IF(NOT(ISBLANK(Audit[[#This Row],[Audit Candidate 3]])), Audit[[#This Row],[Audit Candidate 3]]-Audit[[#This Row],[Candidate 3]], "")</f>
        <v/>
      </c>
      <c r="AH833" s="18" t="str">
        <f>IF(NOT(ISBLANK(Audit[[#This Row],[Audit Candidate 4]])),Audit[[#This Row],[Audit Candidate 4]]-Audit[[#This Row],[Candidate 4]], "")</f>
        <v/>
      </c>
      <c r="AI833" s="18" t="str">
        <f>IF(NOT(ISBLANK(Audit[[#This Row],[Audit Candidate 5]])), Audit[[#This Row],[Audit Candidate 5]]-Audit[[#This Row],[Candidate 5]], "")</f>
        <v/>
      </c>
      <c r="AJ833" s="18" t="str">
        <f>IF(NOT(ISBLANK(Audit[[#This Row],[Audit Candidate 6]])), Audit[[#This Row],[Audit Candidate 6]]-Audit[[#This Row],[Candidate 6]], "")</f>
        <v/>
      </c>
      <c r="AK833" s="18" t="str">
        <f>IF(NOT(ISBLANK(Audit[[#This Row],[Audit Candidate 7]])), Audit[[#This Row],[Audit Candidate 7]]-Audit[[#This Row],[Candidate 7]], "")</f>
        <v/>
      </c>
      <c r="AL833" s="18" t="str">
        <f>IF(NOT(ISBLANK(Audit[[#This Row],[Audit Candidate 8]])), Audit[[#This Row],[Audit Candidate 8]]-Audit[[#This Row],[Candidate 8]], "")</f>
        <v/>
      </c>
      <c r="AM833" s="18" t="str">
        <f>IF(NOT(ISBLANK(Audit[[#This Row],[Audit Candidate 9]])), Audit[[#This Row],[Audit Candidate 9]]-Audit[[#This Row],[Candidate 9]], "")</f>
        <v/>
      </c>
      <c r="AN833" s="18" t="str">
        <f>IF(NOT(ISBLANK(Audit[[#This Row],[Audit Candidate 10]])), Audit[[#This Row],[Audit Candidate 10]]-Audit[[#This Row],[Candidate 10]], "")</f>
        <v/>
      </c>
      <c r="AO833" s="18" t="str">
        <f>IF(NOT(ISBLANK(Audit[[#This Row],[Audit Candidate 11]])), Audit[[#This Row],[Audit Candidate 11]]-Audit[[#This Row],[Candidate 11]], "")</f>
        <v/>
      </c>
      <c r="AP833" s="18" t="str">
        <f>IF(NOT(ISBLANK(Audit[[#This Row],[Audit Candidate 12]])), Audit[[#This Row],[Audit Candidate 12]]-Audit[[#This Row],[Candidate 12]], "")</f>
        <v/>
      </c>
      <c r="AQ833" s="18">
        <f>SUMIF(Audit[[#This Row],[Difference Winner]:[Difference Candidate 12]], "&gt;0")</f>
        <v>0</v>
      </c>
      <c r="AR833" s="18">
        <f>SUM(Audit[[#This Row],[Difference Winner]:[Difference Candidate 12]])</f>
        <v>0</v>
      </c>
      <c r="AS833" s="18">
        <f>IF(Audit[[#This Row],[Times p Drawn - With Replacement]]&gt;0, IF(Audit[[#This Row],[Canceled Differences]]&lt;0, Audit[[#This Row],[Max Differences]]+ABS(Audit[[#This Row],[Canceled Differences]]), Audit[[#This Row],[Max Differences]]), 0)</f>
        <v>0</v>
      </c>
      <c r="AT833" s="18">
        <f>'Sampling Data'!AB833</f>
        <v>2.6384395514652765E-3</v>
      </c>
      <c r="AU833" s="18">
        <f>IF(
      SUM(Audit[[#This Row],[Audit Losing Candidate]:[Audit Candidate 12]])
      &lt;&gt;0,
      (Audit[[#This Row],[Winning Candidate]]-Audit[[#This Row],[Losing Candidate]]-(Audit[[#This Row],[Audit Winning Candidate]]-Audit[[#This Row],[Audit Losing Candidate]]))/(Audit[[#Totals],[Winning Candidate]]-Audit[[#Totals],[Losing Candidate]]),
      0
)</f>
        <v>0</v>
      </c>
      <c r="AV8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8">
        <f>IF(Audit[[#This Row],[Max Relative Error (ep)]] = 0, 0, Audit[[#This Row],[Max Relative Error (ep)]]/Audit[[#This Row],[Error Bound (up) - Max. possible relative overstatement]])</f>
        <v>0</v>
      </c>
      <c r="BH8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3" s="18">
        <f t="shared" si="13"/>
        <v>1</v>
      </c>
      <c r="BJ833" s="18">
        <f>PRODUCT($BI$5:BI833)</f>
        <v>0.32656797278968008</v>
      </c>
      <c r="BK833" s="20">
        <f>1 - Audit[[#This Row],[K-M P Value]]</f>
        <v>0.67343202721031992</v>
      </c>
      <c r="BL833" s="18" t="str">
        <f>IF(Audit[[#This Row],[K-M P Value]]&gt;1-'General Info'!$B$12,"Continue", "Stop")</f>
        <v>Continue</v>
      </c>
      <c r="BM833" s="23" t="b">
        <f>IF(Audit[[#This Row],[Status - Continue or stop audit]] = "Continue", TRUE, IF(BL832 = "Continue", TRUE, FALSE))</f>
        <v>1</v>
      </c>
      <c r="BN833" s="23"/>
    </row>
    <row r="834" spans="1:66" ht="15" hidden="1" customHeight="1" x14ac:dyDescent="0.35">
      <c r="A834" s="18" t="str">
        <f>'Sampling Data'!AI834</f>
        <v/>
      </c>
      <c r="B834" s="18" t="str">
        <f>'Sampling Data'!A834</f>
        <v>4321 NCH 2-A   (ED)</v>
      </c>
      <c r="C834" s="18">
        <f>'Sampling Data'!B834</f>
        <v>16</v>
      </c>
      <c r="D834" s="18">
        <f>'Sampling Data'!C834</f>
        <v>2</v>
      </c>
      <c r="E834" s="19">
        <f>'Sampling Data'!D834</f>
        <v>0</v>
      </c>
      <c r="F834" s="19">
        <f>'Sampling Data'!E834</f>
        <v>0</v>
      </c>
      <c r="G834" s="19">
        <f>'Sampling Data'!F834</f>
        <v>0</v>
      </c>
      <c r="H834" s="19">
        <f>'Sampling Data'!G834</f>
        <v>0</v>
      </c>
      <c r="I834" s="19">
        <f>'Sampling Data'!H834</f>
        <v>0</v>
      </c>
      <c r="J834" s="19">
        <f>'Sampling Data'!I834</f>
        <v>0</v>
      </c>
      <c r="K834" s="19">
        <f>'Sampling Data'!J834</f>
        <v>0</v>
      </c>
      <c r="L834" s="19">
        <f>'Sampling Data'!K834</f>
        <v>0</v>
      </c>
      <c r="M834" s="19">
        <f>'Sampling Data'!L834</f>
        <v>0</v>
      </c>
      <c r="N834" s="19">
        <f>'Sampling Data'!M834</f>
        <v>0</v>
      </c>
      <c r="O834" s="18">
        <f>'Sampling Data'!N834</f>
        <v>0</v>
      </c>
      <c r="P834" s="18">
        <f>'Sampling Data'!O834</f>
        <v>0</v>
      </c>
      <c r="Q834" s="18">
        <f>'Sampling Data'!P834</f>
        <v>18</v>
      </c>
      <c r="R834" s="18">
        <f>'Sampling Data'!AJ834</f>
        <v>0</v>
      </c>
      <c r="S834" s="112"/>
      <c r="T834" s="112"/>
      <c r="U834" s="113"/>
      <c r="V834" s="113"/>
      <c r="W834" s="112"/>
      <c r="X834" s="112"/>
      <c r="Y834" s="112"/>
      <c r="Z834" s="112"/>
      <c r="AA834" s="15"/>
      <c r="AB834" s="15"/>
      <c r="AC834" s="15"/>
      <c r="AD834" s="15"/>
      <c r="AE834" s="114" t="str">
        <f>IF(NOT(ISBLANK(Audit[[#This Row],[Audit Winning Candidate]])), Audit[[#This Row],[Audit Winning Candidate]]-Audit[[#This Row],[Winning Candidate]], "")</f>
        <v/>
      </c>
      <c r="AF834" s="18" t="str">
        <f>IF(NOT(ISBLANK(Audit[[#This Row],[Audit Losing Candidate]])), Audit[[#This Row],[Audit Losing Candidate]]-Audit[[#This Row],[Losing Candidate]], "")</f>
        <v/>
      </c>
      <c r="AG834" s="18" t="str">
        <f>IF(NOT(ISBLANK(Audit[[#This Row],[Audit Candidate 3]])), Audit[[#This Row],[Audit Candidate 3]]-Audit[[#This Row],[Candidate 3]], "")</f>
        <v/>
      </c>
      <c r="AH834" s="18" t="str">
        <f>IF(NOT(ISBLANK(Audit[[#This Row],[Audit Candidate 4]])),Audit[[#This Row],[Audit Candidate 4]]-Audit[[#This Row],[Candidate 4]], "")</f>
        <v/>
      </c>
      <c r="AI834" s="18" t="str">
        <f>IF(NOT(ISBLANK(Audit[[#This Row],[Audit Candidate 5]])), Audit[[#This Row],[Audit Candidate 5]]-Audit[[#This Row],[Candidate 5]], "")</f>
        <v/>
      </c>
      <c r="AJ834" s="18" t="str">
        <f>IF(NOT(ISBLANK(Audit[[#This Row],[Audit Candidate 6]])), Audit[[#This Row],[Audit Candidate 6]]-Audit[[#This Row],[Candidate 6]], "")</f>
        <v/>
      </c>
      <c r="AK834" s="18" t="str">
        <f>IF(NOT(ISBLANK(Audit[[#This Row],[Audit Candidate 7]])), Audit[[#This Row],[Audit Candidate 7]]-Audit[[#This Row],[Candidate 7]], "")</f>
        <v/>
      </c>
      <c r="AL834" s="18" t="str">
        <f>IF(NOT(ISBLANK(Audit[[#This Row],[Audit Candidate 8]])), Audit[[#This Row],[Audit Candidate 8]]-Audit[[#This Row],[Candidate 8]], "")</f>
        <v/>
      </c>
      <c r="AM834" s="18" t="str">
        <f>IF(NOT(ISBLANK(Audit[[#This Row],[Audit Candidate 9]])), Audit[[#This Row],[Audit Candidate 9]]-Audit[[#This Row],[Candidate 9]], "")</f>
        <v/>
      </c>
      <c r="AN834" s="18" t="str">
        <f>IF(NOT(ISBLANK(Audit[[#This Row],[Audit Candidate 10]])), Audit[[#This Row],[Audit Candidate 10]]-Audit[[#This Row],[Candidate 10]], "")</f>
        <v/>
      </c>
      <c r="AO834" s="18" t="str">
        <f>IF(NOT(ISBLANK(Audit[[#This Row],[Audit Candidate 11]])), Audit[[#This Row],[Audit Candidate 11]]-Audit[[#This Row],[Candidate 11]], "")</f>
        <v/>
      </c>
      <c r="AP834" s="18" t="str">
        <f>IF(NOT(ISBLANK(Audit[[#This Row],[Audit Candidate 12]])), Audit[[#This Row],[Audit Candidate 12]]-Audit[[#This Row],[Candidate 12]], "")</f>
        <v/>
      </c>
      <c r="AQ834" s="18">
        <f>SUMIF(Audit[[#This Row],[Difference Winner]:[Difference Candidate 12]], "&gt;0")</f>
        <v>0</v>
      </c>
      <c r="AR834" s="18">
        <f>SUM(Audit[[#This Row],[Difference Winner]:[Difference Candidate 12]])</f>
        <v>0</v>
      </c>
      <c r="AS834" s="18">
        <f>IF(Audit[[#This Row],[Times p Drawn - With Replacement]]&gt;0, IF(Audit[[#This Row],[Canceled Differences]]&lt;0, Audit[[#This Row],[Max Differences]]+ABS(Audit[[#This Row],[Canceled Differences]]), Audit[[#This Row],[Max Differences]]), 0)</f>
        <v>0</v>
      </c>
      <c r="AT834" s="18">
        <f>'Sampling Data'!AB834</f>
        <v>1.005119829129629E-3</v>
      </c>
      <c r="AU834" s="18">
        <f>IF(
      SUM(Audit[[#This Row],[Audit Losing Candidate]:[Audit Candidate 12]])
      &lt;&gt;0,
      (Audit[[#This Row],[Winning Candidate]]-Audit[[#This Row],[Losing Candidate]]-(Audit[[#This Row],[Audit Winning Candidate]]-Audit[[#This Row],[Audit Losing Candidate]]))/(Audit[[#Totals],[Winning Candidate]]-Audit[[#Totals],[Losing Candidate]]),
      0
)</f>
        <v>0</v>
      </c>
      <c r="AV8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8">
        <f>IF(Audit[[#This Row],[Max Relative Error (ep)]] = 0, 0, Audit[[#This Row],[Max Relative Error (ep)]]/Audit[[#This Row],[Error Bound (up) - Max. possible relative overstatement]])</f>
        <v>0</v>
      </c>
      <c r="BH8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4" s="18">
        <f t="shared" si="13"/>
        <v>1</v>
      </c>
      <c r="BJ834" s="18">
        <f>PRODUCT($BI$5:BI834)</f>
        <v>0.32656797278968008</v>
      </c>
      <c r="BK834" s="20">
        <f>1 - Audit[[#This Row],[K-M P Value]]</f>
        <v>0.67343202721031992</v>
      </c>
      <c r="BL834" s="18" t="str">
        <f>IF(Audit[[#This Row],[K-M P Value]]&gt;1-'General Info'!$B$12,"Continue", "Stop")</f>
        <v>Continue</v>
      </c>
      <c r="BM834" s="23" t="b">
        <f>IF(Audit[[#This Row],[Status - Continue or stop audit]] = "Continue", TRUE, IF(BL833 = "Continue", TRUE, FALSE))</f>
        <v>1</v>
      </c>
      <c r="BN834" s="23"/>
    </row>
    <row r="835" spans="1:66" ht="15" hidden="1" customHeight="1" x14ac:dyDescent="0.35">
      <c r="A835" s="18" t="str">
        <f>'Sampling Data'!AI835</f>
        <v/>
      </c>
      <c r="B835" s="18" t="str">
        <f>'Sampling Data'!A835</f>
        <v>4331 NCH 3-A   (ED)</v>
      </c>
      <c r="C835" s="18">
        <f>'Sampling Data'!B835</f>
        <v>42</v>
      </c>
      <c r="D835" s="18">
        <f>'Sampling Data'!C835</f>
        <v>5</v>
      </c>
      <c r="E835" s="19">
        <f>'Sampling Data'!D835</f>
        <v>0</v>
      </c>
      <c r="F835" s="19">
        <f>'Sampling Data'!E835</f>
        <v>0</v>
      </c>
      <c r="G835" s="19">
        <f>'Sampling Data'!F835</f>
        <v>0</v>
      </c>
      <c r="H835" s="19">
        <f>'Sampling Data'!G835</f>
        <v>0</v>
      </c>
      <c r="I835" s="19">
        <f>'Sampling Data'!H835</f>
        <v>0</v>
      </c>
      <c r="J835" s="19">
        <f>'Sampling Data'!I835</f>
        <v>0</v>
      </c>
      <c r="K835" s="19">
        <f>'Sampling Data'!J835</f>
        <v>0</v>
      </c>
      <c r="L835" s="19">
        <f>'Sampling Data'!K835</f>
        <v>0</v>
      </c>
      <c r="M835" s="19">
        <f>'Sampling Data'!L835</f>
        <v>0</v>
      </c>
      <c r="N835" s="19">
        <f>'Sampling Data'!M835</f>
        <v>0</v>
      </c>
      <c r="O835" s="18">
        <f>'Sampling Data'!N835</f>
        <v>0</v>
      </c>
      <c r="P835" s="18">
        <f>'Sampling Data'!O835</f>
        <v>1</v>
      </c>
      <c r="Q835" s="18">
        <f>'Sampling Data'!P835</f>
        <v>48</v>
      </c>
      <c r="R835" s="18">
        <f>'Sampling Data'!AJ835</f>
        <v>0</v>
      </c>
      <c r="S835" s="112"/>
      <c r="T835" s="112"/>
      <c r="U835" s="113"/>
      <c r="V835" s="113"/>
      <c r="W835" s="112"/>
      <c r="X835" s="112"/>
      <c r="Y835" s="112"/>
      <c r="Z835" s="112"/>
      <c r="AA835" s="15"/>
      <c r="AB835" s="15"/>
      <c r="AC835" s="15"/>
      <c r="AD835" s="15"/>
      <c r="AE835" s="114" t="str">
        <f>IF(NOT(ISBLANK(Audit[[#This Row],[Audit Winning Candidate]])), Audit[[#This Row],[Audit Winning Candidate]]-Audit[[#This Row],[Winning Candidate]], "")</f>
        <v/>
      </c>
      <c r="AF835" s="18" t="str">
        <f>IF(NOT(ISBLANK(Audit[[#This Row],[Audit Losing Candidate]])), Audit[[#This Row],[Audit Losing Candidate]]-Audit[[#This Row],[Losing Candidate]], "")</f>
        <v/>
      </c>
      <c r="AG835" s="18" t="str">
        <f>IF(NOT(ISBLANK(Audit[[#This Row],[Audit Candidate 3]])), Audit[[#This Row],[Audit Candidate 3]]-Audit[[#This Row],[Candidate 3]], "")</f>
        <v/>
      </c>
      <c r="AH835" s="18" t="str">
        <f>IF(NOT(ISBLANK(Audit[[#This Row],[Audit Candidate 4]])),Audit[[#This Row],[Audit Candidate 4]]-Audit[[#This Row],[Candidate 4]], "")</f>
        <v/>
      </c>
      <c r="AI835" s="18" t="str">
        <f>IF(NOT(ISBLANK(Audit[[#This Row],[Audit Candidate 5]])), Audit[[#This Row],[Audit Candidate 5]]-Audit[[#This Row],[Candidate 5]], "")</f>
        <v/>
      </c>
      <c r="AJ835" s="18" t="str">
        <f>IF(NOT(ISBLANK(Audit[[#This Row],[Audit Candidate 6]])), Audit[[#This Row],[Audit Candidate 6]]-Audit[[#This Row],[Candidate 6]], "")</f>
        <v/>
      </c>
      <c r="AK835" s="18" t="str">
        <f>IF(NOT(ISBLANK(Audit[[#This Row],[Audit Candidate 7]])), Audit[[#This Row],[Audit Candidate 7]]-Audit[[#This Row],[Candidate 7]], "")</f>
        <v/>
      </c>
      <c r="AL835" s="18" t="str">
        <f>IF(NOT(ISBLANK(Audit[[#This Row],[Audit Candidate 8]])), Audit[[#This Row],[Audit Candidate 8]]-Audit[[#This Row],[Candidate 8]], "")</f>
        <v/>
      </c>
      <c r="AM835" s="18" t="str">
        <f>IF(NOT(ISBLANK(Audit[[#This Row],[Audit Candidate 9]])), Audit[[#This Row],[Audit Candidate 9]]-Audit[[#This Row],[Candidate 9]], "")</f>
        <v/>
      </c>
      <c r="AN835" s="18" t="str">
        <f>IF(NOT(ISBLANK(Audit[[#This Row],[Audit Candidate 10]])), Audit[[#This Row],[Audit Candidate 10]]-Audit[[#This Row],[Candidate 10]], "")</f>
        <v/>
      </c>
      <c r="AO835" s="18" t="str">
        <f>IF(NOT(ISBLANK(Audit[[#This Row],[Audit Candidate 11]])), Audit[[#This Row],[Audit Candidate 11]]-Audit[[#This Row],[Candidate 11]], "")</f>
        <v/>
      </c>
      <c r="AP835" s="18" t="str">
        <f>IF(NOT(ISBLANK(Audit[[#This Row],[Audit Candidate 12]])), Audit[[#This Row],[Audit Candidate 12]]-Audit[[#This Row],[Candidate 12]], "")</f>
        <v/>
      </c>
      <c r="AQ835" s="18">
        <f>SUMIF(Audit[[#This Row],[Difference Winner]:[Difference Candidate 12]], "&gt;0")</f>
        <v>0</v>
      </c>
      <c r="AR835" s="18">
        <f>SUM(Audit[[#This Row],[Difference Winner]:[Difference Candidate 12]])</f>
        <v>0</v>
      </c>
      <c r="AS835" s="18">
        <f>IF(Audit[[#This Row],[Times p Drawn - With Replacement]]&gt;0, IF(Audit[[#This Row],[Canceled Differences]]&lt;0, Audit[[#This Row],[Max Differences]]+ABS(Audit[[#This Row],[Canceled Differences]]), Audit[[#This Row],[Max Differences]]), 0)</f>
        <v>0</v>
      </c>
      <c r="AT835" s="18">
        <f>'Sampling Data'!AB835</f>
        <v>2.6698495461255772E-3</v>
      </c>
      <c r="AU835" s="18">
        <f>IF(
      SUM(Audit[[#This Row],[Audit Losing Candidate]:[Audit Candidate 12]])
      &lt;&gt;0,
      (Audit[[#This Row],[Winning Candidate]]-Audit[[#This Row],[Losing Candidate]]-(Audit[[#This Row],[Audit Winning Candidate]]-Audit[[#This Row],[Audit Losing Candidate]]))/(Audit[[#Totals],[Winning Candidate]]-Audit[[#Totals],[Losing Candidate]]),
      0
)</f>
        <v>0</v>
      </c>
      <c r="AV8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8">
        <f>IF(Audit[[#This Row],[Max Relative Error (ep)]] = 0, 0, Audit[[#This Row],[Max Relative Error (ep)]]/Audit[[#This Row],[Error Bound (up) - Max. possible relative overstatement]])</f>
        <v>0</v>
      </c>
      <c r="BH8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5" s="18">
        <f t="shared" si="13"/>
        <v>1</v>
      </c>
      <c r="BJ835" s="18">
        <f>PRODUCT($BI$5:BI835)</f>
        <v>0.32656797278968008</v>
      </c>
      <c r="BK835" s="20">
        <f>1 - Audit[[#This Row],[K-M P Value]]</f>
        <v>0.67343202721031992</v>
      </c>
      <c r="BL835" s="18" t="str">
        <f>IF(Audit[[#This Row],[K-M P Value]]&gt;1-'General Info'!$B$12,"Continue", "Stop")</f>
        <v>Continue</v>
      </c>
      <c r="BM835" s="23" t="b">
        <f>IF(Audit[[#This Row],[Status - Continue or stop audit]] = "Continue", TRUE, IF(BL834 = "Continue", TRUE, FALSE))</f>
        <v>1</v>
      </c>
      <c r="BN835" s="23"/>
    </row>
    <row r="836" spans="1:66" ht="15" hidden="1" customHeight="1" x14ac:dyDescent="0.35">
      <c r="A836" s="18" t="str">
        <f>'Sampling Data'!AI836</f>
        <v/>
      </c>
      <c r="B836" s="18" t="str">
        <f>'Sampling Data'!A836</f>
        <v>4341 NCH 4-A   (ED)</v>
      </c>
      <c r="C836" s="18">
        <f>'Sampling Data'!B836</f>
        <v>69</v>
      </c>
      <c r="D836" s="18">
        <f>'Sampling Data'!C836</f>
        <v>5</v>
      </c>
      <c r="E836" s="19">
        <f>'Sampling Data'!D836</f>
        <v>0</v>
      </c>
      <c r="F836" s="19">
        <f>'Sampling Data'!E836</f>
        <v>0</v>
      </c>
      <c r="G836" s="19">
        <f>'Sampling Data'!F836</f>
        <v>0</v>
      </c>
      <c r="H836" s="19">
        <f>'Sampling Data'!G836</f>
        <v>0</v>
      </c>
      <c r="I836" s="19">
        <f>'Sampling Data'!H836</f>
        <v>0</v>
      </c>
      <c r="J836" s="19">
        <f>'Sampling Data'!I836</f>
        <v>0</v>
      </c>
      <c r="K836" s="19">
        <f>'Sampling Data'!J836</f>
        <v>0</v>
      </c>
      <c r="L836" s="19">
        <f>'Sampling Data'!K836</f>
        <v>0</v>
      </c>
      <c r="M836" s="19">
        <f>'Sampling Data'!L836</f>
        <v>0</v>
      </c>
      <c r="N836" s="19">
        <f>'Sampling Data'!M836</f>
        <v>0</v>
      </c>
      <c r="O836" s="18">
        <f>'Sampling Data'!N836</f>
        <v>0</v>
      </c>
      <c r="P836" s="18">
        <f>'Sampling Data'!O836</f>
        <v>2</v>
      </c>
      <c r="Q836" s="18">
        <f>'Sampling Data'!P836</f>
        <v>76</v>
      </c>
      <c r="R836" s="18">
        <f>'Sampling Data'!AJ836</f>
        <v>0</v>
      </c>
      <c r="S836" s="112"/>
      <c r="T836" s="112"/>
      <c r="U836" s="113"/>
      <c r="V836" s="113"/>
      <c r="W836" s="112"/>
      <c r="X836" s="112"/>
      <c r="Y836" s="112"/>
      <c r="Z836" s="112"/>
      <c r="AA836" s="15"/>
      <c r="AB836" s="15"/>
      <c r="AC836" s="15"/>
      <c r="AD836" s="15"/>
      <c r="AE836" s="114" t="str">
        <f>IF(NOT(ISBLANK(Audit[[#This Row],[Audit Winning Candidate]])), Audit[[#This Row],[Audit Winning Candidate]]-Audit[[#This Row],[Winning Candidate]], "")</f>
        <v/>
      </c>
      <c r="AF836" s="18" t="str">
        <f>IF(NOT(ISBLANK(Audit[[#This Row],[Audit Losing Candidate]])), Audit[[#This Row],[Audit Losing Candidate]]-Audit[[#This Row],[Losing Candidate]], "")</f>
        <v/>
      </c>
      <c r="AG836" s="18" t="str">
        <f>IF(NOT(ISBLANK(Audit[[#This Row],[Audit Candidate 3]])), Audit[[#This Row],[Audit Candidate 3]]-Audit[[#This Row],[Candidate 3]], "")</f>
        <v/>
      </c>
      <c r="AH836" s="18" t="str">
        <f>IF(NOT(ISBLANK(Audit[[#This Row],[Audit Candidate 4]])),Audit[[#This Row],[Audit Candidate 4]]-Audit[[#This Row],[Candidate 4]], "")</f>
        <v/>
      </c>
      <c r="AI836" s="18" t="str">
        <f>IF(NOT(ISBLANK(Audit[[#This Row],[Audit Candidate 5]])), Audit[[#This Row],[Audit Candidate 5]]-Audit[[#This Row],[Candidate 5]], "")</f>
        <v/>
      </c>
      <c r="AJ836" s="18" t="str">
        <f>IF(NOT(ISBLANK(Audit[[#This Row],[Audit Candidate 6]])), Audit[[#This Row],[Audit Candidate 6]]-Audit[[#This Row],[Candidate 6]], "")</f>
        <v/>
      </c>
      <c r="AK836" s="18" t="str">
        <f>IF(NOT(ISBLANK(Audit[[#This Row],[Audit Candidate 7]])), Audit[[#This Row],[Audit Candidate 7]]-Audit[[#This Row],[Candidate 7]], "")</f>
        <v/>
      </c>
      <c r="AL836" s="18" t="str">
        <f>IF(NOT(ISBLANK(Audit[[#This Row],[Audit Candidate 8]])), Audit[[#This Row],[Audit Candidate 8]]-Audit[[#This Row],[Candidate 8]], "")</f>
        <v/>
      </c>
      <c r="AM836" s="18" t="str">
        <f>IF(NOT(ISBLANK(Audit[[#This Row],[Audit Candidate 9]])), Audit[[#This Row],[Audit Candidate 9]]-Audit[[#This Row],[Candidate 9]], "")</f>
        <v/>
      </c>
      <c r="AN836" s="18" t="str">
        <f>IF(NOT(ISBLANK(Audit[[#This Row],[Audit Candidate 10]])), Audit[[#This Row],[Audit Candidate 10]]-Audit[[#This Row],[Candidate 10]], "")</f>
        <v/>
      </c>
      <c r="AO836" s="18" t="str">
        <f>IF(NOT(ISBLANK(Audit[[#This Row],[Audit Candidate 11]])), Audit[[#This Row],[Audit Candidate 11]]-Audit[[#This Row],[Candidate 11]], "")</f>
        <v/>
      </c>
      <c r="AP836" s="18" t="str">
        <f>IF(NOT(ISBLANK(Audit[[#This Row],[Audit Candidate 12]])), Audit[[#This Row],[Audit Candidate 12]]-Audit[[#This Row],[Candidate 12]], "")</f>
        <v/>
      </c>
      <c r="AQ836" s="18">
        <f>SUMIF(Audit[[#This Row],[Difference Winner]:[Difference Candidate 12]], "&gt;0")</f>
        <v>0</v>
      </c>
      <c r="AR836" s="18">
        <f>SUM(Audit[[#This Row],[Difference Winner]:[Difference Candidate 12]])</f>
        <v>0</v>
      </c>
      <c r="AS836" s="18">
        <f>IF(Audit[[#This Row],[Times p Drawn - With Replacement]]&gt;0, IF(Audit[[#This Row],[Canceled Differences]]&lt;0, Audit[[#This Row],[Max Differences]]+ABS(Audit[[#This Row],[Canceled Differences]]), Audit[[#This Row],[Max Differences]]), 0)</f>
        <v>0</v>
      </c>
      <c r="AT836" s="18">
        <f>'Sampling Data'!AB836</f>
        <v>4.3973992524421269E-3</v>
      </c>
      <c r="AU836" s="18">
        <f>IF(
      SUM(Audit[[#This Row],[Audit Losing Candidate]:[Audit Candidate 12]])
      &lt;&gt;0,
      (Audit[[#This Row],[Winning Candidate]]-Audit[[#This Row],[Losing Candidate]]-(Audit[[#This Row],[Audit Winning Candidate]]-Audit[[#This Row],[Audit Losing Candidate]]))/(Audit[[#Totals],[Winning Candidate]]-Audit[[#Totals],[Losing Candidate]]),
      0
)</f>
        <v>0</v>
      </c>
      <c r="AV8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8">
        <f>IF(Audit[[#This Row],[Max Relative Error (ep)]] = 0, 0, Audit[[#This Row],[Max Relative Error (ep)]]/Audit[[#This Row],[Error Bound (up) - Max. possible relative overstatement]])</f>
        <v>0</v>
      </c>
      <c r="BH8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6" s="18">
        <f t="shared" si="13"/>
        <v>1</v>
      </c>
      <c r="BJ836" s="18">
        <f>PRODUCT($BI$5:BI836)</f>
        <v>0.32656797278968008</v>
      </c>
      <c r="BK836" s="20">
        <f>1 - Audit[[#This Row],[K-M P Value]]</f>
        <v>0.67343202721031992</v>
      </c>
      <c r="BL836" s="18" t="str">
        <f>IF(Audit[[#This Row],[K-M P Value]]&gt;1-'General Info'!$B$12,"Continue", "Stop")</f>
        <v>Continue</v>
      </c>
      <c r="BM836" s="23" t="b">
        <f>IF(Audit[[#This Row],[Status - Continue or stop audit]] = "Continue", TRUE, IF(BL835 = "Continue", TRUE, FALSE))</f>
        <v>1</v>
      </c>
      <c r="BN836" s="23"/>
    </row>
    <row r="837" spans="1:66" ht="15" hidden="1" customHeight="1" x14ac:dyDescent="0.35">
      <c r="A837" s="18" t="str">
        <f>'Sampling Data'!AI837</f>
        <v/>
      </c>
      <c r="B837" s="18" t="str">
        <f>'Sampling Data'!A837</f>
        <v>4342 NCH 4-B   (ED)</v>
      </c>
      <c r="C837" s="18">
        <f>'Sampling Data'!B837</f>
        <v>17</v>
      </c>
      <c r="D837" s="18">
        <f>'Sampling Data'!C837</f>
        <v>6</v>
      </c>
      <c r="E837" s="19">
        <f>'Sampling Data'!D837</f>
        <v>0</v>
      </c>
      <c r="F837" s="19">
        <f>'Sampling Data'!E837</f>
        <v>0</v>
      </c>
      <c r="G837" s="19">
        <f>'Sampling Data'!F837</f>
        <v>0</v>
      </c>
      <c r="H837" s="19">
        <f>'Sampling Data'!G837</f>
        <v>0</v>
      </c>
      <c r="I837" s="19">
        <f>'Sampling Data'!H837</f>
        <v>0</v>
      </c>
      <c r="J837" s="19">
        <f>'Sampling Data'!I837</f>
        <v>0</v>
      </c>
      <c r="K837" s="19">
        <f>'Sampling Data'!J837</f>
        <v>0</v>
      </c>
      <c r="L837" s="19">
        <f>'Sampling Data'!K837</f>
        <v>0</v>
      </c>
      <c r="M837" s="19">
        <f>'Sampling Data'!L837</f>
        <v>0</v>
      </c>
      <c r="N837" s="19">
        <f>'Sampling Data'!M837</f>
        <v>0</v>
      </c>
      <c r="O837" s="18">
        <f>'Sampling Data'!N837</f>
        <v>0</v>
      </c>
      <c r="P837" s="18">
        <f>'Sampling Data'!O837</f>
        <v>1</v>
      </c>
      <c r="Q837" s="18">
        <f>'Sampling Data'!P837</f>
        <v>24</v>
      </c>
      <c r="R837" s="18">
        <f>'Sampling Data'!AJ837</f>
        <v>0</v>
      </c>
      <c r="S837" s="112"/>
      <c r="T837" s="112"/>
      <c r="U837" s="113"/>
      <c r="V837" s="113"/>
      <c r="W837" s="112"/>
      <c r="X837" s="112"/>
      <c r="Y837" s="112"/>
      <c r="Z837" s="112"/>
      <c r="AA837" s="15"/>
      <c r="AB837" s="15"/>
      <c r="AC837" s="15"/>
      <c r="AD837" s="15"/>
      <c r="AE837" s="114" t="str">
        <f>IF(NOT(ISBLANK(Audit[[#This Row],[Audit Winning Candidate]])), Audit[[#This Row],[Audit Winning Candidate]]-Audit[[#This Row],[Winning Candidate]], "")</f>
        <v/>
      </c>
      <c r="AF837" s="18" t="str">
        <f>IF(NOT(ISBLANK(Audit[[#This Row],[Audit Losing Candidate]])), Audit[[#This Row],[Audit Losing Candidate]]-Audit[[#This Row],[Losing Candidate]], "")</f>
        <v/>
      </c>
      <c r="AG837" s="18" t="str">
        <f>IF(NOT(ISBLANK(Audit[[#This Row],[Audit Candidate 3]])), Audit[[#This Row],[Audit Candidate 3]]-Audit[[#This Row],[Candidate 3]], "")</f>
        <v/>
      </c>
      <c r="AH837" s="18" t="str">
        <f>IF(NOT(ISBLANK(Audit[[#This Row],[Audit Candidate 4]])),Audit[[#This Row],[Audit Candidate 4]]-Audit[[#This Row],[Candidate 4]], "")</f>
        <v/>
      </c>
      <c r="AI837" s="18" t="str">
        <f>IF(NOT(ISBLANK(Audit[[#This Row],[Audit Candidate 5]])), Audit[[#This Row],[Audit Candidate 5]]-Audit[[#This Row],[Candidate 5]], "")</f>
        <v/>
      </c>
      <c r="AJ837" s="18" t="str">
        <f>IF(NOT(ISBLANK(Audit[[#This Row],[Audit Candidate 6]])), Audit[[#This Row],[Audit Candidate 6]]-Audit[[#This Row],[Candidate 6]], "")</f>
        <v/>
      </c>
      <c r="AK837" s="18" t="str">
        <f>IF(NOT(ISBLANK(Audit[[#This Row],[Audit Candidate 7]])), Audit[[#This Row],[Audit Candidate 7]]-Audit[[#This Row],[Candidate 7]], "")</f>
        <v/>
      </c>
      <c r="AL837" s="18" t="str">
        <f>IF(NOT(ISBLANK(Audit[[#This Row],[Audit Candidate 8]])), Audit[[#This Row],[Audit Candidate 8]]-Audit[[#This Row],[Candidate 8]], "")</f>
        <v/>
      </c>
      <c r="AM837" s="18" t="str">
        <f>IF(NOT(ISBLANK(Audit[[#This Row],[Audit Candidate 9]])), Audit[[#This Row],[Audit Candidate 9]]-Audit[[#This Row],[Candidate 9]], "")</f>
        <v/>
      </c>
      <c r="AN837" s="18" t="str">
        <f>IF(NOT(ISBLANK(Audit[[#This Row],[Audit Candidate 10]])), Audit[[#This Row],[Audit Candidate 10]]-Audit[[#This Row],[Candidate 10]], "")</f>
        <v/>
      </c>
      <c r="AO837" s="18" t="str">
        <f>IF(NOT(ISBLANK(Audit[[#This Row],[Audit Candidate 11]])), Audit[[#This Row],[Audit Candidate 11]]-Audit[[#This Row],[Candidate 11]], "")</f>
        <v/>
      </c>
      <c r="AP837" s="18" t="str">
        <f>IF(NOT(ISBLANK(Audit[[#This Row],[Audit Candidate 12]])), Audit[[#This Row],[Audit Candidate 12]]-Audit[[#This Row],[Candidate 12]], "")</f>
        <v/>
      </c>
      <c r="AQ837" s="18">
        <f>SUMIF(Audit[[#This Row],[Difference Winner]:[Difference Candidate 12]], "&gt;0")</f>
        <v>0</v>
      </c>
      <c r="AR837" s="18">
        <f>SUM(Audit[[#This Row],[Difference Winner]:[Difference Candidate 12]])</f>
        <v>0</v>
      </c>
      <c r="AS837" s="18">
        <f>IF(Audit[[#This Row],[Times p Drawn - With Replacement]]&gt;0, IF(Audit[[#This Row],[Canceled Differences]]&lt;0, Audit[[#This Row],[Max Differences]]+ABS(Audit[[#This Row],[Canceled Differences]]), Audit[[#This Row],[Max Differences]]), 0)</f>
        <v>0</v>
      </c>
      <c r="AT837" s="18">
        <f>'Sampling Data'!AB837</f>
        <v>1.0993498131105317E-3</v>
      </c>
      <c r="AU837" s="18">
        <f>IF(
      SUM(Audit[[#This Row],[Audit Losing Candidate]:[Audit Candidate 12]])
      &lt;&gt;0,
      (Audit[[#This Row],[Winning Candidate]]-Audit[[#This Row],[Losing Candidate]]-(Audit[[#This Row],[Audit Winning Candidate]]-Audit[[#This Row],[Audit Losing Candidate]]))/(Audit[[#Totals],[Winning Candidate]]-Audit[[#Totals],[Losing Candidate]]),
      0
)</f>
        <v>0</v>
      </c>
      <c r="AV8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8">
        <f>IF(Audit[[#This Row],[Max Relative Error (ep)]] = 0, 0, Audit[[#This Row],[Max Relative Error (ep)]]/Audit[[#This Row],[Error Bound (up) - Max. possible relative overstatement]])</f>
        <v>0</v>
      </c>
      <c r="BH8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7" s="18">
        <f t="shared" si="13"/>
        <v>1</v>
      </c>
      <c r="BJ837" s="18">
        <f>PRODUCT($BI$5:BI837)</f>
        <v>0.32656797278968008</v>
      </c>
      <c r="BK837" s="20">
        <f>1 - Audit[[#This Row],[K-M P Value]]</f>
        <v>0.67343202721031992</v>
      </c>
      <c r="BL837" s="18" t="str">
        <f>IF(Audit[[#This Row],[K-M P Value]]&gt;1-'General Info'!$B$12,"Continue", "Stop")</f>
        <v>Continue</v>
      </c>
      <c r="BM837" s="23" t="b">
        <f>IF(Audit[[#This Row],[Status - Continue or stop audit]] = "Continue", TRUE, IF(BL836 = "Continue", TRUE, FALSE))</f>
        <v>1</v>
      </c>
      <c r="BN837" s="23"/>
    </row>
    <row r="838" spans="1:66" ht="15" hidden="1" customHeight="1" x14ac:dyDescent="0.35">
      <c r="A838" s="18" t="str">
        <f>'Sampling Data'!AI838</f>
        <v/>
      </c>
      <c r="B838" s="18" t="str">
        <f>'Sampling Data'!A838</f>
        <v>4343 NCH 4-C   (ED)</v>
      </c>
      <c r="C838" s="18">
        <f>'Sampling Data'!B838</f>
        <v>8</v>
      </c>
      <c r="D838" s="18">
        <f>'Sampling Data'!C838</f>
        <v>0</v>
      </c>
      <c r="E838" s="19">
        <f>'Sampling Data'!D838</f>
        <v>0</v>
      </c>
      <c r="F838" s="19">
        <f>'Sampling Data'!E838</f>
        <v>0</v>
      </c>
      <c r="G838" s="19">
        <f>'Sampling Data'!F838</f>
        <v>0</v>
      </c>
      <c r="H838" s="19">
        <f>'Sampling Data'!G838</f>
        <v>0</v>
      </c>
      <c r="I838" s="19">
        <f>'Sampling Data'!H838</f>
        <v>0</v>
      </c>
      <c r="J838" s="19">
        <f>'Sampling Data'!I838</f>
        <v>0</v>
      </c>
      <c r="K838" s="19">
        <f>'Sampling Data'!J838</f>
        <v>0</v>
      </c>
      <c r="L838" s="19">
        <f>'Sampling Data'!K838</f>
        <v>0</v>
      </c>
      <c r="M838" s="19">
        <f>'Sampling Data'!L838</f>
        <v>0</v>
      </c>
      <c r="N838" s="19">
        <f>'Sampling Data'!M838</f>
        <v>0</v>
      </c>
      <c r="O838" s="18">
        <f>'Sampling Data'!N838</f>
        <v>0</v>
      </c>
      <c r="P838" s="18">
        <f>'Sampling Data'!O838</f>
        <v>1</v>
      </c>
      <c r="Q838" s="18">
        <f>'Sampling Data'!P838</f>
        <v>9</v>
      </c>
      <c r="R838" s="18">
        <f>'Sampling Data'!AJ838</f>
        <v>0</v>
      </c>
      <c r="S838" s="112"/>
      <c r="T838" s="112"/>
      <c r="U838" s="113"/>
      <c r="V838" s="113"/>
      <c r="W838" s="112"/>
      <c r="X838" s="112"/>
      <c r="Y838" s="112"/>
      <c r="Z838" s="112"/>
      <c r="AA838" s="15"/>
      <c r="AB838" s="15"/>
      <c r="AC838" s="15"/>
      <c r="AD838" s="15"/>
      <c r="AE838" s="114" t="str">
        <f>IF(NOT(ISBLANK(Audit[[#This Row],[Audit Winning Candidate]])), Audit[[#This Row],[Audit Winning Candidate]]-Audit[[#This Row],[Winning Candidate]], "")</f>
        <v/>
      </c>
      <c r="AF838" s="18" t="str">
        <f>IF(NOT(ISBLANK(Audit[[#This Row],[Audit Losing Candidate]])), Audit[[#This Row],[Audit Losing Candidate]]-Audit[[#This Row],[Losing Candidate]], "")</f>
        <v/>
      </c>
      <c r="AG838" s="18" t="str">
        <f>IF(NOT(ISBLANK(Audit[[#This Row],[Audit Candidate 3]])), Audit[[#This Row],[Audit Candidate 3]]-Audit[[#This Row],[Candidate 3]], "")</f>
        <v/>
      </c>
      <c r="AH838" s="18" t="str">
        <f>IF(NOT(ISBLANK(Audit[[#This Row],[Audit Candidate 4]])),Audit[[#This Row],[Audit Candidate 4]]-Audit[[#This Row],[Candidate 4]], "")</f>
        <v/>
      </c>
      <c r="AI838" s="18" t="str">
        <f>IF(NOT(ISBLANK(Audit[[#This Row],[Audit Candidate 5]])), Audit[[#This Row],[Audit Candidate 5]]-Audit[[#This Row],[Candidate 5]], "")</f>
        <v/>
      </c>
      <c r="AJ838" s="18" t="str">
        <f>IF(NOT(ISBLANK(Audit[[#This Row],[Audit Candidate 6]])), Audit[[#This Row],[Audit Candidate 6]]-Audit[[#This Row],[Candidate 6]], "")</f>
        <v/>
      </c>
      <c r="AK838" s="18" t="str">
        <f>IF(NOT(ISBLANK(Audit[[#This Row],[Audit Candidate 7]])), Audit[[#This Row],[Audit Candidate 7]]-Audit[[#This Row],[Candidate 7]], "")</f>
        <v/>
      </c>
      <c r="AL838" s="18" t="str">
        <f>IF(NOT(ISBLANK(Audit[[#This Row],[Audit Candidate 8]])), Audit[[#This Row],[Audit Candidate 8]]-Audit[[#This Row],[Candidate 8]], "")</f>
        <v/>
      </c>
      <c r="AM838" s="18" t="str">
        <f>IF(NOT(ISBLANK(Audit[[#This Row],[Audit Candidate 9]])), Audit[[#This Row],[Audit Candidate 9]]-Audit[[#This Row],[Candidate 9]], "")</f>
        <v/>
      </c>
      <c r="AN838" s="18" t="str">
        <f>IF(NOT(ISBLANK(Audit[[#This Row],[Audit Candidate 10]])), Audit[[#This Row],[Audit Candidate 10]]-Audit[[#This Row],[Candidate 10]], "")</f>
        <v/>
      </c>
      <c r="AO838" s="18" t="str">
        <f>IF(NOT(ISBLANK(Audit[[#This Row],[Audit Candidate 11]])), Audit[[#This Row],[Audit Candidate 11]]-Audit[[#This Row],[Candidate 11]], "")</f>
        <v/>
      </c>
      <c r="AP838" s="18" t="str">
        <f>IF(NOT(ISBLANK(Audit[[#This Row],[Audit Candidate 12]])), Audit[[#This Row],[Audit Candidate 12]]-Audit[[#This Row],[Candidate 12]], "")</f>
        <v/>
      </c>
      <c r="AQ838" s="18">
        <f>SUMIF(Audit[[#This Row],[Difference Winner]:[Difference Candidate 12]], "&gt;0")</f>
        <v>0</v>
      </c>
      <c r="AR838" s="18">
        <f>SUM(Audit[[#This Row],[Difference Winner]:[Difference Candidate 12]])</f>
        <v>0</v>
      </c>
      <c r="AS838" s="18">
        <f>IF(Audit[[#This Row],[Times p Drawn - With Replacement]]&gt;0, IF(Audit[[#This Row],[Canceled Differences]]&lt;0, Audit[[#This Row],[Max Differences]]+ABS(Audit[[#This Row],[Canceled Differences]]), Audit[[#This Row],[Max Differences]]), 0)</f>
        <v>0</v>
      </c>
      <c r="AT838" s="18">
        <f>'Sampling Data'!AB838</f>
        <v>5.3396990922511547E-4</v>
      </c>
      <c r="AU838" s="18">
        <f>IF(
      SUM(Audit[[#This Row],[Audit Losing Candidate]:[Audit Candidate 12]])
      &lt;&gt;0,
      (Audit[[#This Row],[Winning Candidate]]-Audit[[#This Row],[Losing Candidate]]-(Audit[[#This Row],[Audit Winning Candidate]]-Audit[[#This Row],[Audit Losing Candidate]]))/(Audit[[#Totals],[Winning Candidate]]-Audit[[#Totals],[Losing Candidate]]),
      0
)</f>
        <v>0</v>
      </c>
      <c r="AV8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8">
        <f>IF(Audit[[#This Row],[Max Relative Error (ep)]] = 0, 0, Audit[[#This Row],[Max Relative Error (ep)]]/Audit[[#This Row],[Error Bound (up) - Max. possible relative overstatement]])</f>
        <v>0</v>
      </c>
      <c r="BH8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8" s="18">
        <f t="shared" si="13"/>
        <v>1</v>
      </c>
      <c r="BJ838" s="18">
        <f>PRODUCT($BI$5:BI838)</f>
        <v>0.32656797278968008</v>
      </c>
      <c r="BK838" s="20">
        <f>1 - Audit[[#This Row],[K-M P Value]]</f>
        <v>0.67343202721031992</v>
      </c>
      <c r="BL838" s="18" t="str">
        <f>IF(Audit[[#This Row],[K-M P Value]]&gt;1-'General Info'!$B$12,"Continue", "Stop")</f>
        <v>Continue</v>
      </c>
      <c r="BM838" s="23" t="b">
        <f>IF(Audit[[#This Row],[Status - Continue or stop audit]] = "Continue", TRUE, IF(BL837 = "Continue", TRUE, FALSE))</f>
        <v>1</v>
      </c>
      <c r="BN838" s="23"/>
    </row>
    <row r="839" spans="1:66" ht="15" hidden="1" customHeight="1" x14ac:dyDescent="0.35">
      <c r="A839" s="18" t="str">
        <f>'Sampling Data'!AI839</f>
        <v/>
      </c>
      <c r="B839" s="18" t="str">
        <f>'Sampling Data'!A839</f>
        <v>4411 NORW 1-A   (ED)</v>
      </c>
      <c r="C839" s="18">
        <f>'Sampling Data'!B839</f>
        <v>13</v>
      </c>
      <c r="D839" s="18">
        <f>'Sampling Data'!C839</f>
        <v>6</v>
      </c>
      <c r="E839" s="19">
        <f>'Sampling Data'!D839</f>
        <v>0</v>
      </c>
      <c r="F839" s="19">
        <f>'Sampling Data'!E839</f>
        <v>0</v>
      </c>
      <c r="G839" s="19">
        <f>'Sampling Data'!F839</f>
        <v>0</v>
      </c>
      <c r="H839" s="19">
        <f>'Sampling Data'!G839</f>
        <v>0</v>
      </c>
      <c r="I839" s="19">
        <f>'Sampling Data'!H839</f>
        <v>0</v>
      </c>
      <c r="J839" s="19">
        <f>'Sampling Data'!I839</f>
        <v>0</v>
      </c>
      <c r="K839" s="19">
        <f>'Sampling Data'!J839</f>
        <v>0</v>
      </c>
      <c r="L839" s="19">
        <f>'Sampling Data'!K839</f>
        <v>0</v>
      </c>
      <c r="M839" s="19">
        <f>'Sampling Data'!L839</f>
        <v>0</v>
      </c>
      <c r="N839" s="19">
        <f>'Sampling Data'!M839</f>
        <v>0</v>
      </c>
      <c r="O839" s="18">
        <f>'Sampling Data'!N839</f>
        <v>0</v>
      </c>
      <c r="P839" s="18">
        <f>'Sampling Data'!O839</f>
        <v>0</v>
      </c>
      <c r="Q839" s="18">
        <f>'Sampling Data'!P839</f>
        <v>19</v>
      </c>
      <c r="R839" s="18">
        <f>'Sampling Data'!AJ839</f>
        <v>0</v>
      </c>
      <c r="S839" s="112"/>
      <c r="T839" s="112"/>
      <c r="U839" s="113"/>
      <c r="V839" s="113"/>
      <c r="W839" s="112"/>
      <c r="X839" s="112"/>
      <c r="Y839" s="112"/>
      <c r="Z839" s="112"/>
      <c r="AA839" s="15"/>
      <c r="AB839" s="15"/>
      <c r="AC839" s="15"/>
      <c r="AD839" s="15"/>
      <c r="AE839" s="114" t="str">
        <f>IF(NOT(ISBLANK(Audit[[#This Row],[Audit Winning Candidate]])), Audit[[#This Row],[Audit Winning Candidate]]-Audit[[#This Row],[Winning Candidate]], "")</f>
        <v/>
      </c>
      <c r="AF839" s="18" t="str">
        <f>IF(NOT(ISBLANK(Audit[[#This Row],[Audit Losing Candidate]])), Audit[[#This Row],[Audit Losing Candidate]]-Audit[[#This Row],[Losing Candidate]], "")</f>
        <v/>
      </c>
      <c r="AG839" s="18" t="str">
        <f>IF(NOT(ISBLANK(Audit[[#This Row],[Audit Candidate 3]])), Audit[[#This Row],[Audit Candidate 3]]-Audit[[#This Row],[Candidate 3]], "")</f>
        <v/>
      </c>
      <c r="AH839" s="18" t="str">
        <f>IF(NOT(ISBLANK(Audit[[#This Row],[Audit Candidate 4]])),Audit[[#This Row],[Audit Candidate 4]]-Audit[[#This Row],[Candidate 4]], "")</f>
        <v/>
      </c>
      <c r="AI839" s="18" t="str">
        <f>IF(NOT(ISBLANK(Audit[[#This Row],[Audit Candidate 5]])), Audit[[#This Row],[Audit Candidate 5]]-Audit[[#This Row],[Candidate 5]], "")</f>
        <v/>
      </c>
      <c r="AJ839" s="18" t="str">
        <f>IF(NOT(ISBLANK(Audit[[#This Row],[Audit Candidate 6]])), Audit[[#This Row],[Audit Candidate 6]]-Audit[[#This Row],[Candidate 6]], "")</f>
        <v/>
      </c>
      <c r="AK839" s="18" t="str">
        <f>IF(NOT(ISBLANK(Audit[[#This Row],[Audit Candidate 7]])), Audit[[#This Row],[Audit Candidate 7]]-Audit[[#This Row],[Candidate 7]], "")</f>
        <v/>
      </c>
      <c r="AL839" s="18" t="str">
        <f>IF(NOT(ISBLANK(Audit[[#This Row],[Audit Candidate 8]])), Audit[[#This Row],[Audit Candidate 8]]-Audit[[#This Row],[Candidate 8]], "")</f>
        <v/>
      </c>
      <c r="AM839" s="18" t="str">
        <f>IF(NOT(ISBLANK(Audit[[#This Row],[Audit Candidate 9]])), Audit[[#This Row],[Audit Candidate 9]]-Audit[[#This Row],[Candidate 9]], "")</f>
        <v/>
      </c>
      <c r="AN839" s="18" t="str">
        <f>IF(NOT(ISBLANK(Audit[[#This Row],[Audit Candidate 10]])), Audit[[#This Row],[Audit Candidate 10]]-Audit[[#This Row],[Candidate 10]], "")</f>
        <v/>
      </c>
      <c r="AO839" s="18" t="str">
        <f>IF(NOT(ISBLANK(Audit[[#This Row],[Audit Candidate 11]])), Audit[[#This Row],[Audit Candidate 11]]-Audit[[#This Row],[Candidate 11]], "")</f>
        <v/>
      </c>
      <c r="AP839" s="18" t="str">
        <f>IF(NOT(ISBLANK(Audit[[#This Row],[Audit Candidate 12]])), Audit[[#This Row],[Audit Candidate 12]]-Audit[[#This Row],[Candidate 12]], "")</f>
        <v/>
      </c>
      <c r="AQ839" s="18">
        <f>SUMIF(Audit[[#This Row],[Difference Winner]:[Difference Candidate 12]], "&gt;0")</f>
        <v>0</v>
      </c>
      <c r="AR839" s="18">
        <f>SUM(Audit[[#This Row],[Difference Winner]:[Difference Candidate 12]])</f>
        <v>0</v>
      </c>
      <c r="AS839" s="18">
        <f>IF(Audit[[#This Row],[Times p Drawn - With Replacement]]&gt;0, IF(Audit[[#This Row],[Canceled Differences]]&lt;0, Audit[[#This Row],[Max Differences]]+ABS(Audit[[#This Row],[Canceled Differences]]), Audit[[#This Row],[Max Differences]]), 0)</f>
        <v>0</v>
      </c>
      <c r="AT839" s="18">
        <f>'Sampling Data'!AB839</f>
        <v>8.1665986116782364E-4</v>
      </c>
      <c r="AU839" s="18">
        <f>IF(
      SUM(Audit[[#This Row],[Audit Losing Candidate]:[Audit Candidate 12]])
      &lt;&gt;0,
      (Audit[[#This Row],[Winning Candidate]]-Audit[[#This Row],[Losing Candidate]]-(Audit[[#This Row],[Audit Winning Candidate]]-Audit[[#This Row],[Audit Losing Candidate]]))/(Audit[[#Totals],[Winning Candidate]]-Audit[[#Totals],[Losing Candidate]]),
      0
)</f>
        <v>0</v>
      </c>
      <c r="AV8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8">
        <f>IF(Audit[[#This Row],[Max Relative Error (ep)]] = 0, 0, Audit[[#This Row],[Max Relative Error (ep)]]/Audit[[#This Row],[Error Bound (up) - Max. possible relative overstatement]])</f>
        <v>0</v>
      </c>
      <c r="BH8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39" s="18">
        <f t="shared" si="13"/>
        <v>1</v>
      </c>
      <c r="BJ839" s="18">
        <f>PRODUCT($BI$5:BI839)</f>
        <v>0.32656797278968008</v>
      </c>
      <c r="BK839" s="20">
        <f>1 - Audit[[#This Row],[K-M P Value]]</f>
        <v>0.67343202721031992</v>
      </c>
      <c r="BL839" s="18" t="str">
        <f>IF(Audit[[#This Row],[K-M P Value]]&gt;1-'General Info'!$B$12,"Continue", "Stop")</f>
        <v>Continue</v>
      </c>
      <c r="BM839" s="23" t="b">
        <f>IF(Audit[[#This Row],[Status - Continue or stop audit]] = "Continue", TRUE, IF(BL838 = "Continue", TRUE, FALSE))</f>
        <v>1</v>
      </c>
      <c r="BN839" s="23"/>
    </row>
    <row r="840" spans="1:66" ht="15" hidden="1" customHeight="1" x14ac:dyDescent="0.35">
      <c r="A840" s="18" t="str">
        <f>'Sampling Data'!AI840</f>
        <v/>
      </c>
      <c r="B840" s="18" t="str">
        <f>'Sampling Data'!A840</f>
        <v>4412 NORW 1-B   (ED)</v>
      </c>
      <c r="C840" s="18">
        <f>'Sampling Data'!B840</f>
        <v>36</v>
      </c>
      <c r="D840" s="18">
        <f>'Sampling Data'!C840</f>
        <v>3</v>
      </c>
      <c r="E840" s="19">
        <f>'Sampling Data'!D840</f>
        <v>0</v>
      </c>
      <c r="F840" s="19">
        <f>'Sampling Data'!E840</f>
        <v>0</v>
      </c>
      <c r="G840" s="19">
        <f>'Sampling Data'!F840</f>
        <v>0</v>
      </c>
      <c r="H840" s="19">
        <f>'Sampling Data'!G840</f>
        <v>0</v>
      </c>
      <c r="I840" s="19">
        <f>'Sampling Data'!H840</f>
        <v>0</v>
      </c>
      <c r="J840" s="19">
        <f>'Sampling Data'!I840</f>
        <v>0</v>
      </c>
      <c r="K840" s="19">
        <f>'Sampling Data'!J840</f>
        <v>0</v>
      </c>
      <c r="L840" s="19">
        <f>'Sampling Data'!K840</f>
        <v>0</v>
      </c>
      <c r="M840" s="19">
        <f>'Sampling Data'!L840</f>
        <v>0</v>
      </c>
      <c r="N840" s="19">
        <f>'Sampling Data'!M840</f>
        <v>0</v>
      </c>
      <c r="O840" s="18">
        <f>'Sampling Data'!N840</f>
        <v>0</v>
      </c>
      <c r="P840" s="18">
        <f>'Sampling Data'!O840</f>
        <v>1</v>
      </c>
      <c r="Q840" s="18">
        <f>'Sampling Data'!P840</f>
        <v>40</v>
      </c>
      <c r="R840" s="18">
        <f>'Sampling Data'!AJ840</f>
        <v>0</v>
      </c>
      <c r="S840" s="112"/>
      <c r="T840" s="112"/>
      <c r="U840" s="113"/>
      <c r="V840" s="113"/>
      <c r="W840" s="112"/>
      <c r="X840" s="112"/>
      <c r="Y840" s="112"/>
      <c r="Z840" s="112"/>
      <c r="AA840" s="15"/>
      <c r="AB840" s="15"/>
      <c r="AC840" s="15"/>
      <c r="AD840" s="15"/>
      <c r="AE840" s="114" t="str">
        <f>IF(NOT(ISBLANK(Audit[[#This Row],[Audit Winning Candidate]])), Audit[[#This Row],[Audit Winning Candidate]]-Audit[[#This Row],[Winning Candidate]], "")</f>
        <v/>
      </c>
      <c r="AF840" s="18" t="str">
        <f>IF(NOT(ISBLANK(Audit[[#This Row],[Audit Losing Candidate]])), Audit[[#This Row],[Audit Losing Candidate]]-Audit[[#This Row],[Losing Candidate]], "")</f>
        <v/>
      </c>
      <c r="AG840" s="18" t="str">
        <f>IF(NOT(ISBLANK(Audit[[#This Row],[Audit Candidate 3]])), Audit[[#This Row],[Audit Candidate 3]]-Audit[[#This Row],[Candidate 3]], "")</f>
        <v/>
      </c>
      <c r="AH840" s="18" t="str">
        <f>IF(NOT(ISBLANK(Audit[[#This Row],[Audit Candidate 4]])),Audit[[#This Row],[Audit Candidate 4]]-Audit[[#This Row],[Candidate 4]], "")</f>
        <v/>
      </c>
      <c r="AI840" s="18" t="str">
        <f>IF(NOT(ISBLANK(Audit[[#This Row],[Audit Candidate 5]])), Audit[[#This Row],[Audit Candidate 5]]-Audit[[#This Row],[Candidate 5]], "")</f>
        <v/>
      </c>
      <c r="AJ840" s="18" t="str">
        <f>IF(NOT(ISBLANK(Audit[[#This Row],[Audit Candidate 6]])), Audit[[#This Row],[Audit Candidate 6]]-Audit[[#This Row],[Candidate 6]], "")</f>
        <v/>
      </c>
      <c r="AK840" s="18" t="str">
        <f>IF(NOT(ISBLANK(Audit[[#This Row],[Audit Candidate 7]])), Audit[[#This Row],[Audit Candidate 7]]-Audit[[#This Row],[Candidate 7]], "")</f>
        <v/>
      </c>
      <c r="AL840" s="18" t="str">
        <f>IF(NOT(ISBLANK(Audit[[#This Row],[Audit Candidate 8]])), Audit[[#This Row],[Audit Candidate 8]]-Audit[[#This Row],[Candidate 8]], "")</f>
        <v/>
      </c>
      <c r="AM840" s="18" t="str">
        <f>IF(NOT(ISBLANK(Audit[[#This Row],[Audit Candidate 9]])), Audit[[#This Row],[Audit Candidate 9]]-Audit[[#This Row],[Candidate 9]], "")</f>
        <v/>
      </c>
      <c r="AN840" s="18" t="str">
        <f>IF(NOT(ISBLANK(Audit[[#This Row],[Audit Candidate 10]])), Audit[[#This Row],[Audit Candidate 10]]-Audit[[#This Row],[Candidate 10]], "")</f>
        <v/>
      </c>
      <c r="AO840" s="18" t="str">
        <f>IF(NOT(ISBLANK(Audit[[#This Row],[Audit Candidate 11]])), Audit[[#This Row],[Audit Candidate 11]]-Audit[[#This Row],[Candidate 11]], "")</f>
        <v/>
      </c>
      <c r="AP840" s="18" t="str">
        <f>IF(NOT(ISBLANK(Audit[[#This Row],[Audit Candidate 12]])), Audit[[#This Row],[Audit Candidate 12]]-Audit[[#This Row],[Candidate 12]], "")</f>
        <v/>
      </c>
      <c r="AQ840" s="18">
        <f>SUMIF(Audit[[#This Row],[Difference Winner]:[Difference Candidate 12]], "&gt;0")</f>
        <v>0</v>
      </c>
      <c r="AR840" s="18">
        <f>SUM(Audit[[#This Row],[Difference Winner]:[Difference Candidate 12]])</f>
        <v>0</v>
      </c>
      <c r="AS840" s="18">
        <f>IF(Audit[[#This Row],[Times p Drawn - With Replacement]]&gt;0, IF(Audit[[#This Row],[Canceled Differences]]&lt;0, Audit[[#This Row],[Max Differences]]+ABS(Audit[[#This Row],[Canceled Differences]]), Audit[[#This Row],[Max Differences]]), 0)</f>
        <v>0</v>
      </c>
      <c r="AT840" s="18">
        <f>'Sampling Data'!AB840</f>
        <v>2.2929296102019662E-3</v>
      </c>
      <c r="AU840" s="18">
        <f>IF(
      SUM(Audit[[#This Row],[Audit Losing Candidate]:[Audit Candidate 12]])
      &lt;&gt;0,
      (Audit[[#This Row],[Winning Candidate]]-Audit[[#This Row],[Losing Candidate]]-(Audit[[#This Row],[Audit Winning Candidate]]-Audit[[#This Row],[Audit Losing Candidate]]))/(Audit[[#Totals],[Winning Candidate]]-Audit[[#Totals],[Losing Candidate]]),
      0
)</f>
        <v>0</v>
      </c>
      <c r="AV8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8">
        <f>IF(Audit[[#This Row],[Max Relative Error (ep)]] = 0, 0, Audit[[#This Row],[Max Relative Error (ep)]]/Audit[[#This Row],[Error Bound (up) - Max. possible relative overstatement]])</f>
        <v>0</v>
      </c>
      <c r="BH8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0" s="18">
        <f t="shared" si="13"/>
        <v>1</v>
      </c>
      <c r="BJ840" s="18">
        <f>PRODUCT($BI$5:BI840)</f>
        <v>0.32656797278968008</v>
      </c>
      <c r="BK840" s="20">
        <f>1 - Audit[[#This Row],[K-M P Value]]</f>
        <v>0.67343202721031992</v>
      </c>
      <c r="BL840" s="18" t="str">
        <f>IF(Audit[[#This Row],[K-M P Value]]&gt;1-'General Info'!$B$12,"Continue", "Stop")</f>
        <v>Continue</v>
      </c>
      <c r="BM840" s="23" t="b">
        <f>IF(Audit[[#This Row],[Status - Continue or stop audit]] = "Continue", TRUE, IF(BL839 = "Continue", TRUE, FALSE))</f>
        <v>1</v>
      </c>
      <c r="BN840" s="23"/>
    </row>
    <row r="841" spans="1:66" ht="15" hidden="1" customHeight="1" x14ac:dyDescent="0.35">
      <c r="A841" s="18" t="str">
        <f>'Sampling Data'!AI841</f>
        <v/>
      </c>
      <c r="B841" s="18" t="str">
        <f>'Sampling Data'!A841</f>
        <v>4413 NORW 1-C   (ED)</v>
      </c>
      <c r="C841" s="18">
        <f>'Sampling Data'!B841</f>
        <v>24</v>
      </c>
      <c r="D841" s="18">
        <f>'Sampling Data'!C841</f>
        <v>5</v>
      </c>
      <c r="E841" s="19">
        <f>'Sampling Data'!D841</f>
        <v>0</v>
      </c>
      <c r="F841" s="19">
        <f>'Sampling Data'!E841</f>
        <v>0</v>
      </c>
      <c r="G841" s="19">
        <f>'Sampling Data'!F841</f>
        <v>0</v>
      </c>
      <c r="H841" s="19">
        <f>'Sampling Data'!G841</f>
        <v>0</v>
      </c>
      <c r="I841" s="19">
        <f>'Sampling Data'!H841</f>
        <v>0</v>
      </c>
      <c r="J841" s="19">
        <f>'Sampling Data'!I841</f>
        <v>0</v>
      </c>
      <c r="K841" s="19">
        <f>'Sampling Data'!J841</f>
        <v>0</v>
      </c>
      <c r="L841" s="19">
        <f>'Sampling Data'!K841</f>
        <v>0</v>
      </c>
      <c r="M841" s="19">
        <f>'Sampling Data'!L841</f>
        <v>0</v>
      </c>
      <c r="N841" s="19">
        <f>'Sampling Data'!M841</f>
        <v>0</v>
      </c>
      <c r="O841" s="18">
        <f>'Sampling Data'!N841</f>
        <v>0</v>
      </c>
      <c r="P841" s="18">
        <f>'Sampling Data'!O841</f>
        <v>0</v>
      </c>
      <c r="Q841" s="18">
        <f>'Sampling Data'!P841</f>
        <v>29</v>
      </c>
      <c r="R841" s="18">
        <f>'Sampling Data'!AJ841</f>
        <v>0</v>
      </c>
      <c r="S841" s="112"/>
      <c r="T841" s="112"/>
      <c r="U841" s="113"/>
      <c r="V841" s="113"/>
      <c r="W841" s="112"/>
      <c r="X841" s="112"/>
      <c r="Y841" s="112"/>
      <c r="Z841" s="112"/>
      <c r="AA841" s="15"/>
      <c r="AB841" s="15"/>
      <c r="AC841" s="15"/>
      <c r="AD841" s="15"/>
      <c r="AE841" s="114" t="str">
        <f>IF(NOT(ISBLANK(Audit[[#This Row],[Audit Winning Candidate]])), Audit[[#This Row],[Audit Winning Candidate]]-Audit[[#This Row],[Winning Candidate]], "")</f>
        <v/>
      </c>
      <c r="AF841" s="18" t="str">
        <f>IF(NOT(ISBLANK(Audit[[#This Row],[Audit Losing Candidate]])), Audit[[#This Row],[Audit Losing Candidate]]-Audit[[#This Row],[Losing Candidate]], "")</f>
        <v/>
      </c>
      <c r="AG841" s="18" t="str">
        <f>IF(NOT(ISBLANK(Audit[[#This Row],[Audit Candidate 3]])), Audit[[#This Row],[Audit Candidate 3]]-Audit[[#This Row],[Candidate 3]], "")</f>
        <v/>
      </c>
      <c r="AH841" s="18" t="str">
        <f>IF(NOT(ISBLANK(Audit[[#This Row],[Audit Candidate 4]])),Audit[[#This Row],[Audit Candidate 4]]-Audit[[#This Row],[Candidate 4]], "")</f>
        <v/>
      </c>
      <c r="AI841" s="18" t="str">
        <f>IF(NOT(ISBLANK(Audit[[#This Row],[Audit Candidate 5]])), Audit[[#This Row],[Audit Candidate 5]]-Audit[[#This Row],[Candidate 5]], "")</f>
        <v/>
      </c>
      <c r="AJ841" s="18" t="str">
        <f>IF(NOT(ISBLANK(Audit[[#This Row],[Audit Candidate 6]])), Audit[[#This Row],[Audit Candidate 6]]-Audit[[#This Row],[Candidate 6]], "")</f>
        <v/>
      </c>
      <c r="AK841" s="18" t="str">
        <f>IF(NOT(ISBLANK(Audit[[#This Row],[Audit Candidate 7]])), Audit[[#This Row],[Audit Candidate 7]]-Audit[[#This Row],[Candidate 7]], "")</f>
        <v/>
      </c>
      <c r="AL841" s="18" t="str">
        <f>IF(NOT(ISBLANK(Audit[[#This Row],[Audit Candidate 8]])), Audit[[#This Row],[Audit Candidate 8]]-Audit[[#This Row],[Candidate 8]], "")</f>
        <v/>
      </c>
      <c r="AM841" s="18" t="str">
        <f>IF(NOT(ISBLANK(Audit[[#This Row],[Audit Candidate 9]])), Audit[[#This Row],[Audit Candidate 9]]-Audit[[#This Row],[Candidate 9]], "")</f>
        <v/>
      </c>
      <c r="AN841" s="18" t="str">
        <f>IF(NOT(ISBLANK(Audit[[#This Row],[Audit Candidate 10]])), Audit[[#This Row],[Audit Candidate 10]]-Audit[[#This Row],[Candidate 10]], "")</f>
        <v/>
      </c>
      <c r="AO841" s="18" t="str">
        <f>IF(NOT(ISBLANK(Audit[[#This Row],[Audit Candidate 11]])), Audit[[#This Row],[Audit Candidate 11]]-Audit[[#This Row],[Candidate 11]], "")</f>
        <v/>
      </c>
      <c r="AP841" s="18" t="str">
        <f>IF(NOT(ISBLANK(Audit[[#This Row],[Audit Candidate 12]])), Audit[[#This Row],[Audit Candidate 12]]-Audit[[#This Row],[Candidate 12]], "")</f>
        <v/>
      </c>
      <c r="AQ841" s="18">
        <f>SUMIF(Audit[[#This Row],[Difference Winner]:[Difference Candidate 12]], "&gt;0")</f>
        <v>0</v>
      </c>
      <c r="AR841" s="18">
        <f>SUM(Audit[[#This Row],[Difference Winner]:[Difference Candidate 12]])</f>
        <v>0</v>
      </c>
      <c r="AS841" s="18">
        <f>IF(Audit[[#This Row],[Times p Drawn - With Replacement]]&gt;0, IF(Audit[[#This Row],[Canceled Differences]]&lt;0, Audit[[#This Row],[Max Differences]]+ABS(Audit[[#This Row],[Canceled Differences]]), Audit[[#This Row],[Max Differences]]), 0)</f>
        <v>0</v>
      </c>
      <c r="AT841" s="18">
        <f>'Sampling Data'!AB841</f>
        <v>1.5076797436944435E-3</v>
      </c>
      <c r="AU841" s="18">
        <f>IF(
      SUM(Audit[[#This Row],[Audit Losing Candidate]:[Audit Candidate 12]])
      &lt;&gt;0,
      (Audit[[#This Row],[Winning Candidate]]-Audit[[#This Row],[Losing Candidate]]-(Audit[[#This Row],[Audit Winning Candidate]]-Audit[[#This Row],[Audit Losing Candidate]]))/(Audit[[#Totals],[Winning Candidate]]-Audit[[#Totals],[Losing Candidate]]),
      0
)</f>
        <v>0</v>
      </c>
      <c r="AV8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8">
        <f>IF(Audit[[#This Row],[Max Relative Error (ep)]] = 0, 0, Audit[[#This Row],[Max Relative Error (ep)]]/Audit[[#This Row],[Error Bound (up) - Max. possible relative overstatement]])</f>
        <v>0</v>
      </c>
      <c r="BH8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1" s="18">
        <f t="shared" si="13"/>
        <v>1</v>
      </c>
      <c r="BJ841" s="18">
        <f>PRODUCT($BI$5:BI841)</f>
        <v>0.32656797278968008</v>
      </c>
      <c r="BK841" s="20">
        <f>1 - Audit[[#This Row],[K-M P Value]]</f>
        <v>0.67343202721031992</v>
      </c>
      <c r="BL841" s="18" t="str">
        <f>IF(Audit[[#This Row],[K-M P Value]]&gt;1-'General Info'!$B$12,"Continue", "Stop")</f>
        <v>Continue</v>
      </c>
      <c r="BM841" s="23" t="b">
        <f>IF(Audit[[#This Row],[Status - Continue or stop audit]] = "Continue", TRUE, IF(BL840 = "Continue", TRUE, FALSE))</f>
        <v>1</v>
      </c>
      <c r="BN841" s="23"/>
    </row>
    <row r="842" spans="1:66" ht="15" hidden="1" customHeight="1" x14ac:dyDescent="0.35">
      <c r="A842" s="18" t="str">
        <f>'Sampling Data'!AI842</f>
        <v/>
      </c>
      <c r="B842" s="18" t="str">
        <f>'Sampling Data'!A842</f>
        <v>4421 NORW 2-A   (ED)</v>
      </c>
      <c r="C842" s="18">
        <f>'Sampling Data'!B842</f>
        <v>47</v>
      </c>
      <c r="D842" s="18">
        <f>'Sampling Data'!C842</f>
        <v>9</v>
      </c>
      <c r="E842" s="19">
        <f>'Sampling Data'!D842</f>
        <v>0</v>
      </c>
      <c r="F842" s="19">
        <f>'Sampling Data'!E842</f>
        <v>0</v>
      </c>
      <c r="G842" s="19">
        <f>'Sampling Data'!F842</f>
        <v>0</v>
      </c>
      <c r="H842" s="19">
        <f>'Sampling Data'!G842</f>
        <v>0</v>
      </c>
      <c r="I842" s="19">
        <f>'Sampling Data'!H842</f>
        <v>0</v>
      </c>
      <c r="J842" s="19">
        <f>'Sampling Data'!I842</f>
        <v>0</v>
      </c>
      <c r="K842" s="19">
        <f>'Sampling Data'!J842</f>
        <v>0</v>
      </c>
      <c r="L842" s="19">
        <f>'Sampling Data'!K842</f>
        <v>0</v>
      </c>
      <c r="M842" s="19">
        <f>'Sampling Data'!L842</f>
        <v>0</v>
      </c>
      <c r="N842" s="19">
        <f>'Sampling Data'!M842</f>
        <v>0</v>
      </c>
      <c r="O842" s="18">
        <f>'Sampling Data'!N842</f>
        <v>0</v>
      </c>
      <c r="P842" s="18">
        <f>'Sampling Data'!O842</f>
        <v>3</v>
      </c>
      <c r="Q842" s="18">
        <f>'Sampling Data'!P842</f>
        <v>59</v>
      </c>
      <c r="R842" s="18">
        <f>'Sampling Data'!AJ842</f>
        <v>0</v>
      </c>
      <c r="S842" s="112"/>
      <c r="T842" s="112"/>
      <c r="U842" s="113"/>
      <c r="V842" s="113"/>
      <c r="W842" s="112"/>
      <c r="X842" s="112"/>
      <c r="Y842" s="112"/>
      <c r="Z842" s="112"/>
      <c r="AA842" s="15"/>
      <c r="AB842" s="15"/>
      <c r="AC842" s="15"/>
      <c r="AD842" s="15"/>
      <c r="AE842" s="114" t="str">
        <f>IF(NOT(ISBLANK(Audit[[#This Row],[Audit Winning Candidate]])), Audit[[#This Row],[Audit Winning Candidate]]-Audit[[#This Row],[Winning Candidate]], "")</f>
        <v/>
      </c>
      <c r="AF842" s="18" t="str">
        <f>IF(NOT(ISBLANK(Audit[[#This Row],[Audit Losing Candidate]])), Audit[[#This Row],[Audit Losing Candidate]]-Audit[[#This Row],[Losing Candidate]], "")</f>
        <v/>
      </c>
      <c r="AG842" s="18" t="str">
        <f>IF(NOT(ISBLANK(Audit[[#This Row],[Audit Candidate 3]])), Audit[[#This Row],[Audit Candidate 3]]-Audit[[#This Row],[Candidate 3]], "")</f>
        <v/>
      </c>
      <c r="AH842" s="18" t="str">
        <f>IF(NOT(ISBLANK(Audit[[#This Row],[Audit Candidate 4]])),Audit[[#This Row],[Audit Candidate 4]]-Audit[[#This Row],[Candidate 4]], "")</f>
        <v/>
      </c>
      <c r="AI842" s="18" t="str">
        <f>IF(NOT(ISBLANK(Audit[[#This Row],[Audit Candidate 5]])), Audit[[#This Row],[Audit Candidate 5]]-Audit[[#This Row],[Candidate 5]], "")</f>
        <v/>
      </c>
      <c r="AJ842" s="18" t="str">
        <f>IF(NOT(ISBLANK(Audit[[#This Row],[Audit Candidate 6]])), Audit[[#This Row],[Audit Candidate 6]]-Audit[[#This Row],[Candidate 6]], "")</f>
        <v/>
      </c>
      <c r="AK842" s="18" t="str">
        <f>IF(NOT(ISBLANK(Audit[[#This Row],[Audit Candidate 7]])), Audit[[#This Row],[Audit Candidate 7]]-Audit[[#This Row],[Candidate 7]], "")</f>
        <v/>
      </c>
      <c r="AL842" s="18" t="str">
        <f>IF(NOT(ISBLANK(Audit[[#This Row],[Audit Candidate 8]])), Audit[[#This Row],[Audit Candidate 8]]-Audit[[#This Row],[Candidate 8]], "")</f>
        <v/>
      </c>
      <c r="AM842" s="18" t="str">
        <f>IF(NOT(ISBLANK(Audit[[#This Row],[Audit Candidate 9]])), Audit[[#This Row],[Audit Candidate 9]]-Audit[[#This Row],[Candidate 9]], "")</f>
        <v/>
      </c>
      <c r="AN842" s="18" t="str">
        <f>IF(NOT(ISBLANK(Audit[[#This Row],[Audit Candidate 10]])), Audit[[#This Row],[Audit Candidate 10]]-Audit[[#This Row],[Candidate 10]], "")</f>
        <v/>
      </c>
      <c r="AO842" s="18" t="str">
        <f>IF(NOT(ISBLANK(Audit[[#This Row],[Audit Candidate 11]])), Audit[[#This Row],[Audit Candidate 11]]-Audit[[#This Row],[Candidate 11]], "")</f>
        <v/>
      </c>
      <c r="AP842" s="18" t="str">
        <f>IF(NOT(ISBLANK(Audit[[#This Row],[Audit Candidate 12]])), Audit[[#This Row],[Audit Candidate 12]]-Audit[[#This Row],[Candidate 12]], "")</f>
        <v/>
      </c>
      <c r="AQ842" s="18">
        <f>SUMIF(Audit[[#This Row],[Difference Winner]:[Difference Candidate 12]], "&gt;0")</f>
        <v>0</v>
      </c>
      <c r="AR842" s="18">
        <f>SUM(Audit[[#This Row],[Difference Winner]:[Difference Candidate 12]])</f>
        <v>0</v>
      </c>
      <c r="AS842" s="18">
        <f>IF(Audit[[#This Row],[Times p Drawn - With Replacement]]&gt;0, IF(Audit[[#This Row],[Canceled Differences]]&lt;0, Audit[[#This Row],[Max Differences]]+ABS(Audit[[#This Row],[Canceled Differences]]), Audit[[#This Row],[Max Differences]]), 0)</f>
        <v>0</v>
      </c>
      <c r="AT842" s="18">
        <f>'Sampling Data'!AB842</f>
        <v>3.0467694820491878E-3</v>
      </c>
      <c r="AU842" s="18">
        <f>IF(
      SUM(Audit[[#This Row],[Audit Losing Candidate]:[Audit Candidate 12]])
      &lt;&gt;0,
      (Audit[[#This Row],[Winning Candidate]]-Audit[[#This Row],[Losing Candidate]]-(Audit[[#This Row],[Audit Winning Candidate]]-Audit[[#This Row],[Audit Losing Candidate]]))/(Audit[[#Totals],[Winning Candidate]]-Audit[[#Totals],[Losing Candidate]]),
      0
)</f>
        <v>0</v>
      </c>
      <c r="AV8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8">
        <f>IF(Audit[[#This Row],[Max Relative Error (ep)]] = 0, 0, Audit[[#This Row],[Max Relative Error (ep)]]/Audit[[#This Row],[Error Bound (up) - Max. possible relative overstatement]])</f>
        <v>0</v>
      </c>
      <c r="BH8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2" s="18">
        <f t="shared" si="13"/>
        <v>1</v>
      </c>
      <c r="BJ842" s="18">
        <f>PRODUCT($BI$5:BI842)</f>
        <v>0.32656797278968008</v>
      </c>
      <c r="BK842" s="20">
        <f>1 - Audit[[#This Row],[K-M P Value]]</f>
        <v>0.67343202721031992</v>
      </c>
      <c r="BL842" s="18" t="str">
        <f>IF(Audit[[#This Row],[K-M P Value]]&gt;1-'General Info'!$B$12,"Continue", "Stop")</f>
        <v>Continue</v>
      </c>
      <c r="BM842" s="23" t="b">
        <f>IF(Audit[[#This Row],[Status - Continue or stop audit]] = "Continue", TRUE, IF(BL841 = "Continue", TRUE, FALSE))</f>
        <v>1</v>
      </c>
      <c r="BN842" s="23"/>
    </row>
    <row r="843" spans="1:66" ht="15" hidden="1" customHeight="1" x14ac:dyDescent="0.35">
      <c r="A843" s="18" t="str">
        <f>'Sampling Data'!AI843</f>
        <v/>
      </c>
      <c r="B843" s="18" t="str">
        <f>'Sampling Data'!A843</f>
        <v>4422 NORW 2-B   (ED)</v>
      </c>
      <c r="C843" s="18">
        <f>'Sampling Data'!B843</f>
        <v>35</v>
      </c>
      <c r="D843" s="18">
        <f>'Sampling Data'!C843</f>
        <v>8</v>
      </c>
      <c r="E843" s="19">
        <f>'Sampling Data'!D843</f>
        <v>0</v>
      </c>
      <c r="F843" s="19">
        <f>'Sampling Data'!E843</f>
        <v>0</v>
      </c>
      <c r="G843" s="19">
        <f>'Sampling Data'!F843</f>
        <v>0</v>
      </c>
      <c r="H843" s="19">
        <f>'Sampling Data'!G843</f>
        <v>0</v>
      </c>
      <c r="I843" s="19">
        <f>'Sampling Data'!H843</f>
        <v>0</v>
      </c>
      <c r="J843" s="19">
        <f>'Sampling Data'!I843</f>
        <v>0</v>
      </c>
      <c r="K843" s="19">
        <f>'Sampling Data'!J843</f>
        <v>0</v>
      </c>
      <c r="L843" s="19">
        <f>'Sampling Data'!K843</f>
        <v>0</v>
      </c>
      <c r="M843" s="19">
        <f>'Sampling Data'!L843</f>
        <v>0</v>
      </c>
      <c r="N843" s="19">
        <f>'Sampling Data'!M843</f>
        <v>0</v>
      </c>
      <c r="O843" s="18">
        <f>'Sampling Data'!N843</f>
        <v>0</v>
      </c>
      <c r="P843" s="18">
        <f>'Sampling Data'!O843</f>
        <v>1</v>
      </c>
      <c r="Q843" s="18">
        <f>'Sampling Data'!P843</f>
        <v>44</v>
      </c>
      <c r="R843" s="18">
        <f>'Sampling Data'!AJ843</f>
        <v>0</v>
      </c>
      <c r="S843" s="112"/>
      <c r="T843" s="112"/>
      <c r="U843" s="113"/>
      <c r="V843" s="113"/>
      <c r="W843" s="112"/>
      <c r="X843" s="112"/>
      <c r="Y843" s="112"/>
      <c r="Z843" s="112"/>
      <c r="AA843" s="15"/>
      <c r="AB843" s="15"/>
      <c r="AC843" s="15"/>
      <c r="AD843" s="15"/>
      <c r="AE843" s="114" t="str">
        <f>IF(NOT(ISBLANK(Audit[[#This Row],[Audit Winning Candidate]])), Audit[[#This Row],[Audit Winning Candidate]]-Audit[[#This Row],[Winning Candidate]], "")</f>
        <v/>
      </c>
      <c r="AF843" s="18" t="str">
        <f>IF(NOT(ISBLANK(Audit[[#This Row],[Audit Losing Candidate]])), Audit[[#This Row],[Audit Losing Candidate]]-Audit[[#This Row],[Losing Candidate]], "")</f>
        <v/>
      </c>
      <c r="AG843" s="18" t="str">
        <f>IF(NOT(ISBLANK(Audit[[#This Row],[Audit Candidate 3]])), Audit[[#This Row],[Audit Candidate 3]]-Audit[[#This Row],[Candidate 3]], "")</f>
        <v/>
      </c>
      <c r="AH843" s="18" t="str">
        <f>IF(NOT(ISBLANK(Audit[[#This Row],[Audit Candidate 4]])),Audit[[#This Row],[Audit Candidate 4]]-Audit[[#This Row],[Candidate 4]], "")</f>
        <v/>
      </c>
      <c r="AI843" s="18" t="str">
        <f>IF(NOT(ISBLANK(Audit[[#This Row],[Audit Candidate 5]])), Audit[[#This Row],[Audit Candidate 5]]-Audit[[#This Row],[Candidate 5]], "")</f>
        <v/>
      </c>
      <c r="AJ843" s="18" t="str">
        <f>IF(NOT(ISBLANK(Audit[[#This Row],[Audit Candidate 6]])), Audit[[#This Row],[Audit Candidate 6]]-Audit[[#This Row],[Candidate 6]], "")</f>
        <v/>
      </c>
      <c r="AK843" s="18" t="str">
        <f>IF(NOT(ISBLANK(Audit[[#This Row],[Audit Candidate 7]])), Audit[[#This Row],[Audit Candidate 7]]-Audit[[#This Row],[Candidate 7]], "")</f>
        <v/>
      </c>
      <c r="AL843" s="18" t="str">
        <f>IF(NOT(ISBLANK(Audit[[#This Row],[Audit Candidate 8]])), Audit[[#This Row],[Audit Candidate 8]]-Audit[[#This Row],[Candidate 8]], "")</f>
        <v/>
      </c>
      <c r="AM843" s="18" t="str">
        <f>IF(NOT(ISBLANK(Audit[[#This Row],[Audit Candidate 9]])), Audit[[#This Row],[Audit Candidate 9]]-Audit[[#This Row],[Candidate 9]], "")</f>
        <v/>
      </c>
      <c r="AN843" s="18" t="str">
        <f>IF(NOT(ISBLANK(Audit[[#This Row],[Audit Candidate 10]])), Audit[[#This Row],[Audit Candidate 10]]-Audit[[#This Row],[Candidate 10]], "")</f>
        <v/>
      </c>
      <c r="AO843" s="18" t="str">
        <f>IF(NOT(ISBLANK(Audit[[#This Row],[Audit Candidate 11]])), Audit[[#This Row],[Audit Candidate 11]]-Audit[[#This Row],[Candidate 11]], "")</f>
        <v/>
      </c>
      <c r="AP843" s="18" t="str">
        <f>IF(NOT(ISBLANK(Audit[[#This Row],[Audit Candidate 12]])), Audit[[#This Row],[Audit Candidate 12]]-Audit[[#This Row],[Candidate 12]], "")</f>
        <v/>
      </c>
      <c r="AQ843" s="18">
        <f>SUMIF(Audit[[#This Row],[Difference Winner]:[Difference Candidate 12]], "&gt;0")</f>
        <v>0</v>
      </c>
      <c r="AR843" s="18">
        <f>SUM(Audit[[#This Row],[Difference Winner]:[Difference Candidate 12]])</f>
        <v>0</v>
      </c>
      <c r="AS843" s="18">
        <f>IF(Audit[[#This Row],[Times p Drawn - With Replacement]]&gt;0, IF(Audit[[#This Row],[Canceled Differences]]&lt;0, Audit[[#This Row],[Max Differences]]+ABS(Audit[[#This Row],[Canceled Differences]]), Audit[[#This Row],[Max Differences]]), 0)</f>
        <v>0</v>
      </c>
      <c r="AT843" s="18">
        <f>'Sampling Data'!AB843</f>
        <v>2.2301096208813646E-3</v>
      </c>
      <c r="AU843" s="18">
        <f>IF(
      SUM(Audit[[#This Row],[Audit Losing Candidate]:[Audit Candidate 12]])
      &lt;&gt;0,
      (Audit[[#This Row],[Winning Candidate]]-Audit[[#This Row],[Losing Candidate]]-(Audit[[#This Row],[Audit Winning Candidate]]-Audit[[#This Row],[Audit Losing Candidate]]))/(Audit[[#Totals],[Winning Candidate]]-Audit[[#Totals],[Losing Candidate]]),
      0
)</f>
        <v>0</v>
      </c>
      <c r="AV8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8">
        <f>IF(Audit[[#This Row],[Max Relative Error (ep)]] = 0, 0, Audit[[#This Row],[Max Relative Error (ep)]]/Audit[[#This Row],[Error Bound (up) - Max. possible relative overstatement]])</f>
        <v>0</v>
      </c>
      <c r="BH8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3" s="18">
        <f t="shared" si="13"/>
        <v>1</v>
      </c>
      <c r="BJ843" s="18">
        <f>PRODUCT($BI$5:BI843)</f>
        <v>0.32656797278968008</v>
      </c>
      <c r="BK843" s="20">
        <f>1 - Audit[[#This Row],[K-M P Value]]</f>
        <v>0.67343202721031992</v>
      </c>
      <c r="BL843" s="18" t="str">
        <f>IF(Audit[[#This Row],[K-M P Value]]&gt;1-'General Info'!$B$12,"Continue", "Stop")</f>
        <v>Continue</v>
      </c>
      <c r="BM843" s="23" t="b">
        <f>IF(Audit[[#This Row],[Status - Continue or stop audit]] = "Continue", TRUE, IF(BL842 = "Continue", TRUE, FALSE))</f>
        <v>1</v>
      </c>
      <c r="BN843" s="23"/>
    </row>
    <row r="844" spans="1:66" ht="15" hidden="1" customHeight="1" x14ac:dyDescent="0.35">
      <c r="A844" s="18" t="str">
        <f>'Sampling Data'!AI844</f>
        <v/>
      </c>
      <c r="B844" s="18" t="str">
        <f>'Sampling Data'!A844</f>
        <v>4423 NORW 2-C   (ED)</v>
      </c>
      <c r="C844" s="18">
        <f>'Sampling Data'!B844</f>
        <v>29</v>
      </c>
      <c r="D844" s="18">
        <f>'Sampling Data'!C844</f>
        <v>8</v>
      </c>
      <c r="E844" s="19">
        <f>'Sampling Data'!D844</f>
        <v>0</v>
      </c>
      <c r="F844" s="19">
        <f>'Sampling Data'!E844</f>
        <v>0</v>
      </c>
      <c r="G844" s="19">
        <f>'Sampling Data'!F844</f>
        <v>0</v>
      </c>
      <c r="H844" s="19">
        <f>'Sampling Data'!G844</f>
        <v>0</v>
      </c>
      <c r="I844" s="19">
        <f>'Sampling Data'!H844</f>
        <v>0</v>
      </c>
      <c r="J844" s="19">
        <f>'Sampling Data'!I844</f>
        <v>0</v>
      </c>
      <c r="K844" s="19">
        <f>'Sampling Data'!J844</f>
        <v>0</v>
      </c>
      <c r="L844" s="19">
        <f>'Sampling Data'!K844</f>
        <v>0</v>
      </c>
      <c r="M844" s="19">
        <f>'Sampling Data'!L844</f>
        <v>0</v>
      </c>
      <c r="N844" s="19">
        <f>'Sampling Data'!M844</f>
        <v>0</v>
      </c>
      <c r="O844" s="18">
        <f>'Sampling Data'!N844</f>
        <v>0</v>
      </c>
      <c r="P844" s="18">
        <f>'Sampling Data'!O844</f>
        <v>1</v>
      </c>
      <c r="Q844" s="18">
        <f>'Sampling Data'!P844</f>
        <v>38</v>
      </c>
      <c r="R844" s="18">
        <f>'Sampling Data'!AJ844</f>
        <v>0</v>
      </c>
      <c r="S844" s="112"/>
      <c r="T844" s="112"/>
      <c r="U844" s="113"/>
      <c r="V844" s="113"/>
      <c r="W844" s="112"/>
      <c r="X844" s="112"/>
      <c r="Y844" s="112"/>
      <c r="Z844" s="112"/>
      <c r="AA844" s="15"/>
      <c r="AB844" s="15"/>
      <c r="AC844" s="15"/>
      <c r="AD844" s="15"/>
      <c r="AE844" s="114" t="str">
        <f>IF(NOT(ISBLANK(Audit[[#This Row],[Audit Winning Candidate]])), Audit[[#This Row],[Audit Winning Candidate]]-Audit[[#This Row],[Winning Candidate]], "")</f>
        <v/>
      </c>
      <c r="AF844" s="18" t="str">
        <f>IF(NOT(ISBLANK(Audit[[#This Row],[Audit Losing Candidate]])), Audit[[#This Row],[Audit Losing Candidate]]-Audit[[#This Row],[Losing Candidate]], "")</f>
        <v/>
      </c>
      <c r="AG844" s="18" t="str">
        <f>IF(NOT(ISBLANK(Audit[[#This Row],[Audit Candidate 3]])), Audit[[#This Row],[Audit Candidate 3]]-Audit[[#This Row],[Candidate 3]], "")</f>
        <v/>
      </c>
      <c r="AH844" s="18" t="str">
        <f>IF(NOT(ISBLANK(Audit[[#This Row],[Audit Candidate 4]])),Audit[[#This Row],[Audit Candidate 4]]-Audit[[#This Row],[Candidate 4]], "")</f>
        <v/>
      </c>
      <c r="AI844" s="18" t="str">
        <f>IF(NOT(ISBLANK(Audit[[#This Row],[Audit Candidate 5]])), Audit[[#This Row],[Audit Candidate 5]]-Audit[[#This Row],[Candidate 5]], "")</f>
        <v/>
      </c>
      <c r="AJ844" s="18" t="str">
        <f>IF(NOT(ISBLANK(Audit[[#This Row],[Audit Candidate 6]])), Audit[[#This Row],[Audit Candidate 6]]-Audit[[#This Row],[Candidate 6]], "")</f>
        <v/>
      </c>
      <c r="AK844" s="18" t="str">
        <f>IF(NOT(ISBLANK(Audit[[#This Row],[Audit Candidate 7]])), Audit[[#This Row],[Audit Candidate 7]]-Audit[[#This Row],[Candidate 7]], "")</f>
        <v/>
      </c>
      <c r="AL844" s="18" t="str">
        <f>IF(NOT(ISBLANK(Audit[[#This Row],[Audit Candidate 8]])), Audit[[#This Row],[Audit Candidate 8]]-Audit[[#This Row],[Candidate 8]], "")</f>
        <v/>
      </c>
      <c r="AM844" s="18" t="str">
        <f>IF(NOT(ISBLANK(Audit[[#This Row],[Audit Candidate 9]])), Audit[[#This Row],[Audit Candidate 9]]-Audit[[#This Row],[Candidate 9]], "")</f>
        <v/>
      </c>
      <c r="AN844" s="18" t="str">
        <f>IF(NOT(ISBLANK(Audit[[#This Row],[Audit Candidate 10]])), Audit[[#This Row],[Audit Candidate 10]]-Audit[[#This Row],[Candidate 10]], "")</f>
        <v/>
      </c>
      <c r="AO844" s="18" t="str">
        <f>IF(NOT(ISBLANK(Audit[[#This Row],[Audit Candidate 11]])), Audit[[#This Row],[Audit Candidate 11]]-Audit[[#This Row],[Candidate 11]], "")</f>
        <v/>
      </c>
      <c r="AP844" s="18" t="str">
        <f>IF(NOT(ISBLANK(Audit[[#This Row],[Audit Candidate 12]])), Audit[[#This Row],[Audit Candidate 12]]-Audit[[#This Row],[Candidate 12]], "")</f>
        <v/>
      </c>
      <c r="AQ844" s="18">
        <f>SUMIF(Audit[[#This Row],[Difference Winner]:[Difference Candidate 12]], "&gt;0")</f>
        <v>0</v>
      </c>
      <c r="AR844" s="18">
        <f>SUM(Audit[[#This Row],[Difference Winner]:[Difference Candidate 12]])</f>
        <v>0</v>
      </c>
      <c r="AS844" s="18">
        <f>IF(Audit[[#This Row],[Times p Drawn - With Replacement]]&gt;0, IF(Audit[[#This Row],[Canceled Differences]]&lt;0, Audit[[#This Row],[Max Differences]]+ABS(Audit[[#This Row],[Canceled Differences]]), Audit[[#This Row],[Max Differences]]), 0)</f>
        <v>0</v>
      </c>
      <c r="AT844" s="18">
        <f>'Sampling Data'!AB844</f>
        <v>1.8531896849577536E-3</v>
      </c>
      <c r="AU844" s="18">
        <f>IF(
      SUM(Audit[[#This Row],[Audit Losing Candidate]:[Audit Candidate 12]])
      &lt;&gt;0,
      (Audit[[#This Row],[Winning Candidate]]-Audit[[#This Row],[Losing Candidate]]-(Audit[[#This Row],[Audit Winning Candidate]]-Audit[[#This Row],[Audit Losing Candidate]]))/(Audit[[#Totals],[Winning Candidate]]-Audit[[#Totals],[Losing Candidate]]),
      0
)</f>
        <v>0</v>
      </c>
      <c r="AV8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8">
        <f>IF(Audit[[#This Row],[Max Relative Error (ep)]] = 0, 0, Audit[[#This Row],[Max Relative Error (ep)]]/Audit[[#This Row],[Error Bound (up) - Max. possible relative overstatement]])</f>
        <v>0</v>
      </c>
      <c r="BH8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4" s="18">
        <f t="shared" si="13"/>
        <v>1</v>
      </c>
      <c r="BJ844" s="18">
        <f>PRODUCT($BI$5:BI844)</f>
        <v>0.32656797278968008</v>
      </c>
      <c r="BK844" s="20">
        <f>1 - Audit[[#This Row],[K-M P Value]]</f>
        <v>0.67343202721031992</v>
      </c>
      <c r="BL844" s="18" t="str">
        <f>IF(Audit[[#This Row],[K-M P Value]]&gt;1-'General Info'!$B$12,"Continue", "Stop")</f>
        <v>Continue</v>
      </c>
      <c r="BM844" s="23" t="b">
        <f>IF(Audit[[#This Row],[Status - Continue or stop audit]] = "Continue", TRUE, IF(BL843 = "Continue", TRUE, FALSE))</f>
        <v>1</v>
      </c>
      <c r="BN844" s="23"/>
    </row>
    <row r="845" spans="1:66" ht="15" hidden="1" customHeight="1" x14ac:dyDescent="0.35">
      <c r="A845" s="18" t="str">
        <f>'Sampling Data'!AI845</f>
        <v/>
      </c>
      <c r="B845" s="18" t="str">
        <f>'Sampling Data'!A845</f>
        <v>4431 NORW 3-A   (ED)</v>
      </c>
      <c r="C845" s="18">
        <f>'Sampling Data'!B845</f>
        <v>27</v>
      </c>
      <c r="D845" s="18">
        <f>'Sampling Data'!C845</f>
        <v>5</v>
      </c>
      <c r="E845" s="19">
        <f>'Sampling Data'!D845</f>
        <v>0</v>
      </c>
      <c r="F845" s="19">
        <f>'Sampling Data'!E845</f>
        <v>0</v>
      </c>
      <c r="G845" s="19">
        <f>'Sampling Data'!F845</f>
        <v>0</v>
      </c>
      <c r="H845" s="19">
        <f>'Sampling Data'!G845</f>
        <v>0</v>
      </c>
      <c r="I845" s="19">
        <f>'Sampling Data'!H845</f>
        <v>0</v>
      </c>
      <c r="J845" s="19">
        <f>'Sampling Data'!I845</f>
        <v>0</v>
      </c>
      <c r="K845" s="19">
        <f>'Sampling Data'!J845</f>
        <v>0</v>
      </c>
      <c r="L845" s="19">
        <f>'Sampling Data'!K845</f>
        <v>0</v>
      </c>
      <c r="M845" s="19">
        <f>'Sampling Data'!L845</f>
        <v>0</v>
      </c>
      <c r="N845" s="19">
        <f>'Sampling Data'!M845</f>
        <v>0</v>
      </c>
      <c r="O845" s="18">
        <f>'Sampling Data'!N845</f>
        <v>0</v>
      </c>
      <c r="P845" s="18">
        <f>'Sampling Data'!O845</f>
        <v>0</v>
      </c>
      <c r="Q845" s="18">
        <f>'Sampling Data'!P845</f>
        <v>32</v>
      </c>
      <c r="R845" s="18">
        <f>'Sampling Data'!AJ845</f>
        <v>0</v>
      </c>
      <c r="S845" s="112"/>
      <c r="T845" s="112"/>
      <c r="U845" s="113"/>
      <c r="V845" s="113"/>
      <c r="W845" s="112"/>
      <c r="X845" s="112"/>
      <c r="Y845" s="112"/>
      <c r="Z845" s="112"/>
      <c r="AA845" s="15"/>
      <c r="AB845" s="15"/>
      <c r="AC845" s="15"/>
      <c r="AD845" s="15"/>
      <c r="AE845" s="114" t="str">
        <f>IF(NOT(ISBLANK(Audit[[#This Row],[Audit Winning Candidate]])), Audit[[#This Row],[Audit Winning Candidate]]-Audit[[#This Row],[Winning Candidate]], "")</f>
        <v/>
      </c>
      <c r="AF845" s="18" t="str">
        <f>IF(NOT(ISBLANK(Audit[[#This Row],[Audit Losing Candidate]])), Audit[[#This Row],[Audit Losing Candidate]]-Audit[[#This Row],[Losing Candidate]], "")</f>
        <v/>
      </c>
      <c r="AG845" s="18" t="str">
        <f>IF(NOT(ISBLANK(Audit[[#This Row],[Audit Candidate 3]])), Audit[[#This Row],[Audit Candidate 3]]-Audit[[#This Row],[Candidate 3]], "")</f>
        <v/>
      </c>
      <c r="AH845" s="18" t="str">
        <f>IF(NOT(ISBLANK(Audit[[#This Row],[Audit Candidate 4]])),Audit[[#This Row],[Audit Candidate 4]]-Audit[[#This Row],[Candidate 4]], "")</f>
        <v/>
      </c>
      <c r="AI845" s="18" t="str">
        <f>IF(NOT(ISBLANK(Audit[[#This Row],[Audit Candidate 5]])), Audit[[#This Row],[Audit Candidate 5]]-Audit[[#This Row],[Candidate 5]], "")</f>
        <v/>
      </c>
      <c r="AJ845" s="18" t="str">
        <f>IF(NOT(ISBLANK(Audit[[#This Row],[Audit Candidate 6]])), Audit[[#This Row],[Audit Candidate 6]]-Audit[[#This Row],[Candidate 6]], "")</f>
        <v/>
      </c>
      <c r="AK845" s="18" t="str">
        <f>IF(NOT(ISBLANK(Audit[[#This Row],[Audit Candidate 7]])), Audit[[#This Row],[Audit Candidate 7]]-Audit[[#This Row],[Candidate 7]], "")</f>
        <v/>
      </c>
      <c r="AL845" s="18" t="str">
        <f>IF(NOT(ISBLANK(Audit[[#This Row],[Audit Candidate 8]])), Audit[[#This Row],[Audit Candidate 8]]-Audit[[#This Row],[Candidate 8]], "")</f>
        <v/>
      </c>
      <c r="AM845" s="18" t="str">
        <f>IF(NOT(ISBLANK(Audit[[#This Row],[Audit Candidate 9]])), Audit[[#This Row],[Audit Candidate 9]]-Audit[[#This Row],[Candidate 9]], "")</f>
        <v/>
      </c>
      <c r="AN845" s="18" t="str">
        <f>IF(NOT(ISBLANK(Audit[[#This Row],[Audit Candidate 10]])), Audit[[#This Row],[Audit Candidate 10]]-Audit[[#This Row],[Candidate 10]], "")</f>
        <v/>
      </c>
      <c r="AO845" s="18" t="str">
        <f>IF(NOT(ISBLANK(Audit[[#This Row],[Audit Candidate 11]])), Audit[[#This Row],[Audit Candidate 11]]-Audit[[#This Row],[Candidate 11]], "")</f>
        <v/>
      </c>
      <c r="AP845" s="18" t="str">
        <f>IF(NOT(ISBLANK(Audit[[#This Row],[Audit Candidate 12]])), Audit[[#This Row],[Audit Candidate 12]]-Audit[[#This Row],[Candidate 12]], "")</f>
        <v/>
      </c>
      <c r="AQ845" s="18">
        <f>SUMIF(Audit[[#This Row],[Difference Winner]:[Difference Candidate 12]], "&gt;0")</f>
        <v>0</v>
      </c>
      <c r="AR845" s="18">
        <f>SUM(Audit[[#This Row],[Difference Winner]:[Difference Candidate 12]])</f>
        <v>0</v>
      </c>
      <c r="AS845" s="18">
        <f>IF(Audit[[#This Row],[Times p Drawn - With Replacement]]&gt;0, IF(Audit[[#This Row],[Canceled Differences]]&lt;0, Audit[[#This Row],[Max Differences]]+ABS(Audit[[#This Row],[Canceled Differences]]), Audit[[#This Row],[Max Differences]]), 0)</f>
        <v>0</v>
      </c>
      <c r="AT845" s="18">
        <f>'Sampling Data'!AB845</f>
        <v>1.6961397116562491E-3</v>
      </c>
      <c r="AU845" s="18">
        <f>IF(
      SUM(Audit[[#This Row],[Audit Losing Candidate]:[Audit Candidate 12]])
      &lt;&gt;0,
      (Audit[[#This Row],[Winning Candidate]]-Audit[[#This Row],[Losing Candidate]]-(Audit[[#This Row],[Audit Winning Candidate]]-Audit[[#This Row],[Audit Losing Candidate]]))/(Audit[[#Totals],[Winning Candidate]]-Audit[[#Totals],[Losing Candidate]]),
      0
)</f>
        <v>0</v>
      </c>
      <c r="AV8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8">
        <f>IF(Audit[[#This Row],[Max Relative Error (ep)]] = 0, 0, Audit[[#This Row],[Max Relative Error (ep)]]/Audit[[#This Row],[Error Bound (up) - Max. possible relative overstatement]])</f>
        <v>0</v>
      </c>
      <c r="BH8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5" s="18">
        <f t="shared" si="13"/>
        <v>1</v>
      </c>
      <c r="BJ845" s="18">
        <f>PRODUCT($BI$5:BI845)</f>
        <v>0.32656797278968008</v>
      </c>
      <c r="BK845" s="20">
        <f>1 - Audit[[#This Row],[K-M P Value]]</f>
        <v>0.67343202721031992</v>
      </c>
      <c r="BL845" s="18" t="str">
        <f>IF(Audit[[#This Row],[K-M P Value]]&gt;1-'General Info'!$B$12,"Continue", "Stop")</f>
        <v>Continue</v>
      </c>
      <c r="BM845" s="23" t="b">
        <f>IF(Audit[[#This Row],[Status - Continue or stop audit]] = "Continue", TRUE, IF(BL844 = "Continue", TRUE, FALSE))</f>
        <v>1</v>
      </c>
      <c r="BN845" s="23"/>
    </row>
    <row r="846" spans="1:66" ht="15" hidden="1" customHeight="1" x14ac:dyDescent="0.35">
      <c r="A846" s="18" t="str">
        <f>'Sampling Data'!AI846</f>
        <v/>
      </c>
      <c r="B846" s="18" t="str">
        <f>'Sampling Data'!A846</f>
        <v>4432 NORW 3-B   (ED)</v>
      </c>
      <c r="C846" s="18">
        <f>'Sampling Data'!B846</f>
        <v>31</v>
      </c>
      <c r="D846" s="18">
        <f>'Sampling Data'!C846</f>
        <v>6</v>
      </c>
      <c r="E846" s="19">
        <f>'Sampling Data'!D846</f>
        <v>0</v>
      </c>
      <c r="F846" s="19">
        <f>'Sampling Data'!E846</f>
        <v>0</v>
      </c>
      <c r="G846" s="19">
        <f>'Sampling Data'!F846</f>
        <v>0</v>
      </c>
      <c r="H846" s="19">
        <f>'Sampling Data'!G846</f>
        <v>0</v>
      </c>
      <c r="I846" s="19">
        <f>'Sampling Data'!H846</f>
        <v>0</v>
      </c>
      <c r="J846" s="19">
        <f>'Sampling Data'!I846</f>
        <v>0</v>
      </c>
      <c r="K846" s="19">
        <f>'Sampling Data'!J846</f>
        <v>0</v>
      </c>
      <c r="L846" s="19">
        <f>'Sampling Data'!K846</f>
        <v>0</v>
      </c>
      <c r="M846" s="19">
        <f>'Sampling Data'!L846</f>
        <v>0</v>
      </c>
      <c r="N846" s="19">
        <f>'Sampling Data'!M846</f>
        <v>0</v>
      </c>
      <c r="O846" s="18">
        <f>'Sampling Data'!N846</f>
        <v>0</v>
      </c>
      <c r="P846" s="18">
        <f>'Sampling Data'!O846</f>
        <v>0</v>
      </c>
      <c r="Q846" s="18">
        <f>'Sampling Data'!P846</f>
        <v>37</v>
      </c>
      <c r="R846" s="18">
        <f>'Sampling Data'!AJ846</f>
        <v>0</v>
      </c>
      <c r="S846" s="112"/>
      <c r="T846" s="112"/>
      <c r="U846" s="113"/>
      <c r="V846" s="113"/>
      <c r="W846" s="112"/>
      <c r="X846" s="112"/>
      <c r="Y846" s="112"/>
      <c r="Z846" s="112"/>
      <c r="AA846" s="15"/>
      <c r="AB846" s="15"/>
      <c r="AC846" s="15"/>
      <c r="AD846" s="15"/>
      <c r="AE846" s="114" t="str">
        <f>IF(NOT(ISBLANK(Audit[[#This Row],[Audit Winning Candidate]])), Audit[[#This Row],[Audit Winning Candidate]]-Audit[[#This Row],[Winning Candidate]], "")</f>
        <v/>
      </c>
      <c r="AF846" s="18" t="str">
        <f>IF(NOT(ISBLANK(Audit[[#This Row],[Audit Losing Candidate]])), Audit[[#This Row],[Audit Losing Candidate]]-Audit[[#This Row],[Losing Candidate]], "")</f>
        <v/>
      </c>
      <c r="AG846" s="18" t="str">
        <f>IF(NOT(ISBLANK(Audit[[#This Row],[Audit Candidate 3]])), Audit[[#This Row],[Audit Candidate 3]]-Audit[[#This Row],[Candidate 3]], "")</f>
        <v/>
      </c>
      <c r="AH846" s="18" t="str">
        <f>IF(NOT(ISBLANK(Audit[[#This Row],[Audit Candidate 4]])),Audit[[#This Row],[Audit Candidate 4]]-Audit[[#This Row],[Candidate 4]], "")</f>
        <v/>
      </c>
      <c r="AI846" s="18" t="str">
        <f>IF(NOT(ISBLANK(Audit[[#This Row],[Audit Candidate 5]])), Audit[[#This Row],[Audit Candidate 5]]-Audit[[#This Row],[Candidate 5]], "")</f>
        <v/>
      </c>
      <c r="AJ846" s="18" t="str">
        <f>IF(NOT(ISBLANK(Audit[[#This Row],[Audit Candidate 6]])), Audit[[#This Row],[Audit Candidate 6]]-Audit[[#This Row],[Candidate 6]], "")</f>
        <v/>
      </c>
      <c r="AK846" s="18" t="str">
        <f>IF(NOT(ISBLANK(Audit[[#This Row],[Audit Candidate 7]])), Audit[[#This Row],[Audit Candidate 7]]-Audit[[#This Row],[Candidate 7]], "")</f>
        <v/>
      </c>
      <c r="AL846" s="18" t="str">
        <f>IF(NOT(ISBLANK(Audit[[#This Row],[Audit Candidate 8]])), Audit[[#This Row],[Audit Candidate 8]]-Audit[[#This Row],[Candidate 8]], "")</f>
        <v/>
      </c>
      <c r="AM846" s="18" t="str">
        <f>IF(NOT(ISBLANK(Audit[[#This Row],[Audit Candidate 9]])), Audit[[#This Row],[Audit Candidate 9]]-Audit[[#This Row],[Candidate 9]], "")</f>
        <v/>
      </c>
      <c r="AN846" s="18" t="str">
        <f>IF(NOT(ISBLANK(Audit[[#This Row],[Audit Candidate 10]])), Audit[[#This Row],[Audit Candidate 10]]-Audit[[#This Row],[Candidate 10]], "")</f>
        <v/>
      </c>
      <c r="AO846" s="18" t="str">
        <f>IF(NOT(ISBLANK(Audit[[#This Row],[Audit Candidate 11]])), Audit[[#This Row],[Audit Candidate 11]]-Audit[[#This Row],[Candidate 11]], "")</f>
        <v/>
      </c>
      <c r="AP846" s="18" t="str">
        <f>IF(NOT(ISBLANK(Audit[[#This Row],[Audit Candidate 12]])), Audit[[#This Row],[Audit Candidate 12]]-Audit[[#This Row],[Candidate 12]], "")</f>
        <v/>
      </c>
      <c r="AQ846" s="18">
        <f>SUMIF(Audit[[#This Row],[Difference Winner]:[Difference Candidate 12]], "&gt;0")</f>
        <v>0</v>
      </c>
      <c r="AR846" s="18">
        <f>SUM(Audit[[#This Row],[Difference Winner]:[Difference Candidate 12]])</f>
        <v>0</v>
      </c>
      <c r="AS846" s="18">
        <f>IF(Audit[[#This Row],[Times p Drawn - With Replacement]]&gt;0, IF(Audit[[#This Row],[Canceled Differences]]&lt;0, Audit[[#This Row],[Max Differences]]+ABS(Audit[[#This Row],[Canceled Differences]]), Audit[[#This Row],[Max Differences]]), 0)</f>
        <v>0</v>
      </c>
      <c r="AT846" s="18">
        <f>'Sampling Data'!AB846</f>
        <v>1.9474196689386564E-3</v>
      </c>
      <c r="AU846" s="18">
        <f>IF(
      SUM(Audit[[#This Row],[Audit Losing Candidate]:[Audit Candidate 12]])
      &lt;&gt;0,
      (Audit[[#This Row],[Winning Candidate]]-Audit[[#This Row],[Losing Candidate]]-(Audit[[#This Row],[Audit Winning Candidate]]-Audit[[#This Row],[Audit Losing Candidate]]))/(Audit[[#Totals],[Winning Candidate]]-Audit[[#Totals],[Losing Candidate]]),
      0
)</f>
        <v>0</v>
      </c>
      <c r="AV8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8">
        <f>IF(Audit[[#This Row],[Max Relative Error (ep)]] = 0, 0, Audit[[#This Row],[Max Relative Error (ep)]]/Audit[[#This Row],[Error Bound (up) - Max. possible relative overstatement]])</f>
        <v>0</v>
      </c>
      <c r="BH8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6" s="18">
        <f t="shared" si="13"/>
        <v>1</v>
      </c>
      <c r="BJ846" s="18">
        <f>PRODUCT($BI$5:BI846)</f>
        <v>0.32656797278968008</v>
      </c>
      <c r="BK846" s="20">
        <f>1 - Audit[[#This Row],[K-M P Value]]</f>
        <v>0.67343202721031992</v>
      </c>
      <c r="BL846" s="18" t="str">
        <f>IF(Audit[[#This Row],[K-M P Value]]&gt;1-'General Info'!$B$12,"Continue", "Stop")</f>
        <v>Continue</v>
      </c>
      <c r="BM846" s="23" t="b">
        <f>IF(Audit[[#This Row],[Status - Continue or stop audit]] = "Continue", TRUE, IF(BL845 = "Continue", TRUE, FALSE))</f>
        <v>1</v>
      </c>
      <c r="BN846" s="23"/>
    </row>
    <row r="847" spans="1:66" ht="15" hidden="1" customHeight="1" x14ac:dyDescent="0.35">
      <c r="A847" s="18" t="str">
        <f>'Sampling Data'!AI847</f>
        <v/>
      </c>
      <c r="B847" s="18" t="str">
        <f>'Sampling Data'!A847</f>
        <v>4433 NORW 3-C   (ED)</v>
      </c>
      <c r="C847" s="18">
        <f>'Sampling Data'!B847</f>
        <v>52</v>
      </c>
      <c r="D847" s="18">
        <f>'Sampling Data'!C847</f>
        <v>4</v>
      </c>
      <c r="E847" s="19">
        <f>'Sampling Data'!D847</f>
        <v>0</v>
      </c>
      <c r="F847" s="19">
        <f>'Sampling Data'!E847</f>
        <v>0</v>
      </c>
      <c r="G847" s="19">
        <f>'Sampling Data'!F847</f>
        <v>0</v>
      </c>
      <c r="H847" s="19">
        <f>'Sampling Data'!G847</f>
        <v>0</v>
      </c>
      <c r="I847" s="19">
        <f>'Sampling Data'!H847</f>
        <v>0</v>
      </c>
      <c r="J847" s="19">
        <f>'Sampling Data'!I847</f>
        <v>0</v>
      </c>
      <c r="K847" s="19">
        <f>'Sampling Data'!J847</f>
        <v>0</v>
      </c>
      <c r="L847" s="19">
        <f>'Sampling Data'!K847</f>
        <v>0</v>
      </c>
      <c r="M847" s="19">
        <f>'Sampling Data'!L847</f>
        <v>0</v>
      </c>
      <c r="N847" s="19">
        <f>'Sampling Data'!M847</f>
        <v>0</v>
      </c>
      <c r="O847" s="18">
        <f>'Sampling Data'!N847</f>
        <v>0</v>
      </c>
      <c r="P847" s="18">
        <f>'Sampling Data'!O847</f>
        <v>2</v>
      </c>
      <c r="Q847" s="18">
        <f>'Sampling Data'!P847</f>
        <v>58</v>
      </c>
      <c r="R847" s="18">
        <f>'Sampling Data'!AJ847</f>
        <v>0</v>
      </c>
      <c r="S847" s="112"/>
      <c r="T847" s="112"/>
      <c r="U847" s="113"/>
      <c r="V847" s="113"/>
      <c r="W847" s="112"/>
      <c r="X847" s="112"/>
      <c r="Y847" s="112"/>
      <c r="Z847" s="112"/>
      <c r="AA847" s="15"/>
      <c r="AB847" s="15"/>
      <c r="AC847" s="15"/>
      <c r="AD847" s="15"/>
      <c r="AE847" s="114" t="str">
        <f>IF(NOT(ISBLANK(Audit[[#This Row],[Audit Winning Candidate]])), Audit[[#This Row],[Audit Winning Candidate]]-Audit[[#This Row],[Winning Candidate]], "")</f>
        <v/>
      </c>
      <c r="AF847" s="18" t="str">
        <f>IF(NOT(ISBLANK(Audit[[#This Row],[Audit Losing Candidate]])), Audit[[#This Row],[Audit Losing Candidate]]-Audit[[#This Row],[Losing Candidate]], "")</f>
        <v/>
      </c>
      <c r="AG847" s="18" t="str">
        <f>IF(NOT(ISBLANK(Audit[[#This Row],[Audit Candidate 3]])), Audit[[#This Row],[Audit Candidate 3]]-Audit[[#This Row],[Candidate 3]], "")</f>
        <v/>
      </c>
      <c r="AH847" s="18" t="str">
        <f>IF(NOT(ISBLANK(Audit[[#This Row],[Audit Candidate 4]])),Audit[[#This Row],[Audit Candidate 4]]-Audit[[#This Row],[Candidate 4]], "")</f>
        <v/>
      </c>
      <c r="AI847" s="18" t="str">
        <f>IF(NOT(ISBLANK(Audit[[#This Row],[Audit Candidate 5]])), Audit[[#This Row],[Audit Candidate 5]]-Audit[[#This Row],[Candidate 5]], "")</f>
        <v/>
      </c>
      <c r="AJ847" s="18" t="str">
        <f>IF(NOT(ISBLANK(Audit[[#This Row],[Audit Candidate 6]])), Audit[[#This Row],[Audit Candidate 6]]-Audit[[#This Row],[Candidate 6]], "")</f>
        <v/>
      </c>
      <c r="AK847" s="18" t="str">
        <f>IF(NOT(ISBLANK(Audit[[#This Row],[Audit Candidate 7]])), Audit[[#This Row],[Audit Candidate 7]]-Audit[[#This Row],[Candidate 7]], "")</f>
        <v/>
      </c>
      <c r="AL847" s="18" t="str">
        <f>IF(NOT(ISBLANK(Audit[[#This Row],[Audit Candidate 8]])), Audit[[#This Row],[Audit Candidate 8]]-Audit[[#This Row],[Candidate 8]], "")</f>
        <v/>
      </c>
      <c r="AM847" s="18" t="str">
        <f>IF(NOT(ISBLANK(Audit[[#This Row],[Audit Candidate 9]])), Audit[[#This Row],[Audit Candidate 9]]-Audit[[#This Row],[Candidate 9]], "")</f>
        <v/>
      </c>
      <c r="AN847" s="18" t="str">
        <f>IF(NOT(ISBLANK(Audit[[#This Row],[Audit Candidate 10]])), Audit[[#This Row],[Audit Candidate 10]]-Audit[[#This Row],[Candidate 10]], "")</f>
        <v/>
      </c>
      <c r="AO847" s="18" t="str">
        <f>IF(NOT(ISBLANK(Audit[[#This Row],[Audit Candidate 11]])), Audit[[#This Row],[Audit Candidate 11]]-Audit[[#This Row],[Candidate 11]], "")</f>
        <v/>
      </c>
      <c r="AP847" s="18" t="str">
        <f>IF(NOT(ISBLANK(Audit[[#This Row],[Audit Candidate 12]])), Audit[[#This Row],[Audit Candidate 12]]-Audit[[#This Row],[Candidate 12]], "")</f>
        <v/>
      </c>
      <c r="AQ847" s="18">
        <f>SUMIF(Audit[[#This Row],[Difference Winner]:[Difference Candidate 12]], "&gt;0")</f>
        <v>0</v>
      </c>
      <c r="AR847" s="18">
        <f>SUM(Audit[[#This Row],[Difference Winner]:[Difference Candidate 12]])</f>
        <v>0</v>
      </c>
      <c r="AS847" s="18">
        <f>IF(Audit[[#This Row],[Times p Drawn - With Replacement]]&gt;0, IF(Audit[[#This Row],[Canceled Differences]]&lt;0, Audit[[#This Row],[Max Differences]]+ABS(Audit[[#This Row],[Canceled Differences]]), Audit[[#This Row],[Max Differences]]), 0)</f>
        <v>0</v>
      </c>
      <c r="AT847" s="18">
        <f>'Sampling Data'!AB847</f>
        <v>3.3294594339918961E-3</v>
      </c>
      <c r="AU847" s="18">
        <f>IF(
      SUM(Audit[[#This Row],[Audit Losing Candidate]:[Audit Candidate 12]])
      &lt;&gt;0,
      (Audit[[#This Row],[Winning Candidate]]-Audit[[#This Row],[Losing Candidate]]-(Audit[[#This Row],[Audit Winning Candidate]]-Audit[[#This Row],[Audit Losing Candidate]]))/(Audit[[#Totals],[Winning Candidate]]-Audit[[#Totals],[Losing Candidate]]),
      0
)</f>
        <v>0</v>
      </c>
      <c r="AV8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8">
        <f>IF(Audit[[#This Row],[Max Relative Error (ep)]] = 0, 0, Audit[[#This Row],[Max Relative Error (ep)]]/Audit[[#This Row],[Error Bound (up) - Max. possible relative overstatement]])</f>
        <v>0</v>
      </c>
      <c r="BH8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7" s="18">
        <f t="shared" ref="BI847:BI910" si="14">IF(ISERR(POWER(BH847,R847)), 0, POWER(BH847,R847))</f>
        <v>1</v>
      </c>
      <c r="BJ847" s="18">
        <f>PRODUCT($BI$5:BI847)</f>
        <v>0.32656797278968008</v>
      </c>
      <c r="BK847" s="20">
        <f>1 - Audit[[#This Row],[K-M P Value]]</f>
        <v>0.67343202721031992</v>
      </c>
      <c r="BL847" s="18" t="str">
        <f>IF(Audit[[#This Row],[K-M P Value]]&gt;1-'General Info'!$B$12,"Continue", "Stop")</f>
        <v>Continue</v>
      </c>
      <c r="BM847" s="23" t="b">
        <f>IF(Audit[[#This Row],[Status - Continue or stop audit]] = "Continue", TRUE, IF(BL846 = "Continue", TRUE, FALSE))</f>
        <v>1</v>
      </c>
      <c r="BN847" s="23"/>
    </row>
    <row r="848" spans="1:66" ht="15" hidden="1" customHeight="1" x14ac:dyDescent="0.35">
      <c r="A848" s="18" t="str">
        <f>'Sampling Data'!AI848</f>
        <v/>
      </c>
      <c r="B848" s="18" t="str">
        <f>'Sampling Data'!A848</f>
        <v>4441 NORW 4-A   (ED)</v>
      </c>
      <c r="C848" s="18">
        <f>'Sampling Data'!B848</f>
        <v>11</v>
      </c>
      <c r="D848" s="18">
        <f>'Sampling Data'!C848</f>
        <v>3</v>
      </c>
      <c r="E848" s="19">
        <f>'Sampling Data'!D848</f>
        <v>0</v>
      </c>
      <c r="F848" s="19">
        <f>'Sampling Data'!E848</f>
        <v>0</v>
      </c>
      <c r="G848" s="19">
        <f>'Sampling Data'!F848</f>
        <v>0</v>
      </c>
      <c r="H848" s="19">
        <f>'Sampling Data'!G848</f>
        <v>0</v>
      </c>
      <c r="I848" s="19">
        <f>'Sampling Data'!H848</f>
        <v>0</v>
      </c>
      <c r="J848" s="19">
        <f>'Sampling Data'!I848</f>
        <v>0</v>
      </c>
      <c r="K848" s="19">
        <f>'Sampling Data'!J848</f>
        <v>0</v>
      </c>
      <c r="L848" s="19">
        <f>'Sampling Data'!K848</f>
        <v>0</v>
      </c>
      <c r="M848" s="19">
        <f>'Sampling Data'!L848</f>
        <v>0</v>
      </c>
      <c r="N848" s="19">
        <f>'Sampling Data'!M848</f>
        <v>0</v>
      </c>
      <c r="O848" s="18">
        <f>'Sampling Data'!N848</f>
        <v>0</v>
      </c>
      <c r="P848" s="18">
        <f>'Sampling Data'!O848</f>
        <v>0</v>
      </c>
      <c r="Q848" s="18">
        <f>'Sampling Data'!P848</f>
        <v>14</v>
      </c>
      <c r="R848" s="18">
        <f>'Sampling Data'!AJ848</f>
        <v>0</v>
      </c>
      <c r="S848" s="112"/>
      <c r="T848" s="112"/>
      <c r="U848" s="113"/>
      <c r="V848" s="113"/>
      <c r="W848" s="112"/>
      <c r="X848" s="112"/>
      <c r="Y848" s="112"/>
      <c r="Z848" s="112"/>
      <c r="AA848" s="15"/>
      <c r="AB848" s="15"/>
      <c r="AC848" s="15"/>
      <c r="AD848" s="15"/>
      <c r="AE848" s="114" t="str">
        <f>IF(NOT(ISBLANK(Audit[[#This Row],[Audit Winning Candidate]])), Audit[[#This Row],[Audit Winning Candidate]]-Audit[[#This Row],[Winning Candidate]], "")</f>
        <v/>
      </c>
      <c r="AF848" s="18" t="str">
        <f>IF(NOT(ISBLANK(Audit[[#This Row],[Audit Losing Candidate]])), Audit[[#This Row],[Audit Losing Candidate]]-Audit[[#This Row],[Losing Candidate]], "")</f>
        <v/>
      </c>
      <c r="AG848" s="18" t="str">
        <f>IF(NOT(ISBLANK(Audit[[#This Row],[Audit Candidate 3]])), Audit[[#This Row],[Audit Candidate 3]]-Audit[[#This Row],[Candidate 3]], "")</f>
        <v/>
      </c>
      <c r="AH848" s="18" t="str">
        <f>IF(NOT(ISBLANK(Audit[[#This Row],[Audit Candidate 4]])),Audit[[#This Row],[Audit Candidate 4]]-Audit[[#This Row],[Candidate 4]], "")</f>
        <v/>
      </c>
      <c r="AI848" s="18" t="str">
        <f>IF(NOT(ISBLANK(Audit[[#This Row],[Audit Candidate 5]])), Audit[[#This Row],[Audit Candidate 5]]-Audit[[#This Row],[Candidate 5]], "")</f>
        <v/>
      </c>
      <c r="AJ848" s="18" t="str">
        <f>IF(NOT(ISBLANK(Audit[[#This Row],[Audit Candidate 6]])), Audit[[#This Row],[Audit Candidate 6]]-Audit[[#This Row],[Candidate 6]], "")</f>
        <v/>
      </c>
      <c r="AK848" s="18" t="str">
        <f>IF(NOT(ISBLANK(Audit[[#This Row],[Audit Candidate 7]])), Audit[[#This Row],[Audit Candidate 7]]-Audit[[#This Row],[Candidate 7]], "")</f>
        <v/>
      </c>
      <c r="AL848" s="18" t="str">
        <f>IF(NOT(ISBLANK(Audit[[#This Row],[Audit Candidate 8]])), Audit[[#This Row],[Audit Candidate 8]]-Audit[[#This Row],[Candidate 8]], "")</f>
        <v/>
      </c>
      <c r="AM848" s="18" t="str">
        <f>IF(NOT(ISBLANK(Audit[[#This Row],[Audit Candidate 9]])), Audit[[#This Row],[Audit Candidate 9]]-Audit[[#This Row],[Candidate 9]], "")</f>
        <v/>
      </c>
      <c r="AN848" s="18" t="str">
        <f>IF(NOT(ISBLANK(Audit[[#This Row],[Audit Candidate 10]])), Audit[[#This Row],[Audit Candidate 10]]-Audit[[#This Row],[Candidate 10]], "")</f>
        <v/>
      </c>
      <c r="AO848" s="18" t="str">
        <f>IF(NOT(ISBLANK(Audit[[#This Row],[Audit Candidate 11]])), Audit[[#This Row],[Audit Candidate 11]]-Audit[[#This Row],[Candidate 11]], "")</f>
        <v/>
      </c>
      <c r="AP848" s="18" t="str">
        <f>IF(NOT(ISBLANK(Audit[[#This Row],[Audit Candidate 12]])), Audit[[#This Row],[Audit Candidate 12]]-Audit[[#This Row],[Candidate 12]], "")</f>
        <v/>
      </c>
      <c r="AQ848" s="18">
        <f>SUMIF(Audit[[#This Row],[Difference Winner]:[Difference Candidate 12]], "&gt;0")</f>
        <v>0</v>
      </c>
      <c r="AR848" s="18">
        <f>SUM(Audit[[#This Row],[Difference Winner]:[Difference Candidate 12]])</f>
        <v>0</v>
      </c>
      <c r="AS848" s="18">
        <f>IF(Audit[[#This Row],[Times p Drawn - With Replacement]]&gt;0, IF(Audit[[#This Row],[Canceled Differences]]&lt;0, Audit[[#This Row],[Max Differences]]+ABS(Audit[[#This Row],[Canceled Differences]]), Audit[[#This Row],[Max Differences]]), 0)</f>
        <v>0</v>
      </c>
      <c r="AT848" s="18">
        <f>'Sampling Data'!AB848</f>
        <v>6.9101988252662E-4</v>
      </c>
      <c r="AU848" s="18">
        <f>IF(
      SUM(Audit[[#This Row],[Audit Losing Candidate]:[Audit Candidate 12]])
      &lt;&gt;0,
      (Audit[[#This Row],[Winning Candidate]]-Audit[[#This Row],[Losing Candidate]]-(Audit[[#This Row],[Audit Winning Candidate]]-Audit[[#This Row],[Audit Losing Candidate]]))/(Audit[[#Totals],[Winning Candidate]]-Audit[[#Totals],[Losing Candidate]]),
      0
)</f>
        <v>0</v>
      </c>
      <c r="AV8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8">
        <f>IF(Audit[[#This Row],[Max Relative Error (ep)]] = 0, 0, Audit[[#This Row],[Max Relative Error (ep)]]/Audit[[#This Row],[Error Bound (up) - Max. possible relative overstatement]])</f>
        <v>0</v>
      </c>
      <c r="BH8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8" s="18">
        <f t="shared" si="14"/>
        <v>1</v>
      </c>
      <c r="BJ848" s="18">
        <f>PRODUCT($BI$5:BI848)</f>
        <v>0.32656797278968008</v>
      </c>
      <c r="BK848" s="20">
        <f>1 - Audit[[#This Row],[K-M P Value]]</f>
        <v>0.67343202721031992</v>
      </c>
      <c r="BL848" s="18" t="str">
        <f>IF(Audit[[#This Row],[K-M P Value]]&gt;1-'General Info'!$B$12,"Continue", "Stop")</f>
        <v>Continue</v>
      </c>
      <c r="BM848" s="23" t="b">
        <f>IF(Audit[[#This Row],[Status - Continue or stop audit]] = "Continue", TRUE, IF(BL847 = "Continue", TRUE, FALSE))</f>
        <v>1</v>
      </c>
      <c r="BN848" s="23"/>
    </row>
    <row r="849" spans="1:66" ht="15" hidden="1" customHeight="1" x14ac:dyDescent="0.35">
      <c r="A849" s="18" t="str">
        <f>'Sampling Data'!AI849</f>
        <v/>
      </c>
      <c r="B849" s="18" t="str">
        <f>'Sampling Data'!A849</f>
        <v>4442 NORW 4-B   (ED)</v>
      </c>
      <c r="C849" s="18">
        <f>'Sampling Data'!B849</f>
        <v>17</v>
      </c>
      <c r="D849" s="18">
        <f>'Sampling Data'!C849</f>
        <v>9</v>
      </c>
      <c r="E849" s="19">
        <f>'Sampling Data'!D849</f>
        <v>0</v>
      </c>
      <c r="F849" s="19">
        <f>'Sampling Data'!E849</f>
        <v>0</v>
      </c>
      <c r="G849" s="19">
        <f>'Sampling Data'!F849</f>
        <v>0</v>
      </c>
      <c r="H849" s="19">
        <f>'Sampling Data'!G849</f>
        <v>0</v>
      </c>
      <c r="I849" s="19">
        <f>'Sampling Data'!H849</f>
        <v>0</v>
      </c>
      <c r="J849" s="19">
        <f>'Sampling Data'!I849</f>
        <v>0</v>
      </c>
      <c r="K849" s="19">
        <f>'Sampling Data'!J849</f>
        <v>0</v>
      </c>
      <c r="L849" s="19">
        <f>'Sampling Data'!K849</f>
        <v>0</v>
      </c>
      <c r="M849" s="19">
        <f>'Sampling Data'!L849</f>
        <v>0</v>
      </c>
      <c r="N849" s="19">
        <f>'Sampling Data'!M849</f>
        <v>0</v>
      </c>
      <c r="O849" s="18">
        <f>'Sampling Data'!N849</f>
        <v>0</v>
      </c>
      <c r="P849" s="18">
        <f>'Sampling Data'!O849</f>
        <v>0</v>
      </c>
      <c r="Q849" s="18">
        <f>'Sampling Data'!P849</f>
        <v>26</v>
      </c>
      <c r="R849" s="18">
        <f>'Sampling Data'!AJ849</f>
        <v>0</v>
      </c>
      <c r="S849" s="112"/>
      <c r="T849" s="112"/>
      <c r="U849" s="113"/>
      <c r="V849" s="113"/>
      <c r="W849" s="112"/>
      <c r="X849" s="112"/>
      <c r="Y849" s="112"/>
      <c r="Z849" s="112"/>
      <c r="AA849" s="15"/>
      <c r="AB849" s="15"/>
      <c r="AC849" s="15"/>
      <c r="AD849" s="15"/>
      <c r="AE849" s="114" t="str">
        <f>IF(NOT(ISBLANK(Audit[[#This Row],[Audit Winning Candidate]])), Audit[[#This Row],[Audit Winning Candidate]]-Audit[[#This Row],[Winning Candidate]], "")</f>
        <v/>
      </c>
      <c r="AF849" s="18" t="str">
        <f>IF(NOT(ISBLANK(Audit[[#This Row],[Audit Losing Candidate]])), Audit[[#This Row],[Audit Losing Candidate]]-Audit[[#This Row],[Losing Candidate]], "")</f>
        <v/>
      </c>
      <c r="AG849" s="18" t="str">
        <f>IF(NOT(ISBLANK(Audit[[#This Row],[Audit Candidate 3]])), Audit[[#This Row],[Audit Candidate 3]]-Audit[[#This Row],[Candidate 3]], "")</f>
        <v/>
      </c>
      <c r="AH849" s="18" t="str">
        <f>IF(NOT(ISBLANK(Audit[[#This Row],[Audit Candidate 4]])),Audit[[#This Row],[Audit Candidate 4]]-Audit[[#This Row],[Candidate 4]], "")</f>
        <v/>
      </c>
      <c r="AI849" s="18" t="str">
        <f>IF(NOT(ISBLANK(Audit[[#This Row],[Audit Candidate 5]])), Audit[[#This Row],[Audit Candidate 5]]-Audit[[#This Row],[Candidate 5]], "")</f>
        <v/>
      </c>
      <c r="AJ849" s="18" t="str">
        <f>IF(NOT(ISBLANK(Audit[[#This Row],[Audit Candidate 6]])), Audit[[#This Row],[Audit Candidate 6]]-Audit[[#This Row],[Candidate 6]], "")</f>
        <v/>
      </c>
      <c r="AK849" s="18" t="str">
        <f>IF(NOT(ISBLANK(Audit[[#This Row],[Audit Candidate 7]])), Audit[[#This Row],[Audit Candidate 7]]-Audit[[#This Row],[Candidate 7]], "")</f>
        <v/>
      </c>
      <c r="AL849" s="18" t="str">
        <f>IF(NOT(ISBLANK(Audit[[#This Row],[Audit Candidate 8]])), Audit[[#This Row],[Audit Candidate 8]]-Audit[[#This Row],[Candidate 8]], "")</f>
        <v/>
      </c>
      <c r="AM849" s="18" t="str">
        <f>IF(NOT(ISBLANK(Audit[[#This Row],[Audit Candidate 9]])), Audit[[#This Row],[Audit Candidate 9]]-Audit[[#This Row],[Candidate 9]], "")</f>
        <v/>
      </c>
      <c r="AN849" s="18" t="str">
        <f>IF(NOT(ISBLANK(Audit[[#This Row],[Audit Candidate 10]])), Audit[[#This Row],[Audit Candidate 10]]-Audit[[#This Row],[Candidate 10]], "")</f>
        <v/>
      </c>
      <c r="AO849" s="18" t="str">
        <f>IF(NOT(ISBLANK(Audit[[#This Row],[Audit Candidate 11]])), Audit[[#This Row],[Audit Candidate 11]]-Audit[[#This Row],[Candidate 11]], "")</f>
        <v/>
      </c>
      <c r="AP849" s="18" t="str">
        <f>IF(NOT(ISBLANK(Audit[[#This Row],[Audit Candidate 12]])), Audit[[#This Row],[Audit Candidate 12]]-Audit[[#This Row],[Candidate 12]], "")</f>
        <v/>
      </c>
      <c r="AQ849" s="18">
        <f>SUMIF(Audit[[#This Row],[Difference Winner]:[Difference Candidate 12]], "&gt;0")</f>
        <v>0</v>
      </c>
      <c r="AR849" s="18">
        <f>SUM(Audit[[#This Row],[Difference Winner]:[Difference Candidate 12]])</f>
        <v>0</v>
      </c>
      <c r="AS849" s="18">
        <f>IF(Audit[[#This Row],[Times p Drawn - With Replacement]]&gt;0, IF(Audit[[#This Row],[Canceled Differences]]&lt;0, Audit[[#This Row],[Max Differences]]+ABS(Audit[[#This Row],[Canceled Differences]]), Audit[[#This Row],[Max Differences]]), 0)</f>
        <v>0</v>
      </c>
      <c r="AT849" s="18">
        <f>'Sampling Data'!AB849</f>
        <v>1.0679398184502309E-3</v>
      </c>
      <c r="AU849" s="18">
        <f>IF(
      SUM(Audit[[#This Row],[Audit Losing Candidate]:[Audit Candidate 12]])
      &lt;&gt;0,
      (Audit[[#This Row],[Winning Candidate]]-Audit[[#This Row],[Losing Candidate]]-(Audit[[#This Row],[Audit Winning Candidate]]-Audit[[#This Row],[Audit Losing Candidate]]))/(Audit[[#Totals],[Winning Candidate]]-Audit[[#Totals],[Losing Candidate]]),
      0
)</f>
        <v>0</v>
      </c>
      <c r="AV8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8">
        <f>IF(Audit[[#This Row],[Max Relative Error (ep)]] = 0, 0, Audit[[#This Row],[Max Relative Error (ep)]]/Audit[[#This Row],[Error Bound (up) - Max. possible relative overstatement]])</f>
        <v>0</v>
      </c>
      <c r="BH8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49" s="18">
        <f t="shared" si="14"/>
        <v>1</v>
      </c>
      <c r="BJ849" s="18">
        <f>PRODUCT($BI$5:BI849)</f>
        <v>0.32656797278968008</v>
      </c>
      <c r="BK849" s="20">
        <f>1 - Audit[[#This Row],[K-M P Value]]</f>
        <v>0.67343202721031992</v>
      </c>
      <c r="BL849" s="18" t="str">
        <f>IF(Audit[[#This Row],[K-M P Value]]&gt;1-'General Info'!$B$12,"Continue", "Stop")</f>
        <v>Continue</v>
      </c>
      <c r="BM849" s="23" t="b">
        <f>IF(Audit[[#This Row],[Status - Continue or stop audit]] = "Continue", TRUE, IF(BL848 = "Continue", TRUE, FALSE))</f>
        <v>1</v>
      </c>
      <c r="BN849" s="23"/>
    </row>
    <row r="850" spans="1:66" ht="15" hidden="1" customHeight="1" x14ac:dyDescent="0.35">
      <c r="A850" s="18" t="str">
        <f>'Sampling Data'!AI850</f>
        <v/>
      </c>
      <c r="B850" s="18" t="str">
        <f>'Sampling Data'!A850</f>
        <v>4443 NORW 4-C   (ED)</v>
      </c>
      <c r="C850" s="18">
        <f>'Sampling Data'!B850</f>
        <v>49</v>
      </c>
      <c r="D850" s="18">
        <f>'Sampling Data'!C850</f>
        <v>4</v>
      </c>
      <c r="E850" s="19">
        <f>'Sampling Data'!D850</f>
        <v>0</v>
      </c>
      <c r="F850" s="19">
        <f>'Sampling Data'!E850</f>
        <v>0</v>
      </c>
      <c r="G850" s="19">
        <f>'Sampling Data'!F850</f>
        <v>0</v>
      </c>
      <c r="H850" s="19">
        <f>'Sampling Data'!G850</f>
        <v>0</v>
      </c>
      <c r="I850" s="19">
        <f>'Sampling Data'!H850</f>
        <v>0</v>
      </c>
      <c r="J850" s="19">
        <f>'Sampling Data'!I850</f>
        <v>0</v>
      </c>
      <c r="K850" s="19">
        <f>'Sampling Data'!J850</f>
        <v>0</v>
      </c>
      <c r="L850" s="19">
        <f>'Sampling Data'!K850</f>
        <v>0</v>
      </c>
      <c r="M850" s="19">
        <f>'Sampling Data'!L850</f>
        <v>0</v>
      </c>
      <c r="N850" s="19">
        <f>'Sampling Data'!M850</f>
        <v>0</v>
      </c>
      <c r="O850" s="18">
        <f>'Sampling Data'!N850</f>
        <v>0</v>
      </c>
      <c r="P850" s="18">
        <f>'Sampling Data'!O850</f>
        <v>0</v>
      </c>
      <c r="Q850" s="18">
        <f>'Sampling Data'!P850</f>
        <v>53</v>
      </c>
      <c r="R850" s="18">
        <f>'Sampling Data'!AJ850</f>
        <v>0</v>
      </c>
      <c r="S850" s="112"/>
      <c r="T850" s="112"/>
      <c r="U850" s="113"/>
      <c r="V850" s="113"/>
      <c r="W850" s="112"/>
      <c r="X850" s="112"/>
      <c r="Y850" s="112"/>
      <c r="Z850" s="112"/>
      <c r="AA850" s="15"/>
      <c r="AB850" s="15"/>
      <c r="AC850" s="15"/>
      <c r="AD850" s="15"/>
      <c r="AE850" s="114" t="str">
        <f>IF(NOT(ISBLANK(Audit[[#This Row],[Audit Winning Candidate]])), Audit[[#This Row],[Audit Winning Candidate]]-Audit[[#This Row],[Winning Candidate]], "")</f>
        <v/>
      </c>
      <c r="AF850" s="18" t="str">
        <f>IF(NOT(ISBLANK(Audit[[#This Row],[Audit Losing Candidate]])), Audit[[#This Row],[Audit Losing Candidate]]-Audit[[#This Row],[Losing Candidate]], "")</f>
        <v/>
      </c>
      <c r="AG850" s="18" t="str">
        <f>IF(NOT(ISBLANK(Audit[[#This Row],[Audit Candidate 3]])), Audit[[#This Row],[Audit Candidate 3]]-Audit[[#This Row],[Candidate 3]], "")</f>
        <v/>
      </c>
      <c r="AH850" s="18" t="str">
        <f>IF(NOT(ISBLANK(Audit[[#This Row],[Audit Candidate 4]])),Audit[[#This Row],[Audit Candidate 4]]-Audit[[#This Row],[Candidate 4]], "")</f>
        <v/>
      </c>
      <c r="AI850" s="18" t="str">
        <f>IF(NOT(ISBLANK(Audit[[#This Row],[Audit Candidate 5]])), Audit[[#This Row],[Audit Candidate 5]]-Audit[[#This Row],[Candidate 5]], "")</f>
        <v/>
      </c>
      <c r="AJ850" s="18" t="str">
        <f>IF(NOT(ISBLANK(Audit[[#This Row],[Audit Candidate 6]])), Audit[[#This Row],[Audit Candidate 6]]-Audit[[#This Row],[Candidate 6]], "")</f>
        <v/>
      </c>
      <c r="AK850" s="18" t="str">
        <f>IF(NOT(ISBLANK(Audit[[#This Row],[Audit Candidate 7]])), Audit[[#This Row],[Audit Candidate 7]]-Audit[[#This Row],[Candidate 7]], "")</f>
        <v/>
      </c>
      <c r="AL850" s="18" t="str">
        <f>IF(NOT(ISBLANK(Audit[[#This Row],[Audit Candidate 8]])), Audit[[#This Row],[Audit Candidate 8]]-Audit[[#This Row],[Candidate 8]], "")</f>
        <v/>
      </c>
      <c r="AM850" s="18" t="str">
        <f>IF(NOT(ISBLANK(Audit[[#This Row],[Audit Candidate 9]])), Audit[[#This Row],[Audit Candidate 9]]-Audit[[#This Row],[Candidate 9]], "")</f>
        <v/>
      </c>
      <c r="AN850" s="18" t="str">
        <f>IF(NOT(ISBLANK(Audit[[#This Row],[Audit Candidate 10]])), Audit[[#This Row],[Audit Candidate 10]]-Audit[[#This Row],[Candidate 10]], "")</f>
        <v/>
      </c>
      <c r="AO850" s="18" t="str">
        <f>IF(NOT(ISBLANK(Audit[[#This Row],[Audit Candidate 11]])), Audit[[#This Row],[Audit Candidate 11]]-Audit[[#This Row],[Candidate 11]], "")</f>
        <v/>
      </c>
      <c r="AP850" s="18" t="str">
        <f>IF(NOT(ISBLANK(Audit[[#This Row],[Audit Candidate 12]])), Audit[[#This Row],[Audit Candidate 12]]-Audit[[#This Row],[Candidate 12]], "")</f>
        <v/>
      </c>
      <c r="AQ850" s="18">
        <f>SUMIF(Audit[[#This Row],[Difference Winner]:[Difference Candidate 12]], "&gt;0")</f>
        <v>0</v>
      </c>
      <c r="AR850" s="18">
        <f>SUM(Audit[[#This Row],[Difference Winner]:[Difference Candidate 12]])</f>
        <v>0</v>
      </c>
      <c r="AS850" s="18">
        <f>IF(Audit[[#This Row],[Times p Drawn - With Replacement]]&gt;0, IF(Audit[[#This Row],[Canceled Differences]]&lt;0, Audit[[#This Row],[Max Differences]]+ABS(Audit[[#This Row],[Canceled Differences]]), Audit[[#This Row],[Max Differences]]), 0)</f>
        <v>0</v>
      </c>
      <c r="AT850" s="18">
        <f>'Sampling Data'!AB850</f>
        <v>3.0781794767094891E-3</v>
      </c>
      <c r="AU850" s="18">
        <f>IF(
      SUM(Audit[[#This Row],[Audit Losing Candidate]:[Audit Candidate 12]])
      &lt;&gt;0,
      (Audit[[#This Row],[Winning Candidate]]-Audit[[#This Row],[Losing Candidate]]-(Audit[[#This Row],[Audit Winning Candidate]]-Audit[[#This Row],[Audit Losing Candidate]]))/(Audit[[#Totals],[Winning Candidate]]-Audit[[#Totals],[Losing Candidate]]),
      0
)</f>
        <v>0</v>
      </c>
      <c r="AV8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8">
        <f>IF(Audit[[#This Row],[Max Relative Error (ep)]] = 0, 0, Audit[[#This Row],[Max Relative Error (ep)]]/Audit[[#This Row],[Error Bound (up) - Max. possible relative overstatement]])</f>
        <v>0</v>
      </c>
      <c r="BH8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0" s="18">
        <f t="shared" si="14"/>
        <v>1</v>
      </c>
      <c r="BJ850" s="18">
        <f>PRODUCT($BI$5:BI850)</f>
        <v>0.32656797278968008</v>
      </c>
      <c r="BK850" s="20">
        <f>1 - Audit[[#This Row],[K-M P Value]]</f>
        <v>0.67343202721031992</v>
      </c>
      <c r="BL850" s="18" t="str">
        <f>IF(Audit[[#This Row],[K-M P Value]]&gt;1-'General Info'!$B$12,"Continue", "Stop")</f>
        <v>Continue</v>
      </c>
      <c r="BM850" s="23" t="b">
        <f>IF(Audit[[#This Row],[Status - Continue or stop audit]] = "Continue", TRUE, IF(BL849 = "Continue", TRUE, FALSE))</f>
        <v>1</v>
      </c>
      <c r="BN850" s="23"/>
    </row>
    <row r="851" spans="1:66" ht="15" hidden="1" customHeight="1" x14ac:dyDescent="0.35">
      <c r="A851" s="18" t="str">
        <f>'Sampling Data'!AI851</f>
        <v/>
      </c>
      <c r="B851" s="18" t="str">
        <f>'Sampling Data'!A851</f>
        <v>4611 READ 1-A   (ED)</v>
      </c>
      <c r="C851" s="18">
        <f>'Sampling Data'!B851</f>
        <v>121</v>
      </c>
      <c r="D851" s="18">
        <f>'Sampling Data'!C851</f>
        <v>38</v>
      </c>
      <c r="E851" s="19">
        <f>'Sampling Data'!D851</f>
        <v>0</v>
      </c>
      <c r="F851" s="19">
        <f>'Sampling Data'!E851</f>
        <v>0</v>
      </c>
      <c r="G851" s="19">
        <f>'Sampling Data'!F851</f>
        <v>0</v>
      </c>
      <c r="H851" s="19">
        <f>'Sampling Data'!G851</f>
        <v>0</v>
      </c>
      <c r="I851" s="19">
        <f>'Sampling Data'!H851</f>
        <v>0</v>
      </c>
      <c r="J851" s="19">
        <f>'Sampling Data'!I851</f>
        <v>0</v>
      </c>
      <c r="K851" s="19">
        <f>'Sampling Data'!J851</f>
        <v>0</v>
      </c>
      <c r="L851" s="19">
        <f>'Sampling Data'!K851</f>
        <v>0</v>
      </c>
      <c r="M851" s="19">
        <f>'Sampling Data'!L851</f>
        <v>0</v>
      </c>
      <c r="N851" s="19">
        <f>'Sampling Data'!M851</f>
        <v>0</v>
      </c>
      <c r="O851" s="18">
        <f>'Sampling Data'!N851</f>
        <v>0</v>
      </c>
      <c r="P851" s="18">
        <f>'Sampling Data'!O851</f>
        <v>12</v>
      </c>
      <c r="Q851" s="18">
        <f>'Sampling Data'!P851</f>
        <v>171</v>
      </c>
      <c r="R851" s="18">
        <f>'Sampling Data'!AJ851</f>
        <v>0</v>
      </c>
      <c r="S851" s="112"/>
      <c r="T851" s="112"/>
      <c r="U851" s="113"/>
      <c r="V851" s="113"/>
      <c r="W851" s="112"/>
      <c r="X851" s="112"/>
      <c r="Y851" s="112"/>
      <c r="Z851" s="112"/>
      <c r="AA851" s="15"/>
      <c r="AB851" s="15"/>
      <c r="AC851" s="15"/>
      <c r="AD851" s="15"/>
      <c r="AE851" s="114" t="str">
        <f>IF(NOT(ISBLANK(Audit[[#This Row],[Audit Winning Candidate]])), Audit[[#This Row],[Audit Winning Candidate]]-Audit[[#This Row],[Winning Candidate]], "")</f>
        <v/>
      </c>
      <c r="AF851" s="18" t="str">
        <f>IF(NOT(ISBLANK(Audit[[#This Row],[Audit Losing Candidate]])), Audit[[#This Row],[Audit Losing Candidate]]-Audit[[#This Row],[Losing Candidate]], "")</f>
        <v/>
      </c>
      <c r="AG851" s="18" t="str">
        <f>IF(NOT(ISBLANK(Audit[[#This Row],[Audit Candidate 3]])), Audit[[#This Row],[Audit Candidate 3]]-Audit[[#This Row],[Candidate 3]], "")</f>
        <v/>
      </c>
      <c r="AH851" s="18" t="str">
        <f>IF(NOT(ISBLANK(Audit[[#This Row],[Audit Candidate 4]])),Audit[[#This Row],[Audit Candidate 4]]-Audit[[#This Row],[Candidate 4]], "")</f>
        <v/>
      </c>
      <c r="AI851" s="18" t="str">
        <f>IF(NOT(ISBLANK(Audit[[#This Row],[Audit Candidate 5]])), Audit[[#This Row],[Audit Candidate 5]]-Audit[[#This Row],[Candidate 5]], "")</f>
        <v/>
      </c>
      <c r="AJ851" s="18" t="str">
        <f>IF(NOT(ISBLANK(Audit[[#This Row],[Audit Candidate 6]])), Audit[[#This Row],[Audit Candidate 6]]-Audit[[#This Row],[Candidate 6]], "")</f>
        <v/>
      </c>
      <c r="AK851" s="18" t="str">
        <f>IF(NOT(ISBLANK(Audit[[#This Row],[Audit Candidate 7]])), Audit[[#This Row],[Audit Candidate 7]]-Audit[[#This Row],[Candidate 7]], "")</f>
        <v/>
      </c>
      <c r="AL851" s="18" t="str">
        <f>IF(NOT(ISBLANK(Audit[[#This Row],[Audit Candidate 8]])), Audit[[#This Row],[Audit Candidate 8]]-Audit[[#This Row],[Candidate 8]], "")</f>
        <v/>
      </c>
      <c r="AM851" s="18" t="str">
        <f>IF(NOT(ISBLANK(Audit[[#This Row],[Audit Candidate 9]])), Audit[[#This Row],[Audit Candidate 9]]-Audit[[#This Row],[Candidate 9]], "")</f>
        <v/>
      </c>
      <c r="AN851" s="18" t="str">
        <f>IF(NOT(ISBLANK(Audit[[#This Row],[Audit Candidate 10]])), Audit[[#This Row],[Audit Candidate 10]]-Audit[[#This Row],[Candidate 10]], "")</f>
        <v/>
      </c>
      <c r="AO851" s="18" t="str">
        <f>IF(NOT(ISBLANK(Audit[[#This Row],[Audit Candidate 11]])), Audit[[#This Row],[Audit Candidate 11]]-Audit[[#This Row],[Candidate 11]], "")</f>
        <v/>
      </c>
      <c r="AP851" s="18" t="str">
        <f>IF(NOT(ISBLANK(Audit[[#This Row],[Audit Candidate 12]])), Audit[[#This Row],[Audit Candidate 12]]-Audit[[#This Row],[Candidate 12]], "")</f>
        <v/>
      </c>
      <c r="AQ851" s="18">
        <f>SUMIF(Audit[[#This Row],[Difference Winner]:[Difference Candidate 12]], "&gt;0")</f>
        <v>0</v>
      </c>
      <c r="AR851" s="18">
        <f>SUM(Audit[[#This Row],[Difference Winner]:[Difference Candidate 12]])</f>
        <v>0</v>
      </c>
      <c r="AS851" s="18">
        <f>IF(Audit[[#This Row],[Times p Drawn - With Replacement]]&gt;0, IF(Audit[[#This Row],[Canceled Differences]]&lt;0, Audit[[#This Row],[Max Differences]]+ABS(Audit[[#This Row],[Canceled Differences]]), Audit[[#This Row],[Max Differences]]), 0)</f>
        <v>0</v>
      </c>
      <c r="AT851" s="18">
        <f>'Sampling Data'!AB851</f>
        <v>7.9781386437164301E-3</v>
      </c>
      <c r="AU851" s="18">
        <f>IF(
      SUM(Audit[[#This Row],[Audit Losing Candidate]:[Audit Candidate 12]])
      &lt;&gt;0,
      (Audit[[#This Row],[Winning Candidate]]-Audit[[#This Row],[Losing Candidate]]-(Audit[[#This Row],[Audit Winning Candidate]]-Audit[[#This Row],[Audit Losing Candidate]]))/(Audit[[#Totals],[Winning Candidate]]-Audit[[#Totals],[Losing Candidate]]),
      0
)</f>
        <v>0</v>
      </c>
      <c r="AV8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8">
        <f>IF(Audit[[#This Row],[Max Relative Error (ep)]] = 0, 0, Audit[[#This Row],[Max Relative Error (ep)]]/Audit[[#This Row],[Error Bound (up) - Max. possible relative overstatement]])</f>
        <v>0</v>
      </c>
      <c r="BH8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1" s="18">
        <f t="shared" si="14"/>
        <v>1</v>
      </c>
      <c r="BJ851" s="18">
        <f>PRODUCT($BI$5:BI851)</f>
        <v>0.32656797278968008</v>
      </c>
      <c r="BK851" s="20">
        <f>1 - Audit[[#This Row],[K-M P Value]]</f>
        <v>0.67343202721031992</v>
      </c>
      <c r="BL851" s="18" t="str">
        <f>IF(Audit[[#This Row],[K-M P Value]]&gt;1-'General Info'!$B$12,"Continue", "Stop")</f>
        <v>Continue</v>
      </c>
      <c r="BM851" s="23" t="b">
        <f>IF(Audit[[#This Row],[Status - Continue or stop audit]] = "Continue", TRUE, IF(BL850 = "Continue", TRUE, FALSE))</f>
        <v>1</v>
      </c>
      <c r="BN851" s="23"/>
    </row>
    <row r="852" spans="1:66" ht="15" hidden="1" customHeight="1" x14ac:dyDescent="0.35">
      <c r="A852" s="18" t="str">
        <f>'Sampling Data'!AI852</f>
        <v/>
      </c>
      <c r="B852" s="18" t="str">
        <f>'Sampling Data'!A852</f>
        <v>4612 READ 1-B   (ED)</v>
      </c>
      <c r="C852" s="18">
        <f>'Sampling Data'!B852</f>
        <v>19</v>
      </c>
      <c r="D852" s="18">
        <f>'Sampling Data'!C852</f>
        <v>8</v>
      </c>
      <c r="E852" s="19">
        <f>'Sampling Data'!D852</f>
        <v>0</v>
      </c>
      <c r="F852" s="19">
        <f>'Sampling Data'!E852</f>
        <v>0</v>
      </c>
      <c r="G852" s="19">
        <f>'Sampling Data'!F852</f>
        <v>0</v>
      </c>
      <c r="H852" s="19">
        <f>'Sampling Data'!G852</f>
        <v>0</v>
      </c>
      <c r="I852" s="19">
        <f>'Sampling Data'!H852</f>
        <v>0</v>
      </c>
      <c r="J852" s="19">
        <f>'Sampling Data'!I852</f>
        <v>0</v>
      </c>
      <c r="K852" s="19">
        <f>'Sampling Data'!J852</f>
        <v>0</v>
      </c>
      <c r="L852" s="19">
        <f>'Sampling Data'!K852</f>
        <v>0</v>
      </c>
      <c r="M852" s="19">
        <f>'Sampling Data'!L852</f>
        <v>0</v>
      </c>
      <c r="N852" s="19">
        <f>'Sampling Data'!M852</f>
        <v>0</v>
      </c>
      <c r="O852" s="18">
        <f>'Sampling Data'!N852</f>
        <v>0</v>
      </c>
      <c r="P852" s="18">
        <f>'Sampling Data'!O852</f>
        <v>0</v>
      </c>
      <c r="Q852" s="18">
        <f>'Sampling Data'!P852</f>
        <v>27</v>
      </c>
      <c r="R852" s="18">
        <f>'Sampling Data'!AJ852</f>
        <v>0</v>
      </c>
      <c r="S852" s="112"/>
      <c r="T852" s="112"/>
      <c r="U852" s="113"/>
      <c r="V852" s="113"/>
      <c r="W852" s="112"/>
      <c r="X852" s="112"/>
      <c r="Y852" s="112"/>
      <c r="Z852" s="112"/>
      <c r="AA852" s="15"/>
      <c r="AB852" s="15"/>
      <c r="AC852" s="15"/>
      <c r="AD852" s="15"/>
      <c r="AE852" s="114" t="str">
        <f>IF(NOT(ISBLANK(Audit[[#This Row],[Audit Winning Candidate]])), Audit[[#This Row],[Audit Winning Candidate]]-Audit[[#This Row],[Winning Candidate]], "")</f>
        <v/>
      </c>
      <c r="AF852" s="18" t="str">
        <f>IF(NOT(ISBLANK(Audit[[#This Row],[Audit Losing Candidate]])), Audit[[#This Row],[Audit Losing Candidate]]-Audit[[#This Row],[Losing Candidate]], "")</f>
        <v/>
      </c>
      <c r="AG852" s="18" t="str">
        <f>IF(NOT(ISBLANK(Audit[[#This Row],[Audit Candidate 3]])), Audit[[#This Row],[Audit Candidate 3]]-Audit[[#This Row],[Candidate 3]], "")</f>
        <v/>
      </c>
      <c r="AH852" s="18" t="str">
        <f>IF(NOT(ISBLANK(Audit[[#This Row],[Audit Candidate 4]])),Audit[[#This Row],[Audit Candidate 4]]-Audit[[#This Row],[Candidate 4]], "")</f>
        <v/>
      </c>
      <c r="AI852" s="18" t="str">
        <f>IF(NOT(ISBLANK(Audit[[#This Row],[Audit Candidate 5]])), Audit[[#This Row],[Audit Candidate 5]]-Audit[[#This Row],[Candidate 5]], "")</f>
        <v/>
      </c>
      <c r="AJ852" s="18" t="str">
        <f>IF(NOT(ISBLANK(Audit[[#This Row],[Audit Candidate 6]])), Audit[[#This Row],[Audit Candidate 6]]-Audit[[#This Row],[Candidate 6]], "")</f>
        <v/>
      </c>
      <c r="AK852" s="18" t="str">
        <f>IF(NOT(ISBLANK(Audit[[#This Row],[Audit Candidate 7]])), Audit[[#This Row],[Audit Candidate 7]]-Audit[[#This Row],[Candidate 7]], "")</f>
        <v/>
      </c>
      <c r="AL852" s="18" t="str">
        <f>IF(NOT(ISBLANK(Audit[[#This Row],[Audit Candidate 8]])), Audit[[#This Row],[Audit Candidate 8]]-Audit[[#This Row],[Candidate 8]], "")</f>
        <v/>
      </c>
      <c r="AM852" s="18" t="str">
        <f>IF(NOT(ISBLANK(Audit[[#This Row],[Audit Candidate 9]])), Audit[[#This Row],[Audit Candidate 9]]-Audit[[#This Row],[Candidate 9]], "")</f>
        <v/>
      </c>
      <c r="AN852" s="18" t="str">
        <f>IF(NOT(ISBLANK(Audit[[#This Row],[Audit Candidate 10]])), Audit[[#This Row],[Audit Candidate 10]]-Audit[[#This Row],[Candidate 10]], "")</f>
        <v/>
      </c>
      <c r="AO852" s="18" t="str">
        <f>IF(NOT(ISBLANK(Audit[[#This Row],[Audit Candidate 11]])), Audit[[#This Row],[Audit Candidate 11]]-Audit[[#This Row],[Candidate 11]], "")</f>
        <v/>
      </c>
      <c r="AP852" s="18" t="str">
        <f>IF(NOT(ISBLANK(Audit[[#This Row],[Audit Candidate 12]])), Audit[[#This Row],[Audit Candidate 12]]-Audit[[#This Row],[Candidate 12]], "")</f>
        <v/>
      </c>
      <c r="AQ852" s="18">
        <f>SUMIF(Audit[[#This Row],[Difference Winner]:[Difference Candidate 12]], "&gt;0")</f>
        <v>0</v>
      </c>
      <c r="AR852" s="18">
        <f>SUM(Audit[[#This Row],[Difference Winner]:[Difference Candidate 12]])</f>
        <v>0</v>
      </c>
      <c r="AS852" s="18">
        <f>IF(Audit[[#This Row],[Times p Drawn - With Replacement]]&gt;0, IF(Audit[[#This Row],[Canceled Differences]]&lt;0, Audit[[#This Row],[Max Differences]]+ABS(Audit[[#This Row],[Canceled Differences]]), Audit[[#This Row],[Max Differences]]), 0)</f>
        <v>0</v>
      </c>
      <c r="AT852" s="18">
        <f>'Sampling Data'!AB852</f>
        <v>1.1935797970914345E-3</v>
      </c>
      <c r="AU852" s="18">
        <f>IF(
      SUM(Audit[[#This Row],[Audit Losing Candidate]:[Audit Candidate 12]])
      &lt;&gt;0,
      (Audit[[#This Row],[Winning Candidate]]-Audit[[#This Row],[Losing Candidate]]-(Audit[[#This Row],[Audit Winning Candidate]]-Audit[[#This Row],[Audit Losing Candidate]]))/(Audit[[#Totals],[Winning Candidate]]-Audit[[#Totals],[Losing Candidate]]),
      0
)</f>
        <v>0</v>
      </c>
      <c r="AV8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8">
        <f>IF(Audit[[#This Row],[Max Relative Error (ep)]] = 0, 0, Audit[[#This Row],[Max Relative Error (ep)]]/Audit[[#This Row],[Error Bound (up) - Max. possible relative overstatement]])</f>
        <v>0</v>
      </c>
      <c r="BH8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2" s="18">
        <f t="shared" si="14"/>
        <v>1</v>
      </c>
      <c r="BJ852" s="18">
        <f>PRODUCT($BI$5:BI852)</f>
        <v>0.32656797278968008</v>
      </c>
      <c r="BK852" s="20">
        <f>1 - Audit[[#This Row],[K-M P Value]]</f>
        <v>0.67343202721031992</v>
      </c>
      <c r="BL852" s="18" t="str">
        <f>IF(Audit[[#This Row],[K-M P Value]]&gt;1-'General Info'!$B$12,"Continue", "Stop")</f>
        <v>Continue</v>
      </c>
      <c r="BM852" s="23" t="b">
        <f>IF(Audit[[#This Row],[Status - Continue or stop audit]] = "Continue", TRUE, IF(BL851 = "Continue", TRUE, FALSE))</f>
        <v>1</v>
      </c>
      <c r="BN852" s="23"/>
    </row>
    <row r="853" spans="1:66" ht="15" hidden="1" customHeight="1" x14ac:dyDescent="0.35">
      <c r="A853" s="18" t="str">
        <f>'Sampling Data'!AI853</f>
        <v/>
      </c>
      <c r="B853" s="18" t="str">
        <f>'Sampling Data'!A853</f>
        <v>4621 READ 2-A   (ED)</v>
      </c>
      <c r="C853" s="18">
        <f>'Sampling Data'!B853</f>
        <v>87</v>
      </c>
      <c r="D853" s="18">
        <f>'Sampling Data'!C853</f>
        <v>13</v>
      </c>
      <c r="E853" s="19">
        <f>'Sampling Data'!D853</f>
        <v>0</v>
      </c>
      <c r="F853" s="19">
        <f>'Sampling Data'!E853</f>
        <v>0</v>
      </c>
      <c r="G853" s="19">
        <f>'Sampling Data'!F853</f>
        <v>0</v>
      </c>
      <c r="H853" s="19">
        <f>'Sampling Data'!G853</f>
        <v>0</v>
      </c>
      <c r="I853" s="19">
        <f>'Sampling Data'!H853</f>
        <v>0</v>
      </c>
      <c r="J853" s="19">
        <f>'Sampling Data'!I853</f>
        <v>0</v>
      </c>
      <c r="K853" s="19">
        <f>'Sampling Data'!J853</f>
        <v>0</v>
      </c>
      <c r="L853" s="19">
        <f>'Sampling Data'!K853</f>
        <v>0</v>
      </c>
      <c r="M853" s="19">
        <f>'Sampling Data'!L853</f>
        <v>0</v>
      </c>
      <c r="N853" s="19">
        <f>'Sampling Data'!M853</f>
        <v>0</v>
      </c>
      <c r="O853" s="18">
        <f>'Sampling Data'!N853</f>
        <v>0</v>
      </c>
      <c r="P853" s="18">
        <f>'Sampling Data'!O853</f>
        <v>8</v>
      </c>
      <c r="Q853" s="18">
        <f>'Sampling Data'!P853</f>
        <v>108</v>
      </c>
      <c r="R853" s="18">
        <f>'Sampling Data'!AJ853</f>
        <v>0</v>
      </c>
      <c r="S853" s="112"/>
      <c r="T853" s="112"/>
      <c r="U853" s="113"/>
      <c r="V853" s="113"/>
      <c r="W853" s="112"/>
      <c r="X853" s="112"/>
      <c r="Y853" s="112"/>
      <c r="Z853" s="112"/>
      <c r="AA853" s="15"/>
      <c r="AB853" s="15"/>
      <c r="AC853" s="15"/>
      <c r="AD853" s="15"/>
      <c r="AE853" s="114" t="str">
        <f>IF(NOT(ISBLANK(Audit[[#This Row],[Audit Winning Candidate]])), Audit[[#This Row],[Audit Winning Candidate]]-Audit[[#This Row],[Winning Candidate]], "")</f>
        <v/>
      </c>
      <c r="AF853" s="18" t="str">
        <f>IF(NOT(ISBLANK(Audit[[#This Row],[Audit Losing Candidate]])), Audit[[#This Row],[Audit Losing Candidate]]-Audit[[#This Row],[Losing Candidate]], "")</f>
        <v/>
      </c>
      <c r="AG853" s="18" t="str">
        <f>IF(NOT(ISBLANK(Audit[[#This Row],[Audit Candidate 3]])), Audit[[#This Row],[Audit Candidate 3]]-Audit[[#This Row],[Candidate 3]], "")</f>
        <v/>
      </c>
      <c r="AH853" s="18" t="str">
        <f>IF(NOT(ISBLANK(Audit[[#This Row],[Audit Candidate 4]])),Audit[[#This Row],[Audit Candidate 4]]-Audit[[#This Row],[Candidate 4]], "")</f>
        <v/>
      </c>
      <c r="AI853" s="18" t="str">
        <f>IF(NOT(ISBLANK(Audit[[#This Row],[Audit Candidate 5]])), Audit[[#This Row],[Audit Candidate 5]]-Audit[[#This Row],[Candidate 5]], "")</f>
        <v/>
      </c>
      <c r="AJ853" s="18" t="str">
        <f>IF(NOT(ISBLANK(Audit[[#This Row],[Audit Candidate 6]])), Audit[[#This Row],[Audit Candidate 6]]-Audit[[#This Row],[Candidate 6]], "")</f>
        <v/>
      </c>
      <c r="AK853" s="18" t="str">
        <f>IF(NOT(ISBLANK(Audit[[#This Row],[Audit Candidate 7]])), Audit[[#This Row],[Audit Candidate 7]]-Audit[[#This Row],[Candidate 7]], "")</f>
        <v/>
      </c>
      <c r="AL853" s="18" t="str">
        <f>IF(NOT(ISBLANK(Audit[[#This Row],[Audit Candidate 8]])), Audit[[#This Row],[Audit Candidate 8]]-Audit[[#This Row],[Candidate 8]], "")</f>
        <v/>
      </c>
      <c r="AM853" s="18" t="str">
        <f>IF(NOT(ISBLANK(Audit[[#This Row],[Audit Candidate 9]])), Audit[[#This Row],[Audit Candidate 9]]-Audit[[#This Row],[Candidate 9]], "")</f>
        <v/>
      </c>
      <c r="AN853" s="18" t="str">
        <f>IF(NOT(ISBLANK(Audit[[#This Row],[Audit Candidate 10]])), Audit[[#This Row],[Audit Candidate 10]]-Audit[[#This Row],[Candidate 10]], "")</f>
        <v/>
      </c>
      <c r="AO853" s="18" t="str">
        <f>IF(NOT(ISBLANK(Audit[[#This Row],[Audit Candidate 11]])), Audit[[#This Row],[Audit Candidate 11]]-Audit[[#This Row],[Candidate 11]], "")</f>
        <v/>
      </c>
      <c r="AP853" s="18" t="str">
        <f>IF(NOT(ISBLANK(Audit[[#This Row],[Audit Candidate 12]])), Audit[[#This Row],[Audit Candidate 12]]-Audit[[#This Row],[Candidate 12]], "")</f>
        <v/>
      </c>
      <c r="AQ853" s="18">
        <f>SUMIF(Audit[[#This Row],[Difference Winner]:[Difference Candidate 12]], "&gt;0")</f>
        <v>0</v>
      </c>
      <c r="AR853" s="18">
        <f>SUM(Audit[[#This Row],[Difference Winner]:[Difference Candidate 12]])</f>
        <v>0</v>
      </c>
      <c r="AS853" s="18">
        <f>IF(Audit[[#This Row],[Times p Drawn - With Replacement]]&gt;0, IF(Audit[[#This Row],[Canceled Differences]]&lt;0, Audit[[#This Row],[Max Differences]]+ABS(Audit[[#This Row],[Canceled Differences]]), Audit[[#This Row],[Max Differences]]), 0)</f>
        <v>0</v>
      </c>
      <c r="AT853" s="18">
        <f>'Sampling Data'!AB853</f>
        <v>5.7166190281747655E-3</v>
      </c>
      <c r="AU853" s="18">
        <f>IF(
      SUM(Audit[[#This Row],[Audit Losing Candidate]:[Audit Candidate 12]])
      &lt;&gt;0,
      (Audit[[#This Row],[Winning Candidate]]-Audit[[#This Row],[Losing Candidate]]-(Audit[[#This Row],[Audit Winning Candidate]]-Audit[[#This Row],[Audit Losing Candidate]]))/(Audit[[#Totals],[Winning Candidate]]-Audit[[#Totals],[Losing Candidate]]),
      0
)</f>
        <v>0</v>
      </c>
      <c r="AV8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8">
        <f>IF(Audit[[#This Row],[Max Relative Error (ep)]] = 0, 0, Audit[[#This Row],[Max Relative Error (ep)]]/Audit[[#This Row],[Error Bound (up) - Max. possible relative overstatement]])</f>
        <v>0</v>
      </c>
      <c r="BH8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3" s="18">
        <f t="shared" si="14"/>
        <v>1</v>
      </c>
      <c r="BJ853" s="18">
        <f>PRODUCT($BI$5:BI853)</f>
        <v>0.32656797278968008</v>
      </c>
      <c r="BK853" s="20">
        <f>1 - Audit[[#This Row],[K-M P Value]]</f>
        <v>0.67343202721031992</v>
      </c>
      <c r="BL853" s="18" t="str">
        <f>IF(Audit[[#This Row],[K-M P Value]]&gt;1-'General Info'!$B$12,"Continue", "Stop")</f>
        <v>Continue</v>
      </c>
      <c r="BM853" s="23" t="b">
        <f>IF(Audit[[#This Row],[Status - Continue or stop audit]] = "Continue", TRUE, IF(BL852 = "Continue", TRUE, FALSE))</f>
        <v>1</v>
      </c>
      <c r="BN853" s="23"/>
    </row>
    <row r="854" spans="1:66" ht="15" hidden="1" customHeight="1" x14ac:dyDescent="0.35">
      <c r="A854" s="18" t="str">
        <f>'Sampling Data'!AI854</f>
        <v/>
      </c>
      <c r="B854" s="18" t="str">
        <f>'Sampling Data'!A854</f>
        <v>4622 READ 2-B   (ED)</v>
      </c>
      <c r="C854" s="18">
        <f>'Sampling Data'!B854</f>
        <v>64</v>
      </c>
      <c r="D854" s="18">
        <f>'Sampling Data'!C854</f>
        <v>15</v>
      </c>
      <c r="E854" s="19">
        <f>'Sampling Data'!D854</f>
        <v>0</v>
      </c>
      <c r="F854" s="19">
        <f>'Sampling Data'!E854</f>
        <v>0</v>
      </c>
      <c r="G854" s="19">
        <f>'Sampling Data'!F854</f>
        <v>0</v>
      </c>
      <c r="H854" s="19">
        <f>'Sampling Data'!G854</f>
        <v>0</v>
      </c>
      <c r="I854" s="19">
        <f>'Sampling Data'!H854</f>
        <v>0</v>
      </c>
      <c r="J854" s="19">
        <f>'Sampling Data'!I854</f>
        <v>0</v>
      </c>
      <c r="K854" s="19">
        <f>'Sampling Data'!J854</f>
        <v>0</v>
      </c>
      <c r="L854" s="19">
        <f>'Sampling Data'!K854</f>
        <v>0</v>
      </c>
      <c r="M854" s="19">
        <f>'Sampling Data'!L854</f>
        <v>0</v>
      </c>
      <c r="N854" s="19">
        <f>'Sampling Data'!M854</f>
        <v>0</v>
      </c>
      <c r="O854" s="18">
        <f>'Sampling Data'!N854</f>
        <v>1</v>
      </c>
      <c r="P854" s="18">
        <f>'Sampling Data'!O854</f>
        <v>4</v>
      </c>
      <c r="Q854" s="18">
        <f>'Sampling Data'!P854</f>
        <v>84</v>
      </c>
      <c r="R854" s="18">
        <f>'Sampling Data'!AJ854</f>
        <v>0</v>
      </c>
      <c r="S854" s="112"/>
      <c r="T854" s="112"/>
      <c r="U854" s="113"/>
      <c r="V854" s="113"/>
      <c r="W854" s="112"/>
      <c r="X854" s="112"/>
      <c r="Y854" s="112"/>
      <c r="Z854" s="112"/>
      <c r="AA854" s="15"/>
      <c r="AB854" s="15"/>
      <c r="AC854" s="15"/>
      <c r="AD854" s="15"/>
      <c r="AE854" s="114" t="str">
        <f>IF(NOT(ISBLANK(Audit[[#This Row],[Audit Winning Candidate]])), Audit[[#This Row],[Audit Winning Candidate]]-Audit[[#This Row],[Winning Candidate]], "")</f>
        <v/>
      </c>
      <c r="AF854" s="18" t="str">
        <f>IF(NOT(ISBLANK(Audit[[#This Row],[Audit Losing Candidate]])), Audit[[#This Row],[Audit Losing Candidate]]-Audit[[#This Row],[Losing Candidate]], "")</f>
        <v/>
      </c>
      <c r="AG854" s="18" t="str">
        <f>IF(NOT(ISBLANK(Audit[[#This Row],[Audit Candidate 3]])), Audit[[#This Row],[Audit Candidate 3]]-Audit[[#This Row],[Candidate 3]], "")</f>
        <v/>
      </c>
      <c r="AH854" s="18" t="str">
        <f>IF(NOT(ISBLANK(Audit[[#This Row],[Audit Candidate 4]])),Audit[[#This Row],[Audit Candidate 4]]-Audit[[#This Row],[Candidate 4]], "")</f>
        <v/>
      </c>
      <c r="AI854" s="18" t="str">
        <f>IF(NOT(ISBLANK(Audit[[#This Row],[Audit Candidate 5]])), Audit[[#This Row],[Audit Candidate 5]]-Audit[[#This Row],[Candidate 5]], "")</f>
        <v/>
      </c>
      <c r="AJ854" s="18" t="str">
        <f>IF(NOT(ISBLANK(Audit[[#This Row],[Audit Candidate 6]])), Audit[[#This Row],[Audit Candidate 6]]-Audit[[#This Row],[Candidate 6]], "")</f>
        <v/>
      </c>
      <c r="AK854" s="18" t="str">
        <f>IF(NOT(ISBLANK(Audit[[#This Row],[Audit Candidate 7]])), Audit[[#This Row],[Audit Candidate 7]]-Audit[[#This Row],[Candidate 7]], "")</f>
        <v/>
      </c>
      <c r="AL854" s="18" t="str">
        <f>IF(NOT(ISBLANK(Audit[[#This Row],[Audit Candidate 8]])), Audit[[#This Row],[Audit Candidate 8]]-Audit[[#This Row],[Candidate 8]], "")</f>
        <v/>
      </c>
      <c r="AM854" s="18" t="str">
        <f>IF(NOT(ISBLANK(Audit[[#This Row],[Audit Candidate 9]])), Audit[[#This Row],[Audit Candidate 9]]-Audit[[#This Row],[Candidate 9]], "")</f>
        <v/>
      </c>
      <c r="AN854" s="18" t="str">
        <f>IF(NOT(ISBLANK(Audit[[#This Row],[Audit Candidate 10]])), Audit[[#This Row],[Audit Candidate 10]]-Audit[[#This Row],[Candidate 10]], "")</f>
        <v/>
      </c>
      <c r="AO854" s="18" t="str">
        <f>IF(NOT(ISBLANK(Audit[[#This Row],[Audit Candidate 11]])), Audit[[#This Row],[Audit Candidate 11]]-Audit[[#This Row],[Candidate 11]], "")</f>
        <v/>
      </c>
      <c r="AP854" s="18" t="str">
        <f>IF(NOT(ISBLANK(Audit[[#This Row],[Audit Candidate 12]])), Audit[[#This Row],[Audit Candidate 12]]-Audit[[#This Row],[Candidate 12]], "")</f>
        <v/>
      </c>
      <c r="AQ854" s="18">
        <f>SUMIF(Audit[[#This Row],[Difference Winner]:[Difference Candidate 12]], "&gt;0")</f>
        <v>0</v>
      </c>
      <c r="AR854" s="18">
        <f>SUM(Audit[[#This Row],[Difference Winner]:[Difference Candidate 12]])</f>
        <v>0</v>
      </c>
      <c r="AS854" s="18">
        <f>IF(Audit[[#This Row],[Times p Drawn - With Replacement]]&gt;0, IF(Audit[[#This Row],[Canceled Differences]]&lt;0, Audit[[#This Row],[Max Differences]]+ABS(Audit[[#This Row],[Canceled Differences]]), Audit[[#This Row],[Max Differences]]), 0)</f>
        <v>0</v>
      </c>
      <c r="AT854" s="18">
        <f>'Sampling Data'!AB854</f>
        <v>4.1775292898200206E-3</v>
      </c>
      <c r="AU854" s="18">
        <f>IF(
      SUM(Audit[[#This Row],[Audit Losing Candidate]:[Audit Candidate 12]])
      &lt;&gt;0,
      (Audit[[#This Row],[Winning Candidate]]-Audit[[#This Row],[Losing Candidate]]-(Audit[[#This Row],[Audit Winning Candidate]]-Audit[[#This Row],[Audit Losing Candidate]]))/(Audit[[#Totals],[Winning Candidate]]-Audit[[#Totals],[Losing Candidate]]),
      0
)</f>
        <v>0</v>
      </c>
      <c r="AV8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8">
        <f>IF(Audit[[#This Row],[Max Relative Error (ep)]] = 0, 0, Audit[[#This Row],[Max Relative Error (ep)]]/Audit[[#This Row],[Error Bound (up) - Max. possible relative overstatement]])</f>
        <v>0</v>
      </c>
      <c r="BH8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4" s="18">
        <f t="shared" si="14"/>
        <v>1</v>
      </c>
      <c r="BJ854" s="18">
        <f>PRODUCT($BI$5:BI854)</f>
        <v>0.32656797278968008</v>
      </c>
      <c r="BK854" s="20">
        <f>1 - Audit[[#This Row],[K-M P Value]]</f>
        <v>0.67343202721031992</v>
      </c>
      <c r="BL854" s="18" t="str">
        <f>IF(Audit[[#This Row],[K-M P Value]]&gt;1-'General Info'!$B$12,"Continue", "Stop")</f>
        <v>Continue</v>
      </c>
      <c r="BM854" s="23" t="b">
        <f>IF(Audit[[#This Row],[Status - Continue or stop audit]] = "Continue", TRUE, IF(BL853 = "Continue", TRUE, FALSE))</f>
        <v>1</v>
      </c>
      <c r="BN854" s="23"/>
    </row>
    <row r="855" spans="1:66" ht="15" hidden="1" customHeight="1" x14ac:dyDescent="0.35">
      <c r="A855" s="18" t="str">
        <f>'Sampling Data'!AI855</f>
        <v/>
      </c>
      <c r="B855" s="18" t="str">
        <f>'Sampling Data'!A855</f>
        <v>4631 READ 3-A   (ED)</v>
      </c>
      <c r="C855" s="18">
        <f>'Sampling Data'!B855</f>
        <v>118</v>
      </c>
      <c r="D855" s="18">
        <f>'Sampling Data'!C855</f>
        <v>19</v>
      </c>
      <c r="E855" s="19">
        <f>'Sampling Data'!D855</f>
        <v>0</v>
      </c>
      <c r="F855" s="19">
        <f>'Sampling Data'!E855</f>
        <v>0</v>
      </c>
      <c r="G855" s="19">
        <f>'Sampling Data'!F855</f>
        <v>0</v>
      </c>
      <c r="H855" s="19">
        <f>'Sampling Data'!G855</f>
        <v>0</v>
      </c>
      <c r="I855" s="19">
        <f>'Sampling Data'!H855</f>
        <v>0</v>
      </c>
      <c r="J855" s="19">
        <f>'Sampling Data'!I855</f>
        <v>0</v>
      </c>
      <c r="K855" s="19">
        <f>'Sampling Data'!J855</f>
        <v>0</v>
      </c>
      <c r="L855" s="19">
        <f>'Sampling Data'!K855</f>
        <v>0</v>
      </c>
      <c r="M855" s="19">
        <f>'Sampling Data'!L855</f>
        <v>0</v>
      </c>
      <c r="N855" s="19">
        <f>'Sampling Data'!M855</f>
        <v>0</v>
      </c>
      <c r="O855" s="18">
        <f>'Sampling Data'!N855</f>
        <v>0</v>
      </c>
      <c r="P855" s="18">
        <f>'Sampling Data'!O855</f>
        <v>9</v>
      </c>
      <c r="Q855" s="18">
        <f>'Sampling Data'!P855</f>
        <v>146</v>
      </c>
      <c r="R855" s="18">
        <f>'Sampling Data'!AJ855</f>
        <v>0</v>
      </c>
      <c r="S855" s="112"/>
      <c r="T855" s="112"/>
      <c r="U855" s="113"/>
      <c r="V855" s="113"/>
      <c r="W855" s="112"/>
      <c r="X855" s="112"/>
      <c r="Y855" s="112"/>
      <c r="Z855" s="112"/>
      <c r="AA855" s="15"/>
      <c r="AB855" s="15"/>
      <c r="AC855" s="15"/>
      <c r="AD855" s="15"/>
      <c r="AE855" s="114" t="str">
        <f>IF(NOT(ISBLANK(Audit[[#This Row],[Audit Winning Candidate]])), Audit[[#This Row],[Audit Winning Candidate]]-Audit[[#This Row],[Winning Candidate]], "")</f>
        <v/>
      </c>
      <c r="AF855" s="18" t="str">
        <f>IF(NOT(ISBLANK(Audit[[#This Row],[Audit Losing Candidate]])), Audit[[#This Row],[Audit Losing Candidate]]-Audit[[#This Row],[Losing Candidate]], "")</f>
        <v/>
      </c>
      <c r="AG855" s="18" t="str">
        <f>IF(NOT(ISBLANK(Audit[[#This Row],[Audit Candidate 3]])), Audit[[#This Row],[Audit Candidate 3]]-Audit[[#This Row],[Candidate 3]], "")</f>
        <v/>
      </c>
      <c r="AH855" s="18" t="str">
        <f>IF(NOT(ISBLANK(Audit[[#This Row],[Audit Candidate 4]])),Audit[[#This Row],[Audit Candidate 4]]-Audit[[#This Row],[Candidate 4]], "")</f>
        <v/>
      </c>
      <c r="AI855" s="18" t="str">
        <f>IF(NOT(ISBLANK(Audit[[#This Row],[Audit Candidate 5]])), Audit[[#This Row],[Audit Candidate 5]]-Audit[[#This Row],[Candidate 5]], "")</f>
        <v/>
      </c>
      <c r="AJ855" s="18" t="str">
        <f>IF(NOT(ISBLANK(Audit[[#This Row],[Audit Candidate 6]])), Audit[[#This Row],[Audit Candidate 6]]-Audit[[#This Row],[Candidate 6]], "")</f>
        <v/>
      </c>
      <c r="AK855" s="18" t="str">
        <f>IF(NOT(ISBLANK(Audit[[#This Row],[Audit Candidate 7]])), Audit[[#This Row],[Audit Candidate 7]]-Audit[[#This Row],[Candidate 7]], "")</f>
        <v/>
      </c>
      <c r="AL855" s="18" t="str">
        <f>IF(NOT(ISBLANK(Audit[[#This Row],[Audit Candidate 8]])), Audit[[#This Row],[Audit Candidate 8]]-Audit[[#This Row],[Candidate 8]], "")</f>
        <v/>
      </c>
      <c r="AM855" s="18" t="str">
        <f>IF(NOT(ISBLANK(Audit[[#This Row],[Audit Candidate 9]])), Audit[[#This Row],[Audit Candidate 9]]-Audit[[#This Row],[Candidate 9]], "")</f>
        <v/>
      </c>
      <c r="AN855" s="18" t="str">
        <f>IF(NOT(ISBLANK(Audit[[#This Row],[Audit Candidate 10]])), Audit[[#This Row],[Audit Candidate 10]]-Audit[[#This Row],[Candidate 10]], "")</f>
        <v/>
      </c>
      <c r="AO855" s="18" t="str">
        <f>IF(NOT(ISBLANK(Audit[[#This Row],[Audit Candidate 11]])), Audit[[#This Row],[Audit Candidate 11]]-Audit[[#This Row],[Candidate 11]], "")</f>
        <v/>
      </c>
      <c r="AP855" s="18" t="str">
        <f>IF(NOT(ISBLANK(Audit[[#This Row],[Audit Candidate 12]])), Audit[[#This Row],[Audit Candidate 12]]-Audit[[#This Row],[Candidate 12]], "")</f>
        <v/>
      </c>
      <c r="AQ855" s="18">
        <f>SUMIF(Audit[[#This Row],[Difference Winner]:[Difference Candidate 12]], "&gt;0")</f>
        <v>0</v>
      </c>
      <c r="AR855" s="18">
        <f>SUM(Audit[[#This Row],[Difference Winner]:[Difference Candidate 12]])</f>
        <v>0</v>
      </c>
      <c r="AS855" s="18">
        <f>IF(Audit[[#This Row],[Times p Drawn - With Replacement]]&gt;0, IF(Audit[[#This Row],[Canceled Differences]]&lt;0, Audit[[#This Row],[Max Differences]]+ABS(Audit[[#This Row],[Canceled Differences]]), Audit[[#This Row],[Max Differences]]), 0)</f>
        <v>0</v>
      </c>
      <c r="AT855" s="18">
        <f>'Sampling Data'!AB855</f>
        <v>7.6954486917737222E-3</v>
      </c>
      <c r="AU855" s="18">
        <f>IF(
      SUM(Audit[[#This Row],[Audit Losing Candidate]:[Audit Candidate 12]])
      &lt;&gt;0,
      (Audit[[#This Row],[Winning Candidate]]-Audit[[#This Row],[Losing Candidate]]-(Audit[[#This Row],[Audit Winning Candidate]]-Audit[[#This Row],[Audit Losing Candidate]]))/(Audit[[#Totals],[Winning Candidate]]-Audit[[#Totals],[Losing Candidate]]),
      0
)</f>
        <v>0</v>
      </c>
      <c r="AV8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8">
        <f>IF(Audit[[#This Row],[Max Relative Error (ep)]] = 0, 0, Audit[[#This Row],[Max Relative Error (ep)]]/Audit[[#This Row],[Error Bound (up) - Max. possible relative overstatement]])</f>
        <v>0</v>
      </c>
      <c r="BH8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5" s="18">
        <f t="shared" si="14"/>
        <v>1</v>
      </c>
      <c r="BJ855" s="18">
        <f>PRODUCT($BI$5:BI855)</f>
        <v>0.32656797278968008</v>
      </c>
      <c r="BK855" s="20">
        <f>1 - Audit[[#This Row],[K-M P Value]]</f>
        <v>0.67343202721031992</v>
      </c>
      <c r="BL855" s="18" t="str">
        <f>IF(Audit[[#This Row],[K-M P Value]]&gt;1-'General Info'!$B$12,"Continue", "Stop")</f>
        <v>Continue</v>
      </c>
      <c r="BM855" s="23" t="b">
        <f>IF(Audit[[#This Row],[Status - Continue or stop audit]] = "Continue", TRUE, IF(BL854 = "Continue", TRUE, FALSE))</f>
        <v>1</v>
      </c>
      <c r="BN855" s="23"/>
    </row>
    <row r="856" spans="1:66" ht="15" hidden="1" customHeight="1" x14ac:dyDescent="0.35">
      <c r="A856" s="18" t="str">
        <f>'Sampling Data'!AI856</f>
        <v/>
      </c>
      <c r="B856" s="18" t="str">
        <f>'Sampling Data'!A856</f>
        <v>4632 READ 3-B   (ED)</v>
      </c>
      <c r="C856" s="18">
        <f>'Sampling Data'!B856</f>
        <v>120</v>
      </c>
      <c r="D856" s="18">
        <f>'Sampling Data'!C856</f>
        <v>20</v>
      </c>
      <c r="E856" s="19">
        <f>'Sampling Data'!D856</f>
        <v>0</v>
      </c>
      <c r="F856" s="19">
        <f>'Sampling Data'!E856</f>
        <v>0</v>
      </c>
      <c r="G856" s="19">
        <f>'Sampling Data'!F856</f>
        <v>0</v>
      </c>
      <c r="H856" s="19">
        <f>'Sampling Data'!G856</f>
        <v>0</v>
      </c>
      <c r="I856" s="19">
        <f>'Sampling Data'!H856</f>
        <v>0</v>
      </c>
      <c r="J856" s="19">
        <f>'Sampling Data'!I856</f>
        <v>0</v>
      </c>
      <c r="K856" s="19">
        <f>'Sampling Data'!J856</f>
        <v>0</v>
      </c>
      <c r="L856" s="19">
        <f>'Sampling Data'!K856</f>
        <v>0</v>
      </c>
      <c r="M856" s="19">
        <f>'Sampling Data'!L856</f>
        <v>0</v>
      </c>
      <c r="N856" s="19">
        <f>'Sampling Data'!M856</f>
        <v>0</v>
      </c>
      <c r="O856" s="18">
        <f>'Sampling Data'!N856</f>
        <v>0</v>
      </c>
      <c r="P856" s="18">
        <f>'Sampling Data'!O856</f>
        <v>12</v>
      </c>
      <c r="Q856" s="18">
        <f>'Sampling Data'!P856</f>
        <v>152</v>
      </c>
      <c r="R856" s="18">
        <f>'Sampling Data'!AJ856</f>
        <v>0</v>
      </c>
      <c r="S856" s="112"/>
      <c r="T856" s="112"/>
      <c r="U856" s="113"/>
      <c r="V856" s="113"/>
      <c r="W856" s="112"/>
      <c r="X856" s="112"/>
      <c r="Y856" s="112"/>
      <c r="Z856" s="112"/>
      <c r="AA856" s="15"/>
      <c r="AB856" s="15"/>
      <c r="AC856" s="15"/>
      <c r="AD856" s="15"/>
      <c r="AE856" s="114" t="str">
        <f>IF(NOT(ISBLANK(Audit[[#This Row],[Audit Winning Candidate]])), Audit[[#This Row],[Audit Winning Candidate]]-Audit[[#This Row],[Winning Candidate]], "")</f>
        <v/>
      </c>
      <c r="AF856" s="18" t="str">
        <f>IF(NOT(ISBLANK(Audit[[#This Row],[Audit Losing Candidate]])), Audit[[#This Row],[Audit Losing Candidate]]-Audit[[#This Row],[Losing Candidate]], "")</f>
        <v/>
      </c>
      <c r="AG856" s="18" t="str">
        <f>IF(NOT(ISBLANK(Audit[[#This Row],[Audit Candidate 3]])), Audit[[#This Row],[Audit Candidate 3]]-Audit[[#This Row],[Candidate 3]], "")</f>
        <v/>
      </c>
      <c r="AH856" s="18" t="str">
        <f>IF(NOT(ISBLANK(Audit[[#This Row],[Audit Candidate 4]])),Audit[[#This Row],[Audit Candidate 4]]-Audit[[#This Row],[Candidate 4]], "")</f>
        <v/>
      </c>
      <c r="AI856" s="18" t="str">
        <f>IF(NOT(ISBLANK(Audit[[#This Row],[Audit Candidate 5]])), Audit[[#This Row],[Audit Candidate 5]]-Audit[[#This Row],[Candidate 5]], "")</f>
        <v/>
      </c>
      <c r="AJ856" s="18" t="str">
        <f>IF(NOT(ISBLANK(Audit[[#This Row],[Audit Candidate 6]])), Audit[[#This Row],[Audit Candidate 6]]-Audit[[#This Row],[Candidate 6]], "")</f>
        <v/>
      </c>
      <c r="AK856" s="18" t="str">
        <f>IF(NOT(ISBLANK(Audit[[#This Row],[Audit Candidate 7]])), Audit[[#This Row],[Audit Candidate 7]]-Audit[[#This Row],[Candidate 7]], "")</f>
        <v/>
      </c>
      <c r="AL856" s="18" t="str">
        <f>IF(NOT(ISBLANK(Audit[[#This Row],[Audit Candidate 8]])), Audit[[#This Row],[Audit Candidate 8]]-Audit[[#This Row],[Candidate 8]], "")</f>
        <v/>
      </c>
      <c r="AM856" s="18" t="str">
        <f>IF(NOT(ISBLANK(Audit[[#This Row],[Audit Candidate 9]])), Audit[[#This Row],[Audit Candidate 9]]-Audit[[#This Row],[Candidate 9]], "")</f>
        <v/>
      </c>
      <c r="AN856" s="18" t="str">
        <f>IF(NOT(ISBLANK(Audit[[#This Row],[Audit Candidate 10]])), Audit[[#This Row],[Audit Candidate 10]]-Audit[[#This Row],[Candidate 10]], "")</f>
        <v/>
      </c>
      <c r="AO856" s="18" t="str">
        <f>IF(NOT(ISBLANK(Audit[[#This Row],[Audit Candidate 11]])), Audit[[#This Row],[Audit Candidate 11]]-Audit[[#This Row],[Candidate 11]], "")</f>
        <v/>
      </c>
      <c r="AP856" s="18" t="str">
        <f>IF(NOT(ISBLANK(Audit[[#This Row],[Audit Candidate 12]])), Audit[[#This Row],[Audit Candidate 12]]-Audit[[#This Row],[Candidate 12]], "")</f>
        <v/>
      </c>
      <c r="AQ856" s="18">
        <f>SUMIF(Audit[[#This Row],[Difference Winner]:[Difference Candidate 12]], "&gt;0")</f>
        <v>0</v>
      </c>
      <c r="AR856" s="18">
        <f>SUM(Audit[[#This Row],[Difference Winner]:[Difference Candidate 12]])</f>
        <v>0</v>
      </c>
      <c r="AS856" s="18">
        <f>IF(Audit[[#This Row],[Times p Drawn - With Replacement]]&gt;0, IF(Audit[[#This Row],[Canceled Differences]]&lt;0, Audit[[#This Row],[Max Differences]]+ABS(Audit[[#This Row],[Canceled Differences]]), Audit[[#This Row],[Max Differences]]), 0)</f>
        <v>0</v>
      </c>
      <c r="AT856" s="18">
        <f>'Sampling Data'!AB856</f>
        <v>7.9153186543958285E-3</v>
      </c>
      <c r="AU856" s="18">
        <f>IF(
      SUM(Audit[[#This Row],[Audit Losing Candidate]:[Audit Candidate 12]])
      &lt;&gt;0,
      (Audit[[#This Row],[Winning Candidate]]-Audit[[#This Row],[Losing Candidate]]-(Audit[[#This Row],[Audit Winning Candidate]]-Audit[[#This Row],[Audit Losing Candidate]]))/(Audit[[#Totals],[Winning Candidate]]-Audit[[#Totals],[Losing Candidate]]),
      0
)</f>
        <v>0</v>
      </c>
      <c r="AV8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8">
        <f>IF(Audit[[#This Row],[Max Relative Error (ep)]] = 0, 0, Audit[[#This Row],[Max Relative Error (ep)]]/Audit[[#This Row],[Error Bound (up) - Max. possible relative overstatement]])</f>
        <v>0</v>
      </c>
      <c r="BH8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6" s="18">
        <f t="shared" si="14"/>
        <v>1</v>
      </c>
      <c r="BJ856" s="18">
        <f>PRODUCT($BI$5:BI856)</f>
        <v>0.32656797278968008</v>
      </c>
      <c r="BK856" s="20">
        <f>1 - Audit[[#This Row],[K-M P Value]]</f>
        <v>0.67343202721031992</v>
      </c>
      <c r="BL856" s="18" t="str">
        <f>IF(Audit[[#This Row],[K-M P Value]]&gt;1-'General Info'!$B$12,"Continue", "Stop")</f>
        <v>Continue</v>
      </c>
      <c r="BM856" s="23" t="b">
        <f>IF(Audit[[#This Row],[Status - Continue or stop audit]] = "Continue", TRUE, IF(BL855 = "Continue", TRUE, FALSE))</f>
        <v>1</v>
      </c>
      <c r="BN856" s="23"/>
    </row>
    <row r="857" spans="1:66" ht="15" hidden="1" customHeight="1" x14ac:dyDescent="0.35">
      <c r="A857" s="18" t="str">
        <f>'Sampling Data'!AI857</f>
        <v/>
      </c>
      <c r="B857" s="18" t="str">
        <f>'Sampling Data'!A857</f>
        <v>4641 READ 4-A   (ED)</v>
      </c>
      <c r="C857" s="18">
        <f>'Sampling Data'!B857</f>
        <v>136</v>
      </c>
      <c r="D857" s="18">
        <f>'Sampling Data'!C857</f>
        <v>28</v>
      </c>
      <c r="E857" s="19">
        <f>'Sampling Data'!D857</f>
        <v>0</v>
      </c>
      <c r="F857" s="19">
        <f>'Sampling Data'!E857</f>
        <v>0</v>
      </c>
      <c r="G857" s="19">
        <f>'Sampling Data'!F857</f>
        <v>0</v>
      </c>
      <c r="H857" s="19">
        <f>'Sampling Data'!G857</f>
        <v>0</v>
      </c>
      <c r="I857" s="19">
        <f>'Sampling Data'!H857</f>
        <v>0</v>
      </c>
      <c r="J857" s="19">
        <f>'Sampling Data'!I857</f>
        <v>0</v>
      </c>
      <c r="K857" s="19">
        <f>'Sampling Data'!J857</f>
        <v>0</v>
      </c>
      <c r="L857" s="19">
        <f>'Sampling Data'!K857</f>
        <v>0</v>
      </c>
      <c r="M857" s="19">
        <f>'Sampling Data'!L857</f>
        <v>0</v>
      </c>
      <c r="N857" s="19">
        <f>'Sampling Data'!M857</f>
        <v>0</v>
      </c>
      <c r="O857" s="18">
        <f>'Sampling Data'!N857</f>
        <v>0</v>
      </c>
      <c r="P857" s="18">
        <f>'Sampling Data'!O857</f>
        <v>11</v>
      </c>
      <c r="Q857" s="18">
        <f>'Sampling Data'!P857</f>
        <v>175</v>
      </c>
      <c r="R857" s="18">
        <f>'Sampling Data'!AJ857</f>
        <v>0</v>
      </c>
      <c r="S857" s="112"/>
      <c r="T857" s="112"/>
      <c r="U857" s="113"/>
      <c r="V857" s="113"/>
      <c r="W857" s="112"/>
      <c r="X857" s="112"/>
      <c r="Y857" s="112"/>
      <c r="Z857" s="112"/>
      <c r="AA857" s="15"/>
      <c r="AB857" s="15"/>
      <c r="AC857" s="15"/>
      <c r="AD857" s="15"/>
      <c r="AE857" s="114" t="str">
        <f>IF(NOT(ISBLANK(Audit[[#This Row],[Audit Winning Candidate]])), Audit[[#This Row],[Audit Winning Candidate]]-Audit[[#This Row],[Winning Candidate]], "")</f>
        <v/>
      </c>
      <c r="AF857" s="18" t="str">
        <f>IF(NOT(ISBLANK(Audit[[#This Row],[Audit Losing Candidate]])), Audit[[#This Row],[Audit Losing Candidate]]-Audit[[#This Row],[Losing Candidate]], "")</f>
        <v/>
      </c>
      <c r="AG857" s="18" t="str">
        <f>IF(NOT(ISBLANK(Audit[[#This Row],[Audit Candidate 3]])), Audit[[#This Row],[Audit Candidate 3]]-Audit[[#This Row],[Candidate 3]], "")</f>
        <v/>
      </c>
      <c r="AH857" s="18" t="str">
        <f>IF(NOT(ISBLANK(Audit[[#This Row],[Audit Candidate 4]])),Audit[[#This Row],[Audit Candidate 4]]-Audit[[#This Row],[Candidate 4]], "")</f>
        <v/>
      </c>
      <c r="AI857" s="18" t="str">
        <f>IF(NOT(ISBLANK(Audit[[#This Row],[Audit Candidate 5]])), Audit[[#This Row],[Audit Candidate 5]]-Audit[[#This Row],[Candidate 5]], "")</f>
        <v/>
      </c>
      <c r="AJ857" s="18" t="str">
        <f>IF(NOT(ISBLANK(Audit[[#This Row],[Audit Candidate 6]])), Audit[[#This Row],[Audit Candidate 6]]-Audit[[#This Row],[Candidate 6]], "")</f>
        <v/>
      </c>
      <c r="AK857" s="18" t="str">
        <f>IF(NOT(ISBLANK(Audit[[#This Row],[Audit Candidate 7]])), Audit[[#This Row],[Audit Candidate 7]]-Audit[[#This Row],[Candidate 7]], "")</f>
        <v/>
      </c>
      <c r="AL857" s="18" t="str">
        <f>IF(NOT(ISBLANK(Audit[[#This Row],[Audit Candidate 8]])), Audit[[#This Row],[Audit Candidate 8]]-Audit[[#This Row],[Candidate 8]], "")</f>
        <v/>
      </c>
      <c r="AM857" s="18" t="str">
        <f>IF(NOT(ISBLANK(Audit[[#This Row],[Audit Candidate 9]])), Audit[[#This Row],[Audit Candidate 9]]-Audit[[#This Row],[Candidate 9]], "")</f>
        <v/>
      </c>
      <c r="AN857" s="18" t="str">
        <f>IF(NOT(ISBLANK(Audit[[#This Row],[Audit Candidate 10]])), Audit[[#This Row],[Audit Candidate 10]]-Audit[[#This Row],[Candidate 10]], "")</f>
        <v/>
      </c>
      <c r="AO857" s="18" t="str">
        <f>IF(NOT(ISBLANK(Audit[[#This Row],[Audit Candidate 11]])), Audit[[#This Row],[Audit Candidate 11]]-Audit[[#This Row],[Candidate 11]], "")</f>
        <v/>
      </c>
      <c r="AP857" s="18" t="str">
        <f>IF(NOT(ISBLANK(Audit[[#This Row],[Audit Candidate 12]])), Audit[[#This Row],[Audit Candidate 12]]-Audit[[#This Row],[Candidate 12]], "")</f>
        <v/>
      </c>
      <c r="AQ857" s="18">
        <f>SUMIF(Audit[[#This Row],[Difference Winner]:[Difference Candidate 12]], "&gt;0")</f>
        <v>0</v>
      </c>
      <c r="AR857" s="18">
        <f>SUM(Audit[[#This Row],[Difference Winner]:[Difference Candidate 12]])</f>
        <v>0</v>
      </c>
      <c r="AS857" s="18">
        <f>IF(Audit[[#This Row],[Times p Drawn - With Replacement]]&gt;0, IF(Audit[[#This Row],[Canceled Differences]]&lt;0, Audit[[#This Row],[Max Differences]]+ABS(Audit[[#This Row],[Canceled Differences]]), Audit[[#This Row],[Max Differences]]), 0)</f>
        <v>0</v>
      </c>
      <c r="AT857" s="18">
        <f>'Sampling Data'!AB857</f>
        <v>8.8890284888651569E-3</v>
      </c>
      <c r="AU857" s="18">
        <f>IF(
      SUM(Audit[[#This Row],[Audit Losing Candidate]:[Audit Candidate 12]])
      &lt;&gt;0,
      (Audit[[#This Row],[Winning Candidate]]-Audit[[#This Row],[Losing Candidate]]-(Audit[[#This Row],[Audit Winning Candidate]]-Audit[[#This Row],[Audit Losing Candidate]]))/(Audit[[#Totals],[Winning Candidate]]-Audit[[#Totals],[Losing Candidate]]),
      0
)</f>
        <v>0</v>
      </c>
      <c r="AV8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8">
        <f>IF(Audit[[#This Row],[Max Relative Error (ep)]] = 0, 0, Audit[[#This Row],[Max Relative Error (ep)]]/Audit[[#This Row],[Error Bound (up) - Max. possible relative overstatement]])</f>
        <v>0</v>
      </c>
      <c r="BH8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7" s="18">
        <f t="shared" si="14"/>
        <v>1</v>
      </c>
      <c r="BJ857" s="18">
        <f>PRODUCT($BI$5:BI857)</f>
        <v>0.32656797278968008</v>
      </c>
      <c r="BK857" s="20">
        <f>1 - Audit[[#This Row],[K-M P Value]]</f>
        <v>0.67343202721031992</v>
      </c>
      <c r="BL857" s="18" t="str">
        <f>IF(Audit[[#This Row],[K-M P Value]]&gt;1-'General Info'!$B$12,"Continue", "Stop")</f>
        <v>Continue</v>
      </c>
      <c r="BM857" s="23" t="b">
        <f>IF(Audit[[#This Row],[Status - Continue or stop audit]] = "Continue", TRUE, IF(BL856 = "Continue", TRUE, FALSE))</f>
        <v>1</v>
      </c>
      <c r="BN857" s="23"/>
    </row>
    <row r="858" spans="1:66" ht="15" hidden="1" customHeight="1" x14ac:dyDescent="0.35">
      <c r="A858" s="18" t="str">
        <f>'Sampling Data'!AI858</f>
        <v/>
      </c>
      <c r="B858" s="18" t="str">
        <f>'Sampling Data'!A858</f>
        <v>4642 READ 4-B   (ED)</v>
      </c>
      <c r="C858" s="18">
        <f>'Sampling Data'!B858</f>
        <v>203</v>
      </c>
      <c r="D858" s="18">
        <f>'Sampling Data'!C858</f>
        <v>34</v>
      </c>
      <c r="E858" s="19">
        <f>'Sampling Data'!D858</f>
        <v>0</v>
      </c>
      <c r="F858" s="19">
        <f>'Sampling Data'!E858</f>
        <v>0</v>
      </c>
      <c r="G858" s="19">
        <f>'Sampling Data'!F858</f>
        <v>0</v>
      </c>
      <c r="H858" s="19">
        <f>'Sampling Data'!G858</f>
        <v>0</v>
      </c>
      <c r="I858" s="19">
        <f>'Sampling Data'!H858</f>
        <v>0</v>
      </c>
      <c r="J858" s="19">
        <f>'Sampling Data'!I858</f>
        <v>0</v>
      </c>
      <c r="K858" s="19">
        <f>'Sampling Data'!J858</f>
        <v>0</v>
      </c>
      <c r="L858" s="19">
        <f>'Sampling Data'!K858</f>
        <v>0</v>
      </c>
      <c r="M858" s="19">
        <f>'Sampling Data'!L858</f>
        <v>0</v>
      </c>
      <c r="N858" s="19">
        <f>'Sampling Data'!M858</f>
        <v>0</v>
      </c>
      <c r="O858" s="18">
        <f>'Sampling Data'!N858</f>
        <v>0</v>
      </c>
      <c r="P858" s="18">
        <f>'Sampling Data'!O858</f>
        <v>14</v>
      </c>
      <c r="Q858" s="18">
        <f>'Sampling Data'!P858</f>
        <v>251</v>
      </c>
      <c r="R858" s="18">
        <f>'Sampling Data'!AJ858</f>
        <v>0</v>
      </c>
      <c r="S858" s="112"/>
      <c r="T858" s="112"/>
      <c r="U858" s="113"/>
      <c r="V858" s="113"/>
      <c r="W858" s="112"/>
      <c r="X858" s="112"/>
      <c r="Y858" s="112"/>
      <c r="Z858" s="112"/>
      <c r="AA858" s="15"/>
      <c r="AB858" s="15"/>
      <c r="AC858" s="15"/>
      <c r="AD858" s="15"/>
      <c r="AE858" s="114" t="str">
        <f>IF(NOT(ISBLANK(Audit[[#This Row],[Audit Winning Candidate]])), Audit[[#This Row],[Audit Winning Candidate]]-Audit[[#This Row],[Winning Candidate]], "")</f>
        <v/>
      </c>
      <c r="AF858" s="18" t="str">
        <f>IF(NOT(ISBLANK(Audit[[#This Row],[Audit Losing Candidate]])), Audit[[#This Row],[Audit Losing Candidate]]-Audit[[#This Row],[Losing Candidate]], "")</f>
        <v/>
      </c>
      <c r="AG858" s="18" t="str">
        <f>IF(NOT(ISBLANK(Audit[[#This Row],[Audit Candidate 3]])), Audit[[#This Row],[Audit Candidate 3]]-Audit[[#This Row],[Candidate 3]], "")</f>
        <v/>
      </c>
      <c r="AH858" s="18" t="str">
        <f>IF(NOT(ISBLANK(Audit[[#This Row],[Audit Candidate 4]])),Audit[[#This Row],[Audit Candidate 4]]-Audit[[#This Row],[Candidate 4]], "")</f>
        <v/>
      </c>
      <c r="AI858" s="18" t="str">
        <f>IF(NOT(ISBLANK(Audit[[#This Row],[Audit Candidate 5]])), Audit[[#This Row],[Audit Candidate 5]]-Audit[[#This Row],[Candidate 5]], "")</f>
        <v/>
      </c>
      <c r="AJ858" s="18" t="str">
        <f>IF(NOT(ISBLANK(Audit[[#This Row],[Audit Candidate 6]])), Audit[[#This Row],[Audit Candidate 6]]-Audit[[#This Row],[Candidate 6]], "")</f>
        <v/>
      </c>
      <c r="AK858" s="18" t="str">
        <f>IF(NOT(ISBLANK(Audit[[#This Row],[Audit Candidate 7]])), Audit[[#This Row],[Audit Candidate 7]]-Audit[[#This Row],[Candidate 7]], "")</f>
        <v/>
      </c>
      <c r="AL858" s="18" t="str">
        <f>IF(NOT(ISBLANK(Audit[[#This Row],[Audit Candidate 8]])), Audit[[#This Row],[Audit Candidate 8]]-Audit[[#This Row],[Candidate 8]], "")</f>
        <v/>
      </c>
      <c r="AM858" s="18" t="str">
        <f>IF(NOT(ISBLANK(Audit[[#This Row],[Audit Candidate 9]])), Audit[[#This Row],[Audit Candidate 9]]-Audit[[#This Row],[Candidate 9]], "")</f>
        <v/>
      </c>
      <c r="AN858" s="18" t="str">
        <f>IF(NOT(ISBLANK(Audit[[#This Row],[Audit Candidate 10]])), Audit[[#This Row],[Audit Candidate 10]]-Audit[[#This Row],[Candidate 10]], "")</f>
        <v/>
      </c>
      <c r="AO858" s="18" t="str">
        <f>IF(NOT(ISBLANK(Audit[[#This Row],[Audit Candidate 11]])), Audit[[#This Row],[Audit Candidate 11]]-Audit[[#This Row],[Candidate 11]], "")</f>
        <v/>
      </c>
      <c r="AP858" s="18" t="str">
        <f>IF(NOT(ISBLANK(Audit[[#This Row],[Audit Candidate 12]])), Audit[[#This Row],[Audit Candidate 12]]-Audit[[#This Row],[Candidate 12]], "")</f>
        <v/>
      </c>
      <c r="AQ858" s="18">
        <f>SUMIF(Audit[[#This Row],[Difference Winner]:[Difference Candidate 12]], "&gt;0")</f>
        <v>0</v>
      </c>
      <c r="AR858" s="18">
        <f>SUM(Audit[[#This Row],[Difference Winner]:[Difference Candidate 12]])</f>
        <v>0</v>
      </c>
      <c r="AS858" s="18">
        <f>IF(Audit[[#This Row],[Times p Drawn - With Replacement]]&gt;0, IF(Audit[[#This Row],[Canceled Differences]]&lt;0, Audit[[#This Row],[Max Differences]]+ABS(Audit[[#This Row],[Canceled Differences]]), Audit[[#This Row],[Max Differences]]), 0)</f>
        <v>0</v>
      </c>
      <c r="AT858" s="18">
        <f>'Sampling Data'!AB858</f>
        <v>1.3192197757326381E-2</v>
      </c>
      <c r="AU858" s="18">
        <f>IF(
      SUM(Audit[[#This Row],[Audit Losing Candidate]:[Audit Candidate 12]])
      &lt;&gt;0,
      (Audit[[#This Row],[Winning Candidate]]-Audit[[#This Row],[Losing Candidate]]-(Audit[[#This Row],[Audit Winning Candidate]]-Audit[[#This Row],[Audit Losing Candidate]]))/(Audit[[#Totals],[Winning Candidate]]-Audit[[#Totals],[Losing Candidate]]),
      0
)</f>
        <v>0</v>
      </c>
      <c r="AV8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8">
        <f>IF(Audit[[#This Row],[Max Relative Error (ep)]] = 0, 0, Audit[[#This Row],[Max Relative Error (ep)]]/Audit[[#This Row],[Error Bound (up) - Max. possible relative overstatement]])</f>
        <v>0</v>
      </c>
      <c r="BH8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8" s="18">
        <f t="shared" si="14"/>
        <v>1</v>
      </c>
      <c r="BJ858" s="18">
        <f>PRODUCT($BI$5:BI858)</f>
        <v>0.32656797278968008</v>
      </c>
      <c r="BK858" s="20">
        <f>1 - Audit[[#This Row],[K-M P Value]]</f>
        <v>0.67343202721031992</v>
      </c>
      <c r="BL858" s="18" t="str">
        <f>IF(Audit[[#This Row],[K-M P Value]]&gt;1-'General Info'!$B$12,"Continue", "Stop")</f>
        <v>Continue</v>
      </c>
      <c r="BM858" s="23" t="b">
        <f>IF(Audit[[#This Row],[Status - Continue or stop audit]] = "Continue", TRUE, IF(BL857 = "Continue", TRUE, FALSE))</f>
        <v>1</v>
      </c>
      <c r="BN858" s="23"/>
    </row>
    <row r="859" spans="1:66" ht="15" hidden="1" customHeight="1" x14ac:dyDescent="0.35">
      <c r="A859" s="18" t="str">
        <f>'Sampling Data'!AI859</f>
        <v/>
      </c>
      <c r="B859" s="18" t="str">
        <f>'Sampling Data'!A859</f>
        <v>4911 SHAR 1-A   (ED)</v>
      </c>
      <c r="C859" s="18">
        <f>'Sampling Data'!B859</f>
        <v>39</v>
      </c>
      <c r="D859" s="18">
        <f>'Sampling Data'!C859</f>
        <v>2</v>
      </c>
      <c r="E859" s="19">
        <f>'Sampling Data'!D859</f>
        <v>0</v>
      </c>
      <c r="F859" s="19">
        <f>'Sampling Data'!E859</f>
        <v>0</v>
      </c>
      <c r="G859" s="19">
        <f>'Sampling Data'!F859</f>
        <v>0</v>
      </c>
      <c r="H859" s="19">
        <f>'Sampling Data'!G859</f>
        <v>0</v>
      </c>
      <c r="I859" s="19">
        <f>'Sampling Data'!H859</f>
        <v>0</v>
      </c>
      <c r="J859" s="19">
        <f>'Sampling Data'!I859</f>
        <v>0</v>
      </c>
      <c r="K859" s="19">
        <f>'Sampling Data'!J859</f>
        <v>0</v>
      </c>
      <c r="L859" s="19">
        <f>'Sampling Data'!K859</f>
        <v>0</v>
      </c>
      <c r="M859" s="19">
        <f>'Sampling Data'!L859</f>
        <v>0</v>
      </c>
      <c r="N859" s="19">
        <f>'Sampling Data'!M859</f>
        <v>0</v>
      </c>
      <c r="O859" s="18">
        <f>'Sampling Data'!N859</f>
        <v>0</v>
      </c>
      <c r="P859" s="18">
        <f>'Sampling Data'!O859</f>
        <v>0</v>
      </c>
      <c r="Q859" s="18">
        <f>'Sampling Data'!P859</f>
        <v>41</v>
      </c>
      <c r="R859" s="18">
        <f>'Sampling Data'!AJ859</f>
        <v>0</v>
      </c>
      <c r="S859" s="112"/>
      <c r="T859" s="112"/>
      <c r="U859" s="113"/>
      <c r="V859" s="113"/>
      <c r="W859" s="112"/>
      <c r="X859" s="112"/>
      <c r="Y859" s="112"/>
      <c r="Z859" s="112"/>
      <c r="AA859" s="15"/>
      <c r="AB859" s="15"/>
      <c r="AC859" s="15"/>
      <c r="AD859" s="15"/>
      <c r="AE859" s="114" t="str">
        <f>IF(NOT(ISBLANK(Audit[[#This Row],[Audit Winning Candidate]])), Audit[[#This Row],[Audit Winning Candidate]]-Audit[[#This Row],[Winning Candidate]], "")</f>
        <v/>
      </c>
      <c r="AF859" s="18" t="str">
        <f>IF(NOT(ISBLANK(Audit[[#This Row],[Audit Losing Candidate]])), Audit[[#This Row],[Audit Losing Candidate]]-Audit[[#This Row],[Losing Candidate]], "")</f>
        <v/>
      </c>
      <c r="AG859" s="18" t="str">
        <f>IF(NOT(ISBLANK(Audit[[#This Row],[Audit Candidate 3]])), Audit[[#This Row],[Audit Candidate 3]]-Audit[[#This Row],[Candidate 3]], "")</f>
        <v/>
      </c>
      <c r="AH859" s="18" t="str">
        <f>IF(NOT(ISBLANK(Audit[[#This Row],[Audit Candidate 4]])),Audit[[#This Row],[Audit Candidate 4]]-Audit[[#This Row],[Candidate 4]], "")</f>
        <v/>
      </c>
      <c r="AI859" s="18" t="str">
        <f>IF(NOT(ISBLANK(Audit[[#This Row],[Audit Candidate 5]])), Audit[[#This Row],[Audit Candidate 5]]-Audit[[#This Row],[Candidate 5]], "")</f>
        <v/>
      </c>
      <c r="AJ859" s="18" t="str">
        <f>IF(NOT(ISBLANK(Audit[[#This Row],[Audit Candidate 6]])), Audit[[#This Row],[Audit Candidate 6]]-Audit[[#This Row],[Candidate 6]], "")</f>
        <v/>
      </c>
      <c r="AK859" s="18" t="str">
        <f>IF(NOT(ISBLANK(Audit[[#This Row],[Audit Candidate 7]])), Audit[[#This Row],[Audit Candidate 7]]-Audit[[#This Row],[Candidate 7]], "")</f>
        <v/>
      </c>
      <c r="AL859" s="18" t="str">
        <f>IF(NOT(ISBLANK(Audit[[#This Row],[Audit Candidate 8]])), Audit[[#This Row],[Audit Candidate 8]]-Audit[[#This Row],[Candidate 8]], "")</f>
        <v/>
      </c>
      <c r="AM859" s="18" t="str">
        <f>IF(NOT(ISBLANK(Audit[[#This Row],[Audit Candidate 9]])), Audit[[#This Row],[Audit Candidate 9]]-Audit[[#This Row],[Candidate 9]], "")</f>
        <v/>
      </c>
      <c r="AN859" s="18" t="str">
        <f>IF(NOT(ISBLANK(Audit[[#This Row],[Audit Candidate 10]])), Audit[[#This Row],[Audit Candidate 10]]-Audit[[#This Row],[Candidate 10]], "")</f>
        <v/>
      </c>
      <c r="AO859" s="18" t="str">
        <f>IF(NOT(ISBLANK(Audit[[#This Row],[Audit Candidate 11]])), Audit[[#This Row],[Audit Candidate 11]]-Audit[[#This Row],[Candidate 11]], "")</f>
        <v/>
      </c>
      <c r="AP859" s="18" t="str">
        <f>IF(NOT(ISBLANK(Audit[[#This Row],[Audit Candidate 12]])), Audit[[#This Row],[Audit Candidate 12]]-Audit[[#This Row],[Candidate 12]], "")</f>
        <v/>
      </c>
      <c r="AQ859" s="18">
        <f>SUMIF(Audit[[#This Row],[Difference Winner]:[Difference Candidate 12]], "&gt;0")</f>
        <v>0</v>
      </c>
      <c r="AR859" s="18">
        <f>SUM(Audit[[#This Row],[Difference Winner]:[Difference Candidate 12]])</f>
        <v>0</v>
      </c>
      <c r="AS859" s="18">
        <f>IF(Audit[[#This Row],[Times p Drawn - With Replacement]]&gt;0, IF(Audit[[#This Row],[Canceled Differences]]&lt;0, Audit[[#This Row],[Max Differences]]+ABS(Audit[[#This Row],[Canceled Differences]]), Audit[[#This Row],[Max Differences]]), 0)</f>
        <v>0</v>
      </c>
      <c r="AT859" s="18">
        <f>'Sampling Data'!AB859</f>
        <v>2.4499795835034709E-3</v>
      </c>
      <c r="AU859" s="18">
        <f>IF(
      SUM(Audit[[#This Row],[Audit Losing Candidate]:[Audit Candidate 12]])
      &lt;&gt;0,
      (Audit[[#This Row],[Winning Candidate]]-Audit[[#This Row],[Losing Candidate]]-(Audit[[#This Row],[Audit Winning Candidate]]-Audit[[#This Row],[Audit Losing Candidate]]))/(Audit[[#Totals],[Winning Candidate]]-Audit[[#Totals],[Losing Candidate]]),
      0
)</f>
        <v>0</v>
      </c>
      <c r="AV8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8">
        <f>IF(Audit[[#This Row],[Max Relative Error (ep)]] = 0, 0, Audit[[#This Row],[Max Relative Error (ep)]]/Audit[[#This Row],[Error Bound (up) - Max. possible relative overstatement]])</f>
        <v>0</v>
      </c>
      <c r="BH8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59" s="18">
        <f t="shared" si="14"/>
        <v>1</v>
      </c>
      <c r="BJ859" s="18">
        <f>PRODUCT($BI$5:BI859)</f>
        <v>0.32656797278968008</v>
      </c>
      <c r="BK859" s="20">
        <f>1 - Audit[[#This Row],[K-M P Value]]</f>
        <v>0.67343202721031992</v>
      </c>
      <c r="BL859" s="18" t="str">
        <f>IF(Audit[[#This Row],[K-M P Value]]&gt;1-'General Info'!$B$12,"Continue", "Stop")</f>
        <v>Continue</v>
      </c>
      <c r="BM859" s="23" t="b">
        <f>IF(Audit[[#This Row],[Status - Continue or stop audit]] = "Continue", TRUE, IF(BL858 = "Continue", TRUE, FALSE))</f>
        <v>1</v>
      </c>
      <c r="BN859" s="23"/>
    </row>
    <row r="860" spans="1:66" ht="15" hidden="1" customHeight="1" x14ac:dyDescent="0.35">
      <c r="A860" s="18" t="str">
        <f>'Sampling Data'!AI860</f>
        <v/>
      </c>
      <c r="B860" s="18" t="str">
        <f>'Sampling Data'!A860</f>
        <v>4912 SHAR 1-B   (ED)</v>
      </c>
      <c r="C860" s="18">
        <f>'Sampling Data'!B860</f>
        <v>29</v>
      </c>
      <c r="D860" s="18">
        <f>'Sampling Data'!C860</f>
        <v>8</v>
      </c>
      <c r="E860" s="19">
        <f>'Sampling Data'!D860</f>
        <v>0</v>
      </c>
      <c r="F860" s="19">
        <f>'Sampling Data'!E860</f>
        <v>0</v>
      </c>
      <c r="G860" s="19">
        <f>'Sampling Data'!F860</f>
        <v>0</v>
      </c>
      <c r="H860" s="19">
        <f>'Sampling Data'!G860</f>
        <v>0</v>
      </c>
      <c r="I860" s="19">
        <f>'Sampling Data'!H860</f>
        <v>0</v>
      </c>
      <c r="J860" s="19">
        <f>'Sampling Data'!I860</f>
        <v>0</v>
      </c>
      <c r="K860" s="19">
        <f>'Sampling Data'!J860</f>
        <v>0</v>
      </c>
      <c r="L860" s="19">
        <f>'Sampling Data'!K860</f>
        <v>0</v>
      </c>
      <c r="M860" s="19">
        <f>'Sampling Data'!L860</f>
        <v>0</v>
      </c>
      <c r="N860" s="19">
        <f>'Sampling Data'!M860</f>
        <v>0</v>
      </c>
      <c r="O860" s="18">
        <f>'Sampling Data'!N860</f>
        <v>0</v>
      </c>
      <c r="P860" s="18">
        <f>'Sampling Data'!O860</f>
        <v>0</v>
      </c>
      <c r="Q860" s="18">
        <f>'Sampling Data'!P860</f>
        <v>37</v>
      </c>
      <c r="R860" s="18">
        <f>'Sampling Data'!AJ860</f>
        <v>0</v>
      </c>
      <c r="S860" s="112"/>
      <c r="T860" s="112"/>
      <c r="U860" s="113"/>
      <c r="V860" s="113"/>
      <c r="W860" s="112"/>
      <c r="X860" s="112"/>
      <c r="Y860" s="112"/>
      <c r="Z860" s="112"/>
      <c r="AA860" s="15"/>
      <c r="AB860" s="15"/>
      <c r="AC860" s="15"/>
      <c r="AD860" s="15"/>
      <c r="AE860" s="114" t="str">
        <f>IF(NOT(ISBLANK(Audit[[#This Row],[Audit Winning Candidate]])), Audit[[#This Row],[Audit Winning Candidate]]-Audit[[#This Row],[Winning Candidate]], "")</f>
        <v/>
      </c>
      <c r="AF860" s="18" t="str">
        <f>IF(NOT(ISBLANK(Audit[[#This Row],[Audit Losing Candidate]])), Audit[[#This Row],[Audit Losing Candidate]]-Audit[[#This Row],[Losing Candidate]], "")</f>
        <v/>
      </c>
      <c r="AG860" s="18" t="str">
        <f>IF(NOT(ISBLANK(Audit[[#This Row],[Audit Candidate 3]])), Audit[[#This Row],[Audit Candidate 3]]-Audit[[#This Row],[Candidate 3]], "")</f>
        <v/>
      </c>
      <c r="AH860" s="18" t="str">
        <f>IF(NOT(ISBLANK(Audit[[#This Row],[Audit Candidate 4]])),Audit[[#This Row],[Audit Candidate 4]]-Audit[[#This Row],[Candidate 4]], "")</f>
        <v/>
      </c>
      <c r="AI860" s="18" t="str">
        <f>IF(NOT(ISBLANK(Audit[[#This Row],[Audit Candidate 5]])), Audit[[#This Row],[Audit Candidate 5]]-Audit[[#This Row],[Candidate 5]], "")</f>
        <v/>
      </c>
      <c r="AJ860" s="18" t="str">
        <f>IF(NOT(ISBLANK(Audit[[#This Row],[Audit Candidate 6]])), Audit[[#This Row],[Audit Candidate 6]]-Audit[[#This Row],[Candidate 6]], "")</f>
        <v/>
      </c>
      <c r="AK860" s="18" t="str">
        <f>IF(NOT(ISBLANK(Audit[[#This Row],[Audit Candidate 7]])), Audit[[#This Row],[Audit Candidate 7]]-Audit[[#This Row],[Candidate 7]], "")</f>
        <v/>
      </c>
      <c r="AL860" s="18" t="str">
        <f>IF(NOT(ISBLANK(Audit[[#This Row],[Audit Candidate 8]])), Audit[[#This Row],[Audit Candidate 8]]-Audit[[#This Row],[Candidate 8]], "")</f>
        <v/>
      </c>
      <c r="AM860" s="18" t="str">
        <f>IF(NOT(ISBLANK(Audit[[#This Row],[Audit Candidate 9]])), Audit[[#This Row],[Audit Candidate 9]]-Audit[[#This Row],[Candidate 9]], "")</f>
        <v/>
      </c>
      <c r="AN860" s="18" t="str">
        <f>IF(NOT(ISBLANK(Audit[[#This Row],[Audit Candidate 10]])), Audit[[#This Row],[Audit Candidate 10]]-Audit[[#This Row],[Candidate 10]], "")</f>
        <v/>
      </c>
      <c r="AO860" s="18" t="str">
        <f>IF(NOT(ISBLANK(Audit[[#This Row],[Audit Candidate 11]])), Audit[[#This Row],[Audit Candidate 11]]-Audit[[#This Row],[Candidate 11]], "")</f>
        <v/>
      </c>
      <c r="AP860" s="18" t="str">
        <f>IF(NOT(ISBLANK(Audit[[#This Row],[Audit Candidate 12]])), Audit[[#This Row],[Audit Candidate 12]]-Audit[[#This Row],[Candidate 12]], "")</f>
        <v/>
      </c>
      <c r="AQ860" s="18">
        <f>SUMIF(Audit[[#This Row],[Difference Winner]:[Difference Candidate 12]], "&gt;0")</f>
        <v>0</v>
      </c>
      <c r="AR860" s="18">
        <f>SUM(Audit[[#This Row],[Difference Winner]:[Difference Candidate 12]])</f>
        <v>0</v>
      </c>
      <c r="AS860" s="18">
        <f>IF(Audit[[#This Row],[Times p Drawn - With Replacement]]&gt;0, IF(Audit[[#This Row],[Canceled Differences]]&lt;0, Audit[[#This Row],[Max Differences]]+ABS(Audit[[#This Row],[Canceled Differences]]), Audit[[#This Row],[Max Differences]]), 0)</f>
        <v>0</v>
      </c>
      <c r="AT860" s="18">
        <f>'Sampling Data'!AB860</f>
        <v>1.8217796902974526E-3</v>
      </c>
      <c r="AU860" s="18">
        <f>IF(
      SUM(Audit[[#This Row],[Audit Losing Candidate]:[Audit Candidate 12]])
      &lt;&gt;0,
      (Audit[[#This Row],[Winning Candidate]]-Audit[[#This Row],[Losing Candidate]]-(Audit[[#This Row],[Audit Winning Candidate]]-Audit[[#This Row],[Audit Losing Candidate]]))/(Audit[[#Totals],[Winning Candidate]]-Audit[[#Totals],[Losing Candidate]]),
      0
)</f>
        <v>0</v>
      </c>
      <c r="AV8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8">
        <f>IF(Audit[[#This Row],[Max Relative Error (ep)]] = 0, 0, Audit[[#This Row],[Max Relative Error (ep)]]/Audit[[#This Row],[Error Bound (up) - Max. possible relative overstatement]])</f>
        <v>0</v>
      </c>
      <c r="BH8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0" s="18">
        <f t="shared" si="14"/>
        <v>1</v>
      </c>
      <c r="BJ860" s="18">
        <f>PRODUCT($BI$5:BI860)</f>
        <v>0.32656797278968008</v>
      </c>
      <c r="BK860" s="20">
        <f>1 - Audit[[#This Row],[K-M P Value]]</f>
        <v>0.67343202721031992</v>
      </c>
      <c r="BL860" s="18" t="str">
        <f>IF(Audit[[#This Row],[K-M P Value]]&gt;1-'General Info'!$B$12,"Continue", "Stop")</f>
        <v>Continue</v>
      </c>
      <c r="BM860" s="23" t="b">
        <f>IF(Audit[[#This Row],[Status - Continue or stop audit]] = "Continue", TRUE, IF(BL859 = "Continue", TRUE, FALSE))</f>
        <v>1</v>
      </c>
      <c r="BN860" s="23"/>
    </row>
    <row r="861" spans="1:66" ht="15" hidden="1" customHeight="1" x14ac:dyDescent="0.35">
      <c r="A861" s="18" t="str">
        <f>'Sampling Data'!AI861</f>
        <v/>
      </c>
      <c r="B861" s="18" t="str">
        <f>'Sampling Data'!A861</f>
        <v>4921 SHAR 2-A   (ED)</v>
      </c>
      <c r="C861" s="18">
        <f>'Sampling Data'!B861</f>
        <v>95</v>
      </c>
      <c r="D861" s="18">
        <f>'Sampling Data'!C861</f>
        <v>11</v>
      </c>
      <c r="E861" s="19">
        <f>'Sampling Data'!D861</f>
        <v>0</v>
      </c>
      <c r="F861" s="19">
        <f>'Sampling Data'!E861</f>
        <v>0</v>
      </c>
      <c r="G861" s="19">
        <f>'Sampling Data'!F861</f>
        <v>0</v>
      </c>
      <c r="H861" s="19">
        <f>'Sampling Data'!G861</f>
        <v>0</v>
      </c>
      <c r="I861" s="19">
        <f>'Sampling Data'!H861</f>
        <v>0</v>
      </c>
      <c r="J861" s="19">
        <f>'Sampling Data'!I861</f>
        <v>0</v>
      </c>
      <c r="K861" s="19">
        <f>'Sampling Data'!J861</f>
        <v>0</v>
      </c>
      <c r="L861" s="19">
        <f>'Sampling Data'!K861</f>
        <v>0</v>
      </c>
      <c r="M861" s="19">
        <f>'Sampling Data'!L861</f>
        <v>0</v>
      </c>
      <c r="N861" s="19">
        <f>'Sampling Data'!M861</f>
        <v>0</v>
      </c>
      <c r="O861" s="18">
        <f>'Sampling Data'!N861</f>
        <v>0</v>
      </c>
      <c r="P861" s="18">
        <f>'Sampling Data'!O861</f>
        <v>2</v>
      </c>
      <c r="Q861" s="18">
        <f>'Sampling Data'!P861</f>
        <v>108</v>
      </c>
      <c r="R861" s="18">
        <f>'Sampling Data'!AJ861</f>
        <v>0</v>
      </c>
      <c r="S861" s="112"/>
      <c r="T861" s="112"/>
      <c r="U861" s="113"/>
      <c r="V861" s="113"/>
      <c r="W861" s="112"/>
      <c r="X861" s="112"/>
      <c r="Y861" s="112"/>
      <c r="Z861" s="112"/>
      <c r="AA861" s="15"/>
      <c r="AB861" s="15"/>
      <c r="AC861" s="15"/>
      <c r="AD861" s="15"/>
      <c r="AE861" s="114" t="str">
        <f>IF(NOT(ISBLANK(Audit[[#This Row],[Audit Winning Candidate]])), Audit[[#This Row],[Audit Winning Candidate]]-Audit[[#This Row],[Winning Candidate]], "")</f>
        <v/>
      </c>
      <c r="AF861" s="18" t="str">
        <f>IF(NOT(ISBLANK(Audit[[#This Row],[Audit Losing Candidate]])), Audit[[#This Row],[Audit Losing Candidate]]-Audit[[#This Row],[Losing Candidate]], "")</f>
        <v/>
      </c>
      <c r="AG861" s="18" t="str">
        <f>IF(NOT(ISBLANK(Audit[[#This Row],[Audit Candidate 3]])), Audit[[#This Row],[Audit Candidate 3]]-Audit[[#This Row],[Candidate 3]], "")</f>
        <v/>
      </c>
      <c r="AH861" s="18" t="str">
        <f>IF(NOT(ISBLANK(Audit[[#This Row],[Audit Candidate 4]])),Audit[[#This Row],[Audit Candidate 4]]-Audit[[#This Row],[Candidate 4]], "")</f>
        <v/>
      </c>
      <c r="AI861" s="18" t="str">
        <f>IF(NOT(ISBLANK(Audit[[#This Row],[Audit Candidate 5]])), Audit[[#This Row],[Audit Candidate 5]]-Audit[[#This Row],[Candidate 5]], "")</f>
        <v/>
      </c>
      <c r="AJ861" s="18" t="str">
        <f>IF(NOT(ISBLANK(Audit[[#This Row],[Audit Candidate 6]])), Audit[[#This Row],[Audit Candidate 6]]-Audit[[#This Row],[Candidate 6]], "")</f>
        <v/>
      </c>
      <c r="AK861" s="18" t="str">
        <f>IF(NOT(ISBLANK(Audit[[#This Row],[Audit Candidate 7]])), Audit[[#This Row],[Audit Candidate 7]]-Audit[[#This Row],[Candidate 7]], "")</f>
        <v/>
      </c>
      <c r="AL861" s="18" t="str">
        <f>IF(NOT(ISBLANK(Audit[[#This Row],[Audit Candidate 8]])), Audit[[#This Row],[Audit Candidate 8]]-Audit[[#This Row],[Candidate 8]], "")</f>
        <v/>
      </c>
      <c r="AM861" s="18" t="str">
        <f>IF(NOT(ISBLANK(Audit[[#This Row],[Audit Candidate 9]])), Audit[[#This Row],[Audit Candidate 9]]-Audit[[#This Row],[Candidate 9]], "")</f>
        <v/>
      </c>
      <c r="AN861" s="18" t="str">
        <f>IF(NOT(ISBLANK(Audit[[#This Row],[Audit Candidate 10]])), Audit[[#This Row],[Audit Candidate 10]]-Audit[[#This Row],[Candidate 10]], "")</f>
        <v/>
      </c>
      <c r="AO861" s="18" t="str">
        <f>IF(NOT(ISBLANK(Audit[[#This Row],[Audit Candidate 11]])), Audit[[#This Row],[Audit Candidate 11]]-Audit[[#This Row],[Candidate 11]], "")</f>
        <v/>
      </c>
      <c r="AP861" s="18" t="str">
        <f>IF(NOT(ISBLANK(Audit[[#This Row],[Audit Candidate 12]])), Audit[[#This Row],[Audit Candidate 12]]-Audit[[#This Row],[Candidate 12]], "")</f>
        <v/>
      </c>
      <c r="AQ861" s="18">
        <f>SUMIF(Audit[[#This Row],[Difference Winner]:[Difference Candidate 12]], "&gt;0")</f>
        <v>0</v>
      </c>
      <c r="AR861" s="18">
        <f>SUM(Audit[[#This Row],[Difference Winner]:[Difference Candidate 12]])</f>
        <v>0</v>
      </c>
      <c r="AS861" s="18">
        <f>IF(Audit[[#This Row],[Times p Drawn - With Replacement]]&gt;0, IF(Audit[[#This Row],[Canceled Differences]]&lt;0, Audit[[#This Row],[Max Differences]]+ABS(Audit[[#This Row],[Canceled Differences]]), Audit[[#This Row],[Max Differences]]), 0)</f>
        <v>0</v>
      </c>
      <c r="AT861" s="18">
        <f>'Sampling Data'!AB861</f>
        <v>6.0307189747777741E-3</v>
      </c>
      <c r="AU861" s="18">
        <f>IF(
      SUM(Audit[[#This Row],[Audit Losing Candidate]:[Audit Candidate 12]])
      &lt;&gt;0,
      (Audit[[#This Row],[Winning Candidate]]-Audit[[#This Row],[Losing Candidate]]-(Audit[[#This Row],[Audit Winning Candidate]]-Audit[[#This Row],[Audit Losing Candidate]]))/(Audit[[#Totals],[Winning Candidate]]-Audit[[#Totals],[Losing Candidate]]),
      0
)</f>
        <v>0</v>
      </c>
      <c r="AV8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8">
        <f>IF(Audit[[#This Row],[Max Relative Error (ep)]] = 0, 0, Audit[[#This Row],[Max Relative Error (ep)]]/Audit[[#This Row],[Error Bound (up) - Max. possible relative overstatement]])</f>
        <v>0</v>
      </c>
      <c r="BH8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1" s="18">
        <f t="shared" si="14"/>
        <v>1</v>
      </c>
      <c r="BJ861" s="18">
        <f>PRODUCT($BI$5:BI861)</f>
        <v>0.32656797278968008</v>
      </c>
      <c r="BK861" s="20">
        <f>1 - Audit[[#This Row],[K-M P Value]]</f>
        <v>0.67343202721031992</v>
      </c>
      <c r="BL861" s="18" t="str">
        <f>IF(Audit[[#This Row],[K-M P Value]]&gt;1-'General Info'!$B$12,"Continue", "Stop")</f>
        <v>Continue</v>
      </c>
      <c r="BM861" s="23" t="b">
        <f>IF(Audit[[#This Row],[Status - Continue or stop audit]] = "Continue", TRUE, IF(BL860 = "Continue", TRUE, FALSE))</f>
        <v>1</v>
      </c>
      <c r="BN861" s="23"/>
    </row>
    <row r="862" spans="1:66" ht="15" hidden="1" customHeight="1" x14ac:dyDescent="0.35">
      <c r="A862" s="18" t="str">
        <f>'Sampling Data'!AI862</f>
        <v/>
      </c>
      <c r="B862" s="18" t="str">
        <f>'Sampling Data'!A862</f>
        <v>4931 SHAR 3-A   (ED)</v>
      </c>
      <c r="C862" s="18">
        <f>'Sampling Data'!B862</f>
        <v>137</v>
      </c>
      <c r="D862" s="18">
        <f>'Sampling Data'!C862</f>
        <v>20</v>
      </c>
      <c r="E862" s="19">
        <f>'Sampling Data'!D862</f>
        <v>0</v>
      </c>
      <c r="F862" s="19">
        <f>'Sampling Data'!E862</f>
        <v>0</v>
      </c>
      <c r="G862" s="19">
        <f>'Sampling Data'!F862</f>
        <v>0</v>
      </c>
      <c r="H862" s="19">
        <f>'Sampling Data'!G862</f>
        <v>0</v>
      </c>
      <c r="I862" s="19">
        <f>'Sampling Data'!H862</f>
        <v>0</v>
      </c>
      <c r="J862" s="19">
        <f>'Sampling Data'!I862</f>
        <v>0</v>
      </c>
      <c r="K862" s="19">
        <f>'Sampling Data'!J862</f>
        <v>0</v>
      </c>
      <c r="L862" s="19">
        <f>'Sampling Data'!K862</f>
        <v>0</v>
      </c>
      <c r="M862" s="19">
        <f>'Sampling Data'!L862</f>
        <v>0</v>
      </c>
      <c r="N862" s="19">
        <f>'Sampling Data'!M862</f>
        <v>0</v>
      </c>
      <c r="O862" s="18">
        <f>'Sampling Data'!N862</f>
        <v>0</v>
      </c>
      <c r="P862" s="18">
        <f>'Sampling Data'!O862</f>
        <v>3</v>
      </c>
      <c r="Q862" s="18">
        <f>'Sampling Data'!P862</f>
        <v>160</v>
      </c>
      <c r="R862" s="18">
        <f>'Sampling Data'!AJ862</f>
        <v>0</v>
      </c>
      <c r="S862" s="112"/>
      <c r="T862" s="112"/>
      <c r="U862" s="113"/>
      <c r="V862" s="113"/>
      <c r="W862" s="112"/>
      <c r="X862" s="112"/>
      <c r="Y862" s="112"/>
      <c r="Z862" s="112"/>
      <c r="AA862" s="15"/>
      <c r="AB862" s="15"/>
      <c r="AC862" s="15"/>
      <c r="AD862" s="15"/>
      <c r="AE862" s="114" t="str">
        <f>IF(NOT(ISBLANK(Audit[[#This Row],[Audit Winning Candidate]])), Audit[[#This Row],[Audit Winning Candidate]]-Audit[[#This Row],[Winning Candidate]], "")</f>
        <v/>
      </c>
      <c r="AF862" s="18" t="str">
        <f>IF(NOT(ISBLANK(Audit[[#This Row],[Audit Losing Candidate]])), Audit[[#This Row],[Audit Losing Candidate]]-Audit[[#This Row],[Losing Candidate]], "")</f>
        <v/>
      </c>
      <c r="AG862" s="18" t="str">
        <f>IF(NOT(ISBLANK(Audit[[#This Row],[Audit Candidate 3]])), Audit[[#This Row],[Audit Candidate 3]]-Audit[[#This Row],[Candidate 3]], "")</f>
        <v/>
      </c>
      <c r="AH862" s="18" t="str">
        <f>IF(NOT(ISBLANK(Audit[[#This Row],[Audit Candidate 4]])),Audit[[#This Row],[Audit Candidate 4]]-Audit[[#This Row],[Candidate 4]], "")</f>
        <v/>
      </c>
      <c r="AI862" s="18" t="str">
        <f>IF(NOT(ISBLANK(Audit[[#This Row],[Audit Candidate 5]])), Audit[[#This Row],[Audit Candidate 5]]-Audit[[#This Row],[Candidate 5]], "")</f>
        <v/>
      </c>
      <c r="AJ862" s="18" t="str">
        <f>IF(NOT(ISBLANK(Audit[[#This Row],[Audit Candidate 6]])), Audit[[#This Row],[Audit Candidate 6]]-Audit[[#This Row],[Candidate 6]], "")</f>
        <v/>
      </c>
      <c r="AK862" s="18" t="str">
        <f>IF(NOT(ISBLANK(Audit[[#This Row],[Audit Candidate 7]])), Audit[[#This Row],[Audit Candidate 7]]-Audit[[#This Row],[Candidate 7]], "")</f>
        <v/>
      </c>
      <c r="AL862" s="18" t="str">
        <f>IF(NOT(ISBLANK(Audit[[#This Row],[Audit Candidate 8]])), Audit[[#This Row],[Audit Candidate 8]]-Audit[[#This Row],[Candidate 8]], "")</f>
        <v/>
      </c>
      <c r="AM862" s="18" t="str">
        <f>IF(NOT(ISBLANK(Audit[[#This Row],[Audit Candidate 9]])), Audit[[#This Row],[Audit Candidate 9]]-Audit[[#This Row],[Candidate 9]], "")</f>
        <v/>
      </c>
      <c r="AN862" s="18" t="str">
        <f>IF(NOT(ISBLANK(Audit[[#This Row],[Audit Candidate 10]])), Audit[[#This Row],[Audit Candidate 10]]-Audit[[#This Row],[Candidate 10]], "")</f>
        <v/>
      </c>
      <c r="AO862" s="18" t="str">
        <f>IF(NOT(ISBLANK(Audit[[#This Row],[Audit Candidate 11]])), Audit[[#This Row],[Audit Candidate 11]]-Audit[[#This Row],[Candidate 11]], "")</f>
        <v/>
      </c>
      <c r="AP862" s="18" t="str">
        <f>IF(NOT(ISBLANK(Audit[[#This Row],[Audit Candidate 12]])), Audit[[#This Row],[Audit Candidate 12]]-Audit[[#This Row],[Candidate 12]], "")</f>
        <v/>
      </c>
      <c r="AQ862" s="18">
        <f>SUMIF(Audit[[#This Row],[Difference Winner]:[Difference Candidate 12]], "&gt;0")</f>
        <v>0</v>
      </c>
      <c r="AR862" s="18">
        <f>SUM(Audit[[#This Row],[Difference Winner]:[Difference Candidate 12]])</f>
        <v>0</v>
      </c>
      <c r="AS862" s="18">
        <f>IF(Audit[[#This Row],[Times p Drawn - With Replacement]]&gt;0, IF(Audit[[#This Row],[Canceled Differences]]&lt;0, Audit[[#This Row],[Max Differences]]+ABS(Audit[[#This Row],[Canceled Differences]]), Audit[[#This Row],[Max Differences]]), 0)</f>
        <v>0</v>
      </c>
      <c r="AT862" s="18">
        <f>'Sampling Data'!AB862</f>
        <v>8.7005685209033522E-3</v>
      </c>
      <c r="AU862" s="18">
        <f>IF(
      SUM(Audit[[#This Row],[Audit Losing Candidate]:[Audit Candidate 12]])
      &lt;&gt;0,
      (Audit[[#This Row],[Winning Candidate]]-Audit[[#This Row],[Losing Candidate]]-(Audit[[#This Row],[Audit Winning Candidate]]-Audit[[#This Row],[Audit Losing Candidate]]))/(Audit[[#Totals],[Winning Candidate]]-Audit[[#Totals],[Losing Candidate]]),
      0
)</f>
        <v>0</v>
      </c>
      <c r="AV8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8">
        <f>IF(Audit[[#This Row],[Max Relative Error (ep)]] = 0, 0, Audit[[#This Row],[Max Relative Error (ep)]]/Audit[[#This Row],[Error Bound (up) - Max. possible relative overstatement]])</f>
        <v>0</v>
      </c>
      <c r="BH8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2" s="18">
        <f t="shared" si="14"/>
        <v>1</v>
      </c>
      <c r="BJ862" s="18">
        <f>PRODUCT($BI$5:BI862)</f>
        <v>0.32656797278968008</v>
      </c>
      <c r="BK862" s="20">
        <f>1 - Audit[[#This Row],[K-M P Value]]</f>
        <v>0.67343202721031992</v>
      </c>
      <c r="BL862" s="18" t="str">
        <f>IF(Audit[[#This Row],[K-M P Value]]&gt;1-'General Info'!$B$12,"Continue", "Stop")</f>
        <v>Continue</v>
      </c>
      <c r="BM862" s="23" t="b">
        <f>IF(Audit[[#This Row],[Status - Continue or stop audit]] = "Continue", TRUE, IF(BL861 = "Continue", TRUE, FALSE))</f>
        <v>1</v>
      </c>
      <c r="BN862" s="23"/>
    </row>
    <row r="863" spans="1:66" ht="15" hidden="1" customHeight="1" x14ac:dyDescent="0.35">
      <c r="A863" s="18" t="str">
        <f>'Sampling Data'!AI863</f>
        <v/>
      </c>
      <c r="B863" s="18" t="str">
        <f>'Sampling Data'!A863</f>
        <v>4932 SHAR 3-B   (ED)</v>
      </c>
      <c r="C863" s="18">
        <f>'Sampling Data'!B863</f>
        <v>119</v>
      </c>
      <c r="D863" s="18">
        <f>'Sampling Data'!C863</f>
        <v>7</v>
      </c>
      <c r="E863" s="19">
        <f>'Sampling Data'!D863</f>
        <v>0</v>
      </c>
      <c r="F863" s="19">
        <f>'Sampling Data'!E863</f>
        <v>0</v>
      </c>
      <c r="G863" s="19">
        <f>'Sampling Data'!F863</f>
        <v>0</v>
      </c>
      <c r="H863" s="19">
        <f>'Sampling Data'!G863</f>
        <v>0</v>
      </c>
      <c r="I863" s="19">
        <f>'Sampling Data'!H863</f>
        <v>0</v>
      </c>
      <c r="J863" s="19">
        <f>'Sampling Data'!I863</f>
        <v>0</v>
      </c>
      <c r="K863" s="19">
        <f>'Sampling Data'!J863</f>
        <v>0</v>
      </c>
      <c r="L863" s="19">
        <f>'Sampling Data'!K863</f>
        <v>0</v>
      </c>
      <c r="M863" s="19">
        <f>'Sampling Data'!L863</f>
        <v>0</v>
      </c>
      <c r="N863" s="19">
        <f>'Sampling Data'!M863</f>
        <v>0</v>
      </c>
      <c r="O863" s="18">
        <f>'Sampling Data'!N863</f>
        <v>0</v>
      </c>
      <c r="P863" s="18">
        <f>'Sampling Data'!O863</f>
        <v>4</v>
      </c>
      <c r="Q863" s="18">
        <f>'Sampling Data'!P863</f>
        <v>130</v>
      </c>
      <c r="R863" s="18">
        <f>'Sampling Data'!AJ863</f>
        <v>0</v>
      </c>
      <c r="S863" s="112"/>
      <c r="T863" s="112"/>
      <c r="U863" s="113"/>
      <c r="V863" s="113"/>
      <c r="W863" s="112"/>
      <c r="X863" s="112"/>
      <c r="Y863" s="112"/>
      <c r="Z863" s="112"/>
      <c r="AA863" s="15"/>
      <c r="AB863" s="15"/>
      <c r="AC863" s="15"/>
      <c r="AD863" s="15"/>
      <c r="AE863" s="114" t="str">
        <f>IF(NOT(ISBLANK(Audit[[#This Row],[Audit Winning Candidate]])), Audit[[#This Row],[Audit Winning Candidate]]-Audit[[#This Row],[Winning Candidate]], "")</f>
        <v/>
      </c>
      <c r="AF863" s="18" t="str">
        <f>IF(NOT(ISBLANK(Audit[[#This Row],[Audit Losing Candidate]])), Audit[[#This Row],[Audit Losing Candidate]]-Audit[[#This Row],[Losing Candidate]], "")</f>
        <v/>
      </c>
      <c r="AG863" s="18" t="str">
        <f>IF(NOT(ISBLANK(Audit[[#This Row],[Audit Candidate 3]])), Audit[[#This Row],[Audit Candidate 3]]-Audit[[#This Row],[Candidate 3]], "")</f>
        <v/>
      </c>
      <c r="AH863" s="18" t="str">
        <f>IF(NOT(ISBLANK(Audit[[#This Row],[Audit Candidate 4]])),Audit[[#This Row],[Audit Candidate 4]]-Audit[[#This Row],[Candidate 4]], "")</f>
        <v/>
      </c>
      <c r="AI863" s="18" t="str">
        <f>IF(NOT(ISBLANK(Audit[[#This Row],[Audit Candidate 5]])), Audit[[#This Row],[Audit Candidate 5]]-Audit[[#This Row],[Candidate 5]], "")</f>
        <v/>
      </c>
      <c r="AJ863" s="18" t="str">
        <f>IF(NOT(ISBLANK(Audit[[#This Row],[Audit Candidate 6]])), Audit[[#This Row],[Audit Candidate 6]]-Audit[[#This Row],[Candidate 6]], "")</f>
        <v/>
      </c>
      <c r="AK863" s="18" t="str">
        <f>IF(NOT(ISBLANK(Audit[[#This Row],[Audit Candidate 7]])), Audit[[#This Row],[Audit Candidate 7]]-Audit[[#This Row],[Candidate 7]], "")</f>
        <v/>
      </c>
      <c r="AL863" s="18" t="str">
        <f>IF(NOT(ISBLANK(Audit[[#This Row],[Audit Candidate 8]])), Audit[[#This Row],[Audit Candidate 8]]-Audit[[#This Row],[Candidate 8]], "")</f>
        <v/>
      </c>
      <c r="AM863" s="18" t="str">
        <f>IF(NOT(ISBLANK(Audit[[#This Row],[Audit Candidate 9]])), Audit[[#This Row],[Audit Candidate 9]]-Audit[[#This Row],[Candidate 9]], "")</f>
        <v/>
      </c>
      <c r="AN863" s="18" t="str">
        <f>IF(NOT(ISBLANK(Audit[[#This Row],[Audit Candidate 10]])), Audit[[#This Row],[Audit Candidate 10]]-Audit[[#This Row],[Candidate 10]], "")</f>
        <v/>
      </c>
      <c r="AO863" s="18" t="str">
        <f>IF(NOT(ISBLANK(Audit[[#This Row],[Audit Candidate 11]])), Audit[[#This Row],[Audit Candidate 11]]-Audit[[#This Row],[Candidate 11]], "")</f>
        <v/>
      </c>
      <c r="AP863" s="18" t="str">
        <f>IF(NOT(ISBLANK(Audit[[#This Row],[Audit Candidate 12]])), Audit[[#This Row],[Audit Candidate 12]]-Audit[[#This Row],[Candidate 12]], "")</f>
        <v/>
      </c>
      <c r="AQ863" s="18">
        <f>SUMIF(Audit[[#This Row],[Difference Winner]:[Difference Candidate 12]], "&gt;0")</f>
        <v>0</v>
      </c>
      <c r="AR863" s="18">
        <f>SUM(Audit[[#This Row],[Difference Winner]:[Difference Candidate 12]])</f>
        <v>0</v>
      </c>
      <c r="AS863" s="18">
        <f>IF(Audit[[#This Row],[Times p Drawn - With Replacement]]&gt;0, IF(Audit[[#This Row],[Canceled Differences]]&lt;0, Audit[[#This Row],[Max Differences]]+ABS(Audit[[#This Row],[Canceled Differences]]), Audit[[#This Row],[Max Differences]]), 0)</f>
        <v>0</v>
      </c>
      <c r="AT863" s="18">
        <f>'Sampling Data'!AB863</f>
        <v>7.6012187077928199E-3</v>
      </c>
      <c r="AU863" s="18">
        <f>IF(
      SUM(Audit[[#This Row],[Audit Losing Candidate]:[Audit Candidate 12]])
      &lt;&gt;0,
      (Audit[[#This Row],[Winning Candidate]]-Audit[[#This Row],[Losing Candidate]]-(Audit[[#This Row],[Audit Winning Candidate]]-Audit[[#This Row],[Audit Losing Candidate]]))/(Audit[[#Totals],[Winning Candidate]]-Audit[[#Totals],[Losing Candidate]]),
      0
)</f>
        <v>0</v>
      </c>
      <c r="AV8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8">
        <f>IF(Audit[[#This Row],[Max Relative Error (ep)]] = 0, 0, Audit[[#This Row],[Max Relative Error (ep)]]/Audit[[#This Row],[Error Bound (up) - Max. possible relative overstatement]])</f>
        <v>0</v>
      </c>
      <c r="BH8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3" s="18">
        <f t="shared" si="14"/>
        <v>1</v>
      </c>
      <c r="BJ863" s="18">
        <f>PRODUCT($BI$5:BI863)</f>
        <v>0.32656797278968008</v>
      </c>
      <c r="BK863" s="20">
        <f>1 - Audit[[#This Row],[K-M P Value]]</f>
        <v>0.67343202721031992</v>
      </c>
      <c r="BL863" s="18" t="str">
        <f>IF(Audit[[#This Row],[K-M P Value]]&gt;1-'General Info'!$B$12,"Continue", "Stop")</f>
        <v>Continue</v>
      </c>
      <c r="BM863" s="23" t="b">
        <f>IF(Audit[[#This Row],[Status - Continue or stop audit]] = "Continue", TRUE, IF(BL862 = "Continue", TRUE, FALSE))</f>
        <v>1</v>
      </c>
      <c r="BN863" s="23"/>
    </row>
    <row r="864" spans="1:66" ht="15" hidden="1" customHeight="1" x14ac:dyDescent="0.35">
      <c r="A864" s="18" t="str">
        <f>'Sampling Data'!AI864</f>
        <v/>
      </c>
      <c r="B864" s="18" t="str">
        <f>'Sampling Data'!A864</f>
        <v>4941 SHAR 4-A   (ED)</v>
      </c>
      <c r="C864" s="18">
        <f>'Sampling Data'!B864</f>
        <v>135</v>
      </c>
      <c r="D864" s="18">
        <f>'Sampling Data'!C864</f>
        <v>10</v>
      </c>
      <c r="E864" s="19">
        <f>'Sampling Data'!D864</f>
        <v>0</v>
      </c>
      <c r="F864" s="19">
        <f>'Sampling Data'!E864</f>
        <v>0</v>
      </c>
      <c r="G864" s="19">
        <f>'Sampling Data'!F864</f>
        <v>0</v>
      </c>
      <c r="H864" s="19">
        <f>'Sampling Data'!G864</f>
        <v>0</v>
      </c>
      <c r="I864" s="19">
        <f>'Sampling Data'!H864</f>
        <v>0</v>
      </c>
      <c r="J864" s="19">
        <f>'Sampling Data'!I864</f>
        <v>0</v>
      </c>
      <c r="K864" s="19">
        <f>'Sampling Data'!J864</f>
        <v>0</v>
      </c>
      <c r="L864" s="19">
        <f>'Sampling Data'!K864</f>
        <v>0</v>
      </c>
      <c r="M864" s="19">
        <f>'Sampling Data'!L864</f>
        <v>0</v>
      </c>
      <c r="N864" s="19">
        <f>'Sampling Data'!M864</f>
        <v>0</v>
      </c>
      <c r="O864" s="18">
        <f>'Sampling Data'!N864</f>
        <v>0</v>
      </c>
      <c r="P864" s="18">
        <f>'Sampling Data'!O864</f>
        <v>1</v>
      </c>
      <c r="Q864" s="18">
        <f>'Sampling Data'!P864</f>
        <v>146</v>
      </c>
      <c r="R864" s="18">
        <f>'Sampling Data'!AJ864</f>
        <v>0</v>
      </c>
      <c r="S864" s="112"/>
      <c r="T864" s="112"/>
      <c r="U864" s="113"/>
      <c r="V864" s="113"/>
      <c r="W864" s="112"/>
      <c r="X864" s="112"/>
      <c r="Y864" s="112"/>
      <c r="Z864" s="112"/>
      <c r="AA864" s="15"/>
      <c r="AB864" s="15"/>
      <c r="AC864" s="15"/>
      <c r="AD864" s="15"/>
      <c r="AE864" s="114" t="str">
        <f>IF(NOT(ISBLANK(Audit[[#This Row],[Audit Winning Candidate]])), Audit[[#This Row],[Audit Winning Candidate]]-Audit[[#This Row],[Winning Candidate]], "")</f>
        <v/>
      </c>
      <c r="AF864" s="18" t="str">
        <f>IF(NOT(ISBLANK(Audit[[#This Row],[Audit Losing Candidate]])), Audit[[#This Row],[Audit Losing Candidate]]-Audit[[#This Row],[Losing Candidate]], "")</f>
        <v/>
      </c>
      <c r="AG864" s="18" t="str">
        <f>IF(NOT(ISBLANK(Audit[[#This Row],[Audit Candidate 3]])), Audit[[#This Row],[Audit Candidate 3]]-Audit[[#This Row],[Candidate 3]], "")</f>
        <v/>
      </c>
      <c r="AH864" s="18" t="str">
        <f>IF(NOT(ISBLANK(Audit[[#This Row],[Audit Candidate 4]])),Audit[[#This Row],[Audit Candidate 4]]-Audit[[#This Row],[Candidate 4]], "")</f>
        <v/>
      </c>
      <c r="AI864" s="18" t="str">
        <f>IF(NOT(ISBLANK(Audit[[#This Row],[Audit Candidate 5]])), Audit[[#This Row],[Audit Candidate 5]]-Audit[[#This Row],[Candidate 5]], "")</f>
        <v/>
      </c>
      <c r="AJ864" s="18" t="str">
        <f>IF(NOT(ISBLANK(Audit[[#This Row],[Audit Candidate 6]])), Audit[[#This Row],[Audit Candidate 6]]-Audit[[#This Row],[Candidate 6]], "")</f>
        <v/>
      </c>
      <c r="AK864" s="18" t="str">
        <f>IF(NOT(ISBLANK(Audit[[#This Row],[Audit Candidate 7]])), Audit[[#This Row],[Audit Candidate 7]]-Audit[[#This Row],[Candidate 7]], "")</f>
        <v/>
      </c>
      <c r="AL864" s="18" t="str">
        <f>IF(NOT(ISBLANK(Audit[[#This Row],[Audit Candidate 8]])), Audit[[#This Row],[Audit Candidate 8]]-Audit[[#This Row],[Candidate 8]], "")</f>
        <v/>
      </c>
      <c r="AM864" s="18" t="str">
        <f>IF(NOT(ISBLANK(Audit[[#This Row],[Audit Candidate 9]])), Audit[[#This Row],[Audit Candidate 9]]-Audit[[#This Row],[Candidate 9]], "")</f>
        <v/>
      </c>
      <c r="AN864" s="18" t="str">
        <f>IF(NOT(ISBLANK(Audit[[#This Row],[Audit Candidate 10]])), Audit[[#This Row],[Audit Candidate 10]]-Audit[[#This Row],[Candidate 10]], "")</f>
        <v/>
      </c>
      <c r="AO864" s="18" t="str">
        <f>IF(NOT(ISBLANK(Audit[[#This Row],[Audit Candidate 11]])), Audit[[#This Row],[Audit Candidate 11]]-Audit[[#This Row],[Candidate 11]], "")</f>
        <v/>
      </c>
      <c r="AP864" s="18" t="str">
        <f>IF(NOT(ISBLANK(Audit[[#This Row],[Audit Candidate 12]])), Audit[[#This Row],[Audit Candidate 12]]-Audit[[#This Row],[Candidate 12]], "")</f>
        <v/>
      </c>
      <c r="AQ864" s="18">
        <f>SUMIF(Audit[[#This Row],[Difference Winner]:[Difference Candidate 12]], "&gt;0")</f>
        <v>0</v>
      </c>
      <c r="AR864" s="18">
        <f>SUM(Audit[[#This Row],[Difference Winner]:[Difference Candidate 12]])</f>
        <v>0</v>
      </c>
      <c r="AS864" s="18">
        <f>IF(Audit[[#This Row],[Times p Drawn - With Replacement]]&gt;0, IF(Audit[[#This Row],[Canceled Differences]]&lt;0, Audit[[#This Row],[Max Differences]]+ABS(Audit[[#This Row],[Canceled Differences]]), Audit[[#This Row],[Max Differences]]), 0)</f>
        <v>0</v>
      </c>
      <c r="AT864" s="18">
        <f>'Sampling Data'!AB864</f>
        <v>8.5121085529415458E-3</v>
      </c>
      <c r="AU864" s="18">
        <f>IF(
      SUM(Audit[[#This Row],[Audit Losing Candidate]:[Audit Candidate 12]])
      &lt;&gt;0,
      (Audit[[#This Row],[Winning Candidate]]-Audit[[#This Row],[Losing Candidate]]-(Audit[[#This Row],[Audit Winning Candidate]]-Audit[[#This Row],[Audit Losing Candidate]]))/(Audit[[#Totals],[Winning Candidate]]-Audit[[#Totals],[Losing Candidate]]),
      0
)</f>
        <v>0</v>
      </c>
      <c r="AV8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8">
        <f>IF(Audit[[#This Row],[Max Relative Error (ep)]] = 0, 0, Audit[[#This Row],[Max Relative Error (ep)]]/Audit[[#This Row],[Error Bound (up) - Max. possible relative overstatement]])</f>
        <v>0</v>
      </c>
      <c r="BH8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4" s="18">
        <f t="shared" si="14"/>
        <v>1</v>
      </c>
      <c r="BJ864" s="18">
        <f>PRODUCT($BI$5:BI864)</f>
        <v>0.32656797278968008</v>
      </c>
      <c r="BK864" s="20">
        <f>1 - Audit[[#This Row],[K-M P Value]]</f>
        <v>0.67343202721031992</v>
      </c>
      <c r="BL864" s="18" t="str">
        <f>IF(Audit[[#This Row],[K-M P Value]]&gt;1-'General Info'!$B$12,"Continue", "Stop")</f>
        <v>Continue</v>
      </c>
      <c r="BM864" s="23" t="b">
        <f>IF(Audit[[#This Row],[Status - Continue or stop audit]] = "Continue", TRUE, IF(BL863 = "Continue", TRUE, FALSE))</f>
        <v>1</v>
      </c>
      <c r="BN864" s="23"/>
    </row>
    <row r="865" spans="1:66" ht="15" hidden="1" customHeight="1" x14ac:dyDescent="0.35">
      <c r="A865" s="18" t="str">
        <f>'Sampling Data'!AI865</f>
        <v/>
      </c>
      <c r="B865" s="18" t="str">
        <f>'Sampling Data'!A865</f>
        <v>4942 SHAR 4-B   (ED)</v>
      </c>
      <c r="C865" s="18">
        <f>'Sampling Data'!B865</f>
        <v>107</v>
      </c>
      <c r="D865" s="18">
        <f>'Sampling Data'!C865</f>
        <v>23</v>
      </c>
      <c r="E865" s="19">
        <f>'Sampling Data'!D865</f>
        <v>0</v>
      </c>
      <c r="F865" s="19">
        <f>'Sampling Data'!E865</f>
        <v>0</v>
      </c>
      <c r="G865" s="19">
        <f>'Sampling Data'!F865</f>
        <v>0</v>
      </c>
      <c r="H865" s="19">
        <f>'Sampling Data'!G865</f>
        <v>0</v>
      </c>
      <c r="I865" s="19">
        <f>'Sampling Data'!H865</f>
        <v>0</v>
      </c>
      <c r="J865" s="19">
        <f>'Sampling Data'!I865</f>
        <v>0</v>
      </c>
      <c r="K865" s="19">
        <f>'Sampling Data'!J865</f>
        <v>0</v>
      </c>
      <c r="L865" s="19">
        <f>'Sampling Data'!K865</f>
        <v>0</v>
      </c>
      <c r="M865" s="19">
        <f>'Sampling Data'!L865</f>
        <v>0</v>
      </c>
      <c r="N865" s="19">
        <f>'Sampling Data'!M865</f>
        <v>0</v>
      </c>
      <c r="O865" s="18">
        <f>'Sampling Data'!N865</f>
        <v>0</v>
      </c>
      <c r="P865" s="18">
        <f>'Sampling Data'!O865</f>
        <v>3</v>
      </c>
      <c r="Q865" s="18">
        <f>'Sampling Data'!P865</f>
        <v>133</v>
      </c>
      <c r="R865" s="18">
        <f>'Sampling Data'!AJ865</f>
        <v>0</v>
      </c>
      <c r="S865" s="112"/>
      <c r="T865" s="112"/>
      <c r="U865" s="113"/>
      <c r="V865" s="113"/>
      <c r="W865" s="112"/>
      <c r="X865" s="112"/>
      <c r="Y865" s="112"/>
      <c r="Z865" s="112"/>
      <c r="AA865" s="15"/>
      <c r="AB865" s="15"/>
      <c r="AC865" s="15"/>
      <c r="AD865" s="15"/>
      <c r="AE865" s="114" t="str">
        <f>IF(NOT(ISBLANK(Audit[[#This Row],[Audit Winning Candidate]])), Audit[[#This Row],[Audit Winning Candidate]]-Audit[[#This Row],[Winning Candidate]], "")</f>
        <v/>
      </c>
      <c r="AF865" s="18" t="str">
        <f>IF(NOT(ISBLANK(Audit[[#This Row],[Audit Losing Candidate]])), Audit[[#This Row],[Audit Losing Candidate]]-Audit[[#This Row],[Losing Candidate]], "")</f>
        <v/>
      </c>
      <c r="AG865" s="18" t="str">
        <f>IF(NOT(ISBLANK(Audit[[#This Row],[Audit Candidate 3]])), Audit[[#This Row],[Audit Candidate 3]]-Audit[[#This Row],[Candidate 3]], "")</f>
        <v/>
      </c>
      <c r="AH865" s="18" t="str">
        <f>IF(NOT(ISBLANK(Audit[[#This Row],[Audit Candidate 4]])),Audit[[#This Row],[Audit Candidate 4]]-Audit[[#This Row],[Candidate 4]], "")</f>
        <v/>
      </c>
      <c r="AI865" s="18" t="str">
        <f>IF(NOT(ISBLANK(Audit[[#This Row],[Audit Candidate 5]])), Audit[[#This Row],[Audit Candidate 5]]-Audit[[#This Row],[Candidate 5]], "")</f>
        <v/>
      </c>
      <c r="AJ865" s="18" t="str">
        <f>IF(NOT(ISBLANK(Audit[[#This Row],[Audit Candidate 6]])), Audit[[#This Row],[Audit Candidate 6]]-Audit[[#This Row],[Candidate 6]], "")</f>
        <v/>
      </c>
      <c r="AK865" s="18" t="str">
        <f>IF(NOT(ISBLANK(Audit[[#This Row],[Audit Candidate 7]])), Audit[[#This Row],[Audit Candidate 7]]-Audit[[#This Row],[Candidate 7]], "")</f>
        <v/>
      </c>
      <c r="AL865" s="18" t="str">
        <f>IF(NOT(ISBLANK(Audit[[#This Row],[Audit Candidate 8]])), Audit[[#This Row],[Audit Candidate 8]]-Audit[[#This Row],[Candidate 8]], "")</f>
        <v/>
      </c>
      <c r="AM865" s="18" t="str">
        <f>IF(NOT(ISBLANK(Audit[[#This Row],[Audit Candidate 9]])), Audit[[#This Row],[Audit Candidate 9]]-Audit[[#This Row],[Candidate 9]], "")</f>
        <v/>
      </c>
      <c r="AN865" s="18" t="str">
        <f>IF(NOT(ISBLANK(Audit[[#This Row],[Audit Candidate 10]])), Audit[[#This Row],[Audit Candidate 10]]-Audit[[#This Row],[Candidate 10]], "")</f>
        <v/>
      </c>
      <c r="AO865" s="18" t="str">
        <f>IF(NOT(ISBLANK(Audit[[#This Row],[Audit Candidate 11]])), Audit[[#This Row],[Audit Candidate 11]]-Audit[[#This Row],[Candidate 11]], "")</f>
        <v/>
      </c>
      <c r="AP865" s="18" t="str">
        <f>IF(NOT(ISBLANK(Audit[[#This Row],[Audit Candidate 12]])), Audit[[#This Row],[Audit Candidate 12]]-Audit[[#This Row],[Candidate 12]], "")</f>
        <v/>
      </c>
      <c r="AQ865" s="18">
        <f>SUMIF(Audit[[#This Row],[Difference Winner]:[Difference Candidate 12]], "&gt;0")</f>
        <v>0</v>
      </c>
      <c r="AR865" s="18">
        <f>SUM(Audit[[#This Row],[Difference Winner]:[Difference Candidate 12]])</f>
        <v>0</v>
      </c>
      <c r="AS865" s="18">
        <f>IF(Audit[[#This Row],[Times p Drawn - With Replacement]]&gt;0, IF(Audit[[#This Row],[Canceled Differences]]&lt;0, Audit[[#This Row],[Max Differences]]+ABS(Audit[[#This Row],[Canceled Differences]]), Audit[[#This Row],[Max Differences]]), 0)</f>
        <v>0</v>
      </c>
      <c r="AT865" s="18">
        <f>'Sampling Data'!AB865</f>
        <v>6.815968841285297E-3</v>
      </c>
      <c r="AU865" s="18">
        <f>IF(
      SUM(Audit[[#This Row],[Audit Losing Candidate]:[Audit Candidate 12]])
      &lt;&gt;0,
      (Audit[[#This Row],[Winning Candidate]]-Audit[[#This Row],[Losing Candidate]]-(Audit[[#This Row],[Audit Winning Candidate]]-Audit[[#This Row],[Audit Losing Candidate]]))/(Audit[[#Totals],[Winning Candidate]]-Audit[[#Totals],[Losing Candidate]]),
      0
)</f>
        <v>0</v>
      </c>
      <c r="AV8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8">
        <f>IF(Audit[[#This Row],[Max Relative Error (ep)]] = 0, 0, Audit[[#This Row],[Max Relative Error (ep)]]/Audit[[#This Row],[Error Bound (up) - Max. possible relative overstatement]])</f>
        <v>0</v>
      </c>
      <c r="BH8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5" s="18">
        <f t="shared" si="14"/>
        <v>1</v>
      </c>
      <c r="BJ865" s="18">
        <f>PRODUCT($BI$5:BI865)</f>
        <v>0.32656797278968008</v>
      </c>
      <c r="BK865" s="20">
        <f>1 - Audit[[#This Row],[K-M P Value]]</f>
        <v>0.67343202721031992</v>
      </c>
      <c r="BL865" s="18" t="str">
        <f>IF(Audit[[#This Row],[K-M P Value]]&gt;1-'General Info'!$B$12,"Continue", "Stop")</f>
        <v>Continue</v>
      </c>
      <c r="BM865" s="23" t="b">
        <f>IF(Audit[[#This Row],[Status - Continue or stop audit]] = "Continue", TRUE, IF(BL864 = "Continue", TRUE, FALSE))</f>
        <v>1</v>
      </c>
      <c r="BN865" s="23"/>
    </row>
    <row r="866" spans="1:66" ht="15" hidden="1" customHeight="1" x14ac:dyDescent="0.35">
      <c r="A866" s="18" t="str">
        <f>'Sampling Data'!AI866</f>
        <v/>
      </c>
      <c r="B866" s="18" t="str">
        <f>'Sampling Data'!A866</f>
        <v>5201 SPDALE A   (ED)</v>
      </c>
      <c r="C866" s="18">
        <f>'Sampling Data'!B866</f>
        <v>30</v>
      </c>
      <c r="D866" s="18">
        <f>'Sampling Data'!C866</f>
        <v>4</v>
      </c>
      <c r="E866" s="19">
        <f>'Sampling Data'!D866</f>
        <v>0</v>
      </c>
      <c r="F866" s="19">
        <f>'Sampling Data'!E866</f>
        <v>0</v>
      </c>
      <c r="G866" s="19">
        <f>'Sampling Data'!F866</f>
        <v>0</v>
      </c>
      <c r="H866" s="19">
        <f>'Sampling Data'!G866</f>
        <v>0</v>
      </c>
      <c r="I866" s="19">
        <f>'Sampling Data'!H866</f>
        <v>0</v>
      </c>
      <c r="J866" s="19">
        <f>'Sampling Data'!I866</f>
        <v>0</v>
      </c>
      <c r="K866" s="19">
        <f>'Sampling Data'!J866</f>
        <v>0</v>
      </c>
      <c r="L866" s="19">
        <f>'Sampling Data'!K866</f>
        <v>0</v>
      </c>
      <c r="M866" s="19">
        <f>'Sampling Data'!L866</f>
        <v>0</v>
      </c>
      <c r="N866" s="19">
        <f>'Sampling Data'!M866</f>
        <v>0</v>
      </c>
      <c r="O866" s="18">
        <f>'Sampling Data'!N866</f>
        <v>0</v>
      </c>
      <c r="P866" s="18">
        <f>'Sampling Data'!O866</f>
        <v>0</v>
      </c>
      <c r="Q866" s="18">
        <f>'Sampling Data'!P866</f>
        <v>34</v>
      </c>
      <c r="R866" s="18">
        <f>'Sampling Data'!AJ866</f>
        <v>0</v>
      </c>
      <c r="S866" s="112"/>
      <c r="T866" s="112"/>
      <c r="U866" s="113"/>
      <c r="V866" s="113"/>
      <c r="W866" s="112"/>
      <c r="X866" s="112"/>
      <c r="Y866" s="112"/>
      <c r="Z866" s="112"/>
      <c r="AA866" s="15"/>
      <c r="AB866" s="15"/>
      <c r="AC866" s="15"/>
      <c r="AD866" s="15"/>
      <c r="AE866" s="114" t="str">
        <f>IF(NOT(ISBLANK(Audit[[#This Row],[Audit Winning Candidate]])), Audit[[#This Row],[Audit Winning Candidate]]-Audit[[#This Row],[Winning Candidate]], "")</f>
        <v/>
      </c>
      <c r="AF866" s="18" t="str">
        <f>IF(NOT(ISBLANK(Audit[[#This Row],[Audit Losing Candidate]])), Audit[[#This Row],[Audit Losing Candidate]]-Audit[[#This Row],[Losing Candidate]], "")</f>
        <v/>
      </c>
      <c r="AG866" s="18" t="str">
        <f>IF(NOT(ISBLANK(Audit[[#This Row],[Audit Candidate 3]])), Audit[[#This Row],[Audit Candidate 3]]-Audit[[#This Row],[Candidate 3]], "")</f>
        <v/>
      </c>
      <c r="AH866" s="18" t="str">
        <f>IF(NOT(ISBLANK(Audit[[#This Row],[Audit Candidate 4]])),Audit[[#This Row],[Audit Candidate 4]]-Audit[[#This Row],[Candidate 4]], "")</f>
        <v/>
      </c>
      <c r="AI866" s="18" t="str">
        <f>IF(NOT(ISBLANK(Audit[[#This Row],[Audit Candidate 5]])), Audit[[#This Row],[Audit Candidate 5]]-Audit[[#This Row],[Candidate 5]], "")</f>
        <v/>
      </c>
      <c r="AJ866" s="18" t="str">
        <f>IF(NOT(ISBLANK(Audit[[#This Row],[Audit Candidate 6]])), Audit[[#This Row],[Audit Candidate 6]]-Audit[[#This Row],[Candidate 6]], "")</f>
        <v/>
      </c>
      <c r="AK866" s="18" t="str">
        <f>IF(NOT(ISBLANK(Audit[[#This Row],[Audit Candidate 7]])), Audit[[#This Row],[Audit Candidate 7]]-Audit[[#This Row],[Candidate 7]], "")</f>
        <v/>
      </c>
      <c r="AL866" s="18" t="str">
        <f>IF(NOT(ISBLANK(Audit[[#This Row],[Audit Candidate 8]])), Audit[[#This Row],[Audit Candidate 8]]-Audit[[#This Row],[Candidate 8]], "")</f>
        <v/>
      </c>
      <c r="AM866" s="18" t="str">
        <f>IF(NOT(ISBLANK(Audit[[#This Row],[Audit Candidate 9]])), Audit[[#This Row],[Audit Candidate 9]]-Audit[[#This Row],[Candidate 9]], "")</f>
        <v/>
      </c>
      <c r="AN866" s="18" t="str">
        <f>IF(NOT(ISBLANK(Audit[[#This Row],[Audit Candidate 10]])), Audit[[#This Row],[Audit Candidate 10]]-Audit[[#This Row],[Candidate 10]], "")</f>
        <v/>
      </c>
      <c r="AO866" s="18" t="str">
        <f>IF(NOT(ISBLANK(Audit[[#This Row],[Audit Candidate 11]])), Audit[[#This Row],[Audit Candidate 11]]-Audit[[#This Row],[Candidate 11]], "")</f>
        <v/>
      </c>
      <c r="AP866" s="18" t="str">
        <f>IF(NOT(ISBLANK(Audit[[#This Row],[Audit Candidate 12]])), Audit[[#This Row],[Audit Candidate 12]]-Audit[[#This Row],[Candidate 12]], "")</f>
        <v/>
      </c>
      <c r="AQ866" s="18">
        <f>SUMIF(Audit[[#This Row],[Difference Winner]:[Difference Candidate 12]], "&gt;0")</f>
        <v>0</v>
      </c>
      <c r="AR866" s="18">
        <f>SUM(Audit[[#This Row],[Difference Winner]:[Difference Candidate 12]])</f>
        <v>0</v>
      </c>
      <c r="AS866" s="18">
        <f>IF(Audit[[#This Row],[Times p Drawn - With Replacement]]&gt;0, IF(Audit[[#This Row],[Canceled Differences]]&lt;0, Audit[[#This Row],[Max Differences]]+ABS(Audit[[#This Row],[Canceled Differences]]), Audit[[#This Row],[Max Differences]]), 0)</f>
        <v>0</v>
      </c>
      <c r="AT866" s="18">
        <f>'Sampling Data'!AB866</f>
        <v>1.8845996796180544E-3</v>
      </c>
      <c r="AU866" s="18">
        <f>IF(
      SUM(Audit[[#This Row],[Audit Losing Candidate]:[Audit Candidate 12]])
      &lt;&gt;0,
      (Audit[[#This Row],[Winning Candidate]]-Audit[[#This Row],[Losing Candidate]]-(Audit[[#This Row],[Audit Winning Candidate]]-Audit[[#This Row],[Audit Losing Candidate]]))/(Audit[[#Totals],[Winning Candidate]]-Audit[[#Totals],[Losing Candidate]]),
      0
)</f>
        <v>0</v>
      </c>
      <c r="AV8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8">
        <f>IF(Audit[[#This Row],[Max Relative Error (ep)]] = 0, 0, Audit[[#This Row],[Max Relative Error (ep)]]/Audit[[#This Row],[Error Bound (up) - Max. possible relative overstatement]])</f>
        <v>0</v>
      </c>
      <c r="BH8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6" s="18">
        <f t="shared" si="14"/>
        <v>1</v>
      </c>
      <c r="BJ866" s="18">
        <f>PRODUCT($BI$5:BI866)</f>
        <v>0.32656797278968008</v>
      </c>
      <c r="BK866" s="20">
        <f>1 - Audit[[#This Row],[K-M P Value]]</f>
        <v>0.67343202721031992</v>
      </c>
      <c r="BL866" s="18" t="str">
        <f>IF(Audit[[#This Row],[K-M P Value]]&gt;1-'General Info'!$B$12,"Continue", "Stop")</f>
        <v>Continue</v>
      </c>
      <c r="BM866" s="23" t="b">
        <f>IF(Audit[[#This Row],[Status - Continue or stop audit]] = "Continue", TRUE, IF(BL865 = "Continue", TRUE, FALSE))</f>
        <v>1</v>
      </c>
      <c r="BN866" s="23"/>
    </row>
    <row r="867" spans="1:66" ht="15" hidden="1" customHeight="1" x14ac:dyDescent="0.35">
      <c r="A867" s="18" t="str">
        <f>'Sampling Data'!AI867</f>
        <v/>
      </c>
      <c r="B867" s="18" t="str">
        <f>'Sampling Data'!A867</f>
        <v>5202 SPDALE B   (ED)</v>
      </c>
      <c r="C867" s="18">
        <f>'Sampling Data'!B867</f>
        <v>39</v>
      </c>
      <c r="D867" s="18">
        <f>'Sampling Data'!C867</f>
        <v>5</v>
      </c>
      <c r="E867" s="19">
        <f>'Sampling Data'!D867</f>
        <v>0</v>
      </c>
      <c r="F867" s="19">
        <f>'Sampling Data'!E867</f>
        <v>0</v>
      </c>
      <c r="G867" s="19">
        <f>'Sampling Data'!F867</f>
        <v>0</v>
      </c>
      <c r="H867" s="19">
        <f>'Sampling Data'!G867</f>
        <v>0</v>
      </c>
      <c r="I867" s="19">
        <f>'Sampling Data'!H867</f>
        <v>0</v>
      </c>
      <c r="J867" s="19">
        <f>'Sampling Data'!I867</f>
        <v>0</v>
      </c>
      <c r="K867" s="19">
        <f>'Sampling Data'!J867</f>
        <v>0</v>
      </c>
      <c r="L867" s="19">
        <f>'Sampling Data'!K867</f>
        <v>0</v>
      </c>
      <c r="M867" s="19">
        <f>'Sampling Data'!L867</f>
        <v>0</v>
      </c>
      <c r="N867" s="19">
        <f>'Sampling Data'!M867</f>
        <v>0</v>
      </c>
      <c r="O867" s="18">
        <f>'Sampling Data'!N867</f>
        <v>0</v>
      </c>
      <c r="P867" s="18">
        <f>'Sampling Data'!O867</f>
        <v>0</v>
      </c>
      <c r="Q867" s="18">
        <f>'Sampling Data'!P867</f>
        <v>44</v>
      </c>
      <c r="R867" s="18">
        <f>'Sampling Data'!AJ867</f>
        <v>0</v>
      </c>
      <c r="S867" s="112"/>
      <c r="T867" s="112"/>
      <c r="U867" s="113"/>
      <c r="V867" s="113"/>
      <c r="W867" s="112"/>
      <c r="X867" s="112"/>
      <c r="Y867" s="112"/>
      <c r="Z867" s="112"/>
      <c r="AA867" s="15"/>
      <c r="AB867" s="15"/>
      <c r="AC867" s="15"/>
      <c r="AD867" s="15"/>
      <c r="AE867" s="114" t="str">
        <f>IF(NOT(ISBLANK(Audit[[#This Row],[Audit Winning Candidate]])), Audit[[#This Row],[Audit Winning Candidate]]-Audit[[#This Row],[Winning Candidate]], "")</f>
        <v/>
      </c>
      <c r="AF867" s="18" t="str">
        <f>IF(NOT(ISBLANK(Audit[[#This Row],[Audit Losing Candidate]])), Audit[[#This Row],[Audit Losing Candidate]]-Audit[[#This Row],[Losing Candidate]], "")</f>
        <v/>
      </c>
      <c r="AG867" s="18" t="str">
        <f>IF(NOT(ISBLANK(Audit[[#This Row],[Audit Candidate 3]])), Audit[[#This Row],[Audit Candidate 3]]-Audit[[#This Row],[Candidate 3]], "")</f>
        <v/>
      </c>
      <c r="AH867" s="18" t="str">
        <f>IF(NOT(ISBLANK(Audit[[#This Row],[Audit Candidate 4]])),Audit[[#This Row],[Audit Candidate 4]]-Audit[[#This Row],[Candidate 4]], "")</f>
        <v/>
      </c>
      <c r="AI867" s="18" t="str">
        <f>IF(NOT(ISBLANK(Audit[[#This Row],[Audit Candidate 5]])), Audit[[#This Row],[Audit Candidate 5]]-Audit[[#This Row],[Candidate 5]], "")</f>
        <v/>
      </c>
      <c r="AJ867" s="18" t="str">
        <f>IF(NOT(ISBLANK(Audit[[#This Row],[Audit Candidate 6]])), Audit[[#This Row],[Audit Candidate 6]]-Audit[[#This Row],[Candidate 6]], "")</f>
        <v/>
      </c>
      <c r="AK867" s="18" t="str">
        <f>IF(NOT(ISBLANK(Audit[[#This Row],[Audit Candidate 7]])), Audit[[#This Row],[Audit Candidate 7]]-Audit[[#This Row],[Candidate 7]], "")</f>
        <v/>
      </c>
      <c r="AL867" s="18" t="str">
        <f>IF(NOT(ISBLANK(Audit[[#This Row],[Audit Candidate 8]])), Audit[[#This Row],[Audit Candidate 8]]-Audit[[#This Row],[Candidate 8]], "")</f>
        <v/>
      </c>
      <c r="AM867" s="18" t="str">
        <f>IF(NOT(ISBLANK(Audit[[#This Row],[Audit Candidate 9]])), Audit[[#This Row],[Audit Candidate 9]]-Audit[[#This Row],[Candidate 9]], "")</f>
        <v/>
      </c>
      <c r="AN867" s="18" t="str">
        <f>IF(NOT(ISBLANK(Audit[[#This Row],[Audit Candidate 10]])), Audit[[#This Row],[Audit Candidate 10]]-Audit[[#This Row],[Candidate 10]], "")</f>
        <v/>
      </c>
      <c r="AO867" s="18" t="str">
        <f>IF(NOT(ISBLANK(Audit[[#This Row],[Audit Candidate 11]])), Audit[[#This Row],[Audit Candidate 11]]-Audit[[#This Row],[Candidate 11]], "")</f>
        <v/>
      </c>
      <c r="AP867" s="18" t="str">
        <f>IF(NOT(ISBLANK(Audit[[#This Row],[Audit Candidate 12]])), Audit[[#This Row],[Audit Candidate 12]]-Audit[[#This Row],[Candidate 12]], "")</f>
        <v/>
      </c>
      <c r="AQ867" s="18">
        <f>SUMIF(Audit[[#This Row],[Difference Winner]:[Difference Candidate 12]], "&gt;0")</f>
        <v>0</v>
      </c>
      <c r="AR867" s="18">
        <f>SUM(Audit[[#This Row],[Difference Winner]:[Difference Candidate 12]])</f>
        <v>0</v>
      </c>
      <c r="AS867" s="18">
        <f>IF(Audit[[#This Row],[Times p Drawn - With Replacement]]&gt;0, IF(Audit[[#This Row],[Canceled Differences]]&lt;0, Audit[[#This Row],[Max Differences]]+ABS(Audit[[#This Row],[Canceled Differences]]), Audit[[#This Row],[Max Differences]]), 0)</f>
        <v>0</v>
      </c>
      <c r="AT867" s="18">
        <f>'Sampling Data'!AB867</f>
        <v>2.4499795835034709E-3</v>
      </c>
      <c r="AU867" s="18">
        <f>IF(
      SUM(Audit[[#This Row],[Audit Losing Candidate]:[Audit Candidate 12]])
      &lt;&gt;0,
      (Audit[[#This Row],[Winning Candidate]]-Audit[[#This Row],[Losing Candidate]]-(Audit[[#This Row],[Audit Winning Candidate]]-Audit[[#This Row],[Audit Losing Candidate]]))/(Audit[[#Totals],[Winning Candidate]]-Audit[[#Totals],[Losing Candidate]]),
      0
)</f>
        <v>0</v>
      </c>
      <c r="AV8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8">
        <f>IF(Audit[[#This Row],[Max Relative Error (ep)]] = 0, 0, Audit[[#This Row],[Max Relative Error (ep)]]/Audit[[#This Row],[Error Bound (up) - Max. possible relative overstatement]])</f>
        <v>0</v>
      </c>
      <c r="BH8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7" s="18">
        <f t="shared" si="14"/>
        <v>1</v>
      </c>
      <c r="BJ867" s="18">
        <f>PRODUCT($BI$5:BI867)</f>
        <v>0.32656797278968008</v>
      </c>
      <c r="BK867" s="20">
        <f>1 - Audit[[#This Row],[K-M P Value]]</f>
        <v>0.67343202721031992</v>
      </c>
      <c r="BL867" s="18" t="str">
        <f>IF(Audit[[#This Row],[K-M P Value]]&gt;1-'General Info'!$B$12,"Continue", "Stop")</f>
        <v>Continue</v>
      </c>
      <c r="BM867" s="23" t="b">
        <f>IF(Audit[[#This Row],[Status - Continue or stop audit]] = "Continue", TRUE, IF(BL866 = "Continue", TRUE, FALSE))</f>
        <v>1</v>
      </c>
      <c r="BN867" s="23"/>
    </row>
    <row r="868" spans="1:66" ht="15" hidden="1" customHeight="1" x14ac:dyDescent="0.35">
      <c r="A868" s="18" t="str">
        <f>'Sampling Data'!AI868</f>
        <v/>
      </c>
      <c r="B868" s="18" t="str">
        <f>'Sampling Data'!A868</f>
        <v>5203 SPDALE C   (ED)</v>
      </c>
      <c r="C868" s="18">
        <f>'Sampling Data'!B868</f>
        <v>47</v>
      </c>
      <c r="D868" s="18">
        <f>'Sampling Data'!C868</f>
        <v>5</v>
      </c>
      <c r="E868" s="19">
        <f>'Sampling Data'!D868</f>
        <v>0</v>
      </c>
      <c r="F868" s="19">
        <f>'Sampling Data'!E868</f>
        <v>0</v>
      </c>
      <c r="G868" s="19">
        <f>'Sampling Data'!F868</f>
        <v>0</v>
      </c>
      <c r="H868" s="19">
        <f>'Sampling Data'!G868</f>
        <v>0</v>
      </c>
      <c r="I868" s="19">
        <f>'Sampling Data'!H868</f>
        <v>0</v>
      </c>
      <c r="J868" s="19">
        <f>'Sampling Data'!I868</f>
        <v>0</v>
      </c>
      <c r="K868" s="19">
        <f>'Sampling Data'!J868</f>
        <v>0</v>
      </c>
      <c r="L868" s="19">
        <f>'Sampling Data'!K868</f>
        <v>0</v>
      </c>
      <c r="M868" s="19">
        <f>'Sampling Data'!L868</f>
        <v>0</v>
      </c>
      <c r="N868" s="19">
        <f>'Sampling Data'!M868</f>
        <v>0</v>
      </c>
      <c r="O868" s="18">
        <f>'Sampling Data'!N868</f>
        <v>0</v>
      </c>
      <c r="P868" s="18">
        <f>'Sampling Data'!O868</f>
        <v>3</v>
      </c>
      <c r="Q868" s="18">
        <f>'Sampling Data'!P868</f>
        <v>55</v>
      </c>
      <c r="R868" s="18">
        <f>'Sampling Data'!AJ868</f>
        <v>0</v>
      </c>
      <c r="S868" s="112"/>
      <c r="T868" s="112"/>
      <c r="U868" s="113"/>
      <c r="V868" s="113"/>
      <c r="W868" s="112"/>
      <c r="X868" s="112"/>
      <c r="Y868" s="112"/>
      <c r="Z868" s="112"/>
      <c r="AA868" s="15"/>
      <c r="AB868" s="15"/>
      <c r="AC868" s="15"/>
      <c r="AD868" s="15"/>
      <c r="AE868" s="114" t="str">
        <f>IF(NOT(ISBLANK(Audit[[#This Row],[Audit Winning Candidate]])), Audit[[#This Row],[Audit Winning Candidate]]-Audit[[#This Row],[Winning Candidate]], "")</f>
        <v/>
      </c>
      <c r="AF868" s="18" t="str">
        <f>IF(NOT(ISBLANK(Audit[[#This Row],[Audit Losing Candidate]])), Audit[[#This Row],[Audit Losing Candidate]]-Audit[[#This Row],[Losing Candidate]], "")</f>
        <v/>
      </c>
      <c r="AG868" s="18" t="str">
        <f>IF(NOT(ISBLANK(Audit[[#This Row],[Audit Candidate 3]])), Audit[[#This Row],[Audit Candidate 3]]-Audit[[#This Row],[Candidate 3]], "")</f>
        <v/>
      </c>
      <c r="AH868" s="18" t="str">
        <f>IF(NOT(ISBLANK(Audit[[#This Row],[Audit Candidate 4]])),Audit[[#This Row],[Audit Candidate 4]]-Audit[[#This Row],[Candidate 4]], "")</f>
        <v/>
      </c>
      <c r="AI868" s="18" t="str">
        <f>IF(NOT(ISBLANK(Audit[[#This Row],[Audit Candidate 5]])), Audit[[#This Row],[Audit Candidate 5]]-Audit[[#This Row],[Candidate 5]], "")</f>
        <v/>
      </c>
      <c r="AJ868" s="18" t="str">
        <f>IF(NOT(ISBLANK(Audit[[#This Row],[Audit Candidate 6]])), Audit[[#This Row],[Audit Candidate 6]]-Audit[[#This Row],[Candidate 6]], "")</f>
        <v/>
      </c>
      <c r="AK868" s="18" t="str">
        <f>IF(NOT(ISBLANK(Audit[[#This Row],[Audit Candidate 7]])), Audit[[#This Row],[Audit Candidate 7]]-Audit[[#This Row],[Candidate 7]], "")</f>
        <v/>
      </c>
      <c r="AL868" s="18" t="str">
        <f>IF(NOT(ISBLANK(Audit[[#This Row],[Audit Candidate 8]])), Audit[[#This Row],[Audit Candidate 8]]-Audit[[#This Row],[Candidate 8]], "")</f>
        <v/>
      </c>
      <c r="AM868" s="18" t="str">
        <f>IF(NOT(ISBLANK(Audit[[#This Row],[Audit Candidate 9]])), Audit[[#This Row],[Audit Candidate 9]]-Audit[[#This Row],[Candidate 9]], "")</f>
        <v/>
      </c>
      <c r="AN868" s="18" t="str">
        <f>IF(NOT(ISBLANK(Audit[[#This Row],[Audit Candidate 10]])), Audit[[#This Row],[Audit Candidate 10]]-Audit[[#This Row],[Candidate 10]], "")</f>
        <v/>
      </c>
      <c r="AO868" s="18" t="str">
        <f>IF(NOT(ISBLANK(Audit[[#This Row],[Audit Candidate 11]])), Audit[[#This Row],[Audit Candidate 11]]-Audit[[#This Row],[Candidate 11]], "")</f>
        <v/>
      </c>
      <c r="AP868" s="18" t="str">
        <f>IF(NOT(ISBLANK(Audit[[#This Row],[Audit Candidate 12]])), Audit[[#This Row],[Audit Candidate 12]]-Audit[[#This Row],[Candidate 12]], "")</f>
        <v/>
      </c>
      <c r="AQ868" s="18">
        <f>SUMIF(Audit[[#This Row],[Difference Winner]:[Difference Candidate 12]], "&gt;0")</f>
        <v>0</v>
      </c>
      <c r="AR868" s="18">
        <f>SUM(Audit[[#This Row],[Difference Winner]:[Difference Candidate 12]])</f>
        <v>0</v>
      </c>
      <c r="AS868" s="18">
        <f>IF(Audit[[#This Row],[Times p Drawn - With Replacement]]&gt;0, IF(Audit[[#This Row],[Canceled Differences]]&lt;0, Audit[[#This Row],[Max Differences]]+ABS(Audit[[#This Row],[Canceled Differences]]), Audit[[#This Row],[Max Differences]]), 0)</f>
        <v>0</v>
      </c>
      <c r="AT868" s="18">
        <f>'Sampling Data'!AB868</f>
        <v>3.0467694820491878E-3</v>
      </c>
      <c r="AU868" s="18">
        <f>IF(
      SUM(Audit[[#This Row],[Audit Losing Candidate]:[Audit Candidate 12]])
      &lt;&gt;0,
      (Audit[[#This Row],[Winning Candidate]]-Audit[[#This Row],[Losing Candidate]]-(Audit[[#This Row],[Audit Winning Candidate]]-Audit[[#This Row],[Audit Losing Candidate]]))/(Audit[[#Totals],[Winning Candidate]]-Audit[[#Totals],[Losing Candidate]]),
      0
)</f>
        <v>0</v>
      </c>
      <c r="AV8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8">
        <f>IF(Audit[[#This Row],[Max Relative Error (ep)]] = 0, 0, Audit[[#This Row],[Max Relative Error (ep)]]/Audit[[#This Row],[Error Bound (up) - Max. possible relative overstatement]])</f>
        <v>0</v>
      </c>
      <c r="BH8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8" s="18">
        <f t="shared" si="14"/>
        <v>1</v>
      </c>
      <c r="BJ868" s="18">
        <f>PRODUCT($BI$5:BI868)</f>
        <v>0.32656797278968008</v>
      </c>
      <c r="BK868" s="20">
        <f>1 - Audit[[#This Row],[K-M P Value]]</f>
        <v>0.67343202721031992</v>
      </c>
      <c r="BL868" s="18" t="str">
        <f>IF(Audit[[#This Row],[K-M P Value]]&gt;1-'General Info'!$B$12,"Continue", "Stop")</f>
        <v>Continue</v>
      </c>
      <c r="BM868" s="23" t="b">
        <f>IF(Audit[[#This Row],[Status - Continue or stop audit]] = "Continue", TRUE, IF(BL867 = "Continue", TRUE, FALSE))</f>
        <v>1</v>
      </c>
      <c r="BN868" s="23"/>
    </row>
    <row r="869" spans="1:66" ht="15" hidden="1" customHeight="1" x14ac:dyDescent="0.35">
      <c r="A869" s="18" t="str">
        <f>'Sampling Data'!AI869</f>
        <v/>
      </c>
      <c r="B869" s="18" t="str">
        <f>'Sampling Data'!A869</f>
        <v>5204 SPDALE D   (ED)</v>
      </c>
      <c r="C869" s="18">
        <f>'Sampling Data'!B869</f>
        <v>48</v>
      </c>
      <c r="D869" s="18">
        <f>'Sampling Data'!C869</f>
        <v>9</v>
      </c>
      <c r="E869" s="19">
        <f>'Sampling Data'!D869</f>
        <v>0</v>
      </c>
      <c r="F869" s="19">
        <f>'Sampling Data'!E869</f>
        <v>0</v>
      </c>
      <c r="G869" s="19">
        <f>'Sampling Data'!F869</f>
        <v>0</v>
      </c>
      <c r="H869" s="19">
        <f>'Sampling Data'!G869</f>
        <v>0</v>
      </c>
      <c r="I869" s="19">
        <f>'Sampling Data'!H869</f>
        <v>0</v>
      </c>
      <c r="J869" s="19">
        <f>'Sampling Data'!I869</f>
        <v>0</v>
      </c>
      <c r="K869" s="19">
        <f>'Sampling Data'!J869</f>
        <v>0</v>
      </c>
      <c r="L869" s="19">
        <f>'Sampling Data'!K869</f>
        <v>0</v>
      </c>
      <c r="M869" s="19">
        <f>'Sampling Data'!L869</f>
        <v>0</v>
      </c>
      <c r="N869" s="19">
        <f>'Sampling Data'!M869</f>
        <v>0</v>
      </c>
      <c r="O869" s="18">
        <f>'Sampling Data'!N869</f>
        <v>1</v>
      </c>
      <c r="P869" s="18">
        <f>'Sampling Data'!O869</f>
        <v>1</v>
      </c>
      <c r="Q869" s="18">
        <f>'Sampling Data'!P869</f>
        <v>59</v>
      </c>
      <c r="R869" s="18">
        <f>'Sampling Data'!AJ869</f>
        <v>0</v>
      </c>
      <c r="S869" s="112"/>
      <c r="T869" s="112"/>
      <c r="U869" s="113"/>
      <c r="V869" s="113"/>
      <c r="W869" s="112"/>
      <c r="X869" s="112"/>
      <c r="Y869" s="112"/>
      <c r="Z869" s="112"/>
      <c r="AA869" s="15"/>
      <c r="AB869" s="15"/>
      <c r="AC869" s="15"/>
      <c r="AD869" s="15"/>
      <c r="AE869" s="114" t="str">
        <f>IF(NOT(ISBLANK(Audit[[#This Row],[Audit Winning Candidate]])), Audit[[#This Row],[Audit Winning Candidate]]-Audit[[#This Row],[Winning Candidate]], "")</f>
        <v/>
      </c>
      <c r="AF869" s="18" t="str">
        <f>IF(NOT(ISBLANK(Audit[[#This Row],[Audit Losing Candidate]])), Audit[[#This Row],[Audit Losing Candidate]]-Audit[[#This Row],[Losing Candidate]], "")</f>
        <v/>
      </c>
      <c r="AG869" s="18" t="str">
        <f>IF(NOT(ISBLANK(Audit[[#This Row],[Audit Candidate 3]])), Audit[[#This Row],[Audit Candidate 3]]-Audit[[#This Row],[Candidate 3]], "")</f>
        <v/>
      </c>
      <c r="AH869" s="18" t="str">
        <f>IF(NOT(ISBLANK(Audit[[#This Row],[Audit Candidate 4]])),Audit[[#This Row],[Audit Candidate 4]]-Audit[[#This Row],[Candidate 4]], "")</f>
        <v/>
      </c>
      <c r="AI869" s="18" t="str">
        <f>IF(NOT(ISBLANK(Audit[[#This Row],[Audit Candidate 5]])), Audit[[#This Row],[Audit Candidate 5]]-Audit[[#This Row],[Candidate 5]], "")</f>
        <v/>
      </c>
      <c r="AJ869" s="18" t="str">
        <f>IF(NOT(ISBLANK(Audit[[#This Row],[Audit Candidate 6]])), Audit[[#This Row],[Audit Candidate 6]]-Audit[[#This Row],[Candidate 6]], "")</f>
        <v/>
      </c>
      <c r="AK869" s="18" t="str">
        <f>IF(NOT(ISBLANK(Audit[[#This Row],[Audit Candidate 7]])), Audit[[#This Row],[Audit Candidate 7]]-Audit[[#This Row],[Candidate 7]], "")</f>
        <v/>
      </c>
      <c r="AL869" s="18" t="str">
        <f>IF(NOT(ISBLANK(Audit[[#This Row],[Audit Candidate 8]])), Audit[[#This Row],[Audit Candidate 8]]-Audit[[#This Row],[Candidate 8]], "")</f>
        <v/>
      </c>
      <c r="AM869" s="18" t="str">
        <f>IF(NOT(ISBLANK(Audit[[#This Row],[Audit Candidate 9]])), Audit[[#This Row],[Audit Candidate 9]]-Audit[[#This Row],[Candidate 9]], "")</f>
        <v/>
      </c>
      <c r="AN869" s="18" t="str">
        <f>IF(NOT(ISBLANK(Audit[[#This Row],[Audit Candidate 10]])), Audit[[#This Row],[Audit Candidate 10]]-Audit[[#This Row],[Candidate 10]], "")</f>
        <v/>
      </c>
      <c r="AO869" s="18" t="str">
        <f>IF(NOT(ISBLANK(Audit[[#This Row],[Audit Candidate 11]])), Audit[[#This Row],[Audit Candidate 11]]-Audit[[#This Row],[Candidate 11]], "")</f>
        <v/>
      </c>
      <c r="AP869" s="18" t="str">
        <f>IF(NOT(ISBLANK(Audit[[#This Row],[Audit Candidate 12]])), Audit[[#This Row],[Audit Candidate 12]]-Audit[[#This Row],[Candidate 12]], "")</f>
        <v/>
      </c>
      <c r="AQ869" s="18">
        <f>SUMIF(Audit[[#This Row],[Difference Winner]:[Difference Candidate 12]], "&gt;0")</f>
        <v>0</v>
      </c>
      <c r="AR869" s="18">
        <f>SUM(Audit[[#This Row],[Difference Winner]:[Difference Candidate 12]])</f>
        <v>0</v>
      </c>
      <c r="AS869" s="18">
        <f>IF(Audit[[#This Row],[Times p Drawn - With Replacement]]&gt;0, IF(Audit[[#This Row],[Canceled Differences]]&lt;0, Audit[[#This Row],[Max Differences]]+ABS(Audit[[#This Row],[Canceled Differences]]), Audit[[#This Row],[Max Differences]]), 0)</f>
        <v>0</v>
      </c>
      <c r="AT869" s="18">
        <f>'Sampling Data'!AB869</f>
        <v>3.0781794767094891E-3</v>
      </c>
      <c r="AU869" s="18">
        <f>IF(
      SUM(Audit[[#This Row],[Audit Losing Candidate]:[Audit Candidate 12]])
      &lt;&gt;0,
      (Audit[[#This Row],[Winning Candidate]]-Audit[[#This Row],[Losing Candidate]]-(Audit[[#This Row],[Audit Winning Candidate]]-Audit[[#This Row],[Audit Losing Candidate]]))/(Audit[[#Totals],[Winning Candidate]]-Audit[[#Totals],[Losing Candidate]]),
      0
)</f>
        <v>0</v>
      </c>
      <c r="AV8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8">
        <f>IF(Audit[[#This Row],[Max Relative Error (ep)]] = 0, 0, Audit[[#This Row],[Max Relative Error (ep)]]/Audit[[#This Row],[Error Bound (up) - Max. possible relative overstatement]])</f>
        <v>0</v>
      </c>
      <c r="BH8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69" s="18">
        <f t="shared" si="14"/>
        <v>1</v>
      </c>
      <c r="BJ869" s="18">
        <f>PRODUCT($BI$5:BI869)</f>
        <v>0.32656797278968008</v>
      </c>
      <c r="BK869" s="20">
        <f>1 - Audit[[#This Row],[K-M P Value]]</f>
        <v>0.67343202721031992</v>
      </c>
      <c r="BL869" s="18" t="str">
        <f>IF(Audit[[#This Row],[K-M P Value]]&gt;1-'General Info'!$B$12,"Continue", "Stop")</f>
        <v>Continue</v>
      </c>
      <c r="BM869" s="23" t="b">
        <f>IF(Audit[[#This Row],[Status - Continue or stop audit]] = "Continue", TRUE, IF(BL868 = "Continue", TRUE, FALSE))</f>
        <v>1</v>
      </c>
      <c r="BN869" s="23"/>
    </row>
    <row r="870" spans="1:66" ht="15" hidden="1" customHeight="1" x14ac:dyDescent="0.35">
      <c r="A870" s="18" t="str">
        <f>'Sampling Data'!AI870</f>
        <v/>
      </c>
      <c r="B870" s="18" t="str">
        <f>'Sampling Data'!A870</f>
        <v>5205 SPDALE E   (ED)</v>
      </c>
      <c r="C870" s="18">
        <f>'Sampling Data'!B870</f>
        <v>47</v>
      </c>
      <c r="D870" s="18">
        <f>'Sampling Data'!C870</f>
        <v>7</v>
      </c>
      <c r="E870" s="19">
        <f>'Sampling Data'!D870</f>
        <v>0</v>
      </c>
      <c r="F870" s="19">
        <f>'Sampling Data'!E870</f>
        <v>0</v>
      </c>
      <c r="G870" s="19">
        <f>'Sampling Data'!F870</f>
        <v>0</v>
      </c>
      <c r="H870" s="19">
        <f>'Sampling Data'!G870</f>
        <v>0</v>
      </c>
      <c r="I870" s="19">
        <f>'Sampling Data'!H870</f>
        <v>0</v>
      </c>
      <c r="J870" s="19">
        <f>'Sampling Data'!I870</f>
        <v>0</v>
      </c>
      <c r="K870" s="19">
        <f>'Sampling Data'!J870</f>
        <v>0</v>
      </c>
      <c r="L870" s="19">
        <f>'Sampling Data'!K870</f>
        <v>0</v>
      </c>
      <c r="M870" s="19">
        <f>'Sampling Data'!L870</f>
        <v>0</v>
      </c>
      <c r="N870" s="19">
        <f>'Sampling Data'!M870</f>
        <v>0</v>
      </c>
      <c r="O870" s="18">
        <f>'Sampling Data'!N870</f>
        <v>0</v>
      </c>
      <c r="P870" s="18">
        <f>'Sampling Data'!O870</f>
        <v>0</v>
      </c>
      <c r="Q870" s="18">
        <f>'Sampling Data'!P870</f>
        <v>54</v>
      </c>
      <c r="R870" s="18">
        <f>'Sampling Data'!AJ870</f>
        <v>0</v>
      </c>
      <c r="S870" s="112"/>
      <c r="T870" s="112"/>
      <c r="U870" s="113"/>
      <c r="V870" s="113"/>
      <c r="W870" s="112"/>
      <c r="X870" s="112"/>
      <c r="Y870" s="112"/>
      <c r="Z870" s="112"/>
      <c r="AA870" s="15"/>
      <c r="AB870" s="15"/>
      <c r="AC870" s="15"/>
      <c r="AD870" s="15"/>
      <c r="AE870" s="114" t="str">
        <f>IF(NOT(ISBLANK(Audit[[#This Row],[Audit Winning Candidate]])), Audit[[#This Row],[Audit Winning Candidate]]-Audit[[#This Row],[Winning Candidate]], "")</f>
        <v/>
      </c>
      <c r="AF870" s="18" t="str">
        <f>IF(NOT(ISBLANK(Audit[[#This Row],[Audit Losing Candidate]])), Audit[[#This Row],[Audit Losing Candidate]]-Audit[[#This Row],[Losing Candidate]], "")</f>
        <v/>
      </c>
      <c r="AG870" s="18" t="str">
        <f>IF(NOT(ISBLANK(Audit[[#This Row],[Audit Candidate 3]])), Audit[[#This Row],[Audit Candidate 3]]-Audit[[#This Row],[Candidate 3]], "")</f>
        <v/>
      </c>
      <c r="AH870" s="18" t="str">
        <f>IF(NOT(ISBLANK(Audit[[#This Row],[Audit Candidate 4]])),Audit[[#This Row],[Audit Candidate 4]]-Audit[[#This Row],[Candidate 4]], "")</f>
        <v/>
      </c>
      <c r="AI870" s="18" t="str">
        <f>IF(NOT(ISBLANK(Audit[[#This Row],[Audit Candidate 5]])), Audit[[#This Row],[Audit Candidate 5]]-Audit[[#This Row],[Candidate 5]], "")</f>
        <v/>
      </c>
      <c r="AJ870" s="18" t="str">
        <f>IF(NOT(ISBLANK(Audit[[#This Row],[Audit Candidate 6]])), Audit[[#This Row],[Audit Candidate 6]]-Audit[[#This Row],[Candidate 6]], "")</f>
        <v/>
      </c>
      <c r="AK870" s="18" t="str">
        <f>IF(NOT(ISBLANK(Audit[[#This Row],[Audit Candidate 7]])), Audit[[#This Row],[Audit Candidate 7]]-Audit[[#This Row],[Candidate 7]], "")</f>
        <v/>
      </c>
      <c r="AL870" s="18" t="str">
        <f>IF(NOT(ISBLANK(Audit[[#This Row],[Audit Candidate 8]])), Audit[[#This Row],[Audit Candidate 8]]-Audit[[#This Row],[Candidate 8]], "")</f>
        <v/>
      </c>
      <c r="AM870" s="18" t="str">
        <f>IF(NOT(ISBLANK(Audit[[#This Row],[Audit Candidate 9]])), Audit[[#This Row],[Audit Candidate 9]]-Audit[[#This Row],[Candidate 9]], "")</f>
        <v/>
      </c>
      <c r="AN870" s="18" t="str">
        <f>IF(NOT(ISBLANK(Audit[[#This Row],[Audit Candidate 10]])), Audit[[#This Row],[Audit Candidate 10]]-Audit[[#This Row],[Candidate 10]], "")</f>
        <v/>
      </c>
      <c r="AO870" s="18" t="str">
        <f>IF(NOT(ISBLANK(Audit[[#This Row],[Audit Candidate 11]])), Audit[[#This Row],[Audit Candidate 11]]-Audit[[#This Row],[Candidate 11]], "")</f>
        <v/>
      </c>
      <c r="AP870" s="18" t="str">
        <f>IF(NOT(ISBLANK(Audit[[#This Row],[Audit Candidate 12]])), Audit[[#This Row],[Audit Candidate 12]]-Audit[[#This Row],[Candidate 12]], "")</f>
        <v/>
      </c>
      <c r="AQ870" s="18">
        <f>SUMIF(Audit[[#This Row],[Difference Winner]:[Difference Candidate 12]], "&gt;0")</f>
        <v>0</v>
      </c>
      <c r="AR870" s="18">
        <f>SUM(Audit[[#This Row],[Difference Winner]:[Difference Candidate 12]])</f>
        <v>0</v>
      </c>
      <c r="AS870" s="18">
        <f>IF(Audit[[#This Row],[Times p Drawn - With Replacement]]&gt;0, IF(Audit[[#This Row],[Canceled Differences]]&lt;0, Audit[[#This Row],[Max Differences]]+ABS(Audit[[#This Row],[Canceled Differences]]), Audit[[#This Row],[Max Differences]]), 0)</f>
        <v>0</v>
      </c>
      <c r="AT870" s="18">
        <f>'Sampling Data'!AB870</f>
        <v>2.9525394980682855E-3</v>
      </c>
      <c r="AU870" s="18">
        <f>IF(
      SUM(Audit[[#This Row],[Audit Losing Candidate]:[Audit Candidate 12]])
      &lt;&gt;0,
      (Audit[[#This Row],[Winning Candidate]]-Audit[[#This Row],[Losing Candidate]]-(Audit[[#This Row],[Audit Winning Candidate]]-Audit[[#This Row],[Audit Losing Candidate]]))/(Audit[[#Totals],[Winning Candidate]]-Audit[[#Totals],[Losing Candidate]]),
      0
)</f>
        <v>0</v>
      </c>
      <c r="AV8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8">
        <f>IF(Audit[[#This Row],[Max Relative Error (ep)]] = 0, 0, Audit[[#This Row],[Max Relative Error (ep)]]/Audit[[#This Row],[Error Bound (up) - Max. possible relative overstatement]])</f>
        <v>0</v>
      </c>
      <c r="BH8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0" s="18">
        <f t="shared" si="14"/>
        <v>1</v>
      </c>
      <c r="BJ870" s="18">
        <f>PRODUCT($BI$5:BI870)</f>
        <v>0.32656797278968008</v>
      </c>
      <c r="BK870" s="20">
        <f>1 - Audit[[#This Row],[K-M P Value]]</f>
        <v>0.67343202721031992</v>
      </c>
      <c r="BL870" s="18" t="str">
        <f>IF(Audit[[#This Row],[K-M P Value]]&gt;1-'General Info'!$B$12,"Continue", "Stop")</f>
        <v>Continue</v>
      </c>
      <c r="BM870" s="23" t="b">
        <f>IF(Audit[[#This Row],[Status - Continue or stop audit]] = "Continue", TRUE, IF(BL869 = "Continue", TRUE, FALSE))</f>
        <v>1</v>
      </c>
      <c r="BN870" s="23"/>
    </row>
    <row r="871" spans="1:66" ht="15" hidden="1" customHeight="1" x14ac:dyDescent="0.35">
      <c r="A871" s="18" t="str">
        <f>'Sampling Data'!AI871</f>
        <v/>
      </c>
      <c r="B871" s="18" t="str">
        <f>'Sampling Data'!A871</f>
        <v>5206 SPDALE F   (ED)</v>
      </c>
      <c r="C871" s="18">
        <f>'Sampling Data'!B871</f>
        <v>33</v>
      </c>
      <c r="D871" s="18">
        <f>'Sampling Data'!C871</f>
        <v>9</v>
      </c>
      <c r="E871" s="19">
        <f>'Sampling Data'!D871</f>
        <v>0</v>
      </c>
      <c r="F871" s="19">
        <f>'Sampling Data'!E871</f>
        <v>0</v>
      </c>
      <c r="G871" s="19">
        <f>'Sampling Data'!F871</f>
        <v>0</v>
      </c>
      <c r="H871" s="19">
        <f>'Sampling Data'!G871</f>
        <v>0</v>
      </c>
      <c r="I871" s="19">
        <f>'Sampling Data'!H871</f>
        <v>0</v>
      </c>
      <c r="J871" s="19">
        <f>'Sampling Data'!I871</f>
        <v>0</v>
      </c>
      <c r="K871" s="19">
        <f>'Sampling Data'!J871</f>
        <v>0</v>
      </c>
      <c r="L871" s="19">
        <f>'Sampling Data'!K871</f>
        <v>0</v>
      </c>
      <c r="M871" s="19">
        <f>'Sampling Data'!L871</f>
        <v>0</v>
      </c>
      <c r="N871" s="19">
        <f>'Sampling Data'!M871</f>
        <v>0</v>
      </c>
      <c r="O871" s="18">
        <f>'Sampling Data'!N871</f>
        <v>0</v>
      </c>
      <c r="P871" s="18">
        <f>'Sampling Data'!O871</f>
        <v>0</v>
      </c>
      <c r="Q871" s="18">
        <f>'Sampling Data'!P871</f>
        <v>42</v>
      </c>
      <c r="R871" s="18">
        <f>'Sampling Data'!AJ871</f>
        <v>0</v>
      </c>
      <c r="S871" s="112"/>
      <c r="T871" s="112"/>
      <c r="U871" s="113"/>
      <c r="V871" s="113"/>
      <c r="W871" s="112"/>
      <c r="X871" s="112"/>
      <c r="Y871" s="112"/>
      <c r="Z871" s="112"/>
      <c r="AA871" s="15"/>
      <c r="AB871" s="15"/>
      <c r="AC871" s="15"/>
      <c r="AD871" s="15"/>
      <c r="AE871" s="114" t="str">
        <f>IF(NOT(ISBLANK(Audit[[#This Row],[Audit Winning Candidate]])), Audit[[#This Row],[Audit Winning Candidate]]-Audit[[#This Row],[Winning Candidate]], "")</f>
        <v/>
      </c>
      <c r="AF871" s="18" t="str">
        <f>IF(NOT(ISBLANK(Audit[[#This Row],[Audit Losing Candidate]])), Audit[[#This Row],[Audit Losing Candidate]]-Audit[[#This Row],[Losing Candidate]], "")</f>
        <v/>
      </c>
      <c r="AG871" s="18" t="str">
        <f>IF(NOT(ISBLANK(Audit[[#This Row],[Audit Candidate 3]])), Audit[[#This Row],[Audit Candidate 3]]-Audit[[#This Row],[Candidate 3]], "")</f>
        <v/>
      </c>
      <c r="AH871" s="18" t="str">
        <f>IF(NOT(ISBLANK(Audit[[#This Row],[Audit Candidate 4]])),Audit[[#This Row],[Audit Candidate 4]]-Audit[[#This Row],[Candidate 4]], "")</f>
        <v/>
      </c>
      <c r="AI871" s="18" t="str">
        <f>IF(NOT(ISBLANK(Audit[[#This Row],[Audit Candidate 5]])), Audit[[#This Row],[Audit Candidate 5]]-Audit[[#This Row],[Candidate 5]], "")</f>
        <v/>
      </c>
      <c r="AJ871" s="18" t="str">
        <f>IF(NOT(ISBLANK(Audit[[#This Row],[Audit Candidate 6]])), Audit[[#This Row],[Audit Candidate 6]]-Audit[[#This Row],[Candidate 6]], "")</f>
        <v/>
      </c>
      <c r="AK871" s="18" t="str">
        <f>IF(NOT(ISBLANK(Audit[[#This Row],[Audit Candidate 7]])), Audit[[#This Row],[Audit Candidate 7]]-Audit[[#This Row],[Candidate 7]], "")</f>
        <v/>
      </c>
      <c r="AL871" s="18" t="str">
        <f>IF(NOT(ISBLANK(Audit[[#This Row],[Audit Candidate 8]])), Audit[[#This Row],[Audit Candidate 8]]-Audit[[#This Row],[Candidate 8]], "")</f>
        <v/>
      </c>
      <c r="AM871" s="18" t="str">
        <f>IF(NOT(ISBLANK(Audit[[#This Row],[Audit Candidate 9]])), Audit[[#This Row],[Audit Candidate 9]]-Audit[[#This Row],[Candidate 9]], "")</f>
        <v/>
      </c>
      <c r="AN871" s="18" t="str">
        <f>IF(NOT(ISBLANK(Audit[[#This Row],[Audit Candidate 10]])), Audit[[#This Row],[Audit Candidate 10]]-Audit[[#This Row],[Candidate 10]], "")</f>
        <v/>
      </c>
      <c r="AO871" s="18" t="str">
        <f>IF(NOT(ISBLANK(Audit[[#This Row],[Audit Candidate 11]])), Audit[[#This Row],[Audit Candidate 11]]-Audit[[#This Row],[Candidate 11]], "")</f>
        <v/>
      </c>
      <c r="AP871" s="18" t="str">
        <f>IF(NOT(ISBLANK(Audit[[#This Row],[Audit Candidate 12]])), Audit[[#This Row],[Audit Candidate 12]]-Audit[[#This Row],[Candidate 12]], "")</f>
        <v/>
      </c>
      <c r="AQ871" s="18">
        <f>SUMIF(Audit[[#This Row],[Difference Winner]:[Difference Candidate 12]], "&gt;0")</f>
        <v>0</v>
      </c>
      <c r="AR871" s="18">
        <f>SUM(Audit[[#This Row],[Difference Winner]:[Difference Candidate 12]])</f>
        <v>0</v>
      </c>
      <c r="AS871" s="18">
        <f>IF(Audit[[#This Row],[Times p Drawn - With Replacement]]&gt;0, IF(Audit[[#This Row],[Canceled Differences]]&lt;0, Audit[[#This Row],[Max Differences]]+ABS(Audit[[#This Row],[Canceled Differences]]), Audit[[#This Row],[Max Differences]]), 0)</f>
        <v>0</v>
      </c>
      <c r="AT871" s="18">
        <f>'Sampling Data'!AB871</f>
        <v>2.0730596475798599E-3</v>
      </c>
      <c r="AU871" s="18">
        <f>IF(
      SUM(Audit[[#This Row],[Audit Losing Candidate]:[Audit Candidate 12]])
      &lt;&gt;0,
      (Audit[[#This Row],[Winning Candidate]]-Audit[[#This Row],[Losing Candidate]]-(Audit[[#This Row],[Audit Winning Candidate]]-Audit[[#This Row],[Audit Losing Candidate]]))/(Audit[[#Totals],[Winning Candidate]]-Audit[[#Totals],[Losing Candidate]]),
      0
)</f>
        <v>0</v>
      </c>
      <c r="AV8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8">
        <f>IF(Audit[[#This Row],[Max Relative Error (ep)]] = 0, 0, Audit[[#This Row],[Max Relative Error (ep)]]/Audit[[#This Row],[Error Bound (up) - Max. possible relative overstatement]])</f>
        <v>0</v>
      </c>
      <c r="BH8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1" s="18">
        <f t="shared" si="14"/>
        <v>1</v>
      </c>
      <c r="BJ871" s="18">
        <f>PRODUCT($BI$5:BI871)</f>
        <v>0.32656797278968008</v>
      </c>
      <c r="BK871" s="20">
        <f>1 - Audit[[#This Row],[K-M P Value]]</f>
        <v>0.67343202721031992</v>
      </c>
      <c r="BL871" s="18" t="str">
        <f>IF(Audit[[#This Row],[K-M P Value]]&gt;1-'General Info'!$B$12,"Continue", "Stop")</f>
        <v>Continue</v>
      </c>
      <c r="BM871" s="23" t="b">
        <f>IF(Audit[[#This Row],[Status - Continue or stop audit]] = "Continue", TRUE, IF(BL870 = "Continue", TRUE, FALSE))</f>
        <v>1</v>
      </c>
      <c r="BN871" s="23"/>
    </row>
    <row r="872" spans="1:66" ht="15" hidden="1" customHeight="1" x14ac:dyDescent="0.35">
      <c r="A872" s="18" t="str">
        <f>'Sampling Data'!AI872</f>
        <v/>
      </c>
      <c r="B872" s="18" t="str">
        <f>'Sampling Data'!A872</f>
        <v>5207 SPDALE G   (ED)</v>
      </c>
      <c r="C872" s="18">
        <f>'Sampling Data'!B872</f>
        <v>17</v>
      </c>
      <c r="D872" s="18">
        <f>'Sampling Data'!C872</f>
        <v>7</v>
      </c>
      <c r="E872" s="19">
        <f>'Sampling Data'!D872</f>
        <v>0</v>
      </c>
      <c r="F872" s="19">
        <f>'Sampling Data'!E872</f>
        <v>0</v>
      </c>
      <c r="G872" s="19">
        <f>'Sampling Data'!F872</f>
        <v>0</v>
      </c>
      <c r="H872" s="19">
        <f>'Sampling Data'!G872</f>
        <v>0</v>
      </c>
      <c r="I872" s="19">
        <f>'Sampling Data'!H872</f>
        <v>0</v>
      </c>
      <c r="J872" s="19">
        <f>'Sampling Data'!I872</f>
        <v>0</v>
      </c>
      <c r="K872" s="19">
        <f>'Sampling Data'!J872</f>
        <v>0</v>
      </c>
      <c r="L872" s="19">
        <f>'Sampling Data'!K872</f>
        <v>0</v>
      </c>
      <c r="M872" s="19">
        <f>'Sampling Data'!L872</f>
        <v>0</v>
      </c>
      <c r="N872" s="19">
        <f>'Sampling Data'!M872</f>
        <v>0</v>
      </c>
      <c r="O872" s="18">
        <f>'Sampling Data'!N872</f>
        <v>0</v>
      </c>
      <c r="P872" s="18">
        <f>'Sampling Data'!O872</f>
        <v>0</v>
      </c>
      <c r="Q872" s="18">
        <f>'Sampling Data'!P872</f>
        <v>24</v>
      </c>
      <c r="R872" s="18">
        <f>'Sampling Data'!AJ872</f>
        <v>0</v>
      </c>
      <c r="S872" s="112"/>
      <c r="T872" s="112"/>
      <c r="U872" s="113"/>
      <c r="V872" s="113"/>
      <c r="W872" s="112"/>
      <c r="X872" s="112"/>
      <c r="Y872" s="112"/>
      <c r="Z872" s="112"/>
      <c r="AA872" s="15"/>
      <c r="AB872" s="15"/>
      <c r="AC872" s="15"/>
      <c r="AD872" s="15"/>
      <c r="AE872" s="114" t="str">
        <f>IF(NOT(ISBLANK(Audit[[#This Row],[Audit Winning Candidate]])), Audit[[#This Row],[Audit Winning Candidate]]-Audit[[#This Row],[Winning Candidate]], "")</f>
        <v/>
      </c>
      <c r="AF872" s="18" t="str">
        <f>IF(NOT(ISBLANK(Audit[[#This Row],[Audit Losing Candidate]])), Audit[[#This Row],[Audit Losing Candidate]]-Audit[[#This Row],[Losing Candidate]], "")</f>
        <v/>
      </c>
      <c r="AG872" s="18" t="str">
        <f>IF(NOT(ISBLANK(Audit[[#This Row],[Audit Candidate 3]])), Audit[[#This Row],[Audit Candidate 3]]-Audit[[#This Row],[Candidate 3]], "")</f>
        <v/>
      </c>
      <c r="AH872" s="18" t="str">
        <f>IF(NOT(ISBLANK(Audit[[#This Row],[Audit Candidate 4]])),Audit[[#This Row],[Audit Candidate 4]]-Audit[[#This Row],[Candidate 4]], "")</f>
        <v/>
      </c>
      <c r="AI872" s="18" t="str">
        <f>IF(NOT(ISBLANK(Audit[[#This Row],[Audit Candidate 5]])), Audit[[#This Row],[Audit Candidate 5]]-Audit[[#This Row],[Candidate 5]], "")</f>
        <v/>
      </c>
      <c r="AJ872" s="18" t="str">
        <f>IF(NOT(ISBLANK(Audit[[#This Row],[Audit Candidate 6]])), Audit[[#This Row],[Audit Candidate 6]]-Audit[[#This Row],[Candidate 6]], "")</f>
        <v/>
      </c>
      <c r="AK872" s="18" t="str">
        <f>IF(NOT(ISBLANK(Audit[[#This Row],[Audit Candidate 7]])), Audit[[#This Row],[Audit Candidate 7]]-Audit[[#This Row],[Candidate 7]], "")</f>
        <v/>
      </c>
      <c r="AL872" s="18" t="str">
        <f>IF(NOT(ISBLANK(Audit[[#This Row],[Audit Candidate 8]])), Audit[[#This Row],[Audit Candidate 8]]-Audit[[#This Row],[Candidate 8]], "")</f>
        <v/>
      </c>
      <c r="AM872" s="18" t="str">
        <f>IF(NOT(ISBLANK(Audit[[#This Row],[Audit Candidate 9]])), Audit[[#This Row],[Audit Candidate 9]]-Audit[[#This Row],[Candidate 9]], "")</f>
        <v/>
      </c>
      <c r="AN872" s="18" t="str">
        <f>IF(NOT(ISBLANK(Audit[[#This Row],[Audit Candidate 10]])), Audit[[#This Row],[Audit Candidate 10]]-Audit[[#This Row],[Candidate 10]], "")</f>
        <v/>
      </c>
      <c r="AO872" s="18" t="str">
        <f>IF(NOT(ISBLANK(Audit[[#This Row],[Audit Candidate 11]])), Audit[[#This Row],[Audit Candidate 11]]-Audit[[#This Row],[Candidate 11]], "")</f>
        <v/>
      </c>
      <c r="AP872" s="18" t="str">
        <f>IF(NOT(ISBLANK(Audit[[#This Row],[Audit Candidate 12]])), Audit[[#This Row],[Audit Candidate 12]]-Audit[[#This Row],[Candidate 12]], "")</f>
        <v/>
      </c>
      <c r="AQ872" s="18">
        <f>SUMIF(Audit[[#This Row],[Difference Winner]:[Difference Candidate 12]], "&gt;0")</f>
        <v>0</v>
      </c>
      <c r="AR872" s="18">
        <f>SUM(Audit[[#This Row],[Difference Winner]:[Difference Candidate 12]])</f>
        <v>0</v>
      </c>
      <c r="AS872" s="18">
        <f>IF(Audit[[#This Row],[Times p Drawn - With Replacement]]&gt;0, IF(Audit[[#This Row],[Canceled Differences]]&lt;0, Audit[[#This Row],[Max Differences]]+ABS(Audit[[#This Row],[Canceled Differences]]), Audit[[#This Row],[Max Differences]]), 0)</f>
        <v>0</v>
      </c>
      <c r="AT872" s="18">
        <f>'Sampling Data'!AB872</f>
        <v>1.0679398184502309E-3</v>
      </c>
      <c r="AU872" s="18">
        <f>IF(
      SUM(Audit[[#This Row],[Audit Losing Candidate]:[Audit Candidate 12]])
      &lt;&gt;0,
      (Audit[[#This Row],[Winning Candidate]]-Audit[[#This Row],[Losing Candidate]]-(Audit[[#This Row],[Audit Winning Candidate]]-Audit[[#This Row],[Audit Losing Candidate]]))/(Audit[[#Totals],[Winning Candidate]]-Audit[[#Totals],[Losing Candidate]]),
      0
)</f>
        <v>0</v>
      </c>
      <c r="AV8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8">
        <f>IF(Audit[[#This Row],[Max Relative Error (ep)]] = 0, 0, Audit[[#This Row],[Max Relative Error (ep)]]/Audit[[#This Row],[Error Bound (up) - Max. possible relative overstatement]])</f>
        <v>0</v>
      </c>
      <c r="BH8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2" s="18">
        <f t="shared" si="14"/>
        <v>1</v>
      </c>
      <c r="BJ872" s="18">
        <f>PRODUCT($BI$5:BI872)</f>
        <v>0.32656797278968008</v>
      </c>
      <c r="BK872" s="20">
        <f>1 - Audit[[#This Row],[K-M P Value]]</f>
        <v>0.67343202721031992</v>
      </c>
      <c r="BL872" s="18" t="str">
        <f>IF(Audit[[#This Row],[K-M P Value]]&gt;1-'General Info'!$B$12,"Continue", "Stop")</f>
        <v>Continue</v>
      </c>
      <c r="BM872" s="23" t="b">
        <f>IF(Audit[[#This Row],[Status - Continue or stop audit]] = "Continue", TRUE, IF(BL871 = "Continue", TRUE, FALSE))</f>
        <v>1</v>
      </c>
      <c r="BN872" s="23"/>
    </row>
    <row r="873" spans="1:66" ht="15" hidden="1" customHeight="1" x14ac:dyDescent="0.35">
      <c r="A873" s="18" t="str">
        <f>'Sampling Data'!AI873</f>
        <v/>
      </c>
      <c r="B873" s="18" t="str">
        <f>'Sampling Data'!A873</f>
        <v>5208 SPDALE H   (ED)</v>
      </c>
      <c r="C873" s="18">
        <f>'Sampling Data'!B873</f>
        <v>37</v>
      </c>
      <c r="D873" s="18">
        <f>'Sampling Data'!C873</f>
        <v>7</v>
      </c>
      <c r="E873" s="19">
        <f>'Sampling Data'!D873</f>
        <v>0</v>
      </c>
      <c r="F873" s="19">
        <f>'Sampling Data'!E873</f>
        <v>0</v>
      </c>
      <c r="G873" s="19">
        <f>'Sampling Data'!F873</f>
        <v>0</v>
      </c>
      <c r="H873" s="19">
        <f>'Sampling Data'!G873</f>
        <v>0</v>
      </c>
      <c r="I873" s="19">
        <f>'Sampling Data'!H873</f>
        <v>0</v>
      </c>
      <c r="J873" s="19">
        <f>'Sampling Data'!I873</f>
        <v>0</v>
      </c>
      <c r="K873" s="19">
        <f>'Sampling Data'!J873</f>
        <v>0</v>
      </c>
      <c r="L873" s="19">
        <f>'Sampling Data'!K873</f>
        <v>0</v>
      </c>
      <c r="M873" s="19">
        <f>'Sampling Data'!L873</f>
        <v>0</v>
      </c>
      <c r="N873" s="19">
        <f>'Sampling Data'!M873</f>
        <v>0</v>
      </c>
      <c r="O873" s="18">
        <f>'Sampling Data'!N873</f>
        <v>0</v>
      </c>
      <c r="P873" s="18">
        <f>'Sampling Data'!O873</f>
        <v>0</v>
      </c>
      <c r="Q873" s="18">
        <f>'Sampling Data'!P873</f>
        <v>44</v>
      </c>
      <c r="R873" s="18">
        <f>'Sampling Data'!AJ873</f>
        <v>0</v>
      </c>
      <c r="S873" s="112"/>
      <c r="T873" s="112"/>
      <c r="U873" s="113"/>
      <c r="V873" s="113"/>
      <c r="W873" s="112"/>
      <c r="X873" s="112"/>
      <c r="Y873" s="112"/>
      <c r="Z873" s="112"/>
      <c r="AA873" s="15"/>
      <c r="AB873" s="15"/>
      <c r="AC873" s="15"/>
      <c r="AD873" s="15"/>
      <c r="AE873" s="114" t="str">
        <f>IF(NOT(ISBLANK(Audit[[#This Row],[Audit Winning Candidate]])), Audit[[#This Row],[Audit Winning Candidate]]-Audit[[#This Row],[Winning Candidate]], "")</f>
        <v/>
      </c>
      <c r="AF873" s="18" t="str">
        <f>IF(NOT(ISBLANK(Audit[[#This Row],[Audit Losing Candidate]])), Audit[[#This Row],[Audit Losing Candidate]]-Audit[[#This Row],[Losing Candidate]], "")</f>
        <v/>
      </c>
      <c r="AG873" s="18" t="str">
        <f>IF(NOT(ISBLANK(Audit[[#This Row],[Audit Candidate 3]])), Audit[[#This Row],[Audit Candidate 3]]-Audit[[#This Row],[Candidate 3]], "")</f>
        <v/>
      </c>
      <c r="AH873" s="18" t="str">
        <f>IF(NOT(ISBLANK(Audit[[#This Row],[Audit Candidate 4]])),Audit[[#This Row],[Audit Candidate 4]]-Audit[[#This Row],[Candidate 4]], "")</f>
        <v/>
      </c>
      <c r="AI873" s="18" t="str">
        <f>IF(NOT(ISBLANK(Audit[[#This Row],[Audit Candidate 5]])), Audit[[#This Row],[Audit Candidate 5]]-Audit[[#This Row],[Candidate 5]], "")</f>
        <v/>
      </c>
      <c r="AJ873" s="18" t="str">
        <f>IF(NOT(ISBLANK(Audit[[#This Row],[Audit Candidate 6]])), Audit[[#This Row],[Audit Candidate 6]]-Audit[[#This Row],[Candidate 6]], "")</f>
        <v/>
      </c>
      <c r="AK873" s="18" t="str">
        <f>IF(NOT(ISBLANK(Audit[[#This Row],[Audit Candidate 7]])), Audit[[#This Row],[Audit Candidate 7]]-Audit[[#This Row],[Candidate 7]], "")</f>
        <v/>
      </c>
      <c r="AL873" s="18" t="str">
        <f>IF(NOT(ISBLANK(Audit[[#This Row],[Audit Candidate 8]])), Audit[[#This Row],[Audit Candidate 8]]-Audit[[#This Row],[Candidate 8]], "")</f>
        <v/>
      </c>
      <c r="AM873" s="18" t="str">
        <f>IF(NOT(ISBLANK(Audit[[#This Row],[Audit Candidate 9]])), Audit[[#This Row],[Audit Candidate 9]]-Audit[[#This Row],[Candidate 9]], "")</f>
        <v/>
      </c>
      <c r="AN873" s="18" t="str">
        <f>IF(NOT(ISBLANK(Audit[[#This Row],[Audit Candidate 10]])), Audit[[#This Row],[Audit Candidate 10]]-Audit[[#This Row],[Candidate 10]], "")</f>
        <v/>
      </c>
      <c r="AO873" s="18" t="str">
        <f>IF(NOT(ISBLANK(Audit[[#This Row],[Audit Candidate 11]])), Audit[[#This Row],[Audit Candidate 11]]-Audit[[#This Row],[Candidate 11]], "")</f>
        <v/>
      </c>
      <c r="AP873" s="18" t="str">
        <f>IF(NOT(ISBLANK(Audit[[#This Row],[Audit Candidate 12]])), Audit[[#This Row],[Audit Candidate 12]]-Audit[[#This Row],[Candidate 12]], "")</f>
        <v/>
      </c>
      <c r="AQ873" s="18">
        <f>SUMIF(Audit[[#This Row],[Difference Winner]:[Difference Candidate 12]], "&gt;0")</f>
        <v>0</v>
      </c>
      <c r="AR873" s="18">
        <f>SUM(Audit[[#This Row],[Difference Winner]:[Difference Candidate 12]])</f>
        <v>0</v>
      </c>
      <c r="AS873" s="18">
        <f>IF(Audit[[#This Row],[Times p Drawn - With Replacement]]&gt;0, IF(Audit[[#This Row],[Canceled Differences]]&lt;0, Audit[[#This Row],[Max Differences]]+ABS(Audit[[#This Row],[Canceled Differences]]), Audit[[#This Row],[Max Differences]]), 0)</f>
        <v>0</v>
      </c>
      <c r="AT873" s="18">
        <f>'Sampling Data'!AB873</f>
        <v>2.324339604862267E-3</v>
      </c>
      <c r="AU873" s="18">
        <f>IF(
      SUM(Audit[[#This Row],[Audit Losing Candidate]:[Audit Candidate 12]])
      &lt;&gt;0,
      (Audit[[#This Row],[Winning Candidate]]-Audit[[#This Row],[Losing Candidate]]-(Audit[[#This Row],[Audit Winning Candidate]]-Audit[[#This Row],[Audit Losing Candidate]]))/(Audit[[#Totals],[Winning Candidate]]-Audit[[#Totals],[Losing Candidate]]),
      0
)</f>
        <v>0</v>
      </c>
      <c r="AV8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8">
        <f>IF(Audit[[#This Row],[Max Relative Error (ep)]] = 0, 0, Audit[[#This Row],[Max Relative Error (ep)]]/Audit[[#This Row],[Error Bound (up) - Max. possible relative overstatement]])</f>
        <v>0</v>
      </c>
      <c r="BH8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3" s="18">
        <f t="shared" si="14"/>
        <v>1</v>
      </c>
      <c r="BJ873" s="18">
        <f>PRODUCT($BI$5:BI873)</f>
        <v>0.32656797278968008</v>
      </c>
      <c r="BK873" s="20">
        <f>1 - Audit[[#This Row],[K-M P Value]]</f>
        <v>0.67343202721031992</v>
      </c>
      <c r="BL873" s="18" t="str">
        <f>IF(Audit[[#This Row],[K-M P Value]]&gt;1-'General Info'!$B$12,"Continue", "Stop")</f>
        <v>Continue</v>
      </c>
      <c r="BM873" s="23" t="b">
        <f>IF(Audit[[#This Row],[Status - Continue or stop audit]] = "Continue", TRUE, IF(BL872 = "Continue", TRUE, FALSE))</f>
        <v>1</v>
      </c>
      <c r="BN873" s="23"/>
    </row>
    <row r="874" spans="1:66" ht="15" hidden="1" customHeight="1" x14ac:dyDescent="0.35">
      <c r="A874" s="18" t="str">
        <f>'Sampling Data'!AI874</f>
        <v/>
      </c>
      <c r="B874" s="18" t="str">
        <f>'Sampling Data'!A874</f>
        <v>5301 WYOM A   (ED)</v>
      </c>
      <c r="C874" s="18">
        <f>'Sampling Data'!B874</f>
        <v>86</v>
      </c>
      <c r="D874" s="18">
        <f>'Sampling Data'!C874</f>
        <v>6</v>
      </c>
      <c r="E874" s="19">
        <f>'Sampling Data'!D874</f>
        <v>0</v>
      </c>
      <c r="F874" s="19">
        <f>'Sampling Data'!E874</f>
        <v>0</v>
      </c>
      <c r="G874" s="19">
        <f>'Sampling Data'!F874</f>
        <v>0</v>
      </c>
      <c r="H874" s="19">
        <f>'Sampling Data'!G874</f>
        <v>0</v>
      </c>
      <c r="I874" s="19">
        <f>'Sampling Data'!H874</f>
        <v>0</v>
      </c>
      <c r="J874" s="19">
        <f>'Sampling Data'!I874</f>
        <v>0</v>
      </c>
      <c r="K874" s="19">
        <f>'Sampling Data'!J874</f>
        <v>0</v>
      </c>
      <c r="L874" s="19">
        <f>'Sampling Data'!K874</f>
        <v>0</v>
      </c>
      <c r="M874" s="19">
        <f>'Sampling Data'!L874</f>
        <v>0</v>
      </c>
      <c r="N874" s="19">
        <f>'Sampling Data'!M874</f>
        <v>0</v>
      </c>
      <c r="O874" s="18">
        <f>'Sampling Data'!N874</f>
        <v>0</v>
      </c>
      <c r="P874" s="18">
        <f>'Sampling Data'!O874</f>
        <v>2</v>
      </c>
      <c r="Q874" s="18">
        <f>'Sampling Data'!P874</f>
        <v>94</v>
      </c>
      <c r="R874" s="18">
        <f>'Sampling Data'!AJ874</f>
        <v>0</v>
      </c>
      <c r="S874" s="112"/>
      <c r="T874" s="112"/>
      <c r="U874" s="113"/>
      <c r="V874" s="113"/>
      <c r="W874" s="112"/>
      <c r="X874" s="112"/>
      <c r="Y874" s="112"/>
      <c r="Z874" s="112"/>
      <c r="AA874" s="15"/>
      <c r="AB874" s="15"/>
      <c r="AC874" s="15"/>
      <c r="AD874" s="15"/>
      <c r="AE874" s="114" t="str">
        <f>IF(NOT(ISBLANK(Audit[[#This Row],[Audit Winning Candidate]])), Audit[[#This Row],[Audit Winning Candidate]]-Audit[[#This Row],[Winning Candidate]], "")</f>
        <v/>
      </c>
      <c r="AF874" s="18" t="str">
        <f>IF(NOT(ISBLANK(Audit[[#This Row],[Audit Losing Candidate]])), Audit[[#This Row],[Audit Losing Candidate]]-Audit[[#This Row],[Losing Candidate]], "")</f>
        <v/>
      </c>
      <c r="AG874" s="18" t="str">
        <f>IF(NOT(ISBLANK(Audit[[#This Row],[Audit Candidate 3]])), Audit[[#This Row],[Audit Candidate 3]]-Audit[[#This Row],[Candidate 3]], "")</f>
        <v/>
      </c>
      <c r="AH874" s="18" t="str">
        <f>IF(NOT(ISBLANK(Audit[[#This Row],[Audit Candidate 4]])),Audit[[#This Row],[Audit Candidate 4]]-Audit[[#This Row],[Candidate 4]], "")</f>
        <v/>
      </c>
      <c r="AI874" s="18" t="str">
        <f>IF(NOT(ISBLANK(Audit[[#This Row],[Audit Candidate 5]])), Audit[[#This Row],[Audit Candidate 5]]-Audit[[#This Row],[Candidate 5]], "")</f>
        <v/>
      </c>
      <c r="AJ874" s="18" t="str">
        <f>IF(NOT(ISBLANK(Audit[[#This Row],[Audit Candidate 6]])), Audit[[#This Row],[Audit Candidate 6]]-Audit[[#This Row],[Candidate 6]], "")</f>
        <v/>
      </c>
      <c r="AK874" s="18" t="str">
        <f>IF(NOT(ISBLANK(Audit[[#This Row],[Audit Candidate 7]])), Audit[[#This Row],[Audit Candidate 7]]-Audit[[#This Row],[Candidate 7]], "")</f>
        <v/>
      </c>
      <c r="AL874" s="18" t="str">
        <f>IF(NOT(ISBLANK(Audit[[#This Row],[Audit Candidate 8]])), Audit[[#This Row],[Audit Candidate 8]]-Audit[[#This Row],[Candidate 8]], "")</f>
        <v/>
      </c>
      <c r="AM874" s="18" t="str">
        <f>IF(NOT(ISBLANK(Audit[[#This Row],[Audit Candidate 9]])), Audit[[#This Row],[Audit Candidate 9]]-Audit[[#This Row],[Candidate 9]], "")</f>
        <v/>
      </c>
      <c r="AN874" s="18" t="str">
        <f>IF(NOT(ISBLANK(Audit[[#This Row],[Audit Candidate 10]])), Audit[[#This Row],[Audit Candidate 10]]-Audit[[#This Row],[Candidate 10]], "")</f>
        <v/>
      </c>
      <c r="AO874" s="18" t="str">
        <f>IF(NOT(ISBLANK(Audit[[#This Row],[Audit Candidate 11]])), Audit[[#This Row],[Audit Candidate 11]]-Audit[[#This Row],[Candidate 11]], "")</f>
        <v/>
      </c>
      <c r="AP874" s="18" t="str">
        <f>IF(NOT(ISBLANK(Audit[[#This Row],[Audit Candidate 12]])), Audit[[#This Row],[Audit Candidate 12]]-Audit[[#This Row],[Candidate 12]], "")</f>
        <v/>
      </c>
      <c r="AQ874" s="18">
        <f>SUMIF(Audit[[#This Row],[Difference Winner]:[Difference Candidate 12]], "&gt;0")</f>
        <v>0</v>
      </c>
      <c r="AR874" s="18">
        <f>SUM(Audit[[#This Row],[Difference Winner]:[Difference Candidate 12]])</f>
        <v>0</v>
      </c>
      <c r="AS874" s="18">
        <f>IF(Audit[[#This Row],[Times p Drawn - With Replacement]]&gt;0, IF(Audit[[#This Row],[Canceled Differences]]&lt;0, Audit[[#This Row],[Max Differences]]+ABS(Audit[[#This Row],[Canceled Differences]]), Audit[[#This Row],[Max Differences]]), 0)</f>
        <v>0</v>
      </c>
      <c r="AT874" s="18">
        <f>'Sampling Data'!AB874</f>
        <v>5.4653390708923576E-3</v>
      </c>
      <c r="AU874" s="18">
        <f>IF(
      SUM(Audit[[#This Row],[Audit Losing Candidate]:[Audit Candidate 12]])
      &lt;&gt;0,
      (Audit[[#This Row],[Winning Candidate]]-Audit[[#This Row],[Losing Candidate]]-(Audit[[#This Row],[Audit Winning Candidate]]-Audit[[#This Row],[Audit Losing Candidate]]))/(Audit[[#Totals],[Winning Candidate]]-Audit[[#Totals],[Losing Candidate]]),
      0
)</f>
        <v>0</v>
      </c>
      <c r="AV8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8">
        <f>IF(Audit[[#This Row],[Max Relative Error (ep)]] = 0, 0, Audit[[#This Row],[Max Relative Error (ep)]]/Audit[[#This Row],[Error Bound (up) - Max. possible relative overstatement]])</f>
        <v>0</v>
      </c>
      <c r="BH8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4" s="18">
        <f t="shared" si="14"/>
        <v>1</v>
      </c>
      <c r="BJ874" s="18">
        <f>PRODUCT($BI$5:BI874)</f>
        <v>0.32656797278968008</v>
      </c>
      <c r="BK874" s="20">
        <f>1 - Audit[[#This Row],[K-M P Value]]</f>
        <v>0.67343202721031992</v>
      </c>
      <c r="BL874" s="18" t="str">
        <f>IF(Audit[[#This Row],[K-M P Value]]&gt;1-'General Info'!$B$12,"Continue", "Stop")</f>
        <v>Continue</v>
      </c>
      <c r="BM874" s="23" t="b">
        <f>IF(Audit[[#This Row],[Status - Continue or stop audit]] = "Continue", TRUE, IF(BL873 = "Continue", TRUE, FALSE))</f>
        <v>1</v>
      </c>
      <c r="BN874" s="23"/>
    </row>
    <row r="875" spans="1:66" ht="15" hidden="1" customHeight="1" x14ac:dyDescent="0.35">
      <c r="A875" s="18" t="str">
        <f>'Sampling Data'!AI875</f>
        <v/>
      </c>
      <c r="B875" s="18" t="str">
        <f>'Sampling Data'!A875</f>
        <v>5302 WYOM B   (ED)</v>
      </c>
      <c r="C875" s="18">
        <f>'Sampling Data'!B875</f>
        <v>47</v>
      </c>
      <c r="D875" s="18">
        <f>'Sampling Data'!C875</f>
        <v>8</v>
      </c>
      <c r="E875" s="19">
        <f>'Sampling Data'!D875</f>
        <v>0</v>
      </c>
      <c r="F875" s="19">
        <f>'Sampling Data'!E875</f>
        <v>0</v>
      </c>
      <c r="G875" s="19">
        <f>'Sampling Data'!F875</f>
        <v>0</v>
      </c>
      <c r="H875" s="19">
        <f>'Sampling Data'!G875</f>
        <v>0</v>
      </c>
      <c r="I875" s="19">
        <f>'Sampling Data'!H875</f>
        <v>0</v>
      </c>
      <c r="J875" s="19">
        <f>'Sampling Data'!I875</f>
        <v>0</v>
      </c>
      <c r="K875" s="19">
        <f>'Sampling Data'!J875</f>
        <v>0</v>
      </c>
      <c r="L875" s="19">
        <f>'Sampling Data'!K875</f>
        <v>0</v>
      </c>
      <c r="M875" s="19">
        <f>'Sampling Data'!L875</f>
        <v>0</v>
      </c>
      <c r="N875" s="19">
        <f>'Sampling Data'!M875</f>
        <v>0</v>
      </c>
      <c r="O875" s="18">
        <f>'Sampling Data'!N875</f>
        <v>0</v>
      </c>
      <c r="P875" s="18">
        <f>'Sampling Data'!O875</f>
        <v>2</v>
      </c>
      <c r="Q875" s="18">
        <f>'Sampling Data'!P875</f>
        <v>57</v>
      </c>
      <c r="R875" s="18">
        <f>'Sampling Data'!AJ875</f>
        <v>0</v>
      </c>
      <c r="S875" s="112"/>
      <c r="T875" s="112"/>
      <c r="U875" s="113"/>
      <c r="V875" s="113"/>
      <c r="W875" s="112"/>
      <c r="X875" s="112"/>
      <c r="Y875" s="112"/>
      <c r="Z875" s="112"/>
      <c r="AA875" s="15"/>
      <c r="AB875" s="15"/>
      <c r="AC875" s="15"/>
      <c r="AD875" s="15"/>
      <c r="AE875" s="114" t="str">
        <f>IF(NOT(ISBLANK(Audit[[#This Row],[Audit Winning Candidate]])), Audit[[#This Row],[Audit Winning Candidate]]-Audit[[#This Row],[Winning Candidate]], "")</f>
        <v/>
      </c>
      <c r="AF875" s="18" t="str">
        <f>IF(NOT(ISBLANK(Audit[[#This Row],[Audit Losing Candidate]])), Audit[[#This Row],[Audit Losing Candidate]]-Audit[[#This Row],[Losing Candidate]], "")</f>
        <v/>
      </c>
      <c r="AG875" s="18" t="str">
        <f>IF(NOT(ISBLANK(Audit[[#This Row],[Audit Candidate 3]])), Audit[[#This Row],[Audit Candidate 3]]-Audit[[#This Row],[Candidate 3]], "")</f>
        <v/>
      </c>
      <c r="AH875" s="18" t="str">
        <f>IF(NOT(ISBLANK(Audit[[#This Row],[Audit Candidate 4]])),Audit[[#This Row],[Audit Candidate 4]]-Audit[[#This Row],[Candidate 4]], "")</f>
        <v/>
      </c>
      <c r="AI875" s="18" t="str">
        <f>IF(NOT(ISBLANK(Audit[[#This Row],[Audit Candidate 5]])), Audit[[#This Row],[Audit Candidate 5]]-Audit[[#This Row],[Candidate 5]], "")</f>
        <v/>
      </c>
      <c r="AJ875" s="18" t="str">
        <f>IF(NOT(ISBLANK(Audit[[#This Row],[Audit Candidate 6]])), Audit[[#This Row],[Audit Candidate 6]]-Audit[[#This Row],[Candidate 6]], "")</f>
        <v/>
      </c>
      <c r="AK875" s="18" t="str">
        <f>IF(NOT(ISBLANK(Audit[[#This Row],[Audit Candidate 7]])), Audit[[#This Row],[Audit Candidate 7]]-Audit[[#This Row],[Candidate 7]], "")</f>
        <v/>
      </c>
      <c r="AL875" s="18" t="str">
        <f>IF(NOT(ISBLANK(Audit[[#This Row],[Audit Candidate 8]])), Audit[[#This Row],[Audit Candidate 8]]-Audit[[#This Row],[Candidate 8]], "")</f>
        <v/>
      </c>
      <c r="AM875" s="18" t="str">
        <f>IF(NOT(ISBLANK(Audit[[#This Row],[Audit Candidate 9]])), Audit[[#This Row],[Audit Candidate 9]]-Audit[[#This Row],[Candidate 9]], "")</f>
        <v/>
      </c>
      <c r="AN875" s="18" t="str">
        <f>IF(NOT(ISBLANK(Audit[[#This Row],[Audit Candidate 10]])), Audit[[#This Row],[Audit Candidate 10]]-Audit[[#This Row],[Candidate 10]], "")</f>
        <v/>
      </c>
      <c r="AO875" s="18" t="str">
        <f>IF(NOT(ISBLANK(Audit[[#This Row],[Audit Candidate 11]])), Audit[[#This Row],[Audit Candidate 11]]-Audit[[#This Row],[Candidate 11]], "")</f>
        <v/>
      </c>
      <c r="AP875" s="18" t="str">
        <f>IF(NOT(ISBLANK(Audit[[#This Row],[Audit Candidate 12]])), Audit[[#This Row],[Audit Candidate 12]]-Audit[[#This Row],[Candidate 12]], "")</f>
        <v/>
      </c>
      <c r="AQ875" s="18">
        <f>SUMIF(Audit[[#This Row],[Difference Winner]:[Difference Candidate 12]], "&gt;0")</f>
        <v>0</v>
      </c>
      <c r="AR875" s="18">
        <f>SUM(Audit[[#This Row],[Difference Winner]:[Difference Candidate 12]])</f>
        <v>0</v>
      </c>
      <c r="AS875" s="18">
        <f>IF(Audit[[#This Row],[Times p Drawn - With Replacement]]&gt;0, IF(Audit[[#This Row],[Canceled Differences]]&lt;0, Audit[[#This Row],[Max Differences]]+ABS(Audit[[#This Row],[Canceled Differences]]), Audit[[#This Row],[Max Differences]]), 0)</f>
        <v>0</v>
      </c>
      <c r="AT875" s="18">
        <f>'Sampling Data'!AB875</f>
        <v>3.0153594873888871E-3</v>
      </c>
      <c r="AU875" s="18">
        <f>IF(
      SUM(Audit[[#This Row],[Audit Losing Candidate]:[Audit Candidate 12]])
      &lt;&gt;0,
      (Audit[[#This Row],[Winning Candidate]]-Audit[[#This Row],[Losing Candidate]]-(Audit[[#This Row],[Audit Winning Candidate]]-Audit[[#This Row],[Audit Losing Candidate]]))/(Audit[[#Totals],[Winning Candidate]]-Audit[[#Totals],[Losing Candidate]]),
      0
)</f>
        <v>0</v>
      </c>
      <c r="AV8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8">
        <f>IF(Audit[[#This Row],[Max Relative Error (ep)]] = 0, 0, Audit[[#This Row],[Max Relative Error (ep)]]/Audit[[#This Row],[Error Bound (up) - Max. possible relative overstatement]])</f>
        <v>0</v>
      </c>
      <c r="BH8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5" s="18">
        <f t="shared" si="14"/>
        <v>1</v>
      </c>
      <c r="BJ875" s="18">
        <f>PRODUCT($BI$5:BI875)</f>
        <v>0.32656797278968008</v>
      </c>
      <c r="BK875" s="20">
        <f>1 - Audit[[#This Row],[K-M P Value]]</f>
        <v>0.67343202721031992</v>
      </c>
      <c r="BL875" s="18" t="str">
        <f>IF(Audit[[#This Row],[K-M P Value]]&gt;1-'General Info'!$B$12,"Continue", "Stop")</f>
        <v>Continue</v>
      </c>
      <c r="BM875" s="23" t="b">
        <f>IF(Audit[[#This Row],[Status - Continue or stop audit]] = "Continue", TRUE, IF(BL874 = "Continue", TRUE, FALSE))</f>
        <v>1</v>
      </c>
      <c r="BN875" s="23"/>
    </row>
    <row r="876" spans="1:66" ht="15" hidden="1" customHeight="1" x14ac:dyDescent="0.35">
      <c r="A876" s="18" t="str">
        <f>'Sampling Data'!AI876</f>
        <v/>
      </c>
      <c r="B876" s="18" t="str">
        <f>'Sampling Data'!A876</f>
        <v>5303 WYOM C   (ED)</v>
      </c>
      <c r="C876" s="18">
        <f>'Sampling Data'!B876</f>
        <v>57</v>
      </c>
      <c r="D876" s="18">
        <f>'Sampling Data'!C876</f>
        <v>4</v>
      </c>
      <c r="E876" s="19">
        <f>'Sampling Data'!D876</f>
        <v>0</v>
      </c>
      <c r="F876" s="19">
        <f>'Sampling Data'!E876</f>
        <v>0</v>
      </c>
      <c r="G876" s="19">
        <f>'Sampling Data'!F876</f>
        <v>0</v>
      </c>
      <c r="H876" s="19">
        <f>'Sampling Data'!G876</f>
        <v>0</v>
      </c>
      <c r="I876" s="19">
        <f>'Sampling Data'!H876</f>
        <v>0</v>
      </c>
      <c r="J876" s="19">
        <f>'Sampling Data'!I876</f>
        <v>0</v>
      </c>
      <c r="K876" s="19">
        <f>'Sampling Data'!J876</f>
        <v>0</v>
      </c>
      <c r="L876" s="19">
        <f>'Sampling Data'!K876</f>
        <v>0</v>
      </c>
      <c r="M876" s="19">
        <f>'Sampling Data'!L876</f>
        <v>0</v>
      </c>
      <c r="N876" s="19">
        <f>'Sampling Data'!M876</f>
        <v>0</v>
      </c>
      <c r="O876" s="18">
        <f>'Sampling Data'!N876</f>
        <v>0</v>
      </c>
      <c r="P876" s="18">
        <f>'Sampling Data'!O876</f>
        <v>1</v>
      </c>
      <c r="Q876" s="18">
        <f>'Sampling Data'!P876</f>
        <v>62</v>
      </c>
      <c r="R876" s="18">
        <f>'Sampling Data'!AJ876</f>
        <v>0</v>
      </c>
      <c r="S876" s="112"/>
      <c r="T876" s="112"/>
      <c r="U876" s="113"/>
      <c r="V876" s="113"/>
      <c r="W876" s="112"/>
      <c r="X876" s="112"/>
      <c r="Y876" s="112"/>
      <c r="Z876" s="112"/>
      <c r="AA876" s="15"/>
      <c r="AB876" s="15"/>
      <c r="AC876" s="15"/>
      <c r="AD876" s="15"/>
      <c r="AE876" s="114" t="str">
        <f>IF(NOT(ISBLANK(Audit[[#This Row],[Audit Winning Candidate]])), Audit[[#This Row],[Audit Winning Candidate]]-Audit[[#This Row],[Winning Candidate]], "")</f>
        <v/>
      </c>
      <c r="AF876" s="18" t="str">
        <f>IF(NOT(ISBLANK(Audit[[#This Row],[Audit Losing Candidate]])), Audit[[#This Row],[Audit Losing Candidate]]-Audit[[#This Row],[Losing Candidate]], "")</f>
        <v/>
      </c>
      <c r="AG876" s="18" t="str">
        <f>IF(NOT(ISBLANK(Audit[[#This Row],[Audit Candidate 3]])), Audit[[#This Row],[Audit Candidate 3]]-Audit[[#This Row],[Candidate 3]], "")</f>
        <v/>
      </c>
      <c r="AH876" s="18" t="str">
        <f>IF(NOT(ISBLANK(Audit[[#This Row],[Audit Candidate 4]])),Audit[[#This Row],[Audit Candidate 4]]-Audit[[#This Row],[Candidate 4]], "")</f>
        <v/>
      </c>
      <c r="AI876" s="18" t="str">
        <f>IF(NOT(ISBLANK(Audit[[#This Row],[Audit Candidate 5]])), Audit[[#This Row],[Audit Candidate 5]]-Audit[[#This Row],[Candidate 5]], "")</f>
        <v/>
      </c>
      <c r="AJ876" s="18" t="str">
        <f>IF(NOT(ISBLANK(Audit[[#This Row],[Audit Candidate 6]])), Audit[[#This Row],[Audit Candidate 6]]-Audit[[#This Row],[Candidate 6]], "")</f>
        <v/>
      </c>
      <c r="AK876" s="18" t="str">
        <f>IF(NOT(ISBLANK(Audit[[#This Row],[Audit Candidate 7]])), Audit[[#This Row],[Audit Candidate 7]]-Audit[[#This Row],[Candidate 7]], "")</f>
        <v/>
      </c>
      <c r="AL876" s="18" t="str">
        <f>IF(NOT(ISBLANK(Audit[[#This Row],[Audit Candidate 8]])), Audit[[#This Row],[Audit Candidate 8]]-Audit[[#This Row],[Candidate 8]], "")</f>
        <v/>
      </c>
      <c r="AM876" s="18" t="str">
        <f>IF(NOT(ISBLANK(Audit[[#This Row],[Audit Candidate 9]])), Audit[[#This Row],[Audit Candidate 9]]-Audit[[#This Row],[Candidate 9]], "")</f>
        <v/>
      </c>
      <c r="AN876" s="18" t="str">
        <f>IF(NOT(ISBLANK(Audit[[#This Row],[Audit Candidate 10]])), Audit[[#This Row],[Audit Candidate 10]]-Audit[[#This Row],[Candidate 10]], "")</f>
        <v/>
      </c>
      <c r="AO876" s="18" t="str">
        <f>IF(NOT(ISBLANK(Audit[[#This Row],[Audit Candidate 11]])), Audit[[#This Row],[Audit Candidate 11]]-Audit[[#This Row],[Candidate 11]], "")</f>
        <v/>
      </c>
      <c r="AP876" s="18" t="str">
        <f>IF(NOT(ISBLANK(Audit[[#This Row],[Audit Candidate 12]])), Audit[[#This Row],[Audit Candidate 12]]-Audit[[#This Row],[Candidate 12]], "")</f>
        <v/>
      </c>
      <c r="AQ876" s="18">
        <f>SUMIF(Audit[[#This Row],[Difference Winner]:[Difference Candidate 12]], "&gt;0")</f>
        <v>0</v>
      </c>
      <c r="AR876" s="18">
        <f>SUM(Audit[[#This Row],[Difference Winner]:[Difference Candidate 12]])</f>
        <v>0</v>
      </c>
      <c r="AS876" s="18">
        <f>IF(Audit[[#This Row],[Times p Drawn - With Replacement]]&gt;0, IF(Audit[[#This Row],[Canceled Differences]]&lt;0, Audit[[#This Row],[Max Differences]]+ABS(Audit[[#This Row],[Canceled Differences]]), Audit[[#This Row],[Max Differences]]), 0)</f>
        <v>0</v>
      </c>
      <c r="AT876" s="18">
        <f>'Sampling Data'!AB876</f>
        <v>3.6121493859346044E-3</v>
      </c>
      <c r="AU876" s="18">
        <f>IF(
      SUM(Audit[[#This Row],[Audit Losing Candidate]:[Audit Candidate 12]])
      &lt;&gt;0,
      (Audit[[#This Row],[Winning Candidate]]-Audit[[#This Row],[Losing Candidate]]-(Audit[[#This Row],[Audit Winning Candidate]]-Audit[[#This Row],[Audit Losing Candidate]]))/(Audit[[#Totals],[Winning Candidate]]-Audit[[#Totals],[Losing Candidate]]),
      0
)</f>
        <v>0</v>
      </c>
      <c r="AV8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8">
        <f>IF(Audit[[#This Row],[Max Relative Error (ep)]] = 0, 0, Audit[[#This Row],[Max Relative Error (ep)]]/Audit[[#This Row],[Error Bound (up) - Max. possible relative overstatement]])</f>
        <v>0</v>
      </c>
      <c r="BH8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6" s="18">
        <f t="shared" si="14"/>
        <v>1</v>
      </c>
      <c r="BJ876" s="18">
        <f>PRODUCT($BI$5:BI876)</f>
        <v>0.32656797278968008</v>
      </c>
      <c r="BK876" s="20">
        <f>1 - Audit[[#This Row],[K-M P Value]]</f>
        <v>0.67343202721031992</v>
      </c>
      <c r="BL876" s="18" t="str">
        <f>IF(Audit[[#This Row],[K-M P Value]]&gt;1-'General Info'!$B$12,"Continue", "Stop")</f>
        <v>Continue</v>
      </c>
      <c r="BM876" s="23" t="b">
        <f>IF(Audit[[#This Row],[Status - Continue or stop audit]] = "Continue", TRUE, IF(BL875 = "Continue", TRUE, FALSE))</f>
        <v>1</v>
      </c>
      <c r="BN876" s="23"/>
    </row>
    <row r="877" spans="1:66" ht="15" hidden="1" customHeight="1" x14ac:dyDescent="0.35">
      <c r="A877" s="18" t="str">
        <f>'Sampling Data'!AI877</f>
        <v/>
      </c>
      <c r="B877" s="18" t="str">
        <f>'Sampling Data'!A877</f>
        <v>5304 WYOM D   (ED)</v>
      </c>
      <c r="C877" s="18">
        <f>'Sampling Data'!B877</f>
        <v>36</v>
      </c>
      <c r="D877" s="18">
        <f>'Sampling Data'!C877</f>
        <v>8</v>
      </c>
      <c r="E877" s="19">
        <f>'Sampling Data'!D877</f>
        <v>0</v>
      </c>
      <c r="F877" s="19">
        <f>'Sampling Data'!E877</f>
        <v>0</v>
      </c>
      <c r="G877" s="19">
        <f>'Sampling Data'!F877</f>
        <v>0</v>
      </c>
      <c r="H877" s="19">
        <f>'Sampling Data'!G877</f>
        <v>0</v>
      </c>
      <c r="I877" s="19">
        <f>'Sampling Data'!H877</f>
        <v>0</v>
      </c>
      <c r="J877" s="19">
        <f>'Sampling Data'!I877</f>
        <v>0</v>
      </c>
      <c r="K877" s="19">
        <f>'Sampling Data'!J877</f>
        <v>0</v>
      </c>
      <c r="L877" s="19">
        <f>'Sampling Data'!K877</f>
        <v>0</v>
      </c>
      <c r="M877" s="19">
        <f>'Sampling Data'!L877</f>
        <v>0</v>
      </c>
      <c r="N877" s="19">
        <f>'Sampling Data'!M877</f>
        <v>0</v>
      </c>
      <c r="O877" s="18">
        <f>'Sampling Data'!N877</f>
        <v>0</v>
      </c>
      <c r="P877" s="18">
        <f>'Sampling Data'!O877</f>
        <v>0</v>
      </c>
      <c r="Q877" s="18">
        <f>'Sampling Data'!P877</f>
        <v>44</v>
      </c>
      <c r="R877" s="18">
        <f>'Sampling Data'!AJ877</f>
        <v>0</v>
      </c>
      <c r="S877" s="112"/>
      <c r="T877" s="112"/>
      <c r="U877" s="113"/>
      <c r="V877" s="113"/>
      <c r="W877" s="112"/>
      <c r="X877" s="112"/>
      <c r="Y877" s="112"/>
      <c r="Z877" s="112"/>
      <c r="AA877" s="15"/>
      <c r="AB877" s="15"/>
      <c r="AC877" s="15"/>
      <c r="AD877" s="15"/>
      <c r="AE877" s="114" t="str">
        <f>IF(NOT(ISBLANK(Audit[[#This Row],[Audit Winning Candidate]])), Audit[[#This Row],[Audit Winning Candidate]]-Audit[[#This Row],[Winning Candidate]], "")</f>
        <v/>
      </c>
      <c r="AF877" s="18" t="str">
        <f>IF(NOT(ISBLANK(Audit[[#This Row],[Audit Losing Candidate]])), Audit[[#This Row],[Audit Losing Candidate]]-Audit[[#This Row],[Losing Candidate]], "")</f>
        <v/>
      </c>
      <c r="AG877" s="18" t="str">
        <f>IF(NOT(ISBLANK(Audit[[#This Row],[Audit Candidate 3]])), Audit[[#This Row],[Audit Candidate 3]]-Audit[[#This Row],[Candidate 3]], "")</f>
        <v/>
      </c>
      <c r="AH877" s="18" t="str">
        <f>IF(NOT(ISBLANK(Audit[[#This Row],[Audit Candidate 4]])),Audit[[#This Row],[Audit Candidate 4]]-Audit[[#This Row],[Candidate 4]], "")</f>
        <v/>
      </c>
      <c r="AI877" s="18" t="str">
        <f>IF(NOT(ISBLANK(Audit[[#This Row],[Audit Candidate 5]])), Audit[[#This Row],[Audit Candidate 5]]-Audit[[#This Row],[Candidate 5]], "")</f>
        <v/>
      </c>
      <c r="AJ877" s="18" t="str">
        <f>IF(NOT(ISBLANK(Audit[[#This Row],[Audit Candidate 6]])), Audit[[#This Row],[Audit Candidate 6]]-Audit[[#This Row],[Candidate 6]], "")</f>
        <v/>
      </c>
      <c r="AK877" s="18" t="str">
        <f>IF(NOT(ISBLANK(Audit[[#This Row],[Audit Candidate 7]])), Audit[[#This Row],[Audit Candidate 7]]-Audit[[#This Row],[Candidate 7]], "")</f>
        <v/>
      </c>
      <c r="AL877" s="18" t="str">
        <f>IF(NOT(ISBLANK(Audit[[#This Row],[Audit Candidate 8]])), Audit[[#This Row],[Audit Candidate 8]]-Audit[[#This Row],[Candidate 8]], "")</f>
        <v/>
      </c>
      <c r="AM877" s="18" t="str">
        <f>IF(NOT(ISBLANK(Audit[[#This Row],[Audit Candidate 9]])), Audit[[#This Row],[Audit Candidate 9]]-Audit[[#This Row],[Candidate 9]], "")</f>
        <v/>
      </c>
      <c r="AN877" s="18" t="str">
        <f>IF(NOT(ISBLANK(Audit[[#This Row],[Audit Candidate 10]])), Audit[[#This Row],[Audit Candidate 10]]-Audit[[#This Row],[Candidate 10]], "")</f>
        <v/>
      </c>
      <c r="AO877" s="18" t="str">
        <f>IF(NOT(ISBLANK(Audit[[#This Row],[Audit Candidate 11]])), Audit[[#This Row],[Audit Candidate 11]]-Audit[[#This Row],[Candidate 11]], "")</f>
        <v/>
      </c>
      <c r="AP877" s="18" t="str">
        <f>IF(NOT(ISBLANK(Audit[[#This Row],[Audit Candidate 12]])), Audit[[#This Row],[Audit Candidate 12]]-Audit[[#This Row],[Candidate 12]], "")</f>
        <v/>
      </c>
      <c r="AQ877" s="18">
        <f>SUMIF(Audit[[#This Row],[Difference Winner]:[Difference Candidate 12]], "&gt;0")</f>
        <v>0</v>
      </c>
      <c r="AR877" s="18">
        <f>SUM(Audit[[#This Row],[Difference Winner]:[Difference Candidate 12]])</f>
        <v>0</v>
      </c>
      <c r="AS877" s="18">
        <f>IF(Audit[[#This Row],[Times p Drawn - With Replacement]]&gt;0, IF(Audit[[#This Row],[Canceled Differences]]&lt;0, Audit[[#This Row],[Max Differences]]+ABS(Audit[[#This Row],[Canceled Differences]]), Audit[[#This Row],[Max Differences]]), 0)</f>
        <v>0</v>
      </c>
      <c r="AT877" s="18">
        <f>'Sampling Data'!AB877</f>
        <v>2.2615196155416654E-3</v>
      </c>
      <c r="AU877" s="18">
        <f>IF(
      SUM(Audit[[#This Row],[Audit Losing Candidate]:[Audit Candidate 12]])
      &lt;&gt;0,
      (Audit[[#This Row],[Winning Candidate]]-Audit[[#This Row],[Losing Candidate]]-(Audit[[#This Row],[Audit Winning Candidate]]-Audit[[#This Row],[Audit Losing Candidate]]))/(Audit[[#Totals],[Winning Candidate]]-Audit[[#Totals],[Losing Candidate]]),
      0
)</f>
        <v>0</v>
      </c>
      <c r="AV8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8">
        <f>IF(Audit[[#This Row],[Max Relative Error (ep)]] = 0, 0, Audit[[#This Row],[Max Relative Error (ep)]]/Audit[[#This Row],[Error Bound (up) - Max. possible relative overstatement]])</f>
        <v>0</v>
      </c>
      <c r="BH8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7" s="18">
        <f t="shared" si="14"/>
        <v>1</v>
      </c>
      <c r="BJ877" s="18">
        <f>PRODUCT($BI$5:BI877)</f>
        <v>0.32656797278968008</v>
      </c>
      <c r="BK877" s="20">
        <f>1 - Audit[[#This Row],[K-M P Value]]</f>
        <v>0.67343202721031992</v>
      </c>
      <c r="BL877" s="18" t="str">
        <f>IF(Audit[[#This Row],[K-M P Value]]&gt;1-'General Info'!$B$12,"Continue", "Stop")</f>
        <v>Continue</v>
      </c>
      <c r="BM877" s="23" t="b">
        <f>IF(Audit[[#This Row],[Status - Continue or stop audit]] = "Continue", TRUE, IF(BL876 = "Continue", TRUE, FALSE))</f>
        <v>1</v>
      </c>
      <c r="BN877" s="23"/>
    </row>
    <row r="878" spans="1:66" ht="15" hidden="1" customHeight="1" x14ac:dyDescent="0.35">
      <c r="A878" s="18" t="str">
        <f>'Sampling Data'!AI878</f>
        <v/>
      </c>
      <c r="B878" s="18" t="str">
        <f>'Sampling Data'!A878</f>
        <v>5305 WYOM E   (ED)</v>
      </c>
      <c r="C878" s="18">
        <f>'Sampling Data'!B878</f>
        <v>53</v>
      </c>
      <c r="D878" s="18">
        <f>'Sampling Data'!C878</f>
        <v>4</v>
      </c>
      <c r="E878" s="19">
        <f>'Sampling Data'!D878</f>
        <v>0</v>
      </c>
      <c r="F878" s="19">
        <f>'Sampling Data'!E878</f>
        <v>0</v>
      </c>
      <c r="G878" s="19">
        <f>'Sampling Data'!F878</f>
        <v>0</v>
      </c>
      <c r="H878" s="19">
        <f>'Sampling Data'!G878</f>
        <v>0</v>
      </c>
      <c r="I878" s="19">
        <f>'Sampling Data'!H878</f>
        <v>0</v>
      </c>
      <c r="J878" s="19">
        <f>'Sampling Data'!I878</f>
        <v>0</v>
      </c>
      <c r="K878" s="19">
        <f>'Sampling Data'!J878</f>
        <v>0</v>
      </c>
      <c r="L878" s="19">
        <f>'Sampling Data'!K878</f>
        <v>0</v>
      </c>
      <c r="M878" s="19">
        <f>'Sampling Data'!L878</f>
        <v>0</v>
      </c>
      <c r="N878" s="19">
        <f>'Sampling Data'!M878</f>
        <v>0</v>
      </c>
      <c r="O878" s="18">
        <f>'Sampling Data'!N878</f>
        <v>0</v>
      </c>
      <c r="P878" s="18">
        <f>'Sampling Data'!O878</f>
        <v>0</v>
      </c>
      <c r="Q878" s="18">
        <f>'Sampling Data'!P878</f>
        <v>57</v>
      </c>
      <c r="R878" s="18">
        <f>'Sampling Data'!AJ878</f>
        <v>0</v>
      </c>
      <c r="S878" s="112"/>
      <c r="T878" s="112"/>
      <c r="U878" s="113"/>
      <c r="V878" s="113"/>
      <c r="W878" s="112"/>
      <c r="X878" s="112"/>
      <c r="Y878" s="112"/>
      <c r="Z878" s="112"/>
      <c r="AA878" s="15"/>
      <c r="AB878" s="15"/>
      <c r="AC878" s="15"/>
      <c r="AD878" s="15"/>
      <c r="AE878" s="114" t="str">
        <f>IF(NOT(ISBLANK(Audit[[#This Row],[Audit Winning Candidate]])), Audit[[#This Row],[Audit Winning Candidate]]-Audit[[#This Row],[Winning Candidate]], "")</f>
        <v/>
      </c>
      <c r="AF878" s="18" t="str">
        <f>IF(NOT(ISBLANK(Audit[[#This Row],[Audit Losing Candidate]])), Audit[[#This Row],[Audit Losing Candidate]]-Audit[[#This Row],[Losing Candidate]], "")</f>
        <v/>
      </c>
      <c r="AG878" s="18" t="str">
        <f>IF(NOT(ISBLANK(Audit[[#This Row],[Audit Candidate 3]])), Audit[[#This Row],[Audit Candidate 3]]-Audit[[#This Row],[Candidate 3]], "")</f>
        <v/>
      </c>
      <c r="AH878" s="18" t="str">
        <f>IF(NOT(ISBLANK(Audit[[#This Row],[Audit Candidate 4]])),Audit[[#This Row],[Audit Candidate 4]]-Audit[[#This Row],[Candidate 4]], "")</f>
        <v/>
      </c>
      <c r="AI878" s="18" t="str">
        <f>IF(NOT(ISBLANK(Audit[[#This Row],[Audit Candidate 5]])), Audit[[#This Row],[Audit Candidate 5]]-Audit[[#This Row],[Candidate 5]], "")</f>
        <v/>
      </c>
      <c r="AJ878" s="18" t="str">
        <f>IF(NOT(ISBLANK(Audit[[#This Row],[Audit Candidate 6]])), Audit[[#This Row],[Audit Candidate 6]]-Audit[[#This Row],[Candidate 6]], "")</f>
        <v/>
      </c>
      <c r="AK878" s="18" t="str">
        <f>IF(NOT(ISBLANK(Audit[[#This Row],[Audit Candidate 7]])), Audit[[#This Row],[Audit Candidate 7]]-Audit[[#This Row],[Candidate 7]], "")</f>
        <v/>
      </c>
      <c r="AL878" s="18" t="str">
        <f>IF(NOT(ISBLANK(Audit[[#This Row],[Audit Candidate 8]])), Audit[[#This Row],[Audit Candidate 8]]-Audit[[#This Row],[Candidate 8]], "")</f>
        <v/>
      </c>
      <c r="AM878" s="18" t="str">
        <f>IF(NOT(ISBLANK(Audit[[#This Row],[Audit Candidate 9]])), Audit[[#This Row],[Audit Candidate 9]]-Audit[[#This Row],[Candidate 9]], "")</f>
        <v/>
      </c>
      <c r="AN878" s="18" t="str">
        <f>IF(NOT(ISBLANK(Audit[[#This Row],[Audit Candidate 10]])), Audit[[#This Row],[Audit Candidate 10]]-Audit[[#This Row],[Candidate 10]], "")</f>
        <v/>
      </c>
      <c r="AO878" s="18" t="str">
        <f>IF(NOT(ISBLANK(Audit[[#This Row],[Audit Candidate 11]])), Audit[[#This Row],[Audit Candidate 11]]-Audit[[#This Row],[Candidate 11]], "")</f>
        <v/>
      </c>
      <c r="AP878" s="18" t="str">
        <f>IF(NOT(ISBLANK(Audit[[#This Row],[Audit Candidate 12]])), Audit[[#This Row],[Audit Candidate 12]]-Audit[[#This Row],[Candidate 12]], "")</f>
        <v/>
      </c>
      <c r="AQ878" s="18">
        <f>SUMIF(Audit[[#This Row],[Difference Winner]:[Difference Candidate 12]], "&gt;0")</f>
        <v>0</v>
      </c>
      <c r="AR878" s="18">
        <f>SUM(Audit[[#This Row],[Difference Winner]:[Difference Candidate 12]])</f>
        <v>0</v>
      </c>
      <c r="AS878" s="18">
        <f>IF(Audit[[#This Row],[Times p Drawn - With Replacement]]&gt;0, IF(Audit[[#This Row],[Canceled Differences]]&lt;0, Audit[[#This Row],[Max Differences]]+ABS(Audit[[#This Row],[Canceled Differences]]), Audit[[#This Row],[Max Differences]]), 0)</f>
        <v>0</v>
      </c>
      <c r="AT878" s="18">
        <f>'Sampling Data'!AB878</f>
        <v>3.3294594339918961E-3</v>
      </c>
      <c r="AU878" s="18">
        <f>IF(
      SUM(Audit[[#This Row],[Audit Losing Candidate]:[Audit Candidate 12]])
      &lt;&gt;0,
      (Audit[[#This Row],[Winning Candidate]]-Audit[[#This Row],[Losing Candidate]]-(Audit[[#This Row],[Audit Winning Candidate]]-Audit[[#This Row],[Audit Losing Candidate]]))/(Audit[[#Totals],[Winning Candidate]]-Audit[[#Totals],[Losing Candidate]]),
      0
)</f>
        <v>0</v>
      </c>
      <c r="AV8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8">
        <f>IF(Audit[[#This Row],[Max Relative Error (ep)]] = 0, 0, Audit[[#This Row],[Max Relative Error (ep)]]/Audit[[#This Row],[Error Bound (up) - Max. possible relative overstatement]])</f>
        <v>0</v>
      </c>
      <c r="BH8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8" s="18">
        <f t="shared" si="14"/>
        <v>1</v>
      </c>
      <c r="BJ878" s="18">
        <f>PRODUCT($BI$5:BI878)</f>
        <v>0.32656797278968008</v>
      </c>
      <c r="BK878" s="20">
        <f>1 - Audit[[#This Row],[K-M P Value]]</f>
        <v>0.67343202721031992</v>
      </c>
      <c r="BL878" s="18" t="str">
        <f>IF(Audit[[#This Row],[K-M P Value]]&gt;1-'General Info'!$B$12,"Continue", "Stop")</f>
        <v>Continue</v>
      </c>
      <c r="BM878" s="23" t="b">
        <f>IF(Audit[[#This Row],[Status - Continue or stop audit]] = "Continue", TRUE, IF(BL877 = "Continue", TRUE, FALSE))</f>
        <v>1</v>
      </c>
      <c r="BN878" s="23"/>
    </row>
    <row r="879" spans="1:66" ht="15" hidden="1" customHeight="1" x14ac:dyDescent="0.35">
      <c r="A879" s="18" t="str">
        <f>'Sampling Data'!AI879</f>
        <v/>
      </c>
      <c r="B879" s="18" t="str">
        <f>'Sampling Data'!A879</f>
        <v>5501 AMBER A   (ED)</v>
      </c>
      <c r="C879" s="18">
        <f>'Sampling Data'!B879</f>
        <v>49</v>
      </c>
      <c r="D879" s="18">
        <f>'Sampling Data'!C879</f>
        <v>1</v>
      </c>
      <c r="E879" s="19">
        <f>'Sampling Data'!D879</f>
        <v>0</v>
      </c>
      <c r="F879" s="19">
        <f>'Sampling Data'!E879</f>
        <v>0</v>
      </c>
      <c r="G879" s="19">
        <f>'Sampling Data'!F879</f>
        <v>0</v>
      </c>
      <c r="H879" s="19">
        <f>'Sampling Data'!G879</f>
        <v>0</v>
      </c>
      <c r="I879" s="19">
        <f>'Sampling Data'!H879</f>
        <v>0</v>
      </c>
      <c r="J879" s="19">
        <f>'Sampling Data'!I879</f>
        <v>0</v>
      </c>
      <c r="K879" s="19">
        <f>'Sampling Data'!J879</f>
        <v>0</v>
      </c>
      <c r="L879" s="19">
        <f>'Sampling Data'!K879</f>
        <v>0</v>
      </c>
      <c r="M879" s="19">
        <f>'Sampling Data'!L879</f>
        <v>0</v>
      </c>
      <c r="N879" s="19">
        <f>'Sampling Data'!M879</f>
        <v>0</v>
      </c>
      <c r="O879" s="18">
        <f>'Sampling Data'!N879</f>
        <v>0</v>
      </c>
      <c r="P879" s="18">
        <f>'Sampling Data'!O879</f>
        <v>0</v>
      </c>
      <c r="Q879" s="18">
        <f>'Sampling Data'!P879</f>
        <v>50</v>
      </c>
      <c r="R879" s="18">
        <f>'Sampling Data'!AJ879</f>
        <v>0</v>
      </c>
      <c r="S879" s="112"/>
      <c r="T879" s="112"/>
      <c r="U879" s="113"/>
      <c r="V879" s="113"/>
      <c r="W879" s="112"/>
      <c r="X879" s="112"/>
      <c r="Y879" s="112"/>
      <c r="Z879" s="112"/>
      <c r="AA879" s="15"/>
      <c r="AB879" s="15"/>
      <c r="AC879" s="15"/>
      <c r="AD879" s="15"/>
      <c r="AE879" s="114" t="str">
        <f>IF(NOT(ISBLANK(Audit[[#This Row],[Audit Winning Candidate]])), Audit[[#This Row],[Audit Winning Candidate]]-Audit[[#This Row],[Winning Candidate]], "")</f>
        <v/>
      </c>
      <c r="AF879" s="18" t="str">
        <f>IF(NOT(ISBLANK(Audit[[#This Row],[Audit Losing Candidate]])), Audit[[#This Row],[Audit Losing Candidate]]-Audit[[#This Row],[Losing Candidate]], "")</f>
        <v/>
      </c>
      <c r="AG879" s="18" t="str">
        <f>IF(NOT(ISBLANK(Audit[[#This Row],[Audit Candidate 3]])), Audit[[#This Row],[Audit Candidate 3]]-Audit[[#This Row],[Candidate 3]], "")</f>
        <v/>
      </c>
      <c r="AH879" s="18" t="str">
        <f>IF(NOT(ISBLANK(Audit[[#This Row],[Audit Candidate 4]])),Audit[[#This Row],[Audit Candidate 4]]-Audit[[#This Row],[Candidate 4]], "")</f>
        <v/>
      </c>
      <c r="AI879" s="18" t="str">
        <f>IF(NOT(ISBLANK(Audit[[#This Row],[Audit Candidate 5]])), Audit[[#This Row],[Audit Candidate 5]]-Audit[[#This Row],[Candidate 5]], "")</f>
        <v/>
      </c>
      <c r="AJ879" s="18" t="str">
        <f>IF(NOT(ISBLANK(Audit[[#This Row],[Audit Candidate 6]])), Audit[[#This Row],[Audit Candidate 6]]-Audit[[#This Row],[Candidate 6]], "")</f>
        <v/>
      </c>
      <c r="AK879" s="18" t="str">
        <f>IF(NOT(ISBLANK(Audit[[#This Row],[Audit Candidate 7]])), Audit[[#This Row],[Audit Candidate 7]]-Audit[[#This Row],[Candidate 7]], "")</f>
        <v/>
      </c>
      <c r="AL879" s="18" t="str">
        <f>IF(NOT(ISBLANK(Audit[[#This Row],[Audit Candidate 8]])), Audit[[#This Row],[Audit Candidate 8]]-Audit[[#This Row],[Candidate 8]], "")</f>
        <v/>
      </c>
      <c r="AM879" s="18" t="str">
        <f>IF(NOT(ISBLANK(Audit[[#This Row],[Audit Candidate 9]])), Audit[[#This Row],[Audit Candidate 9]]-Audit[[#This Row],[Candidate 9]], "")</f>
        <v/>
      </c>
      <c r="AN879" s="18" t="str">
        <f>IF(NOT(ISBLANK(Audit[[#This Row],[Audit Candidate 10]])), Audit[[#This Row],[Audit Candidate 10]]-Audit[[#This Row],[Candidate 10]], "")</f>
        <v/>
      </c>
      <c r="AO879" s="18" t="str">
        <f>IF(NOT(ISBLANK(Audit[[#This Row],[Audit Candidate 11]])), Audit[[#This Row],[Audit Candidate 11]]-Audit[[#This Row],[Candidate 11]], "")</f>
        <v/>
      </c>
      <c r="AP879" s="18" t="str">
        <f>IF(NOT(ISBLANK(Audit[[#This Row],[Audit Candidate 12]])), Audit[[#This Row],[Audit Candidate 12]]-Audit[[#This Row],[Candidate 12]], "")</f>
        <v/>
      </c>
      <c r="AQ879" s="18">
        <f>SUMIF(Audit[[#This Row],[Difference Winner]:[Difference Candidate 12]], "&gt;0")</f>
        <v>0</v>
      </c>
      <c r="AR879" s="18">
        <f>SUM(Audit[[#This Row],[Difference Winner]:[Difference Candidate 12]])</f>
        <v>0</v>
      </c>
      <c r="AS879" s="18">
        <f>IF(Audit[[#This Row],[Times p Drawn - With Replacement]]&gt;0, IF(Audit[[#This Row],[Canceled Differences]]&lt;0, Audit[[#This Row],[Max Differences]]+ABS(Audit[[#This Row],[Canceled Differences]]), Audit[[#This Row],[Max Differences]]), 0)</f>
        <v>0</v>
      </c>
      <c r="AT879" s="18">
        <f>'Sampling Data'!AB879</f>
        <v>3.0781794767094891E-3</v>
      </c>
      <c r="AU879" s="18">
        <f>IF(
      SUM(Audit[[#This Row],[Audit Losing Candidate]:[Audit Candidate 12]])
      &lt;&gt;0,
      (Audit[[#This Row],[Winning Candidate]]-Audit[[#This Row],[Losing Candidate]]-(Audit[[#This Row],[Audit Winning Candidate]]-Audit[[#This Row],[Audit Losing Candidate]]))/(Audit[[#Totals],[Winning Candidate]]-Audit[[#Totals],[Losing Candidate]]),
      0
)</f>
        <v>0</v>
      </c>
      <c r="AV8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8">
        <f>IF(Audit[[#This Row],[Max Relative Error (ep)]] = 0, 0, Audit[[#This Row],[Max Relative Error (ep)]]/Audit[[#This Row],[Error Bound (up) - Max. possible relative overstatement]])</f>
        <v>0</v>
      </c>
      <c r="BH8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79" s="18">
        <f t="shared" si="14"/>
        <v>1</v>
      </c>
      <c r="BJ879" s="18">
        <f>PRODUCT($BI$5:BI879)</f>
        <v>0.32656797278968008</v>
      </c>
      <c r="BK879" s="20">
        <f>1 - Audit[[#This Row],[K-M P Value]]</f>
        <v>0.67343202721031992</v>
      </c>
      <c r="BL879" s="18" t="str">
        <f>IF(Audit[[#This Row],[K-M P Value]]&gt;1-'General Info'!$B$12,"Continue", "Stop")</f>
        <v>Continue</v>
      </c>
      <c r="BM879" s="23" t="b">
        <f>IF(Audit[[#This Row],[Status - Continue or stop audit]] = "Continue", TRUE, IF(BL878 = "Continue", TRUE, FALSE))</f>
        <v>1</v>
      </c>
      <c r="BN879" s="23"/>
    </row>
    <row r="880" spans="1:66" ht="15" hidden="1" customHeight="1" x14ac:dyDescent="0.35">
      <c r="A880" s="18" t="str">
        <f>'Sampling Data'!AI880</f>
        <v/>
      </c>
      <c r="B880" s="18" t="str">
        <f>'Sampling Data'!A880</f>
        <v>5502 AMBER B   (ED)</v>
      </c>
      <c r="C880" s="18">
        <f>'Sampling Data'!B880</f>
        <v>57</v>
      </c>
      <c r="D880" s="18">
        <f>'Sampling Data'!C880</f>
        <v>2</v>
      </c>
      <c r="E880" s="19">
        <f>'Sampling Data'!D880</f>
        <v>0</v>
      </c>
      <c r="F880" s="19">
        <f>'Sampling Data'!E880</f>
        <v>0</v>
      </c>
      <c r="G880" s="19">
        <f>'Sampling Data'!F880</f>
        <v>0</v>
      </c>
      <c r="H880" s="19">
        <f>'Sampling Data'!G880</f>
        <v>0</v>
      </c>
      <c r="I880" s="19">
        <f>'Sampling Data'!H880</f>
        <v>0</v>
      </c>
      <c r="J880" s="19">
        <f>'Sampling Data'!I880</f>
        <v>0</v>
      </c>
      <c r="K880" s="19">
        <f>'Sampling Data'!J880</f>
        <v>0</v>
      </c>
      <c r="L880" s="19">
        <f>'Sampling Data'!K880</f>
        <v>0</v>
      </c>
      <c r="M880" s="19">
        <f>'Sampling Data'!L880</f>
        <v>0</v>
      </c>
      <c r="N880" s="19">
        <f>'Sampling Data'!M880</f>
        <v>0</v>
      </c>
      <c r="O880" s="18">
        <f>'Sampling Data'!N880</f>
        <v>0</v>
      </c>
      <c r="P880" s="18">
        <f>'Sampling Data'!O880</f>
        <v>1</v>
      </c>
      <c r="Q880" s="18">
        <f>'Sampling Data'!P880</f>
        <v>60</v>
      </c>
      <c r="R880" s="18">
        <f>'Sampling Data'!AJ880</f>
        <v>0</v>
      </c>
      <c r="S880" s="112"/>
      <c r="T880" s="112"/>
      <c r="U880" s="113"/>
      <c r="V880" s="113"/>
      <c r="W880" s="112"/>
      <c r="X880" s="112"/>
      <c r="Y880" s="112"/>
      <c r="Z880" s="112"/>
      <c r="AA880" s="15"/>
      <c r="AB880" s="15"/>
      <c r="AC880" s="15"/>
      <c r="AD880" s="15"/>
      <c r="AE880" s="114" t="str">
        <f>IF(NOT(ISBLANK(Audit[[#This Row],[Audit Winning Candidate]])), Audit[[#This Row],[Audit Winning Candidate]]-Audit[[#This Row],[Winning Candidate]], "")</f>
        <v/>
      </c>
      <c r="AF880" s="18" t="str">
        <f>IF(NOT(ISBLANK(Audit[[#This Row],[Audit Losing Candidate]])), Audit[[#This Row],[Audit Losing Candidate]]-Audit[[#This Row],[Losing Candidate]], "")</f>
        <v/>
      </c>
      <c r="AG880" s="18" t="str">
        <f>IF(NOT(ISBLANK(Audit[[#This Row],[Audit Candidate 3]])), Audit[[#This Row],[Audit Candidate 3]]-Audit[[#This Row],[Candidate 3]], "")</f>
        <v/>
      </c>
      <c r="AH880" s="18" t="str">
        <f>IF(NOT(ISBLANK(Audit[[#This Row],[Audit Candidate 4]])),Audit[[#This Row],[Audit Candidate 4]]-Audit[[#This Row],[Candidate 4]], "")</f>
        <v/>
      </c>
      <c r="AI880" s="18" t="str">
        <f>IF(NOT(ISBLANK(Audit[[#This Row],[Audit Candidate 5]])), Audit[[#This Row],[Audit Candidate 5]]-Audit[[#This Row],[Candidate 5]], "")</f>
        <v/>
      </c>
      <c r="AJ880" s="18" t="str">
        <f>IF(NOT(ISBLANK(Audit[[#This Row],[Audit Candidate 6]])), Audit[[#This Row],[Audit Candidate 6]]-Audit[[#This Row],[Candidate 6]], "")</f>
        <v/>
      </c>
      <c r="AK880" s="18" t="str">
        <f>IF(NOT(ISBLANK(Audit[[#This Row],[Audit Candidate 7]])), Audit[[#This Row],[Audit Candidate 7]]-Audit[[#This Row],[Candidate 7]], "")</f>
        <v/>
      </c>
      <c r="AL880" s="18" t="str">
        <f>IF(NOT(ISBLANK(Audit[[#This Row],[Audit Candidate 8]])), Audit[[#This Row],[Audit Candidate 8]]-Audit[[#This Row],[Candidate 8]], "")</f>
        <v/>
      </c>
      <c r="AM880" s="18" t="str">
        <f>IF(NOT(ISBLANK(Audit[[#This Row],[Audit Candidate 9]])), Audit[[#This Row],[Audit Candidate 9]]-Audit[[#This Row],[Candidate 9]], "")</f>
        <v/>
      </c>
      <c r="AN880" s="18" t="str">
        <f>IF(NOT(ISBLANK(Audit[[#This Row],[Audit Candidate 10]])), Audit[[#This Row],[Audit Candidate 10]]-Audit[[#This Row],[Candidate 10]], "")</f>
        <v/>
      </c>
      <c r="AO880" s="18" t="str">
        <f>IF(NOT(ISBLANK(Audit[[#This Row],[Audit Candidate 11]])), Audit[[#This Row],[Audit Candidate 11]]-Audit[[#This Row],[Candidate 11]], "")</f>
        <v/>
      </c>
      <c r="AP880" s="18" t="str">
        <f>IF(NOT(ISBLANK(Audit[[#This Row],[Audit Candidate 12]])), Audit[[#This Row],[Audit Candidate 12]]-Audit[[#This Row],[Candidate 12]], "")</f>
        <v/>
      </c>
      <c r="AQ880" s="18">
        <f>SUMIF(Audit[[#This Row],[Difference Winner]:[Difference Candidate 12]], "&gt;0")</f>
        <v>0</v>
      </c>
      <c r="AR880" s="18">
        <f>SUM(Audit[[#This Row],[Difference Winner]:[Difference Candidate 12]])</f>
        <v>0</v>
      </c>
      <c r="AS880" s="18">
        <f>IF(Audit[[#This Row],[Times p Drawn - With Replacement]]&gt;0, IF(Audit[[#This Row],[Canceled Differences]]&lt;0, Audit[[#This Row],[Max Differences]]+ABS(Audit[[#This Row],[Canceled Differences]]), Audit[[#This Row],[Max Differences]]), 0)</f>
        <v>0</v>
      </c>
      <c r="AT880" s="18">
        <f>'Sampling Data'!AB880</f>
        <v>3.6121493859346044E-3</v>
      </c>
      <c r="AU880" s="18">
        <f>IF(
      SUM(Audit[[#This Row],[Audit Losing Candidate]:[Audit Candidate 12]])
      &lt;&gt;0,
      (Audit[[#This Row],[Winning Candidate]]-Audit[[#This Row],[Losing Candidate]]-(Audit[[#This Row],[Audit Winning Candidate]]-Audit[[#This Row],[Audit Losing Candidate]]))/(Audit[[#Totals],[Winning Candidate]]-Audit[[#Totals],[Losing Candidate]]),
      0
)</f>
        <v>0</v>
      </c>
      <c r="AV8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8">
        <f>IF(Audit[[#This Row],[Max Relative Error (ep)]] = 0, 0, Audit[[#This Row],[Max Relative Error (ep)]]/Audit[[#This Row],[Error Bound (up) - Max. possible relative overstatement]])</f>
        <v>0</v>
      </c>
      <c r="BH8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0" s="18">
        <f t="shared" si="14"/>
        <v>1</v>
      </c>
      <c r="BJ880" s="18">
        <f>PRODUCT($BI$5:BI880)</f>
        <v>0.32656797278968008</v>
      </c>
      <c r="BK880" s="20">
        <f>1 - Audit[[#This Row],[K-M P Value]]</f>
        <v>0.67343202721031992</v>
      </c>
      <c r="BL880" s="18" t="str">
        <f>IF(Audit[[#This Row],[K-M P Value]]&gt;1-'General Info'!$B$12,"Continue", "Stop")</f>
        <v>Continue</v>
      </c>
      <c r="BM880" s="23" t="b">
        <f>IF(Audit[[#This Row],[Status - Continue or stop audit]] = "Continue", TRUE, IF(BL879 = "Continue", TRUE, FALSE))</f>
        <v>1</v>
      </c>
      <c r="BN880" s="23"/>
    </row>
    <row r="881" spans="1:66" ht="15" hidden="1" customHeight="1" x14ac:dyDescent="0.35">
      <c r="A881" s="18" t="str">
        <f>'Sampling Data'!AI881</f>
        <v/>
      </c>
      <c r="B881" s="18" t="str">
        <f>'Sampling Data'!A881</f>
        <v>5503 AMBER C   (ED)</v>
      </c>
      <c r="C881" s="18">
        <f>'Sampling Data'!B881</f>
        <v>52</v>
      </c>
      <c r="D881" s="18">
        <f>'Sampling Data'!C881</f>
        <v>7</v>
      </c>
      <c r="E881" s="19">
        <f>'Sampling Data'!D881</f>
        <v>0</v>
      </c>
      <c r="F881" s="19">
        <f>'Sampling Data'!E881</f>
        <v>0</v>
      </c>
      <c r="G881" s="19">
        <f>'Sampling Data'!F881</f>
        <v>0</v>
      </c>
      <c r="H881" s="19">
        <f>'Sampling Data'!G881</f>
        <v>0</v>
      </c>
      <c r="I881" s="19">
        <f>'Sampling Data'!H881</f>
        <v>0</v>
      </c>
      <c r="J881" s="19">
        <f>'Sampling Data'!I881</f>
        <v>0</v>
      </c>
      <c r="K881" s="19">
        <f>'Sampling Data'!J881</f>
        <v>0</v>
      </c>
      <c r="L881" s="19">
        <f>'Sampling Data'!K881</f>
        <v>0</v>
      </c>
      <c r="M881" s="19">
        <f>'Sampling Data'!L881</f>
        <v>0</v>
      </c>
      <c r="N881" s="19">
        <f>'Sampling Data'!M881</f>
        <v>0</v>
      </c>
      <c r="O881" s="18">
        <f>'Sampling Data'!N881</f>
        <v>0</v>
      </c>
      <c r="P881" s="18">
        <f>'Sampling Data'!O881</f>
        <v>1</v>
      </c>
      <c r="Q881" s="18">
        <f>'Sampling Data'!P881</f>
        <v>60</v>
      </c>
      <c r="R881" s="18">
        <f>'Sampling Data'!AJ881</f>
        <v>0</v>
      </c>
      <c r="S881" s="112"/>
      <c r="T881" s="112"/>
      <c r="U881" s="113"/>
      <c r="V881" s="113"/>
      <c r="W881" s="112"/>
      <c r="X881" s="112"/>
      <c r="Y881" s="112"/>
      <c r="Z881" s="112"/>
      <c r="AA881" s="15"/>
      <c r="AB881" s="15"/>
      <c r="AC881" s="15"/>
      <c r="AD881" s="15"/>
      <c r="AE881" s="114" t="str">
        <f>IF(NOT(ISBLANK(Audit[[#This Row],[Audit Winning Candidate]])), Audit[[#This Row],[Audit Winning Candidate]]-Audit[[#This Row],[Winning Candidate]], "")</f>
        <v/>
      </c>
      <c r="AF881" s="18" t="str">
        <f>IF(NOT(ISBLANK(Audit[[#This Row],[Audit Losing Candidate]])), Audit[[#This Row],[Audit Losing Candidate]]-Audit[[#This Row],[Losing Candidate]], "")</f>
        <v/>
      </c>
      <c r="AG881" s="18" t="str">
        <f>IF(NOT(ISBLANK(Audit[[#This Row],[Audit Candidate 3]])), Audit[[#This Row],[Audit Candidate 3]]-Audit[[#This Row],[Candidate 3]], "")</f>
        <v/>
      </c>
      <c r="AH881" s="18" t="str">
        <f>IF(NOT(ISBLANK(Audit[[#This Row],[Audit Candidate 4]])),Audit[[#This Row],[Audit Candidate 4]]-Audit[[#This Row],[Candidate 4]], "")</f>
        <v/>
      </c>
      <c r="AI881" s="18" t="str">
        <f>IF(NOT(ISBLANK(Audit[[#This Row],[Audit Candidate 5]])), Audit[[#This Row],[Audit Candidate 5]]-Audit[[#This Row],[Candidate 5]], "")</f>
        <v/>
      </c>
      <c r="AJ881" s="18" t="str">
        <f>IF(NOT(ISBLANK(Audit[[#This Row],[Audit Candidate 6]])), Audit[[#This Row],[Audit Candidate 6]]-Audit[[#This Row],[Candidate 6]], "")</f>
        <v/>
      </c>
      <c r="AK881" s="18" t="str">
        <f>IF(NOT(ISBLANK(Audit[[#This Row],[Audit Candidate 7]])), Audit[[#This Row],[Audit Candidate 7]]-Audit[[#This Row],[Candidate 7]], "")</f>
        <v/>
      </c>
      <c r="AL881" s="18" t="str">
        <f>IF(NOT(ISBLANK(Audit[[#This Row],[Audit Candidate 8]])), Audit[[#This Row],[Audit Candidate 8]]-Audit[[#This Row],[Candidate 8]], "")</f>
        <v/>
      </c>
      <c r="AM881" s="18" t="str">
        <f>IF(NOT(ISBLANK(Audit[[#This Row],[Audit Candidate 9]])), Audit[[#This Row],[Audit Candidate 9]]-Audit[[#This Row],[Candidate 9]], "")</f>
        <v/>
      </c>
      <c r="AN881" s="18" t="str">
        <f>IF(NOT(ISBLANK(Audit[[#This Row],[Audit Candidate 10]])), Audit[[#This Row],[Audit Candidate 10]]-Audit[[#This Row],[Candidate 10]], "")</f>
        <v/>
      </c>
      <c r="AO881" s="18" t="str">
        <f>IF(NOT(ISBLANK(Audit[[#This Row],[Audit Candidate 11]])), Audit[[#This Row],[Audit Candidate 11]]-Audit[[#This Row],[Candidate 11]], "")</f>
        <v/>
      </c>
      <c r="AP881" s="18" t="str">
        <f>IF(NOT(ISBLANK(Audit[[#This Row],[Audit Candidate 12]])), Audit[[#This Row],[Audit Candidate 12]]-Audit[[#This Row],[Candidate 12]], "")</f>
        <v/>
      </c>
      <c r="AQ881" s="18">
        <f>SUMIF(Audit[[#This Row],[Difference Winner]:[Difference Candidate 12]], "&gt;0")</f>
        <v>0</v>
      </c>
      <c r="AR881" s="18">
        <f>SUM(Audit[[#This Row],[Difference Winner]:[Difference Candidate 12]])</f>
        <v>0</v>
      </c>
      <c r="AS881" s="18">
        <f>IF(Audit[[#This Row],[Times p Drawn - With Replacement]]&gt;0, IF(Audit[[#This Row],[Canceled Differences]]&lt;0, Audit[[#This Row],[Max Differences]]+ABS(Audit[[#This Row],[Canceled Differences]]), Audit[[#This Row],[Max Differences]]), 0)</f>
        <v>0</v>
      </c>
      <c r="AT881" s="18">
        <f>'Sampling Data'!AB881</f>
        <v>3.2980494393315954E-3</v>
      </c>
      <c r="AU881" s="18">
        <f>IF(
      SUM(Audit[[#This Row],[Audit Losing Candidate]:[Audit Candidate 12]])
      &lt;&gt;0,
      (Audit[[#This Row],[Winning Candidate]]-Audit[[#This Row],[Losing Candidate]]-(Audit[[#This Row],[Audit Winning Candidate]]-Audit[[#This Row],[Audit Losing Candidate]]))/(Audit[[#Totals],[Winning Candidate]]-Audit[[#Totals],[Losing Candidate]]),
      0
)</f>
        <v>0</v>
      </c>
      <c r="AV8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8">
        <f>IF(Audit[[#This Row],[Max Relative Error (ep)]] = 0, 0, Audit[[#This Row],[Max Relative Error (ep)]]/Audit[[#This Row],[Error Bound (up) - Max. possible relative overstatement]])</f>
        <v>0</v>
      </c>
      <c r="BH8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1" s="18">
        <f t="shared" si="14"/>
        <v>1</v>
      </c>
      <c r="BJ881" s="18">
        <f>PRODUCT($BI$5:BI881)</f>
        <v>0.32656797278968008</v>
      </c>
      <c r="BK881" s="20">
        <f>1 - Audit[[#This Row],[K-M P Value]]</f>
        <v>0.67343202721031992</v>
      </c>
      <c r="BL881" s="18" t="str">
        <f>IF(Audit[[#This Row],[K-M P Value]]&gt;1-'General Info'!$B$12,"Continue", "Stop")</f>
        <v>Continue</v>
      </c>
      <c r="BM881" s="23" t="b">
        <f>IF(Audit[[#This Row],[Status - Continue or stop audit]] = "Continue", TRUE, IF(BL880 = "Continue", TRUE, FALSE))</f>
        <v>1</v>
      </c>
      <c r="BN881" s="23"/>
    </row>
    <row r="882" spans="1:66" ht="15" hidden="1" customHeight="1" x14ac:dyDescent="0.35">
      <c r="A882" s="18" t="str">
        <f>'Sampling Data'!AI882</f>
        <v/>
      </c>
      <c r="B882" s="18" t="str">
        <f>'Sampling Data'!A882</f>
        <v>5504 AMBER D   (ED)</v>
      </c>
      <c r="C882" s="18">
        <f>'Sampling Data'!B882</f>
        <v>67</v>
      </c>
      <c r="D882" s="18">
        <f>'Sampling Data'!C882</f>
        <v>8</v>
      </c>
      <c r="E882" s="19">
        <f>'Sampling Data'!D882</f>
        <v>0</v>
      </c>
      <c r="F882" s="19">
        <f>'Sampling Data'!E882</f>
        <v>0</v>
      </c>
      <c r="G882" s="19">
        <f>'Sampling Data'!F882</f>
        <v>0</v>
      </c>
      <c r="H882" s="19">
        <f>'Sampling Data'!G882</f>
        <v>0</v>
      </c>
      <c r="I882" s="19">
        <f>'Sampling Data'!H882</f>
        <v>0</v>
      </c>
      <c r="J882" s="19">
        <f>'Sampling Data'!I882</f>
        <v>0</v>
      </c>
      <c r="K882" s="19">
        <f>'Sampling Data'!J882</f>
        <v>0</v>
      </c>
      <c r="L882" s="19">
        <f>'Sampling Data'!K882</f>
        <v>0</v>
      </c>
      <c r="M882" s="19">
        <f>'Sampling Data'!L882</f>
        <v>0</v>
      </c>
      <c r="N882" s="19">
        <f>'Sampling Data'!M882</f>
        <v>0</v>
      </c>
      <c r="O882" s="18">
        <f>'Sampling Data'!N882</f>
        <v>0</v>
      </c>
      <c r="P882" s="18">
        <f>'Sampling Data'!O882</f>
        <v>0</v>
      </c>
      <c r="Q882" s="18">
        <f>'Sampling Data'!P882</f>
        <v>75</v>
      </c>
      <c r="R882" s="18">
        <f>'Sampling Data'!AJ882</f>
        <v>0</v>
      </c>
      <c r="S882" s="112"/>
      <c r="T882" s="112"/>
      <c r="U882" s="113"/>
      <c r="V882" s="113"/>
      <c r="W882" s="112"/>
      <c r="X882" s="112"/>
      <c r="Y882" s="112"/>
      <c r="Z882" s="112"/>
      <c r="AA882" s="15"/>
      <c r="AB882" s="15"/>
      <c r="AC882" s="15"/>
      <c r="AD882" s="15"/>
      <c r="AE882" s="114" t="str">
        <f>IF(NOT(ISBLANK(Audit[[#This Row],[Audit Winning Candidate]])), Audit[[#This Row],[Audit Winning Candidate]]-Audit[[#This Row],[Winning Candidate]], "")</f>
        <v/>
      </c>
      <c r="AF882" s="18" t="str">
        <f>IF(NOT(ISBLANK(Audit[[#This Row],[Audit Losing Candidate]])), Audit[[#This Row],[Audit Losing Candidate]]-Audit[[#This Row],[Losing Candidate]], "")</f>
        <v/>
      </c>
      <c r="AG882" s="18" t="str">
        <f>IF(NOT(ISBLANK(Audit[[#This Row],[Audit Candidate 3]])), Audit[[#This Row],[Audit Candidate 3]]-Audit[[#This Row],[Candidate 3]], "")</f>
        <v/>
      </c>
      <c r="AH882" s="18" t="str">
        <f>IF(NOT(ISBLANK(Audit[[#This Row],[Audit Candidate 4]])),Audit[[#This Row],[Audit Candidate 4]]-Audit[[#This Row],[Candidate 4]], "")</f>
        <v/>
      </c>
      <c r="AI882" s="18" t="str">
        <f>IF(NOT(ISBLANK(Audit[[#This Row],[Audit Candidate 5]])), Audit[[#This Row],[Audit Candidate 5]]-Audit[[#This Row],[Candidate 5]], "")</f>
        <v/>
      </c>
      <c r="AJ882" s="18" t="str">
        <f>IF(NOT(ISBLANK(Audit[[#This Row],[Audit Candidate 6]])), Audit[[#This Row],[Audit Candidate 6]]-Audit[[#This Row],[Candidate 6]], "")</f>
        <v/>
      </c>
      <c r="AK882" s="18" t="str">
        <f>IF(NOT(ISBLANK(Audit[[#This Row],[Audit Candidate 7]])), Audit[[#This Row],[Audit Candidate 7]]-Audit[[#This Row],[Candidate 7]], "")</f>
        <v/>
      </c>
      <c r="AL882" s="18" t="str">
        <f>IF(NOT(ISBLANK(Audit[[#This Row],[Audit Candidate 8]])), Audit[[#This Row],[Audit Candidate 8]]-Audit[[#This Row],[Candidate 8]], "")</f>
        <v/>
      </c>
      <c r="AM882" s="18" t="str">
        <f>IF(NOT(ISBLANK(Audit[[#This Row],[Audit Candidate 9]])), Audit[[#This Row],[Audit Candidate 9]]-Audit[[#This Row],[Candidate 9]], "")</f>
        <v/>
      </c>
      <c r="AN882" s="18" t="str">
        <f>IF(NOT(ISBLANK(Audit[[#This Row],[Audit Candidate 10]])), Audit[[#This Row],[Audit Candidate 10]]-Audit[[#This Row],[Candidate 10]], "")</f>
        <v/>
      </c>
      <c r="AO882" s="18" t="str">
        <f>IF(NOT(ISBLANK(Audit[[#This Row],[Audit Candidate 11]])), Audit[[#This Row],[Audit Candidate 11]]-Audit[[#This Row],[Candidate 11]], "")</f>
        <v/>
      </c>
      <c r="AP882" s="18" t="str">
        <f>IF(NOT(ISBLANK(Audit[[#This Row],[Audit Candidate 12]])), Audit[[#This Row],[Audit Candidate 12]]-Audit[[#This Row],[Candidate 12]], "")</f>
        <v/>
      </c>
      <c r="AQ882" s="18">
        <f>SUMIF(Audit[[#This Row],[Difference Winner]:[Difference Candidate 12]], "&gt;0")</f>
        <v>0</v>
      </c>
      <c r="AR882" s="18">
        <f>SUM(Audit[[#This Row],[Difference Winner]:[Difference Candidate 12]])</f>
        <v>0</v>
      </c>
      <c r="AS882" s="18">
        <f>IF(Audit[[#This Row],[Times p Drawn - With Replacement]]&gt;0, IF(Audit[[#This Row],[Canceled Differences]]&lt;0, Audit[[#This Row],[Max Differences]]+ABS(Audit[[#This Row],[Canceled Differences]]), Audit[[#This Row],[Max Differences]]), 0)</f>
        <v>0</v>
      </c>
      <c r="AT882" s="18">
        <f>'Sampling Data'!AB882</f>
        <v>4.2089392844803213E-3</v>
      </c>
      <c r="AU882" s="18">
        <f>IF(
      SUM(Audit[[#This Row],[Audit Losing Candidate]:[Audit Candidate 12]])
      &lt;&gt;0,
      (Audit[[#This Row],[Winning Candidate]]-Audit[[#This Row],[Losing Candidate]]-(Audit[[#This Row],[Audit Winning Candidate]]-Audit[[#This Row],[Audit Losing Candidate]]))/(Audit[[#Totals],[Winning Candidate]]-Audit[[#Totals],[Losing Candidate]]),
      0
)</f>
        <v>0</v>
      </c>
      <c r="AV8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8">
        <f>IF(Audit[[#This Row],[Max Relative Error (ep)]] = 0, 0, Audit[[#This Row],[Max Relative Error (ep)]]/Audit[[#This Row],[Error Bound (up) - Max. possible relative overstatement]])</f>
        <v>0</v>
      </c>
      <c r="BH8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2" s="18">
        <f t="shared" si="14"/>
        <v>1</v>
      </c>
      <c r="BJ882" s="18">
        <f>PRODUCT($BI$5:BI882)</f>
        <v>0.32656797278968008</v>
      </c>
      <c r="BK882" s="20">
        <f>1 - Audit[[#This Row],[K-M P Value]]</f>
        <v>0.67343202721031992</v>
      </c>
      <c r="BL882" s="18" t="str">
        <f>IF(Audit[[#This Row],[K-M P Value]]&gt;1-'General Info'!$B$12,"Continue", "Stop")</f>
        <v>Continue</v>
      </c>
      <c r="BM882" s="23" t="b">
        <f>IF(Audit[[#This Row],[Status - Continue or stop audit]] = "Continue", TRUE, IF(BL881 = "Continue", TRUE, FALSE))</f>
        <v>1</v>
      </c>
      <c r="BN882" s="23"/>
    </row>
    <row r="883" spans="1:66" ht="15" hidden="1" customHeight="1" x14ac:dyDescent="0.35">
      <c r="A883" s="18" t="str">
        <f>'Sampling Data'!AI883</f>
        <v/>
      </c>
      <c r="B883" s="18" t="str">
        <f>'Sampling Data'!A883</f>
        <v>5601 AND A   (ED)</v>
      </c>
      <c r="C883" s="18">
        <f>'Sampling Data'!B883</f>
        <v>81</v>
      </c>
      <c r="D883" s="18">
        <f>'Sampling Data'!C883</f>
        <v>7</v>
      </c>
      <c r="E883" s="19">
        <f>'Sampling Data'!D883</f>
        <v>0</v>
      </c>
      <c r="F883" s="19">
        <f>'Sampling Data'!E883</f>
        <v>0</v>
      </c>
      <c r="G883" s="19">
        <f>'Sampling Data'!F883</f>
        <v>0</v>
      </c>
      <c r="H883" s="19">
        <f>'Sampling Data'!G883</f>
        <v>0</v>
      </c>
      <c r="I883" s="19">
        <f>'Sampling Data'!H883</f>
        <v>0</v>
      </c>
      <c r="J883" s="19">
        <f>'Sampling Data'!I883</f>
        <v>0</v>
      </c>
      <c r="K883" s="19">
        <f>'Sampling Data'!J883</f>
        <v>0</v>
      </c>
      <c r="L883" s="19">
        <f>'Sampling Data'!K883</f>
        <v>0</v>
      </c>
      <c r="M883" s="19">
        <f>'Sampling Data'!L883</f>
        <v>0</v>
      </c>
      <c r="N883" s="19">
        <f>'Sampling Data'!M883</f>
        <v>0</v>
      </c>
      <c r="O883" s="18">
        <f>'Sampling Data'!N883</f>
        <v>0</v>
      </c>
      <c r="P883" s="18">
        <f>'Sampling Data'!O883</f>
        <v>2</v>
      </c>
      <c r="Q883" s="18">
        <f>'Sampling Data'!P883</f>
        <v>90</v>
      </c>
      <c r="R883" s="18">
        <f>'Sampling Data'!AJ883</f>
        <v>0</v>
      </c>
      <c r="S883" s="112"/>
      <c r="T883" s="112"/>
      <c r="U883" s="113"/>
      <c r="V883" s="113"/>
      <c r="W883" s="112"/>
      <c r="X883" s="112"/>
      <c r="Y883" s="112"/>
      <c r="Z883" s="112"/>
      <c r="AA883" s="15"/>
      <c r="AB883" s="15"/>
      <c r="AC883" s="15"/>
      <c r="AD883" s="15"/>
      <c r="AE883" s="114" t="str">
        <f>IF(NOT(ISBLANK(Audit[[#This Row],[Audit Winning Candidate]])), Audit[[#This Row],[Audit Winning Candidate]]-Audit[[#This Row],[Winning Candidate]], "")</f>
        <v/>
      </c>
      <c r="AF883" s="18" t="str">
        <f>IF(NOT(ISBLANK(Audit[[#This Row],[Audit Losing Candidate]])), Audit[[#This Row],[Audit Losing Candidate]]-Audit[[#This Row],[Losing Candidate]], "")</f>
        <v/>
      </c>
      <c r="AG883" s="18" t="str">
        <f>IF(NOT(ISBLANK(Audit[[#This Row],[Audit Candidate 3]])), Audit[[#This Row],[Audit Candidate 3]]-Audit[[#This Row],[Candidate 3]], "")</f>
        <v/>
      </c>
      <c r="AH883" s="18" t="str">
        <f>IF(NOT(ISBLANK(Audit[[#This Row],[Audit Candidate 4]])),Audit[[#This Row],[Audit Candidate 4]]-Audit[[#This Row],[Candidate 4]], "")</f>
        <v/>
      </c>
      <c r="AI883" s="18" t="str">
        <f>IF(NOT(ISBLANK(Audit[[#This Row],[Audit Candidate 5]])), Audit[[#This Row],[Audit Candidate 5]]-Audit[[#This Row],[Candidate 5]], "")</f>
        <v/>
      </c>
      <c r="AJ883" s="18" t="str">
        <f>IF(NOT(ISBLANK(Audit[[#This Row],[Audit Candidate 6]])), Audit[[#This Row],[Audit Candidate 6]]-Audit[[#This Row],[Candidate 6]], "")</f>
        <v/>
      </c>
      <c r="AK883" s="18" t="str">
        <f>IF(NOT(ISBLANK(Audit[[#This Row],[Audit Candidate 7]])), Audit[[#This Row],[Audit Candidate 7]]-Audit[[#This Row],[Candidate 7]], "")</f>
        <v/>
      </c>
      <c r="AL883" s="18" t="str">
        <f>IF(NOT(ISBLANK(Audit[[#This Row],[Audit Candidate 8]])), Audit[[#This Row],[Audit Candidate 8]]-Audit[[#This Row],[Candidate 8]], "")</f>
        <v/>
      </c>
      <c r="AM883" s="18" t="str">
        <f>IF(NOT(ISBLANK(Audit[[#This Row],[Audit Candidate 9]])), Audit[[#This Row],[Audit Candidate 9]]-Audit[[#This Row],[Candidate 9]], "")</f>
        <v/>
      </c>
      <c r="AN883" s="18" t="str">
        <f>IF(NOT(ISBLANK(Audit[[#This Row],[Audit Candidate 10]])), Audit[[#This Row],[Audit Candidate 10]]-Audit[[#This Row],[Candidate 10]], "")</f>
        <v/>
      </c>
      <c r="AO883" s="18" t="str">
        <f>IF(NOT(ISBLANK(Audit[[#This Row],[Audit Candidate 11]])), Audit[[#This Row],[Audit Candidate 11]]-Audit[[#This Row],[Candidate 11]], "")</f>
        <v/>
      </c>
      <c r="AP883" s="18" t="str">
        <f>IF(NOT(ISBLANK(Audit[[#This Row],[Audit Candidate 12]])), Audit[[#This Row],[Audit Candidate 12]]-Audit[[#This Row],[Candidate 12]], "")</f>
        <v/>
      </c>
      <c r="AQ883" s="18">
        <f>SUMIF(Audit[[#This Row],[Difference Winner]:[Difference Candidate 12]], "&gt;0")</f>
        <v>0</v>
      </c>
      <c r="AR883" s="18">
        <f>SUM(Audit[[#This Row],[Difference Winner]:[Difference Candidate 12]])</f>
        <v>0</v>
      </c>
      <c r="AS883" s="18">
        <f>IF(Audit[[#This Row],[Times p Drawn - With Replacement]]&gt;0, IF(Audit[[#This Row],[Canceled Differences]]&lt;0, Audit[[#This Row],[Max Differences]]+ABS(Audit[[#This Row],[Canceled Differences]]), Audit[[#This Row],[Max Differences]]), 0)</f>
        <v>0</v>
      </c>
      <c r="AT883" s="18">
        <f>'Sampling Data'!AB883</f>
        <v>5.1512391242893489E-3</v>
      </c>
      <c r="AU883" s="18">
        <f>IF(
      SUM(Audit[[#This Row],[Audit Losing Candidate]:[Audit Candidate 12]])
      &lt;&gt;0,
      (Audit[[#This Row],[Winning Candidate]]-Audit[[#This Row],[Losing Candidate]]-(Audit[[#This Row],[Audit Winning Candidate]]-Audit[[#This Row],[Audit Losing Candidate]]))/(Audit[[#Totals],[Winning Candidate]]-Audit[[#Totals],[Losing Candidate]]),
      0
)</f>
        <v>0</v>
      </c>
      <c r="AV8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8">
        <f>IF(Audit[[#This Row],[Max Relative Error (ep)]] = 0, 0, Audit[[#This Row],[Max Relative Error (ep)]]/Audit[[#This Row],[Error Bound (up) - Max. possible relative overstatement]])</f>
        <v>0</v>
      </c>
      <c r="BH8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3" s="18">
        <f t="shared" si="14"/>
        <v>1</v>
      </c>
      <c r="BJ883" s="18">
        <f>PRODUCT($BI$5:BI883)</f>
        <v>0.32656797278968008</v>
      </c>
      <c r="BK883" s="20">
        <f>1 - Audit[[#This Row],[K-M P Value]]</f>
        <v>0.67343202721031992</v>
      </c>
      <c r="BL883" s="18" t="str">
        <f>IF(Audit[[#This Row],[K-M P Value]]&gt;1-'General Info'!$B$12,"Continue", "Stop")</f>
        <v>Continue</v>
      </c>
      <c r="BM883" s="23" t="b">
        <f>IF(Audit[[#This Row],[Status - Continue or stop audit]] = "Continue", TRUE, IF(BL882 = "Continue", TRUE, FALSE))</f>
        <v>1</v>
      </c>
      <c r="BN883" s="23"/>
    </row>
    <row r="884" spans="1:66" ht="15" hidden="1" customHeight="1" x14ac:dyDescent="0.35">
      <c r="A884" s="18" t="str">
        <f>'Sampling Data'!AI884</f>
        <v/>
      </c>
      <c r="B884" s="18" t="str">
        <f>'Sampling Data'!A884</f>
        <v>5602 AND B   (ED)</v>
      </c>
      <c r="C884" s="18">
        <f>'Sampling Data'!B884</f>
        <v>92</v>
      </c>
      <c r="D884" s="18">
        <f>'Sampling Data'!C884</f>
        <v>10</v>
      </c>
      <c r="E884" s="19">
        <f>'Sampling Data'!D884</f>
        <v>0</v>
      </c>
      <c r="F884" s="19">
        <f>'Sampling Data'!E884</f>
        <v>0</v>
      </c>
      <c r="G884" s="19">
        <f>'Sampling Data'!F884</f>
        <v>0</v>
      </c>
      <c r="H884" s="19">
        <f>'Sampling Data'!G884</f>
        <v>0</v>
      </c>
      <c r="I884" s="19">
        <f>'Sampling Data'!H884</f>
        <v>0</v>
      </c>
      <c r="J884" s="19">
        <f>'Sampling Data'!I884</f>
        <v>0</v>
      </c>
      <c r="K884" s="19">
        <f>'Sampling Data'!J884</f>
        <v>0</v>
      </c>
      <c r="L884" s="19">
        <f>'Sampling Data'!K884</f>
        <v>0</v>
      </c>
      <c r="M884" s="19">
        <f>'Sampling Data'!L884</f>
        <v>0</v>
      </c>
      <c r="N884" s="19">
        <f>'Sampling Data'!M884</f>
        <v>0</v>
      </c>
      <c r="O884" s="18">
        <f>'Sampling Data'!N884</f>
        <v>0</v>
      </c>
      <c r="P884" s="18">
        <f>'Sampling Data'!O884</f>
        <v>0</v>
      </c>
      <c r="Q884" s="18">
        <f>'Sampling Data'!P884</f>
        <v>102</v>
      </c>
      <c r="R884" s="18">
        <f>'Sampling Data'!AJ884</f>
        <v>0</v>
      </c>
      <c r="S884" s="112"/>
      <c r="T884" s="112"/>
      <c r="U884" s="113"/>
      <c r="V884" s="113"/>
      <c r="W884" s="112"/>
      <c r="X884" s="112"/>
      <c r="Y884" s="112"/>
      <c r="Z884" s="112"/>
      <c r="AA884" s="15"/>
      <c r="AB884" s="15"/>
      <c r="AC884" s="15"/>
      <c r="AD884" s="15"/>
      <c r="AE884" s="114" t="str">
        <f>IF(NOT(ISBLANK(Audit[[#This Row],[Audit Winning Candidate]])), Audit[[#This Row],[Audit Winning Candidate]]-Audit[[#This Row],[Winning Candidate]], "")</f>
        <v/>
      </c>
      <c r="AF884" s="18" t="str">
        <f>IF(NOT(ISBLANK(Audit[[#This Row],[Audit Losing Candidate]])), Audit[[#This Row],[Audit Losing Candidate]]-Audit[[#This Row],[Losing Candidate]], "")</f>
        <v/>
      </c>
      <c r="AG884" s="18" t="str">
        <f>IF(NOT(ISBLANK(Audit[[#This Row],[Audit Candidate 3]])), Audit[[#This Row],[Audit Candidate 3]]-Audit[[#This Row],[Candidate 3]], "")</f>
        <v/>
      </c>
      <c r="AH884" s="18" t="str">
        <f>IF(NOT(ISBLANK(Audit[[#This Row],[Audit Candidate 4]])),Audit[[#This Row],[Audit Candidate 4]]-Audit[[#This Row],[Candidate 4]], "")</f>
        <v/>
      </c>
      <c r="AI884" s="18" t="str">
        <f>IF(NOT(ISBLANK(Audit[[#This Row],[Audit Candidate 5]])), Audit[[#This Row],[Audit Candidate 5]]-Audit[[#This Row],[Candidate 5]], "")</f>
        <v/>
      </c>
      <c r="AJ884" s="18" t="str">
        <f>IF(NOT(ISBLANK(Audit[[#This Row],[Audit Candidate 6]])), Audit[[#This Row],[Audit Candidate 6]]-Audit[[#This Row],[Candidate 6]], "")</f>
        <v/>
      </c>
      <c r="AK884" s="18" t="str">
        <f>IF(NOT(ISBLANK(Audit[[#This Row],[Audit Candidate 7]])), Audit[[#This Row],[Audit Candidate 7]]-Audit[[#This Row],[Candidate 7]], "")</f>
        <v/>
      </c>
      <c r="AL884" s="18" t="str">
        <f>IF(NOT(ISBLANK(Audit[[#This Row],[Audit Candidate 8]])), Audit[[#This Row],[Audit Candidate 8]]-Audit[[#This Row],[Candidate 8]], "")</f>
        <v/>
      </c>
      <c r="AM884" s="18" t="str">
        <f>IF(NOT(ISBLANK(Audit[[#This Row],[Audit Candidate 9]])), Audit[[#This Row],[Audit Candidate 9]]-Audit[[#This Row],[Candidate 9]], "")</f>
        <v/>
      </c>
      <c r="AN884" s="18" t="str">
        <f>IF(NOT(ISBLANK(Audit[[#This Row],[Audit Candidate 10]])), Audit[[#This Row],[Audit Candidate 10]]-Audit[[#This Row],[Candidate 10]], "")</f>
        <v/>
      </c>
      <c r="AO884" s="18" t="str">
        <f>IF(NOT(ISBLANK(Audit[[#This Row],[Audit Candidate 11]])), Audit[[#This Row],[Audit Candidate 11]]-Audit[[#This Row],[Candidate 11]], "")</f>
        <v/>
      </c>
      <c r="AP884" s="18" t="str">
        <f>IF(NOT(ISBLANK(Audit[[#This Row],[Audit Candidate 12]])), Audit[[#This Row],[Audit Candidate 12]]-Audit[[#This Row],[Candidate 12]], "")</f>
        <v/>
      </c>
      <c r="AQ884" s="18">
        <f>SUMIF(Audit[[#This Row],[Difference Winner]:[Difference Candidate 12]], "&gt;0")</f>
        <v>0</v>
      </c>
      <c r="AR884" s="18">
        <f>SUM(Audit[[#This Row],[Difference Winner]:[Difference Candidate 12]])</f>
        <v>0</v>
      </c>
      <c r="AS884" s="18">
        <f>IF(Audit[[#This Row],[Times p Drawn - With Replacement]]&gt;0, IF(Audit[[#This Row],[Canceled Differences]]&lt;0, Audit[[#This Row],[Max Differences]]+ABS(Audit[[#This Row],[Canceled Differences]]), Audit[[#This Row],[Max Differences]]), 0)</f>
        <v>0</v>
      </c>
      <c r="AT884" s="18">
        <f>'Sampling Data'!AB884</f>
        <v>5.7794390174953671E-3</v>
      </c>
      <c r="AU884" s="18">
        <f>IF(
      SUM(Audit[[#This Row],[Audit Losing Candidate]:[Audit Candidate 12]])
      &lt;&gt;0,
      (Audit[[#This Row],[Winning Candidate]]-Audit[[#This Row],[Losing Candidate]]-(Audit[[#This Row],[Audit Winning Candidate]]-Audit[[#This Row],[Audit Losing Candidate]]))/(Audit[[#Totals],[Winning Candidate]]-Audit[[#Totals],[Losing Candidate]]),
      0
)</f>
        <v>0</v>
      </c>
      <c r="AV8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8">
        <f>IF(Audit[[#This Row],[Max Relative Error (ep)]] = 0, 0, Audit[[#This Row],[Max Relative Error (ep)]]/Audit[[#This Row],[Error Bound (up) - Max. possible relative overstatement]])</f>
        <v>0</v>
      </c>
      <c r="BH8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4" s="18">
        <f t="shared" si="14"/>
        <v>1</v>
      </c>
      <c r="BJ884" s="18">
        <f>PRODUCT($BI$5:BI884)</f>
        <v>0.32656797278968008</v>
      </c>
      <c r="BK884" s="20">
        <f>1 - Audit[[#This Row],[K-M P Value]]</f>
        <v>0.67343202721031992</v>
      </c>
      <c r="BL884" s="18" t="str">
        <f>IF(Audit[[#This Row],[K-M P Value]]&gt;1-'General Info'!$B$12,"Continue", "Stop")</f>
        <v>Continue</v>
      </c>
      <c r="BM884" s="23" t="b">
        <f>IF(Audit[[#This Row],[Status - Continue or stop audit]] = "Continue", TRUE, IF(BL883 = "Continue", TRUE, FALSE))</f>
        <v>1</v>
      </c>
      <c r="BN884" s="23"/>
    </row>
    <row r="885" spans="1:66" ht="15" hidden="1" customHeight="1" x14ac:dyDescent="0.35">
      <c r="A885" s="18" t="str">
        <f>'Sampling Data'!AI885</f>
        <v/>
      </c>
      <c r="B885" s="18" t="str">
        <f>'Sampling Data'!A885</f>
        <v>5603 AND C   (ED)</v>
      </c>
      <c r="C885" s="18">
        <f>'Sampling Data'!B885</f>
        <v>94</v>
      </c>
      <c r="D885" s="18">
        <f>'Sampling Data'!C885</f>
        <v>6</v>
      </c>
      <c r="E885" s="19">
        <f>'Sampling Data'!D885</f>
        <v>0</v>
      </c>
      <c r="F885" s="19">
        <f>'Sampling Data'!E885</f>
        <v>0</v>
      </c>
      <c r="G885" s="19">
        <f>'Sampling Data'!F885</f>
        <v>0</v>
      </c>
      <c r="H885" s="19">
        <f>'Sampling Data'!G885</f>
        <v>0</v>
      </c>
      <c r="I885" s="19">
        <f>'Sampling Data'!H885</f>
        <v>0</v>
      </c>
      <c r="J885" s="19">
        <f>'Sampling Data'!I885</f>
        <v>0</v>
      </c>
      <c r="K885" s="19">
        <f>'Sampling Data'!J885</f>
        <v>0</v>
      </c>
      <c r="L885" s="19">
        <f>'Sampling Data'!K885</f>
        <v>0</v>
      </c>
      <c r="M885" s="19">
        <f>'Sampling Data'!L885</f>
        <v>0</v>
      </c>
      <c r="N885" s="19">
        <f>'Sampling Data'!M885</f>
        <v>0</v>
      </c>
      <c r="O885" s="18">
        <f>'Sampling Data'!N885</f>
        <v>1</v>
      </c>
      <c r="P885" s="18">
        <f>'Sampling Data'!O885</f>
        <v>1</v>
      </c>
      <c r="Q885" s="18">
        <f>'Sampling Data'!P885</f>
        <v>102</v>
      </c>
      <c r="R885" s="18">
        <f>'Sampling Data'!AJ885</f>
        <v>0</v>
      </c>
      <c r="S885" s="112"/>
      <c r="T885" s="112"/>
      <c r="U885" s="113"/>
      <c r="V885" s="113"/>
      <c r="W885" s="112"/>
      <c r="X885" s="112"/>
      <c r="Y885" s="112"/>
      <c r="Z885" s="112"/>
      <c r="AA885" s="15"/>
      <c r="AB885" s="15"/>
      <c r="AC885" s="15"/>
      <c r="AD885" s="15"/>
      <c r="AE885" s="114" t="str">
        <f>IF(NOT(ISBLANK(Audit[[#This Row],[Audit Winning Candidate]])), Audit[[#This Row],[Audit Winning Candidate]]-Audit[[#This Row],[Winning Candidate]], "")</f>
        <v/>
      </c>
      <c r="AF885" s="18" t="str">
        <f>IF(NOT(ISBLANK(Audit[[#This Row],[Audit Losing Candidate]])), Audit[[#This Row],[Audit Losing Candidate]]-Audit[[#This Row],[Losing Candidate]], "")</f>
        <v/>
      </c>
      <c r="AG885" s="18" t="str">
        <f>IF(NOT(ISBLANK(Audit[[#This Row],[Audit Candidate 3]])), Audit[[#This Row],[Audit Candidate 3]]-Audit[[#This Row],[Candidate 3]], "")</f>
        <v/>
      </c>
      <c r="AH885" s="18" t="str">
        <f>IF(NOT(ISBLANK(Audit[[#This Row],[Audit Candidate 4]])),Audit[[#This Row],[Audit Candidate 4]]-Audit[[#This Row],[Candidate 4]], "")</f>
        <v/>
      </c>
      <c r="AI885" s="18" t="str">
        <f>IF(NOT(ISBLANK(Audit[[#This Row],[Audit Candidate 5]])), Audit[[#This Row],[Audit Candidate 5]]-Audit[[#This Row],[Candidate 5]], "")</f>
        <v/>
      </c>
      <c r="AJ885" s="18" t="str">
        <f>IF(NOT(ISBLANK(Audit[[#This Row],[Audit Candidate 6]])), Audit[[#This Row],[Audit Candidate 6]]-Audit[[#This Row],[Candidate 6]], "")</f>
        <v/>
      </c>
      <c r="AK885" s="18" t="str">
        <f>IF(NOT(ISBLANK(Audit[[#This Row],[Audit Candidate 7]])), Audit[[#This Row],[Audit Candidate 7]]-Audit[[#This Row],[Candidate 7]], "")</f>
        <v/>
      </c>
      <c r="AL885" s="18" t="str">
        <f>IF(NOT(ISBLANK(Audit[[#This Row],[Audit Candidate 8]])), Audit[[#This Row],[Audit Candidate 8]]-Audit[[#This Row],[Candidate 8]], "")</f>
        <v/>
      </c>
      <c r="AM885" s="18" t="str">
        <f>IF(NOT(ISBLANK(Audit[[#This Row],[Audit Candidate 9]])), Audit[[#This Row],[Audit Candidate 9]]-Audit[[#This Row],[Candidate 9]], "")</f>
        <v/>
      </c>
      <c r="AN885" s="18" t="str">
        <f>IF(NOT(ISBLANK(Audit[[#This Row],[Audit Candidate 10]])), Audit[[#This Row],[Audit Candidate 10]]-Audit[[#This Row],[Candidate 10]], "")</f>
        <v/>
      </c>
      <c r="AO885" s="18" t="str">
        <f>IF(NOT(ISBLANK(Audit[[#This Row],[Audit Candidate 11]])), Audit[[#This Row],[Audit Candidate 11]]-Audit[[#This Row],[Candidate 11]], "")</f>
        <v/>
      </c>
      <c r="AP885" s="18" t="str">
        <f>IF(NOT(ISBLANK(Audit[[#This Row],[Audit Candidate 12]])), Audit[[#This Row],[Audit Candidate 12]]-Audit[[#This Row],[Candidate 12]], "")</f>
        <v/>
      </c>
      <c r="AQ885" s="18">
        <f>SUMIF(Audit[[#This Row],[Difference Winner]:[Difference Candidate 12]], "&gt;0")</f>
        <v>0</v>
      </c>
      <c r="AR885" s="18">
        <f>SUM(Audit[[#This Row],[Difference Winner]:[Difference Candidate 12]])</f>
        <v>0</v>
      </c>
      <c r="AS885" s="18">
        <f>IF(Audit[[#This Row],[Times p Drawn - With Replacement]]&gt;0, IF(Audit[[#This Row],[Canceled Differences]]&lt;0, Audit[[#This Row],[Max Differences]]+ABS(Audit[[#This Row],[Canceled Differences]]), Audit[[#This Row],[Max Differences]]), 0)</f>
        <v>0</v>
      </c>
      <c r="AT885" s="18">
        <f>'Sampling Data'!AB885</f>
        <v>5.9678989854571726E-3</v>
      </c>
      <c r="AU885" s="18">
        <f>IF(
      SUM(Audit[[#This Row],[Audit Losing Candidate]:[Audit Candidate 12]])
      &lt;&gt;0,
      (Audit[[#This Row],[Winning Candidate]]-Audit[[#This Row],[Losing Candidate]]-(Audit[[#This Row],[Audit Winning Candidate]]-Audit[[#This Row],[Audit Losing Candidate]]))/(Audit[[#Totals],[Winning Candidate]]-Audit[[#Totals],[Losing Candidate]]),
      0
)</f>
        <v>0</v>
      </c>
      <c r="AV8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8">
        <f>IF(Audit[[#This Row],[Max Relative Error (ep)]] = 0, 0, Audit[[#This Row],[Max Relative Error (ep)]]/Audit[[#This Row],[Error Bound (up) - Max. possible relative overstatement]])</f>
        <v>0</v>
      </c>
      <c r="BH8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5" s="18">
        <f t="shared" si="14"/>
        <v>1</v>
      </c>
      <c r="BJ885" s="18">
        <f>PRODUCT($BI$5:BI885)</f>
        <v>0.32656797278968008</v>
      </c>
      <c r="BK885" s="20">
        <f>1 - Audit[[#This Row],[K-M P Value]]</f>
        <v>0.67343202721031992</v>
      </c>
      <c r="BL885" s="18" t="str">
        <f>IF(Audit[[#This Row],[K-M P Value]]&gt;1-'General Info'!$B$12,"Continue", "Stop")</f>
        <v>Continue</v>
      </c>
      <c r="BM885" s="23" t="b">
        <f>IF(Audit[[#This Row],[Status - Continue or stop audit]] = "Continue", TRUE, IF(BL884 = "Continue", TRUE, FALSE))</f>
        <v>1</v>
      </c>
      <c r="BN885" s="23"/>
    </row>
    <row r="886" spans="1:66" ht="15" hidden="1" customHeight="1" x14ac:dyDescent="0.35">
      <c r="A886" s="18" t="str">
        <f>'Sampling Data'!AI886</f>
        <v/>
      </c>
      <c r="B886" s="18" t="str">
        <f>'Sampling Data'!A886</f>
        <v>5604 AND D   (ED)</v>
      </c>
      <c r="C886" s="18">
        <f>'Sampling Data'!B886</f>
        <v>161</v>
      </c>
      <c r="D886" s="18">
        <f>'Sampling Data'!C886</f>
        <v>11</v>
      </c>
      <c r="E886" s="19">
        <f>'Sampling Data'!D886</f>
        <v>0</v>
      </c>
      <c r="F886" s="19">
        <f>'Sampling Data'!E886</f>
        <v>0</v>
      </c>
      <c r="G886" s="19">
        <f>'Sampling Data'!F886</f>
        <v>0</v>
      </c>
      <c r="H886" s="19">
        <f>'Sampling Data'!G886</f>
        <v>0</v>
      </c>
      <c r="I886" s="19">
        <f>'Sampling Data'!H886</f>
        <v>0</v>
      </c>
      <c r="J886" s="19">
        <f>'Sampling Data'!I886</f>
        <v>0</v>
      </c>
      <c r="K886" s="19">
        <f>'Sampling Data'!J886</f>
        <v>0</v>
      </c>
      <c r="L886" s="19">
        <f>'Sampling Data'!K886</f>
        <v>0</v>
      </c>
      <c r="M886" s="19">
        <f>'Sampling Data'!L886</f>
        <v>0</v>
      </c>
      <c r="N886" s="19">
        <f>'Sampling Data'!M886</f>
        <v>0</v>
      </c>
      <c r="O886" s="18">
        <f>'Sampling Data'!N886</f>
        <v>0</v>
      </c>
      <c r="P886" s="18">
        <f>'Sampling Data'!O886</f>
        <v>1</v>
      </c>
      <c r="Q886" s="18">
        <f>'Sampling Data'!P886</f>
        <v>173</v>
      </c>
      <c r="R886" s="18">
        <f>'Sampling Data'!AJ886</f>
        <v>0</v>
      </c>
      <c r="S886" s="112"/>
      <c r="T886" s="112"/>
      <c r="U886" s="113"/>
      <c r="V886" s="113"/>
      <c r="W886" s="112"/>
      <c r="X886" s="112"/>
      <c r="Y886" s="112"/>
      <c r="Z886" s="112"/>
      <c r="AA886" s="15"/>
      <c r="AB886" s="15"/>
      <c r="AC886" s="15"/>
      <c r="AD886" s="15"/>
      <c r="AE886" s="114" t="str">
        <f>IF(NOT(ISBLANK(Audit[[#This Row],[Audit Winning Candidate]])), Audit[[#This Row],[Audit Winning Candidate]]-Audit[[#This Row],[Winning Candidate]], "")</f>
        <v/>
      </c>
      <c r="AF886" s="18" t="str">
        <f>IF(NOT(ISBLANK(Audit[[#This Row],[Audit Losing Candidate]])), Audit[[#This Row],[Audit Losing Candidate]]-Audit[[#This Row],[Losing Candidate]], "")</f>
        <v/>
      </c>
      <c r="AG886" s="18" t="str">
        <f>IF(NOT(ISBLANK(Audit[[#This Row],[Audit Candidate 3]])), Audit[[#This Row],[Audit Candidate 3]]-Audit[[#This Row],[Candidate 3]], "")</f>
        <v/>
      </c>
      <c r="AH886" s="18" t="str">
        <f>IF(NOT(ISBLANK(Audit[[#This Row],[Audit Candidate 4]])),Audit[[#This Row],[Audit Candidate 4]]-Audit[[#This Row],[Candidate 4]], "")</f>
        <v/>
      </c>
      <c r="AI886" s="18" t="str">
        <f>IF(NOT(ISBLANK(Audit[[#This Row],[Audit Candidate 5]])), Audit[[#This Row],[Audit Candidate 5]]-Audit[[#This Row],[Candidate 5]], "")</f>
        <v/>
      </c>
      <c r="AJ886" s="18" t="str">
        <f>IF(NOT(ISBLANK(Audit[[#This Row],[Audit Candidate 6]])), Audit[[#This Row],[Audit Candidate 6]]-Audit[[#This Row],[Candidate 6]], "")</f>
        <v/>
      </c>
      <c r="AK886" s="18" t="str">
        <f>IF(NOT(ISBLANK(Audit[[#This Row],[Audit Candidate 7]])), Audit[[#This Row],[Audit Candidate 7]]-Audit[[#This Row],[Candidate 7]], "")</f>
        <v/>
      </c>
      <c r="AL886" s="18" t="str">
        <f>IF(NOT(ISBLANK(Audit[[#This Row],[Audit Candidate 8]])), Audit[[#This Row],[Audit Candidate 8]]-Audit[[#This Row],[Candidate 8]], "")</f>
        <v/>
      </c>
      <c r="AM886" s="18" t="str">
        <f>IF(NOT(ISBLANK(Audit[[#This Row],[Audit Candidate 9]])), Audit[[#This Row],[Audit Candidate 9]]-Audit[[#This Row],[Candidate 9]], "")</f>
        <v/>
      </c>
      <c r="AN886" s="18" t="str">
        <f>IF(NOT(ISBLANK(Audit[[#This Row],[Audit Candidate 10]])), Audit[[#This Row],[Audit Candidate 10]]-Audit[[#This Row],[Candidate 10]], "")</f>
        <v/>
      </c>
      <c r="AO886" s="18" t="str">
        <f>IF(NOT(ISBLANK(Audit[[#This Row],[Audit Candidate 11]])), Audit[[#This Row],[Audit Candidate 11]]-Audit[[#This Row],[Candidate 11]], "")</f>
        <v/>
      </c>
      <c r="AP886" s="18" t="str">
        <f>IF(NOT(ISBLANK(Audit[[#This Row],[Audit Candidate 12]])), Audit[[#This Row],[Audit Candidate 12]]-Audit[[#This Row],[Candidate 12]], "")</f>
        <v/>
      </c>
      <c r="AQ886" s="18">
        <f>SUMIF(Audit[[#This Row],[Difference Winner]:[Difference Candidate 12]], "&gt;0")</f>
        <v>0</v>
      </c>
      <c r="AR886" s="18">
        <f>SUM(Audit[[#This Row],[Difference Winner]:[Difference Candidate 12]])</f>
        <v>0</v>
      </c>
      <c r="AS886" s="18">
        <f>IF(Audit[[#This Row],[Times p Drawn - With Replacement]]&gt;0, IF(Audit[[#This Row],[Canceled Differences]]&lt;0, Audit[[#This Row],[Max Differences]]+ABS(Audit[[#This Row],[Canceled Differences]]), Audit[[#This Row],[Max Differences]]), 0)</f>
        <v>0</v>
      </c>
      <c r="AT886" s="18">
        <f>'Sampling Data'!AB886</f>
        <v>1.0145428275277193E-2</v>
      </c>
      <c r="AU886" s="18">
        <f>IF(
      SUM(Audit[[#This Row],[Audit Losing Candidate]:[Audit Candidate 12]])
      &lt;&gt;0,
      (Audit[[#This Row],[Winning Candidate]]-Audit[[#This Row],[Losing Candidate]]-(Audit[[#This Row],[Audit Winning Candidate]]-Audit[[#This Row],[Audit Losing Candidate]]))/(Audit[[#Totals],[Winning Candidate]]-Audit[[#Totals],[Losing Candidate]]),
      0
)</f>
        <v>0</v>
      </c>
      <c r="AV8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8">
        <f>IF(Audit[[#This Row],[Max Relative Error (ep)]] = 0, 0, Audit[[#This Row],[Max Relative Error (ep)]]/Audit[[#This Row],[Error Bound (up) - Max. possible relative overstatement]])</f>
        <v>0</v>
      </c>
      <c r="BH8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6" s="18">
        <f t="shared" si="14"/>
        <v>1</v>
      </c>
      <c r="BJ886" s="18">
        <f>PRODUCT($BI$5:BI886)</f>
        <v>0.32656797278968008</v>
      </c>
      <c r="BK886" s="20">
        <f>1 - Audit[[#This Row],[K-M P Value]]</f>
        <v>0.67343202721031992</v>
      </c>
      <c r="BL886" s="18" t="str">
        <f>IF(Audit[[#This Row],[K-M P Value]]&gt;1-'General Info'!$B$12,"Continue", "Stop")</f>
        <v>Continue</v>
      </c>
      <c r="BM886" s="23" t="b">
        <f>IF(Audit[[#This Row],[Status - Continue or stop audit]] = "Continue", TRUE, IF(BL885 = "Continue", TRUE, FALSE))</f>
        <v>1</v>
      </c>
      <c r="BN886" s="23"/>
    </row>
    <row r="887" spans="1:66" ht="15" hidden="1" customHeight="1" x14ac:dyDescent="0.35">
      <c r="A887" s="18" t="str">
        <f>'Sampling Data'!AI887</f>
        <v/>
      </c>
      <c r="B887" s="18" t="str">
        <f>'Sampling Data'!A887</f>
        <v>5605 AND E   (ED)</v>
      </c>
      <c r="C887" s="18">
        <f>'Sampling Data'!B887</f>
        <v>106</v>
      </c>
      <c r="D887" s="18">
        <f>'Sampling Data'!C887</f>
        <v>14</v>
      </c>
      <c r="E887" s="19">
        <f>'Sampling Data'!D887</f>
        <v>0</v>
      </c>
      <c r="F887" s="19">
        <f>'Sampling Data'!E887</f>
        <v>0</v>
      </c>
      <c r="G887" s="19">
        <f>'Sampling Data'!F887</f>
        <v>0</v>
      </c>
      <c r="H887" s="19">
        <f>'Sampling Data'!G887</f>
        <v>0</v>
      </c>
      <c r="I887" s="19">
        <f>'Sampling Data'!H887</f>
        <v>0</v>
      </c>
      <c r="J887" s="19">
        <f>'Sampling Data'!I887</f>
        <v>0</v>
      </c>
      <c r="K887" s="19">
        <f>'Sampling Data'!J887</f>
        <v>0</v>
      </c>
      <c r="L887" s="19">
        <f>'Sampling Data'!K887</f>
        <v>0</v>
      </c>
      <c r="M887" s="19">
        <f>'Sampling Data'!L887</f>
        <v>0</v>
      </c>
      <c r="N887" s="19">
        <f>'Sampling Data'!M887</f>
        <v>0</v>
      </c>
      <c r="O887" s="18">
        <f>'Sampling Data'!N887</f>
        <v>0</v>
      </c>
      <c r="P887" s="18">
        <f>'Sampling Data'!O887</f>
        <v>2</v>
      </c>
      <c r="Q887" s="18">
        <f>'Sampling Data'!P887</f>
        <v>122</v>
      </c>
      <c r="R887" s="18">
        <f>'Sampling Data'!AJ887</f>
        <v>0</v>
      </c>
      <c r="S887" s="112"/>
      <c r="T887" s="112"/>
      <c r="U887" s="113"/>
      <c r="V887" s="113"/>
      <c r="W887" s="112"/>
      <c r="X887" s="112"/>
      <c r="Y887" s="112"/>
      <c r="Z887" s="112"/>
      <c r="AA887" s="15"/>
      <c r="AB887" s="15"/>
      <c r="AC887" s="15"/>
      <c r="AD887" s="15"/>
      <c r="AE887" s="114" t="str">
        <f>IF(NOT(ISBLANK(Audit[[#This Row],[Audit Winning Candidate]])), Audit[[#This Row],[Audit Winning Candidate]]-Audit[[#This Row],[Winning Candidate]], "")</f>
        <v/>
      </c>
      <c r="AF887" s="18" t="str">
        <f>IF(NOT(ISBLANK(Audit[[#This Row],[Audit Losing Candidate]])), Audit[[#This Row],[Audit Losing Candidate]]-Audit[[#This Row],[Losing Candidate]], "")</f>
        <v/>
      </c>
      <c r="AG887" s="18" t="str">
        <f>IF(NOT(ISBLANK(Audit[[#This Row],[Audit Candidate 3]])), Audit[[#This Row],[Audit Candidate 3]]-Audit[[#This Row],[Candidate 3]], "")</f>
        <v/>
      </c>
      <c r="AH887" s="18" t="str">
        <f>IF(NOT(ISBLANK(Audit[[#This Row],[Audit Candidate 4]])),Audit[[#This Row],[Audit Candidate 4]]-Audit[[#This Row],[Candidate 4]], "")</f>
        <v/>
      </c>
      <c r="AI887" s="18" t="str">
        <f>IF(NOT(ISBLANK(Audit[[#This Row],[Audit Candidate 5]])), Audit[[#This Row],[Audit Candidate 5]]-Audit[[#This Row],[Candidate 5]], "")</f>
        <v/>
      </c>
      <c r="AJ887" s="18" t="str">
        <f>IF(NOT(ISBLANK(Audit[[#This Row],[Audit Candidate 6]])), Audit[[#This Row],[Audit Candidate 6]]-Audit[[#This Row],[Candidate 6]], "")</f>
        <v/>
      </c>
      <c r="AK887" s="18" t="str">
        <f>IF(NOT(ISBLANK(Audit[[#This Row],[Audit Candidate 7]])), Audit[[#This Row],[Audit Candidate 7]]-Audit[[#This Row],[Candidate 7]], "")</f>
        <v/>
      </c>
      <c r="AL887" s="18" t="str">
        <f>IF(NOT(ISBLANK(Audit[[#This Row],[Audit Candidate 8]])), Audit[[#This Row],[Audit Candidate 8]]-Audit[[#This Row],[Candidate 8]], "")</f>
        <v/>
      </c>
      <c r="AM887" s="18" t="str">
        <f>IF(NOT(ISBLANK(Audit[[#This Row],[Audit Candidate 9]])), Audit[[#This Row],[Audit Candidate 9]]-Audit[[#This Row],[Candidate 9]], "")</f>
        <v/>
      </c>
      <c r="AN887" s="18" t="str">
        <f>IF(NOT(ISBLANK(Audit[[#This Row],[Audit Candidate 10]])), Audit[[#This Row],[Audit Candidate 10]]-Audit[[#This Row],[Candidate 10]], "")</f>
        <v/>
      </c>
      <c r="AO887" s="18" t="str">
        <f>IF(NOT(ISBLANK(Audit[[#This Row],[Audit Candidate 11]])), Audit[[#This Row],[Audit Candidate 11]]-Audit[[#This Row],[Candidate 11]], "")</f>
        <v/>
      </c>
      <c r="AP887" s="18" t="str">
        <f>IF(NOT(ISBLANK(Audit[[#This Row],[Audit Candidate 12]])), Audit[[#This Row],[Audit Candidate 12]]-Audit[[#This Row],[Candidate 12]], "")</f>
        <v/>
      </c>
      <c r="AQ887" s="18">
        <f>SUMIF(Audit[[#This Row],[Difference Winner]:[Difference Candidate 12]], "&gt;0")</f>
        <v>0</v>
      </c>
      <c r="AR887" s="18">
        <f>SUM(Audit[[#This Row],[Difference Winner]:[Difference Candidate 12]])</f>
        <v>0</v>
      </c>
      <c r="AS887" s="18">
        <f>IF(Audit[[#This Row],[Times p Drawn - With Replacement]]&gt;0, IF(Audit[[#This Row],[Canceled Differences]]&lt;0, Audit[[#This Row],[Max Differences]]+ABS(Audit[[#This Row],[Canceled Differences]]), Audit[[#This Row],[Max Differences]]), 0)</f>
        <v>0</v>
      </c>
      <c r="AT887" s="18">
        <f>'Sampling Data'!AB887</f>
        <v>6.7217388573043947E-3</v>
      </c>
      <c r="AU887" s="18">
        <f>IF(
      SUM(Audit[[#This Row],[Audit Losing Candidate]:[Audit Candidate 12]])
      &lt;&gt;0,
      (Audit[[#This Row],[Winning Candidate]]-Audit[[#This Row],[Losing Candidate]]-(Audit[[#This Row],[Audit Winning Candidate]]-Audit[[#This Row],[Audit Losing Candidate]]))/(Audit[[#Totals],[Winning Candidate]]-Audit[[#Totals],[Losing Candidate]]),
      0
)</f>
        <v>0</v>
      </c>
      <c r="AV8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8">
        <f>IF(Audit[[#This Row],[Max Relative Error (ep)]] = 0, 0, Audit[[#This Row],[Max Relative Error (ep)]]/Audit[[#This Row],[Error Bound (up) - Max. possible relative overstatement]])</f>
        <v>0</v>
      </c>
      <c r="BH8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7" s="18">
        <f t="shared" si="14"/>
        <v>1</v>
      </c>
      <c r="BJ887" s="18">
        <f>PRODUCT($BI$5:BI887)</f>
        <v>0.32656797278968008</v>
      </c>
      <c r="BK887" s="20">
        <f>1 - Audit[[#This Row],[K-M P Value]]</f>
        <v>0.67343202721031992</v>
      </c>
      <c r="BL887" s="18" t="str">
        <f>IF(Audit[[#This Row],[K-M P Value]]&gt;1-'General Info'!$B$12,"Continue", "Stop")</f>
        <v>Continue</v>
      </c>
      <c r="BM887" s="23" t="b">
        <f>IF(Audit[[#This Row],[Status - Continue or stop audit]] = "Continue", TRUE, IF(BL886 = "Continue", TRUE, FALSE))</f>
        <v>1</v>
      </c>
      <c r="BN887" s="23"/>
    </row>
    <row r="888" spans="1:66" ht="15" hidden="1" customHeight="1" x14ac:dyDescent="0.35">
      <c r="A888" s="18" t="str">
        <f>'Sampling Data'!AI888</f>
        <v/>
      </c>
      <c r="B888" s="18" t="str">
        <f>'Sampling Data'!A888</f>
        <v>5606 AND F   (ED)</v>
      </c>
      <c r="C888" s="18">
        <f>'Sampling Data'!B888</f>
        <v>119</v>
      </c>
      <c r="D888" s="18">
        <f>'Sampling Data'!C888</f>
        <v>7</v>
      </c>
      <c r="E888" s="19">
        <f>'Sampling Data'!D888</f>
        <v>0</v>
      </c>
      <c r="F888" s="19">
        <f>'Sampling Data'!E888</f>
        <v>0</v>
      </c>
      <c r="G888" s="19">
        <f>'Sampling Data'!F888</f>
        <v>0</v>
      </c>
      <c r="H888" s="19">
        <f>'Sampling Data'!G888</f>
        <v>0</v>
      </c>
      <c r="I888" s="19">
        <f>'Sampling Data'!H888</f>
        <v>0</v>
      </c>
      <c r="J888" s="19">
        <f>'Sampling Data'!I888</f>
        <v>0</v>
      </c>
      <c r="K888" s="19">
        <f>'Sampling Data'!J888</f>
        <v>0</v>
      </c>
      <c r="L888" s="19">
        <f>'Sampling Data'!K888</f>
        <v>0</v>
      </c>
      <c r="M888" s="19">
        <f>'Sampling Data'!L888</f>
        <v>0</v>
      </c>
      <c r="N888" s="19">
        <f>'Sampling Data'!M888</f>
        <v>0</v>
      </c>
      <c r="O888" s="18">
        <f>'Sampling Data'!N888</f>
        <v>0</v>
      </c>
      <c r="P888" s="18">
        <f>'Sampling Data'!O888</f>
        <v>0</v>
      </c>
      <c r="Q888" s="18">
        <f>'Sampling Data'!P888</f>
        <v>126</v>
      </c>
      <c r="R888" s="18">
        <f>'Sampling Data'!AJ888</f>
        <v>0</v>
      </c>
      <c r="S888" s="112"/>
      <c r="T888" s="112"/>
      <c r="U888" s="113"/>
      <c r="V888" s="113"/>
      <c r="W888" s="112"/>
      <c r="X888" s="112"/>
      <c r="Y888" s="112"/>
      <c r="Z888" s="112"/>
      <c r="AA888" s="15"/>
      <c r="AB888" s="15"/>
      <c r="AC888" s="15"/>
      <c r="AD888" s="15"/>
      <c r="AE888" s="114" t="str">
        <f>IF(NOT(ISBLANK(Audit[[#This Row],[Audit Winning Candidate]])), Audit[[#This Row],[Audit Winning Candidate]]-Audit[[#This Row],[Winning Candidate]], "")</f>
        <v/>
      </c>
      <c r="AF888" s="18" t="str">
        <f>IF(NOT(ISBLANK(Audit[[#This Row],[Audit Losing Candidate]])), Audit[[#This Row],[Audit Losing Candidate]]-Audit[[#This Row],[Losing Candidate]], "")</f>
        <v/>
      </c>
      <c r="AG888" s="18" t="str">
        <f>IF(NOT(ISBLANK(Audit[[#This Row],[Audit Candidate 3]])), Audit[[#This Row],[Audit Candidate 3]]-Audit[[#This Row],[Candidate 3]], "")</f>
        <v/>
      </c>
      <c r="AH888" s="18" t="str">
        <f>IF(NOT(ISBLANK(Audit[[#This Row],[Audit Candidate 4]])),Audit[[#This Row],[Audit Candidate 4]]-Audit[[#This Row],[Candidate 4]], "")</f>
        <v/>
      </c>
      <c r="AI888" s="18" t="str">
        <f>IF(NOT(ISBLANK(Audit[[#This Row],[Audit Candidate 5]])), Audit[[#This Row],[Audit Candidate 5]]-Audit[[#This Row],[Candidate 5]], "")</f>
        <v/>
      </c>
      <c r="AJ888" s="18" t="str">
        <f>IF(NOT(ISBLANK(Audit[[#This Row],[Audit Candidate 6]])), Audit[[#This Row],[Audit Candidate 6]]-Audit[[#This Row],[Candidate 6]], "")</f>
        <v/>
      </c>
      <c r="AK888" s="18" t="str">
        <f>IF(NOT(ISBLANK(Audit[[#This Row],[Audit Candidate 7]])), Audit[[#This Row],[Audit Candidate 7]]-Audit[[#This Row],[Candidate 7]], "")</f>
        <v/>
      </c>
      <c r="AL888" s="18" t="str">
        <f>IF(NOT(ISBLANK(Audit[[#This Row],[Audit Candidate 8]])), Audit[[#This Row],[Audit Candidate 8]]-Audit[[#This Row],[Candidate 8]], "")</f>
        <v/>
      </c>
      <c r="AM888" s="18" t="str">
        <f>IF(NOT(ISBLANK(Audit[[#This Row],[Audit Candidate 9]])), Audit[[#This Row],[Audit Candidate 9]]-Audit[[#This Row],[Candidate 9]], "")</f>
        <v/>
      </c>
      <c r="AN888" s="18" t="str">
        <f>IF(NOT(ISBLANK(Audit[[#This Row],[Audit Candidate 10]])), Audit[[#This Row],[Audit Candidate 10]]-Audit[[#This Row],[Candidate 10]], "")</f>
        <v/>
      </c>
      <c r="AO888" s="18" t="str">
        <f>IF(NOT(ISBLANK(Audit[[#This Row],[Audit Candidate 11]])), Audit[[#This Row],[Audit Candidate 11]]-Audit[[#This Row],[Candidate 11]], "")</f>
        <v/>
      </c>
      <c r="AP888" s="18" t="str">
        <f>IF(NOT(ISBLANK(Audit[[#This Row],[Audit Candidate 12]])), Audit[[#This Row],[Audit Candidate 12]]-Audit[[#This Row],[Candidate 12]], "")</f>
        <v/>
      </c>
      <c r="AQ888" s="18">
        <f>SUMIF(Audit[[#This Row],[Difference Winner]:[Difference Candidate 12]], "&gt;0")</f>
        <v>0</v>
      </c>
      <c r="AR888" s="18">
        <f>SUM(Audit[[#This Row],[Difference Winner]:[Difference Candidate 12]])</f>
        <v>0</v>
      </c>
      <c r="AS888" s="18">
        <f>IF(Audit[[#This Row],[Times p Drawn - With Replacement]]&gt;0, IF(Audit[[#This Row],[Canceled Differences]]&lt;0, Audit[[#This Row],[Max Differences]]+ABS(Audit[[#This Row],[Canceled Differences]]), Audit[[#This Row],[Max Differences]]), 0)</f>
        <v>0</v>
      </c>
      <c r="AT888" s="18">
        <f>'Sampling Data'!AB888</f>
        <v>7.4755787291516159E-3</v>
      </c>
      <c r="AU888" s="18">
        <f>IF(
      SUM(Audit[[#This Row],[Audit Losing Candidate]:[Audit Candidate 12]])
      &lt;&gt;0,
      (Audit[[#This Row],[Winning Candidate]]-Audit[[#This Row],[Losing Candidate]]-(Audit[[#This Row],[Audit Winning Candidate]]-Audit[[#This Row],[Audit Losing Candidate]]))/(Audit[[#Totals],[Winning Candidate]]-Audit[[#Totals],[Losing Candidate]]),
      0
)</f>
        <v>0</v>
      </c>
      <c r="AV8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8">
        <f>IF(Audit[[#This Row],[Max Relative Error (ep)]] = 0, 0, Audit[[#This Row],[Max Relative Error (ep)]]/Audit[[#This Row],[Error Bound (up) - Max. possible relative overstatement]])</f>
        <v>0</v>
      </c>
      <c r="BH8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8" s="18">
        <f t="shared" si="14"/>
        <v>1</v>
      </c>
      <c r="BJ888" s="18">
        <f>PRODUCT($BI$5:BI888)</f>
        <v>0.32656797278968008</v>
      </c>
      <c r="BK888" s="20">
        <f>1 - Audit[[#This Row],[K-M P Value]]</f>
        <v>0.67343202721031992</v>
      </c>
      <c r="BL888" s="18" t="str">
        <f>IF(Audit[[#This Row],[K-M P Value]]&gt;1-'General Info'!$B$12,"Continue", "Stop")</f>
        <v>Continue</v>
      </c>
      <c r="BM888" s="23" t="b">
        <f>IF(Audit[[#This Row],[Status - Continue or stop audit]] = "Continue", TRUE, IF(BL887 = "Continue", TRUE, FALSE))</f>
        <v>1</v>
      </c>
      <c r="BN888" s="23"/>
    </row>
    <row r="889" spans="1:66" ht="15" hidden="1" customHeight="1" x14ac:dyDescent="0.35">
      <c r="A889" s="18" t="str">
        <f>'Sampling Data'!AI889</f>
        <v/>
      </c>
      <c r="B889" s="18" t="str">
        <f>'Sampling Data'!A889</f>
        <v>5607 AND G   (ED)</v>
      </c>
      <c r="C889" s="18">
        <f>'Sampling Data'!B889</f>
        <v>123</v>
      </c>
      <c r="D889" s="18">
        <f>'Sampling Data'!C889</f>
        <v>30</v>
      </c>
      <c r="E889" s="19">
        <f>'Sampling Data'!D889</f>
        <v>0</v>
      </c>
      <c r="F889" s="19">
        <f>'Sampling Data'!E889</f>
        <v>0</v>
      </c>
      <c r="G889" s="19">
        <f>'Sampling Data'!F889</f>
        <v>0</v>
      </c>
      <c r="H889" s="19">
        <f>'Sampling Data'!G889</f>
        <v>0</v>
      </c>
      <c r="I889" s="19">
        <f>'Sampling Data'!H889</f>
        <v>0</v>
      </c>
      <c r="J889" s="19">
        <f>'Sampling Data'!I889</f>
        <v>0</v>
      </c>
      <c r="K889" s="19">
        <f>'Sampling Data'!J889</f>
        <v>0</v>
      </c>
      <c r="L889" s="19">
        <f>'Sampling Data'!K889</f>
        <v>0</v>
      </c>
      <c r="M889" s="19">
        <f>'Sampling Data'!L889</f>
        <v>0</v>
      </c>
      <c r="N889" s="19">
        <f>'Sampling Data'!M889</f>
        <v>0</v>
      </c>
      <c r="O889" s="18">
        <f>'Sampling Data'!N889</f>
        <v>1</v>
      </c>
      <c r="P889" s="18">
        <f>'Sampling Data'!O889</f>
        <v>0</v>
      </c>
      <c r="Q889" s="18">
        <f>'Sampling Data'!P889</f>
        <v>154</v>
      </c>
      <c r="R889" s="18">
        <f>'Sampling Data'!AJ889</f>
        <v>0</v>
      </c>
      <c r="S889" s="112"/>
      <c r="T889" s="112"/>
      <c r="U889" s="113"/>
      <c r="V889" s="113"/>
      <c r="W889" s="112"/>
      <c r="X889" s="112"/>
      <c r="Y889" s="112"/>
      <c r="Z889" s="112"/>
      <c r="AA889" s="15"/>
      <c r="AB889" s="15"/>
      <c r="AC889" s="15"/>
      <c r="AD889" s="15"/>
      <c r="AE889" s="114" t="str">
        <f>IF(NOT(ISBLANK(Audit[[#This Row],[Audit Winning Candidate]])), Audit[[#This Row],[Audit Winning Candidate]]-Audit[[#This Row],[Winning Candidate]], "")</f>
        <v/>
      </c>
      <c r="AF889" s="18" t="str">
        <f>IF(NOT(ISBLANK(Audit[[#This Row],[Audit Losing Candidate]])), Audit[[#This Row],[Audit Losing Candidate]]-Audit[[#This Row],[Losing Candidate]], "")</f>
        <v/>
      </c>
      <c r="AG889" s="18" t="str">
        <f>IF(NOT(ISBLANK(Audit[[#This Row],[Audit Candidate 3]])), Audit[[#This Row],[Audit Candidate 3]]-Audit[[#This Row],[Candidate 3]], "")</f>
        <v/>
      </c>
      <c r="AH889" s="18" t="str">
        <f>IF(NOT(ISBLANK(Audit[[#This Row],[Audit Candidate 4]])),Audit[[#This Row],[Audit Candidate 4]]-Audit[[#This Row],[Candidate 4]], "")</f>
        <v/>
      </c>
      <c r="AI889" s="18" t="str">
        <f>IF(NOT(ISBLANK(Audit[[#This Row],[Audit Candidate 5]])), Audit[[#This Row],[Audit Candidate 5]]-Audit[[#This Row],[Candidate 5]], "")</f>
        <v/>
      </c>
      <c r="AJ889" s="18" t="str">
        <f>IF(NOT(ISBLANK(Audit[[#This Row],[Audit Candidate 6]])), Audit[[#This Row],[Audit Candidate 6]]-Audit[[#This Row],[Candidate 6]], "")</f>
        <v/>
      </c>
      <c r="AK889" s="18" t="str">
        <f>IF(NOT(ISBLANK(Audit[[#This Row],[Audit Candidate 7]])), Audit[[#This Row],[Audit Candidate 7]]-Audit[[#This Row],[Candidate 7]], "")</f>
        <v/>
      </c>
      <c r="AL889" s="18" t="str">
        <f>IF(NOT(ISBLANK(Audit[[#This Row],[Audit Candidate 8]])), Audit[[#This Row],[Audit Candidate 8]]-Audit[[#This Row],[Candidate 8]], "")</f>
        <v/>
      </c>
      <c r="AM889" s="18" t="str">
        <f>IF(NOT(ISBLANK(Audit[[#This Row],[Audit Candidate 9]])), Audit[[#This Row],[Audit Candidate 9]]-Audit[[#This Row],[Candidate 9]], "")</f>
        <v/>
      </c>
      <c r="AN889" s="18" t="str">
        <f>IF(NOT(ISBLANK(Audit[[#This Row],[Audit Candidate 10]])), Audit[[#This Row],[Audit Candidate 10]]-Audit[[#This Row],[Candidate 10]], "")</f>
        <v/>
      </c>
      <c r="AO889" s="18" t="str">
        <f>IF(NOT(ISBLANK(Audit[[#This Row],[Audit Candidate 11]])), Audit[[#This Row],[Audit Candidate 11]]-Audit[[#This Row],[Candidate 11]], "")</f>
        <v/>
      </c>
      <c r="AP889" s="18" t="str">
        <f>IF(NOT(ISBLANK(Audit[[#This Row],[Audit Candidate 12]])), Audit[[#This Row],[Audit Candidate 12]]-Audit[[#This Row],[Candidate 12]], "")</f>
        <v/>
      </c>
      <c r="AQ889" s="18">
        <f>SUMIF(Audit[[#This Row],[Difference Winner]:[Difference Candidate 12]], "&gt;0")</f>
        <v>0</v>
      </c>
      <c r="AR889" s="18">
        <f>SUM(Audit[[#This Row],[Difference Winner]:[Difference Candidate 12]])</f>
        <v>0</v>
      </c>
      <c r="AS889" s="18">
        <f>IF(Audit[[#This Row],[Times p Drawn - With Replacement]]&gt;0, IF(Audit[[#This Row],[Canceled Differences]]&lt;0, Audit[[#This Row],[Max Differences]]+ABS(Audit[[#This Row],[Canceled Differences]]), Audit[[#This Row],[Max Differences]]), 0)</f>
        <v>0</v>
      </c>
      <c r="AT889" s="18">
        <f>'Sampling Data'!AB889</f>
        <v>7.7582686810943246E-3</v>
      </c>
      <c r="AU889" s="18">
        <f>IF(
      SUM(Audit[[#This Row],[Audit Losing Candidate]:[Audit Candidate 12]])
      &lt;&gt;0,
      (Audit[[#This Row],[Winning Candidate]]-Audit[[#This Row],[Losing Candidate]]-(Audit[[#This Row],[Audit Winning Candidate]]-Audit[[#This Row],[Audit Losing Candidate]]))/(Audit[[#Totals],[Winning Candidate]]-Audit[[#Totals],[Losing Candidate]]),
      0
)</f>
        <v>0</v>
      </c>
      <c r="AV8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8">
        <f>IF(Audit[[#This Row],[Max Relative Error (ep)]] = 0, 0, Audit[[#This Row],[Max Relative Error (ep)]]/Audit[[#This Row],[Error Bound (up) - Max. possible relative overstatement]])</f>
        <v>0</v>
      </c>
      <c r="BH8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89" s="18">
        <f t="shared" si="14"/>
        <v>1</v>
      </c>
      <c r="BJ889" s="18">
        <f>PRODUCT($BI$5:BI889)</f>
        <v>0.32656797278968008</v>
      </c>
      <c r="BK889" s="20">
        <f>1 - Audit[[#This Row],[K-M P Value]]</f>
        <v>0.67343202721031992</v>
      </c>
      <c r="BL889" s="18" t="str">
        <f>IF(Audit[[#This Row],[K-M P Value]]&gt;1-'General Info'!$B$12,"Continue", "Stop")</f>
        <v>Continue</v>
      </c>
      <c r="BM889" s="23" t="b">
        <f>IF(Audit[[#This Row],[Status - Continue or stop audit]] = "Continue", TRUE, IF(BL888 = "Continue", TRUE, FALSE))</f>
        <v>1</v>
      </c>
      <c r="BN889" s="23"/>
    </row>
    <row r="890" spans="1:66" ht="15" hidden="1" customHeight="1" x14ac:dyDescent="0.35">
      <c r="A890" s="18" t="str">
        <f>'Sampling Data'!AI890</f>
        <v/>
      </c>
      <c r="B890" s="18" t="str">
        <f>'Sampling Data'!A890</f>
        <v>5608 AND H   (ED)</v>
      </c>
      <c r="C890" s="18">
        <f>'Sampling Data'!B890</f>
        <v>107</v>
      </c>
      <c r="D890" s="18">
        <f>'Sampling Data'!C890</f>
        <v>18</v>
      </c>
      <c r="E890" s="19">
        <f>'Sampling Data'!D890</f>
        <v>0</v>
      </c>
      <c r="F890" s="19">
        <f>'Sampling Data'!E890</f>
        <v>0</v>
      </c>
      <c r="G890" s="19">
        <f>'Sampling Data'!F890</f>
        <v>0</v>
      </c>
      <c r="H890" s="19">
        <f>'Sampling Data'!G890</f>
        <v>0</v>
      </c>
      <c r="I890" s="19">
        <f>'Sampling Data'!H890</f>
        <v>0</v>
      </c>
      <c r="J890" s="19">
        <f>'Sampling Data'!I890</f>
        <v>0</v>
      </c>
      <c r="K890" s="19">
        <f>'Sampling Data'!J890</f>
        <v>0</v>
      </c>
      <c r="L890" s="19">
        <f>'Sampling Data'!K890</f>
        <v>0</v>
      </c>
      <c r="M890" s="19">
        <f>'Sampling Data'!L890</f>
        <v>0</v>
      </c>
      <c r="N890" s="19">
        <f>'Sampling Data'!M890</f>
        <v>0</v>
      </c>
      <c r="O890" s="18">
        <f>'Sampling Data'!N890</f>
        <v>0</v>
      </c>
      <c r="P890" s="18">
        <f>'Sampling Data'!O890</f>
        <v>3</v>
      </c>
      <c r="Q890" s="18">
        <f>'Sampling Data'!P890</f>
        <v>128</v>
      </c>
      <c r="R890" s="18">
        <f>'Sampling Data'!AJ890</f>
        <v>0</v>
      </c>
      <c r="S890" s="112"/>
      <c r="T890" s="112"/>
      <c r="U890" s="113"/>
      <c r="V890" s="113"/>
      <c r="W890" s="112"/>
      <c r="X890" s="112"/>
      <c r="Y890" s="112"/>
      <c r="Z890" s="112"/>
      <c r="AA890" s="15"/>
      <c r="AB890" s="15"/>
      <c r="AC890" s="15"/>
      <c r="AD890" s="15"/>
      <c r="AE890" s="114" t="str">
        <f>IF(NOT(ISBLANK(Audit[[#This Row],[Audit Winning Candidate]])), Audit[[#This Row],[Audit Winning Candidate]]-Audit[[#This Row],[Winning Candidate]], "")</f>
        <v/>
      </c>
      <c r="AF890" s="18" t="str">
        <f>IF(NOT(ISBLANK(Audit[[#This Row],[Audit Losing Candidate]])), Audit[[#This Row],[Audit Losing Candidate]]-Audit[[#This Row],[Losing Candidate]], "")</f>
        <v/>
      </c>
      <c r="AG890" s="18" t="str">
        <f>IF(NOT(ISBLANK(Audit[[#This Row],[Audit Candidate 3]])), Audit[[#This Row],[Audit Candidate 3]]-Audit[[#This Row],[Candidate 3]], "")</f>
        <v/>
      </c>
      <c r="AH890" s="18" t="str">
        <f>IF(NOT(ISBLANK(Audit[[#This Row],[Audit Candidate 4]])),Audit[[#This Row],[Audit Candidate 4]]-Audit[[#This Row],[Candidate 4]], "")</f>
        <v/>
      </c>
      <c r="AI890" s="18" t="str">
        <f>IF(NOT(ISBLANK(Audit[[#This Row],[Audit Candidate 5]])), Audit[[#This Row],[Audit Candidate 5]]-Audit[[#This Row],[Candidate 5]], "")</f>
        <v/>
      </c>
      <c r="AJ890" s="18" t="str">
        <f>IF(NOT(ISBLANK(Audit[[#This Row],[Audit Candidate 6]])), Audit[[#This Row],[Audit Candidate 6]]-Audit[[#This Row],[Candidate 6]], "")</f>
        <v/>
      </c>
      <c r="AK890" s="18" t="str">
        <f>IF(NOT(ISBLANK(Audit[[#This Row],[Audit Candidate 7]])), Audit[[#This Row],[Audit Candidate 7]]-Audit[[#This Row],[Candidate 7]], "")</f>
        <v/>
      </c>
      <c r="AL890" s="18" t="str">
        <f>IF(NOT(ISBLANK(Audit[[#This Row],[Audit Candidate 8]])), Audit[[#This Row],[Audit Candidate 8]]-Audit[[#This Row],[Candidate 8]], "")</f>
        <v/>
      </c>
      <c r="AM890" s="18" t="str">
        <f>IF(NOT(ISBLANK(Audit[[#This Row],[Audit Candidate 9]])), Audit[[#This Row],[Audit Candidate 9]]-Audit[[#This Row],[Candidate 9]], "")</f>
        <v/>
      </c>
      <c r="AN890" s="18" t="str">
        <f>IF(NOT(ISBLANK(Audit[[#This Row],[Audit Candidate 10]])), Audit[[#This Row],[Audit Candidate 10]]-Audit[[#This Row],[Candidate 10]], "")</f>
        <v/>
      </c>
      <c r="AO890" s="18" t="str">
        <f>IF(NOT(ISBLANK(Audit[[#This Row],[Audit Candidate 11]])), Audit[[#This Row],[Audit Candidate 11]]-Audit[[#This Row],[Candidate 11]], "")</f>
        <v/>
      </c>
      <c r="AP890" s="18" t="str">
        <f>IF(NOT(ISBLANK(Audit[[#This Row],[Audit Candidate 12]])), Audit[[#This Row],[Audit Candidate 12]]-Audit[[#This Row],[Candidate 12]], "")</f>
        <v/>
      </c>
      <c r="AQ890" s="18">
        <f>SUMIF(Audit[[#This Row],[Difference Winner]:[Difference Candidate 12]], "&gt;0")</f>
        <v>0</v>
      </c>
      <c r="AR890" s="18">
        <f>SUM(Audit[[#This Row],[Difference Winner]:[Difference Candidate 12]])</f>
        <v>0</v>
      </c>
      <c r="AS890" s="18">
        <f>IF(Audit[[#This Row],[Times p Drawn - With Replacement]]&gt;0, IF(Audit[[#This Row],[Canceled Differences]]&lt;0, Audit[[#This Row],[Max Differences]]+ABS(Audit[[#This Row],[Canceled Differences]]), Audit[[#This Row],[Max Differences]]), 0)</f>
        <v>0</v>
      </c>
      <c r="AT890" s="18">
        <f>'Sampling Data'!AB890</f>
        <v>6.815968841285297E-3</v>
      </c>
      <c r="AU890" s="18">
        <f>IF(
      SUM(Audit[[#This Row],[Audit Losing Candidate]:[Audit Candidate 12]])
      &lt;&gt;0,
      (Audit[[#This Row],[Winning Candidate]]-Audit[[#This Row],[Losing Candidate]]-(Audit[[#This Row],[Audit Winning Candidate]]-Audit[[#This Row],[Audit Losing Candidate]]))/(Audit[[#Totals],[Winning Candidate]]-Audit[[#Totals],[Losing Candidate]]),
      0
)</f>
        <v>0</v>
      </c>
      <c r="AV8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8">
        <f>IF(Audit[[#This Row],[Max Relative Error (ep)]] = 0, 0, Audit[[#This Row],[Max Relative Error (ep)]]/Audit[[#This Row],[Error Bound (up) - Max. possible relative overstatement]])</f>
        <v>0</v>
      </c>
      <c r="BH8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0" s="18">
        <f t="shared" si="14"/>
        <v>1</v>
      </c>
      <c r="BJ890" s="18">
        <f>PRODUCT($BI$5:BI890)</f>
        <v>0.32656797278968008</v>
      </c>
      <c r="BK890" s="20">
        <f>1 - Audit[[#This Row],[K-M P Value]]</f>
        <v>0.67343202721031992</v>
      </c>
      <c r="BL890" s="18" t="str">
        <f>IF(Audit[[#This Row],[K-M P Value]]&gt;1-'General Info'!$B$12,"Continue", "Stop")</f>
        <v>Continue</v>
      </c>
      <c r="BM890" s="23" t="b">
        <f>IF(Audit[[#This Row],[Status - Continue or stop audit]] = "Continue", TRUE, IF(BL889 = "Continue", TRUE, FALSE))</f>
        <v>1</v>
      </c>
      <c r="BN890" s="23"/>
    </row>
    <row r="891" spans="1:66" ht="15" hidden="1" customHeight="1" x14ac:dyDescent="0.35">
      <c r="A891" s="18" t="str">
        <f>'Sampling Data'!AI891</f>
        <v/>
      </c>
      <c r="B891" s="18" t="str">
        <f>'Sampling Data'!A891</f>
        <v>5609 AND I   (ED)</v>
      </c>
      <c r="C891" s="18">
        <f>'Sampling Data'!B891</f>
        <v>97</v>
      </c>
      <c r="D891" s="18">
        <f>'Sampling Data'!C891</f>
        <v>8</v>
      </c>
      <c r="E891" s="19">
        <f>'Sampling Data'!D891</f>
        <v>0</v>
      </c>
      <c r="F891" s="19">
        <f>'Sampling Data'!E891</f>
        <v>0</v>
      </c>
      <c r="G891" s="19">
        <f>'Sampling Data'!F891</f>
        <v>0</v>
      </c>
      <c r="H891" s="19">
        <f>'Sampling Data'!G891</f>
        <v>0</v>
      </c>
      <c r="I891" s="19">
        <f>'Sampling Data'!H891</f>
        <v>0</v>
      </c>
      <c r="J891" s="19">
        <f>'Sampling Data'!I891</f>
        <v>0</v>
      </c>
      <c r="K891" s="19">
        <f>'Sampling Data'!J891</f>
        <v>0</v>
      </c>
      <c r="L891" s="19">
        <f>'Sampling Data'!K891</f>
        <v>0</v>
      </c>
      <c r="M891" s="19">
        <f>'Sampling Data'!L891</f>
        <v>0</v>
      </c>
      <c r="N891" s="19">
        <f>'Sampling Data'!M891</f>
        <v>0</v>
      </c>
      <c r="O891" s="18">
        <f>'Sampling Data'!N891</f>
        <v>0</v>
      </c>
      <c r="P891" s="18">
        <f>'Sampling Data'!O891</f>
        <v>0</v>
      </c>
      <c r="Q891" s="18">
        <f>'Sampling Data'!P891</f>
        <v>105</v>
      </c>
      <c r="R891" s="18">
        <f>'Sampling Data'!AJ891</f>
        <v>0</v>
      </c>
      <c r="S891" s="112"/>
      <c r="T891" s="112"/>
      <c r="U891" s="113"/>
      <c r="V891" s="113"/>
      <c r="W891" s="112"/>
      <c r="X891" s="112"/>
      <c r="Y891" s="112"/>
      <c r="Z891" s="112"/>
      <c r="AA891" s="15"/>
      <c r="AB891" s="15"/>
      <c r="AC891" s="15"/>
      <c r="AD891" s="15"/>
      <c r="AE891" s="114" t="str">
        <f>IF(NOT(ISBLANK(Audit[[#This Row],[Audit Winning Candidate]])), Audit[[#This Row],[Audit Winning Candidate]]-Audit[[#This Row],[Winning Candidate]], "")</f>
        <v/>
      </c>
      <c r="AF891" s="18" t="str">
        <f>IF(NOT(ISBLANK(Audit[[#This Row],[Audit Losing Candidate]])), Audit[[#This Row],[Audit Losing Candidate]]-Audit[[#This Row],[Losing Candidate]], "")</f>
        <v/>
      </c>
      <c r="AG891" s="18" t="str">
        <f>IF(NOT(ISBLANK(Audit[[#This Row],[Audit Candidate 3]])), Audit[[#This Row],[Audit Candidate 3]]-Audit[[#This Row],[Candidate 3]], "")</f>
        <v/>
      </c>
      <c r="AH891" s="18" t="str">
        <f>IF(NOT(ISBLANK(Audit[[#This Row],[Audit Candidate 4]])),Audit[[#This Row],[Audit Candidate 4]]-Audit[[#This Row],[Candidate 4]], "")</f>
        <v/>
      </c>
      <c r="AI891" s="18" t="str">
        <f>IF(NOT(ISBLANK(Audit[[#This Row],[Audit Candidate 5]])), Audit[[#This Row],[Audit Candidate 5]]-Audit[[#This Row],[Candidate 5]], "")</f>
        <v/>
      </c>
      <c r="AJ891" s="18" t="str">
        <f>IF(NOT(ISBLANK(Audit[[#This Row],[Audit Candidate 6]])), Audit[[#This Row],[Audit Candidate 6]]-Audit[[#This Row],[Candidate 6]], "")</f>
        <v/>
      </c>
      <c r="AK891" s="18" t="str">
        <f>IF(NOT(ISBLANK(Audit[[#This Row],[Audit Candidate 7]])), Audit[[#This Row],[Audit Candidate 7]]-Audit[[#This Row],[Candidate 7]], "")</f>
        <v/>
      </c>
      <c r="AL891" s="18" t="str">
        <f>IF(NOT(ISBLANK(Audit[[#This Row],[Audit Candidate 8]])), Audit[[#This Row],[Audit Candidate 8]]-Audit[[#This Row],[Candidate 8]], "")</f>
        <v/>
      </c>
      <c r="AM891" s="18" t="str">
        <f>IF(NOT(ISBLANK(Audit[[#This Row],[Audit Candidate 9]])), Audit[[#This Row],[Audit Candidate 9]]-Audit[[#This Row],[Candidate 9]], "")</f>
        <v/>
      </c>
      <c r="AN891" s="18" t="str">
        <f>IF(NOT(ISBLANK(Audit[[#This Row],[Audit Candidate 10]])), Audit[[#This Row],[Audit Candidate 10]]-Audit[[#This Row],[Candidate 10]], "")</f>
        <v/>
      </c>
      <c r="AO891" s="18" t="str">
        <f>IF(NOT(ISBLANK(Audit[[#This Row],[Audit Candidate 11]])), Audit[[#This Row],[Audit Candidate 11]]-Audit[[#This Row],[Candidate 11]], "")</f>
        <v/>
      </c>
      <c r="AP891" s="18" t="str">
        <f>IF(NOT(ISBLANK(Audit[[#This Row],[Audit Candidate 12]])), Audit[[#This Row],[Audit Candidate 12]]-Audit[[#This Row],[Candidate 12]], "")</f>
        <v/>
      </c>
      <c r="AQ891" s="18">
        <f>SUMIF(Audit[[#This Row],[Difference Winner]:[Difference Candidate 12]], "&gt;0")</f>
        <v>0</v>
      </c>
      <c r="AR891" s="18">
        <f>SUM(Audit[[#This Row],[Difference Winner]:[Difference Candidate 12]])</f>
        <v>0</v>
      </c>
      <c r="AS891" s="18">
        <f>IF(Audit[[#This Row],[Times p Drawn - With Replacement]]&gt;0, IF(Audit[[#This Row],[Canceled Differences]]&lt;0, Audit[[#This Row],[Max Differences]]+ABS(Audit[[#This Row],[Canceled Differences]]), Audit[[#This Row],[Max Differences]]), 0)</f>
        <v>0</v>
      </c>
      <c r="AT891" s="18">
        <f>'Sampling Data'!AB891</f>
        <v>6.0935389640983757E-3</v>
      </c>
      <c r="AU891" s="18">
        <f>IF(
      SUM(Audit[[#This Row],[Audit Losing Candidate]:[Audit Candidate 12]])
      &lt;&gt;0,
      (Audit[[#This Row],[Winning Candidate]]-Audit[[#This Row],[Losing Candidate]]-(Audit[[#This Row],[Audit Winning Candidate]]-Audit[[#This Row],[Audit Losing Candidate]]))/(Audit[[#Totals],[Winning Candidate]]-Audit[[#Totals],[Losing Candidate]]),
      0
)</f>
        <v>0</v>
      </c>
      <c r="AV8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8">
        <f>IF(Audit[[#This Row],[Max Relative Error (ep)]] = 0, 0, Audit[[#This Row],[Max Relative Error (ep)]]/Audit[[#This Row],[Error Bound (up) - Max. possible relative overstatement]])</f>
        <v>0</v>
      </c>
      <c r="BH8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1" s="18">
        <f t="shared" si="14"/>
        <v>1</v>
      </c>
      <c r="BJ891" s="18">
        <f>PRODUCT($BI$5:BI891)</f>
        <v>0.32656797278968008</v>
      </c>
      <c r="BK891" s="20">
        <f>1 - Audit[[#This Row],[K-M P Value]]</f>
        <v>0.67343202721031992</v>
      </c>
      <c r="BL891" s="18" t="str">
        <f>IF(Audit[[#This Row],[K-M P Value]]&gt;1-'General Info'!$B$12,"Continue", "Stop")</f>
        <v>Continue</v>
      </c>
      <c r="BM891" s="23" t="b">
        <f>IF(Audit[[#This Row],[Status - Continue or stop audit]] = "Continue", TRUE, IF(BL890 = "Continue", TRUE, FALSE))</f>
        <v>1</v>
      </c>
      <c r="BN891" s="23"/>
    </row>
    <row r="892" spans="1:66" ht="15" hidden="1" customHeight="1" x14ac:dyDescent="0.35">
      <c r="A892" s="18" t="str">
        <f>'Sampling Data'!AI892</f>
        <v/>
      </c>
      <c r="B892" s="18" t="str">
        <f>'Sampling Data'!A892</f>
        <v>5610 AND J   (ED)</v>
      </c>
      <c r="C892" s="18">
        <f>'Sampling Data'!B892</f>
        <v>101</v>
      </c>
      <c r="D892" s="18">
        <f>'Sampling Data'!C892</f>
        <v>8</v>
      </c>
      <c r="E892" s="19">
        <f>'Sampling Data'!D892</f>
        <v>0</v>
      </c>
      <c r="F892" s="19">
        <f>'Sampling Data'!E892</f>
        <v>0</v>
      </c>
      <c r="G892" s="19">
        <f>'Sampling Data'!F892</f>
        <v>0</v>
      </c>
      <c r="H892" s="19">
        <f>'Sampling Data'!G892</f>
        <v>0</v>
      </c>
      <c r="I892" s="19">
        <f>'Sampling Data'!H892</f>
        <v>0</v>
      </c>
      <c r="J892" s="19">
        <f>'Sampling Data'!I892</f>
        <v>0</v>
      </c>
      <c r="K892" s="19">
        <f>'Sampling Data'!J892</f>
        <v>0</v>
      </c>
      <c r="L892" s="19">
        <f>'Sampling Data'!K892</f>
        <v>0</v>
      </c>
      <c r="M892" s="19">
        <f>'Sampling Data'!L892</f>
        <v>0</v>
      </c>
      <c r="N892" s="19">
        <f>'Sampling Data'!M892</f>
        <v>0</v>
      </c>
      <c r="O892" s="18">
        <f>'Sampling Data'!N892</f>
        <v>0</v>
      </c>
      <c r="P892" s="18">
        <f>'Sampling Data'!O892</f>
        <v>2</v>
      </c>
      <c r="Q892" s="18">
        <f>'Sampling Data'!P892</f>
        <v>111</v>
      </c>
      <c r="R892" s="18">
        <f>'Sampling Data'!AJ892</f>
        <v>0</v>
      </c>
      <c r="S892" s="112"/>
      <c r="T892" s="112"/>
      <c r="U892" s="113"/>
      <c r="V892" s="113"/>
      <c r="W892" s="112"/>
      <c r="X892" s="112"/>
      <c r="Y892" s="112"/>
      <c r="Z892" s="112"/>
      <c r="AA892" s="15"/>
      <c r="AB892" s="15"/>
      <c r="AC892" s="15"/>
      <c r="AD892" s="15"/>
      <c r="AE892" s="114" t="str">
        <f>IF(NOT(ISBLANK(Audit[[#This Row],[Audit Winning Candidate]])), Audit[[#This Row],[Audit Winning Candidate]]-Audit[[#This Row],[Winning Candidate]], "")</f>
        <v/>
      </c>
      <c r="AF892" s="18" t="str">
        <f>IF(NOT(ISBLANK(Audit[[#This Row],[Audit Losing Candidate]])), Audit[[#This Row],[Audit Losing Candidate]]-Audit[[#This Row],[Losing Candidate]], "")</f>
        <v/>
      </c>
      <c r="AG892" s="18" t="str">
        <f>IF(NOT(ISBLANK(Audit[[#This Row],[Audit Candidate 3]])), Audit[[#This Row],[Audit Candidate 3]]-Audit[[#This Row],[Candidate 3]], "")</f>
        <v/>
      </c>
      <c r="AH892" s="18" t="str">
        <f>IF(NOT(ISBLANK(Audit[[#This Row],[Audit Candidate 4]])),Audit[[#This Row],[Audit Candidate 4]]-Audit[[#This Row],[Candidate 4]], "")</f>
        <v/>
      </c>
      <c r="AI892" s="18" t="str">
        <f>IF(NOT(ISBLANK(Audit[[#This Row],[Audit Candidate 5]])), Audit[[#This Row],[Audit Candidate 5]]-Audit[[#This Row],[Candidate 5]], "")</f>
        <v/>
      </c>
      <c r="AJ892" s="18" t="str">
        <f>IF(NOT(ISBLANK(Audit[[#This Row],[Audit Candidate 6]])), Audit[[#This Row],[Audit Candidate 6]]-Audit[[#This Row],[Candidate 6]], "")</f>
        <v/>
      </c>
      <c r="AK892" s="18" t="str">
        <f>IF(NOT(ISBLANK(Audit[[#This Row],[Audit Candidate 7]])), Audit[[#This Row],[Audit Candidate 7]]-Audit[[#This Row],[Candidate 7]], "")</f>
        <v/>
      </c>
      <c r="AL892" s="18" t="str">
        <f>IF(NOT(ISBLANK(Audit[[#This Row],[Audit Candidate 8]])), Audit[[#This Row],[Audit Candidate 8]]-Audit[[#This Row],[Candidate 8]], "")</f>
        <v/>
      </c>
      <c r="AM892" s="18" t="str">
        <f>IF(NOT(ISBLANK(Audit[[#This Row],[Audit Candidate 9]])), Audit[[#This Row],[Audit Candidate 9]]-Audit[[#This Row],[Candidate 9]], "")</f>
        <v/>
      </c>
      <c r="AN892" s="18" t="str">
        <f>IF(NOT(ISBLANK(Audit[[#This Row],[Audit Candidate 10]])), Audit[[#This Row],[Audit Candidate 10]]-Audit[[#This Row],[Candidate 10]], "")</f>
        <v/>
      </c>
      <c r="AO892" s="18" t="str">
        <f>IF(NOT(ISBLANK(Audit[[#This Row],[Audit Candidate 11]])), Audit[[#This Row],[Audit Candidate 11]]-Audit[[#This Row],[Candidate 11]], "")</f>
        <v/>
      </c>
      <c r="AP892" s="18" t="str">
        <f>IF(NOT(ISBLANK(Audit[[#This Row],[Audit Candidate 12]])), Audit[[#This Row],[Audit Candidate 12]]-Audit[[#This Row],[Candidate 12]], "")</f>
        <v/>
      </c>
      <c r="AQ892" s="18">
        <f>SUMIF(Audit[[#This Row],[Difference Winner]:[Difference Candidate 12]], "&gt;0")</f>
        <v>0</v>
      </c>
      <c r="AR892" s="18">
        <f>SUM(Audit[[#This Row],[Difference Winner]:[Difference Candidate 12]])</f>
        <v>0</v>
      </c>
      <c r="AS892" s="18">
        <f>IF(Audit[[#This Row],[Times p Drawn - With Replacement]]&gt;0, IF(Audit[[#This Row],[Canceled Differences]]&lt;0, Audit[[#This Row],[Max Differences]]+ABS(Audit[[#This Row],[Canceled Differences]]), Audit[[#This Row],[Max Differences]]), 0)</f>
        <v>0</v>
      </c>
      <c r="AT892" s="18">
        <f>'Sampling Data'!AB892</f>
        <v>6.4076389107013852E-3</v>
      </c>
      <c r="AU892" s="18">
        <f>IF(
      SUM(Audit[[#This Row],[Audit Losing Candidate]:[Audit Candidate 12]])
      &lt;&gt;0,
      (Audit[[#This Row],[Winning Candidate]]-Audit[[#This Row],[Losing Candidate]]-(Audit[[#This Row],[Audit Winning Candidate]]-Audit[[#This Row],[Audit Losing Candidate]]))/(Audit[[#Totals],[Winning Candidate]]-Audit[[#Totals],[Losing Candidate]]),
      0
)</f>
        <v>0</v>
      </c>
      <c r="AV8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8">
        <f>IF(Audit[[#This Row],[Max Relative Error (ep)]] = 0, 0, Audit[[#This Row],[Max Relative Error (ep)]]/Audit[[#This Row],[Error Bound (up) - Max. possible relative overstatement]])</f>
        <v>0</v>
      </c>
      <c r="BH8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2" s="18">
        <f t="shared" si="14"/>
        <v>1</v>
      </c>
      <c r="BJ892" s="18">
        <f>PRODUCT($BI$5:BI892)</f>
        <v>0.32656797278968008</v>
      </c>
      <c r="BK892" s="20">
        <f>1 - Audit[[#This Row],[K-M P Value]]</f>
        <v>0.67343202721031992</v>
      </c>
      <c r="BL892" s="18" t="str">
        <f>IF(Audit[[#This Row],[K-M P Value]]&gt;1-'General Info'!$B$12,"Continue", "Stop")</f>
        <v>Continue</v>
      </c>
      <c r="BM892" s="23" t="b">
        <f>IF(Audit[[#This Row],[Status - Continue or stop audit]] = "Continue", TRUE, IF(BL891 = "Continue", TRUE, FALSE))</f>
        <v>1</v>
      </c>
      <c r="BN892" s="23"/>
    </row>
    <row r="893" spans="1:66" ht="15" hidden="1" customHeight="1" x14ac:dyDescent="0.35">
      <c r="A893" s="18" t="str">
        <f>'Sampling Data'!AI893</f>
        <v/>
      </c>
      <c r="B893" s="18" t="str">
        <f>'Sampling Data'!A893</f>
        <v>5611 AND K   (ED)</v>
      </c>
      <c r="C893" s="18">
        <f>'Sampling Data'!B893</f>
        <v>101</v>
      </c>
      <c r="D893" s="18">
        <f>'Sampling Data'!C893</f>
        <v>8</v>
      </c>
      <c r="E893" s="19">
        <f>'Sampling Data'!D893</f>
        <v>0</v>
      </c>
      <c r="F893" s="19">
        <f>'Sampling Data'!E893</f>
        <v>0</v>
      </c>
      <c r="G893" s="19">
        <f>'Sampling Data'!F893</f>
        <v>0</v>
      </c>
      <c r="H893" s="19">
        <f>'Sampling Data'!G893</f>
        <v>0</v>
      </c>
      <c r="I893" s="19">
        <f>'Sampling Data'!H893</f>
        <v>0</v>
      </c>
      <c r="J893" s="19">
        <f>'Sampling Data'!I893</f>
        <v>0</v>
      </c>
      <c r="K893" s="19">
        <f>'Sampling Data'!J893</f>
        <v>0</v>
      </c>
      <c r="L893" s="19">
        <f>'Sampling Data'!K893</f>
        <v>0</v>
      </c>
      <c r="M893" s="19">
        <f>'Sampling Data'!L893</f>
        <v>0</v>
      </c>
      <c r="N893" s="19">
        <f>'Sampling Data'!M893</f>
        <v>0</v>
      </c>
      <c r="O893" s="18">
        <f>'Sampling Data'!N893</f>
        <v>0</v>
      </c>
      <c r="P893" s="18">
        <f>'Sampling Data'!O893</f>
        <v>2</v>
      </c>
      <c r="Q893" s="18">
        <f>'Sampling Data'!P893</f>
        <v>111</v>
      </c>
      <c r="R893" s="18">
        <f>'Sampling Data'!AJ893</f>
        <v>0</v>
      </c>
      <c r="S893" s="112"/>
      <c r="T893" s="112"/>
      <c r="U893" s="113"/>
      <c r="V893" s="113"/>
      <c r="W893" s="112"/>
      <c r="X893" s="112"/>
      <c r="Y893" s="112"/>
      <c r="Z893" s="112"/>
      <c r="AA893" s="15"/>
      <c r="AB893" s="15"/>
      <c r="AC893" s="15"/>
      <c r="AD893" s="15"/>
      <c r="AE893" s="114" t="str">
        <f>IF(NOT(ISBLANK(Audit[[#This Row],[Audit Winning Candidate]])), Audit[[#This Row],[Audit Winning Candidate]]-Audit[[#This Row],[Winning Candidate]], "")</f>
        <v/>
      </c>
      <c r="AF893" s="18" t="str">
        <f>IF(NOT(ISBLANK(Audit[[#This Row],[Audit Losing Candidate]])), Audit[[#This Row],[Audit Losing Candidate]]-Audit[[#This Row],[Losing Candidate]], "")</f>
        <v/>
      </c>
      <c r="AG893" s="18" t="str">
        <f>IF(NOT(ISBLANK(Audit[[#This Row],[Audit Candidate 3]])), Audit[[#This Row],[Audit Candidate 3]]-Audit[[#This Row],[Candidate 3]], "")</f>
        <v/>
      </c>
      <c r="AH893" s="18" t="str">
        <f>IF(NOT(ISBLANK(Audit[[#This Row],[Audit Candidate 4]])),Audit[[#This Row],[Audit Candidate 4]]-Audit[[#This Row],[Candidate 4]], "")</f>
        <v/>
      </c>
      <c r="AI893" s="18" t="str">
        <f>IF(NOT(ISBLANK(Audit[[#This Row],[Audit Candidate 5]])), Audit[[#This Row],[Audit Candidate 5]]-Audit[[#This Row],[Candidate 5]], "")</f>
        <v/>
      </c>
      <c r="AJ893" s="18" t="str">
        <f>IF(NOT(ISBLANK(Audit[[#This Row],[Audit Candidate 6]])), Audit[[#This Row],[Audit Candidate 6]]-Audit[[#This Row],[Candidate 6]], "")</f>
        <v/>
      </c>
      <c r="AK893" s="18" t="str">
        <f>IF(NOT(ISBLANK(Audit[[#This Row],[Audit Candidate 7]])), Audit[[#This Row],[Audit Candidate 7]]-Audit[[#This Row],[Candidate 7]], "")</f>
        <v/>
      </c>
      <c r="AL893" s="18" t="str">
        <f>IF(NOT(ISBLANK(Audit[[#This Row],[Audit Candidate 8]])), Audit[[#This Row],[Audit Candidate 8]]-Audit[[#This Row],[Candidate 8]], "")</f>
        <v/>
      </c>
      <c r="AM893" s="18" t="str">
        <f>IF(NOT(ISBLANK(Audit[[#This Row],[Audit Candidate 9]])), Audit[[#This Row],[Audit Candidate 9]]-Audit[[#This Row],[Candidate 9]], "")</f>
        <v/>
      </c>
      <c r="AN893" s="18" t="str">
        <f>IF(NOT(ISBLANK(Audit[[#This Row],[Audit Candidate 10]])), Audit[[#This Row],[Audit Candidate 10]]-Audit[[#This Row],[Candidate 10]], "")</f>
        <v/>
      </c>
      <c r="AO893" s="18" t="str">
        <f>IF(NOT(ISBLANK(Audit[[#This Row],[Audit Candidate 11]])), Audit[[#This Row],[Audit Candidate 11]]-Audit[[#This Row],[Candidate 11]], "")</f>
        <v/>
      </c>
      <c r="AP893" s="18" t="str">
        <f>IF(NOT(ISBLANK(Audit[[#This Row],[Audit Candidate 12]])), Audit[[#This Row],[Audit Candidate 12]]-Audit[[#This Row],[Candidate 12]], "")</f>
        <v/>
      </c>
      <c r="AQ893" s="18">
        <f>SUMIF(Audit[[#This Row],[Difference Winner]:[Difference Candidate 12]], "&gt;0")</f>
        <v>0</v>
      </c>
      <c r="AR893" s="18">
        <f>SUM(Audit[[#This Row],[Difference Winner]:[Difference Candidate 12]])</f>
        <v>0</v>
      </c>
      <c r="AS893" s="18">
        <f>IF(Audit[[#This Row],[Times p Drawn - With Replacement]]&gt;0, IF(Audit[[#This Row],[Canceled Differences]]&lt;0, Audit[[#This Row],[Max Differences]]+ABS(Audit[[#This Row],[Canceled Differences]]), Audit[[#This Row],[Max Differences]]), 0)</f>
        <v>0</v>
      </c>
      <c r="AT893" s="18">
        <f>'Sampling Data'!AB893</f>
        <v>6.4076389107013852E-3</v>
      </c>
      <c r="AU893" s="18">
        <f>IF(
      SUM(Audit[[#This Row],[Audit Losing Candidate]:[Audit Candidate 12]])
      &lt;&gt;0,
      (Audit[[#This Row],[Winning Candidate]]-Audit[[#This Row],[Losing Candidate]]-(Audit[[#This Row],[Audit Winning Candidate]]-Audit[[#This Row],[Audit Losing Candidate]]))/(Audit[[#Totals],[Winning Candidate]]-Audit[[#Totals],[Losing Candidate]]),
      0
)</f>
        <v>0</v>
      </c>
      <c r="AV8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8">
        <f>IF(Audit[[#This Row],[Max Relative Error (ep)]] = 0, 0, Audit[[#This Row],[Max Relative Error (ep)]]/Audit[[#This Row],[Error Bound (up) - Max. possible relative overstatement]])</f>
        <v>0</v>
      </c>
      <c r="BH8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3" s="18">
        <f t="shared" si="14"/>
        <v>1</v>
      </c>
      <c r="BJ893" s="18">
        <f>PRODUCT($BI$5:BI893)</f>
        <v>0.32656797278968008</v>
      </c>
      <c r="BK893" s="20">
        <f>1 - Audit[[#This Row],[K-M P Value]]</f>
        <v>0.67343202721031992</v>
      </c>
      <c r="BL893" s="18" t="str">
        <f>IF(Audit[[#This Row],[K-M P Value]]&gt;1-'General Info'!$B$12,"Continue", "Stop")</f>
        <v>Continue</v>
      </c>
      <c r="BM893" s="23" t="b">
        <f>IF(Audit[[#This Row],[Status - Continue or stop audit]] = "Continue", TRUE, IF(BL892 = "Continue", TRUE, FALSE))</f>
        <v>1</v>
      </c>
      <c r="BN893" s="23"/>
    </row>
    <row r="894" spans="1:66" ht="15" hidden="1" customHeight="1" x14ac:dyDescent="0.35">
      <c r="A894" s="18" t="str">
        <f>'Sampling Data'!AI894</f>
        <v/>
      </c>
      <c r="B894" s="18" t="str">
        <f>'Sampling Data'!A894</f>
        <v>5612 AND L   (ED)</v>
      </c>
      <c r="C894" s="18">
        <f>'Sampling Data'!B894</f>
        <v>125</v>
      </c>
      <c r="D894" s="18">
        <f>'Sampling Data'!C894</f>
        <v>10</v>
      </c>
      <c r="E894" s="19">
        <f>'Sampling Data'!D894</f>
        <v>0</v>
      </c>
      <c r="F894" s="19">
        <f>'Sampling Data'!E894</f>
        <v>0</v>
      </c>
      <c r="G894" s="19">
        <f>'Sampling Data'!F894</f>
        <v>0</v>
      </c>
      <c r="H894" s="19">
        <f>'Sampling Data'!G894</f>
        <v>0</v>
      </c>
      <c r="I894" s="19">
        <f>'Sampling Data'!H894</f>
        <v>0</v>
      </c>
      <c r="J894" s="19">
        <f>'Sampling Data'!I894</f>
        <v>0</v>
      </c>
      <c r="K894" s="19">
        <f>'Sampling Data'!J894</f>
        <v>0</v>
      </c>
      <c r="L894" s="19">
        <f>'Sampling Data'!K894</f>
        <v>0</v>
      </c>
      <c r="M894" s="19">
        <f>'Sampling Data'!L894</f>
        <v>0</v>
      </c>
      <c r="N894" s="19">
        <f>'Sampling Data'!M894</f>
        <v>0</v>
      </c>
      <c r="O894" s="18">
        <f>'Sampling Data'!N894</f>
        <v>0</v>
      </c>
      <c r="P894" s="18">
        <f>'Sampling Data'!O894</f>
        <v>1</v>
      </c>
      <c r="Q894" s="18">
        <f>'Sampling Data'!P894</f>
        <v>136</v>
      </c>
      <c r="R894" s="18">
        <f>'Sampling Data'!AJ894</f>
        <v>0</v>
      </c>
      <c r="S894" s="112"/>
      <c r="T894" s="112"/>
      <c r="U894" s="113"/>
      <c r="V894" s="113"/>
      <c r="W894" s="112"/>
      <c r="X894" s="112"/>
      <c r="Y894" s="112"/>
      <c r="Z894" s="112"/>
      <c r="AA894" s="15"/>
      <c r="AB894" s="15"/>
      <c r="AC894" s="15"/>
      <c r="AD894" s="15"/>
      <c r="AE894" s="114" t="str">
        <f>IF(NOT(ISBLANK(Audit[[#This Row],[Audit Winning Candidate]])), Audit[[#This Row],[Audit Winning Candidate]]-Audit[[#This Row],[Winning Candidate]], "")</f>
        <v/>
      </c>
      <c r="AF894" s="18" t="str">
        <f>IF(NOT(ISBLANK(Audit[[#This Row],[Audit Losing Candidate]])), Audit[[#This Row],[Audit Losing Candidate]]-Audit[[#This Row],[Losing Candidate]], "")</f>
        <v/>
      </c>
      <c r="AG894" s="18" t="str">
        <f>IF(NOT(ISBLANK(Audit[[#This Row],[Audit Candidate 3]])), Audit[[#This Row],[Audit Candidate 3]]-Audit[[#This Row],[Candidate 3]], "")</f>
        <v/>
      </c>
      <c r="AH894" s="18" t="str">
        <f>IF(NOT(ISBLANK(Audit[[#This Row],[Audit Candidate 4]])),Audit[[#This Row],[Audit Candidate 4]]-Audit[[#This Row],[Candidate 4]], "")</f>
        <v/>
      </c>
      <c r="AI894" s="18" t="str">
        <f>IF(NOT(ISBLANK(Audit[[#This Row],[Audit Candidate 5]])), Audit[[#This Row],[Audit Candidate 5]]-Audit[[#This Row],[Candidate 5]], "")</f>
        <v/>
      </c>
      <c r="AJ894" s="18" t="str">
        <f>IF(NOT(ISBLANK(Audit[[#This Row],[Audit Candidate 6]])), Audit[[#This Row],[Audit Candidate 6]]-Audit[[#This Row],[Candidate 6]], "")</f>
        <v/>
      </c>
      <c r="AK894" s="18" t="str">
        <f>IF(NOT(ISBLANK(Audit[[#This Row],[Audit Candidate 7]])), Audit[[#This Row],[Audit Candidate 7]]-Audit[[#This Row],[Candidate 7]], "")</f>
        <v/>
      </c>
      <c r="AL894" s="18" t="str">
        <f>IF(NOT(ISBLANK(Audit[[#This Row],[Audit Candidate 8]])), Audit[[#This Row],[Audit Candidate 8]]-Audit[[#This Row],[Candidate 8]], "")</f>
        <v/>
      </c>
      <c r="AM894" s="18" t="str">
        <f>IF(NOT(ISBLANK(Audit[[#This Row],[Audit Candidate 9]])), Audit[[#This Row],[Audit Candidate 9]]-Audit[[#This Row],[Candidate 9]], "")</f>
        <v/>
      </c>
      <c r="AN894" s="18" t="str">
        <f>IF(NOT(ISBLANK(Audit[[#This Row],[Audit Candidate 10]])), Audit[[#This Row],[Audit Candidate 10]]-Audit[[#This Row],[Candidate 10]], "")</f>
        <v/>
      </c>
      <c r="AO894" s="18" t="str">
        <f>IF(NOT(ISBLANK(Audit[[#This Row],[Audit Candidate 11]])), Audit[[#This Row],[Audit Candidate 11]]-Audit[[#This Row],[Candidate 11]], "")</f>
        <v/>
      </c>
      <c r="AP894" s="18" t="str">
        <f>IF(NOT(ISBLANK(Audit[[#This Row],[Audit Candidate 12]])), Audit[[#This Row],[Audit Candidate 12]]-Audit[[#This Row],[Candidate 12]], "")</f>
        <v/>
      </c>
      <c r="AQ894" s="18">
        <f>SUMIF(Audit[[#This Row],[Difference Winner]:[Difference Candidate 12]], "&gt;0")</f>
        <v>0</v>
      </c>
      <c r="AR894" s="18">
        <f>SUM(Audit[[#This Row],[Difference Winner]:[Difference Candidate 12]])</f>
        <v>0</v>
      </c>
      <c r="AS894" s="18">
        <f>IF(Audit[[#This Row],[Times p Drawn - With Replacement]]&gt;0, IF(Audit[[#This Row],[Canceled Differences]]&lt;0, Audit[[#This Row],[Max Differences]]+ABS(Audit[[#This Row],[Canceled Differences]]), Audit[[#This Row],[Max Differences]]), 0)</f>
        <v>0</v>
      </c>
      <c r="AT894" s="18">
        <f>'Sampling Data'!AB894</f>
        <v>7.8839086597355286E-3</v>
      </c>
      <c r="AU894" s="18">
        <f>IF(
      SUM(Audit[[#This Row],[Audit Losing Candidate]:[Audit Candidate 12]])
      &lt;&gt;0,
      (Audit[[#This Row],[Winning Candidate]]-Audit[[#This Row],[Losing Candidate]]-(Audit[[#This Row],[Audit Winning Candidate]]-Audit[[#This Row],[Audit Losing Candidate]]))/(Audit[[#Totals],[Winning Candidate]]-Audit[[#Totals],[Losing Candidate]]),
      0
)</f>
        <v>0</v>
      </c>
      <c r="AV8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8">
        <f>IF(Audit[[#This Row],[Max Relative Error (ep)]] = 0, 0, Audit[[#This Row],[Max Relative Error (ep)]]/Audit[[#This Row],[Error Bound (up) - Max. possible relative overstatement]])</f>
        <v>0</v>
      </c>
      <c r="BH8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4" s="18">
        <f t="shared" si="14"/>
        <v>1</v>
      </c>
      <c r="BJ894" s="18">
        <f>PRODUCT($BI$5:BI894)</f>
        <v>0.32656797278968008</v>
      </c>
      <c r="BK894" s="20">
        <f>1 - Audit[[#This Row],[K-M P Value]]</f>
        <v>0.67343202721031992</v>
      </c>
      <c r="BL894" s="18" t="str">
        <f>IF(Audit[[#This Row],[K-M P Value]]&gt;1-'General Info'!$B$12,"Continue", "Stop")</f>
        <v>Continue</v>
      </c>
      <c r="BM894" s="23" t="b">
        <f>IF(Audit[[#This Row],[Status - Continue or stop audit]] = "Continue", TRUE, IF(BL893 = "Continue", TRUE, FALSE))</f>
        <v>1</v>
      </c>
      <c r="BN894" s="23"/>
    </row>
    <row r="895" spans="1:66" ht="15" hidden="1" customHeight="1" x14ac:dyDescent="0.35">
      <c r="A895" s="18" t="str">
        <f>'Sampling Data'!AI895</f>
        <v/>
      </c>
      <c r="B895" s="18" t="str">
        <f>'Sampling Data'!A895</f>
        <v>5613 AND M   (ED)</v>
      </c>
      <c r="C895" s="18">
        <f>'Sampling Data'!B895</f>
        <v>47</v>
      </c>
      <c r="D895" s="18">
        <f>'Sampling Data'!C895</f>
        <v>6</v>
      </c>
      <c r="E895" s="19">
        <f>'Sampling Data'!D895</f>
        <v>0</v>
      </c>
      <c r="F895" s="19">
        <f>'Sampling Data'!E895</f>
        <v>0</v>
      </c>
      <c r="G895" s="19">
        <f>'Sampling Data'!F895</f>
        <v>0</v>
      </c>
      <c r="H895" s="19">
        <f>'Sampling Data'!G895</f>
        <v>0</v>
      </c>
      <c r="I895" s="19">
        <f>'Sampling Data'!H895</f>
        <v>0</v>
      </c>
      <c r="J895" s="19">
        <f>'Sampling Data'!I895</f>
        <v>0</v>
      </c>
      <c r="K895" s="19">
        <f>'Sampling Data'!J895</f>
        <v>0</v>
      </c>
      <c r="L895" s="19">
        <f>'Sampling Data'!K895</f>
        <v>0</v>
      </c>
      <c r="M895" s="19">
        <f>'Sampling Data'!L895</f>
        <v>0</v>
      </c>
      <c r="N895" s="19">
        <f>'Sampling Data'!M895</f>
        <v>0</v>
      </c>
      <c r="O895" s="18">
        <f>'Sampling Data'!N895</f>
        <v>0</v>
      </c>
      <c r="P895" s="18">
        <f>'Sampling Data'!O895</f>
        <v>1</v>
      </c>
      <c r="Q895" s="18">
        <f>'Sampling Data'!P895</f>
        <v>54</v>
      </c>
      <c r="R895" s="18">
        <f>'Sampling Data'!AJ895</f>
        <v>0</v>
      </c>
      <c r="S895" s="112"/>
      <c r="T895" s="112"/>
      <c r="U895" s="113"/>
      <c r="V895" s="113"/>
      <c r="W895" s="112"/>
      <c r="X895" s="112"/>
      <c r="Y895" s="112"/>
      <c r="Z895" s="112"/>
      <c r="AA895" s="15"/>
      <c r="AB895" s="15"/>
      <c r="AC895" s="15"/>
      <c r="AD895" s="15"/>
      <c r="AE895" s="114" t="str">
        <f>IF(NOT(ISBLANK(Audit[[#This Row],[Audit Winning Candidate]])), Audit[[#This Row],[Audit Winning Candidate]]-Audit[[#This Row],[Winning Candidate]], "")</f>
        <v/>
      </c>
      <c r="AF895" s="18" t="str">
        <f>IF(NOT(ISBLANK(Audit[[#This Row],[Audit Losing Candidate]])), Audit[[#This Row],[Audit Losing Candidate]]-Audit[[#This Row],[Losing Candidate]], "")</f>
        <v/>
      </c>
      <c r="AG895" s="18" t="str">
        <f>IF(NOT(ISBLANK(Audit[[#This Row],[Audit Candidate 3]])), Audit[[#This Row],[Audit Candidate 3]]-Audit[[#This Row],[Candidate 3]], "")</f>
        <v/>
      </c>
      <c r="AH895" s="18" t="str">
        <f>IF(NOT(ISBLANK(Audit[[#This Row],[Audit Candidate 4]])),Audit[[#This Row],[Audit Candidate 4]]-Audit[[#This Row],[Candidate 4]], "")</f>
        <v/>
      </c>
      <c r="AI895" s="18" t="str">
        <f>IF(NOT(ISBLANK(Audit[[#This Row],[Audit Candidate 5]])), Audit[[#This Row],[Audit Candidate 5]]-Audit[[#This Row],[Candidate 5]], "")</f>
        <v/>
      </c>
      <c r="AJ895" s="18" t="str">
        <f>IF(NOT(ISBLANK(Audit[[#This Row],[Audit Candidate 6]])), Audit[[#This Row],[Audit Candidate 6]]-Audit[[#This Row],[Candidate 6]], "")</f>
        <v/>
      </c>
      <c r="AK895" s="18" t="str">
        <f>IF(NOT(ISBLANK(Audit[[#This Row],[Audit Candidate 7]])), Audit[[#This Row],[Audit Candidate 7]]-Audit[[#This Row],[Candidate 7]], "")</f>
        <v/>
      </c>
      <c r="AL895" s="18" t="str">
        <f>IF(NOT(ISBLANK(Audit[[#This Row],[Audit Candidate 8]])), Audit[[#This Row],[Audit Candidate 8]]-Audit[[#This Row],[Candidate 8]], "")</f>
        <v/>
      </c>
      <c r="AM895" s="18" t="str">
        <f>IF(NOT(ISBLANK(Audit[[#This Row],[Audit Candidate 9]])), Audit[[#This Row],[Audit Candidate 9]]-Audit[[#This Row],[Candidate 9]], "")</f>
        <v/>
      </c>
      <c r="AN895" s="18" t="str">
        <f>IF(NOT(ISBLANK(Audit[[#This Row],[Audit Candidate 10]])), Audit[[#This Row],[Audit Candidate 10]]-Audit[[#This Row],[Candidate 10]], "")</f>
        <v/>
      </c>
      <c r="AO895" s="18" t="str">
        <f>IF(NOT(ISBLANK(Audit[[#This Row],[Audit Candidate 11]])), Audit[[#This Row],[Audit Candidate 11]]-Audit[[#This Row],[Candidate 11]], "")</f>
        <v/>
      </c>
      <c r="AP895" s="18" t="str">
        <f>IF(NOT(ISBLANK(Audit[[#This Row],[Audit Candidate 12]])), Audit[[#This Row],[Audit Candidate 12]]-Audit[[#This Row],[Candidate 12]], "")</f>
        <v/>
      </c>
      <c r="AQ895" s="18">
        <f>SUMIF(Audit[[#This Row],[Difference Winner]:[Difference Candidate 12]], "&gt;0")</f>
        <v>0</v>
      </c>
      <c r="AR895" s="18">
        <f>SUM(Audit[[#This Row],[Difference Winner]:[Difference Candidate 12]])</f>
        <v>0</v>
      </c>
      <c r="AS895" s="18">
        <f>IF(Audit[[#This Row],[Times p Drawn - With Replacement]]&gt;0, IF(Audit[[#This Row],[Canceled Differences]]&lt;0, Audit[[#This Row],[Max Differences]]+ABS(Audit[[#This Row],[Canceled Differences]]), Audit[[#This Row],[Max Differences]]), 0)</f>
        <v>0</v>
      </c>
      <c r="AT895" s="18">
        <f>'Sampling Data'!AB895</f>
        <v>2.9839494927285863E-3</v>
      </c>
      <c r="AU895" s="18">
        <f>IF(
      SUM(Audit[[#This Row],[Audit Losing Candidate]:[Audit Candidate 12]])
      &lt;&gt;0,
      (Audit[[#This Row],[Winning Candidate]]-Audit[[#This Row],[Losing Candidate]]-(Audit[[#This Row],[Audit Winning Candidate]]-Audit[[#This Row],[Audit Losing Candidate]]))/(Audit[[#Totals],[Winning Candidate]]-Audit[[#Totals],[Losing Candidate]]),
      0
)</f>
        <v>0</v>
      </c>
      <c r="AV8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8">
        <f>IF(Audit[[#This Row],[Max Relative Error (ep)]] = 0, 0, Audit[[#This Row],[Max Relative Error (ep)]]/Audit[[#This Row],[Error Bound (up) - Max. possible relative overstatement]])</f>
        <v>0</v>
      </c>
      <c r="BH8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5" s="18">
        <f t="shared" si="14"/>
        <v>1</v>
      </c>
      <c r="BJ895" s="18">
        <f>PRODUCT($BI$5:BI895)</f>
        <v>0.32656797278968008</v>
      </c>
      <c r="BK895" s="20">
        <f>1 - Audit[[#This Row],[K-M P Value]]</f>
        <v>0.67343202721031992</v>
      </c>
      <c r="BL895" s="18" t="str">
        <f>IF(Audit[[#This Row],[K-M P Value]]&gt;1-'General Info'!$B$12,"Continue", "Stop")</f>
        <v>Continue</v>
      </c>
      <c r="BM895" s="23" t="b">
        <f>IF(Audit[[#This Row],[Status - Continue or stop audit]] = "Continue", TRUE, IF(BL894 = "Continue", TRUE, FALSE))</f>
        <v>1</v>
      </c>
      <c r="BN895" s="23"/>
    </row>
    <row r="896" spans="1:66" ht="15" hidden="1" customHeight="1" x14ac:dyDescent="0.35">
      <c r="A896" s="18" t="str">
        <f>'Sampling Data'!AI896</f>
        <v/>
      </c>
      <c r="B896" s="18" t="str">
        <f>'Sampling Data'!A896</f>
        <v>5614 AND N   (ED)</v>
      </c>
      <c r="C896" s="18">
        <f>'Sampling Data'!B896</f>
        <v>81</v>
      </c>
      <c r="D896" s="18">
        <f>'Sampling Data'!C896</f>
        <v>1</v>
      </c>
      <c r="E896" s="19">
        <f>'Sampling Data'!D896</f>
        <v>0</v>
      </c>
      <c r="F896" s="19">
        <f>'Sampling Data'!E896</f>
        <v>0</v>
      </c>
      <c r="G896" s="19">
        <f>'Sampling Data'!F896</f>
        <v>0</v>
      </c>
      <c r="H896" s="19">
        <f>'Sampling Data'!G896</f>
        <v>0</v>
      </c>
      <c r="I896" s="19">
        <f>'Sampling Data'!H896</f>
        <v>0</v>
      </c>
      <c r="J896" s="19">
        <f>'Sampling Data'!I896</f>
        <v>0</v>
      </c>
      <c r="K896" s="19">
        <f>'Sampling Data'!J896</f>
        <v>0</v>
      </c>
      <c r="L896" s="19">
        <f>'Sampling Data'!K896</f>
        <v>0</v>
      </c>
      <c r="M896" s="19">
        <f>'Sampling Data'!L896</f>
        <v>0</v>
      </c>
      <c r="N896" s="19">
        <f>'Sampling Data'!M896</f>
        <v>0</v>
      </c>
      <c r="O896" s="18">
        <f>'Sampling Data'!N896</f>
        <v>0</v>
      </c>
      <c r="P896" s="18">
        <f>'Sampling Data'!O896</f>
        <v>1</v>
      </c>
      <c r="Q896" s="18">
        <f>'Sampling Data'!P896</f>
        <v>83</v>
      </c>
      <c r="R896" s="18">
        <f>'Sampling Data'!AJ896</f>
        <v>0</v>
      </c>
      <c r="S896" s="112"/>
      <c r="T896" s="112"/>
      <c r="U896" s="113"/>
      <c r="V896" s="113"/>
      <c r="W896" s="112"/>
      <c r="X896" s="112"/>
      <c r="Y896" s="112"/>
      <c r="Z896" s="112"/>
      <c r="AA896" s="15"/>
      <c r="AB896" s="15"/>
      <c r="AC896" s="15"/>
      <c r="AD896" s="15"/>
      <c r="AE896" s="114" t="str">
        <f>IF(NOT(ISBLANK(Audit[[#This Row],[Audit Winning Candidate]])), Audit[[#This Row],[Audit Winning Candidate]]-Audit[[#This Row],[Winning Candidate]], "")</f>
        <v/>
      </c>
      <c r="AF896" s="18" t="str">
        <f>IF(NOT(ISBLANK(Audit[[#This Row],[Audit Losing Candidate]])), Audit[[#This Row],[Audit Losing Candidate]]-Audit[[#This Row],[Losing Candidate]], "")</f>
        <v/>
      </c>
      <c r="AG896" s="18" t="str">
        <f>IF(NOT(ISBLANK(Audit[[#This Row],[Audit Candidate 3]])), Audit[[#This Row],[Audit Candidate 3]]-Audit[[#This Row],[Candidate 3]], "")</f>
        <v/>
      </c>
      <c r="AH896" s="18" t="str">
        <f>IF(NOT(ISBLANK(Audit[[#This Row],[Audit Candidate 4]])),Audit[[#This Row],[Audit Candidate 4]]-Audit[[#This Row],[Candidate 4]], "")</f>
        <v/>
      </c>
      <c r="AI896" s="18" t="str">
        <f>IF(NOT(ISBLANK(Audit[[#This Row],[Audit Candidate 5]])), Audit[[#This Row],[Audit Candidate 5]]-Audit[[#This Row],[Candidate 5]], "")</f>
        <v/>
      </c>
      <c r="AJ896" s="18" t="str">
        <f>IF(NOT(ISBLANK(Audit[[#This Row],[Audit Candidate 6]])), Audit[[#This Row],[Audit Candidate 6]]-Audit[[#This Row],[Candidate 6]], "")</f>
        <v/>
      </c>
      <c r="AK896" s="18" t="str">
        <f>IF(NOT(ISBLANK(Audit[[#This Row],[Audit Candidate 7]])), Audit[[#This Row],[Audit Candidate 7]]-Audit[[#This Row],[Candidate 7]], "")</f>
        <v/>
      </c>
      <c r="AL896" s="18" t="str">
        <f>IF(NOT(ISBLANK(Audit[[#This Row],[Audit Candidate 8]])), Audit[[#This Row],[Audit Candidate 8]]-Audit[[#This Row],[Candidate 8]], "")</f>
        <v/>
      </c>
      <c r="AM896" s="18" t="str">
        <f>IF(NOT(ISBLANK(Audit[[#This Row],[Audit Candidate 9]])), Audit[[#This Row],[Audit Candidate 9]]-Audit[[#This Row],[Candidate 9]], "")</f>
        <v/>
      </c>
      <c r="AN896" s="18" t="str">
        <f>IF(NOT(ISBLANK(Audit[[#This Row],[Audit Candidate 10]])), Audit[[#This Row],[Audit Candidate 10]]-Audit[[#This Row],[Candidate 10]], "")</f>
        <v/>
      </c>
      <c r="AO896" s="18" t="str">
        <f>IF(NOT(ISBLANK(Audit[[#This Row],[Audit Candidate 11]])), Audit[[#This Row],[Audit Candidate 11]]-Audit[[#This Row],[Candidate 11]], "")</f>
        <v/>
      </c>
      <c r="AP896" s="18" t="str">
        <f>IF(NOT(ISBLANK(Audit[[#This Row],[Audit Candidate 12]])), Audit[[#This Row],[Audit Candidate 12]]-Audit[[#This Row],[Candidate 12]], "")</f>
        <v/>
      </c>
      <c r="AQ896" s="18">
        <f>SUMIF(Audit[[#This Row],[Difference Winner]:[Difference Candidate 12]], "&gt;0")</f>
        <v>0</v>
      </c>
      <c r="AR896" s="18">
        <f>SUM(Audit[[#This Row],[Difference Winner]:[Difference Candidate 12]])</f>
        <v>0</v>
      </c>
      <c r="AS896" s="18">
        <f>IF(Audit[[#This Row],[Times p Drawn - With Replacement]]&gt;0, IF(Audit[[#This Row],[Canceled Differences]]&lt;0, Audit[[#This Row],[Max Differences]]+ABS(Audit[[#This Row],[Canceled Differences]]), Audit[[#This Row],[Max Differences]]), 0)</f>
        <v>0</v>
      </c>
      <c r="AT896" s="18">
        <f>'Sampling Data'!AB896</f>
        <v>5.1198291296290482E-3</v>
      </c>
      <c r="AU896" s="18">
        <f>IF(
      SUM(Audit[[#This Row],[Audit Losing Candidate]:[Audit Candidate 12]])
      &lt;&gt;0,
      (Audit[[#This Row],[Winning Candidate]]-Audit[[#This Row],[Losing Candidate]]-(Audit[[#This Row],[Audit Winning Candidate]]-Audit[[#This Row],[Audit Losing Candidate]]))/(Audit[[#Totals],[Winning Candidate]]-Audit[[#Totals],[Losing Candidate]]),
      0
)</f>
        <v>0</v>
      </c>
      <c r="AV8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8">
        <f>IF(Audit[[#This Row],[Max Relative Error (ep)]] = 0, 0, Audit[[#This Row],[Max Relative Error (ep)]]/Audit[[#This Row],[Error Bound (up) - Max. possible relative overstatement]])</f>
        <v>0</v>
      </c>
      <c r="BH8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6" s="18">
        <f t="shared" si="14"/>
        <v>1</v>
      </c>
      <c r="BJ896" s="18">
        <f>PRODUCT($BI$5:BI896)</f>
        <v>0.32656797278968008</v>
      </c>
      <c r="BK896" s="20">
        <f>1 - Audit[[#This Row],[K-M P Value]]</f>
        <v>0.67343202721031992</v>
      </c>
      <c r="BL896" s="18" t="str">
        <f>IF(Audit[[#This Row],[K-M P Value]]&gt;1-'General Info'!$B$12,"Continue", "Stop")</f>
        <v>Continue</v>
      </c>
      <c r="BM896" s="23" t="b">
        <f>IF(Audit[[#This Row],[Status - Continue or stop audit]] = "Continue", TRUE, IF(BL895 = "Continue", TRUE, FALSE))</f>
        <v>1</v>
      </c>
      <c r="BN896" s="23"/>
    </row>
    <row r="897" spans="1:66" ht="15" hidden="1" customHeight="1" x14ac:dyDescent="0.35">
      <c r="A897" s="18" t="str">
        <f>'Sampling Data'!AI897</f>
        <v/>
      </c>
      <c r="B897" s="18" t="str">
        <f>'Sampling Data'!A897</f>
        <v>5615 AND O   (ED)</v>
      </c>
      <c r="C897" s="18">
        <f>'Sampling Data'!B897</f>
        <v>97</v>
      </c>
      <c r="D897" s="18">
        <f>'Sampling Data'!C897</f>
        <v>12</v>
      </c>
      <c r="E897" s="19">
        <f>'Sampling Data'!D897</f>
        <v>0</v>
      </c>
      <c r="F897" s="19">
        <f>'Sampling Data'!E897</f>
        <v>0</v>
      </c>
      <c r="G897" s="19">
        <f>'Sampling Data'!F897</f>
        <v>0</v>
      </c>
      <c r="H897" s="19">
        <f>'Sampling Data'!G897</f>
        <v>0</v>
      </c>
      <c r="I897" s="19">
        <f>'Sampling Data'!H897</f>
        <v>0</v>
      </c>
      <c r="J897" s="19">
        <f>'Sampling Data'!I897</f>
        <v>0</v>
      </c>
      <c r="K897" s="19">
        <f>'Sampling Data'!J897</f>
        <v>0</v>
      </c>
      <c r="L897" s="19">
        <f>'Sampling Data'!K897</f>
        <v>0</v>
      </c>
      <c r="M897" s="19">
        <f>'Sampling Data'!L897</f>
        <v>0</v>
      </c>
      <c r="N897" s="19">
        <f>'Sampling Data'!M897</f>
        <v>0</v>
      </c>
      <c r="O897" s="18">
        <f>'Sampling Data'!N897</f>
        <v>1</v>
      </c>
      <c r="P897" s="18">
        <f>'Sampling Data'!O897</f>
        <v>2</v>
      </c>
      <c r="Q897" s="18">
        <f>'Sampling Data'!P897</f>
        <v>112</v>
      </c>
      <c r="R897" s="18">
        <f>'Sampling Data'!AJ897</f>
        <v>0</v>
      </c>
      <c r="S897" s="112"/>
      <c r="T897" s="112"/>
      <c r="U897" s="113"/>
      <c r="V897" s="113"/>
      <c r="W897" s="112"/>
      <c r="X897" s="112"/>
      <c r="Y897" s="112"/>
      <c r="Z897" s="112"/>
      <c r="AA897" s="15"/>
      <c r="AB897" s="15"/>
      <c r="AC897" s="15"/>
      <c r="AD897" s="15"/>
      <c r="AE897" s="114" t="str">
        <f>IF(NOT(ISBLANK(Audit[[#This Row],[Audit Winning Candidate]])), Audit[[#This Row],[Audit Winning Candidate]]-Audit[[#This Row],[Winning Candidate]], "")</f>
        <v/>
      </c>
      <c r="AF897" s="18" t="str">
        <f>IF(NOT(ISBLANK(Audit[[#This Row],[Audit Losing Candidate]])), Audit[[#This Row],[Audit Losing Candidate]]-Audit[[#This Row],[Losing Candidate]], "")</f>
        <v/>
      </c>
      <c r="AG897" s="18" t="str">
        <f>IF(NOT(ISBLANK(Audit[[#This Row],[Audit Candidate 3]])), Audit[[#This Row],[Audit Candidate 3]]-Audit[[#This Row],[Candidate 3]], "")</f>
        <v/>
      </c>
      <c r="AH897" s="18" t="str">
        <f>IF(NOT(ISBLANK(Audit[[#This Row],[Audit Candidate 4]])),Audit[[#This Row],[Audit Candidate 4]]-Audit[[#This Row],[Candidate 4]], "")</f>
        <v/>
      </c>
      <c r="AI897" s="18" t="str">
        <f>IF(NOT(ISBLANK(Audit[[#This Row],[Audit Candidate 5]])), Audit[[#This Row],[Audit Candidate 5]]-Audit[[#This Row],[Candidate 5]], "")</f>
        <v/>
      </c>
      <c r="AJ897" s="18" t="str">
        <f>IF(NOT(ISBLANK(Audit[[#This Row],[Audit Candidate 6]])), Audit[[#This Row],[Audit Candidate 6]]-Audit[[#This Row],[Candidate 6]], "")</f>
        <v/>
      </c>
      <c r="AK897" s="18" t="str">
        <f>IF(NOT(ISBLANK(Audit[[#This Row],[Audit Candidate 7]])), Audit[[#This Row],[Audit Candidate 7]]-Audit[[#This Row],[Candidate 7]], "")</f>
        <v/>
      </c>
      <c r="AL897" s="18" t="str">
        <f>IF(NOT(ISBLANK(Audit[[#This Row],[Audit Candidate 8]])), Audit[[#This Row],[Audit Candidate 8]]-Audit[[#This Row],[Candidate 8]], "")</f>
        <v/>
      </c>
      <c r="AM897" s="18" t="str">
        <f>IF(NOT(ISBLANK(Audit[[#This Row],[Audit Candidate 9]])), Audit[[#This Row],[Audit Candidate 9]]-Audit[[#This Row],[Candidate 9]], "")</f>
        <v/>
      </c>
      <c r="AN897" s="18" t="str">
        <f>IF(NOT(ISBLANK(Audit[[#This Row],[Audit Candidate 10]])), Audit[[#This Row],[Audit Candidate 10]]-Audit[[#This Row],[Candidate 10]], "")</f>
        <v/>
      </c>
      <c r="AO897" s="18" t="str">
        <f>IF(NOT(ISBLANK(Audit[[#This Row],[Audit Candidate 11]])), Audit[[#This Row],[Audit Candidate 11]]-Audit[[#This Row],[Candidate 11]], "")</f>
        <v/>
      </c>
      <c r="AP897" s="18" t="str">
        <f>IF(NOT(ISBLANK(Audit[[#This Row],[Audit Candidate 12]])), Audit[[#This Row],[Audit Candidate 12]]-Audit[[#This Row],[Candidate 12]], "")</f>
        <v/>
      </c>
      <c r="AQ897" s="18">
        <f>SUMIF(Audit[[#This Row],[Difference Winner]:[Difference Candidate 12]], "&gt;0")</f>
        <v>0</v>
      </c>
      <c r="AR897" s="18">
        <f>SUM(Audit[[#This Row],[Difference Winner]:[Difference Candidate 12]])</f>
        <v>0</v>
      </c>
      <c r="AS897" s="18">
        <f>IF(Audit[[#This Row],[Times p Drawn - With Replacement]]&gt;0, IF(Audit[[#This Row],[Canceled Differences]]&lt;0, Audit[[#This Row],[Max Differences]]+ABS(Audit[[#This Row],[Canceled Differences]]), Audit[[#This Row],[Max Differences]]), 0)</f>
        <v>0</v>
      </c>
      <c r="AT897" s="18">
        <f>'Sampling Data'!AB897</f>
        <v>6.1877689480792789E-3</v>
      </c>
      <c r="AU897" s="18">
        <f>IF(
      SUM(Audit[[#This Row],[Audit Losing Candidate]:[Audit Candidate 12]])
      &lt;&gt;0,
      (Audit[[#This Row],[Winning Candidate]]-Audit[[#This Row],[Losing Candidate]]-(Audit[[#This Row],[Audit Winning Candidate]]-Audit[[#This Row],[Audit Losing Candidate]]))/(Audit[[#Totals],[Winning Candidate]]-Audit[[#Totals],[Losing Candidate]]),
      0
)</f>
        <v>0</v>
      </c>
      <c r="AV8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8">
        <f>IF(Audit[[#This Row],[Max Relative Error (ep)]] = 0, 0, Audit[[#This Row],[Max Relative Error (ep)]]/Audit[[#This Row],[Error Bound (up) - Max. possible relative overstatement]])</f>
        <v>0</v>
      </c>
      <c r="BH8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7" s="18">
        <f t="shared" si="14"/>
        <v>1</v>
      </c>
      <c r="BJ897" s="18">
        <f>PRODUCT($BI$5:BI897)</f>
        <v>0.32656797278968008</v>
      </c>
      <c r="BK897" s="20">
        <f>1 - Audit[[#This Row],[K-M P Value]]</f>
        <v>0.67343202721031992</v>
      </c>
      <c r="BL897" s="18" t="str">
        <f>IF(Audit[[#This Row],[K-M P Value]]&gt;1-'General Info'!$B$12,"Continue", "Stop")</f>
        <v>Continue</v>
      </c>
      <c r="BM897" s="23" t="b">
        <f>IF(Audit[[#This Row],[Status - Continue or stop audit]] = "Continue", TRUE, IF(BL896 = "Continue", TRUE, FALSE))</f>
        <v>1</v>
      </c>
      <c r="BN897" s="23"/>
    </row>
    <row r="898" spans="1:66" ht="15" hidden="1" customHeight="1" x14ac:dyDescent="0.35">
      <c r="A898" s="18" t="str">
        <f>'Sampling Data'!AI898</f>
        <v/>
      </c>
      <c r="B898" s="18" t="str">
        <f>'Sampling Data'!A898</f>
        <v>5616 AND P   (ED)</v>
      </c>
      <c r="C898" s="18">
        <f>'Sampling Data'!B898</f>
        <v>49</v>
      </c>
      <c r="D898" s="18">
        <f>'Sampling Data'!C898</f>
        <v>4</v>
      </c>
      <c r="E898" s="19">
        <f>'Sampling Data'!D898</f>
        <v>0</v>
      </c>
      <c r="F898" s="19">
        <f>'Sampling Data'!E898</f>
        <v>0</v>
      </c>
      <c r="G898" s="19">
        <f>'Sampling Data'!F898</f>
        <v>0</v>
      </c>
      <c r="H898" s="19">
        <f>'Sampling Data'!G898</f>
        <v>0</v>
      </c>
      <c r="I898" s="19">
        <f>'Sampling Data'!H898</f>
        <v>0</v>
      </c>
      <c r="J898" s="19">
        <f>'Sampling Data'!I898</f>
        <v>0</v>
      </c>
      <c r="K898" s="19">
        <f>'Sampling Data'!J898</f>
        <v>0</v>
      </c>
      <c r="L898" s="19">
        <f>'Sampling Data'!K898</f>
        <v>0</v>
      </c>
      <c r="M898" s="19">
        <f>'Sampling Data'!L898</f>
        <v>0</v>
      </c>
      <c r="N898" s="19">
        <f>'Sampling Data'!M898</f>
        <v>0</v>
      </c>
      <c r="O898" s="18">
        <f>'Sampling Data'!N898</f>
        <v>0</v>
      </c>
      <c r="P898" s="18">
        <f>'Sampling Data'!O898</f>
        <v>2</v>
      </c>
      <c r="Q898" s="18">
        <f>'Sampling Data'!P898</f>
        <v>55</v>
      </c>
      <c r="R898" s="18">
        <f>'Sampling Data'!AJ898</f>
        <v>0</v>
      </c>
      <c r="S898" s="112"/>
      <c r="T898" s="112"/>
      <c r="U898" s="113"/>
      <c r="V898" s="113"/>
      <c r="W898" s="112"/>
      <c r="X898" s="112"/>
      <c r="Y898" s="112"/>
      <c r="Z898" s="112"/>
      <c r="AA898" s="15"/>
      <c r="AB898" s="15"/>
      <c r="AC898" s="15"/>
      <c r="AD898" s="15"/>
      <c r="AE898" s="114" t="str">
        <f>IF(NOT(ISBLANK(Audit[[#This Row],[Audit Winning Candidate]])), Audit[[#This Row],[Audit Winning Candidate]]-Audit[[#This Row],[Winning Candidate]], "")</f>
        <v/>
      </c>
      <c r="AF898" s="18" t="str">
        <f>IF(NOT(ISBLANK(Audit[[#This Row],[Audit Losing Candidate]])), Audit[[#This Row],[Audit Losing Candidate]]-Audit[[#This Row],[Losing Candidate]], "")</f>
        <v/>
      </c>
      <c r="AG898" s="18" t="str">
        <f>IF(NOT(ISBLANK(Audit[[#This Row],[Audit Candidate 3]])), Audit[[#This Row],[Audit Candidate 3]]-Audit[[#This Row],[Candidate 3]], "")</f>
        <v/>
      </c>
      <c r="AH898" s="18" t="str">
        <f>IF(NOT(ISBLANK(Audit[[#This Row],[Audit Candidate 4]])),Audit[[#This Row],[Audit Candidate 4]]-Audit[[#This Row],[Candidate 4]], "")</f>
        <v/>
      </c>
      <c r="AI898" s="18" t="str">
        <f>IF(NOT(ISBLANK(Audit[[#This Row],[Audit Candidate 5]])), Audit[[#This Row],[Audit Candidate 5]]-Audit[[#This Row],[Candidate 5]], "")</f>
        <v/>
      </c>
      <c r="AJ898" s="18" t="str">
        <f>IF(NOT(ISBLANK(Audit[[#This Row],[Audit Candidate 6]])), Audit[[#This Row],[Audit Candidate 6]]-Audit[[#This Row],[Candidate 6]], "")</f>
        <v/>
      </c>
      <c r="AK898" s="18" t="str">
        <f>IF(NOT(ISBLANK(Audit[[#This Row],[Audit Candidate 7]])), Audit[[#This Row],[Audit Candidate 7]]-Audit[[#This Row],[Candidate 7]], "")</f>
        <v/>
      </c>
      <c r="AL898" s="18" t="str">
        <f>IF(NOT(ISBLANK(Audit[[#This Row],[Audit Candidate 8]])), Audit[[#This Row],[Audit Candidate 8]]-Audit[[#This Row],[Candidate 8]], "")</f>
        <v/>
      </c>
      <c r="AM898" s="18" t="str">
        <f>IF(NOT(ISBLANK(Audit[[#This Row],[Audit Candidate 9]])), Audit[[#This Row],[Audit Candidate 9]]-Audit[[#This Row],[Candidate 9]], "")</f>
        <v/>
      </c>
      <c r="AN898" s="18" t="str">
        <f>IF(NOT(ISBLANK(Audit[[#This Row],[Audit Candidate 10]])), Audit[[#This Row],[Audit Candidate 10]]-Audit[[#This Row],[Candidate 10]], "")</f>
        <v/>
      </c>
      <c r="AO898" s="18" t="str">
        <f>IF(NOT(ISBLANK(Audit[[#This Row],[Audit Candidate 11]])), Audit[[#This Row],[Audit Candidate 11]]-Audit[[#This Row],[Candidate 11]], "")</f>
        <v/>
      </c>
      <c r="AP898" s="18" t="str">
        <f>IF(NOT(ISBLANK(Audit[[#This Row],[Audit Candidate 12]])), Audit[[#This Row],[Audit Candidate 12]]-Audit[[#This Row],[Candidate 12]], "")</f>
        <v/>
      </c>
      <c r="AQ898" s="18">
        <f>SUMIF(Audit[[#This Row],[Difference Winner]:[Difference Candidate 12]], "&gt;0")</f>
        <v>0</v>
      </c>
      <c r="AR898" s="18">
        <f>SUM(Audit[[#This Row],[Difference Winner]:[Difference Candidate 12]])</f>
        <v>0</v>
      </c>
      <c r="AS898" s="18">
        <f>IF(Audit[[#This Row],[Times p Drawn - With Replacement]]&gt;0, IF(Audit[[#This Row],[Canceled Differences]]&lt;0, Audit[[#This Row],[Max Differences]]+ABS(Audit[[#This Row],[Canceled Differences]]), Audit[[#This Row],[Max Differences]]), 0)</f>
        <v>0</v>
      </c>
      <c r="AT898" s="18">
        <f>'Sampling Data'!AB898</f>
        <v>3.1409994660300906E-3</v>
      </c>
      <c r="AU898" s="18">
        <f>IF(
      SUM(Audit[[#This Row],[Audit Losing Candidate]:[Audit Candidate 12]])
      &lt;&gt;0,
      (Audit[[#This Row],[Winning Candidate]]-Audit[[#This Row],[Losing Candidate]]-(Audit[[#This Row],[Audit Winning Candidate]]-Audit[[#This Row],[Audit Losing Candidate]]))/(Audit[[#Totals],[Winning Candidate]]-Audit[[#Totals],[Losing Candidate]]),
      0
)</f>
        <v>0</v>
      </c>
      <c r="AV8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8">
        <f>IF(Audit[[#This Row],[Max Relative Error (ep)]] = 0, 0, Audit[[#This Row],[Max Relative Error (ep)]]/Audit[[#This Row],[Error Bound (up) - Max. possible relative overstatement]])</f>
        <v>0</v>
      </c>
      <c r="BH8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8" s="18">
        <f t="shared" si="14"/>
        <v>1</v>
      </c>
      <c r="BJ898" s="18">
        <f>PRODUCT($BI$5:BI898)</f>
        <v>0.32656797278968008</v>
      </c>
      <c r="BK898" s="20">
        <f>1 - Audit[[#This Row],[K-M P Value]]</f>
        <v>0.67343202721031992</v>
      </c>
      <c r="BL898" s="18" t="str">
        <f>IF(Audit[[#This Row],[K-M P Value]]&gt;1-'General Info'!$B$12,"Continue", "Stop")</f>
        <v>Continue</v>
      </c>
      <c r="BM898" s="23" t="b">
        <f>IF(Audit[[#This Row],[Status - Continue or stop audit]] = "Continue", TRUE, IF(BL897 = "Continue", TRUE, FALSE))</f>
        <v>1</v>
      </c>
      <c r="BN898" s="23"/>
    </row>
    <row r="899" spans="1:66" ht="15" hidden="1" customHeight="1" x14ac:dyDescent="0.35">
      <c r="A899" s="18" t="str">
        <f>'Sampling Data'!AI899</f>
        <v/>
      </c>
      <c r="B899" s="18" t="str">
        <f>'Sampling Data'!A899</f>
        <v>5617 AND Q   (ED)</v>
      </c>
      <c r="C899" s="18">
        <f>'Sampling Data'!B899</f>
        <v>121</v>
      </c>
      <c r="D899" s="18">
        <f>'Sampling Data'!C899</f>
        <v>20</v>
      </c>
      <c r="E899" s="19">
        <f>'Sampling Data'!D899</f>
        <v>0</v>
      </c>
      <c r="F899" s="19">
        <f>'Sampling Data'!E899</f>
        <v>0</v>
      </c>
      <c r="G899" s="19">
        <f>'Sampling Data'!F899</f>
        <v>0</v>
      </c>
      <c r="H899" s="19">
        <f>'Sampling Data'!G899</f>
        <v>0</v>
      </c>
      <c r="I899" s="19">
        <f>'Sampling Data'!H899</f>
        <v>0</v>
      </c>
      <c r="J899" s="19">
        <f>'Sampling Data'!I899</f>
        <v>0</v>
      </c>
      <c r="K899" s="19">
        <f>'Sampling Data'!J899</f>
        <v>0</v>
      </c>
      <c r="L899" s="19">
        <f>'Sampling Data'!K899</f>
        <v>0</v>
      </c>
      <c r="M899" s="19">
        <f>'Sampling Data'!L899</f>
        <v>0</v>
      </c>
      <c r="N899" s="19">
        <f>'Sampling Data'!M899</f>
        <v>0</v>
      </c>
      <c r="O899" s="18">
        <f>'Sampling Data'!N899</f>
        <v>0</v>
      </c>
      <c r="P899" s="18">
        <f>'Sampling Data'!O899</f>
        <v>1</v>
      </c>
      <c r="Q899" s="18">
        <f>'Sampling Data'!P899</f>
        <v>142</v>
      </c>
      <c r="R899" s="18">
        <f>'Sampling Data'!AJ899</f>
        <v>0</v>
      </c>
      <c r="S899" s="112"/>
      <c r="T899" s="112"/>
      <c r="U899" s="113"/>
      <c r="V899" s="113"/>
      <c r="W899" s="112"/>
      <c r="X899" s="112"/>
      <c r="Y899" s="112"/>
      <c r="Z899" s="112"/>
      <c r="AA899" s="15"/>
      <c r="AB899" s="15"/>
      <c r="AC899" s="15"/>
      <c r="AD899" s="15"/>
      <c r="AE899" s="114" t="str">
        <f>IF(NOT(ISBLANK(Audit[[#This Row],[Audit Winning Candidate]])), Audit[[#This Row],[Audit Winning Candidate]]-Audit[[#This Row],[Winning Candidate]], "")</f>
        <v/>
      </c>
      <c r="AF899" s="18" t="str">
        <f>IF(NOT(ISBLANK(Audit[[#This Row],[Audit Losing Candidate]])), Audit[[#This Row],[Audit Losing Candidate]]-Audit[[#This Row],[Losing Candidate]], "")</f>
        <v/>
      </c>
      <c r="AG899" s="18" t="str">
        <f>IF(NOT(ISBLANK(Audit[[#This Row],[Audit Candidate 3]])), Audit[[#This Row],[Audit Candidate 3]]-Audit[[#This Row],[Candidate 3]], "")</f>
        <v/>
      </c>
      <c r="AH899" s="18" t="str">
        <f>IF(NOT(ISBLANK(Audit[[#This Row],[Audit Candidate 4]])),Audit[[#This Row],[Audit Candidate 4]]-Audit[[#This Row],[Candidate 4]], "")</f>
        <v/>
      </c>
      <c r="AI899" s="18" t="str">
        <f>IF(NOT(ISBLANK(Audit[[#This Row],[Audit Candidate 5]])), Audit[[#This Row],[Audit Candidate 5]]-Audit[[#This Row],[Candidate 5]], "")</f>
        <v/>
      </c>
      <c r="AJ899" s="18" t="str">
        <f>IF(NOT(ISBLANK(Audit[[#This Row],[Audit Candidate 6]])), Audit[[#This Row],[Audit Candidate 6]]-Audit[[#This Row],[Candidate 6]], "")</f>
        <v/>
      </c>
      <c r="AK899" s="18" t="str">
        <f>IF(NOT(ISBLANK(Audit[[#This Row],[Audit Candidate 7]])), Audit[[#This Row],[Audit Candidate 7]]-Audit[[#This Row],[Candidate 7]], "")</f>
        <v/>
      </c>
      <c r="AL899" s="18" t="str">
        <f>IF(NOT(ISBLANK(Audit[[#This Row],[Audit Candidate 8]])), Audit[[#This Row],[Audit Candidate 8]]-Audit[[#This Row],[Candidate 8]], "")</f>
        <v/>
      </c>
      <c r="AM899" s="18" t="str">
        <f>IF(NOT(ISBLANK(Audit[[#This Row],[Audit Candidate 9]])), Audit[[#This Row],[Audit Candidate 9]]-Audit[[#This Row],[Candidate 9]], "")</f>
        <v/>
      </c>
      <c r="AN899" s="18" t="str">
        <f>IF(NOT(ISBLANK(Audit[[#This Row],[Audit Candidate 10]])), Audit[[#This Row],[Audit Candidate 10]]-Audit[[#This Row],[Candidate 10]], "")</f>
        <v/>
      </c>
      <c r="AO899" s="18" t="str">
        <f>IF(NOT(ISBLANK(Audit[[#This Row],[Audit Candidate 11]])), Audit[[#This Row],[Audit Candidate 11]]-Audit[[#This Row],[Candidate 11]], "")</f>
        <v/>
      </c>
      <c r="AP899" s="18" t="str">
        <f>IF(NOT(ISBLANK(Audit[[#This Row],[Audit Candidate 12]])), Audit[[#This Row],[Audit Candidate 12]]-Audit[[#This Row],[Candidate 12]], "")</f>
        <v/>
      </c>
      <c r="AQ899" s="18">
        <f>SUMIF(Audit[[#This Row],[Difference Winner]:[Difference Candidate 12]], "&gt;0")</f>
        <v>0</v>
      </c>
      <c r="AR899" s="18">
        <f>SUM(Audit[[#This Row],[Difference Winner]:[Difference Candidate 12]])</f>
        <v>0</v>
      </c>
      <c r="AS899" s="18">
        <f>IF(Audit[[#This Row],[Times p Drawn - With Replacement]]&gt;0, IF(Audit[[#This Row],[Canceled Differences]]&lt;0, Audit[[#This Row],[Max Differences]]+ABS(Audit[[#This Row],[Canceled Differences]]), Audit[[#This Row],[Max Differences]]), 0)</f>
        <v>0</v>
      </c>
      <c r="AT899" s="18">
        <f>'Sampling Data'!AB899</f>
        <v>7.6326287024531207E-3</v>
      </c>
      <c r="AU899" s="18">
        <f>IF(
      SUM(Audit[[#This Row],[Audit Losing Candidate]:[Audit Candidate 12]])
      &lt;&gt;0,
      (Audit[[#This Row],[Winning Candidate]]-Audit[[#This Row],[Losing Candidate]]-(Audit[[#This Row],[Audit Winning Candidate]]-Audit[[#This Row],[Audit Losing Candidate]]))/(Audit[[#Totals],[Winning Candidate]]-Audit[[#Totals],[Losing Candidate]]),
      0
)</f>
        <v>0</v>
      </c>
      <c r="AV8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8">
        <f>IF(Audit[[#This Row],[Max Relative Error (ep)]] = 0, 0, Audit[[#This Row],[Max Relative Error (ep)]]/Audit[[#This Row],[Error Bound (up) - Max. possible relative overstatement]])</f>
        <v>0</v>
      </c>
      <c r="BH8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899" s="18">
        <f t="shared" si="14"/>
        <v>1</v>
      </c>
      <c r="BJ899" s="18">
        <f>PRODUCT($BI$5:BI899)</f>
        <v>0.32656797278968008</v>
      </c>
      <c r="BK899" s="20">
        <f>1 - Audit[[#This Row],[K-M P Value]]</f>
        <v>0.67343202721031992</v>
      </c>
      <c r="BL899" s="18" t="str">
        <f>IF(Audit[[#This Row],[K-M P Value]]&gt;1-'General Info'!$B$12,"Continue", "Stop")</f>
        <v>Continue</v>
      </c>
      <c r="BM899" s="23" t="b">
        <f>IF(Audit[[#This Row],[Status - Continue or stop audit]] = "Continue", TRUE, IF(BL898 = "Continue", TRUE, FALSE))</f>
        <v>1</v>
      </c>
      <c r="BN899" s="23"/>
    </row>
    <row r="900" spans="1:66" ht="15" hidden="1" customHeight="1" x14ac:dyDescent="0.35">
      <c r="A900" s="18" t="str">
        <f>'Sampling Data'!AI900</f>
        <v/>
      </c>
      <c r="B900" s="18" t="str">
        <f>'Sampling Data'!A900</f>
        <v>5618 AND R   (ED)</v>
      </c>
      <c r="C900" s="18">
        <f>'Sampling Data'!B900</f>
        <v>81</v>
      </c>
      <c r="D900" s="18">
        <f>'Sampling Data'!C900</f>
        <v>15</v>
      </c>
      <c r="E900" s="19">
        <f>'Sampling Data'!D900</f>
        <v>0</v>
      </c>
      <c r="F900" s="19">
        <f>'Sampling Data'!E900</f>
        <v>0</v>
      </c>
      <c r="G900" s="19">
        <f>'Sampling Data'!F900</f>
        <v>0</v>
      </c>
      <c r="H900" s="19">
        <f>'Sampling Data'!G900</f>
        <v>0</v>
      </c>
      <c r="I900" s="19">
        <f>'Sampling Data'!H900</f>
        <v>0</v>
      </c>
      <c r="J900" s="19">
        <f>'Sampling Data'!I900</f>
        <v>0</v>
      </c>
      <c r="K900" s="19">
        <f>'Sampling Data'!J900</f>
        <v>0</v>
      </c>
      <c r="L900" s="19">
        <f>'Sampling Data'!K900</f>
        <v>0</v>
      </c>
      <c r="M900" s="19">
        <f>'Sampling Data'!L900</f>
        <v>0</v>
      </c>
      <c r="N900" s="19">
        <f>'Sampling Data'!M900</f>
        <v>0</v>
      </c>
      <c r="O900" s="18">
        <f>'Sampling Data'!N900</f>
        <v>0</v>
      </c>
      <c r="P900" s="18">
        <f>'Sampling Data'!O900</f>
        <v>1</v>
      </c>
      <c r="Q900" s="18">
        <f>'Sampling Data'!P900</f>
        <v>97</v>
      </c>
      <c r="R900" s="18">
        <f>'Sampling Data'!AJ900</f>
        <v>0</v>
      </c>
      <c r="S900" s="112"/>
      <c r="T900" s="112"/>
      <c r="U900" s="113"/>
      <c r="V900" s="113"/>
      <c r="W900" s="112"/>
      <c r="X900" s="112"/>
      <c r="Y900" s="112"/>
      <c r="Z900" s="112"/>
      <c r="AA900" s="15"/>
      <c r="AB900" s="15"/>
      <c r="AC900" s="15"/>
      <c r="AD900" s="15"/>
      <c r="AE900" s="114" t="str">
        <f>IF(NOT(ISBLANK(Audit[[#This Row],[Audit Winning Candidate]])), Audit[[#This Row],[Audit Winning Candidate]]-Audit[[#This Row],[Winning Candidate]], "")</f>
        <v/>
      </c>
      <c r="AF900" s="18" t="str">
        <f>IF(NOT(ISBLANK(Audit[[#This Row],[Audit Losing Candidate]])), Audit[[#This Row],[Audit Losing Candidate]]-Audit[[#This Row],[Losing Candidate]], "")</f>
        <v/>
      </c>
      <c r="AG900" s="18" t="str">
        <f>IF(NOT(ISBLANK(Audit[[#This Row],[Audit Candidate 3]])), Audit[[#This Row],[Audit Candidate 3]]-Audit[[#This Row],[Candidate 3]], "")</f>
        <v/>
      </c>
      <c r="AH900" s="18" t="str">
        <f>IF(NOT(ISBLANK(Audit[[#This Row],[Audit Candidate 4]])),Audit[[#This Row],[Audit Candidate 4]]-Audit[[#This Row],[Candidate 4]], "")</f>
        <v/>
      </c>
      <c r="AI900" s="18" t="str">
        <f>IF(NOT(ISBLANK(Audit[[#This Row],[Audit Candidate 5]])), Audit[[#This Row],[Audit Candidate 5]]-Audit[[#This Row],[Candidate 5]], "")</f>
        <v/>
      </c>
      <c r="AJ900" s="18" t="str">
        <f>IF(NOT(ISBLANK(Audit[[#This Row],[Audit Candidate 6]])), Audit[[#This Row],[Audit Candidate 6]]-Audit[[#This Row],[Candidate 6]], "")</f>
        <v/>
      </c>
      <c r="AK900" s="18" t="str">
        <f>IF(NOT(ISBLANK(Audit[[#This Row],[Audit Candidate 7]])), Audit[[#This Row],[Audit Candidate 7]]-Audit[[#This Row],[Candidate 7]], "")</f>
        <v/>
      </c>
      <c r="AL900" s="18" t="str">
        <f>IF(NOT(ISBLANK(Audit[[#This Row],[Audit Candidate 8]])), Audit[[#This Row],[Audit Candidate 8]]-Audit[[#This Row],[Candidate 8]], "")</f>
        <v/>
      </c>
      <c r="AM900" s="18" t="str">
        <f>IF(NOT(ISBLANK(Audit[[#This Row],[Audit Candidate 9]])), Audit[[#This Row],[Audit Candidate 9]]-Audit[[#This Row],[Candidate 9]], "")</f>
        <v/>
      </c>
      <c r="AN900" s="18" t="str">
        <f>IF(NOT(ISBLANK(Audit[[#This Row],[Audit Candidate 10]])), Audit[[#This Row],[Audit Candidate 10]]-Audit[[#This Row],[Candidate 10]], "")</f>
        <v/>
      </c>
      <c r="AO900" s="18" t="str">
        <f>IF(NOT(ISBLANK(Audit[[#This Row],[Audit Candidate 11]])), Audit[[#This Row],[Audit Candidate 11]]-Audit[[#This Row],[Candidate 11]], "")</f>
        <v/>
      </c>
      <c r="AP900" s="18" t="str">
        <f>IF(NOT(ISBLANK(Audit[[#This Row],[Audit Candidate 12]])), Audit[[#This Row],[Audit Candidate 12]]-Audit[[#This Row],[Candidate 12]], "")</f>
        <v/>
      </c>
      <c r="AQ900" s="18">
        <f>SUMIF(Audit[[#This Row],[Difference Winner]:[Difference Candidate 12]], "&gt;0")</f>
        <v>0</v>
      </c>
      <c r="AR900" s="18">
        <f>SUM(Audit[[#This Row],[Difference Winner]:[Difference Candidate 12]])</f>
        <v>0</v>
      </c>
      <c r="AS900" s="18">
        <f>IF(Audit[[#This Row],[Times p Drawn - With Replacement]]&gt;0, IF(Audit[[#This Row],[Canceled Differences]]&lt;0, Audit[[#This Row],[Max Differences]]+ABS(Audit[[#This Row],[Canceled Differences]]), Audit[[#This Row],[Max Differences]]), 0)</f>
        <v>0</v>
      </c>
      <c r="AT900" s="18">
        <f>'Sampling Data'!AB900</f>
        <v>5.1198291296290482E-3</v>
      </c>
      <c r="AU900" s="18">
        <f>IF(
      SUM(Audit[[#This Row],[Audit Losing Candidate]:[Audit Candidate 12]])
      &lt;&gt;0,
      (Audit[[#This Row],[Winning Candidate]]-Audit[[#This Row],[Losing Candidate]]-(Audit[[#This Row],[Audit Winning Candidate]]-Audit[[#This Row],[Audit Losing Candidate]]))/(Audit[[#Totals],[Winning Candidate]]-Audit[[#Totals],[Losing Candidate]]),
      0
)</f>
        <v>0</v>
      </c>
      <c r="AV9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8">
        <f>IF(Audit[[#This Row],[Max Relative Error (ep)]] = 0, 0, Audit[[#This Row],[Max Relative Error (ep)]]/Audit[[#This Row],[Error Bound (up) - Max. possible relative overstatement]])</f>
        <v>0</v>
      </c>
      <c r="BH9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0" s="18">
        <f t="shared" si="14"/>
        <v>1</v>
      </c>
      <c r="BJ900" s="18">
        <f>PRODUCT($BI$5:BI900)</f>
        <v>0.32656797278968008</v>
      </c>
      <c r="BK900" s="20">
        <f>1 - Audit[[#This Row],[K-M P Value]]</f>
        <v>0.67343202721031992</v>
      </c>
      <c r="BL900" s="18" t="str">
        <f>IF(Audit[[#This Row],[K-M P Value]]&gt;1-'General Info'!$B$12,"Continue", "Stop")</f>
        <v>Continue</v>
      </c>
      <c r="BM900" s="23" t="b">
        <f>IF(Audit[[#This Row],[Status - Continue or stop audit]] = "Continue", TRUE, IF(BL899 = "Continue", TRUE, FALSE))</f>
        <v>1</v>
      </c>
      <c r="BN900" s="23"/>
    </row>
    <row r="901" spans="1:66" ht="15" hidden="1" customHeight="1" x14ac:dyDescent="0.35">
      <c r="A901" s="18" t="str">
        <f>'Sampling Data'!AI901</f>
        <v/>
      </c>
      <c r="B901" s="18" t="str">
        <f>'Sampling Data'!A901</f>
        <v>5619 AND S   (ED)</v>
      </c>
      <c r="C901" s="18">
        <f>'Sampling Data'!B901</f>
        <v>70</v>
      </c>
      <c r="D901" s="18">
        <f>'Sampling Data'!C901</f>
        <v>6</v>
      </c>
      <c r="E901" s="19">
        <f>'Sampling Data'!D901</f>
        <v>0</v>
      </c>
      <c r="F901" s="19">
        <f>'Sampling Data'!E901</f>
        <v>0</v>
      </c>
      <c r="G901" s="19">
        <f>'Sampling Data'!F901</f>
        <v>0</v>
      </c>
      <c r="H901" s="19">
        <f>'Sampling Data'!G901</f>
        <v>0</v>
      </c>
      <c r="I901" s="19">
        <f>'Sampling Data'!H901</f>
        <v>0</v>
      </c>
      <c r="J901" s="19">
        <f>'Sampling Data'!I901</f>
        <v>0</v>
      </c>
      <c r="K901" s="19">
        <f>'Sampling Data'!J901</f>
        <v>0</v>
      </c>
      <c r="L901" s="19">
        <f>'Sampling Data'!K901</f>
        <v>0</v>
      </c>
      <c r="M901" s="19">
        <f>'Sampling Data'!L901</f>
        <v>0</v>
      </c>
      <c r="N901" s="19">
        <f>'Sampling Data'!M901</f>
        <v>0</v>
      </c>
      <c r="O901" s="18">
        <f>'Sampling Data'!N901</f>
        <v>0</v>
      </c>
      <c r="P901" s="18">
        <f>'Sampling Data'!O901</f>
        <v>1</v>
      </c>
      <c r="Q901" s="18">
        <f>'Sampling Data'!P901</f>
        <v>77</v>
      </c>
      <c r="R901" s="18">
        <f>'Sampling Data'!AJ901</f>
        <v>0</v>
      </c>
      <c r="S901" s="112"/>
      <c r="T901" s="112"/>
      <c r="U901" s="113"/>
      <c r="V901" s="113"/>
      <c r="W901" s="112"/>
      <c r="X901" s="112"/>
      <c r="Y901" s="112"/>
      <c r="Z901" s="112"/>
      <c r="AA901" s="15"/>
      <c r="AB901" s="15"/>
      <c r="AC901" s="15"/>
      <c r="AD901" s="15"/>
      <c r="AE901" s="114" t="str">
        <f>IF(NOT(ISBLANK(Audit[[#This Row],[Audit Winning Candidate]])), Audit[[#This Row],[Audit Winning Candidate]]-Audit[[#This Row],[Winning Candidate]], "")</f>
        <v/>
      </c>
      <c r="AF901" s="18" t="str">
        <f>IF(NOT(ISBLANK(Audit[[#This Row],[Audit Losing Candidate]])), Audit[[#This Row],[Audit Losing Candidate]]-Audit[[#This Row],[Losing Candidate]], "")</f>
        <v/>
      </c>
      <c r="AG901" s="18" t="str">
        <f>IF(NOT(ISBLANK(Audit[[#This Row],[Audit Candidate 3]])), Audit[[#This Row],[Audit Candidate 3]]-Audit[[#This Row],[Candidate 3]], "")</f>
        <v/>
      </c>
      <c r="AH901" s="18" t="str">
        <f>IF(NOT(ISBLANK(Audit[[#This Row],[Audit Candidate 4]])),Audit[[#This Row],[Audit Candidate 4]]-Audit[[#This Row],[Candidate 4]], "")</f>
        <v/>
      </c>
      <c r="AI901" s="18" t="str">
        <f>IF(NOT(ISBLANK(Audit[[#This Row],[Audit Candidate 5]])), Audit[[#This Row],[Audit Candidate 5]]-Audit[[#This Row],[Candidate 5]], "")</f>
        <v/>
      </c>
      <c r="AJ901" s="18" t="str">
        <f>IF(NOT(ISBLANK(Audit[[#This Row],[Audit Candidate 6]])), Audit[[#This Row],[Audit Candidate 6]]-Audit[[#This Row],[Candidate 6]], "")</f>
        <v/>
      </c>
      <c r="AK901" s="18" t="str">
        <f>IF(NOT(ISBLANK(Audit[[#This Row],[Audit Candidate 7]])), Audit[[#This Row],[Audit Candidate 7]]-Audit[[#This Row],[Candidate 7]], "")</f>
        <v/>
      </c>
      <c r="AL901" s="18" t="str">
        <f>IF(NOT(ISBLANK(Audit[[#This Row],[Audit Candidate 8]])), Audit[[#This Row],[Audit Candidate 8]]-Audit[[#This Row],[Candidate 8]], "")</f>
        <v/>
      </c>
      <c r="AM901" s="18" t="str">
        <f>IF(NOT(ISBLANK(Audit[[#This Row],[Audit Candidate 9]])), Audit[[#This Row],[Audit Candidate 9]]-Audit[[#This Row],[Candidate 9]], "")</f>
        <v/>
      </c>
      <c r="AN901" s="18" t="str">
        <f>IF(NOT(ISBLANK(Audit[[#This Row],[Audit Candidate 10]])), Audit[[#This Row],[Audit Candidate 10]]-Audit[[#This Row],[Candidate 10]], "")</f>
        <v/>
      </c>
      <c r="AO901" s="18" t="str">
        <f>IF(NOT(ISBLANK(Audit[[#This Row],[Audit Candidate 11]])), Audit[[#This Row],[Audit Candidate 11]]-Audit[[#This Row],[Candidate 11]], "")</f>
        <v/>
      </c>
      <c r="AP901" s="18" t="str">
        <f>IF(NOT(ISBLANK(Audit[[#This Row],[Audit Candidate 12]])), Audit[[#This Row],[Audit Candidate 12]]-Audit[[#This Row],[Candidate 12]], "")</f>
        <v/>
      </c>
      <c r="AQ901" s="18">
        <f>SUMIF(Audit[[#This Row],[Difference Winner]:[Difference Candidate 12]], "&gt;0")</f>
        <v>0</v>
      </c>
      <c r="AR901" s="18">
        <f>SUM(Audit[[#This Row],[Difference Winner]:[Difference Candidate 12]])</f>
        <v>0</v>
      </c>
      <c r="AS901" s="18">
        <f>IF(Audit[[#This Row],[Times p Drawn - With Replacement]]&gt;0, IF(Audit[[#This Row],[Canceled Differences]]&lt;0, Audit[[#This Row],[Max Differences]]+ABS(Audit[[#This Row],[Canceled Differences]]), Audit[[#This Row],[Max Differences]]), 0)</f>
        <v>0</v>
      </c>
      <c r="AT901" s="18">
        <f>'Sampling Data'!AB901</f>
        <v>4.4288092471024276E-3</v>
      </c>
      <c r="AU901" s="18">
        <f>IF(
      SUM(Audit[[#This Row],[Audit Losing Candidate]:[Audit Candidate 12]])
      &lt;&gt;0,
      (Audit[[#This Row],[Winning Candidate]]-Audit[[#This Row],[Losing Candidate]]-(Audit[[#This Row],[Audit Winning Candidate]]-Audit[[#This Row],[Audit Losing Candidate]]))/(Audit[[#Totals],[Winning Candidate]]-Audit[[#Totals],[Losing Candidate]]),
      0
)</f>
        <v>0</v>
      </c>
      <c r="AV9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8">
        <f>IF(Audit[[#This Row],[Max Relative Error (ep)]] = 0, 0, Audit[[#This Row],[Max Relative Error (ep)]]/Audit[[#This Row],[Error Bound (up) - Max. possible relative overstatement]])</f>
        <v>0</v>
      </c>
      <c r="BH9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1" s="18">
        <f t="shared" si="14"/>
        <v>1</v>
      </c>
      <c r="BJ901" s="18">
        <f>PRODUCT($BI$5:BI901)</f>
        <v>0.32656797278968008</v>
      </c>
      <c r="BK901" s="20">
        <f>1 - Audit[[#This Row],[K-M P Value]]</f>
        <v>0.67343202721031992</v>
      </c>
      <c r="BL901" s="18" t="str">
        <f>IF(Audit[[#This Row],[K-M P Value]]&gt;1-'General Info'!$B$12,"Continue", "Stop")</f>
        <v>Continue</v>
      </c>
      <c r="BM901" s="23" t="b">
        <f>IF(Audit[[#This Row],[Status - Continue or stop audit]] = "Continue", TRUE, IF(BL900 = "Continue", TRUE, FALSE))</f>
        <v>1</v>
      </c>
      <c r="BN901" s="23"/>
    </row>
    <row r="902" spans="1:66" ht="15" hidden="1" customHeight="1" x14ac:dyDescent="0.35">
      <c r="A902" s="18" t="str">
        <f>'Sampling Data'!AI902</f>
        <v/>
      </c>
      <c r="B902" s="18" t="str">
        <f>'Sampling Data'!A902</f>
        <v>5620 AND T   (ED)</v>
      </c>
      <c r="C902" s="18">
        <f>'Sampling Data'!B902</f>
        <v>62</v>
      </c>
      <c r="D902" s="18">
        <f>'Sampling Data'!C902</f>
        <v>11</v>
      </c>
      <c r="E902" s="19">
        <f>'Sampling Data'!D902</f>
        <v>0</v>
      </c>
      <c r="F902" s="19">
        <f>'Sampling Data'!E902</f>
        <v>0</v>
      </c>
      <c r="G902" s="19">
        <f>'Sampling Data'!F902</f>
        <v>0</v>
      </c>
      <c r="H902" s="19">
        <f>'Sampling Data'!G902</f>
        <v>0</v>
      </c>
      <c r="I902" s="19">
        <f>'Sampling Data'!H902</f>
        <v>0</v>
      </c>
      <c r="J902" s="19">
        <f>'Sampling Data'!I902</f>
        <v>0</v>
      </c>
      <c r="K902" s="19">
        <f>'Sampling Data'!J902</f>
        <v>0</v>
      </c>
      <c r="L902" s="19">
        <f>'Sampling Data'!K902</f>
        <v>0</v>
      </c>
      <c r="M902" s="19">
        <f>'Sampling Data'!L902</f>
        <v>0</v>
      </c>
      <c r="N902" s="19">
        <f>'Sampling Data'!M902</f>
        <v>0</v>
      </c>
      <c r="O902" s="18">
        <f>'Sampling Data'!N902</f>
        <v>0</v>
      </c>
      <c r="P902" s="18">
        <f>'Sampling Data'!O902</f>
        <v>0</v>
      </c>
      <c r="Q902" s="18">
        <f>'Sampling Data'!P902</f>
        <v>73</v>
      </c>
      <c r="R902" s="18">
        <f>'Sampling Data'!AJ902</f>
        <v>0</v>
      </c>
      <c r="S902" s="112"/>
      <c r="T902" s="112"/>
      <c r="U902" s="113"/>
      <c r="V902" s="113"/>
      <c r="W902" s="112"/>
      <c r="X902" s="112"/>
      <c r="Y902" s="112"/>
      <c r="Z902" s="112"/>
      <c r="AA902" s="15"/>
      <c r="AB902" s="15"/>
      <c r="AC902" s="15"/>
      <c r="AD902" s="15"/>
      <c r="AE902" s="114" t="str">
        <f>IF(NOT(ISBLANK(Audit[[#This Row],[Audit Winning Candidate]])), Audit[[#This Row],[Audit Winning Candidate]]-Audit[[#This Row],[Winning Candidate]], "")</f>
        <v/>
      </c>
      <c r="AF902" s="18" t="str">
        <f>IF(NOT(ISBLANK(Audit[[#This Row],[Audit Losing Candidate]])), Audit[[#This Row],[Audit Losing Candidate]]-Audit[[#This Row],[Losing Candidate]], "")</f>
        <v/>
      </c>
      <c r="AG902" s="18" t="str">
        <f>IF(NOT(ISBLANK(Audit[[#This Row],[Audit Candidate 3]])), Audit[[#This Row],[Audit Candidate 3]]-Audit[[#This Row],[Candidate 3]], "")</f>
        <v/>
      </c>
      <c r="AH902" s="18" t="str">
        <f>IF(NOT(ISBLANK(Audit[[#This Row],[Audit Candidate 4]])),Audit[[#This Row],[Audit Candidate 4]]-Audit[[#This Row],[Candidate 4]], "")</f>
        <v/>
      </c>
      <c r="AI902" s="18" t="str">
        <f>IF(NOT(ISBLANK(Audit[[#This Row],[Audit Candidate 5]])), Audit[[#This Row],[Audit Candidate 5]]-Audit[[#This Row],[Candidate 5]], "")</f>
        <v/>
      </c>
      <c r="AJ902" s="18" t="str">
        <f>IF(NOT(ISBLANK(Audit[[#This Row],[Audit Candidate 6]])), Audit[[#This Row],[Audit Candidate 6]]-Audit[[#This Row],[Candidate 6]], "")</f>
        <v/>
      </c>
      <c r="AK902" s="18" t="str">
        <f>IF(NOT(ISBLANK(Audit[[#This Row],[Audit Candidate 7]])), Audit[[#This Row],[Audit Candidate 7]]-Audit[[#This Row],[Candidate 7]], "")</f>
        <v/>
      </c>
      <c r="AL902" s="18" t="str">
        <f>IF(NOT(ISBLANK(Audit[[#This Row],[Audit Candidate 8]])), Audit[[#This Row],[Audit Candidate 8]]-Audit[[#This Row],[Candidate 8]], "")</f>
        <v/>
      </c>
      <c r="AM902" s="18" t="str">
        <f>IF(NOT(ISBLANK(Audit[[#This Row],[Audit Candidate 9]])), Audit[[#This Row],[Audit Candidate 9]]-Audit[[#This Row],[Candidate 9]], "")</f>
        <v/>
      </c>
      <c r="AN902" s="18" t="str">
        <f>IF(NOT(ISBLANK(Audit[[#This Row],[Audit Candidate 10]])), Audit[[#This Row],[Audit Candidate 10]]-Audit[[#This Row],[Candidate 10]], "")</f>
        <v/>
      </c>
      <c r="AO902" s="18" t="str">
        <f>IF(NOT(ISBLANK(Audit[[#This Row],[Audit Candidate 11]])), Audit[[#This Row],[Audit Candidate 11]]-Audit[[#This Row],[Candidate 11]], "")</f>
        <v/>
      </c>
      <c r="AP902" s="18" t="str">
        <f>IF(NOT(ISBLANK(Audit[[#This Row],[Audit Candidate 12]])), Audit[[#This Row],[Audit Candidate 12]]-Audit[[#This Row],[Candidate 12]], "")</f>
        <v/>
      </c>
      <c r="AQ902" s="18">
        <f>SUMIF(Audit[[#This Row],[Difference Winner]:[Difference Candidate 12]], "&gt;0")</f>
        <v>0</v>
      </c>
      <c r="AR902" s="18">
        <f>SUM(Audit[[#This Row],[Difference Winner]:[Difference Candidate 12]])</f>
        <v>0</v>
      </c>
      <c r="AS902" s="18">
        <f>IF(Audit[[#This Row],[Times p Drawn - With Replacement]]&gt;0, IF(Audit[[#This Row],[Canceled Differences]]&lt;0, Audit[[#This Row],[Max Differences]]+ABS(Audit[[#This Row],[Canceled Differences]]), Audit[[#This Row],[Max Differences]]), 0)</f>
        <v>0</v>
      </c>
      <c r="AT902" s="18">
        <f>'Sampling Data'!AB902</f>
        <v>3.8948393378773127E-3</v>
      </c>
      <c r="AU902" s="18">
        <f>IF(
      SUM(Audit[[#This Row],[Audit Losing Candidate]:[Audit Candidate 12]])
      &lt;&gt;0,
      (Audit[[#This Row],[Winning Candidate]]-Audit[[#This Row],[Losing Candidate]]-(Audit[[#This Row],[Audit Winning Candidate]]-Audit[[#This Row],[Audit Losing Candidate]]))/(Audit[[#Totals],[Winning Candidate]]-Audit[[#Totals],[Losing Candidate]]),
      0
)</f>
        <v>0</v>
      </c>
      <c r="AV9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8">
        <f>IF(Audit[[#This Row],[Max Relative Error (ep)]] = 0, 0, Audit[[#This Row],[Max Relative Error (ep)]]/Audit[[#This Row],[Error Bound (up) - Max. possible relative overstatement]])</f>
        <v>0</v>
      </c>
      <c r="BH9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2" s="18">
        <f t="shared" si="14"/>
        <v>1</v>
      </c>
      <c r="BJ902" s="18">
        <f>PRODUCT($BI$5:BI902)</f>
        <v>0.32656797278968008</v>
      </c>
      <c r="BK902" s="20">
        <f>1 - Audit[[#This Row],[K-M P Value]]</f>
        <v>0.67343202721031992</v>
      </c>
      <c r="BL902" s="18" t="str">
        <f>IF(Audit[[#This Row],[K-M P Value]]&gt;1-'General Info'!$B$12,"Continue", "Stop")</f>
        <v>Continue</v>
      </c>
      <c r="BM902" s="23" t="b">
        <f>IF(Audit[[#This Row],[Status - Continue or stop audit]] = "Continue", TRUE, IF(BL901 = "Continue", TRUE, FALSE))</f>
        <v>1</v>
      </c>
      <c r="BN902" s="23"/>
    </row>
    <row r="903" spans="1:66" ht="15" hidden="1" customHeight="1" x14ac:dyDescent="0.35">
      <c r="A903" s="18" t="str">
        <f>'Sampling Data'!AI903</f>
        <v/>
      </c>
      <c r="B903" s="18" t="str">
        <f>'Sampling Data'!A903</f>
        <v>5621 AND U   (ED)</v>
      </c>
      <c r="C903" s="18">
        <f>'Sampling Data'!B903</f>
        <v>110</v>
      </c>
      <c r="D903" s="18">
        <f>'Sampling Data'!C903</f>
        <v>12</v>
      </c>
      <c r="E903" s="19">
        <f>'Sampling Data'!D903</f>
        <v>0</v>
      </c>
      <c r="F903" s="19">
        <f>'Sampling Data'!E903</f>
        <v>0</v>
      </c>
      <c r="G903" s="19">
        <f>'Sampling Data'!F903</f>
        <v>0</v>
      </c>
      <c r="H903" s="19">
        <f>'Sampling Data'!G903</f>
        <v>0</v>
      </c>
      <c r="I903" s="19">
        <f>'Sampling Data'!H903</f>
        <v>0</v>
      </c>
      <c r="J903" s="19">
        <f>'Sampling Data'!I903</f>
        <v>0</v>
      </c>
      <c r="K903" s="19">
        <f>'Sampling Data'!J903</f>
        <v>0</v>
      </c>
      <c r="L903" s="19">
        <f>'Sampling Data'!K903</f>
        <v>0</v>
      </c>
      <c r="M903" s="19">
        <f>'Sampling Data'!L903</f>
        <v>0</v>
      </c>
      <c r="N903" s="19">
        <f>'Sampling Data'!M903</f>
        <v>0</v>
      </c>
      <c r="O903" s="18">
        <f>'Sampling Data'!N903</f>
        <v>0</v>
      </c>
      <c r="P903" s="18">
        <f>'Sampling Data'!O903</f>
        <v>3</v>
      </c>
      <c r="Q903" s="18">
        <f>'Sampling Data'!P903</f>
        <v>125</v>
      </c>
      <c r="R903" s="18">
        <f>'Sampling Data'!AJ903</f>
        <v>0</v>
      </c>
      <c r="S903" s="112"/>
      <c r="T903" s="112"/>
      <c r="U903" s="113"/>
      <c r="V903" s="113"/>
      <c r="W903" s="112"/>
      <c r="X903" s="112"/>
      <c r="Y903" s="112"/>
      <c r="Z903" s="112"/>
      <c r="AA903" s="15"/>
      <c r="AB903" s="15"/>
      <c r="AC903" s="15"/>
      <c r="AD903" s="15"/>
      <c r="AE903" s="114" t="str">
        <f>IF(NOT(ISBLANK(Audit[[#This Row],[Audit Winning Candidate]])), Audit[[#This Row],[Audit Winning Candidate]]-Audit[[#This Row],[Winning Candidate]], "")</f>
        <v/>
      </c>
      <c r="AF903" s="18" t="str">
        <f>IF(NOT(ISBLANK(Audit[[#This Row],[Audit Losing Candidate]])), Audit[[#This Row],[Audit Losing Candidate]]-Audit[[#This Row],[Losing Candidate]], "")</f>
        <v/>
      </c>
      <c r="AG903" s="18" t="str">
        <f>IF(NOT(ISBLANK(Audit[[#This Row],[Audit Candidate 3]])), Audit[[#This Row],[Audit Candidate 3]]-Audit[[#This Row],[Candidate 3]], "")</f>
        <v/>
      </c>
      <c r="AH903" s="18" t="str">
        <f>IF(NOT(ISBLANK(Audit[[#This Row],[Audit Candidate 4]])),Audit[[#This Row],[Audit Candidate 4]]-Audit[[#This Row],[Candidate 4]], "")</f>
        <v/>
      </c>
      <c r="AI903" s="18" t="str">
        <f>IF(NOT(ISBLANK(Audit[[#This Row],[Audit Candidate 5]])), Audit[[#This Row],[Audit Candidate 5]]-Audit[[#This Row],[Candidate 5]], "")</f>
        <v/>
      </c>
      <c r="AJ903" s="18" t="str">
        <f>IF(NOT(ISBLANK(Audit[[#This Row],[Audit Candidate 6]])), Audit[[#This Row],[Audit Candidate 6]]-Audit[[#This Row],[Candidate 6]], "")</f>
        <v/>
      </c>
      <c r="AK903" s="18" t="str">
        <f>IF(NOT(ISBLANK(Audit[[#This Row],[Audit Candidate 7]])), Audit[[#This Row],[Audit Candidate 7]]-Audit[[#This Row],[Candidate 7]], "")</f>
        <v/>
      </c>
      <c r="AL903" s="18" t="str">
        <f>IF(NOT(ISBLANK(Audit[[#This Row],[Audit Candidate 8]])), Audit[[#This Row],[Audit Candidate 8]]-Audit[[#This Row],[Candidate 8]], "")</f>
        <v/>
      </c>
      <c r="AM903" s="18" t="str">
        <f>IF(NOT(ISBLANK(Audit[[#This Row],[Audit Candidate 9]])), Audit[[#This Row],[Audit Candidate 9]]-Audit[[#This Row],[Candidate 9]], "")</f>
        <v/>
      </c>
      <c r="AN903" s="18" t="str">
        <f>IF(NOT(ISBLANK(Audit[[#This Row],[Audit Candidate 10]])), Audit[[#This Row],[Audit Candidate 10]]-Audit[[#This Row],[Candidate 10]], "")</f>
        <v/>
      </c>
      <c r="AO903" s="18" t="str">
        <f>IF(NOT(ISBLANK(Audit[[#This Row],[Audit Candidate 11]])), Audit[[#This Row],[Audit Candidate 11]]-Audit[[#This Row],[Candidate 11]], "")</f>
        <v/>
      </c>
      <c r="AP903" s="18" t="str">
        <f>IF(NOT(ISBLANK(Audit[[#This Row],[Audit Candidate 12]])), Audit[[#This Row],[Audit Candidate 12]]-Audit[[#This Row],[Candidate 12]], "")</f>
        <v/>
      </c>
      <c r="AQ903" s="18">
        <f>SUMIF(Audit[[#This Row],[Difference Winner]:[Difference Candidate 12]], "&gt;0")</f>
        <v>0</v>
      </c>
      <c r="AR903" s="18">
        <f>SUM(Audit[[#This Row],[Difference Winner]:[Difference Candidate 12]])</f>
        <v>0</v>
      </c>
      <c r="AS903" s="18">
        <f>IF(Audit[[#This Row],[Times p Drawn - With Replacement]]&gt;0, IF(Audit[[#This Row],[Canceled Differences]]&lt;0, Audit[[#This Row],[Max Differences]]+ABS(Audit[[#This Row],[Canceled Differences]]), Audit[[#This Row],[Max Differences]]), 0)</f>
        <v>0</v>
      </c>
      <c r="AT903" s="18">
        <f>'Sampling Data'!AB903</f>
        <v>7.0044288092471025E-3</v>
      </c>
      <c r="AU903" s="18">
        <f>IF(
      SUM(Audit[[#This Row],[Audit Losing Candidate]:[Audit Candidate 12]])
      &lt;&gt;0,
      (Audit[[#This Row],[Winning Candidate]]-Audit[[#This Row],[Losing Candidate]]-(Audit[[#This Row],[Audit Winning Candidate]]-Audit[[#This Row],[Audit Losing Candidate]]))/(Audit[[#Totals],[Winning Candidate]]-Audit[[#Totals],[Losing Candidate]]),
      0
)</f>
        <v>0</v>
      </c>
      <c r="AV9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8">
        <f>IF(Audit[[#This Row],[Max Relative Error (ep)]] = 0, 0, Audit[[#This Row],[Max Relative Error (ep)]]/Audit[[#This Row],[Error Bound (up) - Max. possible relative overstatement]])</f>
        <v>0</v>
      </c>
      <c r="BH9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3" s="18">
        <f t="shared" si="14"/>
        <v>1</v>
      </c>
      <c r="BJ903" s="18">
        <f>PRODUCT($BI$5:BI903)</f>
        <v>0.32656797278968008</v>
      </c>
      <c r="BK903" s="20">
        <f>1 - Audit[[#This Row],[K-M P Value]]</f>
        <v>0.67343202721031992</v>
      </c>
      <c r="BL903" s="18" t="str">
        <f>IF(Audit[[#This Row],[K-M P Value]]&gt;1-'General Info'!$B$12,"Continue", "Stop")</f>
        <v>Continue</v>
      </c>
      <c r="BM903" s="23" t="b">
        <f>IF(Audit[[#This Row],[Status - Continue or stop audit]] = "Continue", TRUE, IF(BL902 = "Continue", TRUE, FALSE))</f>
        <v>1</v>
      </c>
      <c r="BN903" s="23"/>
    </row>
    <row r="904" spans="1:66" ht="15" hidden="1" customHeight="1" x14ac:dyDescent="0.35">
      <c r="A904" s="18" t="str">
        <f>'Sampling Data'!AI904</f>
        <v/>
      </c>
      <c r="B904" s="18" t="str">
        <f>'Sampling Data'!A904</f>
        <v>5622 AND V   (ED)</v>
      </c>
      <c r="C904" s="18">
        <f>'Sampling Data'!B904</f>
        <v>53</v>
      </c>
      <c r="D904" s="18">
        <f>'Sampling Data'!C904</f>
        <v>6</v>
      </c>
      <c r="E904" s="19">
        <f>'Sampling Data'!D904</f>
        <v>0</v>
      </c>
      <c r="F904" s="19">
        <f>'Sampling Data'!E904</f>
        <v>0</v>
      </c>
      <c r="G904" s="19">
        <f>'Sampling Data'!F904</f>
        <v>0</v>
      </c>
      <c r="H904" s="19">
        <f>'Sampling Data'!G904</f>
        <v>0</v>
      </c>
      <c r="I904" s="19">
        <f>'Sampling Data'!H904</f>
        <v>0</v>
      </c>
      <c r="J904" s="19">
        <f>'Sampling Data'!I904</f>
        <v>0</v>
      </c>
      <c r="K904" s="19">
        <f>'Sampling Data'!J904</f>
        <v>0</v>
      </c>
      <c r="L904" s="19">
        <f>'Sampling Data'!K904</f>
        <v>0</v>
      </c>
      <c r="M904" s="19">
        <f>'Sampling Data'!L904</f>
        <v>0</v>
      </c>
      <c r="N904" s="19">
        <f>'Sampling Data'!M904</f>
        <v>0</v>
      </c>
      <c r="O904" s="18">
        <f>'Sampling Data'!N904</f>
        <v>0</v>
      </c>
      <c r="P904" s="18">
        <f>'Sampling Data'!O904</f>
        <v>1</v>
      </c>
      <c r="Q904" s="18">
        <f>'Sampling Data'!P904</f>
        <v>60</v>
      </c>
      <c r="R904" s="18">
        <f>'Sampling Data'!AJ904</f>
        <v>0</v>
      </c>
      <c r="S904" s="112"/>
      <c r="T904" s="112"/>
      <c r="U904" s="113"/>
      <c r="V904" s="113"/>
      <c r="W904" s="112"/>
      <c r="X904" s="112"/>
      <c r="Y904" s="112"/>
      <c r="Z904" s="112"/>
      <c r="AA904" s="15"/>
      <c r="AB904" s="15"/>
      <c r="AC904" s="15"/>
      <c r="AD904" s="15"/>
      <c r="AE904" s="114" t="str">
        <f>IF(NOT(ISBLANK(Audit[[#This Row],[Audit Winning Candidate]])), Audit[[#This Row],[Audit Winning Candidate]]-Audit[[#This Row],[Winning Candidate]], "")</f>
        <v/>
      </c>
      <c r="AF904" s="18" t="str">
        <f>IF(NOT(ISBLANK(Audit[[#This Row],[Audit Losing Candidate]])), Audit[[#This Row],[Audit Losing Candidate]]-Audit[[#This Row],[Losing Candidate]], "")</f>
        <v/>
      </c>
      <c r="AG904" s="18" t="str">
        <f>IF(NOT(ISBLANK(Audit[[#This Row],[Audit Candidate 3]])), Audit[[#This Row],[Audit Candidate 3]]-Audit[[#This Row],[Candidate 3]], "")</f>
        <v/>
      </c>
      <c r="AH904" s="18" t="str">
        <f>IF(NOT(ISBLANK(Audit[[#This Row],[Audit Candidate 4]])),Audit[[#This Row],[Audit Candidate 4]]-Audit[[#This Row],[Candidate 4]], "")</f>
        <v/>
      </c>
      <c r="AI904" s="18" t="str">
        <f>IF(NOT(ISBLANK(Audit[[#This Row],[Audit Candidate 5]])), Audit[[#This Row],[Audit Candidate 5]]-Audit[[#This Row],[Candidate 5]], "")</f>
        <v/>
      </c>
      <c r="AJ904" s="18" t="str">
        <f>IF(NOT(ISBLANK(Audit[[#This Row],[Audit Candidate 6]])), Audit[[#This Row],[Audit Candidate 6]]-Audit[[#This Row],[Candidate 6]], "")</f>
        <v/>
      </c>
      <c r="AK904" s="18" t="str">
        <f>IF(NOT(ISBLANK(Audit[[#This Row],[Audit Candidate 7]])), Audit[[#This Row],[Audit Candidate 7]]-Audit[[#This Row],[Candidate 7]], "")</f>
        <v/>
      </c>
      <c r="AL904" s="18" t="str">
        <f>IF(NOT(ISBLANK(Audit[[#This Row],[Audit Candidate 8]])), Audit[[#This Row],[Audit Candidate 8]]-Audit[[#This Row],[Candidate 8]], "")</f>
        <v/>
      </c>
      <c r="AM904" s="18" t="str">
        <f>IF(NOT(ISBLANK(Audit[[#This Row],[Audit Candidate 9]])), Audit[[#This Row],[Audit Candidate 9]]-Audit[[#This Row],[Candidate 9]], "")</f>
        <v/>
      </c>
      <c r="AN904" s="18" t="str">
        <f>IF(NOT(ISBLANK(Audit[[#This Row],[Audit Candidate 10]])), Audit[[#This Row],[Audit Candidate 10]]-Audit[[#This Row],[Candidate 10]], "")</f>
        <v/>
      </c>
      <c r="AO904" s="18" t="str">
        <f>IF(NOT(ISBLANK(Audit[[#This Row],[Audit Candidate 11]])), Audit[[#This Row],[Audit Candidate 11]]-Audit[[#This Row],[Candidate 11]], "")</f>
        <v/>
      </c>
      <c r="AP904" s="18" t="str">
        <f>IF(NOT(ISBLANK(Audit[[#This Row],[Audit Candidate 12]])), Audit[[#This Row],[Audit Candidate 12]]-Audit[[#This Row],[Candidate 12]], "")</f>
        <v/>
      </c>
      <c r="AQ904" s="18">
        <f>SUMIF(Audit[[#This Row],[Difference Winner]:[Difference Candidate 12]], "&gt;0")</f>
        <v>0</v>
      </c>
      <c r="AR904" s="18">
        <f>SUM(Audit[[#This Row],[Difference Winner]:[Difference Candidate 12]])</f>
        <v>0</v>
      </c>
      <c r="AS904" s="18">
        <f>IF(Audit[[#This Row],[Times p Drawn - With Replacement]]&gt;0, IF(Audit[[#This Row],[Canceled Differences]]&lt;0, Audit[[#This Row],[Max Differences]]+ABS(Audit[[#This Row],[Canceled Differences]]), Audit[[#This Row],[Max Differences]]), 0)</f>
        <v>0</v>
      </c>
      <c r="AT904" s="18">
        <f>'Sampling Data'!AB904</f>
        <v>3.3608694286521973E-3</v>
      </c>
      <c r="AU904" s="18">
        <f>IF(
      SUM(Audit[[#This Row],[Audit Losing Candidate]:[Audit Candidate 12]])
      &lt;&gt;0,
      (Audit[[#This Row],[Winning Candidate]]-Audit[[#This Row],[Losing Candidate]]-(Audit[[#This Row],[Audit Winning Candidate]]-Audit[[#This Row],[Audit Losing Candidate]]))/(Audit[[#Totals],[Winning Candidate]]-Audit[[#Totals],[Losing Candidate]]),
      0
)</f>
        <v>0</v>
      </c>
      <c r="AV9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8">
        <f>IF(Audit[[#This Row],[Max Relative Error (ep)]] = 0, 0, Audit[[#This Row],[Max Relative Error (ep)]]/Audit[[#This Row],[Error Bound (up) - Max. possible relative overstatement]])</f>
        <v>0</v>
      </c>
      <c r="BH9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4" s="18">
        <f t="shared" si="14"/>
        <v>1</v>
      </c>
      <c r="BJ904" s="18">
        <f>PRODUCT($BI$5:BI904)</f>
        <v>0.32656797278968008</v>
      </c>
      <c r="BK904" s="20">
        <f>1 - Audit[[#This Row],[K-M P Value]]</f>
        <v>0.67343202721031992</v>
      </c>
      <c r="BL904" s="18" t="str">
        <f>IF(Audit[[#This Row],[K-M P Value]]&gt;1-'General Info'!$B$12,"Continue", "Stop")</f>
        <v>Continue</v>
      </c>
      <c r="BM904" s="23" t="b">
        <f>IF(Audit[[#This Row],[Status - Continue or stop audit]] = "Continue", TRUE, IF(BL903 = "Continue", TRUE, FALSE))</f>
        <v>1</v>
      </c>
      <c r="BN904" s="23"/>
    </row>
    <row r="905" spans="1:66" ht="15" hidden="1" customHeight="1" x14ac:dyDescent="0.35">
      <c r="A905" s="18" t="str">
        <f>'Sampling Data'!AI905</f>
        <v/>
      </c>
      <c r="B905" s="18" t="str">
        <f>'Sampling Data'!A905</f>
        <v>5623 AND W   (ED)</v>
      </c>
      <c r="C905" s="18">
        <f>'Sampling Data'!B905</f>
        <v>60</v>
      </c>
      <c r="D905" s="18">
        <f>'Sampling Data'!C905</f>
        <v>5</v>
      </c>
      <c r="E905" s="19">
        <f>'Sampling Data'!D905</f>
        <v>0</v>
      </c>
      <c r="F905" s="19">
        <f>'Sampling Data'!E905</f>
        <v>0</v>
      </c>
      <c r="G905" s="19">
        <f>'Sampling Data'!F905</f>
        <v>0</v>
      </c>
      <c r="H905" s="19">
        <f>'Sampling Data'!G905</f>
        <v>0</v>
      </c>
      <c r="I905" s="19">
        <f>'Sampling Data'!H905</f>
        <v>0</v>
      </c>
      <c r="J905" s="19">
        <f>'Sampling Data'!I905</f>
        <v>0</v>
      </c>
      <c r="K905" s="19">
        <f>'Sampling Data'!J905</f>
        <v>0</v>
      </c>
      <c r="L905" s="19">
        <f>'Sampling Data'!K905</f>
        <v>0</v>
      </c>
      <c r="M905" s="19">
        <f>'Sampling Data'!L905</f>
        <v>0</v>
      </c>
      <c r="N905" s="19">
        <f>'Sampling Data'!M905</f>
        <v>0</v>
      </c>
      <c r="O905" s="18">
        <f>'Sampling Data'!N905</f>
        <v>0</v>
      </c>
      <c r="P905" s="18">
        <f>'Sampling Data'!O905</f>
        <v>2</v>
      </c>
      <c r="Q905" s="18">
        <f>'Sampling Data'!P905</f>
        <v>67</v>
      </c>
      <c r="R905" s="18">
        <f>'Sampling Data'!AJ905</f>
        <v>0</v>
      </c>
      <c r="S905" s="112"/>
      <c r="T905" s="112"/>
      <c r="U905" s="113"/>
      <c r="V905" s="113"/>
      <c r="W905" s="112"/>
      <c r="X905" s="112"/>
      <c r="Y905" s="112"/>
      <c r="Z905" s="112"/>
      <c r="AA905" s="15"/>
      <c r="AB905" s="15"/>
      <c r="AC905" s="15"/>
      <c r="AD905" s="15"/>
      <c r="AE905" s="114" t="str">
        <f>IF(NOT(ISBLANK(Audit[[#This Row],[Audit Winning Candidate]])), Audit[[#This Row],[Audit Winning Candidate]]-Audit[[#This Row],[Winning Candidate]], "")</f>
        <v/>
      </c>
      <c r="AF905" s="18" t="str">
        <f>IF(NOT(ISBLANK(Audit[[#This Row],[Audit Losing Candidate]])), Audit[[#This Row],[Audit Losing Candidate]]-Audit[[#This Row],[Losing Candidate]], "")</f>
        <v/>
      </c>
      <c r="AG905" s="18" t="str">
        <f>IF(NOT(ISBLANK(Audit[[#This Row],[Audit Candidate 3]])), Audit[[#This Row],[Audit Candidate 3]]-Audit[[#This Row],[Candidate 3]], "")</f>
        <v/>
      </c>
      <c r="AH905" s="18" t="str">
        <f>IF(NOT(ISBLANK(Audit[[#This Row],[Audit Candidate 4]])),Audit[[#This Row],[Audit Candidate 4]]-Audit[[#This Row],[Candidate 4]], "")</f>
        <v/>
      </c>
      <c r="AI905" s="18" t="str">
        <f>IF(NOT(ISBLANK(Audit[[#This Row],[Audit Candidate 5]])), Audit[[#This Row],[Audit Candidate 5]]-Audit[[#This Row],[Candidate 5]], "")</f>
        <v/>
      </c>
      <c r="AJ905" s="18" t="str">
        <f>IF(NOT(ISBLANK(Audit[[#This Row],[Audit Candidate 6]])), Audit[[#This Row],[Audit Candidate 6]]-Audit[[#This Row],[Candidate 6]], "")</f>
        <v/>
      </c>
      <c r="AK905" s="18" t="str">
        <f>IF(NOT(ISBLANK(Audit[[#This Row],[Audit Candidate 7]])), Audit[[#This Row],[Audit Candidate 7]]-Audit[[#This Row],[Candidate 7]], "")</f>
        <v/>
      </c>
      <c r="AL905" s="18" t="str">
        <f>IF(NOT(ISBLANK(Audit[[#This Row],[Audit Candidate 8]])), Audit[[#This Row],[Audit Candidate 8]]-Audit[[#This Row],[Candidate 8]], "")</f>
        <v/>
      </c>
      <c r="AM905" s="18" t="str">
        <f>IF(NOT(ISBLANK(Audit[[#This Row],[Audit Candidate 9]])), Audit[[#This Row],[Audit Candidate 9]]-Audit[[#This Row],[Candidate 9]], "")</f>
        <v/>
      </c>
      <c r="AN905" s="18" t="str">
        <f>IF(NOT(ISBLANK(Audit[[#This Row],[Audit Candidate 10]])), Audit[[#This Row],[Audit Candidate 10]]-Audit[[#This Row],[Candidate 10]], "")</f>
        <v/>
      </c>
      <c r="AO905" s="18" t="str">
        <f>IF(NOT(ISBLANK(Audit[[#This Row],[Audit Candidate 11]])), Audit[[#This Row],[Audit Candidate 11]]-Audit[[#This Row],[Candidate 11]], "")</f>
        <v/>
      </c>
      <c r="AP905" s="18" t="str">
        <f>IF(NOT(ISBLANK(Audit[[#This Row],[Audit Candidate 12]])), Audit[[#This Row],[Audit Candidate 12]]-Audit[[#This Row],[Candidate 12]], "")</f>
        <v/>
      </c>
      <c r="AQ905" s="18">
        <f>SUMIF(Audit[[#This Row],[Difference Winner]:[Difference Candidate 12]], "&gt;0")</f>
        <v>0</v>
      </c>
      <c r="AR905" s="18">
        <f>SUM(Audit[[#This Row],[Difference Winner]:[Difference Candidate 12]])</f>
        <v>0</v>
      </c>
      <c r="AS905" s="18">
        <f>IF(Audit[[#This Row],[Times p Drawn - With Replacement]]&gt;0, IF(Audit[[#This Row],[Canceled Differences]]&lt;0, Audit[[#This Row],[Max Differences]]+ABS(Audit[[#This Row],[Canceled Differences]]), Audit[[#This Row],[Max Differences]]), 0)</f>
        <v>0</v>
      </c>
      <c r="AT905" s="18">
        <f>'Sampling Data'!AB905</f>
        <v>3.8320193485567107E-3</v>
      </c>
      <c r="AU905" s="18">
        <f>IF(
      SUM(Audit[[#This Row],[Audit Losing Candidate]:[Audit Candidate 12]])
      &lt;&gt;0,
      (Audit[[#This Row],[Winning Candidate]]-Audit[[#This Row],[Losing Candidate]]-(Audit[[#This Row],[Audit Winning Candidate]]-Audit[[#This Row],[Audit Losing Candidate]]))/(Audit[[#Totals],[Winning Candidate]]-Audit[[#Totals],[Losing Candidate]]),
      0
)</f>
        <v>0</v>
      </c>
      <c r="AV9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8">
        <f>IF(Audit[[#This Row],[Max Relative Error (ep)]] = 0, 0, Audit[[#This Row],[Max Relative Error (ep)]]/Audit[[#This Row],[Error Bound (up) - Max. possible relative overstatement]])</f>
        <v>0</v>
      </c>
      <c r="BH9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5" s="18">
        <f t="shared" si="14"/>
        <v>1</v>
      </c>
      <c r="BJ905" s="18">
        <f>PRODUCT($BI$5:BI905)</f>
        <v>0.32656797278968008</v>
      </c>
      <c r="BK905" s="20">
        <f>1 - Audit[[#This Row],[K-M P Value]]</f>
        <v>0.67343202721031992</v>
      </c>
      <c r="BL905" s="18" t="str">
        <f>IF(Audit[[#This Row],[K-M P Value]]&gt;1-'General Info'!$B$12,"Continue", "Stop")</f>
        <v>Continue</v>
      </c>
      <c r="BM905" s="23" t="b">
        <f>IF(Audit[[#This Row],[Status - Continue or stop audit]] = "Continue", TRUE, IF(BL904 = "Continue", TRUE, FALSE))</f>
        <v>1</v>
      </c>
      <c r="BN905" s="23"/>
    </row>
    <row r="906" spans="1:66" ht="15" hidden="1" customHeight="1" x14ac:dyDescent="0.35">
      <c r="A906" s="18" t="str">
        <f>'Sampling Data'!AI906</f>
        <v/>
      </c>
      <c r="B906" s="18" t="str">
        <f>'Sampling Data'!A906</f>
        <v>5624 AND X   (ED)</v>
      </c>
      <c r="C906" s="18">
        <f>'Sampling Data'!B906</f>
        <v>62</v>
      </c>
      <c r="D906" s="18">
        <f>'Sampling Data'!C906</f>
        <v>9</v>
      </c>
      <c r="E906" s="19">
        <f>'Sampling Data'!D906</f>
        <v>0</v>
      </c>
      <c r="F906" s="19">
        <f>'Sampling Data'!E906</f>
        <v>0</v>
      </c>
      <c r="G906" s="19">
        <f>'Sampling Data'!F906</f>
        <v>0</v>
      </c>
      <c r="H906" s="19">
        <f>'Sampling Data'!G906</f>
        <v>0</v>
      </c>
      <c r="I906" s="19">
        <f>'Sampling Data'!H906</f>
        <v>0</v>
      </c>
      <c r="J906" s="19">
        <f>'Sampling Data'!I906</f>
        <v>0</v>
      </c>
      <c r="K906" s="19">
        <f>'Sampling Data'!J906</f>
        <v>0</v>
      </c>
      <c r="L906" s="19">
        <f>'Sampling Data'!K906</f>
        <v>0</v>
      </c>
      <c r="M906" s="19">
        <f>'Sampling Data'!L906</f>
        <v>0</v>
      </c>
      <c r="N906" s="19">
        <f>'Sampling Data'!M906</f>
        <v>0</v>
      </c>
      <c r="O906" s="18">
        <f>'Sampling Data'!N906</f>
        <v>0</v>
      </c>
      <c r="P906" s="18">
        <f>'Sampling Data'!O906</f>
        <v>2</v>
      </c>
      <c r="Q906" s="18">
        <f>'Sampling Data'!P906</f>
        <v>73</v>
      </c>
      <c r="R906" s="18">
        <f>'Sampling Data'!AJ906</f>
        <v>0</v>
      </c>
      <c r="S906" s="112"/>
      <c r="T906" s="112"/>
      <c r="U906" s="113"/>
      <c r="V906" s="113"/>
      <c r="W906" s="112"/>
      <c r="X906" s="112"/>
      <c r="Y906" s="112"/>
      <c r="Z906" s="112"/>
      <c r="AA906" s="15"/>
      <c r="AB906" s="15"/>
      <c r="AC906" s="15"/>
      <c r="AD906" s="15"/>
      <c r="AE906" s="114" t="str">
        <f>IF(NOT(ISBLANK(Audit[[#This Row],[Audit Winning Candidate]])), Audit[[#This Row],[Audit Winning Candidate]]-Audit[[#This Row],[Winning Candidate]], "")</f>
        <v/>
      </c>
      <c r="AF906" s="18" t="str">
        <f>IF(NOT(ISBLANK(Audit[[#This Row],[Audit Losing Candidate]])), Audit[[#This Row],[Audit Losing Candidate]]-Audit[[#This Row],[Losing Candidate]], "")</f>
        <v/>
      </c>
      <c r="AG906" s="18" t="str">
        <f>IF(NOT(ISBLANK(Audit[[#This Row],[Audit Candidate 3]])), Audit[[#This Row],[Audit Candidate 3]]-Audit[[#This Row],[Candidate 3]], "")</f>
        <v/>
      </c>
      <c r="AH906" s="18" t="str">
        <f>IF(NOT(ISBLANK(Audit[[#This Row],[Audit Candidate 4]])),Audit[[#This Row],[Audit Candidate 4]]-Audit[[#This Row],[Candidate 4]], "")</f>
        <v/>
      </c>
      <c r="AI906" s="18" t="str">
        <f>IF(NOT(ISBLANK(Audit[[#This Row],[Audit Candidate 5]])), Audit[[#This Row],[Audit Candidate 5]]-Audit[[#This Row],[Candidate 5]], "")</f>
        <v/>
      </c>
      <c r="AJ906" s="18" t="str">
        <f>IF(NOT(ISBLANK(Audit[[#This Row],[Audit Candidate 6]])), Audit[[#This Row],[Audit Candidate 6]]-Audit[[#This Row],[Candidate 6]], "")</f>
        <v/>
      </c>
      <c r="AK906" s="18" t="str">
        <f>IF(NOT(ISBLANK(Audit[[#This Row],[Audit Candidate 7]])), Audit[[#This Row],[Audit Candidate 7]]-Audit[[#This Row],[Candidate 7]], "")</f>
        <v/>
      </c>
      <c r="AL906" s="18" t="str">
        <f>IF(NOT(ISBLANK(Audit[[#This Row],[Audit Candidate 8]])), Audit[[#This Row],[Audit Candidate 8]]-Audit[[#This Row],[Candidate 8]], "")</f>
        <v/>
      </c>
      <c r="AM906" s="18" t="str">
        <f>IF(NOT(ISBLANK(Audit[[#This Row],[Audit Candidate 9]])), Audit[[#This Row],[Audit Candidate 9]]-Audit[[#This Row],[Candidate 9]], "")</f>
        <v/>
      </c>
      <c r="AN906" s="18" t="str">
        <f>IF(NOT(ISBLANK(Audit[[#This Row],[Audit Candidate 10]])), Audit[[#This Row],[Audit Candidate 10]]-Audit[[#This Row],[Candidate 10]], "")</f>
        <v/>
      </c>
      <c r="AO906" s="18" t="str">
        <f>IF(NOT(ISBLANK(Audit[[#This Row],[Audit Candidate 11]])), Audit[[#This Row],[Audit Candidate 11]]-Audit[[#This Row],[Candidate 11]], "")</f>
        <v/>
      </c>
      <c r="AP906" s="18" t="str">
        <f>IF(NOT(ISBLANK(Audit[[#This Row],[Audit Candidate 12]])), Audit[[#This Row],[Audit Candidate 12]]-Audit[[#This Row],[Candidate 12]], "")</f>
        <v/>
      </c>
      <c r="AQ906" s="18">
        <f>SUMIF(Audit[[#This Row],[Difference Winner]:[Difference Candidate 12]], "&gt;0")</f>
        <v>0</v>
      </c>
      <c r="AR906" s="18">
        <f>SUM(Audit[[#This Row],[Difference Winner]:[Difference Candidate 12]])</f>
        <v>0</v>
      </c>
      <c r="AS906" s="18">
        <f>IF(Audit[[#This Row],[Times p Drawn - With Replacement]]&gt;0, IF(Audit[[#This Row],[Canceled Differences]]&lt;0, Audit[[#This Row],[Max Differences]]+ABS(Audit[[#This Row],[Canceled Differences]]), Audit[[#This Row],[Max Differences]]), 0)</f>
        <v>0</v>
      </c>
      <c r="AT906" s="18">
        <f>'Sampling Data'!AB906</f>
        <v>3.9576593271979143E-3</v>
      </c>
      <c r="AU906" s="18">
        <f>IF(
      SUM(Audit[[#This Row],[Audit Losing Candidate]:[Audit Candidate 12]])
      &lt;&gt;0,
      (Audit[[#This Row],[Winning Candidate]]-Audit[[#This Row],[Losing Candidate]]-(Audit[[#This Row],[Audit Winning Candidate]]-Audit[[#This Row],[Audit Losing Candidate]]))/(Audit[[#Totals],[Winning Candidate]]-Audit[[#Totals],[Losing Candidate]]),
      0
)</f>
        <v>0</v>
      </c>
      <c r="AV9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8">
        <f>IF(Audit[[#This Row],[Max Relative Error (ep)]] = 0, 0, Audit[[#This Row],[Max Relative Error (ep)]]/Audit[[#This Row],[Error Bound (up) - Max. possible relative overstatement]])</f>
        <v>0</v>
      </c>
      <c r="BH9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6" s="18">
        <f t="shared" si="14"/>
        <v>1</v>
      </c>
      <c r="BJ906" s="18">
        <f>PRODUCT($BI$5:BI906)</f>
        <v>0.32656797278968008</v>
      </c>
      <c r="BK906" s="20">
        <f>1 - Audit[[#This Row],[K-M P Value]]</f>
        <v>0.67343202721031992</v>
      </c>
      <c r="BL906" s="18" t="str">
        <f>IF(Audit[[#This Row],[K-M P Value]]&gt;1-'General Info'!$B$12,"Continue", "Stop")</f>
        <v>Continue</v>
      </c>
      <c r="BM906" s="23" t="b">
        <f>IF(Audit[[#This Row],[Status - Continue or stop audit]] = "Continue", TRUE, IF(BL905 = "Continue", TRUE, FALSE))</f>
        <v>1</v>
      </c>
      <c r="BN906" s="23"/>
    </row>
    <row r="907" spans="1:66" ht="15" hidden="1" customHeight="1" x14ac:dyDescent="0.35">
      <c r="A907" s="18" t="str">
        <f>'Sampling Data'!AI907</f>
        <v/>
      </c>
      <c r="B907" s="18" t="str">
        <f>'Sampling Data'!A907</f>
        <v>5625 AND Y   (ED)</v>
      </c>
      <c r="C907" s="18">
        <f>'Sampling Data'!B907</f>
        <v>52</v>
      </c>
      <c r="D907" s="18">
        <f>'Sampling Data'!C907</f>
        <v>10</v>
      </c>
      <c r="E907" s="19">
        <f>'Sampling Data'!D907</f>
        <v>0</v>
      </c>
      <c r="F907" s="19">
        <f>'Sampling Data'!E907</f>
        <v>0</v>
      </c>
      <c r="G907" s="19">
        <f>'Sampling Data'!F907</f>
        <v>0</v>
      </c>
      <c r="H907" s="19">
        <f>'Sampling Data'!G907</f>
        <v>0</v>
      </c>
      <c r="I907" s="19">
        <f>'Sampling Data'!H907</f>
        <v>0</v>
      </c>
      <c r="J907" s="19">
        <f>'Sampling Data'!I907</f>
        <v>0</v>
      </c>
      <c r="K907" s="19">
        <f>'Sampling Data'!J907</f>
        <v>0</v>
      </c>
      <c r="L907" s="19">
        <f>'Sampling Data'!K907</f>
        <v>0</v>
      </c>
      <c r="M907" s="19">
        <f>'Sampling Data'!L907</f>
        <v>0</v>
      </c>
      <c r="N907" s="19">
        <f>'Sampling Data'!M907</f>
        <v>0</v>
      </c>
      <c r="O907" s="18">
        <f>'Sampling Data'!N907</f>
        <v>0</v>
      </c>
      <c r="P907" s="18">
        <f>'Sampling Data'!O907</f>
        <v>0</v>
      </c>
      <c r="Q907" s="18">
        <f>'Sampling Data'!P907</f>
        <v>62</v>
      </c>
      <c r="R907" s="18">
        <f>'Sampling Data'!AJ907</f>
        <v>0</v>
      </c>
      <c r="S907" s="112"/>
      <c r="T907" s="112"/>
      <c r="U907" s="113"/>
      <c r="V907" s="113"/>
      <c r="W907" s="112"/>
      <c r="X907" s="112"/>
      <c r="Y907" s="112"/>
      <c r="Z907" s="112"/>
      <c r="AA907" s="15"/>
      <c r="AB907" s="15"/>
      <c r="AC907" s="15"/>
      <c r="AD907" s="15"/>
      <c r="AE907" s="114" t="str">
        <f>IF(NOT(ISBLANK(Audit[[#This Row],[Audit Winning Candidate]])), Audit[[#This Row],[Audit Winning Candidate]]-Audit[[#This Row],[Winning Candidate]], "")</f>
        <v/>
      </c>
      <c r="AF907" s="18" t="str">
        <f>IF(NOT(ISBLANK(Audit[[#This Row],[Audit Losing Candidate]])), Audit[[#This Row],[Audit Losing Candidate]]-Audit[[#This Row],[Losing Candidate]], "")</f>
        <v/>
      </c>
      <c r="AG907" s="18" t="str">
        <f>IF(NOT(ISBLANK(Audit[[#This Row],[Audit Candidate 3]])), Audit[[#This Row],[Audit Candidate 3]]-Audit[[#This Row],[Candidate 3]], "")</f>
        <v/>
      </c>
      <c r="AH907" s="18" t="str">
        <f>IF(NOT(ISBLANK(Audit[[#This Row],[Audit Candidate 4]])),Audit[[#This Row],[Audit Candidate 4]]-Audit[[#This Row],[Candidate 4]], "")</f>
        <v/>
      </c>
      <c r="AI907" s="18" t="str">
        <f>IF(NOT(ISBLANK(Audit[[#This Row],[Audit Candidate 5]])), Audit[[#This Row],[Audit Candidate 5]]-Audit[[#This Row],[Candidate 5]], "")</f>
        <v/>
      </c>
      <c r="AJ907" s="18" t="str">
        <f>IF(NOT(ISBLANK(Audit[[#This Row],[Audit Candidate 6]])), Audit[[#This Row],[Audit Candidate 6]]-Audit[[#This Row],[Candidate 6]], "")</f>
        <v/>
      </c>
      <c r="AK907" s="18" t="str">
        <f>IF(NOT(ISBLANK(Audit[[#This Row],[Audit Candidate 7]])), Audit[[#This Row],[Audit Candidate 7]]-Audit[[#This Row],[Candidate 7]], "")</f>
        <v/>
      </c>
      <c r="AL907" s="18" t="str">
        <f>IF(NOT(ISBLANK(Audit[[#This Row],[Audit Candidate 8]])), Audit[[#This Row],[Audit Candidate 8]]-Audit[[#This Row],[Candidate 8]], "")</f>
        <v/>
      </c>
      <c r="AM907" s="18" t="str">
        <f>IF(NOT(ISBLANK(Audit[[#This Row],[Audit Candidate 9]])), Audit[[#This Row],[Audit Candidate 9]]-Audit[[#This Row],[Candidate 9]], "")</f>
        <v/>
      </c>
      <c r="AN907" s="18" t="str">
        <f>IF(NOT(ISBLANK(Audit[[#This Row],[Audit Candidate 10]])), Audit[[#This Row],[Audit Candidate 10]]-Audit[[#This Row],[Candidate 10]], "")</f>
        <v/>
      </c>
      <c r="AO907" s="18" t="str">
        <f>IF(NOT(ISBLANK(Audit[[#This Row],[Audit Candidate 11]])), Audit[[#This Row],[Audit Candidate 11]]-Audit[[#This Row],[Candidate 11]], "")</f>
        <v/>
      </c>
      <c r="AP907" s="18" t="str">
        <f>IF(NOT(ISBLANK(Audit[[#This Row],[Audit Candidate 12]])), Audit[[#This Row],[Audit Candidate 12]]-Audit[[#This Row],[Candidate 12]], "")</f>
        <v/>
      </c>
      <c r="AQ907" s="18">
        <f>SUMIF(Audit[[#This Row],[Difference Winner]:[Difference Candidate 12]], "&gt;0")</f>
        <v>0</v>
      </c>
      <c r="AR907" s="18">
        <f>SUM(Audit[[#This Row],[Difference Winner]:[Difference Candidate 12]])</f>
        <v>0</v>
      </c>
      <c r="AS907" s="18">
        <f>IF(Audit[[#This Row],[Times p Drawn - With Replacement]]&gt;0, IF(Audit[[#This Row],[Canceled Differences]]&lt;0, Audit[[#This Row],[Max Differences]]+ABS(Audit[[#This Row],[Canceled Differences]]), Audit[[#This Row],[Max Differences]]), 0)</f>
        <v>0</v>
      </c>
      <c r="AT907" s="18">
        <f>'Sampling Data'!AB907</f>
        <v>3.2666394446712946E-3</v>
      </c>
      <c r="AU907" s="18">
        <f>IF(
      SUM(Audit[[#This Row],[Audit Losing Candidate]:[Audit Candidate 12]])
      &lt;&gt;0,
      (Audit[[#This Row],[Winning Candidate]]-Audit[[#This Row],[Losing Candidate]]-(Audit[[#This Row],[Audit Winning Candidate]]-Audit[[#This Row],[Audit Losing Candidate]]))/(Audit[[#Totals],[Winning Candidate]]-Audit[[#Totals],[Losing Candidate]]),
      0
)</f>
        <v>0</v>
      </c>
      <c r="AV9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8">
        <f>IF(Audit[[#This Row],[Max Relative Error (ep)]] = 0, 0, Audit[[#This Row],[Max Relative Error (ep)]]/Audit[[#This Row],[Error Bound (up) - Max. possible relative overstatement]])</f>
        <v>0</v>
      </c>
      <c r="BH9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7" s="18">
        <f t="shared" si="14"/>
        <v>1</v>
      </c>
      <c r="BJ907" s="18">
        <f>PRODUCT($BI$5:BI907)</f>
        <v>0.32656797278968008</v>
      </c>
      <c r="BK907" s="20">
        <f>1 - Audit[[#This Row],[K-M P Value]]</f>
        <v>0.67343202721031992</v>
      </c>
      <c r="BL907" s="18" t="str">
        <f>IF(Audit[[#This Row],[K-M P Value]]&gt;1-'General Info'!$B$12,"Continue", "Stop")</f>
        <v>Continue</v>
      </c>
      <c r="BM907" s="23" t="b">
        <f>IF(Audit[[#This Row],[Status - Continue or stop audit]] = "Continue", TRUE, IF(BL906 = "Continue", TRUE, FALSE))</f>
        <v>1</v>
      </c>
      <c r="BN907" s="23"/>
    </row>
    <row r="908" spans="1:66" ht="15" hidden="1" customHeight="1" x14ac:dyDescent="0.35">
      <c r="A908" s="18" t="str">
        <f>'Sampling Data'!AI908</f>
        <v/>
      </c>
      <c r="B908" s="18" t="str">
        <f>'Sampling Data'!A908</f>
        <v>5626 AND Z   (ED)</v>
      </c>
      <c r="C908" s="18">
        <f>'Sampling Data'!B908</f>
        <v>90</v>
      </c>
      <c r="D908" s="18">
        <f>'Sampling Data'!C908</f>
        <v>9</v>
      </c>
      <c r="E908" s="19">
        <f>'Sampling Data'!D908</f>
        <v>0</v>
      </c>
      <c r="F908" s="19">
        <f>'Sampling Data'!E908</f>
        <v>0</v>
      </c>
      <c r="G908" s="19">
        <f>'Sampling Data'!F908</f>
        <v>0</v>
      </c>
      <c r="H908" s="19">
        <f>'Sampling Data'!G908</f>
        <v>0</v>
      </c>
      <c r="I908" s="19">
        <f>'Sampling Data'!H908</f>
        <v>0</v>
      </c>
      <c r="J908" s="19">
        <f>'Sampling Data'!I908</f>
        <v>0</v>
      </c>
      <c r="K908" s="19">
        <f>'Sampling Data'!J908</f>
        <v>0</v>
      </c>
      <c r="L908" s="19">
        <f>'Sampling Data'!K908</f>
        <v>0</v>
      </c>
      <c r="M908" s="19">
        <f>'Sampling Data'!L908</f>
        <v>0</v>
      </c>
      <c r="N908" s="19">
        <f>'Sampling Data'!M908</f>
        <v>0</v>
      </c>
      <c r="O908" s="18">
        <f>'Sampling Data'!N908</f>
        <v>0</v>
      </c>
      <c r="P908" s="18">
        <f>'Sampling Data'!O908</f>
        <v>0</v>
      </c>
      <c r="Q908" s="18">
        <f>'Sampling Data'!P908</f>
        <v>99</v>
      </c>
      <c r="R908" s="18">
        <f>'Sampling Data'!AJ908</f>
        <v>0</v>
      </c>
      <c r="S908" s="112"/>
      <c r="T908" s="112"/>
      <c r="U908" s="113"/>
      <c r="V908" s="113"/>
      <c r="W908" s="112"/>
      <c r="X908" s="112"/>
      <c r="Y908" s="112"/>
      <c r="Z908" s="112"/>
      <c r="AA908" s="15"/>
      <c r="AB908" s="15"/>
      <c r="AC908" s="15"/>
      <c r="AD908" s="15"/>
      <c r="AE908" s="114" t="str">
        <f>IF(NOT(ISBLANK(Audit[[#This Row],[Audit Winning Candidate]])), Audit[[#This Row],[Audit Winning Candidate]]-Audit[[#This Row],[Winning Candidate]], "")</f>
        <v/>
      </c>
      <c r="AF908" s="18" t="str">
        <f>IF(NOT(ISBLANK(Audit[[#This Row],[Audit Losing Candidate]])), Audit[[#This Row],[Audit Losing Candidate]]-Audit[[#This Row],[Losing Candidate]], "")</f>
        <v/>
      </c>
      <c r="AG908" s="18" t="str">
        <f>IF(NOT(ISBLANK(Audit[[#This Row],[Audit Candidate 3]])), Audit[[#This Row],[Audit Candidate 3]]-Audit[[#This Row],[Candidate 3]], "")</f>
        <v/>
      </c>
      <c r="AH908" s="18" t="str">
        <f>IF(NOT(ISBLANK(Audit[[#This Row],[Audit Candidate 4]])),Audit[[#This Row],[Audit Candidate 4]]-Audit[[#This Row],[Candidate 4]], "")</f>
        <v/>
      </c>
      <c r="AI908" s="18" t="str">
        <f>IF(NOT(ISBLANK(Audit[[#This Row],[Audit Candidate 5]])), Audit[[#This Row],[Audit Candidate 5]]-Audit[[#This Row],[Candidate 5]], "")</f>
        <v/>
      </c>
      <c r="AJ908" s="18" t="str">
        <f>IF(NOT(ISBLANK(Audit[[#This Row],[Audit Candidate 6]])), Audit[[#This Row],[Audit Candidate 6]]-Audit[[#This Row],[Candidate 6]], "")</f>
        <v/>
      </c>
      <c r="AK908" s="18" t="str">
        <f>IF(NOT(ISBLANK(Audit[[#This Row],[Audit Candidate 7]])), Audit[[#This Row],[Audit Candidate 7]]-Audit[[#This Row],[Candidate 7]], "")</f>
        <v/>
      </c>
      <c r="AL908" s="18" t="str">
        <f>IF(NOT(ISBLANK(Audit[[#This Row],[Audit Candidate 8]])), Audit[[#This Row],[Audit Candidate 8]]-Audit[[#This Row],[Candidate 8]], "")</f>
        <v/>
      </c>
      <c r="AM908" s="18" t="str">
        <f>IF(NOT(ISBLANK(Audit[[#This Row],[Audit Candidate 9]])), Audit[[#This Row],[Audit Candidate 9]]-Audit[[#This Row],[Candidate 9]], "")</f>
        <v/>
      </c>
      <c r="AN908" s="18" t="str">
        <f>IF(NOT(ISBLANK(Audit[[#This Row],[Audit Candidate 10]])), Audit[[#This Row],[Audit Candidate 10]]-Audit[[#This Row],[Candidate 10]], "")</f>
        <v/>
      </c>
      <c r="AO908" s="18" t="str">
        <f>IF(NOT(ISBLANK(Audit[[#This Row],[Audit Candidate 11]])), Audit[[#This Row],[Audit Candidate 11]]-Audit[[#This Row],[Candidate 11]], "")</f>
        <v/>
      </c>
      <c r="AP908" s="18" t="str">
        <f>IF(NOT(ISBLANK(Audit[[#This Row],[Audit Candidate 12]])), Audit[[#This Row],[Audit Candidate 12]]-Audit[[#This Row],[Candidate 12]], "")</f>
        <v/>
      </c>
      <c r="AQ908" s="18">
        <f>SUMIF(Audit[[#This Row],[Difference Winner]:[Difference Candidate 12]], "&gt;0")</f>
        <v>0</v>
      </c>
      <c r="AR908" s="18">
        <f>SUM(Audit[[#This Row],[Difference Winner]:[Difference Candidate 12]])</f>
        <v>0</v>
      </c>
      <c r="AS908" s="18">
        <f>IF(Audit[[#This Row],[Times p Drawn - With Replacement]]&gt;0, IF(Audit[[#This Row],[Canceled Differences]]&lt;0, Audit[[#This Row],[Max Differences]]+ABS(Audit[[#This Row],[Canceled Differences]]), Audit[[#This Row],[Max Differences]]), 0)</f>
        <v>0</v>
      </c>
      <c r="AT908" s="18">
        <f>'Sampling Data'!AB908</f>
        <v>5.6537990388541631E-3</v>
      </c>
      <c r="AU908" s="18">
        <f>IF(
      SUM(Audit[[#This Row],[Audit Losing Candidate]:[Audit Candidate 12]])
      &lt;&gt;0,
      (Audit[[#This Row],[Winning Candidate]]-Audit[[#This Row],[Losing Candidate]]-(Audit[[#This Row],[Audit Winning Candidate]]-Audit[[#This Row],[Audit Losing Candidate]]))/(Audit[[#Totals],[Winning Candidate]]-Audit[[#Totals],[Losing Candidate]]),
      0
)</f>
        <v>0</v>
      </c>
      <c r="AV9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8">
        <f>IF(Audit[[#This Row],[Max Relative Error (ep)]] = 0, 0, Audit[[#This Row],[Max Relative Error (ep)]]/Audit[[#This Row],[Error Bound (up) - Max. possible relative overstatement]])</f>
        <v>0</v>
      </c>
      <c r="BH9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8" s="18">
        <f t="shared" si="14"/>
        <v>1</v>
      </c>
      <c r="BJ908" s="18">
        <f>PRODUCT($BI$5:BI908)</f>
        <v>0.32656797278968008</v>
      </c>
      <c r="BK908" s="20">
        <f>1 - Audit[[#This Row],[K-M P Value]]</f>
        <v>0.67343202721031992</v>
      </c>
      <c r="BL908" s="18" t="str">
        <f>IF(Audit[[#This Row],[K-M P Value]]&gt;1-'General Info'!$B$12,"Continue", "Stop")</f>
        <v>Continue</v>
      </c>
      <c r="BM908" s="23" t="b">
        <f>IF(Audit[[#This Row],[Status - Continue or stop audit]] = "Continue", TRUE, IF(BL907 = "Continue", TRUE, FALSE))</f>
        <v>1</v>
      </c>
      <c r="BN908" s="23"/>
    </row>
    <row r="909" spans="1:66" ht="15" hidden="1" customHeight="1" x14ac:dyDescent="0.35">
      <c r="A909" s="18" t="str">
        <f>'Sampling Data'!AI909</f>
        <v/>
      </c>
      <c r="B909" s="18" t="str">
        <f>'Sampling Data'!A909</f>
        <v>5627 AND AA   (ED)</v>
      </c>
      <c r="C909" s="18">
        <f>'Sampling Data'!B909</f>
        <v>104</v>
      </c>
      <c r="D909" s="18">
        <f>'Sampling Data'!C909</f>
        <v>10</v>
      </c>
      <c r="E909" s="19">
        <f>'Sampling Data'!D909</f>
        <v>0</v>
      </c>
      <c r="F909" s="19">
        <f>'Sampling Data'!E909</f>
        <v>0</v>
      </c>
      <c r="G909" s="19">
        <f>'Sampling Data'!F909</f>
        <v>0</v>
      </c>
      <c r="H909" s="19">
        <f>'Sampling Data'!G909</f>
        <v>0</v>
      </c>
      <c r="I909" s="19">
        <f>'Sampling Data'!H909</f>
        <v>0</v>
      </c>
      <c r="J909" s="19">
        <f>'Sampling Data'!I909</f>
        <v>0</v>
      </c>
      <c r="K909" s="19">
        <f>'Sampling Data'!J909</f>
        <v>0</v>
      </c>
      <c r="L909" s="19">
        <f>'Sampling Data'!K909</f>
        <v>0</v>
      </c>
      <c r="M909" s="19">
        <f>'Sampling Data'!L909</f>
        <v>0</v>
      </c>
      <c r="N909" s="19">
        <f>'Sampling Data'!M909</f>
        <v>0</v>
      </c>
      <c r="O909" s="18">
        <f>'Sampling Data'!N909</f>
        <v>0</v>
      </c>
      <c r="P909" s="18">
        <f>'Sampling Data'!O909</f>
        <v>0</v>
      </c>
      <c r="Q909" s="18">
        <f>'Sampling Data'!P909</f>
        <v>114</v>
      </c>
      <c r="R909" s="18">
        <f>'Sampling Data'!AJ909</f>
        <v>0</v>
      </c>
      <c r="S909" s="112"/>
      <c r="T909" s="112"/>
      <c r="U909" s="113"/>
      <c r="V909" s="113"/>
      <c r="W909" s="112"/>
      <c r="X909" s="112"/>
      <c r="Y909" s="112"/>
      <c r="Z909" s="112"/>
      <c r="AA909" s="15"/>
      <c r="AB909" s="15"/>
      <c r="AC909" s="15"/>
      <c r="AD909" s="15"/>
      <c r="AE909" s="114" t="str">
        <f>IF(NOT(ISBLANK(Audit[[#This Row],[Audit Winning Candidate]])), Audit[[#This Row],[Audit Winning Candidate]]-Audit[[#This Row],[Winning Candidate]], "")</f>
        <v/>
      </c>
      <c r="AF909" s="18" t="str">
        <f>IF(NOT(ISBLANK(Audit[[#This Row],[Audit Losing Candidate]])), Audit[[#This Row],[Audit Losing Candidate]]-Audit[[#This Row],[Losing Candidate]], "")</f>
        <v/>
      </c>
      <c r="AG909" s="18" t="str">
        <f>IF(NOT(ISBLANK(Audit[[#This Row],[Audit Candidate 3]])), Audit[[#This Row],[Audit Candidate 3]]-Audit[[#This Row],[Candidate 3]], "")</f>
        <v/>
      </c>
      <c r="AH909" s="18" t="str">
        <f>IF(NOT(ISBLANK(Audit[[#This Row],[Audit Candidate 4]])),Audit[[#This Row],[Audit Candidate 4]]-Audit[[#This Row],[Candidate 4]], "")</f>
        <v/>
      </c>
      <c r="AI909" s="18" t="str">
        <f>IF(NOT(ISBLANK(Audit[[#This Row],[Audit Candidate 5]])), Audit[[#This Row],[Audit Candidate 5]]-Audit[[#This Row],[Candidate 5]], "")</f>
        <v/>
      </c>
      <c r="AJ909" s="18" t="str">
        <f>IF(NOT(ISBLANK(Audit[[#This Row],[Audit Candidate 6]])), Audit[[#This Row],[Audit Candidate 6]]-Audit[[#This Row],[Candidate 6]], "")</f>
        <v/>
      </c>
      <c r="AK909" s="18" t="str">
        <f>IF(NOT(ISBLANK(Audit[[#This Row],[Audit Candidate 7]])), Audit[[#This Row],[Audit Candidate 7]]-Audit[[#This Row],[Candidate 7]], "")</f>
        <v/>
      </c>
      <c r="AL909" s="18" t="str">
        <f>IF(NOT(ISBLANK(Audit[[#This Row],[Audit Candidate 8]])), Audit[[#This Row],[Audit Candidate 8]]-Audit[[#This Row],[Candidate 8]], "")</f>
        <v/>
      </c>
      <c r="AM909" s="18" t="str">
        <f>IF(NOT(ISBLANK(Audit[[#This Row],[Audit Candidate 9]])), Audit[[#This Row],[Audit Candidate 9]]-Audit[[#This Row],[Candidate 9]], "")</f>
        <v/>
      </c>
      <c r="AN909" s="18" t="str">
        <f>IF(NOT(ISBLANK(Audit[[#This Row],[Audit Candidate 10]])), Audit[[#This Row],[Audit Candidate 10]]-Audit[[#This Row],[Candidate 10]], "")</f>
        <v/>
      </c>
      <c r="AO909" s="18" t="str">
        <f>IF(NOT(ISBLANK(Audit[[#This Row],[Audit Candidate 11]])), Audit[[#This Row],[Audit Candidate 11]]-Audit[[#This Row],[Candidate 11]], "")</f>
        <v/>
      </c>
      <c r="AP909" s="18" t="str">
        <f>IF(NOT(ISBLANK(Audit[[#This Row],[Audit Candidate 12]])), Audit[[#This Row],[Audit Candidate 12]]-Audit[[#This Row],[Candidate 12]], "")</f>
        <v/>
      </c>
      <c r="AQ909" s="18">
        <f>SUMIF(Audit[[#This Row],[Difference Winner]:[Difference Candidate 12]], "&gt;0")</f>
        <v>0</v>
      </c>
      <c r="AR909" s="18">
        <f>SUM(Audit[[#This Row],[Difference Winner]:[Difference Candidate 12]])</f>
        <v>0</v>
      </c>
      <c r="AS909" s="18">
        <f>IF(Audit[[#This Row],[Times p Drawn - With Replacement]]&gt;0, IF(Audit[[#This Row],[Canceled Differences]]&lt;0, Audit[[#This Row],[Max Differences]]+ABS(Audit[[#This Row],[Canceled Differences]]), Audit[[#This Row],[Max Differences]]), 0)</f>
        <v>0</v>
      </c>
      <c r="AT909" s="18">
        <f>'Sampling Data'!AB909</f>
        <v>6.5332788893425892E-3</v>
      </c>
      <c r="AU909" s="18">
        <f>IF(
      SUM(Audit[[#This Row],[Audit Losing Candidate]:[Audit Candidate 12]])
      &lt;&gt;0,
      (Audit[[#This Row],[Winning Candidate]]-Audit[[#This Row],[Losing Candidate]]-(Audit[[#This Row],[Audit Winning Candidate]]-Audit[[#This Row],[Audit Losing Candidate]]))/(Audit[[#Totals],[Winning Candidate]]-Audit[[#Totals],[Losing Candidate]]),
      0
)</f>
        <v>0</v>
      </c>
      <c r="AV9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8">
        <f>IF(Audit[[#This Row],[Max Relative Error (ep)]] = 0, 0, Audit[[#This Row],[Max Relative Error (ep)]]/Audit[[#This Row],[Error Bound (up) - Max. possible relative overstatement]])</f>
        <v>0</v>
      </c>
      <c r="BH9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09" s="18">
        <f t="shared" si="14"/>
        <v>1</v>
      </c>
      <c r="BJ909" s="18">
        <f>PRODUCT($BI$5:BI909)</f>
        <v>0.32656797278968008</v>
      </c>
      <c r="BK909" s="20">
        <f>1 - Audit[[#This Row],[K-M P Value]]</f>
        <v>0.67343202721031992</v>
      </c>
      <c r="BL909" s="18" t="str">
        <f>IF(Audit[[#This Row],[K-M P Value]]&gt;1-'General Info'!$B$12,"Continue", "Stop")</f>
        <v>Continue</v>
      </c>
      <c r="BM909" s="23" t="b">
        <f>IF(Audit[[#This Row],[Status - Continue or stop audit]] = "Continue", TRUE, IF(BL908 = "Continue", TRUE, FALSE))</f>
        <v>1</v>
      </c>
      <c r="BN909" s="23"/>
    </row>
    <row r="910" spans="1:66" ht="15" hidden="1" customHeight="1" x14ac:dyDescent="0.35">
      <c r="A910" s="18" t="str">
        <f>'Sampling Data'!AI910</f>
        <v/>
      </c>
      <c r="B910" s="18" t="str">
        <f>'Sampling Data'!A910</f>
        <v>5628 AND BB   (ED)</v>
      </c>
      <c r="C910" s="18">
        <f>'Sampling Data'!B910</f>
        <v>93</v>
      </c>
      <c r="D910" s="18">
        <f>'Sampling Data'!C910</f>
        <v>10</v>
      </c>
      <c r="E910" s="19">
        <f>'Sampling Data'!D910</f>
        <v>0</v>
      </c>
      <c r="F910" s="19">
        <f>'Sampling Data'!E910</f>
        <v>0</v>
      </c>
      <c r="G910" s="19">
        <f>'Sampling Data'!F910</f>
        <v>0</v>
      </c>
      <c r="H910" s="19">
        <f>'Sampling Data'!G910</f>
        <v>0</v>
      </c>
      <c r="I910" s="19">
        <f>'Sampling Data'!H910</f>
        <v>0</v>
      </c>
      <c r="J910" s="19">
        <f>'Sampling Data'!I910</f>
        <v>0</v>
      </c>
      <c r="K910" s="19">
        <f>'Sampling Data'!J910</f>
        <v>0</v>
      </c>
      <c r="L910" s="19">
        <f>'Sampling Data'!K910</f>
        <v>0</v>
      </c>
      <c r="M910" s="19">
        <f>'Sampling Data'!L910</f>
        <v>0</v>
      </c>
      <c r="N910" s="19">
        <f>'Sampling Data'!M910</f>
        <v>0</v>
      </c>
      <c r="O910" s="18">
        <f>'Sampling Data'!N910</f>
        <v>0</v>
      </c>
      <c r="P910" s="18">
        <f>'Sampling Data'!O910</f>
        <v>2</v>
      </c>
      <c r="Q910" s="18">
        <f>'Sampling Data'!P910</f>
        <v>105</v>
      </c>
      <c r="R910" s="18">
        <f>'Sampling Data'!AJ910</f>
        <v>0</v>
      </c>
      <c r="S910" s="112"/>
      <c r="T910" s="112"/>
      <c r="U910" s="113"/>
      <c r="V910" s="113"/>
      <c r="W910" s="112"/>
      <c r="X910" s="112"/>
      <c r="Y910" s="112"/>
      <c r="Z910" s="112"/>
      <c r="AA910" s="15"/>
      <c r="AB910" s="15"/>
      <c r="AC910" s="15"/>
      <c r="AD910" s="15"/>
      <c r="AE910" s="114" t="str">
        <f>IF(NOT(ISBLANK(Audit[[#This Row],[Audit Winning Candidate]])), Audit[[#This Row],[Audit Winning Candidate]]-Audit[[#This Row],[Winning Candidate]], "")</f>
        <v/>
      </c>
      <c r="AF910" s="18" t="str">
        <f>IF(NOT(ISBLANK(Audit[[#This Row],[Audit Losing Candidate]])), Audit[[#This Row],[Audit Losing Candidate]]-Audit[[#This Row],[Losing Candidate]], "")</f>
        <v/>
      </c>
      <c r="AG910" s="18" t="str">
        <f>IF(NOT(ISBLANK(Audit[[#This Row],[Audit Candidate 3]])), Audit[[#This Row],[Audit Candidate 3]]-Audit[[#This Row],[Candidate 3]], "")</f>
        <v/>
      </c>
      <c r="AH910" s="18" t="str">
        <f>IF(NOT(ISBLANK(Audit[[#This Row],[Audit Candidate 4]])),Audit[[#This Row],[Audit Candidate 4]]-Audit[[#This Row],[Candidate 4]], "")</f>
        <v/>
      </c>
      <c r="AI910" s="18" t="str">
        <f>IF(NOT(ISBLANK(Audit[[#This Row],[Audit Candidate 5]])), Audit[[#This Row],[Audit Candidate 5]]-Audit[[#This Row],[Candidate 5]], "")</f>
        <v/>
      </c>
      <c r="AJ910" s="18" t="str">
        <f>IF(NOT(ISBLANK(Audit[[#This Row],[Audit Candidate 6]])), Audit[[#This Row],[Audit Candidate 6]]-Audit[[#This Row],[Candidate 6]], "")</f>
        <v/>
      </c>
      <c r="AK910" s="18" t="str">
        <f>IF(NOT(ISBLANK(Audit[[#This Row],[Audit Candidate 7]])), Audit[[#This Row],[Audit Candidate 7]]-Audit[[#This Row],[Candidate 7]], "")</f>
        <v/>
      </c>
      <c r="AL910" s="18" t="str">
        <f>IF(NOT(ISBLANK(Audit[[#This Row],[Audit Candidate 8]])), Audit[[#This Row],[Audit Candidate 8]]-Audit[[#This Row],[Candidate 8]], "")</f>
        <v/>
      </c>
      <c r="AM910" s="18" t="str">
        <f>IF(NOT(ISBLANK(Audit[[#This Row],[Audit Candidate 9]])), Audit[[#This Row],[Audit Candidate 9]]-Audit[[#This Row],[Candidate 9]], "")</f>
        <v/>
      </c>
      <c r="AN910" s="18" t="str">
        <f>IF(NOT(ISBLANK(Audit[[#This Row],[Audit Candidate 10]])), Audit[[#This Row],[Audit Candidate 10]]-Audit[[#This Row],[Candidate 10]], "")</f>
        <v/>
      </c>
      <c r="AO910" s="18" t="str">
        <f>IF(NOT(ISBLANK(Audit[[#This Row],[Audit Candidate 11]])), Audit[[#This Row],[Audit Candidate 11]]-Audit[[#This Row],[Candidate 11]], "")</f>
        <v/>
      </c>
      <c r="AP910" s="18" t="str">
        <f>IF(NOT(ISBLANK(Audit[[#This Row],[Audit Candidate 12]])), Audit[[#This Row],[Audit Candidate 12]]-Audit[[#This Row],[Candidate 12]], "")</f>
        <v/>
      </c>
      <c r="AQ910" s="18">
        <f>SUMIF(Audit[[#This Row],[Difference Winner]:[Difference Candidate 12]], "&gt;0")</f>
        <v>0</v>
      </c>
      <c r="AR910" s="18">
        <f>SUM(Audit[[#This Row],[Difference Winner]:[Difference Candidate 12]])</f>
        <v>0</v>
      </c>
      <c r="AS910" s="18">
        <f>IF(Audit[[#This Row],[Times p Drawn - With Replacement]]&gt;0, IF(Audit[[#This Row],[Canceled Differences]]&lt;0, Audit[[#This Row],[Max Differences]]+ABS(Audit[[#This Row],[Canceled Differences]]), Audit[[#This Row],[Max Differences]]), 0)</f>
        <v>0</v>
      </c>
      <c r="AT910" s="18">
        <f>'Sampling Data'!AB910</f>
        <v>5.905078996136571E-3</v>
      </c>
      <c r="AU910" s="18">
        <f>IF(
      SUM(Audit[[#This Row],[Audit Losing Candidate]:[Audit Candidate 12]])
      &lt;&gt;0,
      (Audit[[#This Row],[Winning Candidate]]-Audit[[#This Row],[Losing Candidate]]-(Audit[[#This Row],[Audit Winning Candidate]]-Audit[[#This Row],[Audit Losing Candidate]]))/(Audit[[#Totals],[Winning Candidate]]-Audit[[#Totals],[Losing Candidate]]),
      0
)</f>
        <v>0</v>
      </c>
      <c r="AV9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8">
        <f>IF(Audit[[#This Row],[Max Relative Error (ep)]] = 0, 0, Audit[[#This Row],[Max Relative Error (ep)]]/Audit[[#This Row],[Error Bound (up) - Max. possible relative overstatement]])</f>
        <v>0</v>
      </c>
      <c r="BH9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0" s="18">
        <f t="shared" si="14"/>
        <v>1</v>
      </c>
      <c r="BJ910" s="18">
        <f>PRODUCT($BI$5:BI910)</f>
        <v>0.32656797278968008</v>
      </c>
      <c r="BK910" s="20">
        <f>1 - Audit[[#This Row],[K-M P Value]]</f>
        <v>0.67343202721031992</v>
      </c>
      <c r="BL910" s="18" t="str">
        <f>IF(Audit[[#This Row],[K-M P Value]]&gt;1-'General Info'!$B$12,"Continue", "Stop")</f>
        <v>Continue</v>
      </c>
      <c r="BM910" s="23" t="b">
        <f>IF(Audit[[#This Row],[Status - Continue or stop audit]] = "Continue", TRUE, IF(BL909 = "Continue", TRUE, FALSE))</f>
        <v>1</v>
      </c>
      <c r="BN910" s="23"/>
    </row>
    <row r="911" spans="1:66" ht="15" hidden="1" customHeight="1" x14ac:dyDescent="0.35">
      <c r="A911" s="18" t="str">
        <f>'Sampling Data'!AI911</f>
        <v/>
      </c>
      <c r="B911" s="18" t="str">
        <f>'Sampling Data'!A911</f>
        <v>5629 AND CC   (ED)</v>
      </c>
      <c r="C911" s="18">
        <f>'Sampling Data'!B911</f>
        <v>68</v>
      </c>
      <c r="D911" s="18">
        <f>'Sampling Data'!C911</f>
        <v>9</v>
      </c>
      <c r="E911" s="19">
        <f>'Sampling Data'!D911</f>
        <v>0</v>
      </c>
      <c r="F911" s="19">
        <f>'Sampling Data'!E911</f>
        <v>0</v>
      </c>
      <c r="G911" s="19">
        <f>'Sampling Data'!F911</f>
        <v>0</v>
      </c>
      <c r="H911" s="19">
        <f>'Sampling Data'!G911</f>
        <v>0</v>
      </c>
      <c r="I911" s="19">
        <f>'Sampling Data'!H911</f>
        <v>0</v>
      </c>
      <c r="J911" s="19">
        <f>'Sampling Data'!I911</f>
        <v>0</v>
      </c>
      <c r="K911" s="19">
        <f>'Sampling Data'!J911</f>
        <v>0</v>
      </c>
      <c r="L911" s="19">
        <f>'Sampling Data'!K911</f>
        <v>0</v>
      </c>
      <c r="M911" s="19">
        <f>'Sampling Data'!L911</f>
        <v>0</v>
      </c>
      <c r="N911" s="19">
        <f>'Sampling Data'!M911</f>
        <v>0</v>
      </c>
      <c r="O911" s="18">
        <f>'Sampling Data'!N911</f>
        <v>0</v>
      </c>
      <c r="P911" s="18">
        <f>'Sampling Data'!O911</f>
        <v>1</v>
      </c>
      <c r="Q911" s="18">
        <f>'Sampling Data'!P911</f>
        <v>78</v>
      </c>
      <c r="R911" s="18">
        <f>'Sampling Data'!AJ911</f>
        <v>0</v>
      </c>
      <c r="S911" s="112"/>
      <c r="T911" s="112"/>
      <c r="U911" s="113"/>
      <c r="V911" s="113"/>
      <c r="W911" s="112"/>
      <c r="X911" s="112"/>
      <c r="Y911" s="112"/>
      <c r="Z911" s="112"/>
      <c r="AA911" s="15"/>
      <c r="AB911" s="15"/>
      <c r="AC911" s="15"/>
      <c r="AD911" s="15"/>
      <c r="AE911" s="114" t="str">
        <f>IF(NOT(ISBLANK(Audit[[#This Row],[Audit Winning Candidate]])), Audit[[#This Row],[Audit Winning Candidate]]-Audit[[#This Row],[Winning Candidate]], "")</f>
        <v/>
      </c>
      <c r="AF911" s="18" t="str">
        <f>IF(NOT(ISBLANK(Audit[[#This Row],[Audit Losing Candidate]])), Audit[[#This Row],[Audit Losing Candidate]]-Audit[[#This Row],[Losing Candidate]], "")</f>
        <v/>
      </c>
      <c r="AG911" s="18" t="str">
        <f>IF(NOT(ISBLANK(Audit[[#This Row],[Audit Candidate 3]])), Audit[[#This Row],[Audit Candidate 3]]-Audit[[#This Row],[Candidate 3]], "")</f>
        <v/>
      </c>
      <c r="AH911" s="18" t="str">
        <f>IF(NOT(ISBLANK(Audit[[#This Row],[Audit Candidate 4]])),Audit[[#This Row],[Audit Candidate 4]]-Audit[[#This Row],[Candidate 4]], "")</f>
        <v/>
      </c>
      <c r="AI911" s="18" t="str">
        <f>IF(NOT(ISBLANK(Audit[[#This Row],[Audit Candidate 5]])), Audit[[#This Row],[Audit Candidate 5]]-Audit[[#This Row],[Candidate 5]], "")</f>
        <v/>
      </c>
      <c r="AJ911" s="18" t="str">
        <f>IF(NOT(ISBLANK(Audit[[#This Row],[Audit Candidate 6]])), Audit[[#This Row],[Audit Candidate 6]]-Audit[[#This Row],[Candidate 6]], "")</f>
        <v/>
      </c>
      <c r="AK911" s="18" t="str">
        <f>IF(NOT(ISBLANK(Audit[[#This Row],[Audit Candidate 7]])), Audit[[#This Row],[Audit Candidate 7]]-Audit[[#This Row],[Candidate 7]], "")</f>
        <v/>
      </c>
      <c r="AL911" s="18" t="str">
        <f>IF(NOT(ISBLANK(Audit[[#This Row],[Audit Candidate 8]])), Audit[[#This Row],[Audit Candidate 8]]-Audit[[#This Row],[Candidate 8]], "")</f>
        <v/>
      </c>
      <c r="AM911" s="18" t="str">
        <f>IF(NOT(ISBLANK(Audit[[#This Row],[Audit Candidate 9]])), Audit[[#This Row],[Audit Candidate 9]]-Audit[[#This Row],[Candidate 9]], "")</f>
        <v/>
      </c>
      <c r="AN911" s="18" t="str">
        <f>IF(NOT(ISBLANK(Audit[[#This Row],[Audit Candidate 10]])), Audit[[#This Row],[Audit Candidate 10]]-Audit[[#This Row],[Candidate 10]], "")</f>
        <v/>
      </c>
      <c r="AO911" s="18" t="str">
        <f>IF(NOT(ISBLANK(Audit[[#This Row],[Audit Candidate 11]])), Audit[[#This Row],[Audit Candidate 11]]-Audit[[#This Row],[Candidate 11]], "")</f>
        <v/>
      </c>
      <c r="AP911" s="18" t="str">
        <f>IF(NOT(ISBLANK(Audit[[#This Row],[Audit Candidate 12]])), Audit[[#This Row],[Audit Candidate 12]]-Audit[[#This Row],[Candidate 12]], "")</f>
        <v/>
      </c>
      <c r="AQ911" s="18">
        <f>SUMIF(Audit[[#This Row],[Difference Winner]:[Difference Candidate 12]], "&gt;0")</f>
        <v>0</v>
      </c>
      <c r="AR911" s="18">
        <f>SUM(Audit[[#This Row],[Difference Winner]:[Difference Candidate 12]])</f>
        <v>0</v>
      </c>
      <c r="AS911" s="18">
        <f>IF(Audit[[#This Row],[Times p Drawn - With Replacement]]&gt;0, IF(Audit[[#This Row],[Canceled Differences]]&lt;0, Audit[[#This Row],[Max Differences]]+ABS(Audit[[#This Row],[Canceled Differences]]), Audit[[#This Row],[Max Differences]]), 0)</f>
        <v>0</v>
      </c>
      <c r="AT911" s="18">
        <f>'Sampling Data'!AB911</f>
        <v>4.3031692684612245E-3</v>
      </c>
      <c r="AU911" s="18">
        <f>IF(
      SUM(Audit[[#This Row],[Audit Losing Candidate]:[Audit Candidate 12]])
      &lt;&gt;0,
      (Audit[[#This Row],[Winning Candidate]]-Audit[[#This Row],[Losing Candidate]]-(Audit[[#This Row],[Audit Winning Candidate]]-Audit[[#This Row],[Audit Losing Candidate]]))/(Audit[[#Totals],[Winning Candidate]]-Audit[[#Totals],[Losing Candidate]]),
      0
)</f>
        <v>0</v>
      </c>
      <c r="AV9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8">
        <f>IF(Audit[[#This Row],[Max Relative Error (ep)]] = 0, 0, Audit[[#This Row],[Max Relative Error (ep)]]/Audit[[#This Row],[Error Bound (up) - Max. possible relative overstatement]])</f>
        <v>0</v>
      </c>
      <c r="BH9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1" s="18">
        <f t="shared" ref="BI911:BI974" si="15">IF(ISERR(POWER(BH911,R911)), 0, POWER(BH911,R911))</f>
        <v>1</v>
      </c>
      <c r="BJ911" s="18">
        <f>PRODUCT($BI$5:BI911)</f>
        <v>0.32656797278968008</v>
      </c>
      <c r="BK911" s="20">
        <f>1 - Audit[[#This Row],[K-M P Value]]</f>
        <v>0.67343202721031992</v>
      </c>
      <c r="BL911" s="18" t="str">
        <f>IF(Audit[[#This Row],[K-M P Value]]&gt;1-'General Info'!$B$12,"Continue", "Stop")</f>
        <v>Continue</v>
      </c>
      <c r="BM911" s="23" t="b">
        <f>IF(Audit[[#This Row],[Status - Continue or stop audit]] = "Continue", TRUE, IF(BL910 = "Continue", TRUE, FALSE))</f>
        <v>1</v>
      </c>
      <c r="BN911" s="23"/>
    </row>
    <row r="912" spans="1:66" ht="15" hidden="1" customHeight="1" x14ac:dyDescent="0.35">
      <c r="A912" s="18" t="str">
        <f>'Sampling Data'!AI912</f>
        <v/>
      </c>
      <c r="B912" s="18" t="str">
        <f>'Sampling Data'!A912</f>
        <v>5630 AND DD   (ED)</v>
      </c>
      <c r="C912" s="18">
        <f>'Sampling Data'!B912</f>
        <v>110</v>
      </c>
      <c r="D912" s="18">
        <f>'Sampling Data'!C912</f>
        <v>15</v>
      </c>
      <c r="E912" s="19">
        <f>'Sampling Data'!D912</f>
        <v>0</v>
      </c>
      <c r="F912" s="19">
        <f>'Sampling Data'!E912</f>
        <v>0</v>
      </c>
      <c r="G912" s="19">
        <f>'Sampling Data'!F912</f>
        <v>0</v>
      </c>
      <c r="H912" s="19">
        <f>'Sampling Data'!G912</f>
        <v>0</v>
      </c>
      <c r="I912" s="19">
        <f>'Sampling Data'!H912</f>
        <v>0</v>
      </c>
      <c r="J912" s="19">
        <f>'Sampling Data'!I912</f>
        <v>0</v>
      </c>
      <c r="K912" s="19">
        <f>'Sampling Data'!J912</f>
        <v>0</v>
      </c>
      <c r="L912" s="19">
        <f>'Sampling Data'!K912</f>
        <v>0</v>
      </c>
      <c r="M912" s="19">
        <f>'Sampling Data'!L912</f>
        <v>0</v>
      </c>
      <c r="N912" s="19">
        <f>'Sampling Data'!M912</f>
        <v>0</v>
      </c>
      <c r="O912" s="18">
        <f>'Sampling Data'!N912</f>
        <v>0</v>
      </c>
      <c r="P912" s="18">
        <f>'Sampling Data'!O912</f>
        <v>3</v>
      </c>
      <c r="Q912" s="18">
        <f>'Sampling Data'!P912</f>
        <v>128</v>
      </c>
      <c r="R912" s="18">
        <f>'Sampling Data'!AJ912</f>
        <v>0</v>
      </c>
      <c r="S912" s="112"/>
      <c r="T912" s="112"/>
      <c r="U912" s="113"/>
      <c r="V912" s="113"/>
      <c r="W912" s="112"/>
      <c r="X912" s="112"/>
      <c r="Y912" s="112"/>
      <c r="Z912" s="112"/>
      <c r="AA912" s="15"/>
      <c r="AB912" s="15"/>
      <c r="AC912" s="15"/>
      <c r="AD912" s="15"/>
      <c r="AE912" s="114" t="str">
        <f>IF(NOT(ISBLANK(Audit[[#This Row],[Audit Winning Candidate]])), Audit[[#This Row],[Audit Winning Candidate]]-Audit[[#This Row],[Winning Candidate]], "")</f>
        <v/>
      </c>
      <c r="AF912" s="18" t="str">
        <f>IF(NOT(ISBLANK(Audit[[#This Row],[Audit Losing Candidate]])), Audit[[#This Row],[Audit Losing Candidate]]-Audit[[#This Row],[Losing Candidate]], "")</f>
        <v/>
      </c>
      <c r="AG912" s="18" t="str">
        <f>IF(NOT(ISBLANK(Audit[[#This Row],[Audit Candidate 3]])), Audit[[#This Row],[Audit Candidate 3]]-Audit[[#This Row],[Candidate 3]], "")</f>
        <v/>
      </c>
      <c r="AH912" s="18" t="str">
        <f>IF(NOT(ISBLANK(Audit[[#This Row],[Audit Candidate 4]])),Audit[[#This Row],[Audit Candidate 4]]-Audit[[#This Row],[Candidate 4]], "")</f>
        <v/>
      </c>
      <c r="AI912" s="18" t="str">
        <f>IF(NOT(ISBLANK(Audit[[#This Row],[Audit Candidate 5]])), Audit[[#This Row],[Audit Candidate 5]]-Audit[[#This Row],[Candidate 5]], "")</f>
        <v/>
      </c>
      <c r="AJ912" s="18" t="str">
        <f>IF(NOT(ISBLANK(Audit[[#This Row],[Audit Candidate 6]])), Audit[[#This Row],[Audit Candidate 6]]-Audit[[#This Row],[Candidate 6]], "")</f>
        <v/>
      </c>
      <c r="AK912" s="18" t="str">
        <f>IF(NOT(ISBLANK(Audit[[#This Row],[Audit Candidate 7]])), Audit[[#This Row],[Audit Candidate 7]]-Audit[[#This Row],[Candidate 7]], "")</f>
        <v/>
      </c>
      <c r="AL912" s="18" t="str">
        <f>IF(NOT(ISBLANK(Audit[[#This Row],[Audit Candidate 8]])), Audit[[#This Row],[Audit Candidate 8]]-Audit[[#This Row],[Candidate 8]], "")</f>
        <v/>
      </c>
      <c r="AM912" s="18" t="str">
        <f>IF(NOT(ISBLANK(Audit[[#This Row],[Audit Candidate 9]])), Audit[[#This Row],[Audit Candidate 9]]-Audit[[#This Row],[Candidate 9]], "")</f>
        <v/>
      </c>
      <c r="AN912" s="18" t="str">
        <f>IF(NOT(ISBLANK(Audit[[#This Row],[Audit Candidate 10]])), Audit[[#This Row],[Audit Candidate 10]]-Audit[[#This Row],[Candidate 10]], "")</f>
        <v/>
      </c>
      <c r="AO912" s="18" t="str">
        <f>IF(NOT(ISBLANK(Audit[[#This Row],[Audit Candidate 11]])), Audit[[#This Row],[Audit Candidate 11]]-Audit[[#This Row],[Candidate 11]], "")</f>
        <v/>
      </c>
      <c r="AP912" s="18" t="str">
        <f>IF(NOT(ISBLANK(Audit[[#This Row],[Audit Candidate 12]])), Audit[[#This Row],[Audit Candidate 12]]-Audit[[#This Row],[Candidate 12]], "")</f>
        <v/>
      </c>
      <c r="AQ912" s="18">
        <f>SUMIF(Audit[[#This Row],[Difference Winner]:[Difference Candidate 12]], "&gt;0")</f>
        <v>0</v>
      </c>
      <c r="AR912" s="18">
        <f>SUM(Audit[[#This Row],[Difference Winner]:[Difference Candidate 12]])</f>
        <v>0</v>
      </c>
      <c r="AS912" s="18">
        <f>IF(Audit[[#This Row],[Times p Drawn - With Replacement]]&gt;0, IF(Audit[[#This Row],[Canceled Differences]]&lt;0, Audit[[#This Row],[Max Differences]]+ABS(Audit[[#This Row],[Canceled Differences]]), Audit[[#This Row],[Max Differences]]), 0)</f>
        <v>0</v>
      </c>
      <c r="AT912" s="18">
        <f>'Sampling Data'!AB912</f>
        <v>7.0044288092471025E-3</v>
      </c>
      <c r="AU912" s="18">
        <f>IF(
      SUM(Audit[[#This Row],[Audit Losing Candidate]:[Audit Candidate 12]])
      &lt;&gt;0,
      (Audit[[#This Row],[Winning Candidate]]-Audit[[#This Row],[Losing Candidate]]-(Audit[[#This Row],[Audit Winning Candidate]]-Audit[[#This Row],[Audit Losing Candidate]]))/(Audit[[#Totals],[Winning Candidate]]-Audit[[#Totals],[Losing Candidate]]),
      0
)</f>
        <v>0</v>
      </c>
      <c r="AV9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8">
        <f>IF(Audit[[#This Row],[Max Relative Error (ep)]] = 0, 0, Audit[[#This Row],[Max Relative Error (ep)]]/Audit[[#This Row],[Error Bound (up) - Max. possible relative overstatement]])</f>
        <v>0</v>
      </c>
      <c r="BH9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2" s="18">
        <f t="shared" si="15"/>
        <v>1</v>
      </c>
      <c r="BJ912" s="18">
        <f>PRODUCT($BI$5:BI912)</f>
        <v>0.32656797278968008</v>
      </c>
      <c r="BK912" s="20">
        <f>1 - Audit[[#This Row],[K-M P Value]]</f>
        <v>0.67343202721031992</v>
      </c>
      <c r="BL912" s="18" t="str">
        <f>IF(Audit[[#This Row],[K-M P Value]]&gt;1-'General Info'!$B$12,"Continue", "Stop")</f>
        <v>Continue</v>
      </c>
      <c r="BM912" s="23" t="b">
        <f>IF(Audit[[#This Row],[Status - Continue or stop audit]] = "Continue", TRUE, IF(BL911 = "Continue", TRUE, FALSE))</f>
        <v>1</v>
      </c>
      <c r="BN912" s="23"/>
    </row>
    <row r="913" spans="1:66" ht="15" hidden="1" customHeight="1" x14ac:dyDescent="0.35">
      <c r="A913" s="18" t="str">
        <f>'Sampling Data'!AI913</f>
        <v/>
      </c>
      <c r="B913" s="18" t="str">
        <f>'Sampling Data'!A913</f>
        <v>5631 AND EE   (ED)</v>
      </c>
      <c r="C913" s="18">
        <f>'Sampling Data'!B913</f>
        <v>68</v>
      </c>
      <c r="D913" s="18">
        <f>'Sampling Data'!C913</f>
        <v>7</v>
      </c>
      <c r="E913" s="19">
        <f>'Sampling Data'!D913</f>
        <v>0</v>
      </c>
      <c r="F913" s="19">
        <f>'Sampling Data'!E913</f>
        <v>0</v>
      </c>
      <c r="G913" s="19">
        <f>'Sampling Data'!F913</f>
        <v>0</v>
      </c>
      <c r="H913" s="19">
        <f>'Sampling Data'!G913</f>
        <v>0</v>
      </c>
      <c r="I913" s="19">
        <f>'Sampling Data'!H913</f>
        <v>0</v>
      </c>
      <c r="J913" s="19">
        <f>'Sampling Data'!I913</f>
        <v>0</v>
      </c>
      <c r="K913" s="19">
        <f>'Sampling Data'!J913</f>
        <v>0</v>
      </c>
      <c r="L913" s="19">
        <f>'Sampling Data'!K913</f>
        <v>0</v>
      </c>
      <c r="M913" s="19">
        <f>'Sampling Data'!L913</f>
        <v>0</v>
      </c>
      <c r="N913" s="19">
        <f>'Sampling Data'!M913</f>
        <v>0</v>
      </c>
      <c r="O913" s="18">
        <f>'Sampling Data'!N913</f>
        <v>0</v>
      </c>
      <c r="P913" s="18">
        <f>'Sampling Data'!O913</f>
        <v>1</v>
      </c>
      <c r="Q913" s="18">
        <f>'Sampling Data'!P913</f>
        <v>76</v>
      </c>
      <c r="R913" s="18">
        <f>'Sampling Data'!AJ913</f>
        <v>0</v>
      </c>
      <c r="S913" s="112"/>
      <c r="T913" s="112"/>
      <c r="U913" s="113"/>
      <c r="V913" s="113"/>
      <c r="W913" s="112"/>
      <c r="X913" s="112"/>
      <c r="Y913" s="112"/>
      <c r="Z913" s="112"/>
      <c r="AA913" s="15"/>
      <c r="AB913" s="15"/>
      <c r="AC913" s="15"/>
      <c r="AD913" s="15"/>
      <c r="AE913" s="114" t="str">
        <f>IF(NOT(ISBLANK(Audit[[#This Row],[Audit Winning Candidate]])), Audit[[#This Row],[Audit Winning Candidate]]-Audit[[#This Row],[Winning Candidate]], "")</f>
        <v/>
      </c>
      <c r="AF913" s="18" t="str">
        <f>IF(NOT(ISBLANK(Audit[[#This Row],[Audit Losing Candidate]])), Audit[[#This Row],[Audit Losing Candidate]]-Audit[[#This Row],[Losing Candidate]], "")</f>
        <v/>
      </c>
      <c r="AG913" s="18" t="str">
        <f>IF(NOT(ISBLANK(Audit[[#This Row],[Audit Candidate 3]])), Audit[[#This Row],[Audit Candidate 3]]-Audit[[#This Row],[Candidate 3]], "")</f>
        <v/>
      </c>
      <c r="AH913" s="18" t="str">
        <f>IF(NOT(ISBLANK(Audit[[#This Row],[Audit Candidate 4]])),Audit[[#This Row],[Audit Candidate 4]]-Audit[[#This Row],[Candidate 4]], "")</f>
        <v/>
      </c>
      <c r="AI913" s="18" t="str">
        <f>IF(NOT(ISBLANK(Audit[[#This Row],[Audit Candidate 5]])), Audit[[#This Row],[Audit Candidate 5]]-Audit[[#This Row],[Candidate 5]], "")</f>
        <v/>
      </c>
      <c r="AJ913" s="18" t="str">
        <f>IF(NOT(ISBLANK(Audit[[#This Row],[Audit Candidate 6]])), Audit[[#This Row],[Audit Candidate 6]]-Audit[[#This Row],[Candidate 6]], "")</f>
        <v/>
      </c>
      <c r="AK913" s="18" t="str">
        <f>IF(NOT(ISBLANK(Audit[[#This Row],[Audit Candidate 7]])), Audit[[#This Row],[Audit Candidate 7]]-Audit[[#This Row],[Candidate 7]], "")</f>
        <v/>
      </c>
      <c r="AL913" s="18" t="str">
        <f>IF(NOT(ISBLANK(Audit[[#This Row],[Audit Candidate 8]])), Audit[[#This Row],[Audit Candidate 8]]-Audit[[#This Row],[Candidate 8]], "")</f>
        <v/>
      </c>
      <c r="AM913" s="18" t="str">
        <f>IF(NOT(ISBLANK(Audit[[#This Row],[Audit Candidate 9]])), Audit[[#This Row],[Audit Candidate 9]]-Audit[[#This Row],[Candidate 9]], "")</f>
        <v/>
      </c>
      <c r="AN913" s="18" t="str">
        <f>IF(NOT(ISBLANK(Audit[[#This Row],[Audit Candidate 10]])), Audit[[#This Row],[Audit Candidate 10]]-Audit[[#This Row],[Candidate 10]], "")</f>
        <v/>
      </c>
      <c r="AO913" s="18" t="str">
        <f>IF(NOT(ISBLANK(Audit[[#This Row],[Audit Candidate 11]])), Audit[[#This Row],[Audit Candidate 11]]-Audit[[#This Row],[Candidate 11]], "")</f>
        <v/>
      </c>
      <c r="AP913" s="18" t="str">
        <f>IF(NOT(ISBLANK(Audit[[#This Row],[Audit Candidate 12]])), Audit[[#This Row],[Audit Candidate 12]]-Audit[[#This Row],[Candidate 12]], "")</f>
        <v/>
      </c>
      <c r="AQ913" s="18">
        <f>SUMIF(Audit[[#This Row],[Difference Winner]:[Difference Candidate 12]], "&gt;0")</f>
        <v>0</v>
      </c>
      <c r="AR913" s="18">
        <f>SUM(Audit[[#This Row],[Difference Winner]:[Difference Candidate 12]])</f>
        <v>0</v>
      </c>
      <c r="AS913" s="18">
        <f>IF(Audit[[#This Row],[Times p Drawn - With Replacement]]&gt;0, IF(Audit[[#This Row],[Canceled Differences]]&lt;0, Audit[[#This Row],[Max Differences]]+ABS(Audit[[#This Row],[Canceled Differences]]), Audit[[#This Row],[Max Differences]]), 0)</f>
        <v>0</v>
      </c>
      <c r="AT913" s="18">
        <f>'Sampling Data'!AB913</f>
        <v>4.3031692684612245E-3</v>
      </c>
      <c r="AU913" s="18">
        <f>IF(
      SUM(Audit[[#This Row],[Audit Losing Candidate]:[Audit Candidate 12]])
      &lt;&gt;0,
      (Audit[[#This Row],[Winning Candidate]]-Audit[[#This Row],[Losing Candidate]]-(Audit[[#This Row],[Audit Winning Candidate]]-Audit[[#This Row],[Audit Losing Candidate]]))/(Audit[[#Totals],[Winning Candidate]]-Audit[[#Totals],[Losing Candidate]]),
      0
)</f>
        <v>0</v>
      </c>
      <c r="AV9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8">
        <f>IF(Audit[[#This Row],[Max Relative Error (ep)]] = 0, 0, Audit[[#This Row],[Max Relative Error (ep)]]/Audit[[#This Row],[Error Bound (up) - Max. possible relative overstatement]])</f>
        <v>0</v>
      </c>
      <c r="BH9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3" s="18">
        <f t="shared" si="15"/>
        <v>1</v>
      </c>
      <c r="BJ913" s="18">
        <f>PRODUCT($BI$5:BI913)</f>
        <v>0.32656797278968008</v>
      </c>
      <c r="BK913" s="20">
        <f>1 - Audit[[#This Row],[K-M P Value]]</f>
        <v>0.67343202721031992</v>
      </c>
      <c r="BL913" s="18" t="str">
        <f>IF(Audit[[#This Row],[K-M P Value]]&gt;1-'General Info'!$B$12,"Continue", "Stop")</f>
        <v>Continue</v>
      </c>
      <c r="BM913" s="23" t="b">
        <f>IF(Audit[[#This Row],[Status - Continue or stop audit]] = "Continue", TRUE, IF(BL912 = "Continue", TRUE, FALSE))</f>
        <v>1</v>
      </c>
      <c r="BN913" s="23"/>
    </row>
    <row r="914" spans="1:66" ht="15" hidden="1" customHeight="1" x14ac:dyDescent="0.35">
      <c r="A914" s="18" t="str">
        <f>'Sampling Data'!AI914</f>
        <v/>
      </c>
      <c r="B914" s="18" t="str">
        <f>'Sampling Data'!A914</f>
        <v>5632 AND FF   (ED)</v>
      </c>
      <c r="C914" s="18">
        <f>'Sampling Data'!B914</f>
        <v>89</v>
      </c>
      <c r="D914" s="18">
        <f>'Sampling Data'!C914</f>
        <v>15</v>
      </c>
      <c r="E914" s="19">
        <f>'Sampling Data'!D914</f>
        <v>0</v>
      </c>
      <c r="F914" s="19">
        <f>'Sampling Data'!E914</f>
        <v>0</v>
      </c>
      <c r="G914" s="19">
        <f>'Sampling Data'!F914</f>
        <v>0</v>
      </c>
      <c r="H914" s="19">
        <f>'Sampling Data'!G914</f>
        <v>0</v>
      </c>
      <c r="I914" s="19">
        <f>'Sampling Data'!H914</f>
        <v>0</v>
      </c>
      <c r="J914" s="19">
        <f>'Sampling Data'!I914</f>
        <v>0</v>
      </c>
      <c r="K914" s="19">
        <f>'Sampling Data'!J914</f>
        <v>0</v>
      </c>
      <c r="L914" s="19">
        <f>'Sampling Data'!K914</f>
        <v>0</v>
      </c>
      <c r="M914" s="19">
        <f>'Sampling Data'!L914</f>
        <v>0</v>
      </c>
      <c r="N914" s="19">
        <f>'Sampling Data'!M914</f>
        <v>0</v>
      </c>
      <c r="O914" s="18">
        <f>'Sampling Data'!N914</f>
        <v>0</v>
      </c>
      <c r="P914" s="18">
        <f>'Sampling Data'!O914</f>
        <v>2</v>
      </c>
      <c r="Q914" s="18">
        <f>'Sampling Data'!P914</f>
        <v>106</v>
      </c>
      <c r="R914" s="18">
        <f>'Sampling Data'!AJ914</f>
        <v>0</v>
      </c>
      <c r="S914" s="112"/>
      <c r="T914" s="112"/>
      <c r="U914" s="113"/>
      <c r="V914" s="113"/>
      <c r="W914" s="112"/>
      <c r="X914" s="112"/>
      <c r="Y914" s="112"/>
      <c r="Z914" s="112"/>
      <c r="AA914" s="15"/>
      <c r="AB914" s="15"/>
      <c r="AC914" s="15"/>
      <c r="AD914" s="15"/>
      <c r="AE914" s="114" t="str">
        <f>IF(NOT(ISBLANK(Audit[[#This Row],[Audit Winning Candidate]])), Audit[[#This Row],[Audit Winning Candidate]]-Audit[[#This Row],[Winning Candidate]], "")</f>
        <v/>
      </c>
      <c r="AF914" s="18" t="str">
        <f>IF(NOT(ISBLANK(Audit[[#This Row],[Audit Losing Candidate]])), Audit[[#This Row],[Audit Losing Candidate]]-Audit[[#This Row],[Losing Candidate]], "")</f>
        <v/>
      </c>
      <c r="AG914" s="18" t="str">
        <f>IF(NOT(ISBLANK(Audit[[#This Row],[Audit Candidate 3]])), Audit[[#This Row],[Audit Candidate 3]]-Audit[[#This Row],[Candidate 3]], "")</f>
        <v/>
      </c>
      <c r="AH914" s="18" t="str">
        <f>IF(NOT(ISBLANK(Audit[[#This Row],[Audit Candidate 4]])),Audit[[#This Row],[Audit Candidate 4]]-Audit[[#This Row],[Candidate 4]], "")</f>
        <v/>
      </c>
      <c r="AI914" s="18" t="str">
        <f>IF(NOT(ISBLANK(Audit[[#This Row],[Audit Candidate 5]])), Audit[[#This Row],[Audit Candidate 5]]-Audit[[#This Row],[Candidate 5]], "")</f>
        <v/>
      </c>
      <c r="AJ914" s="18" t="str">
        <f>IF(NOT(ISBLANK(Audit[[#This Row],[Audit Candidate 6]])), Audit[[#This Row],[Audit Candidate 6]]-Audit[[#This Row],[Candidate 6]], "")</f>
        <v/>
      </c>
      <c r="AK914" s="18" t="str">
        <f>IF(NOT(ISBLANK(Audit[[#This Row],[Audit Candidate 7]])), Audit[[#This Row],[Audit Candidate 7]]-Audit[[#This Row],[Candidate 7]], "")</f>
        <v/>
      </c>
      <c r="AL914" s="18" t="str">
        <f>IF(NOT(ISBLANK(Audit[[#This Row],[Audit Candidate 8]])), Audit[[#This Row],[Audit Candidate 8]]-Audit[[#This Row],[Candidate 8]], "")</f>
        <v/>
      </c>
      <c r="AM914" s="18" t="str">
        <f>IF(NOT(ISBLANK(Audit[[#This Row],[Audit Candidate 9]])), Audit[[#This Row],[Audit Candidate 9]]-Audit[[#This Row],[Candidate 9]], "")</f>
        <v/>
      </c>
      <c r="AN914" s="18" t="str">
        <f>IF(NOT(ISBLANK(Audit[[#This Row],[Audit Candidate 10]])), Audit[[#This Row],[Audit Candidate 10]]-Audit[[#This Row],[Candidate 10]], "")</f>
        <v/>
      </c>
      <c r="AO914" s="18" t="str">
        <f>IF(NOT(ISBLANK(Audit[[#This Row],[Audit Candidate 11]])), Audit[[#This Row],[Audit Candidate 11]]-Audit[[#This Row],[Candidate 11]], "")</f>
        <v/>
      </c>
      <c r="AP914" s="18" t="str">
        <f>IF(NOT(ISBLANK(Audit[[#This Row],[Audit Candidate 12]])), Audit[[#This Row],[Audit Candidate 12]]-Audit[[#This Row],[Candidate 12]], "")</f>
        <v/>
      </c>
      <c r="AQ914" s="18">
        <f>SUMIF(Audit[[#This Row],[Difference Winner]:[Difference Candidate 12]], "&gt;0")</f>
        <v>0</v>
      </c>
      <c r="AR914" s="18">
        <f>SUM(Audit[[#This Row],[Difference Winner]:[Difference Candidate 12]])</f>
        <v>0</v>
      </c>
      <c r="AS914" s="18">
        <f>IF(Audit[[#This Row],[Times p Drawn - With Replacement]]&gt;0, IF(Audit[[#This Row],[Canceled Differences]]&lt;0, Audit[[#This Row],[Max Differences]]+ABS(Audit[[#This Row],[Canceled Differences]]), Audit[[#This Row],[Max Differences]]), 0)</f>
        <v>0</v>
      </c>
      <c r="AT914" s="18">
        <f>'Sampling Data'!AB914</f>
        <v>5.6537990388541631E-3</v>
      </c>
      <c r="AU914" s="18">
        <f>IF(
      SUM(Audit[[#This Row],[Audit Losing Candidate]:[Audit Candidate 12]])
      &lt;&gt;0,
      (Audit[[#This Row],[Winning Candidate]]-Audit[[#This Row],[Losing Candidate]]-(Audit[[#This Row],[Audit Winning Candidate]]-Audit[[#This Row],[Audit Losing Candidate]]))/(Audit[[#Totals],[Winning Candidate]]-Audit[[#Totals],[Losing Candidate]]),
      0
)</f>
        <v>0</v>
      </c>
      <c r="AV9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8">
        <f>IF(Audit[[#This Row],[Max Relative Error (ep)]] = 0, 0, Audit[[#This Row],[Max Relative Error (ep)]]/Audit[[#This Row],[Error Bound (up) - Max. possible relative overstatement]])</f>
        <v>0</v>
      </c>
      <c r="BH9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4" s="18">
        <f t="shared" si="15"/>
        <v>1</v>
      </c>
      <c r="BJ914" s="18">
        <f>PRODUCT($BI$5:BI914)</f>
        <v>0.32656797278968008</v>
      </c>
      <c r="BK914" s="20">
        <f>1 - Audit[[#This Row],[K-M P Value]]</f>
        <v>0.67343202721031992</v>
      </c>
      <c r="BL914" s="18" t="str">
        <f>IF(Audit[[#This Row],[K-M P Value]]&gt;1-'General Info'!$B$12,"Continue", "Stop")</f>
        <v>Continue</v>
      </c>
      <c r="BM914" s="23" t="b">
        <f>IF(Audit[[#This Row],[Status - Continue or stop audit]] = "Continue", TRUE, IF(BL913 = "Continue", TRUE, FALSE))</f>
        <v>1</v>
      </c>
      <c r="BN914" s="23"/>
    </row>
    <row r="915" spans="1:66" ht="15" hidden="1" customHeight="1" x14ac:dyDescent="0.35">
      <c r="A915" s="18" t="str">
        <f>'Sampling Data'!AI915</f>
        <v/>
      </c>
      <c r="B915" s="18" t="str">
        <f>'Sampling Data'!A915</f>
        <v>5801 ARLN A   (ED)</v>
      </c>
      <c r="C915" s="18">
        <f>'Sampling Data'!B915</f>
        <v>17</v>
      </c>
      <c r="D915" s="18">
        <f>'Sampling Data'!C915</f>
        <v>0</v>
      </c>
      <c r="E915" s="19">
        <f>'Sampling Data'!D915</f>
        <v>0</v>
      </c>
      <c r="F915" s="19">
        <f>'Sampling Data'!E915</f>
        <v>0</v>
      </c>
      <c r="G915" s="19">
        <f>'Sampling Data'!F915</f>
        <v>0</v>
      </c>
      <c r="H915" s="19">
        <f>'Sampling Data'!G915</f>
        <v>0</v>
      </c>
      <c r="I915" s="19">
        <f>'Sampling Data'!H915</f>
        <v>0</v>
      </c>
      <c r="J915" s="19">
        <f>'Sampling Data'!I915</f>
        <v>0</v>
      </c>
      <c r="K915" s="19">
        <f>'Sampling Data'!J915</f>
        <v>0</v>
      </c>
      <c r="L915" s="19">
        <f>'Sampling Data'!K915</f>
        <v>0</v>
      </c>
      <c r="M915" s="19">
        <f>'Sampling Data'!L915</f>
        <v>0</v>
      </c>
      <c r="N915" s="19">
        <f>'Sampling Data'!M915</f>
        <v>0</v>
      </c>
      <c r="O915" s="18">
        <f>'Sampling Data'!N915</f>
        <v>0</v>
      </c>
      <c r="P915" s="18">
        <f>'Sampling Data'!O915</f>
        <v>1</v>
      </c>
      <c r="Q915" s="18">
        <f>'Sampling Data'!P915</f>
        <v>18</v>
      </c>
      <c r="R915" s="18">
        <f>'Sampling Data'!AJ915</f>
        <v>0</v>
      </c>
      <c r="S915" s="112"/>
      <c r="T915" s="112"/>
      <c r="U915" s="113"/>
      <c r="V915" s="113"/>
      <c r="W915" s="112"/>
      <c r="X915" s="112"/>
      <c r="Y915" s="112"/>
      <c r="Z915" s="112"/>
      <c r="AA915" s="15"/>
      <c r="AB915" s="15"/>
      <c r="AC915" s="15"/>
      <c r="AD915" s="15"/>
      <c r="AE915" s="114" t="str">
        <f>IF(NOT(ISBLANK(Audit[[#This Row],[Audit Winning Candidate]])), Audit[[#This Row],[Audit Winning Candidate]]-Audit[[#This Row],[Winning Candidate]], "")</f>
        <v/>
      </c>
      <c r="AF915" s="18" t="str">
        <f>IF(NOT(ISBLANK(Audit[[#This Row],[Audit Losing Candidate]])), Audit[[#This Row],[Audit Losing Candidate]]-Audit[[#This Row],[Losing Candidate]], "")</f>
        <v/>
      </c>
      <c r="AG915" s="18" t="str">
        <f>IF(NOT(ISBLANK(Audit[[#This Row],[Audit Candidate 3]])), Audit[[#This Row],[Audit Candidate 3]]-Audit[[#This Row],[Candidate 3]], "")</f>
        <v/>
      </c>
      <c r="AH915" s="18" t="str">
        <f>IF(NOT(ISBLANK(Audit[[#This Row],[Audit Candidate 4]])),Audit[[#This Row],[Audit Candidate 4]]-Audit[[#This Row],[Candidate 4]], "")</f>
        <v/>
      </c>
      <c r="AI915" s="18" t="str">
        <f>IF(NOT(ISBLANK(Audit[[#This Row],[Audit Candidate 5]])), Audit[[#This Row],[Audit Candidate 5]]-Audit[[#This Row],[Candidate 5]], "")</f>
        <v/>
      </c>
      <c r="AJ915" s="18" t="str">
        <f>IF(NOT(ISBLANK(Audit[[#This Row],[Audit Candidate 6]])), Audit[[#This Row],[Audit Candidate 6]]-Audit[[#This Row],[Candidate 6]], "")</f>
        <v/>
      </c>
      <c r="AK915" s="18" t="str">
        <f>IF(NOT(ISBLANK(Audit[[#This Row],[Audit Candidate 7]])), Audit[[#This Row],[Audit Candidate 7]]-Audit[[#This Row],[Candidate 7]], "")</f>
        <v/>
      </c>
      <c r="AL915" s="18" t="str">
        <f>IF(NOT(ISBLANK(Audit[[#This Row],[Audit Candidate 8]])), Audit[[#This Row],[Audit Candidate 8]]-Audit[[#This Row],[Candidate 8]], "")</f>
        <v/>
      </c>
      <c r="AM915" s="18" t="str">
        <f>IF(NOT(ISBLANK(Audit[[#This Row],[Audit Candidate 9]])), Audit[[#This Row],[Audit Candidate 9]]-Audit[[#This Row],[Candidate 9]], "")</f>
        <v/>
      </c>
      <c r="AN915" s="18" t="str">
        <f>IF(NOT(ISBLANK(Audit[[#This Row],[Audit Candidate 10]])), Audit[[#This Row],[Audit Candidate 10]]-Audit[[#This Row],[Candidate 10]], "")</f>
        <v/>
      </c>
      <c r="AO915" s="18" t="str">
        <f>IF(NOT(ISBLANK(Audit[[#This Row],[Audit Candidate 11]])), Audit[[#This Row],[Audit Candidate 11]]-Audit[[#This Row],[Candidate 11]], "")</f>
        <v/>
      </c>
      <c r="AP915" s="18" t="str">
        <f>IF(NOT(ISBLANK(Audit[[#This Row],[Audit Candidate 12]])), Audit[[#This Row],[Audit Candidate 12]]-Audit[[#This Row],[Candidate 12]], "")</f>
        <v/>
      </c>
      <c r="AQ915" s="18">
        <f>SUMIF(Audit[[#This Row],[Difference Winner]:[Difference Candidate 12]], "&gt;0")</f>
        <v>0</v>
      </c>
      <c r="AR915" s="18">
        <f>SUM(Audit[[#This Row],[Difference Winner]:[Difference Candidate 12]])</f>
        <v>0</v>
      </c>
      <c r="AS915" s="18">
        <f>IF(Audit[[#This Row],[Times p Drawn - With Replacement]]&gt;0, IF(Audit[[#This Row],[Canceled Differences]]&lt;0, Audit[[#This Row],[Max Differences]]+ABS(Audit[[#This Row],[Canceled Differences]]), Audit[[#This Row],[Max Differences]]), 0)</f>
        <v>0</v>
      </c>
      <c r="AT915" s="18">
        <f>'Sampling Data'!AB915</f>
        <v>1.0993498131105317E-3</v>
      </c>
      <c r="AU915" s="18">
        <f>IF(
      SUM(Audit[[#This Row],[Audit Losing Candidate]:[Audit Candidate 12]])
      &lt;&gt;0,
      (Audit[[#This Row],[Winning Candidate]]-Audit[[#This Row],[Losing Candidate]]-(Audit[[#This Row],[Audit Winning Candidate]]-Audit[[#This Row],[Audit Losing Candidate]]))/(Audit[[#Totals],[Winning Candidate]]-Audit[[#Totals],[Losing Candidate]]),
      0
)</f>
        <v>0</v>
      </c>
      <c r="AV9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8">
        <f>IF(Audit[[#This Row],[Max Relative Error (ep)]] = 0, 0, Audit[[#This Row],[Max Relative Error (ep)]]/Audit[[#This Row],[Error Bound (up) - Max. possible relative overstatement]])</f>
        <v>0</v>
      </c>
      <c r="BH9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5" s="18">
        <f t="shared" si="15"/>
        <v>1</v>
      </c>
      <c r="BJ915" s="18">
        <f>PRODUCT($BI$5:BI915)</f>
        <v>0.32656797278968008</v>
      </c>
      <c r="BK915" s="20">
        <f>1 - Audit[[#This Row],[K-M P Value]]</f>
        <v>0.67343202721031992</v>
      </c>
      <c r="BL915" s="18" t="str">
        <f>IF(Audit[[#This Row],[K-M P Value]]&gt;1-'General Info'!$B$12,"Continue", "Stop")</f>
        <v>Continue</v>
      </c>
      <c r="BM915" s="23" t="b">
        <f>IF(Audit[[#This Row],[Status - Continue or stop audit]] = "Continue", TRUE, IF(BL914 = "Continue", TRUE, FALSE))</f>
        <v>1</v>
      </c>
      <c r="BN915" s="23"/>
    </row>
    <row r="916" spans="1:66" ht="15" hidden="1" customHeight="1" x14ac:dyDescent="0.35">
      <c r="A916" s="18" t="str">
        <f>'Sampling Data'!AI916</f>
        <v/>
      </c>
      <c r="B916" s="18" t="str">
        <f>'Sampling Data'!A916</f>
        <v>5901 COLE A   (ED)</v>
      </c>
      <c r="C916" s="18">
        <f>'Sampling Data'!B916</f>
        <v>172</v>
      </c>
      <c r="D916" s="18">
        <f>'Sampling Data'!C916</f>
        <v>34</v>
      </c>
      <c r="E916" s="19">
        <f>'Sampling Data'!D916</f>
        <v>0</v>
      </c>
      <c r="F916" s="19">
        <f>'Sampling Data'!E916</f>
        <v>0</v>
      </c>
      <c r="G916" s="19">
        <f>'Sampling Data'!F916</f>
        <v>0</v>
      </c>
      <c r="H916" s="19">
        <f>'Sampling Data'!G916</f>
        <v>0</v>
      </c>
      <c r="I916" s="19">
        <f>'Sampling Data'!H916</f>
        <v>0</v>
      </c>
      <c r="J916" s="19">
        <f>'Sampling Data'!I916</f>
        <v>0</v>
      </c>
      <c r="K916" s="19">
        <f>'Sampling Data'!J916</f>
        <v>0</v>
      </c>
      <c r="L916" s="19">
        <f>'Sampling Data'!K916</f>
        <v>0</v>
      </c>
      <c r="M916" s="19">
        <f>'Sampling Data'!L916</f>
        <v>0</v>
      </c>
      <c r="N916" s="19">
        <f>'Sampling Data'!M916</f>
        <v>0</v>
      </c>
      <c r="O916" s="18">
        <f>'Sampling Data'!N916</f>
        <v>0</v>
      </c>
      <c r="P916" s="18">
        <f>'Sampling Data'!O916</f>
        <v>5</v>
      </c>
      <c r="Q916" s="18">
        <f>'Sampling Data'!P916</f>
        <v>211</v>
      </c>
      <c r="R916" s="18">
        <f>'Sampling Data'!AJ916</f>
        <v>0</v>
      </c>
      <c r="S916" s="112"/>
      <c r="T916" s="112"/>
      <c r="U916" s="113"/>
      <c r="V916" s="113"/>
      <c r="W916" s="112"/>
      <c r="X916" s="112"/>
      <c r="Y916" s="112"/>
      <c r="Z916" s="112"/>
      <c r="AA916" s="15"/>
      <c r="AB916" s="15"/>
      <c r="AC916" s="15"/>
      <c r="AD916" s="15"/>
      <c r="AE916" s="114" t="str">
        <f>IF(NOT(ISBLANK(Audit[[#This Row],[Audit Winning Candidate]])), Audit[[#This Row],[Audit Winning Candidate]]-Audit[[#This Row],[Winning Candidate]], "")</f>
        <v/>
      </c>
      <c r="AF916" s="18" t="str">
        <f>IF(NOT(ISBLANK(Audit[[#This Row],[Audit Losing Candidate]])), Audit[[#This Row],[Audit Losing Candidate]]-Audit[[#This Row],[Losing Candidate]], "")</f>
        <v/>
      </c>
      <c r="AG916" s="18" t="str">
        <f>IF(NOT(ISBLANK(Audit[[#This Row],[Audit Candidate 3]])), Audit[[#This Row],[Audit Candidate 3]]-Audit[[#This Row],[Candidate 3]], "")</f>
        <v/>
      </c>
      <c r="AH916" s="18" t="str">
        <f>IF(NOT(ISBLANK(Audit[[#This Row],[Audit Candidate 4]])),Audit[[#This Row],[Audit Candidate 4]]-Audit[[#This Row],[Candidate 4]], "")</f>
        <v/>
      </c>
      <c r="AI916" s="18" t="str">
        <f>IF(NOT(ISBLANK(Audit[[#This Row],[Audit Candidate 5]])), Audit[[#This Row],[Audit Candidate 5]]-Audit[[#This Row],[Candidate 5]], "")</f>
        <v/>
      </c>
      <c r="AJ916" s="18" t="str">
        <f>IF(NOT(ISBLANK(Audit[[#This Row],[Audit Candidate 6]])), Audit[[#This Row],[Audit Candidate 6]]-Audit[[#This Row],[Candidate 6]], "")</f>
        <v/>
      </c>
      <c r="AK916" s="18" t="str">
        <f>IF(NOT(ISBLANK(Audit[[#This Row],[Audit Candidate 7]])), Audit[[#This Row],[Audit Candidate 7]]-Audit[[#This Row],[Candidate 7]], "")</f>
        <v/>
      </c>
      <c r="AL916" s="18" t="str">
        <f>IF(NOT(ISBLANK(Audit[[#This Row],[Audit Candidate 8]])), Audit[[#This Row],[Audit Candidate 8]]-Audit[[#This Row],[Candidate 8]], "")</f>
        <v/>
      </c>
      <c r="AM916" s="18" t="str">
        <f>IF(NOT(ISBLANK(Audit[[#This Row],[Audit Candidate 9]])), Audit[[#This Row],[Audit Candidate 9]]-Audit[[#This Row],[Candidate 9]], "")</f>
        <v/>
      </c>
      <c r="AN916" s="18" t="str">
        <f>IF(NOT(ISBLANK(Audit[[#This Row],[Audit Candidate 10]])), Audit[[#This Row],[Audit Candidate 10]]-Audit[[#This Row],[Candidate 10]], "")</f>
        <v/>
      </c>
      <c r="AO916" s="18" t="str">
        <f>IF(NOT(ISBLANK(Audit[[#This Row],[Audit Candidate 11]])), Audit[[#This Row],[Audit Candidate 11]]-Audit[[#This Row],[Candidate 11]], "")</f>
        <v/>
      </c>
      <c r="AP916" s="18" t="str">
        <f>IF(NOT(ISBLANK(Audit[[#This Row],[Audit Candidate 12]])), Audit[[#This Row],[Audit Candidate 12]]-Audit[[#This Row],[Candidate 12]], "")</f>
        <v/>
      </c>
      <c r="AQ916" s="18">
        <f>SUMIF(Audit[[#This Row],[Difference Winner]:[Difference Candidate 12]], "&gt;0")</f>
        <v>0</v>
      </c>
      <c r="AR916" s="18">
        <f>SUM(Audit[[#This Row],[Difference Winner]:[Difference Candidate 12]])</f>
        <v>0</v>
      </c>
      <c r="AS916" s="18">
        <f>IF(Audit[[#This Row],[Times p Drawn - With Replacement]]&gt;0, IF(Audit[[#This Row],[Canceled Differences]]&lt;0, Audit[[#This Row],[Max Differences]]+ABS(Audit[[#This Row],[Canceled Differences]]), Audit[[#This Row],[Max Differences]]), 0)</f>
        <v>0</v>
      </c>
      <c r="AT916" s="18">
        <f>'Sampling Data'!AB916</f>
        <v>1.0962088136445017E-2</v>
      </c>
      <c r="AU916" s="18">
        <f>IF(
      SUM(Audit[[#This Row],[Audit Losing Candidate]:[Audit Candidate 12]])
      &lt;&gt;0,
      (Audit[[#This Row],[Winning Candidate]]-Audit[[#This Row],[Losing Candidate]]-(Audit[[#This Row],[Audit Winning Candidate]]-Audit[[#This Row],[Audit Losing Candidate]]))/(Audit[[#Totals],[Winning Candidate]]-Audit[[#Totals],[Losing Candidate]]),
      0
)</f>
        <v>0</v>
      </c>
      <c r="AV9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8">
        <f>IF(Audit[[#This Row],[Max Relative Error (ep)]] = 0, 0, Audit[[#This Row],[Max Relative Error (ep)]]/Audit[[#This Row],[Error Bound (up) - Max. possible relative overstatement]])</f>
        <v>0</v>
      </c>
      <c r="BH9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6" s="18">
        <f t="shared" si="15"/>
        <v>1</v>
      </c>
      <c r="BJ916" s="18">
        <f>PRODUCT($BI$5:BI916)</f>
        <v>0.32656797278968008</v>
      </c>
      <c r="BK916" s="20">
        <f>1 - Audit[[#This Row],[K-M P Value]]</f>
        <v>0.67343202721031992</v>
      </c>
      <c r="BL916" s="18" t="str">
        <f>IF(Audit[[#This Row],[K-M P Value]]&gt;1-'General Info'!$B$12,"Continue", "Stop")</f>
        <v>Continue</v>
      </c>
      <c r="BM916" s="23" t="b">
        <f>IF(Audit[[#This Row],[Status - Continue or stop audit]] = "Continue", TRUE, IF(BL915 = "Continue", TRUE, FALSE))</f>
        <v>1</v>
      </c>
      <c r="BN916" s="23"/>
    </row>
    <row r="917" spans="1:66" ht="15" hidden="1" customHeight="1" x14ac:dyDescent="0.35">
      <c r="A917" s="18" t="str">
        <f>'Sampling Data'!AI917</f>
        <v/>
      </c>
      <c r="B917" s="18" t="str">
        <f>'Sampling Data'!A917</f>
        <v>5902 COLE B   (ED)</v>
      </c>
      <c r="C917" s="18">
        <f>'Sampling Data'!B917</f>
        <v>52</v>
      </c>
      <c r="D917" s="18">
        <f>'Sampling Data'!C917</f>
        <v>13</v>
      </c>
      <c r="E917" s="19">
        <f>'Sampling Data'!D917</f>
        <v>0</v>
      </c>
      <c r="F917" s="19">
        <f>'Sampling Data'!E917</f>
        <v>0</v>
      </c>
      <c r="G917" s="19">
        <f>'Sampling Data'!F917</f>
        <v>0</v>
      </c>
      <c r="H917" s="19">
        <f>'Sampling Data'!G917</f>
        <v>0</v>
      </c>
      <c r="I917" s="19">
        <f>'Sampling Data'!H917</f>
        <v>0</v>
      </c>
      <c r="J917" s="19">
        <f>'Sampling Data'!I917</f>
        <v>0</v>
      </c>
      <c r="K917" s="19">
        <f>'Sampling Data'!J917</f>
        <v>0</v>
      </c>
      <c r="L917" s="19">
        <f>'Sampling Data'!K917</f>
        <v>0</v>
      </c>
      <c r="M917" s="19">
        <f>'Sampling Data'!L917</f>
        <v>0</v>
      </c>
      <c r="N917" s="19">
        <f>'Sampling Data'!M917</f>
        <v>0</v>
      </c>
      <c r="O917" s="18">
        <f>'Sampling Data'!N917</f>
        <v>0</v>
      </c>
      <c r="P917" s="18">
        <f>'Sampling Data'!O917</f>
        <v>0</v>
      </c>
      <c r="Q917" s="18">
        <f>'Sampling Data'!P917</f>
        <v>65</v>
      </c>
      <c r="R917" s="18">
        <f>'Sampling Data'!AJ917</f>
        <v>0</v>
      </c>
      <c r="S917" s="112"/>
      <c r="T917" s="112"/>
      <c r="U917" s="113"/>
      <c r="V917" s="113"/>
      <c r="W917" s="112"/>
      <c r="X917" s="112"/>
      <c r="Y917" s="112"/>
      <c r="Z917" s="112"/>
      <c r="AA917" s="15"/>
      <c r="AB917" s="15"/>
      <c r="AC917" s="15"/>
      <c r="AD917" s="15"/>
      <c r="AE917" s="114" t="str">
        <f>IF(NOT(ISBLANK(Audit[[#This Row],[Audit Winning Candidate]])), Audit[[#This Row],[Audit Winning Candidate]]-Audit[[#This Row],[Winning Candidate]], "")</f>
        <v/>
      </c>
      <c r="AF917" s="18" t="str">
        <f>IF(NOT(ISBLANK(Audit[[#This Row],[Audit Losing Candidate]])), Audit[[#This Row],[Audit Losing Candidate]]-Audit[[#This Row],[Losing Candidate]], "")</f>
        <v/>
      </c>
      <c r="AG917" s="18" t="str">
        <f>IF(NOT(ISBLANK(Audit[[#This Row],[Audit Candidate 3]])), Audit[[#This Row],[Audit Candidate 3]]-Audit[[#This Row],[Candidate 3]], "")</f>
        <v/>
      </c>
      <c r="AH917" s="18" t="str">
        <f>IF(NOT(ISBLANK(Audit[[#This Row],[Audit Candidate 4]])),Audit[[#This Row],[Audit Candidate 4]]-Audit[[#This Row],[Candidate 4]], "")</f>
        <v/>
      </c>
      <c r="AI917" s="18" t="str">
        <f>IF(NOT(ISBLANK(Audit[[#This Row],[Audit Candidate 5]])), Audit[[#This Row],[Audit Candidate 5]]-Audit[[#This Row],[Candidate 5]], "")</f>
        <v/>
      </c>
      <c r="AJ917" s="18" t="str">
        <f>IF(NOT(ISBLANK(Audit[[#This Row],[Audit Candidate 6]])), Audit[[#This Row],[Audit Candidate 6]]-Audit[[#This Row],[Candidate 6]], "")</f>
        <v/>
      </c>
      <c r="AK917" s="18" t="str">
        <f>IF(NOT(ISBLANK(Audit[[#This Row],[Audit Candidate 7]])), Audit[[#This Row],[Audit Candidate 7]]-Audit[[#This Row],[Candidate 7]], "")</f>
        <v/>
      </c>
      <c r="AL917" s="18" t="str">
        <f>IF(NOT(ISBLANK(Audit[[#This Row],[Audit Candidate 8]])), Audit[[#This Row],[Audit Candidate 8]]-Audit[[#This Row],[Candidate 8]], "")</f>
        <v/>
      </c>
      <c r="AM917" s="18" t="str">
        <f>IF(NOT(ISBLANK(Audit[[#This Row],[Audit Candidate 9]])), Audit[[#This Row],[Audit Candidate 9]]-Audit[[#This Row],[Candidate 9]], "")</f>
        <v/>
      </c>
      <c r="AN917" s="18" t="str">
        <f>IF(NOT(ISBLANK(Audit[[#This Row],[Audit Candidate 10]])), Audit[[#This Row],[Audit Candidate 10]]-Audit[[#This Row],[Candidate 10]], "")</f>
        <v/>
      </c>
      <c r="AO917" s="18" t="str">
        <f>IF(NOT(ISBLANK(Audit[[#This Row],[Audit Candidate 11]])), Audit[[#This Row],[Audit Candidate 11]]-Audit[[#This Row],[Candidate 11]], "")</f>
        <v/>
      </c>
      <c r="AP917" s="18" t="str">
        <f>IF(NOT(ISBLANK(Audit[[#This Row],[Audit Candidate 12]])), Audit[[#This Row],[Audit Candidate 12]]-Audit[[#This Row],[Candidate 12]], "")</f>
        <v/>
      </c>
      <c r="AQ917" s="18">
        <f>SUMIF(Audit[[#This Row],[Difference Winner]:[Difference Candidate 12]], "&gt;0")</f>
        <v>0</v>
      </c>
      <c r="AR917" s="18">
        <f>SUM(Audit[[#This Row],[Difference Winner]:[Difference Candidate 12]])</f>
        <v>0</v>
      </c>
      <c r="AS917" s="18">
        <f>IF(Audit[[#This Row],[Times p Drawn - With Replacement]]&gt;0, IF(Audit[[#This Row],[Canceled Differences]]&lt;0, Audit[[#This Row],[Max Differences]]+ABS(Audit[[#This Row],[Canceled Differences]]), Audit[[#This Row],[Max Differences]]), 0)</f>
        <v>0</v>
      </c>
      <c r="AT917" s="18">
        <f>'Sampling Data'!AB917</f>
        <v>3.2666394446712946E-3</v>
      </c>
      <c r="AU917" s="18">
        <f>IF(
      SUM(Audit[[#This Row],[Audit Losing Candidate]:[Audit Candidate 12]])
      &lt;&gt;0,
      (Audit[[#This Row],[Winning Candidate]]-Audit[[#This Row],[Losing Candidate]]-(Audit[[#This Row],[Audit Winning Candidate]]-Audit[[#This Row],[Audit Losing Candidate]]))/(Audit[[#Totals],[Winning Candidate]]-Audit[[#Totals],[Losing Candidate]]),
      0
)</f>
        <v>0</v>
      </c>
      <c r="AV9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8">
        <f>IF(Audit[[#This Row],[Max Relative Error (ep)]] = 0, 0, Audit[[#This Row],[Max Relative Error (ep)]]/Audit[[#This Row],[Error Bound (up) - Max. possible relative overstatement]])</f>
        <v>0</v>
      </c>
      <c r="BH9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7" s="18">
        <f t="shared" si="15"/>
        <v>1</v>
      </c>
      <c r="BJ917" s="18">
        <f>PRODUCT($BI$5:BI917)</f>
        <v>0.32656797278968008</v>
      </c>
      <c r="BK917" s="20">
        <f>1 - Audit[[#This Row],[K-M P Value]]</f>
        <v>0.67343202721031992</v>
      </c>
      <c r="BL917" s="18" t="str">
        <f>IF(Audit[[#This Row],[K-M P Value]]&gt;1-'General Info'!$B$12,"Continue", "Stop")</f>
        <v>Continue</v>
      </c>
      <c r="BM917" s="23" t="b">
        <f>IF(Audit[[#This Row],[Status - Continue or stop audit]] = "Continue", TRUE, IF(BL916 = "Continue", TRUE, FALSE))</f>
        <v>1</v>
      </c>
      <c r="BN917" s="23"/>
    </row>
    <row r="918" spans="1:66" ht="15" hidden="1" customHeight="1" x14ac:dyDescent="0.35">
      <c r="A918" s="18" t="str">
        <f>'Sampling Data'!AI918</f>
        <v/>
      </c>
      <c r="B918" s="18" t="str">
        <f>'Sampling Data'!A918</f>
        <v>5903 COLE C   (ED)</v>
      </c>
      <c r="C918" s="18">
        <f>'Sampling Data'!B918</f>
        <v>54</v>
      </c>
      <c r="D918" s="18">
        <f>'Sampling Data'!C918</f>
        <v>4</v>
      </c>
      <c r="E918" s="19">
        <f>'Sampling Data'!D918</f>
        <v>0</v>
      </c>
      <c r="F918" s="19">
        <f>'Sampling Data'!E918</f>
        <v>0</v>
      </c>
      <c r="G918" s="19">
        <f>'Sampling Data'!F918</f>
        <v>0</v>
      </c>
      <c r="H918" s="19">
        <f>'Sampling Data'!G918</f>
        <v>0</v>
      </c>
      <c r="I918" s="19">
        <f>'Sampling Data'!H918</f>
        <v>0</v>
      </c>
      <c r="J918" s="19">
        <f>'Sampling Data'!I918</f>
        <v>0</v>
      </c>
      <c r="K918" s="19">
        <f>'Sampling Data'!J918</f>
        <v>0</v>
      </c>
      <c r="L918" s="19">
        <f>'Sampling Data'!K918</f>
        <v>0</v>
      </c>
      <c r="M918" s="19">
        <f>'Sampling Data'!L918</f>
        <v>0</v>
      </c>
      <c r="N918" s="19">
        <f>'Sampling Data'!M918</f>
        <v>0</v>
      </c>
      <c r="O918" s="18">
        <f>'Sampling Data'!N918</f>
        <v>0</v>
      </c>
      <c r="P918" s="18">
        <f>'Sampling Data'!O918</f>
        <v>0</v>
      </c>
      <c r="Q918" s="18">
        <f>'Sampling Data'!P918</f>
        <v>58</v>
      </c>
      <c r="R918" s="18">
        <f>'Sampling Data'!AJ918</f>
        <v>0</v>
      </c>
      <c r="S918" s="112"/>
      <c r="T918" s="112"/>
      <c r="U918" s="113"/>
      <c r="V918" s="113"/>
      <c r="W918" s="112"/>
      <c r="X918" s="112"/>
      <c r="Y918" s="112"/>
      <c r="Z918" s="112"/>
      <c r="AA918" s="15"/>
      <c r="AB918" s="15"/>
      <c r="AC918" s="15"/>
      <c r="AD918" s="15"/>
      <c r="AE918" s="114" t="str">
        <f>IF(NOT(ISBLANK(Audit[[#This Row],[Audit Winning Candidate]])), Audit[[#This Row],[Audit Winning Candidate]]-Audit[[#This Row],[Winning Candidate]], "")</f>
        <v/>
      </c>
      <c r="AF918" s="18" t="str">
        <f>IF(NOT(ISBLANK(Audit[[#This Row],[Audit Losing Candidate]])), Audit[[#This Row],[Audit Losing Candidate]]-Audit[[#This Row],[Losing Candidate]], "")</f>
        <v/>
      </c>
      <c r="AG918" s="18" t="str">
        <f>IF(NOT(ISBLANK(Audit[[#This Row],[Audit Candidate 3]])), Audit[[#This Row],[Audit Candidate 3]]-Audit[[#This Row],[Candidate 3]], "")</f>
        <v/>
      </c>
      <c r="AH918" s="18" t="str">
        <f>IF(NOT(ISBLANK(Audit[[#This Row],[Audit Candidate 4]])),Audit[[#This Row],[Audit Candidate 4]]-Audit[[#This Row],[Candidate 4]], "")</f>
        <v/>
      </c>
      <c r="AI918" s="18" t="str">
        <f>IF(NOT(ISBLANK(Audit[[#This Row],[Audit Candidate 5]])), Audit[[#This Row],[Audit Candidate 5]]-Audit[[#This Row],[Candidate 5]], "")</f>
        <v/>
      </c>
      <c r="AJ918" s="18" t="str">
        <f>IF(NOT(ISBLANK(Audit[[#This Row],[Audit Candidate 6]])), Audit[[#This Row],[Audit Candidate 6]]-Audit[[#This Row],[Candidate 6]], "")</f>
        <v/>
      </c>
      <c r="AK918" s="18" t="str">
        <f>IF(NOT(ISBLANK(Audit[[#This Row],[Audit Candidate 7]])), Audit[[#This Row],[Audit Candidate 7]]-Audit[[#This Row],[Candidate 7]], "")</f>
        <v/>
      </c>
      <c r="AL918" s="18" t="str">
        <f>IF(NOT(ISBLANK(Audit[[#This Row],[Audit Candidate 8]])), Audit[[#This Row],[Audit Candidate 8]]-Audit[[#This Row],[Candidate 8]], "")</f>
        <v/>
      </c>
      <c r="AM918" s="18" t="str">
        <f>IF(NOT(ISBLANK(Audit[[#This Row],[Audit Candidate 9]])), Audit[[#This Row],[Audit Candidate 9]]-Audit[[#This Row],[Candidate 9]], "")</f>
        <v/>
      </c>
      <c r="AN918" s="18" t="str">
        <f>IF(NOT(ISBLANK(Audit[[#This Row],[Audit Candidate 10]])), Audit[[#This Row],[Audit Candidate 10]]-Audit[[#This Row],[Candidate 10]], "")</f>
        <v/>
      </c>
      <c r="AO918" s="18" t="str">
        <f>IF(NOT(ISBLANK(Audit[[#This Row],[Audit Candidate 11]])), Audit[[#This Row],[Audit Candidate 11]]-Audit[[#This Row],[Candidate 11]], "")</f>
        <v/>
      </c>
      <c r="AP918" s="18" t="str">
        <f>IF(NOT(ISBLANK(Audit[[#This Row],[Audit Candidate 12]])), Audit[[#This Row],[Audit Candidate 12]]-Audit[[#This Row],[Candidate 12]], "")</f>
        <v/>
      </c>
      <c r="AQ918" s="18">
        <f>SUMIF(Audit[[#This Row],[Difference Winner]:[Difference Candidate 12]], "&gt;0")</f>
        <v>0</v>
      </c>
      <c r="AR918" s="18">
        <f>SUM(Audit[[#This Row],[Difference Winner]:[Difference Candidate 12]])</f>
        <v>0</v>
      </c>
      <c r="AS918" s="18">
        <f>IF(Audit[[#This Row],[Times p Drawn - With Replacement]]&gt;0, IF(Audit[[#This Row],[Canceled Differences]]&lt;0, Audit[[#This Row],[Max Differences]]+ABS(Audit[[#This Row],[Canceled Differences]]), Audit[[#This Row],[Max Differences]]), 0)</f>
        <v>0</v>
      </c>
      <c r="AT918" s="18">
        <f>'Sampling Data'!AB918</f>
        <v>3.3922794233124981E-3</v>
      </c>
      <c r="AU918" s="18">
        <f>IF(
      SUM(Audit[[#This Row],[Audit Losing Candidate]:[Audit Candidate 12]])
      &lt;&gt;0,
      (Audit[[#This Row],[Winning Candidate]]-Audit[[#This Row],[Losing Candidate]]-(Audit[[#This Row],[Audit Winning Candidate]]-Audit[[#This Row],[Audit Losing Candidate]]))/(Audit[[#Totals],[Winning Candidate]]-Audit[[#Totals],[Losing Candidate]]),
      0
)</f>
        <v>0</v>
      </c>
      <c r="AV9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8">
        <f>IF(Audit[[#This Row],[Max Relative Error (ep)]] = 0, 0, Audit[[#This Row],[Max Relative Error (ep)]]/Audit[[#This Row],[Error Bound (up) - Max. possible relative overstatement]])</f>
        <v>0</v>
      </c>
      <c r="BH9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8" s="18">
        <f t="shared" si="15"/>
        <v>1</v>
      </c>
      <c r="BJ918" s="18">
        <f>PRODUCT($BI$5:BI918)</f>
        <v>0.32656797278968008</v>
      </c>
      <c r="BK918" s="20">
        <f>1 - Audit[[#This Row],[K-M P Value]]</f>
        <v>0.67343202721031992</v>
      </c>
      <c r="BL918" s="18" t="str">
        <f>IF(Audit[[#This Row],[K-M P Value]]&gt;1-'General Info'!$B$12,"Continue", "Stop")</f>
        <v>Continue</v>
      </c>
      <c r="BM918" s="23" t="b">
        <f>IF(Audit[[#This Row],[Status - Continue or stop audit]] = "Continue", TRUE, IF(BL917 = "Continue", TRUE, FALSE))</f>
        <v>1</v>
      </c>
      <c r="BN918" s="23"/>
    </row>
    <row r="919" spans="1:66" ht="15" hidden="1" customHeight="1" x14ac:dyDescent="0.35">
      <c r="A919" s="18" t="str">
        <f>'Sampling Data'!AI919</f>
        <v/>
      </c>
      <c r="B919" s="18" t="str">
        <f>'Sampling Data'!A919</f>
        <v>5904 COLE D   (ED)</v>
      </c>
      <c r="C919" s="18">
        <f>'Sampling Data'!B919</f>
        <v>43</v>
      </c>
      <c r="D919" s="18">
        <f>'Sampling Data'!C919</f>
        <v>13</v>
      </c>
      <c r="E919" s="19">
        <f>'Sampling Data'!D919</f>
        <v>0</v>
      </c>
      <c r="F919" s="19">
        <f>'Sampling Data'!E919</f>
        <v>0</v>
      </c>
      <c r="G919" s="19">
        <f>'Sampling Data'!F919</f>
        <v>0</v>
      </c>
      <c r="H919" s="19">
        <f>'Sampling Data'!G919</f>
        <v>0</v>
      </c>
      <c r="I919" s="19">
        <f>'Sampling Data'!H919</f>
        <v>0</v>
      </c>
      <c r="J919" s="19">
        <f>'Sampling Data'!I919</f>
        <v>0</v>
      </c>
      <c r="K919" s="19">
        <f>'Sampling Data'!J919</f>
        <v>0</v>
      </c>
      <c r="L919" s="19">
        <f>'Sampling Data'!K919</f>
        <v>0</v>
      </c>
      <c r="M919" s="19">
        <f>'Sampling Data'!L919</f>
        <v>0</v>
      </c>
      <c r="N919" s="19">
        <f>'Sampling Data'!M919</f>
        <v>0</v>
      </c>
      <c r="O919" s="18">
        <f>'Sampling Data'!N919</f>
        <v>0</v>
      </c>
      <c r="P919" s="18">
        <f>'Sampling Data'!O919</f>
        <v>2</v>
      </c>
      <c r="Q919" s="18">
        <f>'Sampling Data'!P919</f>
        <v>58</v>
      </c>
      <c r="R919" s="18">
        <f>'Sampling Data'!AJ919</f>
        <v>0</v>
      </c>
      <c r="S919" s="112"/>
      <c r="T919" s="112"/>
      <c r="U919" s="113"/>
      <c r="V919" s="113"/>
      <c r="W919" s="112"/>
      <c r="X919" s="112"/>
      <c r="Y919" s="112"/>
      <c r="Z919" s="112"/>
      <c r="AA919" s="15"/>
      <c r="AB919" s="15"/>
      <c r="AC919" s="15"/>
      <c r="AD919" s="15"/>
      <c r="AE919" s="114" t="str">
        <f>IF(NOT(ISBLANK(Audit[[#This Row],[Audit Winning Candidate]])), Audit[[#This Row],[Audit Winning Candidate]]-Audit[[#This Row],[Winning Candidate]], "")</f>
        <v/>
      </c>
      <c r="AF919" s="18" t="str">
        <f>IF(NOT(ISBLANK(Audit[[#This Row],[Audit Losing Candidate]])), Audit[[#This Row],[Audit Losing Candidate]]-Audit[[#This Row],[Losing Candidate]], "")</f>
        <v/>
      </c>
      <c r="AG919" s="18" t="str">
        <f>IF(NOT(ISBLANK(Audit[[#This Row],[Audit Candidate 3]])), Audit[[#This Row],[Audit Candidate 3]]-Audit[[#This Row],[Candidate 3]], "")</f>
        <v/>
      </c>
      <c r="AH919" s="18" t="str">
        <f>IF(NOT(ISBLANK(Audit[[#This Row],[Audit Candidate 4]])),Audit[[#This Row],[Audit Candidate 4]]-Audit[[#This Row],[Candidate 4]], "")</f>
        <v/>
      </c>
      <c r="AI919" s="18" t="str">
        <f>IF(NOT(ISBLANK(Audit[[#This Row],[Audit Candidate 5]])), Audit[[#This Row],[Audit Candidate 5]]-Audit[[#This Row],[Candidate 5]], "")</f>
        <v/>
      </c>
      <c r="AJ919" s="18" t="str">
        <f>IF(NOT(ISBLANK(Audit[[#This Row],[Audit Candidate 6]])), Audit[[#This Row],[Audit Candidate 6]]-Audit[[#This Row],[Candidate 6]], "")</f>
        <v/>
      </c>
      <c r="AK919" s="18" t="str">
        <f>IF(NOT(ISBLANK(Audit[[#This Row],[Audit Candidate 7]])), Audit[[#This Row],[Audit Candidate 7]]-Audit[[#This Row],[Candidate 7]], "")</f>
        <v/>
      </c>
      <c r="AL919" s="18" t="str">
        <f>IF(NOT(ISBLANK(Audit[[#This Row],[Audit Candidate 8]])), Audit[[#This Row],[Audit Candidate 8]]-Audit[[#This Row],[Candidate 8]], "")</f>
        <v/>
      </c>
      <c r="AM919" s="18" t="str">
        <f>IF(NOT(ISBLANK(Audit[[#This Row],[Audit Candidate 9]])), Audit[[#This Row],[Audit Candidate 9]]-Audit[[#This Row],[Candidate 9]], "")</f>
        <v/>
      </c>
      <c r="AN919" s="18" t="str">
        <f>IF(NOT(ISBLANK(Audit[[#This Row],[Audit Candidate 10]])), Audit[[#This Row],[Audit Candidate 10]]-Audit[[#This Row],[Candidate 10]], "")</f>
        <v/>
      </c>
      <c r="AO919" s="18" t="str">
        <f>IF(NOT(ISBLANK(Audit[[#This Row],[Audit Candidate 11]])), Audit[[#This Row],[Audit Candidate 11]]-Audit[[#This Row],[Candidate 11]], "")</f>
        <v/>
      </c>
      <c r="AP919" s="18" t="str">
        <f>IF(NOT(ISBLANK(Audit[[#This Row],[Audit Candidate 12]])), Audit[[#This Row],[Audit Candidate 12]]-Audit[[#This Row],[Candidate 12]], "")</f>
        <v/>
      </c>
      <c r="AQ919" s="18">
        <f>SUMIF(Audit[[#This Row],[Difference Winner]:[Difference Candidate 12]], "&gt;0")</f>
        <v>0</v>
      </c>
      <c r="AR919" s="18">
        <f>SUM(Audit[[#This Row],[Difference Winner]:[Difference Candidate 12]])</f>
        <v>0</v>
      </c>
      <c r="AS919" s="18">
        <f>IF(Audit[[#This Row],[Times p Drawn - With Replacement]]&gt;0, IF(Audit[[#This Row],[Canceled Differences]]&lt;0, Audit[[#This Row],[Max Differences]]+ABS(Audit[[#This Row],[Canceled Differences]]), Audit[[#This Row],[Max Differences]]), 0)</f>
        <v>0</v>
      </c>
      <c r="AT919" s="18">
        <f>'Sampling Data'!AB919</f>
        <v>2.76407953010648E-3</v>
      </c>
      <c r="AU919" s="18">
        <f>IF(
      SUM(Audit[[#This Row],[Audit Losing Candidate]:[Audit Candidate 12]])
      &lt;&gt;0,
      (Audit[[#This Row],[Winning Candidate]]-Audit[[#This Row],[Losing Candidate]]-(Audit[[#This Row],[Audit Winning Candidate]]-Audit[[#This Row],[Audit Losing Candidate]]))/(Audit[[#Totals],[Winning Candidate]]-Audit[[#Totals],[Losing Candidate]]),
      0
)</f>
        <v>0</v>
      </c>
      <c r="AV9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8">
        <f>IF(Audit[[#This Row],[Max Relative Error (ep)]] = 0, 0, Audit[[#This Row],[Max Relative Error (ep)]]/Audit[[#This Row],[Error Bound (up) - Max. possible relative overstatement]])</f>
        <v>0</v>
      </c>
      <c r="BH9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19" s="18">
        <f t="shared" si="15"/>
        <v>1</v>
      </c>
      <c r="BJ919" s="18">
        <f>PRODUCT($BI$5:BI919)</f>
        <v>0.32656797278968008</v>
      </c>
      <c r="BK919" s="20">
        <f>1 - Audit[[#This Row],[K-M P Value]]</f>
        <v>0.67343202721031992</v>
      </c>
      <c r="BL919" s="18" t="str">
        <f>IF(Audit[[#This Row],[K-M P Value]]&gt;1-'General Info'!$B$12,"Continue", "Stop")</f>
        <v>Continue</v>
      </c>
      <c r="BM919" s="23" t="b">
        <f>IF(Audit[[#This Row],[Status - Continue or stop audit]] = "Continue", TRUE, IF(BL918 = "Continue", TRUE, FALSE))</f>
        <v>1</v>
      </c>
      <c r="BN919" s="23"/>
    </row>
    <row r="920" spans="1:66" ht="15" hidden="1" customHeight="1" x14ac:dyDescent="0.35">
      <c r="A920" s="18" t="str">
        <f>'Sampling Data'!AI920</f>
        <v/>
      </c>
      <c r="B920" s="18" t="str">
        <f>'Sampling Data'!A920</f>
        <v>5905 COLE E   (ED)</v>
      </c>
      <c r="C920" s="18">
        <f>'Sampling Data'!B920</f>
        <v>127</v>
      </c>
      <c r="D920" s="18">
        <f>'Sampling Data'!C920</f>
        <v>10</v>
      </c>
      <c r="E920" s="19">
        <f>'Sampling Data'!D920</f>
        <v>0</v>
      </c>
      <c r="F920" s="19">
        <f>'Sampling Data'!E920</f>
        <v>0</v>
      </c>
      <c r="G920" s="19">
        <f>'Sampling Data'!F920</f>
        <v>0</v>
      </c>
      <c r="H920" s="19">
        <f>'Sampling Data'!G920</f>
        <v>0</v>
      </c>
      <c r="I920" s="19">
        <f>'Sampling Data'!H920</f>
        <v>0</v>
      </c>
      <c r="J920" s="19">
        <f>'Sampling Data'!I920</f>
        <v>0</v>
      </c>
      <c r="K920" s="19">
        <f>'Sampling Data'!J920</f>
        <v>0</v>
      </c>
      <c r="L920" s="19">
        <f>'Sampling Data'!K920</f>
        <v>0</v>
      </c>
      <c r="M920" s="19">
        <f>'Sampling Data'!L920</f>
        <v>0</v>
      </c>
      <c r="N920" s="19">
        <f>'Sampling Data'!M920</f>
        <v>0</v>
      </c>
      <c r="O920" s="18">
        <f>'Sampling Data'!N920</f>
        <v>0</v>
      </c>
      <c r="P920" s="18">
        <f>'Sampling Data'!O920</f>
        <v>1</v>
      </c>
      <c r="Q920" s="18">
        <f>'Sampling Data'!P920</f>
        <v>138</v>
      </c>
      <c r="R920" s="18">
        <f>'Sampling Data'!AJ920</f>
        <v>0</v>
      </c>
      <c r="S920" s="112"/>
      <c r="T920" s="112"/>
      <c r="U920" s="113"/>
      <c r="V920" s="113"/>
      <c r="W920" s="112"/>
      <c r="X920" s="112"/>
      <c r="Y920" s="112"/>
      <c r="Z920" s="112"/>
      <c r="AA920" s="15"/>
      <c r="AB920" s="15"/>
      <c r="AC920" s="15"/>
      <c r="AD920" s="15"/>
      <c r="AE920" s="114" t="str">
        <f>IF(NOT(ISBLANK(Audit[[#This Row],[Audit Winning Candidate]])), Audit[[#This Row],[Audit Winning Candidate]]-Audit[[#This Row],[Winning Candidate]], "")</f>
        <v/>
      </c>
      <c r="AF920" s="18" t="str">
        <f>IF(NOT(ISBLANK(Audit[[#This Row],[Audit Losing Candidate]])), Audit[[#This Row],[Audit Losing Candidate]]-Audit[[#This Row],[Losing Candidate]], "")</f>
        <v/>
      </c>
      <c r="AG920" s="18" t="str">
        <f>IF(NOT(ISBLANK(Audit[[#This Row],[Audit Candidate 3]])), Audit[[#This Row],[Audit Candidate 3]]-Audit[[#This Row],[Candidate 3]], "")</f>
        <v/>
      </c>
      <c r="AH920" s="18" t="str">
        <f>IF(NOT(ISBLANK(Audit[[#This Row],[Audit Candidate 4]])),Audit[[#This Row],[Audit Candidate 4]]-Audit[[#This Row],[Candidate 4]], "")</f>
        <v/>
      </c>
      <c r="AI920" s="18" t="str">
        <f>IF(NOT(ISBLANK(Audit[[#This Row],[Audit Candidate 5]])), Audit[[#This Row],[Audit Candidate 5]]-Audit[[#This Row],[Candidate 5]], "")</f>
        <v/>
      </c>
      <c r="AJ920" s="18" t="str">
        <f>IF(NOT(ISBLANK(Audit[[#This Row],[Audit Candidate 6]])), Audit[[#This Row],[Audit Candidate 6]]-Audit[[#This Row],[Candidate 6]], "")</f>
        <v/>
      </c>
      <c r="AK920" s="18" t="str">
        <f>IF(NOT(ISBLANK(Audit[[#This Row],[Audit Candidate 7]])), Audit[[#This Row],[Audit Candidate 7]]-Audit[[#This Row],[Candidate 7]], "")</f>
        <v/>
      </c>
      <c r="AL920" s="18" t="str">
        <f>IF(NOT(ISBLANK(Audit[[#This Row],[Audit Candidate 8]])), Audit[[#This Row],[Audit Candidate 8]]-Audit[[#This Row],[Candidate 8]], "")</f>
        <v/>
      </c>
      <c r="AM920" s="18" t="str">
        <f>IF(NOT(ISBLANK(Audit[[#This Row],[Audit Candidate 9]])), Audit[[#This Row],[Audit Candidate 9]]-Audit[[#This Row],[Candidate 9]], "")</f>
        <v/>
      </c>
      <c r="AN920" s="18" t="str">
        <f>IF(NOT(ISBLANK(Audit[[#This Row],[Audit Candidate 10]])), Audit[[#This Row],[Audit Candidate 10]]-Audit[[#This Row],[Candidate 10]], "")</f>
        <v/>
      </c>
      <c r="AO920" s="18" t="str">
        <f>IF(NOT(ISBLANK(Audit[[#This Row],[Audit Candidate 11]])), Audit[[#This Row],[Audit Candidate 11]]-Audit[[#This Row],[Candidate 11]], "")</f>
        <v/>
      </c>
      <c r="AP920" s="18" t="str">
        <f>IF(NOT(ISBLANK(Audit[[#This Row],[Audit Candidate 12]])), Audit[[#This Row],[Audit Candidate 12]]-Audit[[#This Row],[Candidate 12]], "")</f>
        <v/>
      </c>
      <c r="AQ920" s="18">
        <f>SUMIF(Audit[[#This Row],[Difference Winner]:[Difference Candidate 12]], "&gt;0")</f>
        <v>0</v>
      </c>
      <c r="AR920" s="18">
        <f>SUM(Audit[[#This Row],[Difference Winner]:[Difference Candidate 12]])</f>
        <v>0</v>
      </c>
      <c r="AS920" s="18">
        <f>IF(Audit[[#This Row],[Times p Drawn - With Replacement]]&gt;0, IF(Audit[[#This Row],[Canceled Differences]]&lt;0, Audit[[#This Row],[Max Differences]]+ABS(Audit[[#This Row],[Canceled Differences]]), Audit[[#This Row],[Max Differences]]), 0)</f>
        <v>0</v>
      </c>
      <c r="AT920" s="18">
        <f>'Sampling Data'!AB920</f>
        <v>8.0095486383767317E-3</v>
      </c>
      <c r="AU920" s="18">
        <f>IF(
      SUM(Audit[[#This Row],[Audit Losing Candidate]:[Audit Candidate 12]])
      &lt;&gt;0,
      (Audit[[#This Row],[Winning Candidate]]-Audit[[#This Row],[Losing Candidate]]-(Audit[[#This Row],[Audit Winning Candidate]]-Audit[[#This Row],[Audit Losing Candidate]]))/(Audit[[#Totals],[Winning Candidate]]-Audit[[#Totals],[Losing Candidate]]),
      0
)</f>
        <v>0</v>
      </c>
      <c r="AV9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8">
        <f>IF(Audit[[#This Row],[Max Relative Error (ep)]] = 0, 0, Audit[[#This Row],[Max Relative Error (ep)]]/Audit[[#This Row],[Error Bound (up) - Max. possible relative overstatement]])</f>
        <v>0</v>
      </c>
      <c r="BH9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0" s="18">
        <f t="shared" si="15"/>
        <v>1</v>
      </c>
      <c r="BJ920" s="18">
        <f>PRODUCT($BI$5:BI920)</f>
        <v>0.32656797278968008</v>
      </c>
      <c r="BK920" s="20">
        <f>1 - Audit[[#This Row],[K-M P Value]]</f>
        <v>0.67343202721031992</v>
      </c>
      <c r="BL920" s="18" t="str">
        <f>IF(Audit[[#This Row],[K-M P Value]]&gt;1-'General Info'!$B$12,"Continue", "Stop")</f>
        <v>Continue</v>
      </c>
      <c r="BM920" s="23" t="b">
        <f>IF(Audit[[#This Row],[Status - Continue or stop audit]] = "Continue", TRUE, IF(BL919 = "Continue", TRUE, FALSE))</f>
        <v>1</v>
      </c>
      <c r="BN920" s="23"/>
    </row>
    <row r="921" spans="1:66" ht="15" hidden="1" customHeight="1" x14ac:dyDescent="0.35">
      <c r="A921" s="18" t="str">
        <f>'Sampling Data'!AI921</f>
        <v/>
      </c>
      <c r="B921" s="18" t="str">
        <f>'Sampling Data'!A921</f>
        <v>5906 COLE F   (ED)</v>
      </c>
      <c r="C921" s="18">
        <f>'Sampling Data'!B921</f>
        <v>163</v>
      </c>
      <c r="D921" s="18">
        <f>'Sampling Data'!C921</f>
        <v>15</v>
      </c>
      <c r="E921" s="19">
        <f>'Sampling Data'!D921</f>
        <v>0</v>
      </c>
      <c r="F921" s="19">
        <f>'Sampling Data'!E921</f>
        <v>0</v>
      </c>
      <c r="G921" s="19">
        <f>'Sampling Data'!F921</f>
        <v>0</v>
      </c>
      <c r="H921" s="19">
        <f>'Sampling Data'!G921</f>
        <v>0</v>
      </c>
      <c r="I921" s="19">
        <f>'Sampling Data'!H921</f>
        <v>0</v>
      </c>
      <c r="J921" s="19">
        <f>'Sampling Data'!I921</f>
        <v>0</v>
      </c>
      <c r="K921" s="19">
        <f>'Sampling Data'!J921</f>
        <v>0</v>
      </c>
      <c r="L921" s="19">
        <f>'Sampling Data'!K921</f>
        <v>0</v>
      </c>
      <c r="M921" s="19">
        <f>'Sampling Data'!L921</f>
        <v>0</v>
      </c>
      <c r="N921" s="19">
        <f>'Sampling Data'!M921</f>
        <v>0</v>
      </c>
      <c r="O921" s="18">
        <f>'Sampling Data'!N921</f>
        <v>0</v>
      </c>
      <c r="P921" s="18">
        <f>'Sampling Data'!O921</f>
        <v>4</v>
      </c>
      <c r="Q921" s="18">
        <f>'Sampling Data'!P921</f>
        <v>182</v>
      </c>
      <c r="R921" s="18">
        <f>'Sampling Data'!AJ921</f>
        <v>0</v>
      </c>
      <c r="S921" s="112"/>
      <c r="T921" s="112"/>
      <c r="U921" s="113"/>
      <c r="V921" s="113"/>
      <c r="W921" s="112"/>
      <c r="X921" s="112"/>
      <c r="Y921" s="112"/>
      <c r="Z921" s="112"/>
      <c r="AA921" s="15"/>
      <c r="AB921" s="15"/>
      <c r="AC921" s="15"/>
      <c r="AD921" s="15"/>
      <c r="AE921" s="114" t="str">
        <f>IF(NOT(ISBLANK(Audit[[#This Row],[Audit Winning Candidate]])), Audit[[#This Row],[Audit Winning Candidate]]-Audit[[#This Row],[Winning Candidate]], "")</f>
        <v/>
      </c>
      <c r="AF921" s="18" t="str">
        <f>IF(NOT(ISBLANK(Audit[[#This Row],[Audit Losing Candidate]])), Audit[[#This Row],[Audit Losing Candidate]]-Audit[[#This Row],[Losing Candidate]], "")</f>
        <v/>
      </c>
      <c r="AG921" s="18" t="str">
        <f>IF(NOT(ISBLANK(Audit[[#This Row],[Audit Candidate 3]])), Audit[[#This Row],[Audit Candidate 3]]-Audit[[#This Row],[Candidate 3]], "")</f>
        <v/>
      </c>
      <c r="AH921" s="18" t="str">
        <f>IF(NOT(ISBLANK(Audit[[#This Row],[Audit Candidate 4]])),Audit[[#This Row],[Audit Candidate 4]]-Audit[[#This Row],[Candidate 4]], "")</f>
        <v/>
      </c>
      <c r="AI921" s="18" t="str">
        <f>IF(NOT(ISBLANK(Audit[[#This Row],[Audit Candidate 5]])), Audit[[#This Row],[Audit Candidate 5]]-Audit[[#This Row],[Candidate 5]], "")</f>
        <v/>
      </c>
      <c r="AJ921" s="18" t="str">
        <f>IF(NOT(ISBLANK(Audit[[#This Row],[Audit Candidate 6]])), Audit[[#This Row],[Audit Candidate 6]]-Audit[[#This Row],[Candidate 6]], "")</f>
        <v/>
      </c>
      <c r="AK921" s="18" t="str">
        <f>IF(NOT(ISBLANK(Audit[[#This Row],[Audit Candidate 7]])), Audit[[#This Row],[Audit Candidate 7]]-Audit[[#This Row],[Candidate 7]], "")</f>
        <v/>
      </c>
      <c r="AL921" s="18" t="str">
        <f>IF(NOT(ISBLANK(Audit[[#This Row],[Audit Candidate 8]])), Audit[[#This Row],[Audit Candidate 8]]-Audit[[#This Row],[Candidate 8]], "")</f>
        <v/>
      </c>
      <c r="AM921" s="18" t="str">
        <f>IF(NOT(ISBLANK(Audit[[#This Row],[Audit Candidate 9]])), Audit[[#This Row],[Audit Candidate 9]]-Audit[[#This Row],[Candidate 9]], "")</f>
        <v/>
      </c>
      <c r="AN921" s="18" t="str">
        <f>IF(NOT(ISBLANK(Audit[[#This Row],[Audit Candidate 10]])), Audit[[#This Row],[Audit Candidate 10]]-Audit[[#This Row],[Candidate 10]], "")</f>
        <v/>
      </c>
      <c r="AO921" s="18" t="str">
        <f>IF(NOT(ISBLANK(Audit[[#This Row],[Audit Candidate 11]])), Audit[[#This Row],[Audit Candidate 11]]-Audit[[#This Row],[Candidate 11]], "")</f>
        <v/>
      </c>
      <c r="AP921" s="18" t="str">
        <f>IF(NOT(ISBLANK(Audit[[#This Row],[Audit Candidate 12]])), Audit[[#This Row],[Audit Candidate 12]]-Audit[[#This Row],[Candidate 12]], "")</f>
        <v/>
      </c>
      <c r="AQ921" s="18">
        <f>SUMIF(Audit[[#This Row],[Difference Winner]:[Difference Candidate 12]], "&gt;0")</f>
        <v>0</v>
      </c>
      <c r="AR921" s="18">
        <f>SUM(Audit[[#This Row],[Difference Winner]:[Difference Candidate 12]])</f>
        <v>0</v>
      </c>
      <c r="AS921" s="18">
        <f>IF(Audit[[#This Row],[Times p Drawn - With Replacement]]&gt;0, IF(Audit[[#This Row],[Canceled Differences]]&lt;0, Audit[[#This Row],[Max Differences]]+ABS(Audit[[#This Row],[Canceled Differences]]), Audit[[#This Row],[Max Differences]]), 0)</f>
        <v>0</v>
      </c>
      <c r="AT921" s="18">
        <f>'Sampling Data'!AB921</f>
        <v>1.0365298237899299E-2</v>
      </c>
      <c r="AU921" s="18">
        <f>IF(
      SUM(Audit[[#This Row],[Audit Losing Candidate]:[Audit Candidate 12]])
      &lt;&gt;0,
      (Audit[[#This Row],[Winning Candidate]]-Audit[[#This Row],[Losing Candidate]]-(Audit[[#This Row],[Audit Winning Candidate]]-Audit[[#This Row],[Audit Losing Candidate]]))/(Audit[[#Totals],[Winning Candidate]]-Audit[[#Totals],[Losing Candidate]]),
      0
)</f>
        <v>0</v>
      </c>
      <c r="AV9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8">
        <f>IF(Audit[[#This Row],[Max Relative Error (ep)]] = 0, 0, Audit[[#This Row],[Max Relative Error (ep)]]/Audit[[#This Row],[Error Bound (up) - Max. possible relative overstatement]])</f>
        <v>0</v>
      </c>
      <c r="BH9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1" s="18">
        <f t="shared" si="15"/>
        <v>1</v>
      </c>
      <c r="BJ921" s="18">
        <f>PRODUCT($BI$5:BI921)</f>
        <v>0.32656797278968008</v>
      </c>
      <c r="BK921" s="20">
        <f>1 - Audit[[#This Row],[K-M P Value]]</f>
        <v>0.67343202721031992</v>
      </c>
      <c r="BL921" s="18" t="str">
        <f>IF(Audit[[#This Row],[K-M P Value]]&gt;1-'General Info'!$B$12,"Continue", "Stop")</f>
        <v>Continue</v>
      </c>
      <c r="BM921" s="23" t="b">
        <f>IF(Audit[[#This Row],[Status - Continue or stop audit]] = "Continue", TRUE, IF(BL920 = "Continue", TRUE, FALSE))</f>
        <v>1</v>
      </c>
      <c r="BN921" s="23"/>
    </row>
    <row r="922" spans="1:66" ht="15" hidden="1" customHeight="1" x14ac:dyDescent="0.35">
      <c r="A922" s="18" t="str">
        <f>'Sampling Data'!AI922</f>
        <v/>
      </c>
      <c r="B922" s="18" t="str">
        <f>'Sampling Data'!A922</f>
        <v>5907 COLE G   (ED)</v>
      </c>
      <c r="C922" s="18">
        <f>'Sampling Data'!B922</f>
        <v>146</v>
      </c>
      <c r="D922" s="18">
        <f>'Sampling Data'!C922</f>
        <v>13</v>
      </c>
      <c r="E922" s="19">
        <f>'Sampling Data'!D922</f>
        <v>0</v>
      </c>
      <c r="F922" s="19">
        <f>'Sampling Data'!E922</f>
        <v>0</v>
      </c>
      <c r="G922" s="19">
        <f>'Sampling Data'!F922</f>
        <v>0</v>
      </c>
      <c r="H922" s="19">
        <f>'Sampling Data'!G922</f>
        <v>0</v>
      </c>
      <c r="I922" s="19">
        <f>'Sampling Data'!H922</f>
        <v>0</v>
      </c>
      <c r="J922" s="19">
        <f>'Sampling Data'!I922</f>
        <v>0</v>
      </c>
      <c r="K922" s="19">
        <f>'Sampling Data'!J922</f>
        <v>0</v>
      </c>
      <c r="L922" s="19">
        <f>'Sampling Data'!K922</f>
        <v>0</v>
      </c>
      <c r="M922" s="19">
        <f>'Sampling Data'!L922</f>
        <v>0</v>
      </c>
      <c r="N922" s="19">
        <f>'Sampling Data'!M922</f>
        <v>0</v>
      </c>
      <c r="O922" s="18">
        <f>'Sampling Data'!N922</f>
        <v>0</v>
      </c>
      <c r="P922" s="18">
        <f>'Sampling Data'!O922</f>
        <v>0</v>
      </c>
      <c r="Q922" s="18">
        <f>'Sampling Data'!P922</f>
        <v>159</v>
      </c>
      <c r="R922" s="18">
        <f>'Sampling Data'!AJ922</f>
        <v>0</v>
      </c>
      <c r="S922" s="112"/>
      <c r="T922" s="112"/>
      <c r="U922" s="113"/>
      <c r="V922" s="113"/>
      <c r="W922" s="112"/>
      <c r="X922" s="112"/>
      <c r="Y922" s="112"/>
      <c r="Z922" s="112"/>
      <c r="AA922" s="15"/>
      <c r="AB922" s="15"/>
      <c r="AC922" s="15"/>
      <c r="AD922" s="15"/>
      <c r="AE922" s="114" t="str">
        <f>IF(NOT(ISBLANK(Audit[[#This Row],[Audit Winning Candidate]])), Audit[[#This Row],[Audit Winning Candidate]]-Audit[[#This Row],[Winning Candidate]], "")</f>
        <v/>
      </c>
      <c r="AF922" s="18" t="str">
        <f>IF(NOT(ISBLANK(Audit[[#This Row],[Audit Losing Candidate]])), Audit[[#This Row],[Audit Losing Candidate]]-Audit[[#This Row],[Losing Candidate]], "")</f>
        <v/>
      </c>
      <c r="AG922" s="18" t="str">
        <f>IF(NOT(ISBLANK(Audit[[#This Row],[Audit Candidate 3]])), Audit[[#This Row],[Audit Candidate 3]]-Audit[[#This Row],[Candidate 3]], "")</f>
        <v/>
      </c>
      <c r="AH922" s="18" t="str">
        <f>IF(NOT(ISBLANK(Audit[[#This Row],[Audit Candidate 4]])),Audit[[#This Row],[Audit Candidate 4]]-Audit[[#This Row],[Candidate 4]], "")</f>
        <v/>
      </c>
      <c r="AI922" s="18" t="str">
        <f>IF(NOT(ISBLANK(Audit[[#This Row],[Audit Candidate 5]])), Audit[[#This Row],[Audit Candidate 5]]-Audit[[#This Row],[Candidate 5]], "")</f>
        <v/>
      </c>
      <c r="AJ922" s="18" t="str">
        <f>IF(NOT(ISBLANK(Audit[[#This Row],[Audit Candidate 6]])), Audit[[#This Row],[Audit Candidate 6]]-Audit[[#This Row],[Candidate 6]], "")</f>
        <v/>
      </c>
      <c r="AK922" s="18" t="str">
        <f>IF(NOT(ISBLANK(Audit[[#This Row],[Audit Candidate 7]])), Audit[[#This Row],[Audit Candidate 7]]-Audit[[#This Row],[Candidate 7]], "")</f>
        <v/>
      </c>
      <c r="AL922" s="18" t="str">
        <f>IF(NOT(ISBLANK(Audit[[#This Row],[Audit Candidate 8]])), Audit[[#This Row],[Audit Candidate 8]]-Audit[[#This Row],[Candidate 8]], "")</f>
        <v/>
      </c>
      <c r="AM922" s="18" t="str">
        <f>IF(NOT(ISBLANK(Audit[[#This Row],[Audit Candidate 9]])), Audit[[#This Row],[Audit Candidate 9]]-Audit[[#This Row],[Candidate 9]], "")</f>
        <v/>
      </c>
      <c r="AN922" s="18" t="str">
        <f>IF(NOT(ISBLANK(Audit[[#This Row],[Audit Candidate 10]])), Audit[[#This Row],[Audit Candidate 10]]-Audit[[#This Row],[Candidate 10]], "")</f>
        <v/>
      </c>
      <c r="AO922" s="18" t="str">
        <f>IF(NOT(ISBLANK(Audit[[#This Row],[Audit Candidate 11]])), Audit[[#This Row],[Audit Candidate 11]]-Audit[[#This Row],[Candidate 11]], "")</f>
        <v/>
      </c>
      <c r="AP922" s="18" t="str">
        <f>IF(NOT(ISBLANK(Audit[[#This Row],[Audit Candidate 12]])), Audit[[#This Row],[Audit Candidate 12]]-Audit[[#This Row],[Candidate 12]], "")</f>
        <v/>
      </c>
      <c r="AQ922" s="18">
        <f>SUMIF(Audit[[#This Row],[Difference Winner]:[Difference Candidate 12]], "&gt;0")</f>
        <v>0</v>
      </c>
      <c r="AR922" s="18">
        <f>SUM(Audit[[#This Row],[Difference Winner]:[Difference Candidate 12]])</f>
        <v>0</v>
      </c>
      <c r="AS922" s="18">
        <f>IF(Audit[[#This Row],[Times p Drawn - With Replacement]]&gt;0, IF(Audit[[#This Row],[Canceled Differences]]&lt;0, Audit[[#This Row],[Max Differences]]+ABS(Audit[[#This Row],[Canceled Differences]]), Audit[[#This Row],[Max Differences]]), 0)</f>
        <v>0</v>
      </c>
      <c r="AT922" s="18">
        <f>'Sampling Data'!AB922</f>
        <v>9.1717184408078647E-3</v>
      </c>
      <c r="AU922" s="18">
        <f>IF(
      SUM(Audit[[#This Row],[Audit Losing Candidate]:[Audit Candidate 12]])
      &lt;&gt;0,
      (Audit[[#This Row],[Winning Candidate]]-Audit[[#This Row],[Losing Candidate]]-(Audit[[#This Row],[Audit Winning Candidate]]-Audit[[#This Row],[Audit Losing Candidate]]))/(Audit[[#Totals],[Winning Candidate]]-Audit[[#Totals],[Losing Candidate]]),
      0
)</f>
        <v>0</v>
      </c>
      <c r="AV9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8">
        <f>IF(Audit[[#This Row],[Max Relative Error (ep)]] = 0, 0, Audit[[#This Row],[Max Relative Error (ep)]]/Audit[[#This Row],[Error Bound (up) - Max. possible relative overstatement]])</f>
        <v>0</v>
      </c>
      <c r="BH9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2" s="18">
        <f t="shared" si="15"/>
        <v>1</v>
      </c>
      <c r="BJ922" s="18">
        <f>PRODUCT($BI$5:BI922)</f>
        <v>0.32656797278968008</v>
      </c>
      <c r="BK922" s="20">
        <f>1 - Audit[[#This Row],[K-M P Value]]</f>
        <v>0.67343202721031992</v>
      </c>
      <c r="BL922" s="18" t="str">
        <f>IF(Audit[[#This Row],[K-M P Value]]&gt;1-'General Info'!$B$12,"Continue", "Stop")</f>
        <v>Continue</v>
      </c>
      <c r="BM922" s="23" t="b">
        <f>IF(Audit[[#This Row],[Status - Continue or stop audit]] = "Continue", TRUE, IF(BL921 = "Continue", TRUE, FALSE))</f>
        <v>1</v>
      </c>
      <c r="BN922" s="23"/>
    </row>
    <row r="923" spans="1:66" ht="15" hidden="1" customHeight="1" x14ac:dyDescent="0.35">
      <c r="A923" s="18" t="str">
        <f>'Sampling Data'!AI923</f>
        <v/>
      </c>
      <c r="B923" s="18" t="str">
        <f>'Sampling Data'!A923</f>
        <v>5908 COLE H   (ED)</v>
      </c>
      <c r="C923" s="18">
        <f>'Sampling Data'!B923</f>
        <v>82</v>
      </c>
      <c r="D923" s="18">
        <f>'Sampling Data'!C923</f>
        <v>11</v>
      </c>
      <c r="E923" s="19">
        <f>'Sampling Data'!D923</f>
        <v>0</v>
      </c>
      <c r="F923" s="19">
        <f>'Sampling Data'!E923</f>
        <v>0</v>
      </c>
      <c r="G923" s="19">
        <f>'Sampling Data'!F923</f>
        <v>0</v>
      </c>
      <c r="H923" s="19">
        <f>'Sampling Data'!G923</f>
        <v>0</v>
      </c>
      <c r="I923" s="19">
        <f>'Sampling Data'!H923</f>
        <v>0</v>
      </c>
      <c r="J923" s="19">
        <f>'Sampling Data'!I923</f>
        <v>0</v>
      </c>
      <c r="K923" s="19">
        <f>'Sampling Data'!J923</f>
        <v>0</v>
      </c>
      <c r="L923" s="19">
        <f>'Sampling Data'!K923</f>
        <v>0</v>
      </c>
      <c r="M923" s="19">
        <f>'Sampling Data'!L923</f>
        <v>0</v>
      </c>
      <c r="N923" s="19">
        <f>'Sampling Data'!M923</f>
        <v>0</v>
      </c>
      <c r="O923" s="18">
        <f>'Sampling Data'!N923</f>
        <v>0</v>
      </c>
      <c r="P923" s="18">
        <f>'Sampling Data'!O923</f>
        <v>1</v>
      </c>
      <c r="Q923" s="18">
        <f>'Sampling Data'!P923</f>
        <v>94</v>
      </c>
      <c r="R923" s="18">
        <f>'Sampling Data'!AJ923</f>
        <v>0</v>
      </c>
      <c r="S923" s="112"/>
      <c r="T923" s="112"/>
      <c r="U923" s="113"/>
      <c r="V923" s="113"/>
      <c r="W923" s="112"/>
      <c r="X923" s="112"/>
      <c r="Y923" s="112"/>
      <c r="Z923" s="112"/>
      <c r="AA923" s="15"/>
      <c r="AB923" s="15"/>
      <c r="AC923" s="15"/>
      <c r="AD923" s="15"/>
      <c r="AE923" s="114" t="str">
        <f>IF(NOT(ISBLANK(Audit[[#This Row],[Audit Winning Candidate]])), Audit[[#This Row],[Audit Winning Candidate]]-Audit[[#This Row],[Winning Candidate]], "")</f>
        <v/>
      </c>
      <c r="AF923" s="18" t="str">
        <f>IF(NOT(ISBLANK(Audit[[#This Row],[Audit Losing Candidate]])), Audit[[#This Row],[Audit Losing Candidate]]-Audit[[#This Row],[Losing Candidate]], "")</f>
        <v/>
      </c>
      <c r="AG923" s="18" t="str">
        <f>IF(NOT(ISBLANK(Audit[[#This Row],[Audit Candidate 3]])), Audit[[#This Row],[Audit Candidate 3]]-Audit[[#This Row],[Candidate 3]], "")</f>
        <v/>
      </c>
      <c r="AH923" s="18" t="str">
        <f>IF(NOT(ISBLANK(Audit[[#This Row],[Audit Candidate 4]])),Audit[[#This Row],[Audit Candidate 4]]-Audit[[#This Row],[Candidate 4]], "")</f>
        <v/>
      </c>
      <c r="AI923" s="18" t="str">
        <f>IF(NOT(ISBLANK(Audit[[#This Row],[Audit Candidate 5]])), Audit[[#This Row],[Audit Candidate 5]]-Audit[[#This Row],[Candidate 5]], "")</f>
        <v/>
      </c>
      <c r="AJ923" s="18" t="str">
        <f>IF(NOT(ISBLANK(Audit[[#This Row],[Audit Candidate 6]])), Audit[[#This Row],[Audit Candidate 6]]-Audit[[#This Row],[Candidate 6]], "")</f>
        <v/>
      </c>
      <c r="AK923" s="18" t="str">
        <f>IF(NOT(ISBLANK(Audit[[#This Row],[Audit Candidate 7]])), Audit[[#This Row],[Audit Candidate 7]]-Audit[[#This Row],[Candidate 7]], "")</f>
        <v/>
      </c>
      <c r="AL923" s="18" t="str">
        <f>IF(NOT(ISBLANK(Audit[[#This Row],[Audit Candidate 8]])), Audit[[#This Row],[Audit Candidate 8]]-Audit[[#This Row],[Candidate 8]], "")</f>
        <v/>
      </c>
      <c r="AM923" s="18" t="str">
        <f>IF(NOT(ISBLANK(Audit[[#This Row],[Audit Candidate 9]])), Audit[[#This Row],[Audit Candidate 9]]-Audit[[#This Row],[Candidate 9]], "")</f>
        <v/>
      </c>
      <c r="AN923" s="18" t="str">
        <f>IF(NOT(ISBLANK(Audit[[#This Row],[Audit Candidate 10]])), Audit[[#This Row],[Audit Candidate 10]]-Audit[[#This Row],[Candidate 10]], "")</f>
        <v/>
      </c>
      <c r="AO923" s="18" t="str">
        <f>IF(NOT(ISBLANK(Audit[[#This Row],[Audit Candidate 11]])), Audit[[#This Row],[Audit Candidate 11]]-Audit[[#This Row],[Candidate 11]], "")</f>
        <v/>
      </c>
      <c r="AP923" s="18" t="str">
        <f>IF(NOT(ISBLANK(Audit[[#This Row],[Audit Candidate 12]])), Audit[[#This Row],[Audit Candidate 12]]-Audit[[#This Row],[Candidate 12]], "")</f>
        <v/>
      </c>
      <c r="AQ923" s="18">
        <f>SUMIF(Audit[[#This Row],[Difference Winner]:[Difference Candidate 12]], "&gt;0")</f>
        <v>0</v>
      </c>
      <c r="AR923" s="18">
        <f>SUM(Audit[[#This Row],[Difference Winner]:[Difference Candidate 12]])</f>
        <v>0</v>
      </c>
      <c r="AS923" s="18">
        <f>IF(Audit[[#This Row],[Times p Drawn - With Replacement]]&gt;0, IF(Audit[[#This Row],[Canceled Differences]]&lt;0, Audit[[#This Row],[Max Differences]]+ABS(Audit[[#This Row],[Canceled Differences]]), Audit[[#This Row],[Max Differences]]), 0)</f>
        <v>0</v>
      </c>
      <c r="AT923" s="18">
        <f>'Sampling Data'!AB923</f>
        <v>5.1826491189496497E-3</v>
      </c>
      <c r="AU923" s="18">
        <f>IF(
      SUM(Audit[[#This Row],[Audit Losing Candidate]:[Audit Candidate 12]])
      &lt;&gt;0,
      (Audit[[#This Row],[Winning Candidate]]-Audit[[#This Row],[Losing Candidate]]-(Audit[[#This Row],[Audit Winning Candidate]]-Audit[[#This Row],[Audit Losing Candidate]]))/(Audit[[#Totals],[Winning Candidate]]-Audit[[#Totals],[Losing Candidate]]),
      0
)</f>
        <v>0</v>
      </c>
      <c r="AV9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8">
        <f>IF(Audit[[#This Row],[Max Relative Error (ep)]] = 0, 0, Audit[[#This Row],[Max Relative Error (ep)]]/Audit[[#This Row],[Error Bound (up) - Max. possible relative overstatement]])</f>
        <v>0</v>
      </c>
      <c r="BH9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3" s="18">
        <f t="shared" si="15"/>
        <v>1</v>
      </c>
      <c r="BJ923" s="18">
        <f>PRODUCT($BI$5:BI923)</f>
        <v>0.32656797278968008</v>
      </c>
      <c r="BK923" s="20">
        <f>1 - Audit[[#This Row],[K-M P Value]]</f>
        <v>0.67343202721031992</v>
      </c>
      <c r="BL923" s="18" t="str">
        <f>IF(Audit[[#This Row],[K-M P Value]]&gt;1-'General Info'!$B$12,"Continue", "Stop")</f>
        <v>Continue</v>
      </c>
      <c r="BM923" s="23" t="b">
        <f>IF(Audit[[#This Row],[Status - Continue or stop audit]] = "Continue", TRUE, IF(BL922 = "Continue", TRUE, FALSE))</f>
        <v>1</v>
      </c>
      <c r="BN923" s="23"/>
    </row>
    <row r="924" spans="1:66" ht="15" hidden="1" customHeight="1" x14ac:dyDescent="0.35">
      <c r="A924" s="18" t="str">
        <f>'Sampling Data'!AI924</f>
        <v/>
      </c>
      <c r="B924" s="18" t="str">
        <f>'Sampling Data'!A924</f>
        <v>5909 COLE I   (ED)</v>
      </c>
      <c r="C924" s="18">
        <f>'Sampling Data'!B924</f>
        <v>122</v>
      </c>
      <c r="D924" s="18">
        <f>'Sampling Data'!C924</f>
        <v>15</v>
      </c>
      <c r="E924" s="19">
        <f>'Sampling Data'!D924</f>
        <v>0</v>
      </c>
      <c r="F924" s="19">
        <f>'Sampling Data'!E924</f>
        <v>0</v>
      </c>
      <c r="G924" s="19">
        <f>'Sampling Data'!F924</f>
        <v>0</v>
      </c>
      <c r="H924" s="19">
        <f>'Sampling Data'!G924</f>
        <v>0</v>
      </c>
      <c r="I924" s="19">
        <f>'Sampling Data'!H924</f>
        <v>0</v>
      </c>
      <c r="J924" s="19">
        <f>'Sampling Data'!I924</f>
        <v>0</v>
      </c>
      <c r="K924" s="19">
        <f>'Sampling Data'!J924</f>
        <v>0</v>
      </c>
      <c r="L924" s="19">
        <f>'Sampling Data'!K924</f>
        <v>0</v>
      </c>
      <c r="M924" s="19">
        <f>'Sampling Data'!L924</f>
        <v>0</v>
      </c>
      <c r="N924" s="19">
        <f>'Sampling Data'!M924</f>
        <v>0</v>
      </c>
      <c r="O924" s="18">
        <f>'Sampling Data'!N924</f>
        <v>0</v>
      </c>
      <c r="P924" s="18">
        <f>'Sampling Data'!O924</f>
        <v>3</v>
      </c>
      <c r="Q924" s="18">
        <f>'Sampling Data'!P924</f>
        <v>140</v>
      </c>
      <c r="R924" s="18">
        <f>'Sampling Data'!AJ924</f>
        <v>0</v>
      </c>
      <c r="S924" s="112"/>
      <c r="T924" s="112"/>
      <c r="U924" s="113"/>
      <c r="V924" s="113"/>
      <c r="W924" s="112"/>
      <c r="X924" s="112"/>
      <c r="Y924" s="112"/>
      <c r="Z924" s="112"/>
      <c r="AA924" s="15"/>
      <c r="AB924" s="15"/>
      <c r="AC924" s="15"/>
      <c r="AD924" s="15"/>
      <c r="AE924" s="114" t="str">
        <f>IF(NOT(ISBLANK(Audit[[#This Row],[Audit Winning Candidate]])), Audit[[#This Row],[Audit Winning Candidate]]-Audit[[#This Row],[Winning Candidate]], "")</f>
        <v/>
      </c>
      <c r="AF924" s="18" t="str">
        <f>IF(NOT(ISBLANK(Audit[[#This Row],[Audit Losing Candidate]])), Audit[[#This Row],[Audit Losing Candidate]]-Audit[[#This Row],[Losing Candidate]], "")</f>
        <v/>
      </c>
      <c r="AG924" s="18" t="str">
        <f>IF(NOT(ISBLANK(Audit[[#This Row],[Audit Candidate 3]])), Audit[[#This Row],[Audit Candidate 3]]-Audit[[#This Row],[Candidate 3]], "")</f>
        <v/>
      </c>
      <c r="AH924" s="18" t="str">
        <f>IF(NOT(ISBLANK(Audit[[#This Row],[Audit Candidate 4]])),Audit[[#This Row],[Audit Candidate 4]]-Audit[[#This Row],[Candidate 4]], "")</f>
        <v/>
      </c>
      <c r="AI924" s="18" t="str">
        <f>IF(NOT(ISBLANK(Audit[[#This Row],[Audit Candidate 5]])), Audit[[#This Row],[Audit Candidate 5]]-Audit[[#This Row],[Candidate 5]], "")</f>
        <v/>
      </c>
      <c r="AJ924" s="18" t="str">
        <f>IF(NOT(ISBLANK(Audit[[#This Row],[Audit Candidate 6]])), Audit[[#This Row],[Audit Candidate 6]]-Audit[[#This Row],[Candidate 6]], "")</f>
        <v/>
      </c>
      <c r="AK924" s="18" t="str">
        <f>IF(NOT(ISBLANK(Audit[[#This Row],[Audit Candidate 7]])), Audit[[#This Row],[Audit Candidate 7]]-Audit[[#This Row],[Candidate 7]], "")</f>
        <v/>
      </c>
      <c r="AL924" s="18" t="str">
        <f>IF(NOT(ISBLANK(Audit[[#This Row],[Audit Candidate 8]])), Audit[[#This Row],[Audit Candidate 8]]-Audit[[#This Row],[Candidate 8]], "")</f>
        <v/>
      </c>
      <c r="AM924" s="18" t="str">
        <f>IF(NOT(ISBLANK(Audit[[#This Row],[Audit Candidate 9]])), Audit[[#This Row],[Audit Candidate 9]]-Audit[[#This Row],[Candidate 9]], "")</f>
        <v/>
      </c>
      <c r="AN924" s="18" t="str">
        <f>IF(NOT(ISBLANK(Audit[[#This Row],[Audit Candidate 10]])), Audit[[#This Row],[Audit Candidate 10]]-Audit[[#This Row],[Candidate 10]], "")</f>
        <v/>
      </c>
      <c r="AO924" s="18" t="str">
        <f>IF(NOT(ISBLANK(Audit[[#This Row],[Audit Candidate 11]])), Audit[[#This Row],[Audit Candidate 11]]-Audit[[#This Row],[Candidate 11]], "")</f>
        <v/>
      </c>
      <c r="AP924" s="18" t="str">
        <f>IF(NOT(ISBLANK(Audit[[#This Row],[Audit Candidate 12]])), Audit[[#This Row],[Audit Candidate 12]]-Audit[[#This Row],[Candidate 12]], "")</f>
        <v/>
      </c>
      <c r="AQ924" s="18">
        <f>SUMIF(Audit[[#This Row],[Difference Winner]:[Difference Candidate 12]], "&gt;0")</f>
        <v>0</v>
      </c>
      <c r="AR924" s="18">
        <f>SUM(Audit[[#This Row],[Difference Winner]:[Difference Candidate 12]])</f>
        <v>0</v>
      </c>
      <c r="AS924" s="18">
        <f>IF(Audit[[#This Row],[Times p Drawn - With Replacement]]&gt;0, IF(Audit[[#This Row],[Canceled Differences]]&lt;0, Audit[[#This Row],[Max Differences]]+ABS(Audit[[#This Row],[Canceled Differences]]), Audit[[#This Row],[Max Differences]]), 0)</f>
        <v>0</v>
      </c>
      <c r="AT924" s="18">
        <f>'Sampling Data'!AB924</f>
        <v>7.7582686810943246E-3</v>
      </c>
      <c r="AU924" s="18">
        <f>IF(
      SUM(Audit[[#This Row],[Audit Losing Candidate]:[Audit Candidate 12]])
      &lt;&gt;0,
      (Audit[[#This Row],[Winning Candidate]]-Audit[[#This Row],[Losing Candidate]]-(Audit[[#This Row],[Audit Winning Candidate]]-Audit[[#This Row],[Audit Losing Candidate]]))/(Audit[[#Totals],[Winning Candidate]]-Audit[[#Totals],[Losing Candidate]]),
      0
)</f>
        <v>0</v>
      </c>
      <c r="AV9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8">
        <f>IF(Audit[[#This Row],[Max Relative Error (ep)]] = 0, 0, Audit[[#This Row],[Max Relative Error (ep)]]/Audit[[#This Row],[Error Bound (up) - Max. possible relative overstatement]])</f>
        <v>0</v>
      </c>
      <c r="BH9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4" s="18">
        <f t="shared" si="15"/>
        <v>1</v>
      </c>
      <c r="BJ924" s="18">
        <f>PRODUCT($BI$5:BI924)</f>
        <v>0.32656797278968008</v>
      </c>
      <c r="BK924" s="20">
        <f>1 - Audit[[#This Row],[K-M P Value]]</f>
        <v>0.67343202721031992</v>
      </c>
      <c r="BL924" s="18" t="str">
        <f>IF(Audit[[#This Row],[K-M P Value]]&gt;1-'General Info'!$B$12,"Continue", "Stop")</f>
        <v>Continue</v>
      </c>
      <c r="BM924" s="23" t="b">
        <f>IF(Audit[[#This Row],[Status - Continue or stop audit]] = "Continue", TRUE, IF(BL923 = "Continue", TRUE, FALSE))</f>
        <v>1</v>
      </c>
      <c r="BN924" s="23"/>
    </row>
    <row r="925" spans="1:66" ht="15" hidden="1" customHeight="1" x14ac:dyDescent="0.35">
      <c r="A925" s="18" t="str">
        <f>'Sampling Data'!AI925</f>
        <v/>
      </c>
      <c r="B925" s="18" t="str">
        <f>'Sampling Data'!A925</f>
        <v>5910 COLE J   (ED)</v>
      </c>
      <c r="C925" s="18">
        <f>'Sampling Data'!B925</f>
        <v>68</v>
      </c>
      <c r="D925" s="18">
        <f>'Sampling Data'!C925</f>
        <v>9</v>
      </c>
      <c r="E925" s="19">
        <f>'Sampling Data'!D925</f>
        <v>0</v>
      </c>
      <c r="F925" s="19">
        <f>'Sampling Data'!E925</f>
        <v>0</v>
      </c>
      <c r="G925" s="19">
        <f>'Sampling Data'!F925</f>
        <v>0</v>
      </c>
      <c r="H925" s="19">
        <f>'Sampling Data'!G925</f>
        <v>0</v>
      </c>
      <c r="I925" s="19">
        <f>'Sampling Data'!H925</f>
        <v>0</v>
      </c>
      <c r="J925" s="19">
        <f>'Sampling Data'!I925</f>
        <v>0</v>
      </c>
      <c r="K925" s="19">
        <f>'Sampling Data'!J925</f>
        <v>0</v>
      </c>
      <c r="L925" s="19">
        <f>'Sampling Data'!K925</f>
        <v>0</v>
      </c>
      <c r="M925" s="19">
        <f>'Sampling Data'!L925</f>
        <v>0</v>
      </c>
      <c r="N925" s="19">
        <f>'Sampling Data'!M925</f>
        <v>0</v>
      </c>
      <c r="O925" s="18">
        <f>'Sampling Data'!N925</f>
        <v>0</v>
      </c>
      <c r="P925" s="18">
        <f>'Sampling Data'!O925</f>
        <v>1</v>
      </c>
      <c r="Q925" s="18">
        <f>'Sampling Data'!P925</f>
        <v>78</v>
      </c>
      <c r="R925" s="18">
        <f>'Sampling Data'!AJ925</f>
        <v>0</v>
      </c>
      <c r="S925" s="112"/>
      <c r="T925" s="112"/>
      <c r="U925" s="113"/>
      <c r="V925" s="113"/>
      <c r="W925" s="112"/>
      <c r="X925" s="112"/>
      <c r="Y925" s="112"/>
      <c r="Z925" s="112"/>
      <c r="AA925" s="15"/>
      <c r="AB925" s="15"/>
      <c r="AC925" s="15"/>
      <c r="AD925" s="15"/>
      <c r="AE925" s="114" t="str">
        <f>IF(NOT(ISBLANK(Audit[[#This Row],[Audit Winning Candidate]])), Audit[[#This Row],[Audit Winning Candidate]]-Audit[[#This Row],[Winning Candidate]], "")</f>
        <v/>
      </c>
      <c r="AF925" s="18" t="str">
        <f>IF(NOT(ISBLANK(Audit[[#This Row],[Audit Losing Candidate]])), Audit[[#This Row],[Audit Losing Candidate]]-Audit[[#This Row],[Losing Candidate]], "")</f>
        <v/>
      </c>
      <c r="AG925" s="18" t="str">
        <f>IF(NOT(ISBLANK(Audit[[#This Row],[Audit Candidate 3]])), Audit[[#This Row],[Audit Candidate 3]]-Audit[[#This Row],[Candidate 3]], "")</f>
        <v/>
      </c>
      <c r="AH925" s="18" t="str">
        <f>IF(NOT(ISBLANK(Audit[[#This Row],[Audit Candidate 4]])),Audit[[#This Row],[Audit Candidate 4]]-Audit[[#This Row],[Candidate 4]], "")</f>
        <v/>
      </c>
      <c r="AI925" s="18" t="str">
        <f>IF(NOT(ISBLANK(Audit[[#This Row],[Audit Candidate 5]])), Audit[[#This Row],[Audit Candidate 5]]-Audit[[#This Row],[Candidate 5]], "")</f>
        <v/>
      </c>
      <c r="AJ925" s="18" t="str">
        <f>IF(NOT(ISBLANK(Audit[[#This Row],[Audit Candidate 6]])), Audit[[#This Row],[Audit Candidate 6]]-Audit[[#This Row],[Candidate 6]], "")</f>
        <v/>
      </c>
      <c r="AK925" s="18" t="str">
        <f>IF(NOT(ISBLANK(Audit[[#This Row],[Audit Candidate 7]])), Audit[[#This Row],[Audit Candidate 7]]-Audit[[#This Row],[Candidate 7]], "")</f>
        <v/>
      </c>
      <c r="AL925" s="18" t="str">
        <f>IF(NOT(ISBLANK(Audit[[#This Row],[Audit Candidate 8]])), Audit[[#This Row],[Audit Candidate 8]]-Audit[[#This Row],[Candidate 8]], "")</f>
        <v/>
      </c>
      <c r="AM925" s="18" t="str">
        <f>IF(NOT(ISBLANK(Audit[[#This Row],[Audit Candidate 9]])), Audit[[#This Row],[Audit Candidate 9]]-Audit[[#This Row],[Candidate 9]], "")</f>
        <v/>
      </c>
      <c r="AN925" s="18" t="str">
        <f>IF(NOT(ISBLANK(Audit[[#This Row],[Audit Candidate 10]])), Audit[[#This Row],[Audit Candidate 10]]-Audit[[#This Row],[Candidate 10]], "")</f>
        <v/>
      </c>
      <c r="AO925" s="18" t="str">
        <f>IF(NOT(ISBLANK(Audit[[#This Row],[Audit Candidate 11]])), Audit[[#This Row],[Audit Candidate 11]]-Audit[[#This Row],[Candidate 11]], "")</f>
        <v/>
      </c>
      <c r="AP925" s="18" t="str">
        <f>IF(NOT(ISBLANK(Audit[[#This Row],[Audit Candidate 12]])), Audit[[#This Row],[Audit Candidate 12]]-Audit[[#This Row],[Candidate 12]], "")</f>
        <v/>
      </c>
      <c r="AQ925" s="18">
        <f>SUMIF(Audit[[#This Row],[Difference Winner]:[Difference Candidate 12]], "&gt;0")</f>
        <v>0</v>
      </c>
      <c r="AR925" s="18">
        <f>SUM(Audit[[#This Row],[Difference Winner]:[Difference Candidate 12]])</f>
        <v>0</v>
      </c>
      <c r="AS925" s="18">
        <f>IF(Audit[[#This Row],[Times p Drawn - With Replacement]]&gt;0, IF(Audit[[#This Row],[Canceled Differences]]&lt;0, Audit[[#This Row],[Max Differences]]+ABS(Audit[[#This Row],[Canceled Differences]]), Audit[[#This Row],[Max Differences]]), 0)</f>
        <v>0</v>
      </c>
      <c r="AT925" s="18">
        <f>'Sampling Data'!AB925</f>
        <v>4.3031692684612245E-3</v>
      </c>
      <c r="AU925" s="18">
        <f>IF(
      SUM(Audit[[#This Row],[Audit Losing Candidate]:[Audit Candidate 12]])
      &lt;&gt;0,
      (Audit[[#This Row],[Winning Candidate]]-Audit[[#This Row],[Losing Candidate]]-(Audit[[#This Row],[Audit Winning Candidate]]-Audit[[#This Row],[Audit Losing Candidate]]))/(Audit[[#Totals],[Winning Candidate]]-Audit[[#Totals],[Losing Candidate]]),
      0
)</f>
        <v>0</v>
      </c>
      <c r="AV9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8">
        <f>IF(Audit[[#This Row],[Max Relative Error (ep)]] = 0, 0, Audit[[#This Row],[Max Relative Error (ep)]]/Audit[[#This Row],[Error Bound (up) - Max. possible relative overstatement]])</f>
        <v>0</v>
      </c>
      <c r="BH9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5" s="18">
        <f t="shared" si="15"/>
        <v>1</v>
      </c>
      <c r="BJ925" s="18">
        <f>PRODUCT($BI$5:BI925)</f>
        <v>0.32656797278968008</v>
      </c>
      <c r="BK925" s="20">
        <f>1 - Audit[[#This Row],[K-M P Value]]</f>
        <v>0.67343202721031992</v>
      </c>
      <c r="BL925" s="18" t="str">
        <f>IF(Audit[[#This Row],[K-M P Value]]&gt;1-'General Info'!$B$12,"Continue", "Stop")</f>
        <v>Continue</v>
      </c>
      <c r="BM925" s="23" t="b">
        <f>IF(Audit[[#This Row],[Status - Continue or stop audit]] = "Continue", TRUE, IF(BL924 = "Continue", TRUE, FALSE))</f>
        <v>1</v>
      </c>
      <c r="BN925" s="23"/>
    </row>
    <row r="926" spans="1:66" ht="15" hidden="1" customHeight="1" x14ac:dyDescent="0.35">
      <c r="A926" s="18" t="str">
        <f>'Sampling Data'!AI926</f>
        <v/>
      </c>
      <c r="B926" s="18" t="str">
        <f>'Sampling Data'!A926</f>
        <v>5911 COLE K   (ED)</v>
      </c>
      <c r="C926" s="18">
        <f>'Sampling Data'!B926</f>
        <v>52</v>
      </c>
      <c r="D926" s="18">
        <f>'Sampling Data'!C926</f>
        <v>8</v>
      </c>
      <c r="E926" s="19">
        <f>'Sampling Data'!D926</f>
        <v>0</v>
      </c>
      <c r="F926" s="19">
        <f>'Sampling Data'!E926</f>
        <v>0</v>
      </c>
      <c r="G926" s="19">
        <f>'Sampling Data'!F926</f>
        <v>0</v>
      </c>
      <c r="H926" s="19">
        <f>'Sampling Data'!G926</f>
        <v>0</v>
      </c>
      <c r="I926" s="19">
        <f>'Sampling Data'!H926</f>
        <v>0</v>
      </c>
      <c r="J926" s="19">
        <f>'Sampling Data'!I926</f>
        <v>0</v>
      </c>
      <c r="K926" s="19">
        <f>'Sampling Data'!J926</f>
        <v>0</v>
      </c>
      <c r="L926" s="19">
        <f>'Sampling Data'!K926</f>
        <v>0</v>
      </c>
      <c r="M926" s="19">
        <f>'Sampling Data'!L926</f>
        <v>0</v>
      </c>
      <c r="N926" s="19">
        <f>'Sampling Data'!M926</f>
        <v>0</v>
      </c>
      <c r="O926" s="18">
        <f>'Sampling Data'!N926</f>
        <v>0</v>
      </c>
      <c r="P926" s="18">
        <f>'Sampling Data'!O926</f>
        <v>0</v>
      </c>
      <c r="Q926" s="18">
        <f>'Sampling Data'!P926</f>
        <v>60</v>
      </c>
      <c r="R926" s="18">
        <f>'Sampling Data'!AJ926</f>
        <v>0</v>
      </c>
      <c r="S926" s="112"/>
      <c r="T926" s="112"/>
      <c r="U926" s="113"/>
      <c r="V926" s="113"/>
      <c r="W926" s="112"/>
      <c r="X926" s="112"/>
      <c r="Y926" s="112"/>
      <c r="Z926" s="112"/>
      <c r="AA926" s="15"/>
      <c r="AB926" s="15"/>
      <c r="AC926" s="15"/>
      <c r="AD926" s="15"/>
      <c r="AE926" s="114" t="str">
        <f>IF(NOT(ISBLANK(Audit[[#This Row],[Audit Winning Candidate]])), Audit[[#This Row],[Audit Winning Candidate]]-Audit[[#This Row],[Winning Candidate]], "")</f>
        <v/>
      </c>
      <c r="AF926" s="18" t="str">
        <f>IF(NOT(ISBLANK(Audit[[#This Row],[Audit Losing Candidate]])), Audit[[#This Row],[Audit Losing Candidate]]-Audit[[#This Row],[Losing Candidate]], "")</f>
        <v/>
      </c>
      <c r="AG926" s="18" t="str">
        <f>IF(NOT(ISBLANK(Audit[[#This Row],[Audit Candidate 3]])), Audit[[#This Row],[Audit Candidate 3]]-Audit[[#This Row],[Candidate 3]], "")</f>
        <v/>
      </c>
      <c r="AH926" s="18" t="str">
        <f>IF(NOT(ISBLANK(Audit[[#This Row],[Audit Candidate 4]])),Audit[[#This Row],[Audit Candidate 4]]-Audit[[#This Row],[Candidate 4]], "")</f>
        <v/>
      </c>
      <c r="AI926" s="18" t="str">
        <f>IF(NOT(ISBLANK(Audit[[#This Row],[Audit Candidate 5]])), Audit[[#This Row],[Audit Candidate 5]]-Audit[[#This Row],[Candidate 5]], "")</f>
        <v/>
      </c>
      <c r="AJ926" s="18" t="str">
        <f>IF(NOT(ISBLANK(Audit[[#This Row],[Audit Candidate 6]])), Audit[[#This Row],[Audit Candidate 6]]-Audit[[#This Row],[Candidate 6]], "")</f>
        <v/>
      </c>
      <c r="AK926" s="18" t="str">
        <f>IF(NOT(ISBLANK(Audit[[#This Row],[Audit Candidate 7]])), Audit[[#This Row],[Audit Candidate 7]]-Audit[[#This Row],[Candidate 7]], "")</f>
        <v/>
      </c>
      <c r="AL926" s="18" t="str">
        <f>IF(NOT(ISBLANK(Audit[[#This Row],[Audit Candidate 8]])), Audit[[#This Row],[Audit Candidate 8]]-Audit[[#This Row],[Candidate 8]], "")</f>
        <v/>
      </c>
      <c r="AM926" s="18" t="str">
        <f>IF(NOT(ISBLANK(Audit[[#This Row],[Audit Candidate 9]])), Audit[[#This Row],[Audit Candidate 9]]-Audit[[#This Row],[Candidate 9]], "")</f>
        <v/>
      </c>
      <c r="AN926" s="18" t="str">
        <f>IF(NOT(ISBLANK(Audit[[#This Row],[Audit Candidate 10]])), Audit[[#This Row],[Audit Candidate 10]]-Audit[[#This Row],[Candidate 10]], "")</f>
        <v/>
      </c>
      <c r="AO926" s="18" t="str">
        <f>IF(NOT(ISBLANK(Audit[[#This Row],[Audit Candidate 11]])), Audit[[#This Row],[Audit Candidate 11]]-Audit[[#This Row],[Candidate 11]], "")</f>
        <v/>
      </c>
      <c r="AP926" s="18" t="str">
        <f>IF(NOT(ISBLANK(Audit[[#This Row],[Audit Candidate 12]])), Audit[[#This Row],[Audit Candidate 12]]-Audit[[#This Row],[Candidate 12]], "")</f>
        <v/>
      </c>
      <c r="AQ926" s="18">
        <f>SUMIF(Audit[[#This Row],[Difference Winner]:[Difference Candidate 12]], "&gt;0")</f>
        <v>0</v>
      </c>
      <c r="AR926" s="18">
        <f>SUM(Audit[[#This Row],[Difference Winner]:[Difference Candidate 12]])</f>
        <v>0</v>
      </c>
      <c r="AS926" s="18">
        <f>IF(Audit[[#This Row],[Times p Drawn - With Replacement]]&gt;0, IF(Audit[[#This Row],[Canceled Differences]]&lt;0, Audit[[#This Row],[Max Differences]]+ABS(Audit[[#This Row],[Canceled Differences]]), Audit[[#This Row],[Max Differences]]), 0)</f>
        <v>0</v>
      </c>
      <c r="AT926" s="18">
        <f>'Sampling Data'!AB926</f>
        <v>3.2666394446712946E-3</v>
      </c>
      <c r="AU926" s="18">
        <f>IF(
      SUM(Audit[[#This Row],[Audit Losing Candidate]:[Audit Candidate 12]])
      &lt;&gt;0,
      (Audit[[#This Row],[Winning Candidate]]-Audit[[#This Row],[Losing Candidate]]-(Audit[[#This Row],[Audit Winning Candidate]]-Audit[[#This Row],[Audit Losing Candidate]]))/(Audit[[#Totals],[Winning Candidate]]-Audit[[#Totals],[Losing Candidate]]),
      0
)</f>
        <v>0</v>
      </c>
      <c r="AV9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8">
        <f>IF(Audit[[#This Row],[Max Relative Error (ep)]] = 0, 0, Audit[[#This Row],[Max Relative Error (ep)]]/Audit[[#This Row],[Error Bound (up) - Max. possible relative overstatement]])</f>
        <v>0</v>
      </c>
      <c r="BH9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6" s="18">
        <f t="shared" si="15"/>
        <v>1</v>
      </c>
      <c r="BJ926" s="18">
        <f>PRODUCT($BI$5:BI926)</f>
        <v>0.32656797278968008</v>
      </c>
      <c r="BK926" s="20">
        <f>1 - Audit[[#This Row],[K-M P Value]]</f>
        <v>0.67343202721031992</v>
      </c>
      <c r="BL926" s="18" t="str">
        <f>IF(Audit[[#This Row],[K-M P Value]]&gt;1-'General Info'!$B$12,"Continue", "Stop")</f>
        <v>Continue</v>
      </c>
      <c r="BM926" s="23" t="b">
        <f>IF(Audit[[#This Row],[Status - Continue or stop audit]] = "Continue", TRUE, IF(BL925 = "Continue", TRUE, FALSE))</f>
        <v>1</v>
      </c>
      <c r="BN926" s="23"/>
    </row>
    <row r="927" spans="1:66" ht="15" hidden="1" customHeight="1" x14ac:dyDescent="0.35">
      <c r="A927" s="18" t="str">
        <f>'Sampling Data'!AI927</f>
        <v/>
      </c>
      <c r="B927" s="18" t="str">
        <f>'Sampling Data'!A927</f>
        <v>5912 COLE L   (ED)</v>
      </c>
      <c r="C927" s="18">
        <f>'Sampling Data'!B927</f>
        <v>142</v>
      </c>
      <c r="D927" s="18">
        <f>'Sampling Data'!C927</f>
        <v>7</v>
      </c>
      <c r="E927" s="19">
        <f>'Sampling Data'!D927</f>
        <v>0</v>
      </c>
      <c r="F927" s="19">
        <f>'Sampling Data'!E927</f>
        <v>0</v>
      </c>
      <c r="G927" s="19">
        <f>'Sampling Data'!F927</f>
        <v>0</v>
      </c>
      <c r="H927" s="19">
        <f>'Sampling Data'!G927</f>
        <v>0</v>
      </c>
      <c r="I927" s="19">
        <f>'Sampling Data'!H927</f>
        <v>0</v>
      </c>
      <c r="J927" s="19">
        <f>'Sampling Data'!I927</f>
        <v>0</v>
      </c>
      <c r="K927" s="19">
        <f>'Sampling Data'!J927</f>
        <v>0</v>
      </c>
      <c r="L927" s="19">
        <f>'Sampling Data'!K927</f>
        <v>0</v>
      </c>
      <c r="M927" s="19">
        <f>'Sampling Data'!L927</f>
        <v>0</v>
      </c>
      <c r="N927" s="19">
        <f>'Sampling Data'!M927</f>
        <v>0</v>
      </c>
      <c r="O927" s="18">
        <f>'Sampling Data'!N927</f>
        <v>0</v>
      </c>
      <c r="P927" s="18">
        <f>'Sampling Data'!O927</f>
        <v>2</v>
      </c>
      <c r="Q927" s="18">
        <f>'Sampling Data'!P927</f>
        <v>151</v>
      </c>
      <c r="R927" s="18">
        <f>'Sampling Data'!AJ927</f>
        <v>0</v>
      </c>
      <c r="S927" s="112"/>
      <c r="T927" s="112"/>
      <c r="U927" s="113"/>
      <c r="V927" s="113"/>
      <c r="W927" s="112"/>
      <c r="X927" s="112"/>
      <c r="Y927" s="112"/>
      <c r="Z927" s="112"/>
      <c r="AA927" s="15"/>
      <c r="AB927" s="15"/>
      <c r="AC927" s="15"/>
      <c r="AD927" s="15"/>
      <c r="AE927" s="114" t="str">
        <f>IF(NOT(ISBLANK(Audit[[#This Row],[Audit Winning Candidate]])), Audit[[#This Row],[Audit Winning Candidate]]-Audit[[#This Row],[Winning Candidate]], "")</f>
        <v/>
      </c>
      <c r="AF927" s="18" t="str">
        <f>IF(NOT(ISBLANK(Audit[[#This Row],[Audit Losing Candidate]])), Audit[[#This Row],[Audit Losing Candidate]]-Audit[[#This Row],[Losing Candidate]], "")</f>
        <v/>
      </c>
      <c r="AG927" s="18" t="str">
        <f>IF(NOT(ISBLANK(Audit[[#This Row],[Audit Candidate 3]])), Audit[[#This Row],[Audit Candidate 3]]-Audit[[#This Row],[Candidate 3]], "")</f>
        <v/>
      </c>
      <c r="AH927" s="18" t="str">
        <f>IF(NOT(ISBLANK(Audit[[#This Row],[Audit Candidate 4]])),Audit[[#This Row],[Audit Candidate 4]]-Audit[[#This Row],[Candidate 4]], "")</f>
        <v/>
      </c>
      <c r="AI927" s="18" t="str">
        <f>IF(NOT(ISBLANK(Audit[[#This Row],[Audit Candidate 5]])), Audit[[#This Row],[Audit Candidate 5]]-Audit[[#This Row],[Candidate 5]], "")</f>
        <v/>
      </c>
      <c r="AJ927" s="18" t="str">
        <f>IF(NOT(ISBLANK(Audit[[#This Row],[Audit Candidate 6]])), Audit[[#This Row],[Audit Candidate 6]]-Audit[[#This Row],[Candidate 6]], "")</f>
        <v/>
      </c>
      <c r="AK927" s="18" t="str">
        <f>IF(NOT(ISBLANK(Audit[[#This Row],[Audit Candidate 7]])), Audit[[#This Row],[Audit Candidate 7]]-Audit[[#This Row],[Candidate 7]], "")</f>
        <v/>
      </c>
      <c r="AL927" s="18" t="str">
        <f>IF(NOT(ISBLANK(Audit[[#This Row],[Audit Candidate 8]])), Audit[[#This Row],[Audit Candidate 8]]-Audit[[#This Row],[Candidate 8]], "")</f>
        <v/>
      </c>
      <c r="AM927" s="18" t="str">
        <f>IF(NOT(ISBLANK(Audit[[#This Row],[Audit Candidate 9]])), Audit[[#This Row],[Audit Candidate 9]]-Audit[[#This Row],[Candidate 9]], "")</f>
        <v/>
      </c>
      <c r="AN927" s="18" t="str">
        <f>IF(NOT(ISBLANK(Audit[[#This Row],[Audit Candidate 10]])), Audit[[#This Row],[Audit Candidate 10]]-Audit[[#This Row],[Candidate 10]], "")</f>
        <v/>
      </c>
      <c r="AO927" s="18" t="str">
        <f>IF(NOT(ISBLANK(Audit[[#This Row],[Audit Candidate 11]])), Audit[[#This Row],[Audit Candidate 11]]-Audit[[#This Row],[Candidate 11]], "")</f>
        <v/>
      </c>
      <c r="AP927" s="18" t="str">
        <f>IF(NOT(ISBLANK(Audit[[#This Row],[Audit Candidate 12]])), Audit[[#This Row],[Audit Candidate 12]]-Audit[[#This Row],[Candidate 12]], "")</f>
        <v/>
      </c>
      <c r="AQ927" s="18">
        <f>SUMIF(Audit[[#This Row],[Difference Winner]:[Difference Candidate 12]], "&gt;0")</f>
        <v>0</v>
      </c>
      <c r="AR927" s="18">
        <f>SUM(Audit[[#This Row],[Difference Winner]:[Difference Candidate 12]])</f>
        <v>0</v>
      </c>
      <c r="AS927" s="18">
        <f>IF(Audit[[#This Row],[Times p Drawn - With Replacement]]&gt;0, IF(Audit[[#This Row],[Canceled Differences]]&lt;0, Audit[[#This Row],[Max Differences]]+ABS(Audit[[#This Row],[Canceled Differences]]), Audit[[#This Row],[Max Differences]]), 0)</f>
        <v>0</v>
      </c>
      <c r="AT927" s="18">
        <f>'Sampling Data'!AB927</f>
        <v>8.9832584728460601E-3</v>
      </c>
      <c r="AU927" s="18">
        <f>IF(
      SUM(Audit[[#This Row],[Audit Losing Candidate]:[Audit Candidate 12]])
      &lt;&gt;0,
      (Audit[[#This Row],[Winning Candidate]]-Audit[[#This Row],[Losing Candidate]]-(Audit[[#This Row],[Audit Winning Candidate]]-Audit[[#This Row],[Audit Losing Candidate]]))/(Audit[[#Totals],[Winning Candidate]]-Audit[[#Totals],[Losing Candidate]]),
      0
)</f>
        <v>0</v>
      </c>
      <c r="AV9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8">
        <f>IF(Audit[[#This Row],[Max Relative Error (ep)]] = 0, 0, Audit[[#This Row],[Max Relative Error (ep)]]/Audit[[#This Row],[Error Bound (up) - Max. possible relative overstatement]])</f>
        <v>0</v>
      </c>
      <c r="BH9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7" s="18">
        <f t="shared" si="15"/>
        <v>1</v>
      </c>
      <c r="BJ927" s="18">
        <f>PRODUCT($BI$5:BI927)</f>
        <v>0.32656797278968008</v>
      </c>
      <c r="BK927" s="20">
        <f>1 - Audit[[#This Row],[K-M P Value]]</f>
        <v>0.67343202721031992</v>
      </c>
      <c r="BL927" s="18" t="str">
        <f>IF(Audit[[#This Row],[K-M P Value]]&gt;1-'General Info'!$B$12,"Continue", "Stop")</f>
        <v>Continue</v>
      </c>
      <c r="BM927" s="23" t="b">
        <f>IF(Audit[[#This Row],[Status - Continue or stop audit]] = "Continue", TRUE, IF(BL926 = "Continue", TRUE, FALSE))</f>
        <v>1</v>
      </c>
      <c r="BN927" s="23"/>
    </row>
    <row r="928" spans="1:66" ht="15" hidden="1" customHeight="1" x14ac:dyDescent="0.35">
      <c r="A928" s="18" t="str">
        <f>'Sampling Data'!AI928</f>
        <v/>
      </c>
      <c r="B928" s="18" t="str">
        <f>'Sampling Data'!A928</f>
        <v>5913 COLE M   (ED)</v>
      </c>
      <c r="C928" s="18">
        <f>'Sampling Data'!B928</f>
        <v>56</v>
      </c>
      <c r="D928" s="18">
        <f>'Sampling Data'!C928</f>
        <v>10</v>
      </c>
      <c r="E928" s="19">
        <f>'Sampling Data'!D928</f>
        <v>0</v>
      </c>
      <c r="F928" s="19">
        <f>'Sampling Data'!E928</f>
        <v>0</v>
      </c>
      <c r="G928" s="19">
        <f>'Sampling Data'!F928</f>
        <v>0</v>
      </c>
      <c r="H928" s="19">
        <f>'Sampling Data'!G928</f>
        <v>0</v>
      </c>
      <c r="I928" s="19">
        <f>'Sampling Data'!H928</f>
        <v>0</v>
      </c>
      <c r="J928" s="19">
        <f>'Sampling Data'!I928</f>
        <v>0</v>
      </c>
      <c r="K928" s="19">
        <f>'Sampling Data'!J928</f>
        <v>0</v>
      </c>
      <c r="L928" s="19">
        <f>'Sampling Data'!K928</f>
        <v>0</v>
      </c>
      <c r="M928" s="19">
        <f>'Sampling Data'!L928</f>
        <v>0</v>
      </c>
      <c r="N928" s="19">
        <f>'Sampling Data'!M928</f>
        <v>0</v>
      </c>
      <c r="O928" s="18">
        <f>'Sampling Data'!N928</f>
        <v>0</v>
      </c>
      <c r="P928" s="18">
        <f>'Sampling Data'!O928</f>
        <v>1</v>
      </c>
      <c r="Q928" s="18">
        <f>'Sampling Data'!P928</f>
        <v>67</v>
      </c>
      <c r="R928" s="18">
        <f>'Sampling Data'!AJ928</f>
        <v>0</v>
      </c>
      <c r="S928" s="112"/>
      <c r="T928" s="112"/>
      <c r="U928" s="113"/>
      <c r="V928" s="113"/>
      <c r="W928" s="112"/>
      <c r="X928" s="112"/>
      <c r="Y928" s="112"/>
      <c r="Z928" s="112"/>
      <c r="AA928" s="15"/>
      <c r="AB928" s="15"/>
      <c r="AC928" s="15"/>
      <c r="AD928" s="15"/>
      <c r="AE928" s="114" t="str">
        <f>IF(NOT(ISBLANK(Audit[[#This Row],[Audit Winning Candidate]])), Audit[[#This Row],[Audit Winning Candidate]]-Audit[[#This Row],[Winning Candidate]], "")</f>
        <v/>
      </c>
      <c r="AF928" s="18" t="str">
        <f>IF(NOT(ISBLANK(Audit[[#This Row],[Audit Losing Candidate]])), Audit[[#This Row],[Audit Losing Candidate]]-Audit[[#This Row],[Losing Candidate]], "")</f>
        <v/>
      </c>
      <c r="AG928" s="18" t="str">
        <f>IF(NOT(ISBLANK(Audit[[#This Row],[Audit Candidate 3]])), Audit[[#This Row],[Audit Candidate 3]]-Audit[[#This Row],[Candidate 3]], "")</f>
        <v/>
      </c>
      <c r="AH928" s="18" t="str">
        <f>IF(NOT(ISBLANK(Audit[[#This Row],[Audit Candidate 4]])),Audit[[#This Row],[Audit Candidate 4]]-Audit[[#This Row],[Candidate 4]], "")</f>
        <v/>
      </c>
      <c r="AI928" s="18" t="str">
        <f>IF(NOT(ISBLANK(Audit[[#This Row],[Audit Candidate 5]])), Audit[[#This Row],[Audit Candidate 5]]-Audit[[#This Row],[Candidate 5]], "")</f>
        <v/>
      </c>
      <c r="AJ928" s="18" t="str">
        <f>IF(NOT(ISBLANK(Audit[[#This Row],[Audit Candidate 6]])), Audit[[#This Row],[Audit Candidate 6]]-Audit[[#This Row],[Candidate 6]], "")</f>
        <v/>
      </c>
      <c r="AK928" s="18" t="str">
        <f>IF(NOT(ISBLANK(Audit[[#This Row],[Audit Candidate 7]])), Audit[[#This Row],[Audit Candidate 7]]-Audit[[#This Row],[Candidate 7]], "")</f>
        <v/>
      </c>
      <c r="AL928" s="18" t="str">
        <f>IF(NOT(ISBLANK(Audit[[#This Row],[Audit Candidate 8]])), Audit[[#This Row],[Audit Candidate 8]]-Audit[[#This Row],[Candidate 8]], "")</f>
        <v/>
      </c>
      <c r="AM928" s="18" t="str">
        <f>IF(NOT(ISBLANK(Audit[[#This Row],[Audit Candidate 9]])), Audit[[#This Row],[Audit Candidate 9]]-Audit[[#This Row],[Candidate 9]], "")</f>
        <v/>
      </c>
      <c r="AN928" s="18" t="str">
        <f>IF(NOT(ISBLANK(Audit[[#This Row],[Audit Candidate 10]])), Audit[[#This Row],[Audit Candidate 10]]-Audit[[#This Row],[Candidate 10]], "")</f>
        <v/>
      </c>
      <c r="AO928" s="18" t="str">
        <f>IF(NOT(ISBLANK(Audit[[#This Row],[Audit Candidate 11]])), Audit[[#This Row],[Audit Candidate 11]]-Audit[[#This Row],[Candidate 11]], "")</f>
        <v/>
      </c>
      <c r="AP928" s="18" t="str">
        <f>IF(NOT(ISBLANK(Audit[[#This Row],[Audit Candidate 12]])), Audit[[#This Row],[Audit Candidate 12]]-Audit[[#This Row],[Candidate 12]], "")</f>
        <v/>
      </c>
      <c r="AQ928" s="18">
        <f>SUMIF(Audit[[#This Row],[Difference Winner]:[Difference Candidate 12]], "&gt;0")</f>
        <v>0</v>
      </c>
      <c r="AR928" s="18">
        <f>SUM(Audit[[#This Row],[Difference Winner]:[Difference Candidate 12]])</f>
        <v>0</v>
      </c>
      <c r="AS928" s="18">
        <f>IF(Audit[[#This Row],[Times p Drawn - With Replacement]]&gt;0, IF(Audit[[#This Row],[Canceled Differences]]&lt;0, Audit[[#This Row],[Max Differences]]+ABS(Audit[[#This Row],[Canceled Differences]]), Audit[[#This Row],[Max Differences]]), 0)</f>
        <v>0</v>
      </c>
      <c r="AT928" s="18">
        <f>'Sampling Data'!AB928</f>
        <v>3.5493293966140024E-3</v>
      </c>
      <c r="AU928" s="18">
        <f>IF(
      SUM(Audit[[#This Row],[Audit Losing Candidate]:[Audit Candidate 12]])
      &lt;&gt;0,
      (Audit[[#This Row],[Winning Candidate]]-Audit[[#This Row],[Losing Candidate]]-(Audit[[#This Row],[Audit Winning Candidate]]-Audit[[#This Row],[Audit Losing Candidate]]))/(Audit[[#Totals],[Winning Candidate]]-Audit[[#Totals],[Losing Candidate]]),
      0
)</f>
        <v>0</v>
      </c>
      <c r="AV9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8">
        <f>IF(Audit[[#This Row],[Max Relative Error (ep)]] = 0, 0, Audit[[#This Row],[Max Relative Error (ep)]]/Audit[[#This Row],[Error Bound (up) - Max. possible relative overstatement]])</f>
        <v>0</v>
      </c>
      <c r="BH9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8" s="18">
        <f t="shared" si="15"/>
        <v>1</v>
      </c>
      <c r="BJ928" s="18">
        <f>PRODUCT($BI$5:BI928)</f>
        <v>0.32656797278968008</v>
      </c>
      <c r="BK928" s="20">
        <f>1 - Audit[[#This Row],[K-M P Value]]</f>
        <v>0.67343202721031992</v>
      </c>
      <c r="BL928" s="18" t="str">
        <f>IF(Audit[[#This Row],[K-M P Value]]&gt;1-'General Info'!$B$12,"Continue", "Stop")</f>
        <v>Continue</v>
      </c>
      <c r="BM928" s="23" t="b">
        <f>IF(Audit[[#This Row],[Status - Continue or stop audit]] = "Continue", TRUE, IF(BL927 = "Continue", TRUE, FALSE))</f>
        <v>1</v>
      </c>
      <c r="BN928" s="23"/>
    </row>
    <row r="929" spans="1:66" ht="15" hidden="1" customHeight="1" x14ac:dyDescent="0.35">
      <c r="A929" s="18" t="str">
        <f>'Sampling Data'!AI929</f>
        <v/>
      </c>
      <c r="B929" s="18" t="str">
        <f>'Sampling Data'!A929</f>
        <v>5914 COLE N   (ED)</v>
      </c>
      <c r="C929" s="18">
        <f>'Sampling Data'!B929</f>
        <v>94</v>
      </c>
      <c r="D929" s="18">
        <f>'Sampling Data'!C929</f>
        <v>20</v>
      </c>
      <c r="E929" s="19">
        <f>'Sampling Data'!D929</f>
        <v>0</v>
      </c>
      <c r="F929" s="19">
        <f>'Sampling Data'!E929</f>
        <v>0</v>
      </c>
      <c r="G929" s="19">
        <f>'Sampling Data'!F929</f>
        <v>0</v>
      </c>
      <c r="H929" s="19">
        <f>'Sampling Data'!G929</f>
        <v>0</v>
      </c>
      <c r="I929" s="19">
        <f>'Sampling Data'!H929</f>
        <v>0</v>
      </c>
      <c r="J929" s="19">
        <f>'Sampling Data'!I929</f>
        <v>0</v>
      </c>
      <c r="K929" s="19">
        <f>'Sampling Data'!J929</f>
        <v>0</v>
      </c>
      <c r="L929" s="19">
        <f>'Sampling Data'!K929</f>
        <v>0</v>
      </c>
      <c r="M929" s="19">
        <f>'Sampling Data'!L929</f>
        <v>0</v>
      </c>
      <c r="N929" s="19">
        <f>'Sampling Data'!M929</f>
        <v>0</v>
      </c>
      <c r="O929" s="18">
        <f>'Sampling Data'!N929</f>
        <v>0</v>
      </c>
      <c r="P929" s="18">
        <f>'Sampling Data'!O929</f>
        <v>3</v>
      </c>
      <c r="Q929" s="18">
        <f>'Sampling Data'!P929</f>
        <v>117</v>
      </c>
      <c r="R929" s="18">
        <f>'Sampling Data'!AJ929</f>
        <v>0</v>
      </c>
      <c r="S929" s="112"/>
      <c r="T929" s="112"/>
      <c r="U929" s="113"/>
      <c r="V929" s="113"/>
      <c r="W929" s="112"/>
      <c r="X929" s="112"/>
      <c r="Y929" s="112"/>
      <c r="Z929" s="112"/>
      <c r="AA929" s="15"/>
      <c r="AB929" s="15"/>
      <c r="AC929" s="15"/>
      <c r="AD929" s="15"/>
      <c r="AE929" s="114" t="str">
        <f>IF(NOT(ISBLANK(Audit[[#This Row],[Audit Winning Candidate]])), Audit[[#This Row],[Audit Winning Candidate]]-Audit[[#This Row],[Winning Candidate]], "")</f>
        <v/>
      </c>
      <c r="AF929" s="18" t="str">
        <f>IF(NOT(ISBLANK(Audit[[#This Row],[Audit Losing Candidate]])), Audit[[#This Row],[Audit Losing Candidate]]-Audit[[#This Row],[Losing Candidate]], "")</f>
        <v/>
      </c>
      <c r="AG929" s="18" t="str">
        <f>IF(NOT(ISBLANK(Audit[[#This Row],[Audit Candidate 3]])), Audit[[#This Row],[Audit Candidate 3]]-Audit[[#This Row],[Candidate 3]], "")</f>
        <v/>
      </c>
      <c r="AH929" s="18" t="str">
        <f>IF(NOT(ISBLANK(Audit[[#This Row],[Audit Candidate 4]])),Audit[[#This Row],[Audit Candidate 4]]-Audit[[#This Row],[Candidate 4]], "")</f>
        <v/>
      </c>
      <c r="AI929" s="18" t="str">
        <f>IF(NOT(ISBLANK(Audit[[#This Row],[Audit Candidate 5]])), Audit[[#This Row],[Audit Candidate 5]]-Audit[[#This Row],[Candidate 5]], "")</f>
        <v/>
      </c>
      <c r="AJ929" s="18" t="str">
        <f>IF(NOT(ISBLANK(Audit[[#This Row],[Audit Candidate 6]])), Audit[[#This Row],[Audit Candidate 6]]-Audit[[#This Row],[Candidate 6]], "")</f>
        <v/>
      </c>
      <c r="AK929" s="18" t="str">
        <f>IF(NOT(ISBLANK(Audit[[#This Row],[Audit Candidate 7]])), Audit[[#This Row],[Audit Candidate 7]]-Audit[[#This Row],[Candidate 7]], "")</f>
        <v/>
      </c>
      <c r="AL929" s="18" t="str">
        <f>IF(NOT(ISBLANK(Audit[[#This Row],[Audit Candidate 8]])), Audit[[#This Row],[Audit Candidate 8]]-Audit[[#This Row],[Candidate 8]], "")</f>
        <v/>
      </c>
      <c r="AM929" s="18" t="str">
        <f>IF(NOT(ISBLANK(Audit[[#This Row],[Audit Candidate 9]])), Audit[[#This Row],[Audit Candidate 9]]-Audit[[#This Row],[Candidate 9]], "")</f>
        <v/>
      </c>
      <c r="AN929" s="18" t="str">
        <f>IF(NOT(ISBLANK(Audit[[#This Row],[Audit Candidate 10]])), Audit[[#This Row],[Audit Candidate 10]]-Audit[[#This Row],[Candidate 10]], "")</f>
        <v/>
      </c>
      <c r="AO929" s="18" t="str">
        <f>IF(NOT(ISBLANK(Audit[[#This Row],[Audit Candidate 11]])), Audit[[#This Row],[Audit Candidate 11]]-Audit[[#This Row],[Candidate 11]], "")</f>
        <v/>
      </c>
      <c r="AP929" s="18" t="str">
        <f>IF(NOT(ISBLANK(Audit[[#This Row],[Audit Candidate 12]])), Audit[[#This Row],[Audit Candidate 12]]-Audit[[#This Row],[Candidate 12]], "")</f>
        <v/>
      </c>
      <c r="AQ929" s="18">
        <f>SUMIF(Audit[[#This Row],[Difference Winner]:[Difference Candidate 12]], "&gt;0")</f>
        <v>0</v>
      </c>
      <c r="AR929" s="18">
        <f>SUM(Audit[[#This Row],[Difference Winner]:[Difference Candidate 12]])</f>
        <v>0</v>
      </c>
      <c r="AS929" s="18">
        <f>IF(Audit[[#This Row],[Times p Drawn - With Replacement]]&gt;0, IF(Audit[[#This Row],[Canceled Differences]]&lt;0, Audit[[#This Row],[Max Differences]]+ABS(Audit[[#This Row],[Canceled Differences]]), Audit[[#This Row],[Max Differences]]), 0)</f>
        <v>0</v>
      </c>
      <c r="AT929" s="18">
        <f>'Sampling Data'!AB929</f>
        <v>5.9993089801174734E-3</v>
      </c>
      <c r="AU929" s="18">
        <f>IF(
      SUM(Audit[[#This Row],[Audit Losing Candidate]:[Audit Candidate 12]])
      &lt;&gt;0,
      (Audit[[#This Row],[Winning Candidate]]-Audit[[#This Row],[Losing Candidate]]-(Audit[[#This Row],[Audit Winning Candidate]]-Audit[[#This Row],[Audit Losing Candidate]]))/(Audit[[#Totals],[Winning Candidate]]-Audit[[#Totals],[Losing Candidate]]),
      0
)</f>
        <v>0</v>
      </c>
      <c r="AV9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8">
        <f>IF(Audit[[#This Row],[Max Relative Error (ep)]] = 0, 0, Audit[[#This Row],[Max Relative Error (ep)]]/Audit[[#This Row],[Error Bound (up) - Max. possible relative overstatement]])</f>
        <v>0</v>
      </c>
      <c r="BH9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29" s="18">
        <f t="shared" si="15"/>
        <v>1</v>
      </c>
      <c r="BJ929" s="18">
        <f>PRODUCT($BI$5:BI929)</f>
        <v>0.32656797278968008</v>
      </c>
      <c r="BK929" s="20">
        <f>1 - Audit[[#This Row],[K-M P Value]]</f>
        <v>0.67343202721031992</v>
      </c>
      <c r="BL929" s="18" t="str">
        <f>IF(Audit[[#This Row],[K-M P Value]]&gt;1-'General Info'!$B$12,"Continue", "Stop")</f>
        <v>Continue</v>
      </c>
      <c r="BM929" s="23" t="b">
        <f>IF(Audit[[#This Row],[Status - Continue or stop audit]] = "Continue", TRUE, IF(BL928 = "Continue", TRUE, FALSE))</f>
        <v>1</v>
      </c>
      <c r="BN929" s="23"/>
    </row>
    <row r="930" spans="1:66" ht="15" hidden="1" customHeight="1" x14ac:dyDescent="0.35">
      <c r="A930" s="18" t="str">
        <f>'Sampling Data'!AI930</f>
        <v/>
      </c>
      <c r="B930" s="18" t="str">
        <f>'Sampling Data'!A930</f>
        <v>5915 COLE O   (ED)</v>
      </c>
      <c r="C930" s="18">
        <f>'Sampling Data'!B930</f>
        <v>32</v>
      </c>
      <c r="D930" s="18">
        <f>'Sampling Data'!C930</f>
        <v>5</v>
      </c>
      <c r="E930" s="19">
        <f>'Sampling Data'!D930</f>
        <v>0</v>
      </c>
      <c r="F930" s="19">
        <f>'Sampling Data'!E930</f>
        <v>0</v>
      </c>
      <c r="G930" s="19">
        <f>'Sampling Data'!F930</f>
        <v>0</v>
      </c>
      <c r="H930" s="19">
        <f>'Sampling Data'!G930</f>
        <v>0</v>
      </c>
      <c r="I930" s="19">
        <f>'Sampling Data'!H930</f>
        <v>0</v>
      </c>
      <c r="J930" s="19">
        <f>'Sampling Data'!I930</f>
        <v>0</v>
      </c>
      <c r="K930" s="19">
        <f>'Sampling Data'!J930</f>
        <v>0</v>
      </c>
      <c r="L930" s="19">
        <f>'Sampling Data'!K930</f>
        <v>0</v>
      </c>
      <c r="M930" s="19">
        <f>'Sampling Data'!L930</f>
        <v>0</v>
      </c>
      <c r="N930" s="19">
        <f>'Sampling Data'!M930</f>
        <v>0</v>
      </c>
      <c r="O930" s="18">
        <f>'Sampling Data'!N930</f>
        <v>0</v>
      </c>
      <c r="P930" s="18">
        <f>'Sampling Data'!O930</f>
        <v>1</v>
      </c>
      <c r="Q930" s="18">
        <f>'Sampling Data'!P930</f>
        <v>38</v>
      </c>
      <c r="R930" s="18">
        <f>'Sampling Data'!AJ930</f>
        <v>0</v>
      </c>
      <c r="S930" s="112"/>
      <c r="T930" s="112"/>
      <c r="U930" s="113"/>
      <c r="V930" s="113"/>
      <c r="W930" s="112"/>
      <c r="X930" s="112"/>
      <c r="Y930" s="112"/>
      <c r="Z930" s="112"/>
      <c r="AA930" s="15"/>
      <c r="AB930" s="15"/>
      <c r="AC930" s="15"/>
      <c r="AD930" s="15"/>
      <c r="AE930" s="114" t="str">
        <f>IF(NOT(ISBLANK(Audit[[#This Row],[Audit Winning Candidate]])), Audit[[#This Row],[Audit Winning Candidate]]-Audit[[#This Row],[Winning Candidate]], "")</f>
        <v/>
      </c>
      <c r="AF930" s="18" t="str">
        <f>IF(NOT(ISBLANK(Audit[[#This Row],[Audit Losing Candidate]])), Audit[[#This Row],[Audit Losing Candidate]]-Audit[[#This Row],[Losing Candidate]], "")</f>
        <v/>
      </c>
      <c r="AG930" s="18" t="str">
        <f>IF(NOT(ISBLANK(Audit[[#This Row],[Audit Candidate 3]])), Audit[[#This Row],[Audit Candidate 3]]-Audit[[#This Row],[Candidate 3]], "")</f>
        <v/>
      </c>
      <c r="AH930" s="18" t="str">
        <f>IF(NOT(ISBLANK(Audit[[#This Row],[Audit Candidate 4]])),Audit[[#This Row],[Audit Candidate 4]]-Audit[[#This Row],[Candidate 4]], "")</f>
        <v/>
      </c>
      <c r="AI930" s="18" t="str">
        <f>IF(NOT(ISBLANK(Audit[[#This Row],[Audit Candidate 5]])), Audit[[#This Row],[Audit Candidate 5]]-Audit[[#This Row],[Candidate 5]], "")</f>
        <v/>
      </c>
      <c r="AJ930" s="18" t="str">
        <f>IF(NOT(ISBLANK(Audit[[#This Row],[Audit Candidate 6]])), Audit[[#This Row],[Audit Candidate 6]]-Audit[[#This Row],[Candidate 6]], "")</f>
        <v/>
      </c>
      <c r="AK930" s="18" t="str">
        <f>IF(NOT(ISBLANK(Audit[[#This Row],[Audit Candidate 7]])), Audit[[#This Row],[Audit Candidate 7]]-Audit[[#This Row],[Candidate 7]], "")</f>
        <v/>
      </c>
      <c r="AL930" s="18" t="str">
        <f>IF(NOT(ISBLANK(Audit[[#This Row],[Audit Candidate 8]])), Audit[[#This Row],[Audit Candidate 8]]-Audit[[#This Row],[Candidate 8]], "")</f>
        <v/>
      </c>
      <c r="AM930" s="18" t="str">
        <f>IF(NOT(ISBLANK(Audit[[#This Row],[Audit Candidate 9]])), Audit[[#This Row],[Audit Candidate 9]]-Audit[[#This Row],[Candidate 9]], "")</f>
        <v/>
      </c>
      <c r="AN930" s="18" t="str">
        <f>IF(NOT(ISBLANK(Audit[[#This Row],[Audit Candidate 10]])), Audit[[#This Row],[Audit Candidate 10]]-Audit[[#This Row],[Candidate 10]], "")</f>
        <v/>
      </c>
      <c r="AO930" s="18" t="str">
        <f>IF(NOT(ISBLANK(Audit[[#This Row],[Audit Candidate 11]])), Audit[[#This Row],[Audit Candidate 11]]-Audit[[#This Row],[Candidate 11]], "")</f>
        <v/>
      </c>
      <c r="AP930" s="18" t="str">
        <f>IF(NOT(ISBLANK(Audit[[#This Row],[Audit Candidate 12]])), Audit[[#This Row],[Audit Candidate 12]]-Audit[[#This Row],[Candidate 12]], "")</f>
        <v/>
      </c>
      <c r="AQ930" s="18">
        <f>SUMIF(Audit[[#This Row],[Difference Winner]:[Difference Candidate 12]], "&gt;0")</f>
        <v>0</v>
      </c>
      <c r="AR930" s="18">
        <f>SUM(Audit[[#This Row],[Difference Winner]:[Difference Candidate 12]])</f>
        <v>0</v>
      </c>
      <c r="AS930" s="18">
        <f>IF(Audit[[#This Row],[Times p Drawn - With Replacement]]&gt;0, IF(Audit[[#This Row],[Canceled Differences]]&lt;0, Audit[[#This Row],[Max Differences]]+ABS(Audit[[#This Row],[Canceled Differences]]), Audit[[#This Row],[Max Differences]]), 0)</f>
        <v>0</v>
      </c>
      <c r="AT930" s="18">
        <f>'Sampling Data'!AB930</f>
        <v>2.0416496529195591E-3</v>
      </c>
      <c r="AU930" s="18">
        <f>IF(
      SUM(Audit[[#This Row],[Audit Losing Candidate]:[Audit Candidate 12]])
      &lt;&gt;0,
      (Audit[[#This Row],[Winning Candidate]]-Audit[[#This Row],[Losing Candidate]]-(Audit[[#This Row],[Audit Winning Candidate]]-Audit[[#This Row],[Audit Losing Candidate]]))/(Audit[[#Totals],[Winning Candidate]]-Audit[[#Totals],[Losing Candidate]]),
      0
)</f>
        <v>0</v>
      </c>
      <c r="AV9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8">
        <f>IF(Audit[[#This Row],[Max Relative Error (ep)]] = 0, 0, Audit[[#This Row],[Max Relative Error (ep)]]/Audit[[#This Row],[Error Bound (up) - Max. possible relative overstatement]])</f>
        <v>0</v>
      </c>
      <c r="BH9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0" s="18">
        <f t="shared" si="15"/>
        <v>1</v>
      </c>
      <c r="BJ930" s="18">
        <f>PRODUCT($BI$5:BI930)</f>
        <v>0.32656797278968008</v>
      </c>
      <c r="BK930" s="20">
        <f>1 - Audit[[#This Row],[K-M P Value]]</f>
        <v>0.67343202721031992</v>
      </c>
      <c r="BL930" s="18" t="str">
        <f>IF(Audit[[#This Row],[K-M P Value]]&gt;1-'General Info'!$B$12,"Continue", "Stop")</f>
        <v>Continue</v>
      </c>
      <c r="BM930" s="23" t="b">
        <f>IF(Audit[[#This Row],[Status - Continue or stop audit]] = "Continue", TRUE, IF(BL929 = "Continue", TRUE, FALSE))</f>
        <v>1</v>
      </c>
      <c r="BN930" s="23"/>
    </row>
    <row r="931" spans="1:66" ht="15" hidden="1" customHeight="1" x14ac:dyDescent="0.35">
      <c r="A931" s="18" t="str">
        <f>'Sampling Data'!AI931</f>
        <v/>
      </c>
      <c r="B931" s="18" t="str">
        <f>'Sampling Data'!A931</f>
        <v>5916 COLE P   (ED)</v>
      </c>
      <c r="C931" s="18">
        <f>'Sampling Data'!B931</f>
        <v>26</v>
      </c>
      <c r="D931" s="18">
        <f>'Sampling Data'!C931</f>
        <v>3</v>
      </c>
      <c r="E931" s="19">
        <f>'Sampling Data'!D931</f>
        <v>0</v>
      </c>
      <c r="F931" s="19">
        <f>'Sampling Data'!E931</f>
        <v>0</v>
      </c>
      <c r="G931" s="19">
        <f>'Sampling Data'!F931</f>
        <v>0</v>
      </c>
      <c r="H931" s="19">
        <f>'Sampling Data'!G931</f>
        <v>0</v>
      </c>
      <c r="I931" s="19">
        <f>'Sampling Data'!H931</f>
        <v>0</v>
      </c>
      <c r="J931" s="19">
        <f>'Sampling Data'!I931</f>
        <v>0</v>
      </c>
      <c r="K931" s="19">
        <f>'Sampling Data'!J931</f>
        <v>0</v>
      </c>
      <c r="L931" s="19">
        <f>'Sampling Data'!K931</f>
        <v>0</v>
      </c>
      <c r="M931" s="19">
        <f>'Sampling Data'!L931</f>
        <v>0</v>
      </c>
      <c r="N931" s="19">
        <f>'Sampling Data'!M931</f>
        <v>0</v>
      </c>
      <c r="O931" s="18">
        <f>'Sampling Data'!N931</f>
        <v>0</v>
      </c>
      <c r="P931" s="18">
        <f>'Sampling Data'!O931</f>
        <v>0</v>
      </c>
      <c r="Q931" s="18">
        <f>'Sampling Data'!P931</f>
        <v>29</v>
      </c>
      <c r="R931" s="18">
        <f>'Sampling Data'!AJ931</f>
        <v>0</v>
      </c>
      <c r="S931" s="112"/>
      <c r="T931" s="112"/>
      <c r="U931" s="113"/>
      <c r="V931" s="113"/>
      <c r="W931" s="112"/>
      <c r="X931" s="112"/>
      <c r="Y931" s="112"/>
      <c r="Z931" s="112"/>
      <c r="AA931" s="15"/>
      <c r="AB931" s="15"/>
      <c r="AC931" s="15"/>
      <c r="AD931" s="15"/>
      <c r="AE931" s="114" t="str">
        <f>IF(NOT(ISBLANK(Audit[[#This Row],[Audit Winning Candidate]])), Audit[[#This Row],[Audit Winning Candidate]]-Audit[[#This Row],[Winning Candidate]], "")</f>
        <v/>
      </c>
      <c r="AF931" s="18" t="str">
        <f>IF(NOT(ISBLANK(Audit[[#This Row],[Audit Losing Candidate]])), Audit[[#This Row],[Audit Losing Candidate]]-Audit[[#This Row],[Losing Candidate]], "")</f>
        <v/>
      </c>
      <c r="AG931" s="18" t="str">
        <f>IF(NOT(ISBLANK(Audit[[#This Row],[Audit Candidate 3]])), Audit[[#This Row],[Audit Candidate 3]]-Audit[[#This Row],[Candidate 3]], "")</f>
        <v/>
      </c>
      <c r="AH931" s="18" t="str">
        <f>IF(NOT(ISBLANK(Audit[[#This Row],[Audit Candidate 4]])),Audit[[#This Row],[Audit Candidate 4]]-Audit[[#This Row],[Candidate 4]], "")</f>
        <v/>
      </c>
      <c r="AI931" s="18" t="str">
        <f>IF(NOT(ISBLANK(Audit[[#This Row],[Audit Candidate 5]])), Audit[[#This Row],[Audit Candidate 5]]-Audit[[#This Row],[Candidate 5]], "")</f>
        <v/>
      </c>
      <c r="AJ931" s="18" t="str">
        <f>IF(NOT(ISBLANK(Audit[[#This Row],[Audit Candidate 6]])), Audit[[#This Row],[Audit Candidate 6]]-Audit[[#This Row],[Candidate 6]], "")</f>
        <v/>
      </c>
      <c r="AK931" s="18" t="str">
        <f>IF(NOT(ISBLANK(Audit[[#This Row],[Audit Candidate 7]])), Audit[[#This Row],[Audit Candidate 7]]-Audit[[#This Row],[Candidate 7]], "")</f>
        <v/>
      </c>
      <c r="AL931" s="18" t="str">
        <f>IF(NOT(ISBLANK(Audit[[#This Row],[Audit Candidate 8]])), Audit[[#This Row],[Audit Candidate 8]]-Audit[[#This Row],[Candidate 8]], "")</f>
        <v/>
      </c>
      <c r="AM931" s="18" t="str">
        <f>IF(NOT(ISBLANK(Audit[[#This Row],[Audit Candidate 9]])), Audit[[#This Row],[Audit Candidate 9]]-Audit[[#This Row],[Candidate 9]], "")</f>
        <v/>
      </c>
      <c r="AN931" s="18" t="str">
        <f>IF(NOT(ISBLANK(Audit[[#This Row],[Audit Candidate 10]])), Audit[[#This Row],[Audit Candidate 10]]-Audit[[#This Row],[Candidate 10]], "")</f>
        <v/>
      </c>
      <c r="AO931" s="18" t="str">
        <f>IF(NOT(ISBLANK(Audit[[#This Row],[Audit Candidate 11]])), Audit[[#This Row],[Audit Candidate 11]]-Audit[[#This Row],[Candidate 11]], "")</f>
        <v/>
      </c>
      <c r="AP931" s="18" t="str">
        <f>IF(NOT(ISBLANK(Audit[[#This Row],[Audit Candidate 12]])), Audit[[#This Row],[Audit Candidate 12]]-Audit[[#This Row],[Candidate 12]], "")</f>
        <v/>
      </c>
      <c r="AQ931" s="18">
        <f>SUMIF(Audit[[#This Row],[Difference Winner]:[Difference Candidate 12]], "&gt;0")</f>
        <v>0</v>
      </c>
      <c r="AR931" s="18">
        <f>SUM(Audit[[#This Row],[Difference Winner]:[Difference Candidate 12]])</f>
        <v>0</v>
      </c>
      <c r="AS931" s="18">
        <f>IF(Audit[[#This Row],[Times p Drawn - With Replacement]]&gt;0, IF(Audit[[#This Row],[Canceled Differences]]&lt;0, Audit[[#This Row],[Max Differences]]+ABS(Audit[[#This Row],[Canceled Differences]]), Audit[[#This Row],[Max Differences]]), 0)</f>
        <v>0</v>
      </c>
      <c r="AT931" s="18">
        <f>'Sampling Data'!AB931</f>
        <v>1.6333197223356473E-3</v>
      </c>
      <c r="AU931" s="18">
        <f>IF(
      SUM(Audit[[#This Row],[Audit Losing Candidate]:[Audit Candidate 12]])
      &lt;&gt;0,
      (Audit[[#This Row],[Winning Candidate]]-Audit[[#This Row],[Losing Candidate]]-(Audit[[#This Row],[Audit Winning Candidate]]-Audit[[#This Row],[Audit Losing Candidate]]))/(Audit[[#Totals],[Winning Candidate]]-Audit[[#Totals],[Losing Candidate]]),
      0
)</f>
        <v>0</v>
      </c>
      <c r="AV9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8">
        <f>IF(Audit[[#This Row],[Max Relative Error (ep)]] = 0, 0, Audit[[#This Row],[Max Relative Error (ep)]]/Audit[[#This Row],[Error Bound (up) - Max. possible relative overstatement]])</f>
        <v>0</v>
      </c>
      <c r="BH9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1" s="18">
        <f t="shared" si="15"/>
        <v>1</v>
      </c>
      <c r="BJ931" s="18">
        <f>PRODUCT($BI$5:BI931)</f>
        <v>0.32656797278968008</v>
      </c>
      <c r="BK931" s="20">
        <f>1 - Audit[[#This Row],[K-M P Value]]</f>
        <v>0.67343202721031992</v>
      </c>
      <c r="BL931" s="18" t="str">
        <f>IF(Audit[[#This Row],[K-M P Value]]&gt;1-'General Info'!$B$12,"Continue", "Stop")</f>
        <v>Continue</v>
      </c>
      <c r="BM931" s="23" t="b">
        <f>IF(Audit[[#This Row],[Status - Continue or stop audit]] = "Continue", TRUE, IF(BL930 = "Continue", TRUE, FALSE))</f>
        <v>1</v>
      </c>
      <c r="BN931" s="23"/>
    </row>
    <row r="932" spans="1:66" ht="15" hidden="1" customHeight="1" x14ac:dyDescent="0.35">
      <c r="A932" s="18" t="str">
        <f>'Sampling Data'!AI932</f>
        <v/>
      </c>
      <c r="B932" s="18" t="str">
        <f>'Sampling Data'!A932</f>
        <v>5917 COLE Q   (ED)</v>
      </c>
      <c r="C932" s="18">
        <f>'Sampling Data'!B932</f>
        <v>144</v>
      </c>
      <c r="D932" s="18">
        <f>'Sampling Data'!C932</f>
        <v>12</v>
      </c>
      <c r="E932" s="19">
        <f>'Sampling Data'!D932</f>
        <v>0</v>
      </c>
      <c r="F932" s="19">
        <f>'Sampling Data'!E932</f>
        <v>0</v>
      </c>
      <c r="G932" s="19">
        <f>'Sampling Data'!F932</f>
        <v>0</v>
      </c>
      <c r="H932" s="19">
        <f>'Sampling Data'!G932</f>
        <v>0</v>
      </c>
      <c r="I932" s="19">
        <f>'Sampling Data'!H932</f>
        <v>0</v>
      </c>
      <c r="J932" s="19">
        <f>'Sampling Data'!I932</f>
        <v>0</v>
      </c>
      <c r="K932" s="19">
        <f>'Sampling Data'!J932</f>
        <v>0</v>
      </c>
      <c r="L932" s="19">
        <f>'Sampling Data'!K932</f>
        <v>0</v>
      </c>
      <c r="M932" s="19">
        <f>'Sampling Data'!L932</f>
        <v>0</v>
      </c>
      <c r="N932" s="19">
        <f>'Sampling Data'!M932</f>
        <v>0</v>
      </c>
      <c r="O932" s="18">
        <f>'Sampling Data'!N932</f>
        <v>1</v>
      </c>
      <c r="P932" s="18">
        <f>'Sampling Data'!O932</f>
        <v>0</v>
      </c>
      <c r="Q932" s="18">
        <f>'Sampling Data'!P932</f>
        <v>157</v>
      </c>
      <c r="R932" s="18">
        <f>'Sampling Data'!AJ932</f>
        <v>0</v>
      </c>
      <c r="S932" s="112"/>
      <c r="T932" s="112"/>
      <c r="U932" s="113"/>
      <c r="V932" s="113"/>
      <c r="W932" s="112"/>
      <c r="X932" s="112"/>
      <c r="Y932" s="112"/>
      <c r="Z932" s="112"/>
      <c r="AA932" s="15"/>
      <c r="AB932" s="15"/>
      <c r="AC932" s="15"/>
      <c r="AD932" s="15"/>
      <c r="AE932" s="114" t="str">
        <f>IF(NOT(ISBLANK(Audit[[#This Row],[Audit Winning Candidate]])), Audit[[#This Row],[Audit Winning Candidate]]-Audit[[#This Row],[Winning Candidate]], "")</f>
        <v/>
      </c>
      <c r="AF932" s="18" t="str">
        <f>IF(NOT(ISBLANK(Audit[[#This Row],[Audit Losing Candidate]])), Audit[[#This Row],[Audit Losing Candidate]]-Audit[[#This Row],[Losing Candidate]], "")</f>
        <v/>
      </c>
      <c r="AG932" s="18" t="str">
        <f>IF(NOT(ISBLANK(Audit[[#This Row],[Audit Candidate 3]])), Audit[[#This Row],[Audit Candidate 3]]-Audit[[#This Row],[Candidate 3]], "")</f>
        <v/>
      </c>
      <c r="AH932" s="18" t="str">
        <f>IF(NOT(ISBLANK(Audit[[#This Row],[Audit Candidate 4]])),Audit[[#This Row],[Audit Candidate 4]]-Audit[[#This Row],[Candidate 4]], "")</f>
        <v/>
      </c>
      <c r="AI932" s="18" t="str">
        <f>IF(NOT(ISBLANK(Audit[[#This Row],[Audit Candidate 5]])), Audit[[#This Row],[Audit Candidate 5]]-Audit[[#This Row],[Candidate 5]], "")</f>
        <v/>
      </c>
      <c r="AJ932" s="18" t="str">
        <f>IF(NOT(ISBLANK(Audit[[#This Row],[Audit Candidate 6]])), Audit[[#This Row],[Audit Candidate 6]]-Audit[[#This Row],[Candidate 6]], "")</f>
        <v/>
      </c>
      <c r="AK932" s="18" t="str">
        <f>IF(NOT(ISBLANK(Audit[[#This Row],[Audit Candidate 7]])), Audit[[#This Row],[Audit Candidate 7]]-Audit[[#This Row],[Candidate 7]], "")</f>
        <v/>
      </c>
      <c r="AL932" s="18" t="str">
        <f>IF(NOT(ISBLANK(Audit[[#This Row],[Audit Candidate 8]])), Audit[[#This Row],[Audit Candidate 8]]-Audit[[#This Row],[Candidate 8]], "")</f>
        <v/>
      </c>
      <c r="AM932" s="18" t="str">
        <f>IF(NOT(ISBLANK(Audit[[#This Row],[Audit Candidate 9]])), Audit[[#This Row],[Audit Candidate 9]]-Audit[[#This Row],[Candidate 9]], "")</f>
        <v/>
      </c>
      <c r="AN932" s="18" t="str">
        <f>IF(NOT(ISBLANK(Audit[[#This Row],[Audit Candidate 10]])), Audit[[#This Row],[Audit Candidate 10]]-Audit[[#This Row],[Candidate 10]], "")</f>
        <v/>
      </c>
      <c r="AO932" s="18" t="str">
        <f>IF(NOT(ISBLANK(Audit[[#This Row],[Audit Candidate 11]])), Audit[[#This Row],[Audit Candidate 11]]-Audit[[#This Row],[Candidate 11]], "")</f>
        <v/>
      </c>
      <c r="AP932" s="18" t="str">
        <f>IF(NOT(ISBLANK(Audit[[#This Row],[Audit Candidate 12]])), Audit[[#This Row],[Audit Candidate 12]]-Audit[[#This Row],[Candidate 12]], "")</f>
        <v/>
      </c>
      <c r="AQ932" s="18">
        <f>SUMIF(Audit[[#This Row],[Difference Winner]:[Difference Candidate 12]], "&gt;0")</f>
        <v>0</v>
      </c>
      <c r="AR932" s="18">
        <f>SUM(Audit[[#This Row],[Difference Winner]:[Difference Candidate 12]])</f>
        <v>0</v>
      </c>
      <c r="AS932" s="18">
        <f>IF(Audit[[#This Row],[Times p Drawn - With Replacement]]&gt;0, IF(Audit[[#This Row],[Canceled Differences]]&lt;0, Audit[[#This Row],[Max Differences]]+ABS(Audit[[#This Row],[Canceled Differences]]), Audit[[#This Row],[Max Differences]]), 0)</f>
        <v>0</v>
      </c>
      <c r="AT932" s="18">
        <f>'Sampling Data'!AB932</f>
        <v>9.0774884568269616E-3</v>
      </c>
      <c r="AU932" s="18">
        <f>IF(
      SUM(Audit[[#This Row],[Audit Losing Candidate]:[Audit Candidate 12]])
      &lt;&gt;0,
      (Audit[[#This Row],[Winning Candidate]]-Audit[[#This Row],[Losing Candidate]]-(Audit[[#This Row],[Audit Winning Candidate]]-Audit[[#This Row],[Audit Losing Candidate]]))/(Audit[[#Totals],[Winning Candidate]]-Audit[[#Totals],[Losing Candidate]]),
      0
)</f>
        <v>0</v>
      </c>
      <c r="AV9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8">
        <f>IF(Audit[[#This Row],[Max Relative Error (ep)]] = 0, 0, Audit[[#This Row],[Max Relative Error (ep)]]/Audit[[#This Row],[Error Bound (up) - Max. possible relative overstatement]])</f>
        <v>0</v>
      </c>
      <c r="BH9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2" s="18">
        <f t="shared" si="15"/>
        <v>1</v>
      </c>
      <c r="BJ932" s="18">
        <f>PRODUCT($BI$5:BI932)</f>
        <v>0.32656797278968008</v>
      </c>
      <c r="BK932" s="20">
        <f>1 - Audit[[#This Row],[K-M P Value]]</f>
        <v>0.67343202721031992</v>
      </c>
      <c r="BL932" s="18" t="str">
        <f>IF(Audit[[#This Row],[K-M P Value]]&gt;1-'General Info'!$B$12,"Continue", "Stop")</f>
        <v>Continue</v>
      </c>
      <c r="BM932" s="23" t="b">
        <f>IF(Audit[[#This Row],[Status - Continue or stop audit]] = "Continue", TRUE, IF(BL931 = "Continue", TRUE, FALSE))</f>
        <v>1</v>
      </c>
      <c r="BN932" s="23"/>
    </row>
    <row r="933" spans="1:66" ht="15" hidden="1" customHeight="1" x14ac:dyDescent="0.35">
      <c r="A933" s="18" t="str">
        <f>'Sampling Data'!AI933</f>
        <v/>
      </c>
      <c r="B933" s="18" t="str">
        <f>'Sampling Data'!A933</f>
        <v>5918 COLE R   (ED)</v>
      </c>
      <c r="C933" s="18">
        <f>'Sampling Data'!B933</f>
        <v>62</v>
      </c>
      <c r="D933" s="18">
        <f>'Sampling Data'!C933</f>
        <v>9</v>
      </c>
      <c r="E933" s="19">
        <f>'Sampling Data'!D933</f>
        <v>0</v>
      </c>
      <c r="F933" s="19">
        <f>'Sampling Data'!E933</f>
        <v>0</v>
      </c>
      <c r="G933" s="19">
        <f>'Sampling Data'!F933</f>
        <v>0</v>
      </c>
      <c r="H933" s="19">
        <f>'Sampling Data'!G933</f>
        <v>0</v>
      </c>
      <c r="I933" s="19">
        <f>'Sampling Data'!H933</f>
        <v>0</v>
      </c>
      <c r="J933" s="19">
        <f>'Sampling Data'!I933</f>
        <v>0</v>
      </c>
      <c r="K933" s="19">
        <f>'Sampling Data'!J933</f>
        <v>0</v>
      </c>
      <c r="L933" s="19">
        <f>'Sampling Data'!K933</f>
        <v>0</v>
      </c>
      <c r="M933" s="19">
        <f>'Sampling Data'!L933</f>
        <v>0</v>
      </c>
      <c r="N933" s="19">
        <f>'Sampling Data'!M933</f>
        <v>0</v>
      </c>
      <c r="O933" s="18">
        <f>'Sampling Data'!N933</f>
        <v>0</v>
      </c>
      <c r="P933" s="18">
        <f>'Sampling Data'!O933</f>
        <v>0</v>
      </c>
      <c r="Q933" s="18">
        <f>'Sampling Data'!P933</f>
        <v>71</v>
      </c>
      <c r="R933" s="18">
        <f>'Sampling Data'!AJ933</f>
        <v>0</v>
      </c>
      <c r="S933" s="112"/>
      <c r="T933" s="112"/>
      <c r="U933" s="113"/>
      <c r="V933" s="113"/>
      <c r="W933" s="112"/>
      <c r="X933" s="112"/>
      <c r="Y933" s="112"/>
      <c r="Z933" s="112"/>
      <c r="AA933" s="15"/>
      <c r="AB933" s="15"/>
      <c r="AC933" s="15"/>
      <c r="AD933" s="15"/>
      <c r="AE933" s="114" t="str">
        <f>IF(NOT(ISBLANK(Audit[[#This Row],[Audit Winning Candidate]])), Audit[[#This Row],[Audit Winning Candidate]]-Audit[[#This Row],[Winning Candidate]], "")</f>
        <v/>
      </c>
      <c r="AF933" s="18" t="str">
        <f>IF(NOT(ISBLANK(Audit[[#This Row],[Audit Losing Candidate]])), Audit[[#This Row],[Audit Losing Candidate]]-Audit[[#This Row],[Losing Candidate]], "")</f>
        <v/>
      </c>
      <c r="AG933" s="18" t="str">
        <f>IF(NOT(ISBLANK(Audit[[#This Row],[Audit Candidate 3]])), Audit[[#This Row],[Audit Candidate 3]]-Audit[[#This Row],[Candidate 3]], "")</f>
        <v/>
      </c>
      <c r="AH933" s="18" t="str">
        <f>IF(NOT(ISBLANK(Audit[[#This Row],[Audit Candidate 4]])),Audit[[#This Row],[Audit Candidate 4]]-Audit[[#This Row],[Candidate 4]], "")</f>
        <v/>
      </c>
      <c r="AI933" s="18" t="str">
        <f>IF(NOT(ISBLANK(Audit[[#This Row],[Audit Candidate 5]])), Audit[[#This Row],[Audit Candidate 5]]-Audit[[#This Row],[Candidate 5]], "")</f>
        <v/>
      </c>
      <c r="AJ933" s="18" t="str">
        <f>IF(NOT(ISBLANK(Audit[[#This Row],[Audit Candidate 6]])), Audit[[#This Row],[Audit Candidate 6]]-Audit[[#This Row],[Candidate 6]], "")</f>
        <v/>
      </c>
      <c r="AK933" s="18" t="str">
        <f>IF(NOT(ISBLANK(Audit[[#This Row],[Audit Candidate 7]])), Audit[[#This Row],[Audit Candidate 7]]-Audit[[#This Row],[Candidate 7]], "")</f>
        <v/>
      </c>
      <c r="AL933" s="18" t="str">
        <f>IF(NOT(ISBLANK(Audit[[#This Row],[Audit Candidate 8]])), Audit[[#This Row],[Audit Candidate 8]]-Audit[[#This Row],[Candidate 8]], "")</f>
        <v/>
      </c>
      <c r="AM933" s="18" t="str">
        <f>IF(NOT(ISBLANK(Audit[[#This Row],[Audit Candidate 9]])), Audit[[#This Row],[Audit Candidate 9]]-Audit[[#This Row],[Candidate 9]], "")</f>
        <v/>
      </c>
      <c r="AN933" s="18" t="str">
        <f>IF(NOT(ISBLANK(Audit[[#This Row],[Audit Candidate 10]])), Audit[[#This Row],[Audit Candidate 10]]-Audit[[#This Row],[Candidate 10]], "")</f>
        <v/>
      </c>
      <c r="AO933" s="18" t="str">
        <f>IF(NOT(ISBLANK(Audit[[#This Row],[Audit Candidate 11]])), Audit[[#This Row],[Audit Candidate 11]]-Audit[[#This Row],[Candidate 11]], "")</f>
        <v/>
      </c>
      <c r="AP933" s="18" t="str">
        <f>IF(NOT(ISBLANK(Audit[[#This Row],[Audit Candidate 12]])), Audit[[#This Row],[Audit Candidate 12]]-Audit[[#This Row],[Candidate 12]], "")</f>
        <v/>
      </c>
      <c r="AQ933" s="18">
        <f>SUMIF(Audit[[#This Row],[Difference Winner]:[Difference Candidate 12]], "&gt;0")</f>
        <v>0</v>
      </c>
      <c r="AR933" s="18">
        <f>SUM(Audit[[#This Row],[Difference Winner]:[Difference Candidate 12]])</f>
        <v>0</v>
      </c>
      <c r="AS933" s="18">
        <f>IF(Audit[[#This Row],[Times p Drawn - With Replacement]]&gt;0, IF(Audit[[#This Row],[Canceled Differences]]&lt;0, Audit[[#This Row],[Max Differences]]+ABS(Audit[[#This Row],[Canceled Differences]]), Audit[[#This Row],[Max Differences]]), 0)</f>
        <v>0</v>
      </c>
      <c r="AT933" s="18">
        <f>'Sampling Data'!AB933</f>
        <v>3.8948393378773127E-3</v>
      </c>
      <c r="AU933" s="18">
        <f>IF(
      SUM(Audit[[#This Row],[Audit Losing Candidate]:[Audit Candidate 12]])
      &lt;&gt;0,
      (Audit[[#This Row],[Winning Candidate]]-Audit[[#This Row],[Losing Candidate]]-(Audit[[#This Row],[Audit Winning Candidate]]-Audit[[#This Row],[Audit Losing Candidate]]))/(Audit[[#Totals],[Winning Candidate]]-Audit[[#Totals],[Losing Candidate]]),
      0
)</f>
        <v>0</v>
      </c>
      <c r="AV9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8">
        <f>IF(Audit[[#This Row],[Max Relative Error (ep)]] = 0, 0, Audit[[#This Row],[Max Relative Error (ep)]]/Audit[[#This Row],[Error Bound (up) - Max. possible relative overstatement]])</f>
        <v>0</v>
      </c>
      <c r="BH9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3" s="18">
        <f t="shared" si="15"/>
        <v>1</v>
      </c>
      <c r="BJ933" s="18">
        <f>PRODUCT($BI$5:BI933)</f>
        <v>0.32656797278968008</v>
      </c>
      <c r="BK933" s="20">
        <f>1 - Audit[[#This Row],[K-M P Value]]</f>
        <v>0.67343202721031992</v>
      </c>
      <c r="BL933" s="18" t="str">
        <f>IF(Audit[[#This Row],[K-M P Value]]&gt;1-'General Info'!$B$12,"Continue", "Stop")</f>
        <v>Continue</v>
      </c>
      <c r="BM933" s="23" t="b">
        <f>IF(Audit[[#This Row],[Status - Continue or stop audit]] = "Continue", TRUE, IF(BL932 = "Continue", TRUE, FALSE))</f>
        <v>1</v>
      </c>
      <c r="BN933" s="23"/>
    </row>
    <row r="934" spans="1:66" ht="15" hidden="1" customHeight="1" x14ac:dyDescent="0.35">
      <c r="A934" s="18" t="str">
        <f>'Sampling Data'!AI934</f>
        <v/>
      </c>
      <c r="B934" s="18" t="str">
        <f>'Sampling Data'!A934</f>
        <v>5919 COLE S   (ED)</v>
      </c>
      <c r="C934" s="18">
        <f>'Sampling Data'!B934</f>
        <v>123</v>
      </c>
      <c r="D934" s="18">
        <f>'Sampling Data'!C934</f>
        <v>9</v>
      </c>
      <c r="E934" s="19">
        <f>'Sampling Data'!D934</f>
        <v>0</v>
      </c>
      <c r="F934" s="19">
        <f>'Sampling Data'!E934</f>
        <v>0</v>
      </c>
      <c r="G934" s="19">
        <f>'Sampling Data'!F934</f>
        <v>0</v>
      </c>
      <c r="H934" s="19">
        <f>'Sampling Data'!G934</f>
        <v>0</v>
      </c>
      <c r="I934" s="19">
        <f>'Sampling Data'!H934</f>
        <v>0</v>
      </c>
      <c r="J934" s="19">
        <f>'Sampling Data'!I934</f>
        <v>0</v>
      </c>
      <c r="K934" s="19">
        <f>'Sampling Data'!J934</f>
        <v>0</v>
      </c>
      <c r="L934" s="19">
        <f>'Sampling Data'!K934</f>
        <v>0</v>
      </c>
      <c r="M934" s="19">
        <f>'Sampling Data'!L934</f>
        <v>0</v>
      </c>
      <c r="N934" s="19">
        <f>'Sampling Data'!M934</f>
        <v>0</v>
      </c>
      <c r="O934" s="18">
        <f>'Sampling Data'!N934</f>
        <v>0</v>
      </c>
      <c r="P934" s="18">
        <f>'Sampling Data'!O934</f>
        <v>3</v>
      </c>
      <c r="Q934" s="18">
        <f>'Sampling Data'!P934</f>
        <v>135</v>
      </c>
      <c r="R934" s="18">
        <f>'Sampling Data'!AJ934</f>
        <v>0</v>
      </c>
      <c r="S934" s="112"/>
      <c r="T934" s="112"/>
      <c r="U934" s="113"/>
      <c r="V934" s="113"/>
      <c r="W934" s="112"/>
      <c r="X934" s="112"/>
      <c r="Y934" s="112"/>
      <c r="Z934" s="112"/>
      <c r="AA934" s="15"/>
      <c r="AB934" s="15"/>
      <c r="AC934" s="15"/>
      <c r="AD934" s="15"/>
      <c r="AE934" s="114" t="str">
        <f>IF(NOT(ISBLANK(Audit[[#This Row],[Audit Winning Candidate]])), Audit[[#This Row],[Audit Winning Candidate]]-Audit[[#This Row],[Winning Candidate]], "")</f>
        <v/>
      </c>
      <c r="AF934" s="18" t="str">
        <f>IF(NOT(ISBLANK(Audit[[#This Row],[Audit Losing Candidate]])), Audit[[#This Row],[Audit Losing Candidate]]-Audit[[#This Row],[Losing Candidate]], "")</f>
        <v/>
      </c>
      <c r="AG934" s="18" t="str">
        <f>IF(NOT(ISBLANK(Audit[[#This Row],[Audit Candidate 3]])), Audit[[#This Row],[Audit Candidate 3]]-Audit[[#This Row],[Candidate 3]], "")</f>
        <v/>
      </c>
      <c r="AH934" s="18" t="str">
        <f>IF(NOT(ISBLANK(Audit[[#This Row],[Audit Candidate 4]])),Audit[[#This Row],[Audit Candidate 4]]-Audit[[#This Row],[Candidate 4]], "")</f>
        <v/>
      </c>
      <c r="AI934" s="18" t="str">
        <f>IF(NOT(ISBLANK(Audit[[#This Row],[Audit Candidate 5]])), Audit[[#This Row],[Audit Candidate 5]]-Audit[[#This Row],[Candidate 5]], "")</f>
        <v/>
      </c>
      <c r="AJ934" s="18" t="str">
        <f>IF(NOT(ISBLANK(Audit[[#This Row],[Audit Candidate 6]])), Audit[[#This Row],[Audit Candidate 6]]-Audit[[#This Row],[Candidate 6]], "")</f>
        <v/>
      </c>
      <c r="AK934" s="18" t="str">
        <f>IF(NOT(ISBLANK(Audit[[#This Row],[Audit Candidate 7]])), Audit[[#This Row],[Audit Candidate 7]]-Audit[[#This Row],[Candidate 7]], "")</f>
        <v/>
      </c>
      <c r="AL934" s="18" t="str">
        <f>IF(NOT(ISBLANK(Audit[[#This Row],[Audit Candidate 8]])), Audit[[#This Row],[Audit Candidate 8]]-Audit[[#This Row],[Candidate 8]], "")</f>
        <v/>
      </c>
      <c r="AM934" s="18" t="str">
        <f>IF(NOT(ISBLANK(Audit[[#This Row],[Audit Candidate 9]])), Audit[[#This Row],[Audit Candidate 9]]-Audit[[#This Row],[Candidate 9]], "")</f>
        <v/>
      </c>
      <c r="AN934" s="18" t="str">
        <f>IF(NOT(ISBLANK(Audit[[#This Row],[Audit Candidate 10]])), Audit[[#This Row],[Audit Candidate 10]]-Audit[[#This Row],[Candidate 10]], "")</f>
        <v/>
      </c>
      <c r="AO934" s="18" t="str">
        <f>IF(NOT(ISBLANK(Audit[[#This Row],[Audit Candidate 11]])), Audit[[#This Row],[Audit Candidate 11]]-Audit[[#This Row],[Candidate 11]], "")</f>
        <v/>
      </c>
      <c r="AP934" s="18" t="str">
        <f>IF(NOT(ISBLANK(Audit[[#This Row],[Audit Candidate 12]])), Audit[[#This Row],[Audit Candidate 12]]-Audit[[#This Row],[Candidate 12]], "")</f>
        <v/>
      </c>
      <c r="AQ934" s="18">
        <f>SUMIF(Audit[[#This Row],[Difference Winner]:[Difference Candidate 12]], "&gt;0")</f>
        <v>0</v>
      </c>
      <c r="AR934" s="18">
        <f>SUM(Audit[[#This Row],[Difference Winner]:[Difference Candidate 12]])</f>
        <v>0</v>
      </c>
      <c r="AS934" s="18">
        <f>IF(Audit[[#This Row],[Times p Drawn - With Replacement]]&gt;0, IF(Audit[[#This Row],[Canceled Differences]]&lt;0, Audit[[#This Row],[Max Differences]]+ABS(Audit[[#This Row],[Canceled Differences]]), Audit[[#This Row],[Max Differences]]), 0)</f>
        <v>0</v>
      </c>
      <c r="AT934" s="18">
        <f>'Sampling Data'!AB934</f>
        <v>7.8210886704149253E-3</v>
      </c>
      <c r="AU934" s="18">
        <f>IF(
      SUM(Audit[[#This Row],[Audit Losing Candidate]:[Audit Candidate 12]])
      &lt;&gt;0,
      (Audit[[#This Row],[Winning Candidate]]-Audit[[#This Row],[Losing Candidate]]-(Audit[[#This Row],[Audit Winning Candidate]]-Audit[[#This Row],[Audit Losing Candidate]]))/(Audit[[#Totals],[Winning Candidate]]-Audit[[#Totals],[Losing Candidate]]),
      0
)</f>
        <v>0</v>
      </c>
      <c r="AV9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8">
        <f>IF(Audit[[#This Row],[Max Relative Error (ep)]] = 0, 0, Audit[[#This Row],[Max Relative Error (ep)]]/Audit[[#This Row],[Error Bound (up) - Max. possible relative overstatement]])</f>
        <v>0</v>
      </c>
      <c r="BH9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4" s="18">
        <f t="shared" si="15"/>
        <v>1</v>
      </c>
      <c r="BJ934" s="18">
        <f>PRODUCT($BI$5:BI934)</f>
        <v>0.32656797278968008</v>
      </c>
      <c r="BK934" s="20">
        <f>1 - Audit[[#This Row],[K-M P Value]]</f>
        <v>0.67343202721031992</v>
      </c>
      <c r="BL934" s="18" t="str">
        <f>IF(Audit[[#This Row],[K-M P Value]]&gt;1-'General Info'!$B$12,"Continue", "Stop")</f>
        <v>Continue</v>
      </c>
      <c r="BM934" s="23" t="b">
        <f>IF(Audit[[#This Row],[Status - Continue or stop audit]] = "Continue", TRUE, IF(BL933 = "Continue", TRUE, FALSE))</f>
        <v>1</v>
      </c>
      <c r="BN934" s="23"/>
    </row>
    <row r="935" spans="1:66" ht="15" hidden="1" customHeight="1" x14ac:dyDescent="0.35">
      <c r="A935" s="18" t="str">
        <f>'Sampling Data'!AI935</f>
        <v/>
      </c>
      <c r="B935" s="18" t="str">
        <f>'Sampling Data'!A935</f>
        <v>5920 COLE T   (ED)</v>
      </c>
      <c r="C935" s="18">
        <f>'Sampling Data'!B935</f>
        <v>57</v>
      </c>
      <c r="D935" s="18">
        <f>'Sampling Data'!C935</f>
        <v>11</v>
      </c>
      <c r="E935" s="19">
        <f>'Sampling Data'!D935</f>
        <v>0</v>
      </c>
      <c r="F935" s="19">
        <f>'Sampling Data'!E935</f>
        <v>0</v>
      </c>
      <c r="G935" s="19">
        <f>'Sampling Data'!F935</f>
        <v>0</v>
      </c>
      <c r="H935" s="19">
        <f>'Sampling Data'!G935</f>
        <v>0</v>
      </c>
      <c r="I935" s="19">
        <f>'Sampling Data'!H935</f>
        <v>0</v>
      </c>
      <c r="J935" s="19">
        <f>'Sampling Data'!I935</f>
        <v>0</v>
      </c>
      <c r="K935" s="19">
        <f>'Sampling Data'!J935</f>
        <v>0</v>
      </c>
      <c r="L935" s="19">
        <f>'Sampling Data'!K935</f>
        <v>0</v>
      </c>
      <c r="M935" s="19">
        <f>'Sampling Data'!L935</f>
        <v>0</v>
      </c>
      <c r="N935" s="19">
        <f>'Sampling Data'!M935</f>
        <v>0</v>
      </c>
      <c r="O935" s="18">
        <f>'Sampling Data'!N935</f>
        <v>0</v>
      </c>
      <c r="P935" s="18">
        <f>'Sampling Data'!O935</f>
        <v>3</v>
      </c>
      <c r="Q935" s="18">
        <f>'Sampling Data'!P935</f>
        <v>71</v>
      </c>
      <c r="R935" s="18">
        <f>'Sampling Data'!AJ935</f>
        <v>0</v>
      </c>
      <c r="S935" s="112"/>
      <c r="T935" s="112"/>
      <c r="U935" s="113"/>
      <c r="V935" s="113"/>
      <c r="W935" s="112"/>
      <c r="X935" s="112"/>
      <c r="Y935" s="112"/>
      <c r="Z935" s="112"/>
      <c r="AA935" s="15"/>
      <c r="AB935" s="15"/>
      <c r="AC935" s="15"/>
      <c r="AD935" s="15"/>
      <c r="AE935" s="114" t="str">
        <f>IF(NOT(ISBLANK(Audit[[#This Row],[Audit Winning Candidate]])), Audit[[#This Row],[Audit Winning Candidate]]-Audit[[#This Row],[Winning Candidate]], "")</f>
        <v/>
      </c>
      <c r="AF935" s="18" t="str">
        <f>IF(NOT(ISBLANK(Audit[[#This Row],[Audit Losing Candidate]])), Audit[[#This Row],[Audit Losing Candidate]]-Audit[[#This Row],[Losing Candidate]], "")</f>
        <v/>
      </c>
      <c r="AG935" s="18" t="str">
        <f>IF(NOT(ISBLANK(Audit[[#This Row],[Audit Candidate 3]])), Audit[[#This Row],[Audit Candidate 3]]-Audit[[#This Row],[Candidate 3]], "")</f>
        <v/>
      </c>
      <c r="AH935" s="18" t="str">
        <f>IF(NOT(ISBLANK(Audit[[#This Row],[Audit Candidate 4]])),Audit[[#This Row],[Audit Candidate 4]]-Audit[[#This Row],[Candidate 4]], "")</f>
        <v/>
      </c>
      <c r="AI935" s="18" t="str">
        <f>IF(NOT(ISBLANK(Audit[[#This Row],[Audit Candidate 5]])), Audit[[#This Row],[Audit Candidate 5]]-Audit[[#This Row],[Candidate 5]], "")</f>
        <v/>
      </c>
      <c r="AJ935" s="18" t="str">
        <f>IF(NOT(ISBLANK(Audit[[#This Row],[Audit Candidate 6]])), Audit[[#This Row],[Audit Candidate 6]]-Audit[[#This Row],[Candidate 6]], "")</f>
        <v/>
      </c>
      <c r="AK935" s="18" t="str">
        <f>IF(NOT(ISBLANK(Audit[[#This Row],[Audit Candidate 7]])), Audit[[#This Row],[Audit Candidate 7]]-Audit[[#This Row],[Candidate 7]], "")</f>
        <v/>
      </c>
      <c r="AL935" s="18" t="str">
        <f>IF(NOT(ISBLANK(Audit[[#This Row],[Audit Candidate 8]])), Audit[[#This Row],[Audit Candidate 8]]-Audit[[#This Row],[Candidate 8]], "")</f>
        <v/>
      </c>
      <c r="AM935" s="18" t="str">
        <f>IF(NOT(ISBLANK(Audit[[#This Row],[Audit Candidate 9]])), Audit[[#This Row],[Audit Candidate 9]]-Audit[[#This Row],[Candidate 9]], "")</f>
        <v/>
      </c>
      <c r="AN935" s="18" t="str">
        <f>IF(NOT(ISBLANK(Audit[[#This Row],[Audit Candidate 10]])), Audit[[#This Row],[Audit Candidate 10]]-Audit[[#This Row],[Candidate 10]], "")</f>
        <v/>
      </c>
      <c r="AO935" s="18" t="str">
        <f>IF(NOT(ISBLANK(Audit[[#This Row],[Audit Candidate 11]])), Audit[[#This Row],[Audit Candidate 11]]-Audit[[#This Row],[Candidate 11]], "")</f>
        <v/>
      </c>
      <c r="AP935" s="18" t="str">
        <f>IF(NOT(ISBLANK(Audit[[#This Row],[Audit Candidate 12]])), Audit[[#This Row],[Audit Candidate 12]]-Audit[[#This Row],[Candidate 12]], "")</f>
        <v/>
      </c>
      <c r="AQ935" s="18">
        <f>SUMIF(Audit[[#This Row],[Difference Winner]:[Difference Candidate 12]], "&gt;0")</f>
        <v>0</v>
      </c>
      <c r="AR935" s="18">
        <f>SUM(Audit[[#This Row],[Difference Winner]:[Difference Candidate 12]])</f>
        <v>0</v>
      </c>
      <c r="AS935" s="18">
        <f>IF(Audit[[#This Row],[Times p Drawn - With Replacement]]&gt;0, IF(Audit[[#This Row],[Canceled Differences]]&lt;0, Audit[[#This Row],[Max Differences]]+ABS(Audit[[#This Row],[Canceled Differences]]), Audit[[#This Row],[Max Differences]]), 0)</f>
        <v>0</v>
      </c>
      <c r="AT935" s="18">
        <f>'Sampling Data'!AB935</f>
        <v>3.6749693752552064E-3</v>
      </c>
      <c r="AU935" s="18">
        <f>IF(
      SUM(Audit[[#This Row],[Audit Losing Candidate]:[Audit Candidate 12]])
      &lt;&gt;0,
      (Audit[[#This Row],[Winning Candidate]]-Audit[[#This Row],[Losing Candidate]]-(Audit[[#This Row],[Audit Winning Candidate]]-Audit[[#This Row],[Audit Losing Candidate]]))/(Audit[[#Totals],[Winning Candidate]]-Audit[[#Totals],[Losing Candidate]]),
      0
)</f>
        <v>0</v>
      </c>
      <c r="AV9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8">
        <f>IF(Audit[[#This Row],[Max Relative Error (ep)]] = 0, 0, Audit[[#This Row],[Max Relative Error (ep)]]/Audit[[#This Row],[Error Bound (up) - Max. possible relative overstatement]])</f>
        <v>0</v>
      </c>
      <c r="BH9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5" s="18">
        <f t="shared" si="15"/>
        <v>1</v>
      </c>
      <c r="BJ935" s="18">
        <f>PRODUCT($BI$5:BI935)</f>
        <v>0.32656797278968008</v>
      </c>
      <c r="BK935" s="20">
        <f>1 - Audit[[#This Row],[K-M P Value]]</f>
        <v>0.67343202721031992</v>
      </c>
      <c r="BL935" s="18" t="str">
        <f>IF(Audit[[#This Row],[K-M P Value]]&gt;1-'General Info'!$B$12,"Continue", "Stop")</f>
        <v>Continue</v>
      </c>
      <c r="BM935" s="23" t="b">
        <f>IF(Audit[[#This Row],[Status - Continue or stop audit]] = "Continue", TRUE, IF(BL934 = "Continue", TRUE, FALSE))</f>
        <v>1</v>
      </c>
      <c r="BN935" s="23"/>
    </row>
    <row r="936" spans="1:66" ht="15" hidden="1" customHeight="1" x14ac:dyDescent="0.35">
      <c r="A936" s="18" t="str">
        <f>'Sampling Data'!AI936</f>
        <v/>
      </c>
      <c r="B936" s="18" t="str">
        <f>'Sampling Data'!A936</f>
        <v>5921 COLE U   (ED)</v>
      </c>
      <c r="C936" s="18">
        <f>'Sampling Data'!B936</f>
        <v>53</v>
      </c>
      <c r="D936" s="18">
        <f>'Sampling Data'!C936</f>
        <v>4</v>
      </c>
      <c r="E936" s="19">
        <f>'Sampling Data'!D936</f>
        <v>0</v>
      </c>
      <c r="F936" s="19">
        <f>'Sampling Data'!E936</f>
        <v>0</v>
      </c>
      <c r="G936" s="19">
        <f>'Sampling Data'!F936</f>
        <v>0</v>
      </c>
      <c r="H936" s="19">
        <f>'Sampling Data'!G936</f>
        <v>0</v>
      </c>
      <c r="I936" s="19">
        <f>'Sampling Data'!H936</f>
        <v>0</v>
      </c>
      <c r="J936" s="19">
        <f>'Sampling Data'!I936</f>
        <v>0</v>
      </c>
      <c r="K936" s="19">
        <f>'Sampling Data'!J936</f>
        <v>0</v>
      </c>
      <c r="L936" s="19">
        <f>'Sampling Data'!K936</f>
        <v>0</v>
      </c>
      <c r="M936" s="19">
        <f>'Sampling Data'!L936</f>
        <v>0</v>
      </c>
      <c r="N936" s="19">
        <f>'Sampling Data'!M936</f>
        <v>0</v>
      </c>
      <c r="O936" s="18">
        <f>'Sampling Data'!N936</f>
        <v>0</v>
      </c>
      <c r="P936" s="18">
        <f>'Sampling Data'!O936</f>
        <v>0</v>
      </c>
      <c r="Q936" s="18">
        <f>'Sampling Data'!P936</f>
        <v>57</v>
      </c>
      <c r="R936" s="18">
        <f>'Sampling Data'!AJ936</f>
        <v>0</v>
      </c>
      <c r="S936" s="112"/>
      <c r="T936" s="112"/>
      <c r="U936" s="113"/>
      <c r="V936" s="113"/>
      <c r="W936" s="112"/>
      <c r="X936" s="112"/>
      <c r="Y936" s="112"/>
      <c r="Z936" s="112"/>
      <c r="AA936" s="15"/>
      <c r="AB936" s="15"/>
      <c r="AC936" s="15"/>
      <c r="AD936" s="15"/>
      <c r="AE936" s="114" t="str">
        <f>IF(NOT(ISBLANK(Audit[[#This Row],[Audit Winning Candidate]])), Audit[[#This Row],[Audit Winning Candidate]]-Audit[[#This Row],[Winning Candidate]], "")</f>
        <v/>
      </c>
      <c r="AF936" s="18" t="str">
        <f>IF(NOT(ISBLANK(Audit[[#This Row],[Audit Losing Candidate]])), Audit[[#This Row],[Audit Losing Candidate]]-Audit[[#This Row],[Losing Candidate]], "")</f>
        <v/>
      </c>
      <c r="AG936" s="18" t="str">
        <f>IF(NOT(ISBLANK(Audit[[#This Row],[Audit Candidate 3]])), Audit[[#This Row],[Audit Candidate 3]]-Audit[[#This Row],[Candidate 3]], "")</f>
        <v/>
      </c>
      <c r="AH936" s="18" t="str">
        <f>IF(NOT(ISBLANK(Audit[[#This Row],[Audit Candidate 4]])),Audit[[#This Row],[Audit Candidate 4]]-Audit[[#This Row],[Candidate 4]], "")</f>
        <v/>
      </c>
      <c r="AI936" s="18" t="str">
        <f>IF(NOT(ISBLANK(Audit[[#This Row],[Audit Candidate 5]])), Audit[[#This Row],[Audit Candidate 5]]-Audit[[#This Row],[Candidate 5]], "")</f>
        <v/>
      </c>
      <c r="AJ936" s="18" t="str">
        <f>IF(NOT(ISBLANK(Audit[[#This Row],[Audit Candidate 6]])), Audit[[#This Row],[Audit Candidate 6]]-Audit[[#This Row],[Candidate 6]], "")</f>
        <v/>
      </c>
      <c r="AK936" s="18" t="str">
        <f>IF(NOT(ISBLANK(Audit[[#This Row],[Audit Candidate 7]])), Audit[[#This Row],[Audit Candidate 7]]-Audit[[#This Row],[Candidate 7]], "")</f>
        <v/>
      </c>
      <c r="AL936" s="18" t="str">
        <f>IF(NOT(ISBLANK(Audit[[#This Row],[Audit Candidate 8]])), Audit[[#This Row],[Audit Candidate 8]]-Audit[[#This Row],[Candidate 8]], "")</f>
        <v/>
      </c>
      <c r="AM936" s="18" t="str">
        <f>IF(NOT(ISBLANK(Audit[[#This Row],[Audit Candidate 9]])), Audit[[#This Row],[Audit Candidate 9]]-Audit[[#This Row],[Candidate 9]], "")</f>
        <v/>
      </c>
      <c r="AN936" s="18" t="str">
        <f>IF(NOT(ISBLANK(Audit[[#This Row],[Audit Candidate 10]])), Audit[[#This Row],[Audit Candidate 10]]-Audit[[#This Row],[Candidate 10]], "")</f>
        <v/>
      </c>
      <c r="AO936" s="18" t="str">
        <f>IF(NOT(ISBLANK(Audit[[#This Row],[Audit Candidate 11]])), Audit[[#This Row],[Audit Candidate 11]]-Audit[[#This Row],[Candidate 11]], "")</f>
        <v/>
      </c>
      <c r="AP936" s="18" t="str">
        <f>IF(NOT(ISBLANK(Audit[[#This Row],[Audit Candidate 12]])), Audit[[#This Row],[Audit Candidate 12]]-Audit[[#This Row],[Candidate 12]], "")</f>
        <v/>
      </c>
      <c r="AQ936" s="18">
        <f>SUMIF(Audit[[#This Row],[Difference Winner]:[Difference Candidate 12]], "&gt;0")</f>
        <v>0</v>
      </c>
      <c r="AR936" s="18">
        <f>SUM(Audit[[#This Row],[Difference Winner]:[Difference Candidate 12]])</f>
        <v>0</v>
      </c>
      <c r="AS936" s="18">
        <f>IF(Audit[[#This Row],[Times p Drawn - With Replacement]]&gt;0, IF(Audit[[#This Row],[Canceled Differences]]&lt;0, Audit[[#This Row],[Max Differences]]+ABS(Audit[[#This Row],[Canceled Differences]]), Audit[[#This Row],[Max Differences]]), 0)</f>
        <v>0</v>
      </c>
      <c r="AT936" s="18">
        <f>'Sampling Data'!AB936</f>
        <v>3.3294594339918961E-3</v>
      </c>
      <c r="AU936" s="18">
        <f>IF(
      SUM(Audit[[#This Row],[Audit Losing Candidate]:[Audit Candidate 12]])
      &lt;&gt;0,
      (Audit[[#This Row],[Winning Candidate]]-Audit[[#This Row],[Losing Candidate]]-(Audit[[#This Row],[Audit Winning Candidate]]-Audit[[#This Row],[Audit Losing Candidate]]))/(Audit[[#Totals],[Winning Candidate]]-Audit[[#Totals],[Losing Candidate]]),
      0
)</f>
        <v>0</v>
      </c>
      <c r="AV9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8">
        <f>IF(Audit[[#This Row],[Max Relative Error (ep)]] = 0, 0, Audit[[#This Row],[Max Relative Error (ep)]]/Audit[[#This Row],[Error Bound (up) - Max. possible relative overstatement]])</f>
        <v>0</v>
      </c>
      <c r="BH9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6" s="18">
        <f t="shared" si="15"/>
        <v>1</v>
      </c>
      <c r="BJ936" s="18">
        <f>PRODUCT($BI$5:BI936)</f>
        <v>0.32656797278968008</v>
      </c>
      <c r="BK936" s="20">
        <f>1 - Audit[[#This Row],[K-M P Value]]</f>
        <v>0.67343202721031992</v>
      </c>
      <c r="BL936" s="18" t="str">
        <f>IF(Audit[[#This Row],[K-M P Value]]&gt;1-'General Info'!$B$12,"Continue", "Stop")</f>
        <v>Continue</v>
      </c>
      <c r="BM936" s="23" t="b">
        <f>IF(Audit[[#This Row],[Status - Continue or stop audit]] = "Continue", TRUE, IF(BL935 = "Continue", TRUE, FALSE))</f>
        <v>1</v>
      </c>
      <c r="BN936" s="23"/>
    </row>
    <row r="937" spans="1:66" ht="15" hidden="1" customHeight="1" x14ac:dyDescent="0.35">
      <c r="A937" s="18" t="str">
        <f>'Sampling Data'!AI937</f>
        <v/>
      </c>
      <c r="B937" s="18" t="str">
        <f>'Sampling Data'!A937</f>
        <v>5922 COLE V   (ED)</v>
      </c>
      <c r="C937" s="18">
        <f>'Sampling Data'!B937</f>
        <v>55</v>
      </c>
      <c r="D937" s="18">
        <f>'Sampling Data'!C937</f>
        <v>7</v>
      </c>
      <c r="E937" s="19">
        <f>'Sampling Data'!D937</f>
        <v>0</v>
      </c>
      <c r="F937" s="19">
        <f>'Sampling Data'!E937</f>
        <v>0</v>
      </c>
      <c r="G937" s="19">
        <f>'Sampling Data'!F937</f>
        <v>0</v>
      </c>
      <c r="H937" s="19">
        <f>'Sampling Data'!G937</f>
        <v>0</v>
      </c>
      <c r="I937" s="19">
        <f>'Sampling Data'!H937</f>
        <v>0</v>
      </c>
      <c r="J937" s="19">
        <f>'Sampling Data'!I937</f>
        <v>0</v>
      </c>
      <c r="K937" s="19">
        <f>'Sampling Data'!J937</f>
        <v>0</v>
      </c>
      <c r="L937" s="19">
        <f>'Sampling Data'!K937</f>
        <v>0</v>
      </c>
      <c r="M937" s="19">
        <f>'Sampling Data'!L937</f>
        <v>0</v>
      </c>
      <c r="N937" s="19">
        <f>'Sampling Data'!M937</f>
        <v>0</v>
      </c>
      <c r="O937" s="18">
        <f>'Sampling Data'!N937</f>
        <v>0</v>
      </c>
      <c r="P937" s="18">
        <f>'Sampling Data'!O937</f>
        <v>1</v>
      </c>
      <c r="Q937" s="18">
        <f>'Sampling Data'!P937</f>
        <v>63</v>
      </c>
      <c r="R937" s="18">
        <f>'Sampling Data'!AJ937</f>
        <v>0</v>
      </c>
      <c r="S937" s="112"/>
      <c r="T937" s="112"/>
      <c r="U937" s="113"/>
      <c r="V937" s="113"/>
      <c r="W937" s="112"/>
      <c r="X937" s="112"/>
      <c r="Y937" s="112"/>
      <c r="Z937" s="112"/>
      <c r="AA937" s="15"/>
      <c r="AB937" s="15"/>
      <c r="AC937" s="15"/>
      <c r="AD937" s="15"/>
      <c r="AE937" s="114" t="str">
        <f>IF(NOT(ISBLANK(Audit[[#This Row],[Audit Winning Candidate]])), Audit[[#This Row],[Audit Winning Candidate]]-Audit[[#This Row],[Winning Candidate]], "")</f>
        <v/>
      </c>
      <c r="AF937" s="18" t="str">
        <f>IF(NOT(ISBLANK(Audit[[#This Row],[Audit Losing Candidate]])), Audit[[#This Row],[Audit Losing Candidate]]-Audit[[#This Row],[Losing Candidate]], "")</f>
        <v/>
      </c>
      <c r="AG937" s="18" t="str">
        <f>IF(NOT(ISBLANK(Audit[[#This Row],[Audit Candidate 3]])), Audit[[#This Row],[Audit Candidate 3]]-Audit[[#This Row],[Candidate 3]], "")</f>
        <v/>
      </c>
      <c r="AH937" s="18" t="str">
        <f>IF(NOT(ISBLANK(Audit[[#This Row],[Audit Candidate 4]])),Audit[[#This Row],[Audit Candidate 4]]-Audit[[#This Row],[Candidate 4]], "")</f>
        <v/>
      </c>
      <c r="AI937" s="18" t="str">
        <f>IF(NOT(ISBLANK(Audit[[#This Row],[Audit Candidate 5]])), Audit[[#This Row],[Audit Candidate 5]]-Audit[[#This Row],[Candidate 5]], "")</f>
        <v/>
      </c>
      <c r="AJ937" s="18" t="str">
        <f>IF(NOT(ISBLANK(Audit[[#This Row],[Audit Candidate 6]])), Audit[[#This Row],[Audit Candidate 6]]-Audit[[#This Row],[Candidate 6]], "")</f>
        <v/>
      </c>
      <c r="AK937" s="18" t="str">
        <f>IF(NOT(ISBLANK(Audit[[#This Row],[Audit Candidate 7]])), Audit[[#This Row],[Audit Candidate 7]]-Audit[[#This Row],[Candidate 7]], "")</f>
        <v/>
      </c>
      <c r="AL937" s="18" t="str">
        <f>IF(NOT(ISBLANK(Audit[[#This Row],[Audit Candidate 8]])), Audit[[#This Row],[Audit Candidate 8]]-Audit[[#This Row],[Candidate 8]], "")</f>
        <v/>
      </c>
      <c r="AM937" s="18" t="str">
        <f>IF(NOT(ISBLANK(Audit[[#This Row],[Audit Candidate 9]])), Audit[[#This Row],[Audit Candidate 9]]-Audit[[#This Row],[Candidate 9]], "")</f>
        <v/>
      </c>
      <c r="AN937" s="18" t="str">
        <f>IF(NOT(ISBLANK(Audit[[#This Row],[Audit Candidate 10]])), Audit[[#This Row],[Audit Candidate 10]]-Audit[[#This Row],[Candidate 10]], "")</f>
        <v/>
      </c>
      <c r="AO937" s="18" t="str">
        <f>IF(NOT(ISBLANK(Audit[[#This Row],[Audit Candidate 11]])), Audit[[#This Row],[Audit Candidate 11]]-Audit[[#This Row],[Candidate 11]], "")</f>
        <v/>
      </c>
      <c r="AP937" s="18" t="str">
        <f>IF(NOT(ISBLANK(Audit[[#This Row],[Audit Candidate 12]])), Audit[[#This Row],[Audit Candidate 12]]-Audit[[#This Row],[Candidate 12]], "")</f>
        <v/>
      </c>
      <c r="AQ937" s="18">
        <f>SUMIF(Audit[[#This Row],[Difference Winner]:[Difference Candidate 12]], "&gt;0")</f>
        <v>0</v>
      </c>
      <c r="AR937" s="18">
        <f>SUM(Audit[[#This Row],[Difference Winner]:[Difference Candidate 12]])</f>
        <v>0</v>
      </c>
      <c r="AS937" s="18">
        <f>IF(Audit[[#This Row],[Times p Drawn - With Replacement]]&gt;0, IF(Audit[[#This Row],[Canceled Differences]]&lt;0, Audit[[#This Row],[Max Differences]]+ABS(Audit[[#This Row],[Canceled Differences]]), Audit[[#This Row],[Max Differences]]), 0)</f>
        <v>0</v>
      </c>
      <c r="AT937" s="18">
        <f>'Sampling Data'!AB937</f>
        <v>3.4865094072934009E-3</v>
      </c>
      <c r="AU937" s="18">
        <f>IF(
      SUM(Audit[[#This Row],[Audit Losing Candidate]:[Audit Candidate 12]])
      &lt;&gt;0,
      (Audit[[#This Row],[Winning Candidate]]-Audit[[#This Row],[Losing Candidate]]-(Audit[[#This Row],[Audit Winning Candidate]]-Audit[[#This Row],[Audit Losing Candidate]]))/(Audit[[#Totals],[Winning Candidate]]-Audit[[#Totals],[Losing Candidate]]),
      0
)</f>
        <v>0</v>
      </c>
      <c r="AV9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8">
        <f>IF(Audit[[#This Row],[Max Relative Error (ep)]] = 0, 0, Audit[[#This Row],[Max Relative Error (ep)]]/Audit[[#This Row],[Error Bound (up) - Max. possible relative overstatement]])</f>
        <v>0</v>
      </c>
      <c r="BH9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7" s="18">
        <f t="shared" si="15"/>
        <v>1</v>
      </c>
      <c r="BJ937" s="18">
        <f>PRODUCT($BI$5:BI937)</f>
        <v>0.32656797278968008</v>
      </c>
      <c r="BK937" s="20">
        <f>1 - Audit[[#This Row],[K-M P Value]]</f>
        <v>0.67343202721031992</v>
      </c>
      <c r="BL937" s="18" t="str">
        <f>IF(Audit[[#This Row],[K-M P Value]]&gt;1-'General Info'!$B$12,"Continue", "Stop")</f>
        <v>Continue</v>
      </c>
      <c r="BM937" s="23" t="b">
        <f>IF(Audit[[#This Row],[Status - Continue or stop audit]] = "Continue", TRUE, IF(BL936 = "Continue", TRUE, FALSE))</f>
        <v>1</v>
      </c>
      <c r="BN937" s="23"/>
    </row>
    <row r="938" spans="1:66" ht="15" hidden="1" customHeight="1" x14ac:dyDescent="0.35">
      <c r="A938" s="18" t="str">
        <f>'Sampling Data'!AI938</f>
        <v/>
      </c>
      <c r="B938" s="18" t="str">
        <f>'Sampling Data'!A938</f>
        <v>5923 COLE W   (ED)</v>
      </c>
      <c r="C938" s="18">
        <f>'Sampling Data'!B938</f>
        <v>17</v>
      </c>
      <c r="D938" s="18">
        <f>'Sampling Data'!C938</f>
        <v>6</v>
      </c>
      <c r="E938" s="19">
        <f>'Sampling Data'!D938</f>
        <v>0</v>
      </c>
      <c r="F938" s="19">
        <f>'Sampling Data'!E938</f>
        <v>0</v>
      </c>
      <c r="G938" s="19">
        <f>'Sampling Data'!F938</f>
        <v>0</v>
      </c>
      <c r="H938" s="19">
        <f>'Sampling Data'!G938</f>
        <v>0</v>
      </c>
      <c r="I938" s="19">
        <f>'Sampling Data'!H938</f>
        <v>0</v>
      </c>
      <c r="J938" s="19">
        <f>'Sampling Data'!I938</f>
        <v>0</v>
      </c>
      <c r="K938" s="19">
        <f>'Sampling Data'!J938</f>
        <v>0</v>
      </c>
      <c r="L938" s="19">
        <f>'Sampling Data'!K938</f>
        <v>0</v>
      </c>
      <c r="M938" s="19">
        <f>'Sampling Data'!L938</f>
        <v>0</v>
      </c>
      <c r="N938" s="19">
        <f>'Sampling Data'!M938</f>
        <v>0</v>
      </c>
      <c r="O938" s="18">
        <f>'Sampling Data'!N938</f>
        <v>0</v>
      </c>
      <c r="P938" s="18">
        <f>'Sampling Data'!O938</f>
        <v>0</v>
      </c>
      <c r="Q938" s="18">
        <f>'Sampling Data'!P938</f>
        <v>23</v>
      </c>
      <c r="R938" s="18">
        <f>'Sampling Data'!AJ938</f>
        <v>0</v>
      </c>
      <c r="S938" s="112"/>
      <c r="T938" s="112"/>
      <c r="U938" s="113"/>
      <c r="V938" s="113"/>
      <c r="W938" s="112"/>
      <c r="X938" s="112"/>
      <c r="Y938" s="112"/>
      <c r="Z938" s="112"/>
      <c r="AA938" s="15"/>
      <c r="AB938" s="15"/>
      <c r="AC938" s="15"/>
      <c r="AD938" s="15"/>
      <c r="AE938" s="114" t="str">
        <f>IF(NOT(ISBLANK(Audit[[#This Row],[Audit Winning Candidate]])), Audit[[#This Row],[Audit Winning Candidate]]-Audit[[#This Row],[Winning Candidate]], "")</f>
        <v/>
      </c>
      <c r="AF938" s="18" t="str">
        <f>IF(NOT(ISBLANK(Audit[[#This Row],[Audit Losing Candidate]])), Audit[[#This Row],[Audit Losing Candidate]]-Audit[[#This Row],[Losing Candidate]], "")</f>
        <v/>
      </c>
      <c r="AG938" s="18" t="str">
        <f>IF(NOT(ISBLANK(Audit[[#This Row],[Audit Candidate 3]])), Audit[[#This Row],[Audit Candidate 3]]-Audit[[#This Row],[Candidate 3]], "")</f>
        <v/>
      </c>
      <c r="AH938" s="18" t="str">
        <f>IF(NOT(ISBLANK(Audit[[#This Row],[Audit Candidate 4]])),Audit[[#This Row],[Audit Candidate 4]]-Audit[[#This Row],[Candidate 4]], "")</f>
        <v/>
      </c>
      <c r="AI938" s="18" t="str">
        <f>IF(NOT(ISBLANK(Audit[[#This Row],[Audit Candidate 5]])), Audit[[#This Row],[Audit Candidate 5]]-Audit[[#This Row],[Candidate 5]], "")</f>
        <v/>
      </c>
      <c r="AJ938" s="18" t="str">
        <f>IF(NOT(ISBLANK(Audit[[#This Row],[Audit Candidate 6]])), Audit[[#This Row],[Audit Candidate 6]]-Audit[[#This Row],[Candidate 6]], "")</f>
        <v/>
      </c>
      <c r="AK938" s="18" t="str">
        <f>IF(NOT(ISBLANK(Audit[[#This Row],[Audit Candidate 7]])), Audit[[#This Row],[Audit Candidate 7]]-Audit[[#This Row],[Candidate 7]], "")</f>
        <v/>
      </c>
      <c r="AL938" s="18" t="str">
        <f>IF(NOT(ISBLANK(Audit[[#This Row],[Audit Candidate 8]])), Audit[[#This Row],[Audit Candidate 8]]-Audit[[#This Row],[Candidate 8]], "")</f>
        <v/>
      </c>
      <c r="AM938" s="18" t="str">
        <f>IF(NOT(ISBLANK(Audit[[#This Row],[Audit Candidate 9]])), Audit[[#This Row],[Audit Candidate 9]]-Audit[[#This Row],[Candidate 9]], "")</f>
        <v/>
      </c>
      <c r="AN938" s="18" t="str">
        <f>IF(NOT(ISBLANK(Audit[[#This Row],[Audit Candidate 10]])), Audit[[#This Row],[Audit Candidate 10]]-Audit[[#This Row],[Candidate 10]], "")</f>
        <v/>
      </c>
      <c r="AO938" s="18" t="str">
        <f>IF(NOT(ISBLANK(Audit[[#This Row],[Audit Candidate 11]])), Audit[[#This Row],[Audit Candidate 11]]-Audit[[#This Row],[Candidate 11]], "")</f>
        <v/>
      </c>
      <c r="AP938" s="18" t="str">
        <f>IF(NOT(ISBLANK(Audit[[#This Row],[Audit Candidate 12]])), Audit[[#This Row],[Audit Candidate 12]]-Audit[[#This Row],[Candidate 12]], "")</f>
        <v/>
      </c>
      <c r="AQ938" s="18">
        <f>SUMIF(Audit[[#This Row],[Difference Winner]:[Difference Candidate 12]], "&gt;0")</f>
        <v>0</v>
      </c>
      <c r="AR938" s="18">
        <f>SUM(Audit[[#This Row],[Difference Winner]:[Difference Candidate 12]])</f>
        <v>0</v>
      </c>
      <c r="AS938" s="18">
        <f>IF(Audit[[#This Row],[Times p Drawn - With Replacement]]&gt;0, IF(Audit[[#This Row],[Canceled Differences]]&lt;0, Audit[[#This Row],[Max Differences]]+ABS(Audit[[#This Row],[Canceled Differences]]), Audit[[#This Row],[Max Differences]]), 0)</f>
        <v>0</v>
      </c>
      <c r="AT938" s="18">
        <f>'Sampling Data'!AB938</f>
        <v>1.0679398184502309E-3</v>
      </c>
      <c r="AU938" s="18">
        <f>IF(
      SUM(Audit[[#This Row],[Audit Losing Candidate]:[Audit Candidate 12]])
      &lt;&gt;0,
      (Audit[[#This Row],[Winning Candidate]]-Audit[[#This Row],[Losing Candidate]]-(Audit[[#This Row],[Audit Winning Candidate]]-Audit[[#This Row],[Audit Losing Candidate]]))/(Audit[[#Totals],[Winning Candidate]]-Audit[[#Totals],[Losing Candidate]]),
      0
)</f>
        <v>0</v>
      </c>
      <c r="AV9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8">
        <f>IF(Audit[[#This Row],[Max Relative Error (ep)]] = 0, 0, Audit[[#This Row],[Max Relative Error (ep)]]/Audit[[#This Row],[Error Bound (up) - Max. possible relative overstatement]])</f>
        <v>0</v>
      </c>
      <c r="BH9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8" s="18">
        <f t="shared" si="15"/>
        <v>1</v>
      </c>
      <c r="BJ938" s="18">
        <f>PRODUCT($BI$5:BI938)</f>
        <v>0.32656797278968008</v>
      </c>
      <c r="BK938" s="20">
        <f>1 - Audit[[#This Row],[K-M P Value]]</f>
        <v>0.67343202721031992</v>
      </c>
      <c r="BL938" s="18" t="str">
        <f>IF(Audit[[#This Row],[K-M P Value]]&gt;1-'General Info'!$B$12,"Continue", "Stop")</f>
        <v>Continue</v>
      </c>
      <c r="BM938" s="23" t="b">
        <f>IF(Audit[[#This Row],[Status - Continue or stop audit]] = "Continue", TRUE, IF(BL937 = "Continue", TRUE, FALSE))</f>
        <v>1</v>
      </c>
      <c r="BN938" s="23"/>
    </row>
    <row r="939" spans="1:66" ht="15" hidden="1" customHeight="1" x14ac:dyDescent="0.35">
      <c r="A939" s="18" t="str">
        <f>'Sampling Data'!AI939</f>
        <v/>
      </c>
      <c r="B939" s="18" t="str">
        <f>'Sampling Data'!A939</f>
        <v>5924 COLE X   (ED)</v>
      </c>
      <c r="C939" s="18">
        <f>'Sampling Data'!B939</f>
        <v>55</v>
      </c>
      <c r="D939" s="18">
        <f>'Sampling Data'!C939</f>
        <v>7</v>
      </c>
      <c r="E939" s="19">
        <f>'Sampling Data'!D939</f>
        <v>0</v>
      </c>
      <c r="F939" s="19">
        <f>'Sampling Data'!E939</f>
        <v>0</v>
      </c>
      <c r="G939" s="19">
        <f>'Sampling Data'!F939</f>
        <v>0</v>
      </c>
      <c r="H939" s="19">
        <f>'Sampling Data'!G939</f>
        <v>0</v>
      </c>
      <c r="I939" s="19">
        <f>'Sampling Data'!H939</f>
        <v>0</v>
      </c>
      <c r="J939" s="19">
        <f>'Sampling Data'!I939</f>
        <v>0</v>
      </c>
      <c r="K939" s="19">
        <f>'Sampling Data'!J939</f>
        <v>0</v>
      </c>
      <c r="L939" s="19">
        <f>'Sampling Data'!K939</f>
        <v>0</v>
      </c>
      <c r="M939" s="19">
        <f>'Sampling Data'!L939</f>
        <v>0</v>
      </c>
      <c r="N939" s="19">
        <f>'Sampling Data'!M939</f>
        <v>0</v>
      </c>
      <c r="O939" s="18">
        <f>'Sampling Data'!N939</f>
        <v>0</v>
      </c>
      <c r="P939" s="18">
        <f>'Sampling Data'!O939</f>
        <v>1</v>
      </c>
      <c r="Q939" s="18">
        <f>'Sampling Data'!P939</f>
        <v>63</v>
      </c>
      <c r="R939" s="18">
        <f>'Sampling Data'!AJ939</f>
        <v>0</v>
      </c>
      <c r="S939" s="112"/>
      <c r="T939" s="112"/>
      <c r="U939" s="113"/>
      <c r="V939" s="113"/>
      <c r="W939" s="112"/>
      <c r="X939" s="112"/>
      <c r="Y939" s="112"/>
      <c r="Z939" s="112"/>
      <c r="AA939" s="15"/>
      <c r="AB939" s="15"/>
      <c r="AC939" s="15"/>
      <c r="AD939" s="15"/>
      <c r="AE939" s="114" t="str">
        <f>IF(NOT(ISBLANK(Audit[[#This Row],[Audit Winning Candidate]])), Audit[[#This Row],[Audit Winning Candidate]]-Audit[[#This Row],[Winning Candidate]], "")</f>
        <v/>
      </c>
      <c r="AF939" s="18" t="str">
        <f>IF(NOT(ISBLANK(Audit[[#This Row],[Audit Losing Candidate]])), Audit[[#This Row],[Audit Losing Candidate]]-Audit[[#This Row],[Losing Candidate]], "")</f>
        <v/>
      </c>
      <c r="AG939" s="18" t="str">
        <f>IF(NOT(ISBLANK(Audit[[#This Row],[Audit Candidate 3]])), Audit[[#This Row],[Audit Candidate 3]]-Audit[[#This Row],[Candidate 3]], "")</f>
        <v/>
      </c>
      <c r="AH939" s="18" t="str">
        <f>IF(NOT(ISBLANK(Audit[[#This Row],[Audit Candidate 4]])),Audit[[#This Row],[Audit Candidate 4]]-Audit[[#This Row],[Candidate 4]], "")</f>
        <v/>
      </c>
      <c r="AI939" s="18" t="str">
        <f>IF(NOT(ISBLANK(Audit[[#This Row],[Audit Candidate 5]])), Audit[[#This Row],[Audit Candidate 5]]-Audit[[#This Row],[Candidate 5]], "")</f>
        <v/>
      </c>
      <c r="AJ939" s="18" t="str">
        <f>IF(NOT(ISBLANK(Audit[[#This Row],[Audit Candidate 6]])), Audit[[#This Row],[Audit Candidate 6]]-Audit[[#This Row],[Candidate 6]], "")</f>
        <v/>
      </c>
      <c r="AK939" s="18" t="str">
        <f>IF(NOT(ISBLANK(Audit[[#This Row],[Audit Candidate 7]])), Audit[[#This Row],[Audit Candidate 7]]-Audit[[#This Row],[Candidate 7]], "")</f>
        <v/>
      </c>
      <c r="AL939" s="18" t="str">
        <f>IF(NOT(ISBLANK(Audit[[#This Row],[Audit Candidate 8]])), Audit[[#This Row],[Audit Candidate 8]]-Audit[[#This Row],[Candidate 8]], "")</f>
        <v/>
      </c>
      <c r="AM939" s="18" t="str">
        <f>IF(NOT(ISBLANK(Audit[[#This Row],[Audit Candidate 9]])), Audit[[#This Row],[Audit Candidate 9]]-Audit[[#This Row],[Candidate 9]], "")</f>
        <v/>
      </c>
      <c r="AN939" s="18" t="str">
        <f>IF(NOT(ISBLANK(Audit[[#This Row],[Audit Candidate 10]])), Audit[[#This Row],[Audit Candidate 10]]-Audit[[#This Row],[Candidate 10]], "")</f>
        <v/>
      </c>
      <c r="AO939" s="18" t="str">
        <f>IF(NOT(ISBLANK(Audit[[#This Row],[Audit Candidate 11]])), Audit[[#This Row],[Audit Candidate 11]]-Audit[[#This Row],[Candidate 11]], "")</f>
        <v/>
      </c>
      <c r="AP939" s="18" t="str">
        <f>IF(NOT(ISBLANK(Audit[[#This Row],[Audit Candidate 12]])), Audit[[#This Row],[Audit Candidate 12]]-Audit[[#This Row],[Candidate 12]], "")</f>
        <v/>
      </c>
      <c r="AQ939" s="18">
        <f>SUMIF(Audit[[#This Row],[Difference Winner]:[Difference Candidate 12]], "&gt;0")</f>
        <v>0</v>
      </c>
      <c r="AR939" s="18">
        <f>SUM(Audit[[#This Row],[Difference Winner]:[Difference Candidate 12]])</f>
        <v>0</v>
      </c>
      <c r="AS939" s="18">
        <f>IF(Audit[[#This Row],[Times p Drawn - With Replacement]]&gt;0, IF(Audit[[#This Row],[Canceled Differences]]&lt;0, Audit[[#This Row],[Max Differences]]+ABS(Audit[[#This Row],[Canceled Differences]]), Audit[[#This Row],[Max Differences]]), 0)</f>
        <v>0</v>
      </c>
      <c r="AT939" s="18">
        <f>'Sampling Data'!AB939</f>
        <v>3.4865094072934009E-3</v>
      </c>
      <c r="AU939" s="18">
        <f>IF(
      SUM(Audit[[#This Row],[Audit Losing Candidate]:[Audit Candidate 12]])
      &lt;&gt;0,
      (Audit[[#This Row],[Winning Candidate]]-Audit[[#This Row],[Losing Candidate]]-(Audit[[#This Row],[Audit Winning Candidate]]-Audit[[#This Row],[Audit Losing Candidate]]))/(Audit[[#Totals],[Winning Candidate]]-Audit[[#Totals],[Losing Candidate]]),
      0
)</f>
        <v>0</v>
      </c>
      <c r="AV9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8">
        <f>IF(Audit[[#This Row],[Max Relative Error (ep)]] = 0, 0, Audit[[#This Row],[Max Relative Error (ep)]]/Audit[[#This Row],[Error Bound (up) - Max. possible relative overstatement]])</f>
        <v>0</v>
      </c>
      <c r="BH9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39" s="18">
        <f t="shared" si="15"/>
        <v>1</v>
      </c>
      <c r="BJ939" s="18">
        <f>PRODUCT($BI$5:BI939)</f>
        <v>0.32656797278968008</v>
      </c>
      <c r="BK939" s="20">
        <f>1 - Audit[[#This Row],[K-M P Value]]</f>
        <v>0.67343202721031992</v>
      </c>
      <c r="BL939" s="18" t="str">
        <f>IF(Audit[[#This Row],[K-M P Value]]&gt;1-'General Info'!$B$12,"Continue", "Stop")</f>
        <v>Continue</v>
      </c>
      <c r="BM939" s="23" t="b">
        <f>IF(Audit[[#This Row],[Status - Continue or stop audit]] = "Continue", TRUE, IF(BL938 = "Continue", TRUE, FALSE))</f>
        <v>1</v>
      </c>
      <c r="BN939" s="23"/>
    </row>
    <row r="940" spans="1:66" ht="15" hidden="1" customHeight="1" x14ac:dyDescent="0.35">
      <c r="A940" s="18" t="str">
        <f>'Sampling Data'!AI940</f>
        <v/>
      </c>
      <c r="B940" s="18" t="str">
        <f>'Sampling Data'!A940</f>
        <v>5925 COLE Y   (ED)</v>
      </c>
      <c r="C940" s="18">
        <f>'Sampling Data'!B940</f>
        <v>56</v>
      </c>
      <c r="D940" s="18">
        <f>'Sampling Data'!C940</f>
        <v>7</v>
      </c>
      <c r="E940" s="19">
        <f>'Sampling Data'!D940</f>
        <v>0</v>
      </c>
      <c r="F940" s="19">
        <f>'Sampling Data'!E940</f>
        <v>0</v>
      </c>
      <c r="G940" s="19">
        <f>'Sampling Data'!F940</f>
        <v>0</v>
      </c>
      <c r="H940" s="19">
        <f>'Sampling Data'!G940</f>
        <v>0</v>
      </c>
      <c r="I940" s="19">
        <f>'Sampling Data'!H940</f>
        <v>0</v>
      </c>
      <c r="J940" s="19">
        <f>'Sampling Data'!I940</f>
        <v>0</v>
      </c>
      <c r="K940" s="19">
        <f>'Sampling Data'!J940</f>
        <v>0</v>
      </c>
      <c r="L940" s="19">
        <f>'Sampling Data'!K940</f>
        <v>0</v>
      </c>
      <c r="M940" s="19">
        <f>'Sampling Data'!L940</f>
        <v>0</v>
      </c>
      <c r="N940" s="19">
        <f>'Sampling Data'!M940</f>
        <v>0</v>
      </c>
      <c r="O940" s="18">
        <f>'Sampling Data'!N940</f>
        <v>0</v>
      </c>
      <c r="P940" s="18">
        <f>'Sampling Data'!O940</f>
        <v>2</v>
      </c>
      <c r="Q940" s="18">
        <f>'Sampling Data'!P940</f>
        <v>65</v>
      </c>
      <c r="R940" s="18">
        <f>'Sampling Data'!AJ940</f>
        <v>0</v>
      </c>
      <c r="S940" s="112"/>
      <c r="T940" s="112"/>
      <c r="U940" s="113"/>
      <c r="V940" s="113"/>
      <c r="W940" s="112"/>
      <c r="X940" s="112"/>
      <c r="Y940" s="112"/>
      <c r="Z940" s="112"/>
      <c r="AA940" s="15"/>
      <c r="AB940" s="15"/>
      <c r="AC940" s="15"/>
      <c r="AD940" s="15"/>
      <c r="AE940" s="114" t="str">
        <f>IF(NOT(ISBLANK(Audit[[#This Row],[Audit Winning Candidate]])), Audit[[#This Row],[Audit Winning Candidate]]-Audit[[#This Row],[Winning Candidate]], "")</f>
        <v/>
      </c>
      <c r="AF940" s="18" t="str">
        <f>IF(NOT(ISBLANK(Audit[[#This Row],[Audit Losing Candidate]])), Audit[[#This Row],[Audit Losing Candidate]]-Audit[[#This Row],[Losing Candidate]], "")</f>
        <v/>
      </c>
      <c r="AG940" s="18" t="str">
        <f>IF(NOT(ISBLANK(Audit[[#This Row],[Audit Candidate 3]])), Audit[[#This Row],[Audit Candidate 3]]-Audit[[#This Row],[Candidate 3]], "")</f>
        <v/>
      </c>
      <c r="AH940" s="18" t="str">
        <f>IF(NOT(ISBLANK(Audit[[#This Row],[Audit Candidate 4]])),Audit[[#This Row],[Audit Candidate 4]]-Audit[[#This Row],[Candidate 4]], "")</f>
        <v/>
      </c>
      <c r="AI940" s="18" t="str">
        <f>IF(NOT(ISBLANK(Audit[[#This Row],[Audit Candidate 5]])), Audit[[#This Row],[Audit Candidate 5]]-Audit[[#This Row],[Candidate 5]], "")</f>
        <v/>
      </c>
      <c r="AJ940" s="18" t="str">
        <f>IF(NOT(ISBLANK(Audit[[#This Row],[Audit Candidate 6]])), Audit[[#This Row],[Audit Candidate 6]]-Audit[[#This Row],[Candidate 6]], "")</f>
        <v/>
      </c>
      <c r="AK940" s="18" t="str">
        <f>IF(NOT(ISBLANK(Audit[[#This Row],[Audit Candidate 7]])), Audit[[#This Row],[Audit Candidate 7]]-Audit[[#This Row],[Candidate 7]], "")</f>
        <v/>
      </c>
      <c r="AL940" s="18" t="str">
        <f>IF(NOT(ISBLANK(Audit[[#This Row],[Audit Candidate 8]])), Audit[[#This Row],[Audit Candidate 8]]-Audit[[#This Row],[Candidate 8]], "")</f>
        <v/>
      </c>
      <c r="AM940" s="18" t="str">
        <f>IF(NOT(ISBLANK(Audit[[#This Row],[Audit Candidate 9]])), Audit[[#This Row],[Audit Candidate 9]]-Audit[[#This Row],[Candidate 9]], "")</f>
        <v/>
      </c>
      <c r="AN940" s="18" t="str">
        <f>IF(NOT(ISBLANK(Audit[[#This Row],[Audit Candidate 10]])), Audit[[#This Row],[Audit Candidate 10]]-Audit[[#This Row],[Candidate 10]], "")</f>
        <v/>
      </c>
      <c r="AO940" s="18" t="str">
        <f>IF(NOT(ISBLANK(Audit[[#This Row],[Audit Candidate 11]])), Audit[[#This Row],[Audit Candidate 11]]-Audit[[#This Row],[Candidate 11]], "")</f>
        <v/>
      </c>
      <c r="AP940" s="18" t="str">
        <f>IF(NOT(ISBLANK(Audit[[#This Row],[Audit Candidate 12]])), Audit[[#This Row],[Audit Candidate 12]]-Audit[[#This Row],[Candidate 12]], "")</f>
        <v/>
      </c>
      <c r="AQ940" s="18">
        <f>SUMIF(Audit[[#This Row],[Difference Winner]:[Difference Candidate 12]], "&gt;0")</f>
        <v>0</v>
      </c>
      <c r="AR940" s="18">
        <f>SUM(Audit[[#This Row],[Difference Winner]:[Difference Candidate 12]])</f>
        <v>0</v>
      </c>
      <c r="AS940" s="18">
        <f>IF(Audit[[#This Row],[Times p Drawn - With Replacement]]&gt;0, IF(Audit[[#This Row],[Canceled Differences]]&lt;0, Audit[[#This Row],[Max Differences]]+ABS(Audit[[#This Row],[Canceled Differences]]), Audit[[#This Row],[Max Differences]]), 0)</f>
        <v>0</v>
      </c>
      <c r="AT940" s="18">
        <f>'Sampling Data'!AB940</f>
        <v>3.5807393912743036E-3</v>
      </c>
      <c r="AU940" s="18">
        <f>IF(
      SUM(Audit[[#This Row],[Audit Losing Candidate]:[Audit Candidate 12]])
      &lt;&gt;0,
      (Audit[[#This Row],[Winning Candidate]]-Audit[[#This Row],[Losing Candidate]]-(Audit[[#This Row],[Audit Winning Candidate]]-Audit[[#This Row],[Audit Losing Candidate]]))/(Audit[[#Totals],[Winning Candidate]]-Audit[[#Totals],[Losing Candidate]]),
      0
)</f>
        <v>0</v>
      </c>
      <c r="AV9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8">
        <f>IF(Audit[[#This Row],[Max Relative Error (ep)]] = 0, 0, Audit[[#This Row],[Max Relative Error (ep)]]/Audit[[#This Row],[Error Bound (up) - Max. possible relative overstatement]])</f>
        <v>0</v>
      </c>
      <c r="BH9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0" s="18">
        <f t="shared" si="15"/>
        <v>1</v>
      </c>
      <c r="BJ940" s="18">
        <f>PRODUCT($BI$5:BI940)</f>
        <v>0.32656797278968008</v>
      </c>
      <c r="BK940" s="20">
        <f>1 - Audit[[#This Row],[K-M P Value]]</f>
        <v>0.67343202721031992</v>
      </c>
      <c r="BL940" s="18" t="str">
        <f>IF(Audit[[#This Row],[K-M P Value]]&gt;1-'General Info'!$B$12,"Continue", "Stop")</f>
        <v>Continue</v>
      </c>
      <c r="BM940" s="23" t="b">
        <f>IF(Audit[[#This Row],[Status - Continue or stop audit]] = "Continue", TRUE, IF(BL939 = "Continue", TRUE, FALSE))</f>
        <v>1</v>
      </c>
      <c r="BN940" s="23"/>
    </row>
    <row r="941" spans="1:66" ht="15" hidden="1" customHeight="1" x14ac:dyDescent="0.35">
      <c r="A941" s="18" t="str">
        <f>'Sampling Data'!AI941</f>
        <v/>
      </c>
      <c r="B941" s="18" t="str">
        <f>'Sampling Data'!A941</f>
        <v>5926 COLE Z   (ED)</v>
      </c>
      <c r="C941" s="18">
        <f>'Sampling Data'!B941</f>
        <v>59</v>
      </c>
      <c r="D941" s="18">
        <f>'Sampling Data'!C941</f>
        <v>14</v>
      </c>
      <c r="E941" s="19">
        <f>'Sampling Data'!D941</f>
        <v>0</v>
      </c>
      <c r="F941" s="19">
        <f>'Sampling Data'!E941</f>
        <v>0</v>
      </c>
      <c r="G941" s="19">
        <f>'Sampling Data'!F941</f>
        <v>0</v>
      </c>
      <c r="H941" s="19">
        <f>'Sampling Data'!G941</f>
        <v>0</v>
      </c>
      <c r="I941" s="19">
        <f>'Sampling Data'!H941</f>
        <v>0</v>
      </c>
      <c r="J941" s="19">
        <f>'Sampling Data'!I941</f>
        <v>0</v>
      </c>
      <c r="K941" s="19">
        <f>'Sampling Data'!J941</f>
        <v>0</v>
      </c>
      <c r="L941" s="19">
        <f>'Sampling Data'!K941</f>
        <v>0</v>
      </c>
      <c r="M941" s="19">
        <f>'Sampling Data'!L941</f>
        <v>0</v>
      </c>
      <c r="N941" s="19">
        <f>'Sampling Data'!M941</f>
        <v>0</v>
      </c>
      <c r="O941" s="18">
        <f>'Sampling Data'!N941</f>
        <v>0</v>
      </c>
      <c r="P941" s="18">
        <f>'Sampling Data'!O941</f>
        <v>0</v>
      </c>
      <c r="Q941" s="18">
        <f>'Sampling Data'!P941</f>
        <v>73</v>
      </c>
      <c r="R941" s="18">
        <f>'Sampling Data'!AJ941</f>
        <v>0</v>
      </c>
      <c r="S941" s="112"/>
      <c r="T941" s="112"/>
      <c r="U941" s="113"/>
      <c r="V941" s="113"/>
      <c r="W941" s="112"/>
      <c r="X941" s="112"/>
      <c r="Y941" s="112"/>
      <c r="Z941" s="112"/>
      <c r="AA941" s="15"/>
      <c r="AB941" s="15"/>
      <c r="AC941" s="15"/>
      <c r="AD941" s="15"/>
      <c r="AE941" s="114" t="str">
        <f>IF(NOT(ISBLANK(Audit[[#This Row],[Audit Winning Candidate]])), Audit[[#This Row],[Audit Winning Candidate]]-Audit[[#This Row],[Winning Candidate]], "")</f>
        <v/>
      </c>
      <c r="AF941" s="18" t="str">
        <f>IF(NOT(ISBLANK(Audit[[#This Row],[Audit Losing Candidate]])), Audit[[#This Row],[Audit Losing Candidate]]-Audit[[#This Row],[Losing Candidate]], "")</f>
        <v/>
      </c>
      <c r="AG941" s="18" t="str">
        <f>IF(NOT(ISBLANK(Audit[[#This Row],[Audit Candidate 3]])), Audit[[#This Row],[Audit Candidate 3]]-Audit[[#This Row],[Candidate 3]], "")</f>
        <v/>
      </c>
      <c r="AH941" s="18" t="str">
        <f>IF(NOT(ISBLANK(Audit[[#This Row],[Audit Candidate 4]])),Audit[[#This Row],[Audit Candidate 4]]-Audit[[#This Row],[Candidate 4]], "")</f>
        <v/>
      </c>
      <c r="AI941" s="18" t="str">
        <f>IF(NOT(ISBLANK(Audit[[#This Row],[Audit Candidate 5]])), Audit[[#This Row],[Audit Candidate 5]]-Audit[[#This Row],[Candidate 5]], "")</f>
        <v/>
      </c>
      <c r="AJ941" s="18" t="str">
        <f>IF(NOT(ISBLANK(Audit[[#This Row],[Audit Candidate 6]])), Audit[[#This Row],[Audit Candidate 6]]-Audit[[#This Row],[Candidate 6]], "")</f>
        <v/>
      </c>
      <c r="AK941" s="18" t="str">
        <f>IF(NOT(ISBLANK(Audit[[#This Row],[Audit Candidate 7]])), Audit[[#This Row],[Audit Candidate 7]]-Audit[[#This Row],[Candidate 7]], "")</f>
        <v/>
      </c>
      <c r="AL941" s="18" t="str">
        <f>IF(NOT(ISBLANK(Audit[[#This Row],[Audit Candidate 8]])), Audit[[#This Row],[Audit Candidate 8]]-Audit[[#This Row],[Candidate 8]], "")</f>
        <v/>
      </c>
      <c r="AM941" s="18" t="str">
        <f>IF(NOT(ISBLANK(Audit[[#This Row],[Audit Candidate 9]])), Audit[[#This Row],[Audit Candidate 9]]-Audit[[#This Row],[Candidate 9]], "")</f>
        <v/>
      </c>
      <c r="AN941" s="18" t="str">
        <f>IF(NOT(ISBLANK(Audit[[#This Row],[Audit Candidate 10]])), Audit[[#This Row],[Audit Candidate 10]]-Audit[[#This Row],[Candidate 10]], "")</f>
        <v/>
      </c>
      <c r="AO941" s="18" t="str">
        <f>IF(NOT(ISBLANK(Audit[[#This Row],[Audit Candidate 11]])), Audit[[#This Row],[Audit Candidate 11]]-Audit[[#This Row],[Candidate 11]], "")</f>
        <v/>
      </c>
      <c r="AP941" s="18" t="str">
        <f>IF(NOT(ISBLANK(Audit[[#This Row],[Audit Candidate 12]])), Audit[[#This Row],[Audit Candidate 12]]-Audit[[#This Row],[Candidate 12]], "")</f>
        <v/>
      </c>
      <c r="AQ941" s="18">
        <f>SUMIF(Audit[[#This Row],[Difference Winner]:[Difference Candidate 12]], "&gt;0")</f>
        <v>0</v>
      </c>
      <c r="AR941" s="18">
        <f>SUM(Audit[[#This Row],[Difference Winner]:[Difference Candidate 12]])</f>
        <v>0</v>
      </c>
      <c r="AS941" s="18">
        <f>IF(Audit[[#This Row],[Times p Drawn - With Replacement]]&gt;0, IF(Audit[[#This Row],[Canceled Differences]]&lt;0, Audit[[#This Row],[Max Differences]]+ABS(Audit[[#This Row],[Canceled Differences]]), Audit[[#This Row],[Max Differences]]), 0)</f>
        <v>0</v>
      </c>
      <c r="AT941" s="18">
        <f>'Sampling Data'!AB941</f>
        <v>3.7063793699155072E-3</v>
      </c>
      <c r="AU941" s="18">
        <f>IF(
      SUM(Audit[[#This Row],[Audit Losing Candidate]:[Audit Candidate 12]])
      &lt;&gt;0,
      (Audit[[#This Row],[Winning Candidate]]-Audit[[#This Row],[Losing Candidate]]-(Audit[[#This Row],[Audit Winning Candidate]]-Audit[[#This Row],[Audit Losing Candidate]]))/(Audit[[#Totals],[Winning Candidate]]-Audit[[#Totals],[Losing Candidate]]),
      0
)</f>
        <v>0</v>
      </c>
      <c r="AV9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8">
        <f>IF(Audit[[#This Row],[Max Relative Error (ep)]] = 0, 0, Audit[[#This Row],[Max Relative Error (ep)]]/Audit[[#This Row],[Error Bound (up) - Max. possible relative overstatement]])</f>
        <v>0</v>
      </c>
      <c r="BH9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1" s="18">
        <f t="shared" si="15"/>
        <v>1</v>
      </c>
      <c r="BJ941" s="18">
        <f>PRODUCT($BI$5:BI941)</f>
        <v>0.32656797278968008</v>
      </c>
      <c r="BK941" s="20">
        <f>1 - Audit[[#This Row],[K-M P Value]]</f>
        <v>0.67343202721031992</v>
      </c>
      <c r="BL941" s="18" t="str">
        <f>IF(Audit[[#This Row],[K-M P Value]]&gt;1-'General Info'!$B$12,"Continue", "Stop")</f>
        <v>Continue</v>
      </c>
      <c r="BM941" s="23" t="b">
        <f>IF(Audit[[#This Row],[Status - Continue or stop audit]] = "Continue", TRUE, IF(BL940 = "Continue", TRUE, FALSE))</f>
        <v>1</v>
      </c>
      <c r="BN941" s="23"/>
    </row>
    <row r="942" spans="1:66" ht="15" hidden="1" customHeight="1" x14ac:dyDescent="0.35">
      <c r="A942" s="18" t="str">
        <f>'Sampling Data'!AI942</f>
        <v/>
      </c>
      <c r="B942" s="18" t="str">
        <f>'Sampling Data'!A942</f>
        <v>5927 COLE AA   (ED)</v>
      </c>
      <c r="C942" s="18">
        <f>'Sampling Data'!B942</f>
        <v>130</v>
      </c>
      <c r="D942" s="18">
        <f>'Sampling Data'!C942</f>
        <v>4</v>
      </c>
      <c r="E942" s="19">
        <f>'Sampling Data'!D942</f>
        <v>0</v>
      </c>
      <c r="F942" s="19">
        <f>'Sampling Data'!E942</f>
        <v>0</v>
      </c>
      <c r="G942" s="19">
        <f>'Sampling Data'!F942</f>
        <v>0</v>
      </c>
      <c r="H942" s="19">
        <f>'Sampling Data'!G942</f>
        <v>0</v>
      </c>
      <c r="I942" s="19">
        <f>'Sampling Data'!H942</f>
        <v>0</v>
      </c>
      <c r="J942" s="19">
        <f>'Sampling Data'!I942</f>
        <v>0</v>
      </c>
      <c r="K942" s="19">
        <f>'Sampling Data'!J942</f>
        <v>0</v>
      </c>
      <c r="L942" s="19">
        <f>'Sampling Data'!K942</f>
        <v>0</v>
      </c>
      <c r="M942" s="19">
        <f>'Sampling Data'!L942</f>
        <v>0</v>
      </c>
      <c r="N942" s="19">
        <f>'Sampling Data'!M942</f>
        <v>0</v>
      </c>
      <c r="O942" s="18">
        <f>'Sampling Data'!N942</f>
        <v>0</v>
      </c>
      <c r="P942" s="18">
        <f>'Sampling Data'!O942</f>
        <v>3</v>
      </c>
      <c r="Q942" s="18">
        <f>'Sampling Data'!P942</f>
        <v>137</v>
      </c>
      <c r="R942" s="18">
        <f>'Sampling Data'!AJ942</f>
        <v>0</v>
      </c>
      <c r="S942" s="112"/>
      <c r="T942" s="112"/>
      <c r="U942" s="113"/>
      <c r="V942" s="113"/>
      <c r="W942" s="112"/>
      <c r="X942" s="112"/>
      <c r="Y942" s="112"/>
      <c r="Z942" s="112"/>
      <c r="AA942" s="15"/>
      <c r="AB942" s="15"/>
      <c r="AC942" s="15"/>
      <c r="AD942" s="15"/>
      <c r="AE942" s="114" t="str">
        <f>IF(NOT(ISBLANK(Audit[[#This Row],[Audit Winning Candidate]])), Audit[[#This Row],[Audit Winning Candidate]]-Audit[[#This Row],[Winning Candidate]], "")</f>
        <v/>
      </c>
      <c r="AF942" s="18" t="str">
        <f>IF(NOT(ISBLANK(Audit[[#This Row],[Audit Losing Candidate]])), Audit[[#This Row],[Audit Losing Candidate]]-Audit[[#This Row],[Losing Candidate]], "")</f>
        <v/>
      </c>
      <c r="AG942" s="18" t="str">
        <f>IF(NOT(ISBLANK(Audit[[#This Row],[Audit Candidate 3]])), Audit[[#This Row],[Audit Candidate 3]]-Audit[[#This Row],[Candidate 3]], "")</f>
        <v/>
      </c>
      <c r="AH942" s="18" t="str">
        <f>IF(NOT(ISBLANK(Audit[[#This Row],[Audit Candidate 4]])),Audit[[#This Row],[Audit Candidate 4]]-Audit[[#This Row],[Candidate 4]], "")</f>
        <v/>
      </c>
      <c r="AI942" s="18" t="str">
        <f>IF(NOT(ISBLANK(Audit[[#This Row],[Audit Candidate 5]])), Audit[[#This Row],[Audit Candidate 5]]-Audit[[#This Row],[Candidate 5]], "")</f>
        <v/>
      </c>
      <c r="AJ942" s="18" t="str">
        <f>IF(NOT(ISBLANK(Audit[[#This Row],[Audit Candidate 6]])), Audit[[#This Row],[Audit Candidate 6]]-Audit[[#This Row],[Candidate 6]], "")</f>
        <v/>
      </c>
      <c r="AK942" s="18" t="str">
        <f>IF(NOT(ISBLANK(Audit[[#This Row],[Audit Candidate 7]])), Audit[[#This Row],[Audit Candidate 7]]-Audit[[#This Row],[Candidate 7]], "")</f>
        <v/>
      </c>
      <c r="AL942" s="18" t="str">
        <f>IF(NOT(ISBLANK(Audit[[#This Row],[Audit Candidate 8]])), Audit[[#This Row],[Audit Candidate 8]]-Audit[[#This Row],[Candidate 8]], "")</f>
        <v/>
      </c>
      <c r="AM942" s="18" t="str">
        <f>IF(NOT(ISBLANK(Audit[[#This Row],[Audit Candidate 9]])), Audit[[#This Row],[Audit Candidate 9]]-Audit[[#This Row],[Candidate 9]], "")</f>
        <v/>
      </c>
      <c r="AN942" s="18" t="str">
        <f>IF(NOT(ISBLANK(Audit[[#This Row],[Audit Candidate 10]])), Audit[[#This Row],[Audit Candidate 10]]-Audit[[#This Row],[Candidate 10]], "")</f>
        <v/>
      </c>
      <c r="AO942" s="18" t="str">
        <f>IF(NOT(ISBLANK(Audit[[#This Row],[Audit Candidate 11]])), Audit[[#This Row],[Audit Candidate 11]]-Audit[[#This Row],[Candidate 11]], "")</f>
        <v/>
      </c>
      <c r="AP942" s="18" t="str">
        <f>IF(NOT(ISBLANK(Audit[[#This Row],[Audit Candidate 12]])), Audit[[#This Row],[Audit Candidate 12]]-Audit[[#This Row],[Candidate 12]], "")</f>
        <v/>
      </c>
      <c r="AQ942" s="18">
        <f>SUMIF(Audit[[#This Row],[Difference Winner]:[Difference Candidate 12]], "&gt;0")</f>
        <v>0</v>
      </c>
      <c r="AR942" s="18">
        <f>SUM(Audit[[#This Row],[Difference Winner]:[Difference Candidate 12]])</f>
        <v>0</v>
      </c>
      <c r="AS942" s="18">
        <f>IF(Audit[[#This Row],[Times p Drawn - With Replacement]]&gt;0, IF(Audit[[#This Row],[Canceled Differences]]&lt;0, Audit[[#This Row],[Max Differences]]+ABS(Audit[[#This Row],[Canceled Differences]]), Audit[[#This Row],[Max Differences]]), 0)</f>
        <v>0</v>
      </c>
      <c r="AT942" s="18">
        <f>'Sampling Data'!AB942</f>
        <v>8.2608285956591379E-3</v>
      </c>
      <c r="AU942" s="18">
        <f>IF(
      SUM(Audit[[#This Row],[Audit Losing Candidate]:[Audit Candidate 12]])
      &lt;&gt;0,
      (Audit[[#This Row],[Winning Candidate]]-Audit[[#This Row],[Losing Candidate]]-(Audit[[#This Row],[Audit Winning Candidate]]-Audit[[#This Row],[Audit Losing Candidate]]))/(Audit[[#Totals],[Winning Candidate]]-Audit[[#Totals],[Losing Candidate]]),
      0
)</f>
        <v>0</v>
      </c>
      <c r="AV9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8">
        <f>IF(Audit[[#This Row],[Max Relative Error (ep)]] = 0, 0, Audit[[#This Row],[Max Relative Error (ep)]]/Audit[[#This Row],[Error Bound (up) - Max. possible relative overstatement]])</f>
        <v>0</v>
      </c>
      <c r="BH9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2" s="18">
        <f t="shared" si="15"/>
        <v>1</v>
      </c>
      <c r="BJ942" s="18">
        <f>PRODUCT($BI$5:BI942)</f>
        <v>0.32656797278968008</v>
      </c>
      <c r="BK942" s="20">
        <f>1 - Audit[[#This Row],[K-M P Value]]</f>
        <v>0.67343202721031992</v>
      </c>
      <c r="BL942" s="18" t="str">
        <f>IF(Audit[[#This Row],[K-M P Value]]&gt;1-'General Info'!$B$12,"Continue", "Stop")</f>
        <v>Continue</v>
      </c>
      <c r="BM942" s="23" t="b">
        <f>IF(Audit[[#This Row],[Status - Continue or stop audit]] = "Continue", TRUE, IF(BL941 = "Continue", TRUE, FALSE))</f>
        <v>1</v>
      </c>
      <c r="BN942" s="23"/>
    </row>
    <row r="943" spans="1:66" ht="15" hidden="1" customHeight="1" x14ac:dyDescent="0.35">
      <c r="A943" s="18" t="str">
        <f>'Sampling Data'!AI943</f>
        <v/>
      </c>
      <c r="B943" s="18" t="str">
        <f>'Sampling Data'!A943</f>
        <v>5928 COLE BB   (ED)</v>
      </c>
      <c r="C943" s="18">
        <f>'Sampling Data'!B943</f>
        <v>121</v>
      </c>
      <c r="D943" s="18">
        <f>'Sampling Data'!C943</f>
        <v>12</v>
      </c>
      <c r="E943" s="19">
        <f>'Sampling Data'!D943</f>
        <v>0</v>
      </c>
      <c r="F943" s="19">
        <f>'Sampling Data'!E943</f>
        <v>0</v>
      </c>
      <c r="G943" s="19">
        <f>'Sampling Data'!F943</f>
        <v>0</v>
      </c>
      <c r="H943" s="19">
        <f>'Sampling Data'!G943</f>
        <v>0</v>
      </c>
      <c r="I943" s="19">
        <f>'Sampling Data'!H943</f>
        <v>0</v>
      </c>
      <c r="J943" s="19">
        <f>'Sampling Data'!I943</f>
        <v>0</v>
      </c>
      <c r="K943" s="19">
        <f>'Sampling Data'!J943</f>
        <v>0</v>
      </c>
      <c r="L943" s="19">
        <f>'Sampling Data'!K943</f>
        <v>0</v>
      </c>
      <c r="M943" s="19">
        <f>'Sampling Data'!L943</f>
        <v>0</v>
      </c>
      <c r="N943" s="19">
        <f>'Sampling Data'!M943</f>
        <v>0</v>
      </c>
      <c r="O943" s="18">
        <f>'Sampling Data'!N943</f>
        <v>0</v>
      </c>
      <c r="P943" s="18">
        <f>'Sampling Data'!O943</f>
        <v>1</v>
      </c>
      <c r="Q943" s="18">
        <f>'Sampling Data'!P943</f>
        <v>134</v>
      </c>
      <c r="R943" s="18">
        <f>'Sampling Data'!AJ943</f>
        <v>0</v>
      </c>
      <c r="S943" s="112"/>
      <c r="T943" s="112"/>
      <c r="U943" s="113"/>
      <c r="V943" s="113"/>
      <c r="W943" s="112"/>
      <c r="X943" s="112"/>
      <c r="Y943" s="112"/>
      <c r="Z943" s="112"/>
      <c r="AA943" s="15"/>
      <c r="AB943" s="15"/>
      <c r="AC943" s="15"/>
      <c r="AD943" s="15"/>
      <c r="AE943" s="114" t="str">
        <f>IF(NOT(ISBLANK(Audit[[#This Row],[Audit Winning Candidate]])), Audit[[#This Row],[Audit Winning Candidate]]-Audit[[#This Row],[Winning Candidate]], "")</f>
        <v/>
      </c>
      <c r="AF943" s="18" t="str">
        <f>IF(NOT(ISBLANK(Audit[[#This Row],[Audit Losing Candidate]])), Audit[[#This Row],[Audit Losing Candidate]]-Audit[[#This Row],[Losing Candidate]], "")</f>
        <v/>
      </c>
      <c r="AG943" s="18" t="str">
        <f>IF(NOT(ISBLANK(Audit[[#This Row],[Audit Candidate 3]])), Audit[[#This Row],[Audit Candidate 3]]-Audit[[#This Row],[Candidate 3]], "")</f>
        <v/>
      </c>
      <c r="AH943" s="18" t="str">
        <f>IF(NOT(ISBLANK(Audit[[#This Row],[Audit Candidate 4]])),Audit[[#This Row],[Audit Candidate 4]]-Audit[[#This Row],[Candidate 4]], "")</f>
        <v/>
      </c>
      <c r="AI943" s="18" t="str">
        <f>IF(NOT(ISBLANK(Audit[[#This Row],[Audit Candidate 5]])), Audit[[#This Row],[Audit Candidate 5]]-Audit[[#This Row],[Candidate 5]], "")</f>
        <v/>
      </c>
      <c r="AJ943" s="18" t="str">
        <f>IF(NOT(ISBLANK(Audit[[#This Row],[Audit Candidate 6]])), Audit[[#This Row],[Audit Candidate 6]]-Audit[[#This Row],[Candidate 6]], "")</f>
        <v/>
      </c>
      <c r="AK943" s="18" t="str">
        <f>IF(NOT(ISBLANK(Audit[[#This Row],[Audit Candidate 7]])), Audit[[#This Row],[Audit Candidate 7]]-Audit[[#This Row],[Candidate 7]], "")</f>
        <v/>
      </c>
      <c r="AL943" s="18" t="str">
        <f>IF(NOT(ISBLANK(Audit[[#This Row],[Audit Candidate 8]])), Audit[[#This Row],[Audit Candidate 8]]-Audit[[#This Row],[Candidate 8]], "")</f>
        <v/>
      </c>
      <c r="AM943" s="18" t="str">
        <f>IF(NOT(ISBLANK(Audit[[#This Row],[Audit Candidate 9]])), Audit[[#This Row],[Audit Candidate 9]]-Audit[[#This Row],[Candidate 9]], "")</f>
        <v/>
      </c>
      <c r="AN943" s="18" t="str">
        <f>IF(NOT(ISBLANK(Audit[[#This Row],[Audit Candidate 10]])), Audit[[#This Row],[Audit Candidate 10]]-Audit[[#This Row],[Candidate 10]], "")</f>
        <v/>
      </c>
      <c r="AO943" s="18" t="str">
        <f>IF(NOT(ISBLANK(Audit[[#This Row],[Audit Candidate 11]])), Audit[[#This Row],[Audit Candidate 11]]-Audit[[#This Row],[Candidate 11]], "")</f>
        <v/>
      </c>
      <c r="AP943" s="18" t="str">
        <f>IF(NOT(ISBLANK(Audit[[#This Row],[Audit Candidate 12]])), Audit[[#This Row],[Audit Candidate 12]]-Audit[[#This Row],[Candidate 12]], "")</f>
        <v/>
      </c>
      <c r="AQ943" s="18">
        <f>SUMIF(Audit[[#This Row],[Difference Winner]:[Difference Candidate 12]], "&gt;0")</f>
        <v>0</v>
      </c>
      <c r="AR943" s="18">
        <f>SUM(Audit[[#This Row],[Difference Winner]:[Difference Candidate 12]])</f>
        <v>0</v>
      </c>
      <c r="AS943" s="18">
        <f>IF(Audit[[#This Row],[Times p Drawn - With Replacement]]&gt;0, IF(Audit[[#This Row],[Canceled Differences]]&lt;0, Audit[[#This Row],[Max Differences]]+ABS(Audit[[#This Row],[Canceled Differences]]), Audit[[#This Row],[Max Differences]]), 0)</f>
        <v>0</v>
      </c>
      <c r="AT943" s="18">
        <f>'Sampling Data'!AB943</f>
        <v>7.6326287024531207E-3</v>
      </c>
      <c r="AU943" s="18">
        <f>IF(
      SUM(Audit[[#This Row],[Audit Losing Candidate]:[Audit Candidate 12]])
      &lt;&gt;0,
      (Audit[[#This Row],[Winning Candidate]]-Audit[[#This Row],[Losing Candidate]]-(Audit[[#This Row],[Audit Winning Candidate]]-Audit[[#This Row],[Audit Losing Candidate]]))/(Audit[[#Totals],[Winning Candidate]]-Audit[[#Totals],[Losing Candidate]]),
      0
)</f>
        <v>0</v>
      </c>
      <c r="AV9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8">
        <f>IF(Audit[[#This Row],[Max Relative Error (ep)]] = 0, 0, Audit[[#This Row],[Max Relative Error (ep)]]/Audit[[#This Row],[Error Bound (up) - Max. possible relative overstatement]])</f>
        <v>0</v>
      </c>
      <c r="BH9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3" s="18">
        <f t="shared" si="15"/>
        <v>1</v>
      </c>
      <c r="BJ943" s="18">
        <f>PRODUCT($BI$5:BI943)</f>
        <v>0.32656797278968008</v>
      </c>
      <c r="BK943" s="20">
        <f>1 - Audit[[#This Row],[K-M P Value]]</f>
        <v>0.67343202721031992</v>
      </c>
      <c r="BL943" s="18" t="str">
        <f>IF(Audit[[#This Row],[K-M P Value]]&gt;1-'General Info'!$B$12,"Continue", "Stop")</f>
        <v>Continue</v>
      </c>
      <c r="BM943" s="23" t="b">
        <f>IF(Audit[[#This Row],[Status - Continue or stop audit]] = "Continue", TRUE, IF(BL942 = "Continue", TRUE, FALSE))</f>
        <v>1</v>
      </c>
      <c r="BN943" s="23"/>
    </row>
    <row r="944" spans="1:66" ht="15" hidden="1" customHeight="1" x14ac:dyDescent="0.35">
      <c r="A944" s="18" t="str">
        <f>'Sampling Data'!AI944</f>
        <v/>
      </c>
      <c r="B944" s="18" t="str">
        <f>'Sampling Data'!A944</f>
        <v>5929 COLE CC   (ED)</v>
      </c>
      <c r="C944" s="18">
        <f>'Sampling Data'!B944</f>
        <v>44</v>
      </c>
      <c r="D944" s="18">
        <f>'Sampling Data'!C944</f>
        <v>5</v>
      </c>
      <c r="E944" s="19">
        <f>'Sampling Data'!D944</f>
        <v>0</v>
      </c>
      <c r="F944" s="19">
        <f>'Sampling Data'!E944</f>
        <v>0</v>
      </c>
      <c r="G944" s="19">
        <f>'Sampling Data'!F944</f>
        <v>0</v>
      </c>
      <c r="H944" s="19">
        <f>'Sampling Data'!G944</f>
        <v>0</v>
      </c>
      <c r="I944" s="19">
        <f>'Sampling Data'!H944</f>
        <v>0</v>
      </c>
      <c r="J944" s="19">
        <f>'Sampling Data'!I944</f>
        <v>0</v>
      </c>
      <c r="K944" s="19">
        <f>'Sampling Data'!J944</f>
        <v>0</v>
      </c>
      <c r="L944" s="19">
        <f>'Sampling Data'!K944</f>
        <v>0</v>
      </c>
      <c r="M944" s="19">
        <f>'Sampling Data'!L944</f>
        <v>0</v>
      </c>
      <c r="N944" s="19">
        <f>'Sampling Data'!M944</f>
        <v>0</v>
      </c>
      <c r="O944" s="18">
        <f>'Sampling Data'!N944</f>
        <v>0</v>
      </c>
      <c r="P944" s="18">
        <f>'Sampling Data'!O944</f>
        <v>1</v>
      </c>
      <c r="Q944" s="18">
        <f>'Sampling Data'!P944</f>
        <v>50</v>
      </c>
      <c r="R944" s="18">
        <f>'Sampling Data'!AJ944</f>
        <v>0</v>
      </c>
      <c r="S944" s="112"/>
      <c r="T944" s="112"/>
      <c r="U944" s="113"/>
      <c r="V944" s="113"/>
      <c r="W944" s="112"/>
      <c r="X944" s="112"/>
      <c r="Y944" s="112"/>
      <c r="Z944" s="112"/>
      <c r="AA944" s="15"/>
      <c r="AB944" s="15"/>
      <c r="AC944" s="15"/>
      <c r="AD944" s="15"/>
      <c r="AE944" s="114" t="str">
        <f>IF(NOT(ISBLANK(Audit[[#This Row],[Audit Winning Candidate]])), Audit[[#This Row],[Audit Winning Candidate]]-Audit[[#This Row],[Winning Candidate]], "")</f>
        <v/>
      </c>
      <c r="AF944" s="18" t="str">
        <f>IF(NOT(ISBLANK(Audit[[#This Row],[Audit Losing Candidate]])), Audit[[#This Row],[Audit Losing Candidate]]-Audit[[#This Row],[Losing Candidate]], "")</f>
        <v/>
      </c>
      <c r="AG944" s="18" t="str">
        <f>IF(NOT(ISBLANK(Audit[[#This Row],[Audit Candidate 3]])), Audit[[#This Row],[Audit Candidate 3]]-Audit[[#This Row],[Candidate 3]], "")</f>
        <v/>
      </c>
      <c r="AH944" s="18" t="str">
        <f>IF(NOT(ISBLANK(Audit[[#This Row],[Audit Candidate 4]])),Audit[[#This Row],[Audit Candidate 4]]-Audit[[#This Row],[Candidate 4]], "")</f>
        <v/>
      </c>
      <c r="AI944" s="18" t="str">
        <f>IF(NOT(ISBLANK(Audit[[#This Row],[Audit Candidate 5]])), Audit[[#This Row],[Audit Candidate 5]]-Audit[[#This Row],[Candidate 5]], "")</f>
        <v/>
      </c>
      <c r="AJ944" s="18" t="str">
        <f>IF(NOT(ISBLANK(Audit[[#This Row],[Audit Candidate 6]])), Audit[[#This Row],[Audit Candidate 6]]-Audit[[#This Row],[Candidate 6]], "")</f>
        <v/>
      </c>
      <c r="AK944" s="18" t="str">
        <f>IF(NOT(ISBLANK(Audit[[#This Row],[Audit Candidate 7]])), Audit[[#This Row],[Audit Candidate 7]]-Audit[[#This Row],[Candidate 7]], "")</f>
        <v/>
      </c>
      <c r="AL944" s="18" t="str">
        <f>IF(NOT(ISBLANK(Audit[[#This Row],[Audit Candidate 8]])), Audit[[#This Row],[Audit Candidate 8]]-Audit[[#This Row],[Candidate 8]], "")</f>
        <v/>
      </c>
      <c r="AM944" s="18" t="str">
        <f>IF(NOT(ISBLANK(Audit[[#This Row],[Audit Candidate 9]])), Audit[[#This Row],[Audit Candidate 9]]-Audit[[#This Row],[Candidate 9]], "")</f>
        <v/>
      </c>
      <c r="AN944" s="18" t="str">
        <f>IF(NOT(ISBLANK(Audit[[#This Row],[Audit Candidate 10]])), Audit[[#This Row],[Audit Candidate 10]]-Audit[[#This Row],[Candidate 10]], "")</f>
        <v/>
      </c>
      <c r="AO944" s="18" t="str">
        <f>IF(NOT(ISBLANK(Audit[[#This Row],[Audit Candidate 11]])), Audit[[#This Row],[Audit Candidate 11]]-Audit[[#This Row],[Candidate 11]], "")</f>
        <v/>
      </c>
      <c r="AP944" s="18" t="str">
        <f>IF(NOT(ISBLANK(Audit[[#This Row],[Audit Candidate 12]])), Audit[[#This Row],[Audit Candidate 12]]-Audit[[#This Row],[Candidate 12]], "")</f>
        <v/>
      </c>
      <c r="AQ944" s="18">
        <f>SUMIF(Audit[[#This Row],[Difference Winner]:[Difference Candidate 12]], "&gt;0")</f>
        <v>0</v>
      </c>
      <c r="AR944" s="18">
        <f>SUM(Audit[[#This Row],[Difference Winner]:[Difference Candidate 12]])</f>
        <v>0</v>
      </c>
      <c r="AS944" s="18">
        <f>IF(Audit[[#This Row],[Times p Drawn - With Replacement]]&gt;0, IF(Audit[[#This Row],[Canceled Differences]]&lt;0, Audit[[#This Row],[Max Differences]]+ABS(Audit[[#This Row],[Canceled Differences]]), Audit[[#This Row],[Max Differences]]), 0)</f>
        <v>0</v>
      </c>
      <c r="AT944" s="18">
        <f>'Sampling Data'!AB944</f>
        <v>2.7954895247667808E-3</v>
      </c>
      <c r="AU944" s="18">
        <f>IF(
      SUM(Audit[[#This Row],[Audit Losing Candidate]:[Audit Candidate 12]])
      &lt;&gt;0,
      (Audit[[#This Row],[Winning Candidate]]-Audit[[#This Row],[Losing Candidate]]-(Audit[[#This Row],[Audit Winning Candidate]]-Audit[[#This Row],[Audit Losing Candidate]]))/(Audit[[#Totals],[Winning Candidate]]-Audit[[#Totals],[Losing Candidate]]),
      0
)</f>
        <v>0</v>
      </c>
      <c r="AV9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8">
        <f>IF(Audit[[#This Row],[Max Relative Error (ep)]] = 0, 0, Audit[[#This Row],[Max Relative Error (ep)]]/Audit[[#This Row],[Error Bound (up) - Max. possible relative overstatement]])</f>
        <v>0</v>
      </c>
      <c r="BH9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4" s="18">
        <f t="shared" si="15"/>
        <v>1</v>
      </c>
      <c r="BJ944" s="18">
        <f>PRODUCT($BI$5:BI944)</f>
        <v>0.32656797278968008</v>
      </c>
      <c r="BK944" s="20">
        <f>1 - Audit[[#This Row],[K-M P Value]]</f>
        <v>0.67343202721031992</v>
      </c>
      <c r="BL944" s="18" t="str">
        <f>IF(Audit[[#This Row],[K-M P Value]]&gt;1-'General Info'!$B$12,"Continue", "Stop")</f>
        <v>Continue</v>
      </c>
      <c r="BM944" s="23" t="b">
        <f>IF(Audit[[#This Row],[Status - Continue or stop audit]] = "Continue", TRUE, IF(BL943 = "Continue", TRUE, FALSE))</f>
        <v>1</v>
      </c>
      <c r="BN944" s="23"/>
    </row>
    <row r="945" spans="1:66" ht="15" hidden="1" customHeight="1" x14ac:dyDescent="0.35">
      <c r="A945" s="18" t="str">
        <f>'Sampling Data'!AI945</f>
        <v/>
      </c>
      <c r="B945" s="18" t="str">
        <f>'Sampling Data'!A945</f>
        <v>5930 COLE DD   (ED)</v>
      </c>
      <c r="C945" s="18">
        <f>'Sampling Data'!B945</f>
        <v>13</v>
      </c>
      <c r="D945" s="18">
        <f>'Sampling Data'!C945</f>
        <v>0</v>
      </c>
      <c r="E945" s="19">
        <f>'Sampling Data'!D945</f>
        <v>0</v>
      </c>
      <c r="F945" s="19">
        <f>'Sampling Data'!E945</f>
        <v>0</v>
      </c>
      <c r="G945" s="19">
        <f>'Sampling Data'!F945</f>
        <v>0</v>
      </c>
      <c r="H945" s="19">
        <f>'Sampling Data'!G945</f>
        <v>0</v>
      </c>
      <c r="I945" s="19">
        <f>'Sampling Data'!H945</f>
        <v>0</v>
      </c>
      <c r="J945" s="19">
        <f>'Sampling Data'!I945</f>
        <v>0</v>
      </c>
      <c r="K945" s="19">
        <f>'Sampling Data'!J945</f>
        <v>0</v>
      </c>
      <c r="L945" s="19">
        <f>'Sampling Data'!K945</f>
        <v>0</v>
      </c>
      <c r="M945" s="19">
        <f>'Sampling Data'!L945</f>
        <v>0</v>
      </c>
      <c r="N945" s="19">
        <f>'Sampling Data'!M945</f>
        <v>0</v>
      </c>
      <c r="O945" s="18">
        <f>'Sampling Data'!N945</f>
        <v>0</v>
      </c>
      <c r="P945" s="18">
        <f>'Sampling Data'!O945</f>
        <v>0</v>
      </c>
      <c r="Q945" s="18">
        <f>'Sampling Data'!P945</f>
        <v>13</v>
      </c>
      <c r="R945" s="18">
        <f>'Sampling Data'!AJ945</f>
        <v>0</v>
      </c>
      <c r="S945" s="112"/>
      <c r="T945" s="112"/>
      <c r="U945" s="113"/>
      <c r="V945" s="113"/>
      <c r="W945" s="112"/>
      <c r="X945" s="112"/>
      <c r="Y945" s="112"/>
      <c r="Z945" s="112"/>
      <c r="AA945" s="15"/>
      <c r="AB945" s="15"/>
      <c r="AC945" s="15"/>
      <c r="AD945" s="15"/>
      <c r="AE945" s="114" t="str">
        <f>IF(NOT(ISBLANK(Audit[[#This Row],[Audit Winning Candidate]])), Audit[[#This Row],[Audit Winning Candidate]]-Audit[[#This Row],[Winning Candidate]], "")</f>
        <v/>
      </c>
      <c r="AF945" s="18" t="str">
        <f>IF(NOT(ISBLANK(Audit[[#This Row],[Audit Losing Candidate]])), Audit[[#This Row],[Audit Losing Candidate]]-Audit[[#This Row],[Losing Candidate]], "")</f>
        <v/>
      </c>
      <c r="AG945" s="18" t="str">
        <f>IF(NOT(ISBLANK(Audit[[#This Row],[Audit Candidate 3]])), Audit[[#This Row],[Audit Candidate 3]]-Audit[[#This Row],[Candidate 3]], "")</f>
        <v/>
      </c>
      <c r="AH945" s="18" t="str">
        <f>IF(NOT(ISBLANK(Audit[[#This Row],[Audit Candidate 4]])),Audit[[#This Row],[Audit Candidate 4]]-Audit[[#This Row],[Candidate 4]], "")</f>
        <v/>
      </c>
      <c r="AI945" s="18" t="str">
        <f>IF(NOT(ISBLANK(Audit[[#This Row],[Audit Candidate 5]])), Audit[[#This Row],[Audit Candidate 5]]-Audit[[#This Row],[Candidate 5]], "")</f>
        <v/>
      </c>
      <c r="AJ945" s="18" t="str">
        <f>IF(NOT(ISBLANK(Audit[[#This Row],[Audit Candidate 6]])), Audit[[#This Row],[Audit Candidate 6]]-Audit[[#This Row],[Candidate 6]], "")</f>
        <v/>
      </c>
      <c r="AK945" s="18" t="str">
        <f>IF(NOT(ISBLANK(Audit[[#This Row],[Audit Candidate 7]])), Audit[[#This Row],[Audit Candidate 7]]-Audit[[#This Row],[Candidate 7]], "")</f>
        <v/>
      </c>
      <c r="AL945" s="18" t="str">
        <f>IF(NOT(ISBLANK(Audit[[#This Row],[Audit Candidate 8]])), Audit[[#This Row],[Audit Candidate 8]]-Audit[[#This Row],[Candidate 8]], "")</f>
        <v/>
      </c>
      <c r="AM945" s="18" t="str">
        <f>IF(NOT(ISBLANK(Audit[[#This Row],[Audit Candidate 9]])), Audit[[#This Row],[Audit Candidate 9]]-Audit[[#This Row],[Candidate 9]], "")</f>
        <v/>
      </c>
      <c r="AN945" s="18" t="str">
        <f>IF(NOT(ISBLANK(Audit[[#This Row],[Audit Candidate 10]])), Audit[[#This Row],[Audit Candidate 10]]-Audit[[#This Row],[Candidate 10]], "")</f>
        <v/>
      </c>
      <c r="AO945" s="18" t="str">
        <f>IF(NOT(ISBLANK(Audit[[#This Row],[Audit Candidate 11]])), Audit[[#This Row],[Audit Candidate 11]]-Audit[[#This Row],[Candidate 11]], "")</f>
        <v/>
      </c>
      <c r="AP945" s="18" t="str">
        <f>IF(NOT(ISBLANK(Audit[[#This Row],[Audit Candidate 12]])), Audit[[#This Row],[Audit Candidate 12]]-Audit[[#This Row],[Candidate 12]], "")</f>
        <v/>
      </c>
      <c r="AQ945" s="18">
        <f>SUMIF(Audit[[#This Row],[Difference Winner]:[Difference Candidate 12]], "&gt;0")</f>
        <v>0</v>
      </c>
      <c r="AR945" s="18">
        <f>SUM(Audit[[#This Row],[Difference Winner]:[Difference Candidate 12]])</f>
        <v>0</v>
      </c>
      <c r="AS945" s="18">
        <f>IF(Audit[[#This Row],[Times p Drawn - With Replacement]]&gt;0, IF(Audit[[#This Row],[Canceled Differences]]&lt;0, Audit[[#This Row],[Max Differences]]+ABS(Audit[[#This Row],[Canceled Differences]]), Audit[[#This Row],[Max Differences]]), 0)</f>
        <v>0</v>
      </c>
      <c r="AT945" s="18">
        <f>'Sampling Data'!AB945</f>
        <v>8.1665986116782364E-4</v>
      </c>
      <c r="AU945" s="18">
        <f>IF(
      SUM(Audit[[#This Row],[Audit Losing Candidate]:[Audit Candidate 12]])
      &lt;&gt;0,
      (Audit[[#This Row],[Winning Candidate]]-Audit[[#This Row],[Losing Candidate]]-(Audit[[#This Row],[Audit Winning Candidate]]-Audit[[#This Row],[Audit Losing Candidate]]))/(Audit[[#Totals],[Winning Candidate]]-Audit[[#Totals],[Losing Candidate]]),
      0
)</f>
        <v>0</v>
      </c>
      <c r="AV9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8">
        <f>IF(Audit[[#This Row],[Max Relative Error (ep)]] = 0, 0, Audit[[#This Row],[Max Relative Error (ep)]]/Audit[[#This Row],[Error Bound (up) - Max. possible relative overstatement]])</f>
        <v>0</v>
      </c>
      <c r="BH9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5" s="18">
        <f t="shared" si="15"/>
        <v>1</v>
      </c>
      <c r="BJ945" s="18">
        <f>PRODUCT($BI$5:BI945)</f>
        <v>0.32656797278968008</v>
      </c>
      <c r="BK945" s="20">
        <f>1 - Audit[[#This Row],[K-M P Value]]</f>
        <v>0.67343202721031992</v>
      </c>
      <c r="BL945" s="18" t="str">
        <f>IF(Audit[[#This Row],[K-M P Value]]&gt;1-'General Info'!$B$12,"Continue", "Stop")</f>
        <v>Continue</v>
      </c>
      <c r="BM945" s="23" t="b">
        <f>IF(Audit[[#This Row],[Status - Continue or stop audit]] = "Continue", TRUE, IF(BL944 = "Continue", TRUE, FALSE))</f>
        <v>1</v>
      </c>
      <c r="BN945" s="23"/>
    </row>
    <row r="946" spans="1:66" ht="15" hidden="1" customHeight="1" x14ac:dyDescent="0.35">
      <c r="A946" s="18" t="str">
        <f>'Sampling Data'!AI946</f>
        <v/>
      </c>
      <c r="B946" s="18" t="str">
        <f>'Sampling Data'!A946</f>
        <v>5931 COLE EE   (ED)</v>
      </c>
      <c r="C946" s="18">
        <f>'Sampling Data'!B946</f>
        <v>78</v>
      </c>
      <c r="D946" s="18">
        <f>'Sampling Data'!C946</f>
        <v>8</v>
      </c>
      <c r="E946" s="19">
        <f>'Sampling Data'!D946</f>
        <v>0</v>
      </c>
      <c r="F946" s="19">
        <f>'Sampling Data'!E946</f>
        <v>0</v>
      </c>
      <c r="G946" s="19">
        <f>'Sampling Data'!F946</f>
        <v>0</v>
      </c>
      <c r="H946" s="19">
        <f>'Sampling Data'!G946</f>
        <v>0</v>
      </c>
      <c r="I946" s="19">
        <f>'Sampling Data'!H946</f>
        <v>0</v>
      </c>
      <c r="J946" s="19">
        <f>'Sampling Data'!I946</f>
        <v>0</v>
      </c>
      <c r="K946" s="19">
        <f>'Sampling Data'!J946</f>
        <v>0</v>
      </c>
      <c r="L946" s="19">
        <f>'Sampling Data'!K946</f>
        <v>0</v>
      </c>
      <c r="M946" s="19">
        <f>'Sampling Data'!L946</f>
        <v>0</v>
      </c>
      <c r="N946" s="19">
        <f>'Sampling Data'!M946</f>
        <v>0</v>
      </c>
      <c r="O946" s="18">
        <f>'Sampling Data'!N946</f>
        <v>0</v>
      </c>
      <c r="P946" s="18">
        <f>'Sampling Data'!O946</f>
        <v>0</v>
      </c>
      <c r="Q946" s="18">
        <f>'Sampling Data'!P946</f>
        <v>86</v>
      </c>
      <c r="R946" s="18">
        <f>'Sampling Data'!AJ946</f>
        <v>0</v>
      </c>
      <c r="S946" s="112"/>
      <c r="T946" s="112"/>
      <c r="U946" s="113"/>
      <c r="V946" s="113"/>
      <c r="W946" s="112"/>
      <c r="X946" s="112"/>
      <c r="Y946" s="112"/>
      <c r="Z946" s="112"/>
      <c r="AA946" s="15"/>
      <c r="AB946" s="15"/>
      <c r="AC946" s="15"/>
      <c r="AD946" s="15"/>
      <c r="AE946" s="114" t="str">
        <f>IF(NOT(ISBLANK(Audit[[#This Row],[Audit Winning Candidate]])), Audit[[#This Row],[Audit Winning Candidate]]-Audit[[#This Row],[Winning Candidate]], "")</f>
        <v/>
      </c>
      <c r="AF946" s="18" t="str">
        <f>IF(NOT(ISBLANK(Audit[[#This Row],[Audit Losing Candidate]])), Audit[[#This Row],[Audit Losing Candidate]]-Audit[[#This Row],[Losing Candidate]], "")</f>
        <v/>
      </c>
      <c r="AG946" s="18" t="str">
        <f>IF(NOT(ISBLANK(Audit[[#This Row],[Audit Candidate 3]])), Audit[[#This Row],[Audit Candidate 3]]-Audit[[#This Row],[Candidate 3]], "")</f>
        <v/>
      </c>
      <c r="AH946" s="18" t="str">
        <f>IF(NOT(ISBLANK(Audit[[#This Row],[Audit Candidate 4]])),Audit[[#This Row],[Audit Candidate 4]]-Audit[[#This Row],[Candidate 4]], "")</f>
        <v/>
      </c>
      <c r="AI946" s="18" t="str">
        <f>IF(NOT(ISBLANK(Audit[[#This Row],[Audit Candidate 5]])), Audit[[#This Row],[Audit Candidate 5]]-Audit[[#This Row],[Candidate 5]], "")</f>
        <v/>
      </c>
      <c r="AJ946" s="18" t="str">
        <f>IF(NOT(ISBLANK(Audit[[#This Row],[Audit Candidate 6]])), Audit[[#This Row],[Audit Candidate 6]]-Audit[[#This Row],[Candidate 6]], "")</f>
        <v/>
      </c>
      <c r="AK946" s="18" t="str">
        <f>IF(NOT(ISBLANK(Audit[[#This Row],[Audit Candidate 7]])), Audit[[#This Row],[Audit Candidate 7]]-Audit[[#This Row],[Candidate 7]], "")</f>
        <v/>
      </c>
      <c r="AL946" s="18" t="str">
        <f>IF(NOT(ISBLANK(Audit[[#This Row],[Audit Candidate 8]])), Audit[[#This Row],[Audit Candidate 8]]-Audit[[#This Row],[Candidate 8]], "")</f>
        <v/>
      </c>
      <c r="AM946" s="18" t="str">
        <f>IF(NOT(ISBLANK(Audit[[#This Row],[Audit Candidate 9]])), Audit[[#This Row],[Audit Candidate 9]]-Audit[[#This Row],[Candidate 9]], "")</f>
        <v/>
      </c>
      <c r="AN946" s="18" t="str">
        <f>IF(NOT(ISBLANK(Audit[[#This Row],[Audit Candidate 10]])), Audit[[#This Row],[Audit Candidate 10]]-Audit[[#This Row],[Candidate 10]], "")</f>
        <v/>
      </c>
      <c r="AO946" s="18" t="str">
        <f>IF(NOT(ISBLANK(Audit[[#This Row],[Audit Candidate 11]])), Audit[[#This Row],[Audit Candidate 11]]-Audit[[#This Row],[Candidate 11]], "")</f>
        <v/>
      </c>
      <c r="AP946" s="18" t="str">
        <f>IF(NOT(ISBLANK(Audit[[#This Row],[Audit Candidate 12]])), Audit[[#This Row],[Audit Candidate 12]]-Audit[[#This Row],[Candidate 12]], "")</f>
        <v/>
      </c>
      <c r="AQ946" s="18">
        <f>SUMIF(Audit[[#This Row],[Difference Winner]:[Difference Candidate 12]], "&gt;0")</f>
        <v>0</v>
      </c>
      <c r="AR946" s="18">
        <f>SUM(Audit[[#This Row],[Difference Winner]:[Difference Candidate 12]])</f>
        <v>0</v>
      </c>
      <c r="AS946" s="18">
        <f>IF(Audit[[#This Row],[Times p Drawn - With Replacement]]&gt;0, IF(Audit[[#This Row],[Canceled Differences]]&lt;0, Audit[[#This Row],[Max Differences]]+ABS(Audit[[#This Row],[Canceled Differences]]), Audit[[#This Row],[Max Differences]]), 0)</f>
        <v>0</v>
      </c>
      <c r="AT946" s="18">
        <f>'Sampling Data'!AB946</f>
        <v>4.8999591670069419E-3</v>
      </c>
      <c r="AU946" s="18">
        <f>IF(
      SUM(Audit[[#This Row],[Audit Losing Candidate]:[Audit Candidate 12]])
      &lt;&gt;0,
      (Audit[[#This Row],[Winning Candidate]]-Audit[[#This Row],[Losing Candidate]]-(Audit[[#This Row],[Audit Winning Candidate]]-Audit[[#This Row],[Audit Losing Candidate]]))/(Audit[[#Totals],[Winning Candidate]]-Audit[[#Totals],[Losing Candidate]]),
      0
)</f>
        <v>0</v>
      </c>
      <c r="AV9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8">
        <f>IF(Audit[[#This Row],[Max Relative Error (ep)]] = 0, 0, Audit[[#This Row],[Max Relative Error (ep)]]/Audit[[#This Row],[Error Bound (up) - Max. possible relative overstatement]])</f>
        <v>0</v>
      </c>
      <c r="BH9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6" s="18">
        <f t="shared" si="15"/>
        <v>1</v>
      </c>
      <c r="BJ946" s="18">
        <f>PRODUCT($BI$5:BI946)</f>
        <v>0.32656797278968008</v>
      </c>
      <c r="BK946" s="20">
        <f>1 - Audit[[#This Row],[K-M P Value]]</f>
        <v>0.67343202721031992</v>
      </c>
      <c r="BL946" s="18" t="str">
        <f>IF(Audit[[#This Row],[K-M P Value]]&gt;1-'General Info'!$B$12,"Continue", "Stop")</f>
        <v>Continue</v>
      </c>
      <c r="BM946" s="23" t="b">
        <f>IF(Audit[[#This Row],[Status - Continue or stop audit]] = "Continue", TRUE, IF(BL945 = "Continue", TRUE, FALSE))</f>
        <v>1</v>
      </c>
      <c r="BN946" s="23"/>
    </row>
    <row r="947" spans="1:66" ht="15" hidden="1" customHeight="1" x14ac:dyDescent="0.35">
      <c r="A947" s="18" t="str">
        <f>'Sampling Data'!AI947</f>
        <v/>
      </c>
      <c r="B947" s="18" t="str">
        <f>'Sampling Data'!A947</f>
        <v>5932 COLE FF   (ED)</v>
      </c>
      <c r="C947" s="18">
        <f>'Sampling Data'!B947</f>
        <v>24</v>
      </c>
      <c r="D947" s="18">
        <f>'Sampling Data'!C947</f>
        <v>3</v>
      </c>
      <c r="E947" s="19">
        <f>'Sampling Data'!D947</f>
        <v>0</v>
      </c>
      <c r="F947" s="19">
        <f>'Sampling Data'!E947</f>
        <v>0</v>
      </c>
      <c r="G947" s="19">
        <f>'Sampling Data'!F947</f>
        <v>0</v>
      </c>
      <c r="H947" s="19">
        <f>'Sampling Data'!G947</f>
        <v>0</v>
      </c>
      <c r="I947" s="19">
        <f>'Sampling Data'!H947</f>
        <v>0</v>
      </c>
      <c r="J947" s="19">
        <f>'Sampling Data'!I947</f>
        <v>0</v>
      </c>
      <c r="K947" s="19">
        <f>'Sampling Data'!J947</f>
        <v>0</v>
      </c>
      <c r="L947" s="19">
        <f>'Sampling Data'!K947</f>
        <v>0</v>
      </c>
      <c r="M947" s="19">
        <f>'Sampling Data'!L947</f>
        <v>0</v>
      </c>
      <c r="N947" s="19">
        <f>'Sampling Data'!M947</f>
        <v>0</v>
      </c>
      <c r="O947" s="18">
        <f>'Sampling Data'!N947</f>
        <v>0</v>
      </c>
      <c r="P947" s="18">
        <f>'Sampling Data'!O947</f>
        <v>0</v>
      </c>
      <c r="Q947" s="18">
        <f>'Sampling Data'!P947</f>
        <v>27</v>
      </c>
      <c r="R947" s="18">
        <f>'Sampling Data'!AJ947</f>
        <v>0</v>
      </c>
      <c r="S947" s="112"/>
      <c r="T947" s="112"/>
      <c r="U947" s="113"/>
      <c r="V947" s="113"/>
      <c r="W947" s="112"/>
      <c r="X947" s="112"/>
      <c r="Y947" s="112"/>
      <c r="Z947" s="112"/>
      <c r="AA947" s="15"/>
      <c r="AB947" s="15"/>
      <c r="AC947" s="15"/>
      <c r="AD947" s="15"/>
      <c r="AE947" s="114" t="str">
        <f>IF(NOT(ISBLANK(Audit[[#This Row],[Audit Winning Candidate]])), Audit[[#This Row],[Audit Winning Candidate]]-Audit[[#This Row],[Winning Candidate]], "")</f>
        <v/>
      </c>
      <c r="AF947" s="18" t="str">
        <f>IF(NOT(ISBLANK(Audit[[#This Row],[Audit Losing Candidate]])), Audit[[#This Row],[Audit Losing Candidate]]-Audit[[#This Row],[Losing Candidate]], "")</f>
        <v/>
      </c>
      <c r="AG947" s="18" t="str">
        <f>IF(NOT(ISBLANK(Audit[[#This Row],[Audit Candidate 3]])), Audit[[#This Row],[Audit Candidate 3]]-Audit[[#This Row],[Candidate 3]], "")</f>
        <v/>
      </c>
      <c r="AH947" s="18" t="str">
        <f>IF(NOT(ISBLANK(Audit[[#This Row],[Audit Candidate 4]])),Audit[[#This Row],[Audit Candidate 4]]-Audit[[#This Row],[Candidate 4]], "")</f>
        <v/>
      </c>
      <c r="AI947" s="18" t="str">
        <f>IF(NOT(ISBLANK(Audit[[#This Row],[Audit Candidate 5]])), Audit[[#This Row],[Audit Candidate 5]]-Audit[[#This Row],[Candidate 5]], "")</f>
        <v/>
      </c>
      <c r="AJ947" s="18" t="str">
        <f>IF(NOT(ISBLANK(Audit[[#This Row],[Audit Candidate 6]])), Audit[[#This Row],[Audit Candidate 6]]-Audit[[#This Row],[Candidate 6]], "")</f>
        <v/>
      </c>
      <c r="AK947" s="18" t="str">
        <f>IF(NOT(ISBLANK(Audit[[#This Row],[Audit Candidate 7]])), Audit[[#This Row],[Audit Candidate 7]]-Audit[[#This Row],[Candidate 7]], "")</f>
        <v/>
      </c>
      <c r="AL947" s="18" t="str">
        <f>IF(NOT(ISBLANK(Audit[[#This Row],[Audit Candidate 8]])), Audit[[#This Row],[Audit Candidate 8]]-Audit[[#This Row],[Candidate 8]], "")</f>
        <v/>
      </c>
      <c r="AM947" s="18" t="str">
        <f>IF(NOT(ISBLANK(Audit[[#This Row],[Audit Candidate 9]])), Audit[[#This Row],[Audit Candidate 9]]-Audit[[#This Row],[Candidate 9]], "")</f>
        <v/>
      </c>
      <c r="AN947" s="18" t="str">
        <f>IF(NOT(ISBLANK(Audit[[#This Row],[Audit Candidate 10]])), Audit[[#This Row],[Audit Candidate 10]]-Audit[[#This Row],[Candidate 10]], "")</f>
        <v/>
      </c>
      <c r="AO947" s="18" t="str">
        <f>IF(NOT(ISBLANK(Audit[[#This Row],[Audit Candidate 11]])), Audit[[#This Row],[Audit Candidate 11]]-Audit[[#This Row],[Candidate 11]], "")</f>
        <v/>
      </c>
      <c r="AP947" s="18" t="str">
        <f>IF(NOT(ISBLANK(Audit[[#This Row],[Audit Candidate 12]])), Audit[[#This Row],[Audit Candidate 12]]-Audit[[#This Row],[Candidate 12]], "")</f>
        <v/>
      </c>
      <c r="AQ947" s="18">
        <f>SUMIF(Audit[[#This Row],[Difference Winner]:[Difference Candidate 12]], "&gt;0")</f>
        <v>0</v>
      </c>
      <c r="AR947" s="18">
        <f>SUM(Audit[[#This Row],[Difference Winner]:[Difference Candidate 12]])</f>
        <v>0</v>
      </c>
      <c r="AS947" s="18">
        <f>IF(Audit[[#This Row],[Times p Drawn - With Replacement]]&gt;0, IF(Audit[[#This Row],[Canceled Differences]]&lt;0, Audit[[#This Row],[Max Differences]]+ABS(Audit[[#This Row],[Canceled Differences]]), Audit[[#This Row],[Max Differences]]), 0)</f>
        <v>0</v>
      </c>
      <c r="AT947" s="18">
        <f>'Sampling Data'!AB947</f>
        <v>1.5076797436944435E-3</v>
      </c>
      <c r="AU947" s="18">
        <f>IF(
      SUM(Audit[[#This Row],[Audit Losing Candidate]:[Audit Candidate 12]])
      &lt;&gt;0,
      (Audit[[#This Row],[Winning Candidate]]-Audit[[#This Row],[Losing Candidate]]-(Audit[[#This Row],[Audit Winning Candidate]]-Audit[[#This Row],[Audit Losing Candidate]]))/(Audit[[#Totals],[Winning Candidate]]-Audit[[#Totals],[Losing Candidate]]),
      0
)</f>
        <v>0</v>
      </c>
      <c r="AV9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8">
        <f>IF(Audit[[#This Row],[Max Relative Error (ep)]] = 0, 0, Audit[[#This Row],[Max Relative Error (ep)]]/Audit[[#This Row],[Error Bound (up) - Max. possible relative overstatement]])</f>
        <v>0</v>
      </c>
      <c r="BH9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7" s="18">
        <f t="shared" si="15"/>
        <v>1</v>
      </c>
      <c r="BJ947" s="18">
        <f>PRODUCT($BI$5:BI947)</f>
        <v>0.32656797278968008</v>
      </c>
      <c r="BK947" s="20">
        <f>1 - Audit[[#This Row],[K-M P Value]]</f>
        <v>0.67343202721031992</v>
      </c>
      <c r="BL947" s="18" t="str">
        <f>IF(Audit[[#This Row],[K-M P Value]]&gt;1-'General Info'!$B$12,"Continue", "Stop")</f>
        <v>Continue</v>
      </c>
      <c r="BM947" s="23" t="b">
        <f>IF(Audit[[#This Row],[Status - Continue or stop audit]] = "Continue", TRUE, IF(BL946 = "Continue", TRUE, FALSE))</f>
        <v>1</v>
      </c>
      <c r="BN947" s="23"/>
    </row>
    <row r="948" spans="1:66" ht="15" hidden="1" customHeight="1" x14ac:dyDescent="0.35">
      <c r="A948" s="18" t="str">
        <f>'Sampling Data'!AI948</f>
        <v/>
      </c>
      <c r="B948" s="18" t="str">
        <f>'Sampling Data'!A948</f>
        <v>5933 COLE GG   (ED)</v>
      </c>
      <c r="C948" s="18">
        <f>'Sampling Data'!B948</f>
        <v>77</v>
      </c>
      <c r="D948" s="18">
        <f>'Sampling Data'!C948</f>
        <v>7</v>
      </c>
      <c r="E948" s="19">
        <f>'Sampling Data'!D948</f>
        <v>0</v>
      </c>
      <c r="F948" s="19">
        <f>'Sampling Data'!E948</f>
        <v>0</v>
      </c>
      <c r="G948" s="19">
        <f>'Sampling Data'!F948</f>
        <v>0</v>
      </c>
      <c r="H948" s="19">
        <f>'Sampling Data'!G948</f>
        <v>0</v>
      </c>
      <c r="I948" s="19">
        <f>'Sampling Data'!H948</f>
        <v>0</v>
      </c>
      <c r="J948" s="19">
        <f>'Sampling Data'!I948</f>
        <v>0</v>
      </c>
      <c r="K948" s="19">
        <f>'Sampling Data'!J948</f>
        <v>0</v>
      </c>
      <c r="L948" s="19">
        <f>'Sampling Data'!K948</f>
        <v>0</v>
      </c>
      <c r="M948" s="19">
        <f>'Sampling Data'!L948</f>
        <v>0</v>
      </c>
      <c r="N948" s="19">
        <f>'Sampling Data'!M948</f>
        <v>0</v>
      </c>
      <c r="O948" s="18">
        <f>'Sampling Data'!N948</f>
        <v>0</v>
      </c>
      <c r="P948" s="18">
        <f>'Sampling Data'!O948</f>
        <v>2</v>
      </c>
      <c r="Q948" s="18">
        <f>'Sampling Data'!P948</f>
        <v>86</v>
      </c>
      <c r="R948" s="18">
        <f>'Sampling Data'!AJ948</f>
        <v>0</v>
      </c>
      <c r="S948" s="112"/>
      <c r="T948" s="112"/>
      <c r="U948" s="113"/>
      <c r="V948" s="113"/>
      <c r="W948" s="112"/>
      <c r="X948" s="112"/>
      <c r="Y948" s="112"/>
      <c r="Z948" s="112"/>
      <c r="AA948" s="15"/>
      <c r="AB948" s="15"/>
      <c r="AC948" s="15"/>
      <c r="AD948" s="15"/>
      <c r="AE948" s="114" t="str">
        <f>IF(NOT(ISBLANK(Audit[[#This Row],[Audit Winning Candidate]])), Audit[[#This Row],[Audit Winning Candidate]]-Audit[[#This Row],[Winning Candidate]], "")</f>
        <v/>
      </c>
      <c r="AF948" s="18" t="str">
        <f>IF(NOT(ISBLANK(Audit[[#This Row],[Audit Losing Candidate]])), Audit[[#This Row],[Audit Losing Candidate]]-Audit[[#This Row],[Losing Candidate]], "")</f>
        <v/>
      </c>
      <c r="AG948" s="18" t="str">
        <f>IF(NOT(ISBLANK(Audit[[#This Row],[Audit Candidate 3]])), Audit[[#This Row],[Audit Candidate 3]]-Audit[[#This Row],[Candidate 3]], "")</f>
        <v/>
      </c>
      <c r="AH948" s="18" t="str">
        <f>IF(NOT(ISBLANK(Audit[[#This Row],[Audit Candidate 4]])),Audit[[#This Row],[Audit Candidate 4]]-Audit[[#This Row],[Candidate 4]], "")</f>
        <v/>
      </c>
      <c r="AI948" s="18" t="str">
        <f>IF(NOT(ISBLANK(Audit[[#This Row],[Audit Candidate 5]])), Audit[[#This Row],[Audit Candidate 5]]-Audit[[#This Row],[Candidate 5]], "")</f>
        <v/>
      </c>
      <c r="AJ948" s="18" t="str">
        <f>IF(NOT(ISBLANK(Audit[[#This Row],[Audit Candidate 6]])), Audit[[#This Row],[Audit Candidate 6]]-Audit[[#This Row],[Candidate 6]], "")</f>
        <v/>
      </c>
      <c r="AK948" s="18" t="str">
        <f>IF(NOT(ISBLANK(Audit[[#This Row],[Audit Candidate 7]])), Audit[[#This Row],[Audit Candidate 7]]-Audit[[#This Row],[Candidate 7]], "")</f>
        <v/>
      </c>
      <c r="AL948" s="18" t="str">
        <f>IF(NOT(ISBLANK(Audit[[#This Row],[Audit Candidate 8]])), Audit[[#This Row],[Audit Candidate 8]]-Audit[[#This Row],[Candidate 8]], "")</f>
        <v/>
      </c>
      <c r="AM948" s="18" t="str">
        <f>IF(NOT(ISBLANK(Audit[[#This Row],[Audit Candidate 9]])), Audit[[#This Row],[Audit Candidate 9]]-Audit[[#This Row],[Candidate 9]], "")</f>
        <v/>
      </c>
      <c r="AN948" s="18" t="str">
        <f>IF(NOT(ISBLANK(Audit[[#This Row],[Audit Candidate 10]])), Audit[[#This Row],[Audit Candidate 10]]-Audit[[#This Row],[Candidate 10]], "")</f>
        <v/>
      </c>
      <c r="AO948" s="18" t="str">
        <f>IF(NOT(ISBLANK(Audit[[#This Row],[Audit Candidate 11]])), Audit[[#This Row],[Audit Candidate 11]]-Audit[[#This Row],[Candidate 11]], "")</f>
        <v/>
      </c>
      <c r="AP948" s="18" t="str">
        <f>IF(NOT(ISBLANK(Audit[[#This Row],[Audit Candidate 12]])), Audit[[#This Row],[Audit Candidate 12]]-Audit[[#This Row],[Candidate 12]], "")</f>
        <v/>
      </c>
      <c r="AQ948" s="18">
        <f>SUMIF(Audit[[#This Row],[Difference Winner]:[Difference Candidate 12]], "&gt;0")</f>
        <v>0</v>
      </c>
      <c r="AR948" s="18">
        <f>SUM(Audit[[#This Row],[Difference Winner]:[Difference Candidate 12]])</f>
        <v>0</v>
      </c>
      <c r="AS948" s="18">
        <f>IF(Audit[[#This Row],[Times p Drawn - With Replacement]]&gt;0, IF(Audit[[#This Row],[Canceled Differences]]&lt;0, Audit[[#This Row],[Max Differences]]+ABS(Audit[[#This Row],[Canceled Differences]]), Audit[[#This Row],[Max Differences]]), 0)</f>
        <v>0</v>
      </c>
      <c r="AT948" s="18">
        <f>'Sampling Data'!AB948</f>
        <v>4.8999591670069419E-3</v>
      </c>
      <c r="AU948" s="18">
        <f>IF(
      SUM(Audit[[#This Row],[Audit Losing Candidate]:[Audit Candidate 12]])
      &lt;&gt;0,
      (Audit[[#This Row],[Winning Candidate]]-Audit[[#This Row],[Losing Candidate]]-(Audit[[#This Row],[Audit Winning Candidate]]-Audit[[#This Row],[Audit Losing Candidate]]))/(Audit[[#Totals],[Winning Candidate]]-Audit[[#Totals],[Losing Candidate]]),
      0
)</f>
        <v>0</v>
      </c>
      <c r="AV9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8">
        <f>IF(Audit[[#This Row],[Max Relative Error (ep)]] = 0, 0, Audit[[#This Row],[Max Relative Error (ep)]]/Audit[[#This Row],[Error Bound (up) - Max. possible relative overstatement]])</f>
        <v>0</v>
      </c>
      <c r="BH9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8" s="18">
        <f t="shared" si="15"/>
        <v>1</v>
      </c>
      <c r="BJ948" s="18">
        <f>PRODUCT($BI$5:BI948)</f>
        <v>0.32656797278968008</v>
      </c>
      <c r="BK948" s="20">
        <f>1 - Audit[[#This Row],[K-M P Value]]</f>
        <v>0.67343202721031992</v>
      </c>
      <c r="BL948" s="18" t="str">
        <f>IF(Audit[[#This Row],[K-M P Value]]&gt;1-'General Info'!$B$12,"Continue", "Stop")</f>
        <v>Continue</v>
      </c>
      <c r="BM948" s="23" t="b">
        <f>IF(Audit[[#This Row],[Status - Continue or stop audit]] = "Continue", TRUE, IF(BL947 = "Continue", TRUE, FALSE))</f>
        <v>1</v>
      </c>
      <c r="BN948" s="23"/>
    </row>
    <row r="949" spans="1:66" ht="15" hidden="1" customHeight="1" x14ac:dyDescent="0.35">
      <c r="A949" s="18" t="str">
        <f>'Sampling Data'!AI949</f>
        <v/>
      </c>
      <c r="B949" s="18" t="str">
        <f>'Sampling Data'!A949</f>
        <v>5934 COLE HH   (ED)</v>
      </c>
      <c r="C949" s="18">
        <f>'Sampling Data'!B949</f>
        <v>37</v>
      </c>
      <c r="D949" s="18">
        <f>'Sampling Data'!C949</f>
        <v>9</v>
      </c>
      <c r="E949" s="19">
        <f>'Sampling Data'!D949</f>
        <v>0</v>
      </c>
      <c r="F949" s="19">
        <f>'Sampling Data'!E949</f>
        <v>0</v>
      </c>
      <c r="G949" s="19">
        <f>'Sampling Data'!F949</f>
        <v>0</v>
      </c>
      <c r="H949" s="19">
        <f>'Sampling Data'!G949</f>
        <v>0</v>
      </c>
      <c r="I949" s="19">
        <f>'Sampling Data'!H949</f>
        <v>0</v>
      </c>
      <c r="J949" s="19">
        <f>'Sampling Data'!I949</f>
        <v>0</v>
      </c>
      <c r="K949" s="19">
        <f>'Sampling Data'!J949</f>
        <v>0</v>
      </c>
      <c r="L949" s="19">
        <f>'Sampling Data'!K949</f>
        <v>0</v>
      </c>
      <c r="M949" s="19">
        <f>'Sampling Data'!L949</f>
        <v>0</v>
      </c>
      <c r="N949" s="19">
        <f>'Sampling Data'!M949</f>
        <v>0</v>
      </c>
      <c r="O949" s="18">
        <f>'Sampling Data'!N949</f>
        <v>0</v>
      </c>
      <c r="P949" s="18">
        <f>'Sampling Data'!O949</f>
        <v>2</v>
      </c>
      <c r="Q949" s="18">
        <f>'Sampling Data'!P949</f>
        <v>48</v>
      </c>
      <c r="R949" s="18">
        <f>'Sampling Data'!AJ949</f>
        <v>0</v>
      </c>
      <c r="S949" s="112"/>
      <c r="T949" s="112"/>
      <c r="U949" s="113"/>
      <c r="V949" s="113"/>
      <c r="W949" s="112"/>
      <c r="X949" s="112"/>
      <c r="Y949" s="112"/>
      <c r="Z949" s="112"/>
      <c r="AA949" s="15"/>
      <c r="AB949" s="15"/>
      <c r="AC949" s="15"/>
      <c r="AD949" s="15"/>
      <c r="AE949" s="114" t="str">
        <f>IF(NOT(ISBLANK(Audit[[#This Row],[Audit Winning Candidate]])), Audit[[#This Row],[Audit Winning Candidate]]-Audit[[#This Row],[Winning Candidate]], "")</f>
        <v/>
      </c>
      <c r="AF949" s="18" t="str">
        <f>IF(NOT(ISBLANK(Audit[[#This Row],[Audit Losing Candidate]])), Audit[[#This Row],[Audit Losing Candidate]]-Audit[[#This Row],[Losing Candidate]], "")</f>
        <v/>
      </c>
      <c r="AG949" s="18" t="str">
        <f>IF(NOT(ISBLANK(Audit[[#This Row],[Audit Candidate 3]])), Audit[[#This Row],[Audit Candidate 3]]-Audit[[#This Row],[Candidate 3]], "")</f>
        <v/>
      </c>
      <c r="AH949" s="18" t="str">
        <f>IF(NOT(ISBLANK(Audit[[#This Row],[Audit Candidate 4]])),Audit[[#This Row],[Audit Candidate 4]]-Audit[[#This Row],[Candidate 4]], "")</f>
        <v/>
      </c>
      <c r="AI949" s="18" t="str">
        <f>IF(NOT(ISBLANK(Audit[[#This Row],[Audit Candidate 5]])), Audit[[#This Row],[Audit Candidate 5]]-Audit[[#This Row],[Candidate 5]], "")</f>
        <v/>
      </c>
      <c r="AJ949" s="18" t="str">
        <f>IF(NOT(ISBLANK(Audit[[#This Row],[Audit Candidate 6]])), Audit[[#This Row],[Audit Candidate 6]]-Audit[[#This Row],[Candidate 6]], "")</f>
        <v/>
      </c>
      <c r="AK949" s="18" t="str">
        <f>IF(NOT(ISBLANK(Audit[[#This Row],[Audit Candidate 7]])), Audit[[#This Row],[Audit Candidate 7]]-Audit[[#This Row],[Candidate 7]], "")</f>
        <v/>
      </c>
      <c r="AL949" s="18" t="str">
        <f>IF(NOT(ISBLANK(Audit[[#This Row],[Audit Candidate 8]])), Audit[[#This Row],[Audit Candidate 8]]-Audit[[#This Row],[Candidate 8]], "")</f>
        <v/>
      </c>
      <c r="AM949" s="18" t="str">
        <f>IF(NOT(ISBLANK(Audit[[#This Row],[Audit Candidate 9]])), Audit[[#This Row],[Audit Candidate 9]]-Audit[[#This Row],[Candidate 9]], "")</f>
        <v/>
      </c>
      <c r="AN949" s="18" t="str">
        <f>IF(NOT(ISBLANK(Audit[[#This Row],[Audit Candidate 10]])), Audit[[#This Row],[Audit Candidate 10]]-Audit[[#This Row],[Candidate 10]], "")</f>
        <v/>
      </c>
      <c r="AO949" s="18" t="str">
        <f>IF(NOT(ISBLANK(Audit[[#This Row],[Audit Candidate 11]])), Audit[[#This Row],[Audit Candidate 11]]-Audit[[#This Row],[Candidate 11]], "")</f>
        <v/>
      </c>
      <c r="AP949" s="18" t="str">
        <f>IF(NOT(ISBLANK(Audit[[#This Row],[Audit Candidate 12]])), Audit[[#This Row],[Audit Candidate 12]]-Audit[[#This Row],[Candidate 12]], "")</f>
        <v/>
      </c>
      <c r="AQ949" s="18">
        <f>SUMIF(Audit[[#This Row],[Difference Winner]:[Difference Candidate 12]], "&gt;0")</f>
        <v>0</v>
      </c>
      <c r="AR949" s="18">
        <f>SUM(Audit[[#This Row],[Difference Winner]:[Difference Candidate 12]])</f>
        <v>0</v>
      </c>
      <c r="AS949" s="18">
        <f>IF(Audit[[#This Row],[Times p Drawn - With Replacement]]&gt;0, IF(Audit[[#This Row],[Canceled Differences]]&lt;0, Audit[[#This Row],[Max Differences]]+ABS(Audit[[#This Row],[Canceled Differences]]), Audit[[#This Row],[Max Differences]]), 0)</f>
        <v>0</v>
      </c>
      <c r="AT949" s="18">
        <f>'Sampling Data'!AB949</f>
        <v>2.3871595941828689E-3</v>
      </c>
      <c r="AU949" s="18">
        <f>IF(
      SUM(Audit[[#This Row],[Audit Losing Candidate]:[Audit Candidate 12]])
      &lt;&gt;0,
      (Audit[[#This Row],[Winning Candidate]]-Audit[[#This Row],[Losing Candidate]]-(Audit[[#This Row],[Audit Winning Candidate]]-Audit[[#This Row],[Audit Losing Candidate]]))/(Audit[[#Totals],[Winning Candidate]]-Audit[[#Totals],[Losing Candidate]]),
      0
)</f>
        <v>0</v>
      </c>
      <c r="AV9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8">
        <f>IF(Audit[[#This Row],[Max Relative Error (ep)]] = 0, 0, Audit[[#This Row],[Max Relative Error (ep)]]/Audit[[#This Row],[Error Bound (up) - Max. possible relative overstatement]])</f>
        <v>0</v>
      </c>
      <c r="BH9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49" s="18">
        <f t="shared" si="15"/>
        <v>1</v>
      </c>
      <c r="BJ949" s="18">
        <f>PRODUCT($BI$5:BI949)</f>
        <v>0.32656797278968008</v>
      </c>
      <c r="BK949" s="20">
        <f>1 - Audit[[#This Row],[K-M P Value]]</f>
        <v>0.67343202721031992</v>
      </c>
      <c r="BL949" s="18" t="str">
        <f>IF(Audit[[#This Row],[K-M P Value]]&gt;1-'General Info'!$B$12,"Continue", "Stop")</f>
        <v>Continue</v>
      </c>
      <c r="BM949" s="23" t="b">
        <f>IF(Audit[[#This Row],[Status - Continue or stop audit]] = "Continue", TRUE, IF(BL948 = "Continue", TRUE, FALSE))</f>
        <v>1</v>
      </c>
      <c r="BN949" s="23"/>
    </row>
    <row r="950" spans="1:66" ht="15" hidden="1" customHeight="1" x14ac:dyDescent="0.35">
      <c r="A950" s="18" t="str">
        <f>'Sampling Data'!AI950</f>
        <v/>
      </c>
      <c r="B950" s="18" t="str">
        <f>'Sampling Data'!A950</f>
        <v>5935 COLE II   (ED)</v>
      </c>
      <c r="C950" s="18">
        <f>'Sampling Data'!B950</f>
        <v>46</v>
      </c>
      <c r="D950" s="18">
        <f>'Sampling Data'!C950</f>
        <v>7</v>
      </c>
      <c r="E950" s="19">
        <f>'Sampling Data'!D950</f>
        <v>0</v>
      </c>
      <c r="F950" s="19">
        <f>'Sampling Data'!E950</f>
        <v>0</v>
      </c>
      <c r="G950" s="19">
        <f>'Sampling Data'!F950</f>
        <v>0</v>
      </c>
      <c r="H950" s="19">
        <f>'Sampling Data'!G950</f>
        <v>0</v>
      </c>
      <c r="I950" s="19">
        <f>'Sampling Data'!H950</f>
        <v>0</v>
      </c>
      <c r="J950" s="19">
        <f>'Sampling Data'!I950</f>
        <v>0</v>
      </c>
      <c r="K950" s="19">
        <f>'Sampling Data'!J950</f>
        <v>0</v>
      </c>
      <c r="L950" s="19">
        <f>'Sampling Data'!K950</f>
        <v>0</v>
      </c>
      <c r="M950" s="19">
        <f>'Sampling Data'!L950</f>
        <v>0</v>
      </c>
      <c r="N950" s="19">
        <f>'Sampling Data'!M950</f>
        <v>0</v>
      </c>
      <c r="O950" s="18">
        <f>'Sampling Data'!N950</f>
        <v>0</v>
      </c>
      <c r="P950" s="18">
        <f>'Sampling Data'!O950</f>
        <v>0</v>
      </c>
      <c r="Q950" s="18">
        <f>'Sampling Data'!P950</f>
        <v>53</v>
      </c>
      <c r="R950" s="18">
        <f>'Sampling Data'!AJ950</f>
        <v>0</v>
      </c>
      <c r="S950" s="112"/>
      <c r="T950" s="112"/>
      <c r="U950" s="113"/>
      <c r="V950" s="113"/>
      <c r="W950" s="112"/>
      <c r="X950" s="112"/>
      <c r="Y950" s="112"/>
      <c r="Z950" s="112"/>
      <c r="AA950" s="15"/>
      <c r="AB950" s="15"/>
      <c r="AC950" s="15"/>
      <c r="AD950" s="15"/>
      <c r="AE950" s="114" t="str">
        <f>IF(NOT(ISBLANK(Audit[[#This Row],[Audit Winning Candidate]])), Audit[[#This Row],[Audit Winning Candidate]]-Audit[[#This Row],[Winning Candidate]], "")</f>
        <v/>
      </c>
      <c r="AF950" s="18" t="str">
        <f>IF(NOT(ISBLANK(Audit[[#This Row],[Audit Losing Candidate]])), Audit[[#This Row],[Audit Losing Candidate]]-Audit[[#This Row],[Losing Candidate]], "")</f>
        <v/>
      </c>
      <c r="AG950" s="18" t="str">
        <f>IF(NOT(ISBLANK(Audit[[#This Row],[Audit Candidate 3]])), Audit[[#This Row],[Audit Candidate 3]]-Audit[[#This Row],[Candidate 3]], "")</f>
        <v/>
      </c>
      <c r="AH950" s="18" t="str">
        <f>IF(NOT(ISBLANK(Audit[[#This Row],[Audit Candidate 4]])),Audit[[#This Row],[Audit Candidate 4]]-Audit[[#This Row],[Candidate 4]], "")</f>
        <v/>
      </c>
      <c r="AI950" s="18" t="str">
        <f>IF(NOT(ISBLANK(Audit[[#This Row],[Audit Candidate 5]])), Audit[[#This Row],[Audit Candidate 5]]-Audit[[#This Row],[Candidate 5]], "")</f>
        <v/>
      </c>
      <c r="AJ950" s="18" t="str">
        <f>IF(NOT(ISBLANK(Audit[[#This Row],[Audit Candidate 6]])), Audit[[#This Row],[Audit Candidate 6]]-Audit[[#This Row],[Candidate 6]], "")</f>
        <v/>
      </c>
      <c r="AK950" s="18" t="str">
        <f>IF(NOT(ISBLANK(Audit[[#This Row],[Audit Candidate 7]])), Audit[[#This Row],[Audit Candidate 7]]-Audit[[#This Row],[Candidate 7]], "")</f>
        <v/>
      </c>
      <c r="AL950" s="18" t="str">
        <f>IF(NOT(ISBLANK(Audit[[#This Row],[Audit Candidate 8]])), Audit[[#This Row],[Audit Candidate 8]]-Audit[[#This Row],[Candidate 8]], "")</f>
        <v/>
      </c>
      <c r="AM950" s="18" t="str">
        <f>IF(NOT(ISBLANK(Audit[[#This Row],[Audit Candidate 9]])), Audit[[#This Row],[Audit Candidate 9]]-Audit[[#This Row],[Candidate 9]], "")</f>
        <v/>
      </c>
      <c r="AN950" s="18" t="str">
        <f>IF(NOT(ISBLANK(Audit[[#This Row],[Audit Candidate 10]])), Audit[[#This Row],[Audit Candidate 10]]-Audit[[#This Row],[Candidate 10]], "")</f>
        <v/>
      </c>
      <c r="AO950" s="18" t="str">
        <f>IF(NOT(ISBLANK(Audit[[#This Row],[Audit Candidate 11]])), Audit[[#This Row],[Audit Candidate 11]]-Audit[[#This Row],[Candidate 11]], "")</f>
        <v/>
      </c>
      <c r="AP950" s="18" t="str">
        <f>IF(NOT(ISBLANK(Audit[[#This Row],[Audit Candidate 12]])), Audit[[#This Row],[Audit Candidate 12]]-Audit[[#This Row],[Candidate 12]], "")</f>
        <v/>
      </c>
      <c r="AQ950" s="18">
        <f>SUMIF(Audit[[#This Row],[Difference Winner]:[Difference Candidate 12]], "&gt;0")</f>
        <v>0</v>
      </c>
      <c r="AR950" s="18">
        <f>SUM(Audit[[#This Row],[Difference Winner]:[Difference Candidate 12]])</f>
        <v>0</v>
      </c>
      <c r="AS950" s="18">
        <f>IF(Audit[[#This Row],[Times p Drawn - With Replacement]]&gt;0, IF(Audit[[#This Row],[Canceled Differences]]&lt;0, Audit[[#This Row],[Max Differences]]+ABS(Audit[[#This Row],[Canceled Differences]]), Audit[[#This Row],[Max Differences]]), 0)</f>
        <v>0</v>
      </c>
      <c r="AT950" s="18">
        <f>'Sampling Data'!AB950</f>
        <v>2.8897195087476835E-3</v>
      </c>
      <c r="AU950" s="18">
        <f>IF(
      SUM(Audit[[#This Row],[Audit Losing Candidate]:[Audit Candidate 12]])
      &lt;&gt;0,
      (Audit[[#This Row],[Winning Candidate]]-Audit[[#This Row],[Losing Candidate]]-(Audit[[#This Row],[Audit Winning Candidate]]-Audit[[#This Row],[Audit Losing Candidate]]))/(Audit[[#Totals],[Winning Candidate]]-Audit[[#Totals],[Losing Candidate]]),
      0
)</f>
        <v>0</v>
      </c>
      <c r="AV9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8">
        <f>IF(Audit[[#This Row],[Max Relative Error (ep)]] = 0, 0, Audit[[#This Row],[Max Relative Error (ep)]]/Audit[[#This Row],[Error Bound (up) - Max. possible relative overstatement]])</f>
        <v>0</v>
      </c>
      <c r="BH9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0" s="18">
        <f t="shared" si="15"/>
        <v>1</v>
      </c>
      <c r="BJ950" s="18">
        <f>PRODUCT($BI$5:BI950)</f>
        <v>0.32656797278968008</v>
      </c>
      <c r="BK950" s="20">
        <f>1 - Audit[[#This Row],[K-M P Value]]</f>
        <v>0.67343202721031992</v>
      </c>
      <c r="BL950" s="18" t="str">
        <f>IF(Audit[[#This Row],[K-M P Value]]&gt;1-'General Info'!$B$12,"Continue", "Stop")</f>
        <v>Continue</v>
      </c>
      <c r="BM950" s="23" t="b">
        <f>IF(Audit[[#This Row],[Status - Continue or stop audit]] = "Continue", TRUE, IF(BL949 = "Continue", TRUE, FALSE))</f>
        <v>1</v>
      </c>
      <c r="BN950" s="23"/>
    </row>
    <row r="951" spans="1:66" ht="15" hidden="1" customHeight="1" x14ac:dyDescent="0.35">
      <c r="A951" s="18" t="str">
        <f>'Sampling Data'!AI951</f>
        <v/>
      </c>
      <c r="B951" s="18" t="str">
        <f>'Sampling Data'!A951</f>
        <v>5936 COLE JJ   (ED)</v>
      </c>
      <c r="C951" s="18">
        <f>'Sampling Data'!B951</f>
        <v>69</v>
      </c>
      <c r="D951" s="18">
        <f>'Sampling Data'!C951</f>
        <v>7</v>
      </c>
      <c r="E951" s="19">
        <f>'Sampling Data'!D951</f>
        <v>0</v>
      </c>
      <c r="F951" s="19">
        <f>'Sampling Data'!E951</f>
        <v>0</v>
      </c>
      <c r="G951" s="19">
        <f>'Sampling Data'!F951</f>
        <v>0</v>
      </c>
      <c r="H951" s="19">
        <f>'Sampling Data'!G951</f>
        <v>0</v>
      </c>
      <c r="I951" s="19">
        <f>'Sampling Data'!H951</f>
        <v>0</v>
      </c>
      <c r="J951" s="19">
        <f>'Sampling Data'!I951</f>
        <v>0</v>
      </c>
      <c r="K951" s="19">
        <f>'Sampling Data'!J951</f>
        <v>0</v>
      </c>
      <c r="L951" s="19">
        <f>'Sampling Data'!K951</f>
        <v>0</v>
      </c>
      <c r="M951" s="19">
        <f>'Sampling Data'!L951</f>
        <v>0</v>
      </c>
      <c r="N951" s="19">
        <f>'Sampling Data'!M951</f>
        <v>0</v>
      </c>
      <c r="O951" s="18">
        <f>'Sampling Data'!N951</f>
        <v>0</v>
      </c>
      <c r="P951" s="18">
        <f>'Sampling Data'!O951</f>
        <v>2</v>
      </c>
      <c r="Q951" s="18">
        <f>'Sampling Data'!P951</f>
        <v>78</v>
      </c>
      <c r="R951" s="18">
        <f>'Sampling Data'!AJ951</f>
        <v>0</v>
      </c>
      <c r="S951" s="112"/>
      <c r="T951" s="112"/>
      <c r="U951" s="113"/>
      <c r="V951" s="113"/>
      <c r="W951" s="112"/>
      <c r="X951" s="112"/>
      <c r="Y951" s="112"/>
      <c r="Z951" s="112"/>
      <c r="AA951" s="15"/>
      <c r="AB951" s="15"/>
      <c r="AC951" s="15"/>
      <c r="AD951" s="15"/>
      <c r="AE951" s="114" t="str">
        <f>IF(NOT(ISBLANK(Audit[[#This Row],[Audit Winning Candidate]])), Audit[[#This Row],[Audit Winning Candidate]]-Audit[[#This Row],[Winning Candidate]], "")</f>
        <v/>
      </c>
      <c r="AF951" s="18" t="str">
        <f>IF(NOT(ISBLANK(Audit[[#This Row],[Audit Losing Candidate]])), Audit[[#This Row],[Audit Losing Candidate]]-Audit[[#This Row],[Losing Candidate]], "")</f>
        <v/>
      </c>
      <c r="AG951" s="18" t="str">
        <f>IF(NOT(ISBLANK(Audit[[#This Row],[Audit Candidate 3]])), Audit[[#This Row],[Audit Candidate 3]]-Audit[[#This Row],[Candidate 3]], "")</f>
        <v/>
      </c>
      <c r="AH951" s="18" t="str">
        <f>IF(NOT(ISBLANK(Audit[[#This Row],[Audit Candidate 4]])),Audit[[#This Row],[Audit Candidate 4]]-Audit[[#This Row],[Candidate 4]], "")</f>
        <v/>
      </c>
      <c r="AI951" s="18" t="str">
        <f>IF(NOT(ISBLANK(Audit[[#This Row],[Audit Candidate 5]])), Audit[[#This Row],[Audit Candidate 5]]-Audit[[#This Row],[Candidate 5]], "")</f>
        <v/>
      </c>
      <c r="AJ951" s="18" t="str">
        <f>IF(NOT(ISBLANK(Audit[[#This Row],[Audit Candidate 6]])), Audit[[#This Row],[Audit Candidate 6]]-Audit[[#This Row],[Candidate 6]], "")</f>
        <v/>
      </c>
      <c r="AK951" s="18" t="str">
        <f>IF(NOT(ISBLANK(Audit[[#This Row],[Audit Candidate 7]])), Audit[[#This Row],[Audit Candidate 7]]-Audit[[#This Row],[Candidate 7]], "")</f>
        <v/>
      </c>
      <c r="AL951" s="18" t="str">
        <f>IF(NOT(ISBLANK(Audit[[#This Row],[Audit Candidate 8]])), Audit[[#This Row],[Audit Candidate 8]]-Audit[[#This Row],[Candidate 8]], "")</f>
        <v/>
      </c>
      <c r="AM951" s="18" t="str">
        <f>IF(NOT(ISBLANK(Audit[[#This Row],[Audit Candidate 9]])), Audit[[#This Row],[Audit Candidate 9]]-Audit[[#This Row],[Candidate 9]], "")</f>
        <v/>
      </c>
      <c r="AN951" s="18" t="str">
        <f>IF(NOT(ISBLANK(Audit[[#This Row],[Audit Candidate 10]])), Audit[[#This Row],[Audit Candidate 10]]-Audit[[#This Row],[Candidate 10]], "")</f>
        <v/>
      </c>
      <c r="AO951" s="18" t="str">
        <f>IF(NOT(ISBLANK(Audit[[#This Row],[Audit Candidate 11]])), Audit[[#This Row],[Audit Candidate 11]]-Audit[[#This Row],[Candidate 11]], "")</f>
        <v/>
      </c>
      <c r="AP951" s="18" t="str">
        <f>IF(NOT(ISBLANK(Audit[[#This Row],[Audit Candidate 12]])), Audit[[#This Row],[Audit Candidate 12]]-Audit[[#This Row],[Candidate 12]], "")</f>
        <v/>
      </c>
      <c r="AQ951" s="18">
        <f>SUMIF(Audit[[#This Row],[Difference Winner]:[Difference Candidate 12]], "&gt;0")</f>
        <v>0</v>
      </c>
      <c r="AR951" s="18">
        <f>SUM(Audit[[#This Row],[Difference Winner]:[Difference Candidate 12]])</f>
        <v>0</v>
      </c>
      <c r="AS951" s="18">
        <f>IF(Audit[[#This Row],[Times p Drawn - With Replacement]]&gt;0, IF(Audit[[#This Row],[Canceled Differences]]&lt;0, Audit[[#This Row],[Max Differences]]+ABS(Audit[[#This Row],[Canceled Differences]]), Audit[[#This Row],[Max Differences]]), 0)</f>
        <v>0</v>
      </c>
      <c r="AT951" s="18">
        <f>'Sampling Data'!AB951</f>
        <v>4.3973992524421269E-3</v>
      </c>
      <c r="AU951" s="18">
        <f>IF(
      SUM(Audit[[#This Row],[Audit Losing Candidate]:[Audit Candidate 12]])
      &lt;&gt;0,
      (Audit[[#This Row],[Winning Candidate]]-Audit[[#This Row],[Losing Candidate]]-(Audit[[#This Row],[Audit Winning Candidate]]-Audit[[#This Row],[Audit Losing Candidate]]))/(Audit[[#Totals],[Winning Candidate]]-Audit[[#Totals],[Losing Candidate]]),
      0
)</f>
        <v>0</v>
      </c>
      <c r="AV9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8">
        <f>IF(Audit[[#This Row],[Max Relative Error (ep)]] = 0, 0, Audit[[#This Row],[Max Relative Error (ep)]]/Audit[[#This Row],[Error Bound (up) - Max. possible relative overstatement]])</f>
        <v>0</v>
      </c>
      <c r="BH9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1" s="18">
        <f t="shared" si="15"/>
        <v>1</v>
      </c>
      <c r="BJ951" s="18">
        <f>PRODUCT($BI$5:BI951)</f>
        <v>0.32656797278968008</v>
      </c>
      <c r="BK951" s="20">
        <f>1 - Audit[[#This Row],[K-M P Value]]</f>
        <v>0.67343202721031992</v>
      </c>
      <c r="BL951" s="18" t="str">
        <f>IF(Audit[[#This Row],[K-M P Value]]&gt;1-'General Info'!$B$12,"Continue", "Stop")</f>
        <v>Continue</v>
      </c>
      <c r="BM951" s="23" t="b">
        <f>IF(Audit[[#This Row],[Status - Continue or stop audit]] = "Continue", TRUE, IF(BL950 = "Continue", TRUE, FALSE))</f>
        <v>1</v>
      </c>
      <c r="BN951" s="23"/>
    </row>
    <row r="952" spans="1:66" ht="15" hidden="1" customHeight="1" x14ac:dyDescent="0.35">
      <c r="A952" s="18" t="str">
        <f>'Sampling Data'!AI952</f>
        <v/>
      </c>
      <c r="B952" s="18" t="str">
        <f>'Sampling Data'!A952</f>
        <v>5937 COLE KK   (ED)</v>
      </c>
      <c r="C952" s="18">
        <f>'Sampling Data'!B952</f>
        <v>44</v>
      </c>
      <c r="D952" s="18">
        <f>'Sampling Data'!C952</f>
        <v>6</v>
      </c>
      <c r="E952" s="19">
        <f>'Sampling Data'!D952</f>
        <v>0</v>
      </c>
      <c r="F952" s="19">
        <f>'Sampling Data'!E952</f>
        <v>0</v>
      </c>
      <c r="G952" s="19">
        <f>'Sampling Data'!F952</f>
        <v>0</v>
      </c>
      <c r="H952" s="19">
        <f>'Sampling Data'!G952</f>
        <v>0</v>
      </c>
      <c r="I952" s="19">
        <f>'Sampling Data'!H952</f>
        <v>0</v>
      </c>
      <c r="J952" s="19">
        <f>'Sampling Data'!I952</f>
        <v>0</v>
      </c>
      <c r="K952" s="19">
        <f>'Sampling Data'!J952</f>
        <v>0</v>
      </c>
      <c r="L952" s="19">
        <f>'Sampling Data'!K952</f>
        <v>0</v>
      </c>
      <c r="M952" s="19">
        <f>'Sampling Data'!L952</f>
        <v>0</v>
      </c>
      <c r="N952" s="19">
        <f>'Sampling Data'!M952</f>
        <v>0</v>
      </c>
      <c r="O952" s="18">
        <f>'Sampling Data'!N952</f>
        <v>0</v>
      </c>
      <c r="P952" s="18">
        <f>'Sampling Data'!O952</f>
        <v>0</v>
      </c>
      <c r="Q952" s="18">
        <f>'Sampling Data'!P952</f>
        <v>50</v>
      </c>
      <c r="R952" s="18">
        <f>'Sampling Data'!AJ952</f>
        <v>0</v>
      </c>
      <c r="S952" s="112"/>
      <c r="T952" s="112"/>
      <c r="U952" s="113"/>
      <c r="V952" s="113"/>
      <c r="W952" s="112"/>
      <c r="X952" s="112"/>
      <c r="Y952" s="112"/>
      <c r="Z952" s="112"/>
      <c r="AA952" s="15"/>
      <c r="AB952" s="15"/>
      <c r="AC952" s="15"/>
      <c r="AD952" s="15"/>
      <c r="AE952" s="114" t="str">
        <f>IF(NOT(ISBLANK(Audit[[#This Row],[Audit Winning Candidate]])), Audit[[#This Row],[Audit Winning Candidate]]-Audit[[#This Row],[Winning Candidate]], "")</f>
        <v/>
      </c>
      <c r="AF952" s="18" t="str">
        <f>IF(NOT(ISBLANK(Audit[[#This Row],[Audit Losing Candidate]])), Audit[[#This Row],[Audit Losing Candidate]]-Audit[[#This Row],[Losing Candidate]], "")</f>
        <v/>
      </c>
      <c r="AG952" s="18" t="str">
        <f>IF(NOT(ISBLANK(Audit[[#This Row],[Audit Candidate 3]])), Audit[[#This Row],[Audit Candidate 3]]-Audit[[#This Row],[Candidate 3]], "")</f>
        <v/>
      </c>
      <c r="AH952" s="18" t="str">
        <f>IF(NOT(ISBLANK(Audit[[#This Row],[Audit Candidate 4]])),Audit[[#This Row],[Audit Candidate 4]]-Audit[[#This Row],[Candidate 4]], "")</f>
        <v/>
      </c>
      <c r="AI952" s="18" t="str">
        <f>IF(NOT(ISBLANK(Audit[[#This Row],[Audit Candidate 5]])), Audit[[#This Row],[Audit Candidate 5]]-Audit[[#This Row],[Candidate 5]], "")</f>
        <v/>
      </c>
      <c r="AJ952" s="18" t="str">
        <f>IF(NOT(ISBLANK(Audit[[#This Row],[Audit Candidate 6]])), Audit[[#This Row],[Audit Candidate 6]]-Audit[[#This Row],[Candidate 6]], "")</f>
        <v/>
      </c>
      <c r="AK952" s="18" t="str">
        <f>IF(NOT(ISBLANK(Audit[[#This Row],[Audit Candidate 7]])), Audit[[#This Row],[Audit Candidate 7]]-Audit[[#This Row],[Candidate 7]], "")</f>
        <v/>
      </c>
      <c r="AL952" s="18" t="str">
        <f>IF(NOT(ISBLANK(Audit[[#This Row],[Audit Candidate 8]])), Audit[[#This Row],[Audit Candidate 8]]-Audit[[#This Row],[Candidate 8]], "")</f>
        <v/>
      </c>
      <c r="AM952" s="18" t="str">
        <f>IF(NOT(ISBLANK(Audit[[#This Row],[Audit Candidate 9]])), Audit[[#This Row],[Audit Candidate 9]]-Audit[[#This Row],[Candidate 9]], "")</f>
        <v/>
      </c>
      <c r="AN952" s="18" t="str">
        <f>IF(NOT(ISBLANK(Audit[[#This Row],[Audit Candidate 10]])), Audit[[#This Row],[Audit Candidate 10]]-Audit[[#This Row],[Candidate 10]], "")</f>
        <v/>
      </c>
      <c r="AO952" s="18" t="str">
        <f>IF(NOT(ISBLANK(Audit[[#This Row],[Audit Candidate 11]])), Audit[[#This Row],[Audit Candidate 11]]-Audit[[#This Row],[Candidate 11]], "")</f>
        <v/>
      </c>
      <c r="AP952" s="18" t="str">
        <f>IF(NOT(ISBLANK(Audit[[#This Row],[Audit Candidate 12]])), Audit[[#This Row],[Audit Candidate 12]]-Audit[[#This Row],[Candidate 12]], "")</f>
        <v/>
      </c>
      <c r="AQ952" s="18">
        <f>SUMIF(Audit[[#This Row],[Difference Winner]:[Difference Candidate 12]], "&gt;0")</f>
        <v>0</v>
      </c>
      <c r="AR952" s="18">
        <f>SUM(Audit[[#This Row],[Difference Winner]:[Difference Candidate 12]])</f>
        <v>0</v>
      </c>
      <c r="AS952" s="18">
        <f>IF(Audit[[#This Row],[Times p Drawn - With Replacement]]&gt;0, IF(Audit[[#This Row],[Canceled Differences]]&lt;0, Audit[[#This Row],[Max Differences]]+ABS(Audit[[#This Row],[Canceled Differences]]), Audit[[#This Row],[Max Differences]]), 0)</f>
        <v>0</v>
      </c>
      <c r="AT952" s="18">
        <f>'Sampling Data'!AB952</f>
        <v>2.76407953010648E-3</v>
      </c>
      <c r="AU952" s="18">
        <f>IF(
      SUM(Audit[[#This Row],[Audit Losing Candidate]:[Audit Candidate 12]])
      &lt;&gt;0,
      (Audit[[#This Row],[Winning Candidate]]-Audit[[#This Row],[Losing Candidate]]-(Audit[[#This Row],[Audit Winning Candidate]]-Audit[[#This Row],[Audit Losing Candidate]]))/(Audit[[#Totals],[Winning Candidate]]-Audit[[#Totals],[Losing Candidate]]),
      0
)</f>
        <v>0</v>
      </c>
      <c r="AV9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8">
        <f>IF(Audit[[#This Row],[Max Relative Error (ep)]] = 0, 0, Audit[[#This Row],[Max Relative Error (ep)]]/Audit[[#This Row],[Error Bound (up) - Max. possible relative overstatement]])</f>
        <v>0</v>
      </c>
      <c r="BH9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2" s="18">
        <f t="shared" si="15"/>
        <v>1</v>
      </c>
      <c r="BJ952" s="18">
        <f>PRODUCT($BI$5:BI952)</f>
        <v>0.32656797278968008</v>
      </c>
      <c r="BK952" s="20">
        <f>1 - Audit[[#This Row],[K-M P Value]]</f>
        <v>0.67343202721031992</v>
      </c>
      <c r="BL952" s="18" t="str">
        <f>IF(Audit[[#This Row],[K-M P Value]]&gt;1-'General Info'!$B$12,"Continue", "Stop")</f>
        <v>Continue</v>
      </c>
      <c r="BM952" s="23" t="b">
        <f>IF(Audit[[#This Row],[Status - Continue or stop audit]] = "Continue", TRUE, IF(BL951 = "Continue", TRUE, FALSE))</f>
        <v>1</v>
      </c>
      <c r="BN952" s="23"/>
    </row>
    <row r="953" spans="1:66" ht="15" hidden="1" customHeight="1" x14ac:dyDescent="0.35">
      <c r="A953" s="18" t="str">
        <f>'Sampling Data'!AI953</f>
        <v/>
      </c>
      <c r="B953" s="18" t="str">
        <f>'Sampling Data'!A953</f>
        <v>5938 COLE LL   (ED)</v>
      </c>
      <c r="C953" s="18">
        <f>'Sampling Data'!B953</f>
        <v>41</v>
      </c>
      <c r="D953" s="18">
        <f>'Sampling Data'!C953</f>
        <v>5</v>
      </c>
      <c r="E953" s="19">
        <f>'Sampling Data'!D953</f>
        <v>0</v>
      </c>
      <c r="F953" s="19">
        <f>'Sampling Data'!E953</f>
        <v>0</v>
      </c>
      <c r="G953" s="19">
        <f>'Sampling Data'!F953</f>
        <v>0</v>
      </c>
      <c r="H953" s="19">
        <f>'Sampling Data'!G953</f>
        <v>0</v>
      </c>
      <c r="I953" s="19">
        <f>'Sampling Data'!H953</f>
        <v>0</v>
      </c>
      <c r="J953" s="19">
        <f>'Sampling Data'!I953</f>
        <v>0</v>
      </c>
      <c r="K953" s="19">
        <f>'Sampling Data'!J953</f>
        <v>0</v>
      </c>
      <c r="L953" s="19">
        <f>'Sampling Data'!K953</f>
        <v>0</v>
      </c>
      <c r="M953" s="19">
        <f>'Sampling Data'!L953</f>
        <v>0</v>
      </c>
      <c r="N953" s="19">
        <f>'Sampling Data'!M953</f>
        <v>0</v>
      </c>
      <c r="O953" s="18">
        <f>'Sampling Data'!N953</f>
        <v>0</v>
      </c>
      <c r="P953" s="18">
        <f>'Sampling Data'!O953</f>
        <v>0</v>
      </c>
      <c r="Q953" s="18">
        <f>'Sampling Data'!P953</f>
        <v>46</v>
      </c>
      <c r="R953" s="18">
        <f>'Sampling Data'!AJ953</f>
        <v>0</v>
      </c>
      <c r="S953" s="112"/>
      <c r="T953" s="112"/>
      <c r="U953" s="113"/>
      <c r="V953" s="113"/>
      <c r="W953" s="112"/>
      <c r="X953" s="112"/>
      <c r="Y953" s="112"/>
      <c r="Z953" s="112"/>
      <c r="AA953" s="15"/>
      <c r="AB953" s="15"/>
      <c r="AC953" s="15"/>
      <c r="AD953" s="15"/>
      <c r="AE953" s="114" t="str">
        <f>IF(NOT(ISBLANK(Audit[[#This Row],[Audit Winning Candidate]])), Audit[[#This Row],[Audit Winning Candidate]]-Audit[[#This Row],[Winning Candidate]], "")</f>
        <v/>
      </c>
      <c r="AF953" s="18" t="str">
        <f>IF(NOT(ISBLANK(Audit[[#This Row],[Audit Losing Candidate]])), Audit[[#This Row],[Audit Losing Candidate]]-Audit[[#This Row],[Losing Candidate]], "")</f>
        <v/>
      </c>
      <c r="AG953" s="18" t="str">
        <f>IF(NOT(ISBLANK(Audit[[#This Row],[Audit Candidate 3]])), Audit[[#This Row],[Audit Candidate 3]]-Audit[[#This Row],[Candidate 3]], "")</f>
        <v/>
      </c>
      <c r="AH953" s="18" t="str">
        <f>IF(NOT(ISBLANK(Audit[[#This Row],[Audit Candidate 4]])),Audit[[#This Row],[Audit Candidate 4]]-Audit[[#This Row],[Candidate 4]], "")</f>
        <v/>
      </c>
      <c r="AI953" s="18" t="str">
        <f>IF(NOT(ISBLANK(Audit[[#This Row],[Audit Candidate 5]])), Audit[[#This Row],[Audit Candidate 5]]-Audit[[#This Row],[Candidate 5]], "")</f>
        <v/>
      </c>
      <c r="AJ953" s="18" t="str">
        <f>IF(NOT(ISBLANK(Audit[[#This Row],[Audit Candidate 6]])), Audit[[#This Row],[Audit Candidate 6]]-Audit[[#This Row],[Candidate 6]], "")</f>
        <v/>
      </c>
      <c r="AK953" s="18" t="str">
        <f>IF(NOT(ISBLANK(Audit[[#This Row],[Audit Candidate 7]])), Audit[[#This Row],[Audit Candidate 7]]-Audit[[#This Row],[Candidate 7]], "")</f>
        <v/>
      </c>
      <c r="AL953" s="18" t="str">
        <f>IF(NOT(ISBLANK(Audit[[#This Row],[Audit Candidate 8]])), Audit[[#This Row],[Audit Candidate 8]]-Audit[[#This Row],[Candidate 8]], "")</f>
        <v/>
      </c>
      <c r="AM953" s="18" t="str">
        <f>IF(NOT(ISBLANK(Audit[[#This Row],[Audit Candidate 9]])), Audit[[#This Row],[Audit Candidate 9]]-Audit[[#This Row],[Candidate 9]], "")</f>
        <v/>
      </c>
      <c r="AN953" s="18" t="str">
        <f>IF(NOT(ISBLANK(Audit[[#This Row],[Audit Candidate 10]])), Audit[[#This Row],[Audit Candidate 10]]-Audit[[#This Row],[Candidate 10]], "")</f>
        <v/>
      </c>
      <c r="AO953" s="18" t="str">
        <f>IF(NOT(ISBLANK(Audit[[#This Row],[Audit Candidate 11]])), Audit[[#This Row],[Audit Candidate 11]]-Audit[[#This Row],[Candidate 11]], "")</f>
        <v/>
      </c>
      <c r="AP953" s="18" t="str">
        <f>IF(NOT(ISBLANK(Audit[[#This Row],[Audit Candidate 12]])), Audit[[#This Row],[Audit Candidate 12]]-Audit[[#This Row],[Candidate 12]], "")</f>
        <v/>
      </c>
      <c r="AQ953" s="18">
        <f>SUMIF(Audit[[#This Row],[Difference Winner]:[Difference Candidate 12]], "&gt;0")</f>
        <v>0</v>
      </c>
      <c r="AR953" s="18">
        <f>SUM(Audit[[#This Row],[Difference Winner]:[Difference Candidate 12]])</f>
        <v>0</v>
      </c>
      <c r="AS953" s="18">
        <f>IF(Audit[[#This Row],[Times p Drawn - With Replacement]]&gt;0, IF(Audit[[#This Row],[Canceled Differences]]&lt;0, Audit[[#This Row],[Max Differences]]+ABS(Audit[[#This Row],[Canceled Differences]]), Audit[[#This Row],[Max Differences]]), 0)</f>
        <v>0</v>
      </c>
      <c r="AT953" s="18">
        <f>'Sampling Data'!AB953</f>
        <v>2.5756195621446745E-3</v>
      </c>
      <c r="AU953" s="18">
        <f>IF(
      SUM(Audit[[#This Row],[Audit Losing Candidate]:[Audit Candidate 12]])
      &lt;&gt;0,
      (Audit[[#This Row],[Winning Candidate]]-Audit[[#This Row],[Losing Candidate]]-(Audit[[#This Row],[Audit Winning Candidate]]-Audit[[#This Row],[Audit Losing Candidate]]))/(Audit[[#Totals],[Winning Candidate]]-Audit[[#Totals],[Losing Candidate]]),
      0
)</f>
        <v>0</v>
      </c>
      <c r="AV9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8">
        <f>IF(Audit[[#This Row],[Max Relative Error (ep)]] = 0, 0, Audit[[#This Row],[Max Relative Error (ep)]]/Audit[[#This Row],[Error Bound (up) - Max. possible relative overstatement]])</f>
        <v>0</v>
      </c>
      <c r="BH9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3" s="18">
        <f t="shared" si="15"/>
        <v>1</v>
      </c>
      <c r="BJ953" s="18">
        <f>PRODUCT($BI$5:BI953)</f>
        <v>0.32656797278968008</v>
      </c>
      <c r="BK953" s="20">
        <f>1 - Audit[[#This Row],[K-M P Value]]</f>
        <v>0.67343202721031992</v>
      </c>
      <c r="BL953" s="18" t="str">
        <f>IF(Audit[[#This Row],[K-M P Value]]&gt;1-'General Info'!$B$12,"Continue", "Stop")</f>
        <v>Continue</v>
      </c>
      <c r="BM953" s="23" t="b">
        <f>IF(Audit[[#This Row],[Status - Continue or stop audit]] = "Continue", TRUE, IF(BL952 = "Continue", TRUE, FALSE))</f>
        <v>1</v>
      </c>
      <c r="BN953" s="23"/>
    </row>
    <row r="954" spans="1:66" ht="15" hidden="1" customHeight="1" x14ac:dyDescent="0.35">
      <c r="A954" s="18" t="str">
        <f>'Sampling Data'!AI954</f>
        <v/>
      </c>
      <c r="B954" s="18" t="str">
        <f>'Sampling Data'!A954</f>
        <v>6201 COLUM A   (ED)</v>
      </c>
      <c r="C954" s="18">
        <f>'Sampling Data'!B954</f>
        <v>9</v>
      </c>
      <c r="D954" s="18">
        <f>'Sampling Data'!C954</f>
        <v>1</v>
      </c>
      <c r="E954" s="19">
        <f>'Sampling Data'!D954</f>
        <v>0</v>
      </c>
      <c r="F954" s="19">
        <f>'Sampling Data'!E954</f>
        <v>0</v>
      </c>
      <c r="G954" s="19">
        <f>'Sampling Data'!F954</f>
        <v>0</v>
      </c>
      <c r="H954" s="19">
        <f>'Sampling Data'!G954</f>
        <v>0</v>
      </c>
      <c r="I954" s="19">
        <f>'Sampling Data'!H954</f>
        <v>0</v>
      </c>
      <c r="J954" s="19">
        <f>'Sampling Data'!I954</f>
        <v>0</v>
      </c>
      <c r="K954" s="19">
        <f>'Sampling Data'!J954</f>
        <v>0</v>
      </c>
      <c r="L954" s="19">
        <f>'Sampling Data'!K954</f>
        <v>0</v>
      </c>
      <c r="M954" s="19">
        <f>'Sampling Data'!L954</f>
        <v>0</v>
      </c>
      <c r="N954" s="19">
        <f>'Sampling Data'!M954</f>
        <v>0</v>
      </c>
      <c r="O954" s="18">
        <f>'Sampling Data'!N954</f>
        <v>0</v>
      </c>
      <c r="P954" s="18">
        <f>'Sampling Data'!O954</f>
        <v>0</v>
      </c>
      <c r="Q954" s="18">
        <f>'Sampling Data'!P954</f>
        <v>10</v>
      </c>
      <c r="R954" s="18">
        <f>'Sampling Data'!AJ954</f>
        <v>0</v>
      </c>
      <c r="S954" s="112"/>
      <c r="T954" s="112"/>
      <c r="U954" s="113"/>
      <c r="V954" s="113"/>
      <c r="W954" s="112"/>
      <c r="X954" s="112"/>
      <c r="Y954" s="112"/>
      <c r="Z954" s="112"/>
      <c r="AA954" s="15"/>
      <c r="AB954" s="15"/>
      <c r="AC954" s="15"/>
      <c r="AD954" s="15"/>
      <c r="AE954" s="114" t="str">
        <f>IF(NOT(ISBLANK(Audit[[#This Row],[Audit Winning Candidate]])), Audit[[#This Row],[Audit Winning Candidate]]-Audit[[#This Row],[Winning Candidate]], "")</f>
        <v/>
      </c>
      <c r="AF954" s="18" t="str">
        <f>IF(NOT(ISBLANK(Audit[[#This Row],[Audit Losing Candidate]])), Audit[[#This Row],[Audit Losing Candidate]]-Audit[[#This Row],[Losing Candidate]], "")</f>
        <v/>
      </c>
      <c r="AG954" s="18" t="str">
        <f>IF(NOT(ISBLANK(Audit[[#This Row],[Audit Candidate 3]])), Audit[[#This Row],[Audit Candidate 3]]-Audit[[#This Row],[Candidate 3]], "")</f>
        <v/>
      </c>
      <c r="AH954" s="18" t="str">
        <f>IF(NOT(ISBLANK(Audit[[#This Row],[Audit Candidate 4]])),Audit[[#This Row],[Audit Candidate 4]]-Audit[[#This Row],[Candidate 4]], "")</f>
        <v/>
      </c>
      <c r="AI954" s="18" t="str">
        <f>IF(NOT(ISBLANK(Audit[[#This Row],[Audit Candidate 5]])), Audit[[#This Row],[Audit Candidate 5]]-Audit[[#This Row],[Candidate 5]], "")</f>
        <v/>
      </c>
      <c r="AJ954" s="18" t="str">
        <f>IF(NOT(ISBLANK(Audit[[#This Row],[Audit Candidate 6]])), Audit[[#This Row],[Audit Candidate 6]]-Audit[[#This Row],[Candidate 6]], "")</f>
        <v/>
      </c>
      <c r="AK954" s="18" t="str">
        <f>IF(NOT(ISBLANK(Audit[[#This Row],[Audit Candidate 7]])), Audit[[#This Row],[Audit Candidate 7]]-Audit[[#This Row],[Candidate 7]], "")</f>
        <v/>
      </c>
      <c r="AL954" s="18" t="str">
        <f>IF(NOT(ISBLANK(Audit[[#This Row],[Audit Candidate 8]])), Audit[[#This Row],[Audit Candidate 8]]-Audit[[#This Row],[Candidate 8]], "")</f>
        <v/>
      </c>
      <c r="AM954" s="18" t="str">
        <f>IF(NOT(ISBLANK(Audit[[#This Row],[Audit Candidate 9]])), Audit[[#This Row],[Audit Candidate 9]]-Audit[[#This Row],[Candidate 9]], "")</f>
        <v/>
      </c>
      <c r="AN954" s="18" t="str">
        <f>IF(NOT(ISBLANK(Audit[[#This Row],[Audit Candidate 10]])), Audit[[#This Row],[Audit Candidate 10]]-Audit[[#This Row],[Candidate 10]], "")</f>
        <v/>
      </c>
      <c r="AO954" s="18" t="str">
        <f>IF(NOT(ISBLANK(Audit[[#This Row],[Audit Candidate 11]])), Audit[[#This Row],[Audit Candidate 11]]-Audit[[#This Row],[Candidate 11]], "")</f>
        <v/>
      </c>
      <c r="AP954" s="18" t="str">
        <f>IF(NOT(ISBLANK(Audit[[#This Row],[Audit Candidate 12]])), Audit[[#This Row],[Audit Candidate 12]]-Audit[[#This Row],[Candidate 12]], "")</f>
        <v/>
      </c>
      <c r="AQ954" s="18">
        <f>SUMIF(Audit[[#This Row],[Difference Winner]:[Difference Candidate 12]], "&gt;0")</f>
        <v>0</v>
      </c>
      <c r="AR954" s="18">
        <f>SUM(Audit[[#This Row],[Difference Winner]:[Difference Candidate 12]])</f>
        <v>0</v>
      </c>
      <c r="AS954" s="18">
        <f>IF(Audit[[#This Row],[Times p Drawn - With Replacement]]&gt;0, IF(Audit[[#This Row],[Canceled Differences]]&lt;0, Audit[[#This Row],[Max Differences]]+ABS(Audit[[#This Row],[Canceled Differences]]), Audit[[#This Row],[Max Differences]]), 0)</f>
        <v>0</v>
      </c>
      <c r="AT954" s="18">
        <f>'Sampling Data'!AB954</f>
        <v>5.6537990388541635E-4</v>
      </c>
      <c r="AU954" s="18">
        <f>IF(
      SUM(Audit[[#This Row],[Audit Losing Candidate]:[Audit Candidate 12]])
      &lt;&gt;0,
      (Audit[[#This Row],[Winning Candidate]]-Audit[[#This Row],[Losing Candidate]]-(Audit[[#This Row],[Audit Winning Candidate]]-Audit[[#This Row],[Audit Losing Candidate]]))/(Audit[[#Totals],[Winning Candidate]]-Audit[[#Totals],[Losing Candidate]]),
      0
)</f>
        <v>0</v>
      </c>
      <c r="AV9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8">
        <f>IF(Audit[[#This Row],[Max Relative Error (ep)]] = 0, 0, Audit[[#This Row],[Max Relative Error (ep)]]/Audit[[#This Row],[Error Bound (up) - Max. possible relative overstatement]])</f>
        <v>0</v>
      </c>
      <c r="BH9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4" s="18">
        <f t="shared" si="15"/>
        <v>1</v>
      </c>
      <c r="BJ954" s="18">
        <f>PRODUCT($BI$5:BI954)</f>
        <v>0.32656797278968008</v>
      </c>
      <c r="BK954" s="20">
        <f>1 - Audit[[#This Row],[K-M P Value]]</f>
        <v>0.67343202721031992</v>
      </c>
      <c r="BL954" s="18" t="str">
        <f>IF(Audit[[#This Row],[K-M P Value]]&gt;1-'General Info'!$B$12,"Continue", "Stop")</f>
        <v>Continue</v>
      </c>
      <c r="BM954" s="23" t="b">
        <f>IF(Audit[[#This Row],[Status - Continue or stop audit]] = "Continue", TRUE, IF(BL953 = "Continue", TRUE, FALSE))</f>
        <v>1</v>
      </c>
      <c r="BN954" s="23"/>
    </row>
    <row r="955" spans="1:66" ht="15" hidden="1" customHeight="1" x14ac:dyDescent="0.35">
      <c r="A955" s="18" t="str">
        <f>'Sampling Data'!AI955</f>
        <v/>
      </c>
      <c r="B955" s="18" t="str">
        <f>'Sampling Data'!A955</f>
        <v>6202 COLUM B   (ED)</v>
      </c>
      <c r="C955" s="18">
        <f>'Sampling Data'!B955</f>
        <v>24</v>
      </c>
      <c r="D955" s="18">
        <f>'Sampling Data'!C955</f>
        <v>0</v>
      </c>
      <c r="E955" s="19">
        <f>'Sampling Data'!D955</f>
        <v>0</v>
      </c>
      <c r="F955" s="19">
        <f>'Sampling Data'!E955</f>
        <v>0</v>
      </c>
      <c r="G955" s="19">
        <f>'Sampling Data'!F955</f>
        <v>0</v>
      </c>
      <c r="H955" s="19">
        <f>'Sampling Data'!G955</f>
        <v>0</v>
      </c>
      <c r="I955" s="19">
        <f>'Sampling Data'!H955</f>
        <v>0</v>
      </c>
      <c r="J955" s="19">
        <f>'Sampling Data'!I955</f>
        <v>0</v>
      </c>
      <c r="K955" s="19">
        <f>'Sampling Data'!J955</f>
        <v>0</v>
      </c>
      <c r="L955" s="19">
        <f>'Sampling Data'!K955</f>
        <v>0</v>
      </c>
      <c r="M955" s="19">
        <f>'Sampling Data'!L955</f>
        <v>0</v>
      </c>
      <c r="N955" s="19">
        <f>'Sampling Data'!M955</f>
        <v>0</v>
      </c>
      <c r="O955" s="18">
        <f>'Sampling Data'!N955</f>
        <v>0</v>
      </c>
      <c r="P955" s="18">
        <f>'Sampling Data'!O955</f>
        <v>0</v>
      </c>
      <c r="Q955" s="18">
        <f>'Sampling Data'!P955</f>
        <v>24</v>
      </c>
      <c r="R955" s="18">
        <f>'Sampling Data'!AJ955</f>
        <v>0</v>
      </c>
      <c r="S955" s="112"/>
      <c r="T955" s="112"/>
      <c r="U955" s="113"/>
      <c r="V955" s="113"/>
      <c r="W955" s="112"/>
      <c r="X955" s="112"/>
      <c r="Y955" s="112"/>
      <c r="Z955" s="112"/>
      <c r="AA955" s="15"/>
      <c r="AB955" s="15"/>
      <c r="AC955" s="15"/>
      <c r="AD955" s="15"/>
      <c r="AE955" s="114" t="str">
        <f>IF(NOT(ISBLANK(Audit[[#This Row],[Audit Winning Candidate]])), Audit[[#This Row],[Audit Winning Candidate]]-Audit[[#This Row],[Winning Candidate]], "")</f>
        <v/>
      </c>
      <c r="AF955" s="18" t="str">
        <f>IF(NOT(ISBLANK(Audit[[#This Row],[Audit Losing Candidate]])), Audit[[#This Row],[Audit Losing Candidate]]-Audit[[#This Row],[Losing Candidate]], "")</f>
        <v/>
      </c>
      <c r="AG955" s="18" t="str">
        <f>IF(NOT(ISBLANK(Audit[[#This Row],[Audit Candidate 3]])), Audit[[#This Row],[Audit Candidate 3]]-Audit[[#This Row],[Candidate 3]], "")</f>
        <v/>
      </c>
      <c r="AH955" s="18" t="str">
        <f>IF(NOT(ISBLANK(Audit[[#This Row],[Audit Candidate 4]])),Audit[[#This Row],[Audit Candidate 4]]-Audit[[#This Row],[Candidate 4]], "")</f>
        <v/>
      </c>
      <c r="AI955" s="18" t="str">
        <f>IF(NOT(ISBLANK(Audit[[#This Row],[Audit Candidate 5]])), Audit[[#This Row],[Audit Candidate 5]]-Audit[[#This Row],[Candidate 5]], "")</f>
        <v/>
      </c>
      <c r="AJ955" s="18" t="str">
        <f>IF(NOT(ISBLANK(Audit[[#This Row],[Audit Candidate 6]])), Audit[[#This Row],[Audit Candidate 6]]-Audit[[#This Row],[Candidate 6]], "")</f>
        <v/>
      </c>
      <c r="AK955" s="18" t="str">
        <f>IF(NOT(ISBLANK(Audit[[#This Row],[Audit Candidate 7]])), Audit[[#This Row],[Audit Candidate 7]]-Audit[[#This Row],[Candidate 7]], "")</f>
        <v/>
      </c>
      <c r="AL955" s="18" t="str">
        <f>IF(NOT(ISBLANK(Audit[[#This Row],[Audit Candidate 8]])), Audit[[#This Row],[Audit Candidate 8]]-Audit[[#This Row],[Candidate 8]], "")</f>
        <v/>
      </c>
      <c r="AM955" s="18" t="str">
        <f>IF(NOT(ISBLANK(Audit[[#This Row],[Audit Candidate 9]])), Audit[[#This Row],[Audit Candidate 9]]-Audit[[#This Row],[Candidate 9]], "")</f>
        <v/>
      </c>
      <c r="AN955" s="18" t="str">
        <f>IF(NOT(ISBLANK(Audit[[#This Row],[Audit Candidate 10]])), Audit[[#This Row],[Audit Candidate 10]]-Audit[[#This Row],[Candidate 10]], "")</f>
        <v/>
      </c>
      <c r="AO955" s="18" t="str">
        <f>IF(NOT(ISBLANK(Audit[[#This Row],[Audit Candidate 11]])), Audit[[#This Row],[Audit Candidate 11]]-Audit[[#This Row],[Candidate 11]], "")</f>
        <v/>
      </c>
      <c r="AP955" s="18" t="str">
        <f>IF(NOT(ISBLANK(Audit[[#This Row],[Audit Candidate 12]])), Audit[[#This Row],[Audit Candidate 12]]-Audit[[#This Row],[Candidate 12]], "")</f>
        <v/>
      </c>
      <c r="AQ955" s="18">
        <f>SUMIF(Audit[[#This Row],[Difference Winner]:[Difference Candidate 12]], "&gt;0")</f>
        <v>0</v>
      </c>
      <c r="AR955" s="18">
        <f>SUM(Audit[[#This Row],[Difference Winner]:[Difference Candidate 12]])</f>
        <v>0</v>
      </c>
      <c r="AS955" s="18">
        <f>IF(Audit[[#This Row],[Times p Drawn - With Replacement]]&gt;0, IF(Audit[[#This Row],[Canceled Differences]]&lt;0, Audit[[#This Row],[Max Differences]]+ABS(Audit[[#This Row],[Canceled Differences]]), Audit[[#This Row],[Max Differences]]), 0)</f>
        <v>0</v>
      </c>
      <c r="AT955" s="18">
        <f>'Sampling Data'!AB955</f>
        <v>1.5076797436944435E-3</v>
      </c>
      <c r="AU955" s="18">
        <f>IF(
      SUM(Audit[[#This Row],[Audit Losing Candidate]:[Audit Candidate 12]])
      &lt;&gt;0,
      (Audit[[#This Row],[Winning Candidate]]-Audit[[#This Row],[Losing Candidate]]-(Audit[[#This Row],[Audit Winning Candidate]]-Audit[[#This Row],[Audit Losing Candidate]]))/(Audit[[#Totals],[Winning Candidate]]-Audit[[#Totals],[Losing Candidate]]),
      0
)</f>
        <v>0</v>
      </c>
      <c r="AV9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8">
        <f>IF(Audit[[#This Row],[Max Relative Error (ep)]] = 0, 0, Audit[[#This Row],[Max Relative Error (ep)]]/Audit[[#This Row],[Error Bound (up) - Max. possible relative overstatement]])</f>
        <v>0</v>
      </c>
      <c r="BH9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5" s="18">
        <f t="shared" si="15"/>
        <v>1</v>
      </c>
      <c r="BJ955" s="18">
        <f>PRODUCT($BI$5:BI955)</f>
        <v>0.32656797278968008</v>
      </c>
      <c r="BK955" s="20">
        <f>1 - Audit[[#This Row],[K-M P Value]]</f>
        <v>0.67343202721031992</v>
      </c>
      <c r="BL955" s="18" t="str">
        <f>IF(Audit[[#This Row],[K-M P Value]]&gt;1-'General Info'!$B$12,"Continue", "Stop")</f>
        <v>Continue</v>
      </c>
      <c r="BM955" s="23" t="b">
        <f>IF(Audit[[#This Row],[Status - Continue or stop audit]] = "Continue", TRUE, IF(BL954 = "Continue", TRUE, FALSE))</f>
        <v>1</v>
      </c>
      <c r="BN955" s="23"/>
    </row>
    <row r="956" spans="1:66" ht="15" hidden="1" customHeight="1" x14ac:dyDescent="0.35">
      <c r="A956" s="18" t="str">
        <f>'Sampling Data'!AI956</f>
        <v/>
      </c>
      <c r="B956" s="18" t="str">
        <f>'Sampling Data'!A956</f>
        <v>6203 COLUM C   (ED)</v>
      </c>
      <c r="C956" s="18">
        <f>'Sampling Data'!B956</f>
        <v>17</v>
      </c>
      <c r="D956" s="18">
        <f>'Sampling Data'!C956</f>
        <v>2</v>
      </c>
      <c r="E956" s="19">
        <f>'Sampling Data'!D956</f>
        <v>0</v>
      </c>
      <c r="F956" s="19">
        <f>'Sampling Data'!E956</f>
        <v>0</v>
      </c>
      <c r="G956" s="19">
        <f>'Sampling Data'!F956</f>
        <v>0</v>
      </c>
      <c r="H956" s="19">
        <f>'Sampling Data'!G956</f>
        <v>0</v>
      </c>
      <c r="I956" s="19">
        <f>'Sampling Data'!H956</f>
        <v>0</v>
      </c>
      <c r="J956" s="19">
        <f>'Sampling Data'!I956</f>
        <v>0</v>
      </c>
      <c r="K956" s="19">
        <f>'Sampling Data'!J956</f>
        <v>0</v>
      </c>
      <c r="L956" s="19">
        <f>'Sampling Data'!K956</f>
        <v>0</v>
      </c>
      <c r="M956" s="19">
        <f>'Sampling Data'!L956</f>
        <v>0</v>
      </c>
      <c r="N956" s="19">
        <f>'Sampling Data'!M956</f>
        <v>0</v>
      </c>
      <c r="O956" s="18">
        <f>'Sampling Data'!N956</f>
        <v>0</v>
      </c>
      <c r="P956" s="18">
        <f>'Sampling Data'!O956</f>
        <v>0</v>
      </c>
      <c r="Q956" s="18">
        <f>'Sampling Data'!P956</f>
        <v>19</v>
      </c>
      <c r="R956" s="18">
        <f>'Sampling Data'!AJ956</f>
        <v>0</v>
      </c>
      <c r="S956" s="112"/>
      <c r="T956" s="112"/>
      <c r="U956" s="113"/>
      <c r="V956" s="113"/>
      <c r="W956" s="112"/>
      <c r="X956" s="112"/>
      <c r="Y956" s="112"/>
      <c r="Z956" s="112"/>
      <c r="AA956" s="15"/>
      <c r="AB956" s="15"/>
      <c r="AC956" s="15"/>
      <c r="AD956" s="15"/>
      <c r="AE956" s="114" t="str">
        <f>IF(NOT(ISBLANK(Audit[[#This Row],[Audit Winning Candidate]])), Audit[[#This Row],[Audit Winning Candidate]]-Audit[[#This Row],[Winning Candidate]], "")</f>
        <v/>
      </c>
      <c r="AF956" s="18" t="str">
        <f>IF(NOT(ISBLANK(Audit[[#This Row],[Audit Losing Candidate]])), Audit[[#This Row],[Audit Losing Candidate]]-Audit[[#This Row],[Losing Candidate]], "")</f>
        <v/>
      </c>
      <c r="AG956" s="18" t="str">
        <f>IF(NOT(ISBLANK(Audit[[#This Row],[Audit Candidate 3]])), Audit[[#This Row],[Audit Candidate 3]]-Audit[[#This Row],[Candidate 3]], "")</f>
        <v/>
      </c>
      <c r="AH956" s="18" t="str">
        <f>IF(NOT(ISBLANK(Audit[[#This Row],[Audit Candidate 4]])),Audit[[#This Row],[Audit Candidate 4]]-Audit[[#This Row],[Candidate 4]], "")</f>
        <v/>
      </c>
      <c r="AI956" s="18" t="str">
        <f>IF(NOT(ISBLANK(Audit[[#This Row],[Audit Candidate 5]])), Audit[[#This Row],[Audit Candidate 5]]-Audit[[#This Row],[Candidate 5]], "")</f>
        <v/>
      </c>
      <c r="AJ956" s="18" t="str">
        <f>IF(NOT(ISBLANK(Audit[[#This Row],[Audit Candidate 6]])), Audit[[#This Row],[Audit Candidate 6]]-Audit[[#This Row],[Candidate 6]], "")</f>
        <v/>
      </c>
      <c r="AK956" s="18" t="str">
        <f>IF(NOT(ISBLANK(Audit[[#This Row],[Audit Candidate 7]])), Audit[[#This Row],[Audit Candidate 7]]-Audit[[#This Row],[Candidate 7]], "")</f>
        <v/>
      </c>
      <c r="AL956" s="18" t="str">
        <f>IF(NOT(ISBLANK(Audit[[#This Row],[Audit Candidate 8]])), Audit[[#This Row],[Audit Candidate 8]]-Audit[[#This Row],[Candidate 8]], "")</f>
        <v/>
      </c>
      <c r="AM956" s="18" t="str">
        <f>IF(NOT(ISBLANK(Audit[[#This Row],[Audit Candidate 9]])), Audit[[#This Row],[Audit Candidate 9]]-Audit[[#This Row],[Candidate 9]], "")</f>
        <v/>
      </c>
      <c r="AN956" s="18" t="str">
        <f>IF(NOT(ISBLANK(Audit[[#This Row],[Audit Candidate 10]])), Audit[[#This Row],[Audit Candidate 10]]-Audit[[#This Row],[Candidate 10]], "")</f>
        <v/>
      </c>
      <c r="AO956" s="18" t="str">
        <f>IF(NOT(ISBLANK(Audit[[#This Row],[Audit Candidate 11]])), Audit[[#This Row],[Audit Candidate 11]]-Audit[[#This Row],[Candidate 11]], "")</f>
        <v/>
      </c>
      <c r="AP956" s="18" t="str">
        <f>IF(NOT(ISBLANK(Audit[[#This Row],[Audit Candidate 12]])), Audit[[#This Row],[Audit Candidate 12]]-Audit[[#This Row],[Candidate 12]], "")</f>
        <v/>
      </c>
      <c r="AQ956" s="18">
        <f>SUMIF(Audit[[#This Row],[Difference Winner]:[Difference Candidate 12]], "&gt;0")</f>
        <v>0</v>
      </c>
      <c r="AR956" s="18">
        <f>SUM(Audit[[#This Row],[Difference Winner]:[Difference Candidate 12]])</f>
        <v>0</v>
      </c>
      <c r="AS956" s="18">
        <f>IF(Audit[[#This Row],[Times p Drawn - With Replacement]]&gt;0, IF(Audit[[#This Row],[Canceled Differences]]&lt;0, Audit[[#This Row],[Max Differences]]+ABS(Audit[[#This Row],[Canceled Differences]]), Audit[[#This Row],[Max Differences]]), 0)</f>
        <v>0</v>
      </c>
      <c r="AT956" s="18">
        <f>'Sampling Data'!AB956</f>
        <v>1.0679398184502309E-3</v>
      </c>
      <c r="AU956" s="18">
        <f>IF(
      SUM(Audit[[#This Row],[Audit Losing Candidate]:[Audit Candidate 12]])
      &lt;&gt;0,
      (Audit[[#This Row],[Winning Candidate]]-Audit[[#This Row],[Losing Candidate]]-(Audit[[#This Row],[Audit Winning Candidate]]-Audit[[#This Row],[Audit Losing Candidate]]))/(Audit[[#Totals],[Winning Candidate]]-Audit[[#Totals],[Losing Candidate]]),
      0
)</f>
        <v>0</v>
      </c>
      <c r="AV9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8">
        <f>IF(Audit[[#This Row],[Max Relative Error (ep)]] = 0, 0, Audit[[#This Row],[Max Relative Error (ep)]]/Audit[[#This Row],[Error Bound (up) - Max. possible relative overstatement]])</f>
        <v>0</v>
      </c>
      <c r="BH9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6" s="18">
        <f t="shared" si="15"/>
        <v>1</v>
      </c>
      <c r="BJ956" s="18">
        <f>PRODUCT($BI$5:BI956)</f>
        <v>0.32656797278968008</v>
      </c>
      <c r="BK956" s="20">
        <f>1 - Audit[[#This Row],[K-M P Value]]</f>
        <v>0.67343202721031992</v>
      </c>
      <c r="BL956" s="18" t="str">
        <f>IF(Audit[[#This Row],[K-M P Value]]&gt;1-'General Info'!$B$12,"Continue", "Stop")</f>
        <v>Continue</v>
      </c>
      <c r="BM956" s="23" t="b">
        <f>IF(Audit[[#This Row],[Status - Continue or stop audit]] = "Continue", TRUE, IF(BL955 = "Continue", TRUE, FALSE))</f>
        <v>1</v>
      </c>
      <c r="BN956" s="23"/>
    </row>
    <row r="957" spans="1:66" ht="15" hidden="1" customHeight="1" x14ac:dyDescent="0.35">
      <c r="A957" s="18" t="str">
        <f>'Sampling Data'!AI957</f>
        <v/>
      </c>
      <c r="B957" s="18" t="str">
        <f>'Sampling Data'!A957</f>
        <v>6204 COLUM D   (ED)</v>
      </c>
      <c r="C957" s="18">
        <f>'Sampling Data'!B957</f>
        <v>3</v>
      </c>
      <c r="D957" s="18">
        <f>'Sampling Data'!C957</f>
        <v>2</v>
      </c>
      <c r="E957" s="19">
        <f>'Sampling Data'!D957</f>
        <v>0</v>
      </c>
      <c r="F957" s="19">
        <f>'Sampling Data'!E957</f>
        <v>0</v>
      </c>
      <c r="G957" s="19">
        <f>'Sampling Data'!F957</f>
        <v>0</v>
      </c>
      <c r="H957" s="19">
        <f>'Sampling Data'!G957</f>
        <v>0</v>
      </c>
      <c r="I957" s="19">
        <f>'Sampling Data'!H957</f>
        <v>0</v>
      </c>
      <c r="J957" s="19">
        <f>'Sampling Data'!I957</f>
        <v>0</v>
      </c>
      <c r="K957" s="19">
        <f>'Sampling Data'!J957</f>
        <v>0</v>
      </c>
      <c r="L957" s="19">
        <f>'Sampling Data'!K957</f>
        <v>0</v>
      </c>
      <c r="M957" s="19">
        <f>'Sampling Data'!L957</f>
        <v>0</v>
      </c>
      <c r="N957" s="19">
        <f>'Sampling Data'!M957</f>
        <v>0</v>
      </c>
      <c r="O957" s="18">
        <f>'Sampling Data'!N957</f>
        <v>0</v>
      </c>
      <c r="P957" s="18">
        <f>'Sampling Data'!O957</f>
        <v>0</v>
      </c>
      <c r="Q957" s="18">
        <f>'Sampling Data'!P957</f>
        <v>5</v>
      </c>
      <c r="R957" s="18">
        <f>'Sampling Data'!AJ957</f>
        <v>0</v>
      </c>
      <c r="S957" s="112"/>
      <c r="T957" s="112"/>
      <c r="U957" s="113"/>
      <c r="V957" s="113"/>
      <c r="W957" s="112"/>
      <c r="X957" s="112"/>
      <c r="Y957" s="112"/>
      <c r="Z957" s="112"/>
      <c r="AA957" s="15"/>
      <c r="AB957" s="15"/>
      <c r="AC957" s="15"/>
      <c r="AD957" s="15"/>
      <c r="AE957" s="114" t="str">
        <f>IF(NOT(ISBLANK(Audit[[#This Row],[Audit Winning Candidate]])), Audit[[#This Row],[Audit Winning Candidate]]-Audit[[#This Row],[Winning Candidate]], "")</f>
        <v/>
      </c>
      <c r="AF957" s="18" t="str">
        <f>IF(NOT(ISBLANK(Audit[[#This Row],[Audit Losing Candidate]])), Audit[[#This Row],[Audit Losing Candidate]]-Audit[[#This Row],[Losing Candidate]], "")</f>
        <v/>
      </c>
      <c r="AG957" s="18" t="str">
        <f>IF(NOT(ISBLANK(Audit[[#This Row],[Audit Candidate 3]])), Audit[[#This Row],[Audit Candidate 3]]-Audit[[#This Row],[Candidate 3]], "")</f>
        <v/>
      </c>
      <c r="AH957" s="18" t="str">
        <f>IF(NOT(ISBLANK(Audit[[#This Row],[Audit Candidate 4]])),Audit[[#This Row],[Audit Candidate 4]]-Audit[[#This Row],[Candidate 4]], "")</f>
        <v/>
      </c>
      <c r="AI957" s="18" t="str">
        <f>IF(NOT(ISBLANK(Audit[[#This Row],[Audit Candidate 5]])), Audit[[#This Row],[Audit Candidate 5]]-Audit[[#This Row],[Candidate 5]], "")</f>
        <v/>
      </c>
      <c r="AJ957" s="18" t="str">
        <f>IF(NOT(ISBLANK(Audit[[#This Row],[Audit Candidate 6]])), Audit[[#This Row],[Audit Candidate 6]]-Audit[[#This Row],[Candidate 6]], "")</f>
        <v/>
      </c>
      <c r="AK957" s="18" t="str">
        <f>IF(NOT(ISBLANK(Audit[[#This Row],[Audit Candidate 7]])), Audit[[#This Row],[Audit Candidate 7]]-Audit[[#This Row],[Candidate 7]], "")</f>
        <v/>
      </c>
      <c r="AL957" s="18" t="str">
        <f>IF(NOT(ISBLANK(Audit[[#This Row],[Audit Candidate 8]])), Audit[[#This Row],[Audit Candidate 8]]-Audit[[#This Row],[Candidate 8]], "")</f>
        <v/>
      </c>
      <c r="AM957" s="18" t="str">
        <f>IF(NOT(ISBLANK(Audit[[#This Row],[Audit Candidate 9]])), Audit[[#This Row],[Audit Candidate 9]]-Audit[[#This Row],[Candidate 9]], "")</f>
        <v/>
      </c>
      <c r="AN957" s="18" t="str">
        <f>IF(NOT(ISBLANK(Audit[[#This Row],[Audit Candidate 10]])), Audit[[#This Row],[Audit Candidate 10]]-Audit[[#This Row],[Candidate 10]], "")</f>
        <v/>
      </c>
      <c r="AO957" s="18" t="str">
        <f>IF(NOT(ISBLANK(Audit[[#This Row],[Audit Candidate 11]])), Audit[[#This Row],[Audit Candidate 11]]-Audit[[#This Row],[Candidate 11]], "")</f>
        <v/>
      </c>
      <c r="AP957" s="18" t="str">
        <f>IF(NOT(ISBLANK(Audit[[#This Row],[Audit Candidate 12]])), Audit[[#This Row],[Audit Candidate 12]]-Audit[[#This Row],[Candidate 12]], "")</f>
        <v/>
      </c>
      <c r="AQ957" s="18">
        <f>SUMIF(Audit[[#This Row],[Difference Winner]:[Difference Candidate 12]], "&gt;0")</f>
        <v>0</v>
      </c>
      <c r="AR957" s="18">
        <f>SUM(Audit[[#This Row],[Difference Winner]:[Difference Candidate 12]])</f>
        <v>0</v>
      </c>
      <c r="AS957" s="18">
        <f>IF(Audit[[#This Row],[Times p Drawn - With Replacement]]&gt;0, IF(Audit[[#This Row],[Canceled Differences]]&lt;0, Audit[[#This Row],[Max Differences]]+ABS(Audit[[#This Row],[Canceled Differences]]), Audit[[#This Row],[Max Differences]]), 0)</f>
        <v>0</v>
      </c>
      <c r="AT957" s="18">
        <f>'Sampling Data'!AB957</f>
        <v>1.8845996796180544E-4</v>
      </c>
      <c r="AU957" s="18">
        <f>IF(
      SUM(Audit[[#This Row],[Audit Losing Candidate]:[Audit Candidate 12]])
      &lt;&gt;0,
      (Audit[[#This Row],[Winning Candidate]]-Audit[[#This Row],[Losing Candidate]]-(Audit[[#This Row],[Audit Winning Candidate]]-Audit[[#This Row],[Audit Losing Candidate]]))/(Audit[[#Totals],[Winning Candidate]]-Audit[[#Totals],[Losing Candidate]]),
      0
)</f>
        <v>0</v>
      </c>
      <c r="AV9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8">
        <f>IF(Audit[[#This Row],[Max Relative Error (ep)]] = 0, 0, Audit[[#This Row],[Max Relative Error (ep)]]/Audit[[#This Row],[Error Bound (up) - Max. possible relative overstatement]])</f>
        <v>0</v>
      </c>
      <c r="BH9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7" s="18">
        <f t="shared" si="15"/>
        <v>1</v>
      </c>
      <c r="BJ957" s="18">
        <f>PRODUCT($BI$5:BI957)</f>
        <v>0.32656797278968008</v>
      </c>
      <c r="BK957" s="20">
        <f>1 - Audit[[#This Row],[K-M P Value]]</f>
        <v>0.67343202721031992</v>
      </c>
      <c r="BL957" s="18" t="str">
        <f>IF(Audit[[#This Row],[K-M P Value]]&gt;1-'General Info'!$B$12,"Continue", "Stop")</f>
        <v>Continue</v>
      </c>
      <c r="BM957" s="23" t="b">
        <f>IF(Audit[[#This Row],[Status - Continue or stop audit]] = "Continue", TRUE, IF(BL956 = "Continue", TRUE, FALSE))</f>
        <v>1</v>
      </c>
      <c r="BN957" s="23"/>
    </row>
    <row r="958" spans="1:66" ht="15" hidden="1" customHeight="1" x14ac:dyDescent="0.35">
      <c r="A958" s="18" t="str">
        <f>'Sampling Data'!AI958</f>
        <v/>
      </c>
      <c r="B958" s="18" t="str">
        <f>'Sampling Data'!A958</f>
        <v>6205 COLUM E   (ED)</v>
      </c>
      <c r="C958" s="18">
        <f>'Sampling Data'!B958</f>
        <v>14</v>
      </c>
      <c r="D958" s="18">
        <f>'Sampling Data'!C958</f>
        <v>0</v>
      </c>
      <c r="E958" s="19">
        <f>'Sampling Data'!D958</f>
        <v>0</v>
      </c>
      <c r="F958" s="19">
        <f>'Sampling Data'!E958</f>
        <v>0</v>
      </c>
      <c r="G958" s="19">
        <f>'Sampling Data'!F958</f>
        <v>0</v>
      </c>
      <c r="H958" s="19">
        <f>'Sampling Data'!G958</f>
        <v>0</v>
      </c>
      <c r="I958" s="19">
        <f>'Sampling Data'!H958</f>
        <v>0</v>
      </c>
      <c r="J958" s="19">
        <f>'Sampling Data'!I958</f>
        <v>0</v>
      </c>
      <c r="K958" s="19">
        <f>'Sampling Data'!J958</f>
        <v>0</v>
      </c>
      <c r="L958" s="19">
        <f>'Sampling Data'!K958</f>
        <v>0</v>
      </c>
      <c r="M958" s="19">
        <f>'Sampling Data'!L958</f>
        <v>0</v>
      </c>
      <c r="N958" s="19">
        <f>'Sampling Data'!M958</f>
        <v>0</v>
      </c>
      <c r="O958" s="18">
        <f>'Sampling Data'!N958</f>
        <v>0</v>
      </c>
      <c r="P958" s="18">
        <f>'Sampling Data'!O958</f>
        <v>0</v>
      </c>
      <c r="Q958" s="18">
        <f>'Sampling Data'!P958</f>
        <v>14</v>
      </c>
      <c r="R958" s="18">
        <f>'Sampling Data'!AJ958</f>
        <v>0</v>
      </c>
      <c r="S958" s="112"/>
      <c r="T958" s="112"/>
      <c r="U958" s="113"/>
      <c r="V958" s="113"/>
      <c r="W958" s="112"/>
      <c r="X958" s="112"/>
      <c r="Y958" s="112"/>
      <c r="Z958" s="112"/>
      <c r="AA958" s="15"/>
      <c r="AB958" s="15"/>
      <c r="AC958" s="15"/>
      <c r="AD958" s="15"/>
      <c r="AE958" s="114" t="str">
        <f>IF(NOT(ISBLANK(Audit[[#This Row],[Audit Winning Candidate]])), Audit[[#This Row],[Audit Winning Candidate]]-Audit[[#This Row],[Winning Candidate]], "")</f>
        <v/>
      </c>
      <c r="AF958" s="18" t="str">
        <f>IF(NOT(ISBLANK(Audit[[#This Row],[Audit Losing Candidate]])), Audit[[#This Row],[Audit Losing Candidate]]-Audit[[#This Row],[Losing Candidate]], "")</f>
        <v/>
      </c>
      <c r="AG958" s="18" t="str">
        <f>IF(NOT(ISBLANK(Audit[[#This Row],[Audit Candidate 3]])), Audit[[#This Row],[Audit Candidate 3]]-Audit[[#This Row],[Candidate 3]], "")</f>
        <v/>
      </c>
      <c r="AH958" s="18" t="str">
        <f>IF(NOT(ISBLANK(Audit[[#This Row],[Audit Candidate 4]])),Audit[[#This Row],[Audit Candidate 4]]-Audit[[#This Row],[Candidate 4]], "")</f>
        <v/>
      </c>
      <c r="AI958" s="18" t="str">
        <f>IF(NOT(ISBLANK(Audit[[#This Row],[Audit Candidate 5]])), Audit[[#This Row],[Audit Candidate 5]]-Audit[[#This Row],[Candidate 5]], "")</f>
        <v/>
      </c>
      <c r="AJ958" s="18" t="str">
        <f>IF(NOT(ISBLANK(Audit[[#This Row],[Audit Candidate 6]])), Audit[[#This Row],[Audit Candidate 6]]-Audit[[#This Row],[Candidate 6]], "")</f>
        <v/>
      </c>
      <c r="AK958" s="18" t="str">
        <f>IF(NOT(ISBLANK(Audit[[#This Row],[Audit Candidate 7]])), Audit[[#This Row],[Audit Candidate 7]]-Audit[[#This Row],[Candidate 7]], "")</f>
        <v/>
      </c>
      <c r="AL958" s="18" t="str">
        <f>IF(NOT(ISBLANK(Audit[[#This Row],[Audit Candidate 8]])), Audit[[#This Row],[Audit Candidate 8]]-Audit[[#This Row],[Candidate 8]], "")</f>
        <v/>
      </c>
      <c r="AM958" s="18" t="str">
        <f>IF(NOT(ISBLANK(Audit[[#This Row],[Audit Candidate 9]])), Audit[[#This Row],[Audit Candidate 9]]-Audit[[#This Row],[Candidate 9]], "")</f>
        <v/>
      </c>
      <c r="AN958" s="18" t="str">
        <f>IF(NOT(ISBLANK(Audit[[#This Row],[Audit Candidate 10]])), Audit[[#This Row],[Audit Candidate 10]]-Audit[[#This Row],[Candidate 10]], "")</f>
        <v/>
      </c>
      <c r="AO958" s="18" t="str">
        <f>IF(NOT(ISBLANK(Audit[[#This Row],[Audit Candidate 11]])), Audit[[#This Row],[Audit Candidate 11]]-Audit[[#This Row],[Candidate 11]], "")</f>
        <v/>
      </c>
      <c r="AP958" s="18" t="str">
        <f>IF(NOT(ISBLANK(Audit[[#This Row],[Audit Candidate 12]])), Audit[[#This Row],[Audit Candidate 12]]-Audit[[#This Row],[Candidate 12]], "")</f>
        <v/>
      </c>
      <c r="AQ958" s="18">
        <f>SUMIF(Audit[[#This Row],[Difference Winner]:[Difference Candidate 12]], "&gt;0")</f>
        <v>0</v>
      </c>
      <c r="AR958" s="18">
        <f>SUM(Audit[[#This Row],[Difference Winner]:[Difference Candidate 12]])</f>
        <v>0</v>
      </c>
      <c r="AS958" s="18">
        <f>IF(Audit[[#This Row],[Times p Drawn - With Replacement]]&gt;0, IF(Audit[[#This Row],[Canceled Differences]]&lt;0, Audit[[#This Row],[Max Differences]]+ABS(Audit[[#This Row],[Canceled Differences]]), Audit[[#This Row],[Max Differences]]), 0)</f>
        <v>0</v>
      </c>
      <c r="AT958" s="18">
        <f>'Sampling Data'!AB958</f>
        <v>8.7947985048842541E-4</v>
      </c>
      <c r="AU958" s="18">
        <f>IF(
      SUM(Audit[[#This Row],[Audit Losing Candidate]:[Audit Candidate 12]])
      &lt;&gt;0,
      (Audit[[#This Row],[Winning Candidate]]-Audit[[#This Row],[Losing Candidate]]-(Audit[[#This Row],[Audit Winning Candidate]]-Audit[[#This Row],[Audit Losing Candidate]]))/(Audit[[#Totals],[Winning Candidate]]-Audit[[#Totals],[Losing Candidate]]),
      0
)</f>
        <v>0</v>
      </c>
      <c r="AV9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8">
        <f>IF(Audit[[#This Row],[Max Relative Error (ep)]] = 0, 0, Audit[[#This Row],[Max Relative Error (ep)]]/Audit[[#This Row],[Error Bound (up) - Max. possible relative overstatement]])</f>
        <v>0</v>
      </c>
      <c r="BH9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8" s="18">
        <f t="shared" si="15"/>
        <v>1</v>
      </c>
      <c r="BJ958" s="18">
        <f>PRODUCT($BI$5:BI958)</f>
        <v>0.32656797278968008</v>
      </c>
      <c r="BK958" s="20">
        <f>1 - Audit[[#This Row],[K-M P Value]]</f>
        <v>0.67343202721031992</v>
      </c>
      <c r="BL958" s="18" t="str">
        <f>IF(Audit[[#This Row],[K-M P Value]]&gt;1-'General Info'!$B$12,"Continue", "Stop")</f>
        <v>Continue</v>
      </c>
      <c r="BM958" s="23" t="b">
        <f>IF(Audit[[#This Row],[Status - Continue or stop audit]] = "Continue", TRUE, IF(BL957 = "Continue", TRUE, FALSE))</f>
        <v>1</v>
      </c>
      <c r="BN958" s="23"/>
    </row>
    <row r="959" spans="1:66" ht="15" hidden="1" customHeight="1" x14ac:dyDescent="0.35">
      <c r="A959" s="18" t="str">
        <f>'Sampling Data'!AI959</f>
        <v/>
      </c>
      <c r="B959" s="18" t="str">
        <f>'Sampling Data'!A959</f>
        <v>6206 COLUM F   (ED)</v>
      </c>
      <c r="C959" s="18">
        <f>'Sampling Data'!B959</f>
        <v>16</v>
      </c>
      <c r="D959" s="18">
        <f>'Sampling Data'!C959</f>
        <v>1</v>
      </c>
      <c r="E959" s="19">
        <f>'Sampling Data'!D959</f>
        <v>0</v>
      </c>
      <c r="F959" s="19">
        <f>'Sampling Data'!E959</f>
        <v>0</v>
      </c>
      <c r="G959" s="19">
        <f>'Sampling Data'!F959</f>
        <v>0</v>
      </c>
      <c r="H959" s="19">
        <f>'Sampling Data'!G959</f>
        <v>0</v>
      </c>
      <c r="I959" s="19">
        <f>'Sampling Data'!H959</f>
        <v>0</v>
      </c>
      <c r="J959" s="19">
        <f>'Sampling Data'!I959</f>
        <v>0</v>
      </c>
      <c r="K959" s="19">
        <f>'Sampling Data'!J959</f>
        <v>0</v>
      </c>
      <c r="L959" s="19">
        <f>'Sampling Data'!K959</f>
        <v>0</v>
      </c>
      <c r="M959" s="19">
        <f>'Sampling Data'!L959</f>
        <v>0</v>
      </c>
      <c r="N959" s="19">
        <f>'Sampling Data'!M959</f>
        <v>0</v>
      </c>
      <c r="O959" s="18">
        <f>'Sampling Data'!N959</f>
        <v>0</v>
      </c>
      <c r="P959" s="18">
        <f>'Sampling Data'!O959</f>
        <v>0</v>
      </c>
      <c r="Q959" s="18">
        <f>'Sampling Data'!P959</f>
        <v>17</v>
      </c>
      <c r="R959" s="18">
        <f>'Sampling Data'!AJ959</f>
        <v>0</v>
      </c>
      <c r="S959" s="112"/>
      <c r="T959" s="112"/>
      <c r="U959" s="113"/>
      <c r="V959" s="113"/>
      <c r="W959" s="112"/>
      <c r="X959" s="112"/>
      <c r="Y959" s="112"/>
      <c r="Z959" s="112"/>
      <c r="AA959" s="15"/>
      <c r="AB959" s="15"/>
      <c r="AC959" s="15"/>
      <c r="AD959" s="15"/>
      <c r="AE959" s="114" t="str">
        <f>IF(NOT(ISBLANK(Audit[[#This Row],[Audit Winning Candidate]])), Audit[[#This Row],[Audit Winning Candidate]]-Audit[[#This Row],[Winning Candidate]], "")</f>
        <v/>
      </c>
      <c r="AF959" s="18" t="str">
        <f>IF(NOT(ISBLANK(Audit[[#This Row],[Audit Losing Candidate]])), Audit[[#This Row],[Audit Losing Candidate]]-Audit[[#This Row],[Losing Candidate]], "")</f>
        <v/>
      </c>
      <c r="AG959" s="18" t="str">
        <f>IF(NOT(ISBLANK(Audit[[#This Row],[Audit Candidate 3]])), Audit[[#This Row],[Audit Candidate 3]]-Audit[[#This Row],[Candidate 3]], "")</f>
        <v/>
      </c>
      <c r="AH959" s="18" t="str">
        <f>IF(NOT(ISBLANK(Audit[[#This Row],[Audit Candidate 4]])),Audit[[#This Row],[Audit Candidate 4]]-Audit[[#This Row],[Candidate 4]], "")</f>
        <v/>
      </c>
      <c r="AI959" s="18" t="str">
        <f>IF(NOT(ISBLANK(Audit[[#This Row],[Audit Candidate 5]])), Audit[[#This Row],[Audit Candidate 5]]-Audit[[#This Row],[Candidate 5]], "")</f>
        <v/>
      </c>
      <c r="AJ959" s="18" t="str">
        <f>IF(NOT(ISBLANK(Audit[[#This Row],[Audit Candidate 6]])), Audit[[#This Row],[Audit Candidate 6]]-Audit[[#This Row],[Candidate 6]], "")</f>
        <v/>
      </c>
      <c r="AK959" s="18" t="str">
        <f>IF(NOT(ISBLANK(Audit[[#This Row],[Audit Candidate 7]])), Audit[[#This Row],[Audit Candidate 7]]-Audit[[#This Row],[Candidate 7]], "")</f>
        <v/>
      </c>
      <c r="AL959" s="18" t="str">
        <f>IF(NOT(ISBLANK(Audit[[#This Row],[Audit Candidate 8]])), Audit[[#This Row],[Audit Candidate 8]]-Audit[[#This Row],[Candidate 8]], "")</f>
        <v/>
      </c>
      <c r="AM959" s="18" t="str">
        <f>IF(NOT(ISBLANK(Audit[[#This Row],[Audit Candidate 9]])), Audit[[#This Row],[Audit Candidate 9]]-Audit[[#This Row],[Candidate 9]], "")</f>
        <v/>
      </c>
      <c r="AN959" s="18" t="str">
        <f>IF(NOT(ISBLANK(Audit[[#This Row],[Audit Candidate 10]])), Audit[[#This Row],[Audit Candidate 10]]-Audit[[#This Row],[Candidate 10]], "")</f>
        <v/>
      </c>
      <c r="AO959" s="18" t="str">
        <f>IF(NOT(ISBLANK(Audit[[#This Row],[Audit Candidate 11]])), Audit[[#This Row],[Audit Candidate 11]]-Audit[[#This Row],[Candidate 11]], "")</f>
        <v/>
      </c>
      <c r="AP959" s="18" t="str">
        <f>IF(NOT(ISBLANK(Audit[[#This Row],[Audit Candidate 12]])), Audit[[#This Row],[Audit Candidate 12]]-Audit[[#This Row],[Candidate 12]], "")</f>
        <v/>
      </c>
      <c r="AQ959" s="18">
        <f>SUMIF(Audit[[#This Row],[Difference Winner]:[Difference Candidate 12]], "&gt;0")</f>
        <v>0</v>
      </c>
      <c r="AR959" s="18">
        <f>SUM(Audit[[#This Row],[Difference Winner]:[Difference Candidate 12]])</f>
        <v>0</v>
      </c>
      <c r="AS959" s="18">
        <f>IF(Audit[[#This Row],[Times p Drawn - With Replacement]]&gt;0, IF(Audit[[#This Row],[Canceled Differences]]&lt;0, Audit[[#This Row],[Max Differences]]+ABS(Audit[[#This Row],[Canceled Differences]]), Audit[[#This Row],[Max Differences]]), 0)</f>
        <v>0</v>
      </c>
      <c r="AT959" s="18">
        <f>'Sampling Data'!AB959</f>
        <v>1.005119829129629E-3</v>
      </c>
      <c r="AU959" s="18">
        <f>IF(
      SUM(Audit[[#This Row],[Audit Losing Candidate]:[Audit Candidate 12]])
      &lt;&gt;0,
      (Audit[[#This Row],[Winning Candidate]]-Audit[[#This Row],[Losing Candidate]]-(Audit[[#This Row],[Audit Winning Candidate]]-Audit[[#This Row],[Audit Losing Candidate]]))/(Audit[[#Totals],[Winning Candidate]]-Audit[[#Totals],[Losing Candidate]]),
      0
)</f>
        <v>0</v>
      </c>
      <c r="AV9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8">
        <f>IF(Audit[[#This Row],[Max Relative Error (ep)]] = 0, 0, Audit[[#This Row],[Max Relative Error (ep)]]/Audit[[#This Row],[Error Bound (up) - Max. possible relative overstatement]])</f>
        <v>0</v>
      </c>
      <c r="BH9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59" s="18">
        <f t="shared" si="15"/>
        <v>1</v>
      </c>
      <c r="BJ959" s="18">
        <f>PRODUCT($BI$5:BI959)</f>
        <v>0.32656797278968008</v>
      </c>
      <c r="BK959" s="20">
        <f>1 - Audit[[#This Row],[K-M P Value]]</f>
        <v>0.67343202721031992</v>
      </c>
      <c r="BL959" s="18" t="str">
        <f>IF(Audit[[#This Row],[K-M P Value]]&gt;1-'General Info'!$B$12,"Continue", "Stop")</f>
        <v>Continue</v>
      </c>
      <c r="BM959" s="23" t="b">
        <f>IF(Audit[[#This Row],[Status - Continue or stop audit]] = "Continue", TRUE, IF(BL958 = "Continue", TRUE, FALSE))</f>
        <v>1</v>
      </c>
      <c r="BN959" s="23"/>
    </row>
    <row r="960" spans="1:66" ht="15" hidden="1" customHeight="1" x14ac:dyDescent="0.35">
      <c r="A960" s="18" t="str">
        <f>'Sampling Data'!AI960</f>
        <v/>
      </c>
      <c r="B960" s="18" t="str">
        <f>'Sampling Data'!A960</f>
        <v>6207 COLUM G   (ED)</v>
      </c>
      <c r="C960" s="18">
        <f>'Sampling Data'!B960</f>
        <v>33</v>
      </c>
      <c r="D960" s="18">
        <f>'Sampling Data'!C960</f>
        <v>4</v>
      </c>
      <c r="E960" s="19">
        <f>'Sampling Data'!D960</f>
        <v>0</v>
      </c>
      <c r="F960" s="19">
        <f>'Sampling Data'!E960</f>
        <v>0</v>
      </c>
      <c r="G960" s="19">
        <f>'Sampling Data'!F960</f>
        <v>0</v>
      </c>
      <c r="H960" s="19">
        <f>'Sampling Data'!G960</f>
        <v>0</v>
      </c>
      <c r="I960" s="19">
        <f>'Sampling Data'!H960</f>
        <v>0</v>
      </c>
      <c r="J960" s="19">
        <f>'Sampling Data'!I960</f>
        <v>0</v>
      </c>
      <c r="K960" s="19">
        <f>'Sampling Data'!J960</f>
        <v>0</v>
      </c>
      <c r="L960" s="19">
        <f>'Sampling Data'!K960</f>
        <v>0</v>
      </c>
      <c r="M960" s="19">
        <f>'Sampling Data'!L960</f>
        <v>0</v>
      </c>
      <c r="N960" s="19">
        <f>'Sampling Data'!M960</f>
        <v>0</v>
      </c>
      <c r="O960" s="18">
        <f>'Sampling Data'!N960</f>
        <v>0</v>
      </c>
      <c r="P960" s="18">
        <f>'Sampling Data'!O960</f>
        <v>0</v>
      </c>
      <c r="Q960" s="18">
        <f>'Sampling Data'!P960</f>
        <v>37</v>
      </c>
      <c r="R960" s="18">
        <f>'Sampling Data'!AJ960</f>
        <v>0</v>
      </c>
      <c r="S960" s="112"/>
      <c r="T960" s="112"/>
      <c r="U960" s="113"/>
      <c r="V960" s="113"/>
      <c r="W960" s="112"/>
      <c r="X960" s="112"/>
      <c r="Y960" s="112"/>
      <c r="Z960" s="112"/>
      <c r="AA960" s="15"/>
      <c r="AB960" s="15"/>
      <c r="AC960" s="15"/>
      <c r="AD960" s="15"/>
      <c r="AE960" s="114" t="str">
        <f>IF(NOT(ISBLANK(Audit[[#This Row],[Audit Winning Candidate]])), Audit[[#This Row],[Audit Winning Candidate]]-Audit[[#This Row],[Winning Candidate]], "")</f>
        <v/>
      </c>
      <c r="AF960" s="18" t="str">
        <f>IF(NOT(ISBLANK(Audit[[#This Row],[Audit Losing Candidate]])), Audit[[#This Row],[Audit Losing Candidate]]-Audit[[#This Row],[Losing Candidate]], "")</f>
        <v/>
      </c>
      <c r="AG960" s="18" t="str">
        <f>IF(NOT(ISBLANK(Audit[[#This Row],[Audit Candidate 3]])), Audit[[#This Row],[Audit Candidate 3]]-Audit[[#This Row],[Candidate 3]], "")</f>
        <v/>
      </c>
      <c r="AH960" s="18" t="str">
        <f>IF(NOT(ISBLANK(Audit[[#This Row],[Audit Candidate 4]])),Audit[[#This Row],[Audit Candidate 4]]-Audit[[#This Row],[Candidate 4]], "")</f>
        <v/>
      </c>
      <c r="AI960" s="18" t="str">
        <f>IF(NOT(ISBLANK(Audit[[#This Row],[Audit Candidate 5]])), Audit[[#This Row],[Audit Candidate 5]]-Audit[[#This Row],[Candidate 5]], "")</f>
        <v/>
      </c>
      <c r="AJ960" s="18" t="str">
        <f>IF(NOT(ISBLANK(Audit[[#This Row],[Audit Candidate 6]])), Audit[[#This Row],[Audit Candidate 6]]-Audit[[#This Row],[Candidate 6]], "")</f>
        <v/>
      </c>
      <c r="AK960" s="18" t="str">
        <f>IF(NOT(ISBLANK(Audit[[#This Row],[Audit Candidate 7]])), Audit[[#This Row],[Audit Candidate 7]]-Audit[[#This Row],[Candidate 7]], "")</f>
        <v/>
      </c>
      <c r="AL960" s="18" t="str">
        <f>IF(NOT(ISBLANK(Audit[[#This Row],[Audit Candidate 8]])), Audit[[#This Row],[Audit Candidate 8]]-Audit[[#This Row],[Candidate 8]], "")</f>
        <v/>
      </c>
      <c r="AM960" s="18" t="str">
        <f>IF(NOT(ISBLANK(Audit[[#This Row],[Audit Candidate 9]])), Audit[[#This Row],[Audit Candidate 9]]-Audit[[#This Row],[Candidate 9]], "")</f>
        <v/>
      </c>
      <c r="AN960" s="18" t="str">
        <f>IF(NOT(ISBLANK(Audit[[#This Row],[Audit Candidate 10]])), Audit[[#This Row],[Audit Candidate 10]]-Audit[[#This Row],[Candidate 10]], "")</f>
        <v/>
      </c>
      <c r="AO960" s="18" t="str">
        <f>IF(NOT(ISBLANK(Audit[[#This Row],[Audit Candidate 11]])), Audit[[#This Row],[Audit Candidate 11]]-Audit[[#This Row],[Candidate 11]], "")</f>
        <v/>
      </c>
      <c r="AP960" s="18" t="str">
        <f>IF(NOT(ISBLANK(Audit[[#This Row],[Audit Candidate 12]])), Audit[[#This Row],[Audit Candidate 12]]-Audit[[#This Row],[Candidate 12]], "")</f>
        <v/>
      </c>
      <c r="AQ960" s="18">
        <f>SUMIF(Audit[[#This Row],[Difference Winner]:[Difference Candidate 12]], "&gt;0")</f>
        <v>0</v>
      </c>
      <c r="AR960" s="18">
        <f>SUM(Audit[[#This Row],[Difference Winner]:[Difference Candidate 12]])</f>
        <v>0</v>
      </c>
      <c r="AS960" s="18">
        <f>IF(Audit[[#This Row],[Times p Drawn - With Replacement]]&gt;0, IF(Audit[[#This Row],[Canceled Differences]]&lt;0, Audit[[#This Row],[Max Differences]]+ABS(Audit[[#This Row],[Canceled Differences]]), Audit[[#This Row],[Max Differences]]), 0)</f>
        <v>0</v>
      </c>
      <c r="AT960" s="18">
        <f>'Sampling Data'!AB960</f>
        <v>2.0730596475798599E-3</v>
      </c>
      <c r="AU960" s="18">
        <f>IF(
      SUM(Audit[[#This Row],[Audit Losing Candidate]:[Audit Candidate 12]])
      &lt;&gt;0,
      (Audit[[#This Row],[Winning Candidate]]-Audit[[#This Row],[Losing Candidate]]-(Audit[[#This Row],[Audit Winning Candidate]]-Audit[[#This Row],[Audit Losing Candidate]]))/(Audit[[#Totals],[Winning Candidate]]-Audit[[#Totals],[Losing Candidate]]),
      0
)</f>
        <v>0</v>
      </c>
      <c r="AV9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8">
        <f>IF(Audit[[#This Row],[Max Relative Error (ep)]] = 0, 0, Audit[[#This Row],[Max Relative Error (ep)]]/Audit[[#This Row],[Error Bound (up) - Max. possible relative overstatement]])</f>
        <v>0</v>
      </c>
      <c r="BH9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0" s="18">
        <f t="shared" si="15"/>
        <v>1</v>
      </c>
      <c r="BJ960" s="18">
        <f>PRODUCT($BI$5:BI960)</f>
        <v>0.32656797278968008</v>
      </c>
      <c r="BK960" s="20">
        <f>1 - Audit[[#This Row],[K-M P Value]]</f>
        <v>0.67343202721031992</v>
      </c>
      <c r="BL960" s="18" t="str">
        <f>IF(Audit[[#This Row],[K-M P Value]]&gt;1-'General Info'!$B$12,"Continue", "Stop")</f>
        <v>Continue</v>
      </c>
      <c r="BM960" s="23" t="b">
        <f>IF(Audit[[#This Row],[Status - Continue or stop audit]] = "Continue", TRUE, IF(BL959 = "Continue", TRUE, FALSE))</f>
        <v>1</v>
      </c>
      <c r="BN960" s="23"/>
    </row>
    <row r="961" spans="1:66" ht="15" hidden="1" customHeight="1" x14ac:dyDescent="0.35">
      <c r="A961" s="18" t="str">
        <f>'Sampling Data'!AI961</f>
        <v/>
      </c>
      <c r="B961" s="18" t="str">
        <f>'Sampling Data'!A961</f>
        <v>6208 COLUM H   (ED)</v>
      </c>
      <c r="C961" s="18">
        <f>'Sampling Data'!B961</f>
        <v>0</v>
      </c>
      <c r="D961" s="18">
        <f>'Sampling Data'!C961</f>
        <v>0</v>
      </c>
      <c r="E961" s="19">
        <f>'Sampling Data'!D961</f>
        <v>0</v>
      </c>
      <c r="F961" s="19">
        <f>'Sampling Data'!E961</f>
        <v>0</v>
      </c>
      <c r="G961" s="19">
        <f>'Sampling Data'!F961</f>
        <v>0</v>
      </c>
      <c r="H961" s="19">
        <f>'Sampling Data'!G961</f>
        <v>0</v>
      </c>
      <c r="I961" s="19">
        <f>'Sampling Data'!H961</f>
        <v>0</v>
      </c>
      <c r="J961" s="19">
        <f>'Sampling Data'!I961</f>
        <v>0</v>
      </c>
      <c r="K961" s="19">
        <f>'Sampling Data'!J961</f>
        <v>0</v>
      </c>
      <c r="L961" s="19">
        <f>'Sampling Data'!K961</f>
        <v>0</v>
      </c>
      <c r="M961" s="19">
        <f>'Sampling Data'!L961</f>
        <v>0</v>
      </c>
      <c r="N961" s="19">
        <f>'Sampling Data'!M961</f>
        <v>0</v>
      </c>
      <c r="O961" s="18">
        <f>'Sampling Data'!N961</f>
        <v>0</v>
      </c>
      <c r="P961" s="18">
        <f>'Sampling Data'!O961</f>
        <v>0</v>
      </c>
      <c r="Q961" s="18">
        <f>'Sampling Data'!P961</f>
        <v>0</v>
      </c>
      <c r="R961" s="18">
        <f>'Sampling Data'!AJ961</f>
        <v>0</v>
      </c>
      <c r="S961" s="112"/>
      <c r="T961" s="112"/>
      <c r="U961" s="113"/>
      <c r="V961" s="113"/>
      <c r="W961" s="112"/>
      <c r="X961" s="112"/>
      <c r="Y961" s="112"/>
      <c r="Z961" s="112"/>
      <c r="AA961" s="15"/>
      <c r="AB961" s="15"/>
      <c r="AC961" s="15"/>
      <c r="AD961" s="15"/>
      <c r="AE961" s="114" t="str">
        <f>IF(NOT(ISBLANK(Audit[[#This Row],[Audit Winning Candidate]])), Audit[[#This Row],[Audit Winning Candidate]]-Audit[[#This Row],[Winning Candidate]], "")</f>
        <v/>
      </c>
      <c r="AF961" s="18" t="str">
        <f>IF(NOT(ISBLANK(Audit[[#This Row],[Audit Losing Candidate]])), Audit[[#This Row],[Audit Losing Candidate]]-Audit[[#This Row],[Losing Candidate]], "")</f>
        <v/>
      </c>
      <c r="AG961" s="18" t="str">
        <f>IF(NOT(ISBLANK(Audit[[#This Row],[Audit Candidate 3]])), Audit[[#This Row],[Audit Candidate 3]]-Audit[[#This Row],[Candidate 3]], "")</f>
        <v/>
      </c>
      <c r="AH961" s="18" t="str">
        <f>IF(NOT(ISBLANK(Audit[[#This Row],[Audit Candidate 4]])),Audit[[#This Row],[Audit Candidate 4]]-Audit[[#This Row],[Candidate 4]], "")</f>
        <v/>
      </c>
      <c r="AI961" s="18" t="str">
        <f>IF(NOT(ISBLANK(Audit[[#This Row],[Audit Candidate 5]])), Audit[[#This Row],[Audit Candidate 5]]-Audit[[#This Row],[Candidate 5]], "")</f>
        <v/>
      </c>
      <c r="AJ961" s="18" t="str">
        <f>IF(NOT(ISBLANK(Audit[[#This Row],[Audit Candidate 6]])), Audit[[#This Row],[Audit Candidate 6]]-Audit[[#This Row],[Candidate 6]], "")</f>
        <v/>
      </c>
      <c r="AK961" s="18" t="str">
        <f>IF(NOT(ISBLANK(Audit[[#This Row],[Audit Candidate 7]])), Audit[[#This Row],[Audit Candidate 7]]-Audit[[#This Row],[Candidate 7]], "")</f>
        <v/>
      </c>
      <c r="AL961" s="18" t="str">
        <f>IF(NOT(ISBLANK(Audit[[#This Row],[Audit Candidate 8]])), Audit[[#This Row],[Audit Candidate 8]]-Audit[[#This Row],[Candidate 8]], "")</f>
        <v/>
      </c>
      <c r="AM961" s="18" t="str">
        <f>IF(NOT(ISBLANK(Audit[[#This Row],[Audit Candidate 9]])), Audit[[#This Row],[Audit Candidate 9]]-Audit[[#This Row],[Candidate 9]], "")</f>
        <v/>
      </c>
      <c r="AN961" s="18" t="str">
        <f>IF(NOT(ISBLANK(Audit[[#This Row],[Audit Candidate 10]])), Audit[[#This Row],[Audit Candidate 10]]-Audit[[#This Row],[Candidate 10]], "")</f>
        <v/>
      </c>
      <c r="AO961" s="18" t="str">
        <f>IF(NOT(ISBLANK(Audit[[#This Row],[Audit Candidate 11]])), Audit[[#This Row],[Audit Candidate 11]]-Audit[[#This Row],[Candidate 11]], "")</f>
        <v/>
      </c>
      <c r="AP961" s="18" t="str">
        <f>IF(NOT(ISBLANK(Audit[[#This Row],[Audit Candidate 12]])), Audit[[#This Row],[Audit Candidate 12]]-Audit[[#This Row],[Candidate 12]], "")</f>
        <v/>
      </c>
      <c r="AQ961" s="18">
        <f>SUMIF(Audit[[#This Row],[Difference Winner]:[Difference Candidate 12]], "&gt;0")</f>
        <v>0</v>
      </c>
      <c r="AR961" s="18">
        <f>SUM(Audit[[#This Row],[Difference Winner]:[Difference Candidate 12]])</f>
        <v>0</v>
      </c>
      <c r="AS961" s="18">
        <f>IF(Audit[[#This Row],[Times p Drawn - With Replacement]]&gt;0, IF(Audit[[#This Row],[Canceled Differences]]&lt;0, Audit[[#This Row],[Max Differences]]+ABS(Audit[[#This Row],[Canceled Differences]]), Audit[[#This Row],[Max Differences]]), 0)</f>
        <v>0</v>
      </c>
      <c r="AT961" s="18">
        <f>'Sampling Data'!AB961</f>
        <v>0</v>
      </c>
      <c r="AU961" s="18">
        <f>IF(
      SUM(Audit[[#This Row],[Audit Losing Candidate]:[Audit Candidate 12]])
      &lt;&gt;0,
      (Audit[[#This Row],[Winning Candidate]]-Audit[[#This Row],[Losing Candidate]]-(Audit[[#This Row],[Audit Winning Candidate]]-Audit[[#This Row],[Audit Losing Candidate]]))/(Audit[[#Totals],[Winning Candidate]]-Audit[[#Totals],[Losing Candidate]]),
      0
)</f>
        <v>0</v>
      </c>
      <c r="AV9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8">
        <f>IF(Audit[[#This Row],[Max Relative Error (ep)]] = 0, 0, Audit[[#This Row],[Max Relative Error (ep)]]/Audit[[#This Row],[Error Bound (up) - Max. possible relative overstatement]])</f>
        <v>0</v>
      </c>
      <c r="BH9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1" s="18">
        <f t="shared" si="15"/>
        <v>1</v>
      </c>
      <c r="BJ961" s="18">
        <f>PRODUCT($BI$5:BI961)</f>
        <v>0.32656797278968008</v>
      </c>
      <c r="BK961" s="20">
        <f>1 - Audit[[#This Row],[K-M P Value]]</f>
        <v>0.67343202721031992</v>
      </c>
      <c r="BL961" s="18" t="str">
        <f>IF(Audit[[#This Row],[K-M P Value]]&gt;1-'General Info'!$B$12,"Continue", "Stop")</f>
        <v>Continue</v>
      </c>
      <c r="BM961" s="23" t="b">
        <f>IF(Audit[[#This Row],[Status - Continue or stop audit]] = "Continue", TRUE, IF(BL960 = "Continue", TRUE, FALSE))</f>
        <v>1</v>
      </c>
      <c r="BN961" s="23"/>
    </row>
    <row r="962" spans="1:66" ht="15" hidden="1" customHeight="1" x14ac:dyDescent="0.35">
      <c r="A962" s="18" t="str">
        <f>'Sampling Data'!AI962</f>
        <v/>
      </c>
      <c r="B962" s="18" t="str">
        <f>'Sampling Data'!A962</f>
        <v>6209 COLUM I   (ED)</v>
      </c>
      <c r="C962" s="18">
        <f>'Sampling Data'!B962</f>
        <v>4</v>
      </c>
      <c r="D962" s="18">
        <f>'Sampling Data'!C962</f>
        <v>3</v>
      </c>
      <c r="E962" s="19">
        <f>'Sampling Data'!D962</f>
        <v>0</v>
      </c>
      <c r="F962" s="19">
        <f>'Sampling Data'!E962</f>
        <v>0</v>
      </c>
      <c r="G962" s="19">
        <f>'Sampling Data'!F962</f>
        <v>0</v>
      </c>
      <c r="H962" s="19">
        <f>'Sampling Data'!G962</f>
        <v>0</v>
      </c>
      <c r="I962" s="19">
        <f>'Sampling Data'!H962</f>
        <v>0</v>
      </c>
      <c r="J962" s="19">
        <f>'Sampling Data'!I962</f>
        <v>0</v>
      </c>
      <c r="K962" s="19">
        <f>'Sampling Data'!J962</f>
        <v>0</v>
      </c>
      <c r="L962" s="19">
        <f>'Sampling Data'!K962</f>
        <v>0</v>
      </c>
      <c r="M962" s="19">
        <f>'Sampling Data'!L962</f>
        <v>0</v>
      </c>
      <c r="N962" s="19">
        <f>'Sampling Data'!M962</f>
        <v>0</v>
      </c>
      <c r="O962" s="18">
        <f>'Sampling Data'!N962</f>
        <v>0</v>
      </c>
      <c r="P962" s="18">
        <f>'Sampling Data'!O962</f>
        <v>0</v>
      </c>
      <c r="Q962" s="18">
        <f>'Sampling Data'!P962</f>
        <v>7</v>
      </c>
      <c r="R962" s="18">
        <f>'Sampling Data'!AJ962</f>
        <v>0</v>
      </c>
      <c r="S962" s="112"/>
      <c r="T962" s="112"/>
      <c r="U962" s="113"/>
      <c r="V962" s="113"/>
      <c r="W962" s="112"/>
      <c r="X962" s="112"/>
      <c r="Y962" s="112"/>
      <c r="Z962" s="112"/>
      <c r="AA962" s="15"/>
      <c r="AB962" s="15"/>
      <c r="AC962" s="15"/>
      <c r="AD962" s="15"/>
      <c r="AE962" s="114" t="str">
        <f>IF(NOT(ISBLANK(Audit[[#This Row],[Audit Winning Candidate]])), Audit[[#This Row],[Audit Winning Candidate]]-Audit[[#This Row],[Winning Candidate]], "")</f>
        <v/>
      </c>
      <c r="AF962" s="18" t="str">
        <f>IF(NOT(ISBLANK(Audit[[#This Row],[Audit Losing Candidate]])), Audit[[#This Row],[Audit Losing Candidate]]-Audit[[#This Row],[Losing Candidate]], "")</f>
        <v/>
      </c>
      <c r="AG962" s="18" t="str">
        <f>IF(NOT(ISBLANK(Audit[[#This Row],[Audit Candidate 3]])), Audit[[#This Row],[Audit Candidate 3]]-Audit[[#This Row],[Candidate 3]], "")</f>
        <v/>
      </c>
      <c r="AH962" s="18" t="str">
        <f>IF(NOT(ISBLANK(Audit[[#This Row],[Audit Candidate 4]])),Audit[[#This Row],[Audit Candidate 4]]-Audit[[#This Row],[Candidate 4]], "")</f>
        <v/>
      </c>
      <c r="AI962" s="18" t="str">
        <f>IF(NOT(ISBLANK(Audit[[#This Row],[Audit Candidate 5]])), Audit[[#This Row],[Audit Candidate 5]]-Audit[[#This Row],[Candidate 5]], "")</f>
        <v/>
      </c>
      <c r="AJ962" s="18" t="str">
        <f>IF(NOT(ISBLANK(Audit[[#This Row],[Audit Candidate 6]])), Audit[[#This Row],[Audit Candidate 6]]-Audit[[#This Row],[Candidate 6]], "")</f>
        <v/>
      </c>
      <c r="AK962" s="18" t="str">
        <f>IF(NOT(ISBLANK(Audit[[#This Row],[Audit Candidate 7]])), Audit[[#This Row],[Audit Candidate 7]]-Audit[[#This Row],[Candidate 7]], "")</f>
        <v/>
      </c>
      <c r="AL962" s="18" t="str">
        <f>IF(NOT(ISBLANK(Audit[[#This Row],[Audit Candidate 8]])), Audit[[#This Row],[Audit Candidate 8]]-Audit[[#This Row],[Candidate 8]], "")</f>
        <v/>
      </c>
      <c r="AM962" s="18" t="str">
        <f>IF(NOT(ISBLANK(Audit[[#This Row],[Audit Candidate 9]])), Audit[[#This Row],[Audit Candidate 9]]-Audit[[#This Row],[Candidate 9]], "")</f>
        <v/>
      </c>
      <c r="AN962" s="18" t="str">
        <f>IF(NOT(ISBLANK(Audit[[#This Row],[Audit Candidate 10]])), Audit[[#This Row],[Audit Candidate 10]]-Audit[[#This Row],[Candidate 10]], "")</f>
        <v/>
      </c>
      <c r="AO962" s="18" t="str">
        <f>IF(NOT(ISBLANK(Audit[[#This Row],[Audit Candidate 11]])), Audit[[#This Row],[Audit Candidate 11]]-Audit[[#This Row],[Candidate 11]], "")</f>
        <v/>
      </c>
      <c r="AP962" s="18" t="str">
        <f>IF(NOT(ISBLANK(Audit[[#This Row],[Audit Candidate 12]])), Audit[[#This Row],[Audit Candidate 12]]-Audit[[#This Row],[Candidate 12]], "")</f>
        <v/>
      </c>
      <c r="AQ962" s="18">
        <f>SUMIF(Audit[[#This Row],[Difference Winner]:[Difference Candidate 12]], "&gt;0")</f>
        <v>0</v>
      </c>
      <c r="AR962" s="18">
        <f>SUM(Audit[[#This Row],[Difference Winner]:[Difference Candidate 12]])</f>
        <v>0</v>
      </c>
      <c r="AS962" s="18">
        <f>IF(Audit[[#This Row],[Times p Drawn - With Replacement]]&gt;0, IF(Audit[[#This Row],[Canceled Differences]]&lt;0, Audit[[#This Row],[Max Differences]]+ABS(Audit[[#This Row],[Canceled Differences]]), Audit[[#This Row],[Max Differences]]), 0)</f>
        <v>0</v>
      </c>
      <c r="AT962" s="18">
        <f>'Sampling Data'!AB962</f>
        <v>2.5127995728240724E-4</v>
      </c>
      <c r="AU962" s="18">
        <f>IF(
      SUM(Audit[[#This Row],[Audit Losing Candidate]:[Audit Candidate 12]])
      &lt;&gt;0,
      (Audit[[#This Row],[Winning Candidate]]-Audit[[#This Row],[Losing Candidate]]-(Audit[[#This Row],[Audit Winning Candidate]]-Audit[[#This Row],[Audit Losing Candidate]]))/(Audit[[#Totals],[Winning Candidate]]-Audit[[#Totals],[Losing Candidate]]),
      0
)</f>
        <v>0</v>
      </c>
      <c r="AV9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8">
        <f>IF(Audit[[#This Row],[Max Relative Error (ep)]] = 0, 0, Audit[[#This Row],[Max Relative Error (ep)]]/Audit[[#This Row],[Error Bound (up) - Max. possible relative overstatement]])</f>
        <v>0</v>
      </c>
      <c r="BH9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2" s="18">
        <f t="shared" si="15"/>
        <v>1</v>
      </c>
      <c r="BJ962" s="18">
        <f>PRODUCT($BI$5:BI962)</f>
        <v>0.32656797278968008</v>
      </c>
      <c r="BK962" s="20">
        <f>1 - Audit[[#This Row],[K-M P Value]]</f>
        <v>0.67343202721031992</v>
      </c>
      <c r="BL962" s="18" t="str">
        <f>IF(Audit[[#This Row],[K-M P Value]]&gt;1-'General Info'!$B$12,"Continue", "Stop")</f>
        <v>Continue</v>
      </c>
      <c r="BM962" s="23" t="b">
        <f>IF(Audit[[#This Row],[Status - Continue or stop audit]] = "Continue", TRUE, IF(BL961 = "Continue", TRUE, FALSE))</f>
        <v>1</v>
      </c>
      <c r="BN962" s="23"/>
    </row>
    <row r="963" spans="1:66" ht="15" hidden="1" customHeight="1" x14ac:dyDescent="0.35">
      <c r="A963" s="18" t="str">
        <f>'Sampling Data'!AI963</f>
        <v/>
      </c>
      <c r="B963" s="18" t="str">
        <f>'Sampling Data'!A963</f>
        <v>6401 CROSB A   (ED)</v>
      </c>
      <c r="C963" s="18">
        <f>'Sampling Data'!B963</f>
        <v>227</v>
      </c>
      <c r="D963" s="18">
        <f>'Sampling Data'!C963</f>
        <v>19</v>
      </c>
      <c r="E963" s="19">
        <f>'Sampling Data'!D963</f>
        <v>0</v>
      </c>
      <c r="F963" s="19">
        <f>'Sampling Data'!E963</f>
        <v>0</v>
      </c>
      <c r="G963" s="19">
        <f>'Sampling Data'!F963</f>
        <v>0</v>
      </c>
      <c r="H963" s="19">
        <f>'Sampling Data'!G963</f>
        <v>0</v>
      </c>
      <c r="I963" s="19">
        <f>'Sampling Data'!H963</f>
        <v>0</v>
      </c>
      <c r="J963" s="19">
        <f>'Sampling Data'!I963</f>
        <v>0</v>
      </c>
      <c r="K963" s="19">
        <f>'Sampling Data'!J963</f>
        <v>0</v>
      </c>
      <c r="L963" s="19">
        <f>'Sampling Data'!K963</f>
        <v>0</v>
      </c>
      <c r="M963" s="19">
        <f>'Sampling Data'!L963</f>
        <v>0</v>
      </c>
      <c r="N963" s="19">
        <f>'Sampling Data'!M963</f>
        <v>0</v>
      </c>
      <c r="O963" s="18">
        <f>'Sampling Data'!N963</f>
        <v>1</v>
      </c>
      <c r="P963" s="18">
        <f>'Sampling Data'!O963</f>
        <v>13</v>
      </c>
      <c r="Q963" s="18">
        <f>'Sampling Data'!P963</f>
        <v>260</v>
      </c>
      <c r="R963" s="18">
        <f>'Sampling Data'!AJ963</f>
        <v>0</v>
      </c>
      <c r="S963" s="112"/>
      <c r="T963" s="112"/>
      <c r="U963" s="113"/>
      <c r="V963" s="113"/>
      <c r="W963" s="112"/>
      <c r="X963" s="112"/>
      <c r="Y963" s="112"/>
      <c r="Z963" s="112"/>
      <c r="AA963" s="15"/>
      <c r="AB963" s="15"/>
      <c r="AC963" s="15"/>
      <c r="AD963" s="15"/>
      <c r="AE963" s="114" t="str">
        <f>IF(NOT(ISBLANK(Audit[[#This Row],[Audit Winning Candidate]])), Audit[[#This Row],[Audit Winning Candidate]]-Audit[[#This Row],[Winning Candidate]], "")</f>
        <v/>
      </c>
      <c r="AF963" s="18" t="str">
        <f>IF(NOT(ISBLANK(Audit[[#This Row],[Audit Losing Candidate]])), Audit[[#This Row],[Audit Losing Candidate]]-Audit[[#This Row],[Losing Candidate]], "")</f>
        <v/>
      </c>
      <c r="AG963" s="18" t="str">
        <f>IF(NOT(ISBLANK(Audit[[#This Row],[Audit Candidate 3]])), Audit[[#This Row],[Audit Candidate 3]]-Audit[[#This Row],[Candidate 3]], "")</f>
        <v/>
      </c>
      <c r="AH963" s="18" t="str">
        <f>IF(NOT(ISBLANK(Audit[[#This Row],[Audit Candidate 4]])),Audit[[#This Row],[Audit Candidate 4]]-Audit[[#This Row],[Candidate 4]], "")</f>
        <v/>
      </c>
      <c r="AI963" s="18" t="str">
        <f>IF(NOT(ISBLANK(Audit[[#This Row],[Audit Candidate 5]])), Audit[[#This Row],[Audit Candidate 5]]-Audit[[#This Row],[Candidate 5]], "")</f>
        <v/>
      </c>
      <c r="AJ963" s="18" t="str">
        <f>IF(NOT(ISBLANK(Audit[[#This Row],[Audit Candidate 6]])), Audit[[#This Row],[Audit Candidate 6]]-Audit[[#This Row],[Candidate 6]], "")</f>
        <v/>
      </c>
      <c r="AK963" s="18" t="str">
        <f>IF(NOT(ISBLANK(Audit[[#This Row],[Audit Candidate 7]])), Audit[[#This Row],[Audit Candidate 7]]-Audit[[#This Row],[Candidate 7]], "")</f>
        <v/>
      </c>
      <c r="AL963" s="18" t="str">
        <f>IF(NOT(ISBLANK(Audit[[#This Row],[Audit Candidate 8]])), Audit[[#This Row],[Audit Candidate 8]]-Audit[[#This Row],[Candidate 8]], "")</f>
        <v/>
      </c>
      <c r="AM963" s="18" t="str">
        <f>IF(NOT(ISBLANK(Audit[[#This Row],[Audit Candidate 9]])), Audit[[#This Row],[Audit Candidate 9]]-Audit[[#This Row],[Candidate 9]], "")</f>
        <v/>
      </c>
      <c r="AN963" s="18" t="str">
        <f>IF(NOT(ISBLANK(Audit[[#This Row],[Audit Candidate 10]])), Audit[[#This Row],[Audit Candidate 10]]-Audit[[#This Row],[Candidate 10]], "")</f>
        <v/>
      </c>
      <c r="AO963" s="18" t="str">
        <f>IF(NOT(ISBLANK(Audit[[#This Row],[Audit Candidate 11]])), Audit[[#This Row],[Audit Candidate 11]]-Audit[[#This Row],[Candidate 11]], "")</f>
        <v/>
      </c>
      <c r="AP963" s="18" t="str">
        <f>IF(NOT(ISBLANK(Audit[[#This Row],[Audit Candidate 12]])), Audit[[#This Row],[Audit Candidate 12]]-Audit[[#This Row],[Candidate 12]], "")</f>
        <v/>
      </c>
      <c r="AQ963" s="18">
        <f>SUMIF(Audit[[#This Row],[Difference Winner]:[Difference Candidate 12]], "&gt;0")</f>
        <v>0</v>
      </c>
      <c r="AR963" s="18">
        <f>SUM(Audit[[#This Row],[Difference Winner]:[Difference Candidate 12]])</f>
        <v>0</v>
      </c>
      <c r="AS963" s="18">
        <f>IF(Audit[[#This Row],[Times p Drawn - With Replacement]]&gt;0, IF(Audit[[#This Row],[Canceled Differences]]&lt;0, Audit[[#This Row],[Max Differences]]+ABS(Audit[[#This Row],[Canceled Differences]]), Audit[[#This Row],[Max Differences]]), 0)</f>
        <v>0</v>
      </c>
      <c r="AT963" s="18">
        <f>'Sampling Data'!AB963</f>
        <v>1.4699877501020826E-2</v>
      </c>
      <c r="AU963" s="18">
        <f>IF(
      SUM(Audit[[#This Row],[Audit Losing Candidate]:[Audit Candidate 12]])
      &lt;&gt;0,
      (Audit[[#This Row],[Winning Candidate]]-Audit[[#This Row],[Losing Candidate]]-(Audit[[#This Row],[Audit Winning Candidate]]-Audit[[#This Row],[Audit Losing Candidate]]))/(Audit[[#Totals],[Winning Candidate]]-Audit[[#Totals],[Losing Candidate]]),
      0
)</f>
        <v>0</v>
      </c>
      <c r="AV9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8">
        <f>IF(Audit[[#This Row],[Max Relative Error (ep)]] = 0, 0, Audit[[#This Row],[Max Relative Error (ep)]]/Audit[[#This Row],[Error Bound (up) - Max. possible relative overstatement]])</f>
        <v>0</v>
      </c>
      <c r="BH9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3" s="18">
        <f t="shared" si="15"/>
        <v>1</v>
      </c>
      <c r="BJ963" s="18">
        <f>PRODUCT($BI$5:BI963)</f>
        <v>0.32656797278968008</v>
      </c>
      <c r="BK963" s="20">
        <f>1 - Audit[[#This Row],[K-M P Value]]</f>
        <v>0.67343202721031992</v>
      </c>
      <c r="BL963" s="18" t="str">
        <f>IF(Audit[[#This Row],[K-M P Value]]&gt;1-'General Info'!$B$12,"Continue", "Stop")</f>
        <v>Continue</v>
      </c>
      <c r="BM963" s="23" t="b">
        <f>IF(Audit[[#This Row],[Status - Continue or stop audit]] = "Continue", TRUE, IF(BL962 = "Continue", TRUE, FALSE))</f>
        <v>1</v>
      </c>
      <c r="BN963" s="23"/>
    </row>
    <row r="964" spans="1:66" ht="15" customHeight="1" x14ac:dyDescent="0.35">
      <c r="A964" s="18">
        <f>'Sampling Data'!AI964</f>
        <v>4</v>
      </c>
      <c r="B964" s="18" t="str">
        <f>'Sampling Data'!A964</f>
        <v>6402 CROSB B   (ED)</v>
      </c>
      <c r="C964" s="18">
        <f>'Sampling Data'!B964</f>
        <v>324</v>
      </c>
      <c r="D964" s="18">
        <f>'Sampling Data'!C964</f>
        <v>41</v>
      </c>
      <c r="E964" s="19">
        <f>'Sampling Data'!D964</f>
        <v>0</v>
      </c>
      <c r="F964" s="19">
        <f>'Sampling Data'!E964</f>
        <v>0</v>
      </c>
      <c r="G964" s="19">
        <f>'Sampling Data'!F964</f>
        <v>0</v>
      </c>
      <c r="H964" s="19">
        <f>'Sampling Data'!G964</f>
        <v>0</v>
      </c>
      <c r="I964" s="19">
        <f>'Sampling Data'!H964</f>
        <v>0</v>
      </c>
      <c r="J964" s="19">
        <f>'Sampling Data'!I964</f>
        <v>0</v>
      </c>
      <c r="K964" s="19">
        <f>'Sampling Data'!J964</f>
        <v>0</v>
      </c>
      <c r="L964" s="19">
        <f>'Sampling Data'!K964</f>
        <v>0</v>
      </c>
      <c r="M964" s="19">
        <f>'Sampling Data'!L964</f>
        <v>0</v>
      </c>
      <c r="N964" s="19">
        <f>'Sampling Data'!M964</f>
        <v>0</v>
      </c>
      <c r="O964" s="18">
        <f>'Sampling Data'!N964</f>
        <v>0</v>
      </c>
      <c r="P964" s="18">
        <f>'Sampling Data'!O964</f>
        <v>18</v>
      </c>
      <c r="Q964" s="18">
        <f>'Sampling Data'!P964</f>
        <v>383</v>
      </c>
      <c r="R964" s="18">
        <f>'Sampling Data'!AJ964</f>
        <v>1</v>
      </c>
      <c r="S964" s="112">
        <v>324</v>
      </c>
      <c r="T964" s="112">
        <v>41</v>
      </c>
      <c r="U964" s="113"/>
      <c r="V964" s="113"/>
      <c r="W964" s="112"/>
      <c r="X964" s="112"/>
      <c r="Y964" s="112"/>
      <c r="Z964" s="112"/>
      <c r="AA964" s="15"/>
      <c r="AB964" s="15"/>
      <c r="AC964" s="15"/>
      <c r="AD964" s="15"/>
      <c r="AE964" s="114">
        <f>IF(NOT(ISBLANK(Audit[[#This Row],[Audit Winning Candidate]])), Audit[[#This Row],[Audit Winning Candidate]]-Audit[[#This Row],[Winning Candidate]], "")</f>
        <v>0</v>
      </c>
      <c r="AF964" s="18">
        <f>IF(NOT(ISBLANK(Audit[[#This Row],[Audit Losing Candidate]])), Audit[[#This Row],[Audit Losing Candidate]]-Audit[[#This Row],[Losing Candidate]], "")</f>
        <v>0</v>
      </c>
      <c r="AG964" s="18" t="str">
        <f>IF(NOT(ISBLANK(Audit[[#This Row],[Audit Candidate 3]])), Audit[[#This Row],[Audit Candidate 3]]-Audit[[#This Row],[Candidate 3]], "")</f>
        <v/>
      </c>
      <c r="AH964" s="18" t="str">
        <f>IF(NOT(ISBLANK(Audit[[#This Row],[Audit Candidate 4]])),Audit[[#This Row],[Audit Candidate 4]]-Audit[[#This Row],[Candidate 4]], "")</f>
        <v/>
      </c>
      <c r="AI964" s="18" t="str">
        <f>IF(NOT(ISBLANK(Audit[[#This Row],[Audit Candidate 5]])), Audit[[#This Row],[Audit Candidate 5]]-Audit[[#This Row],[Candidate 5]], "")</f>
        <v/>
      </c>
      <c r="AJ964" s="18" t="str">
        <f>IF(NOT(ISBLANK(Audit[[#This Row],[Audit Candidate 6]])), Audit[[#This Row],[Audit Candidate 6]]-Audit[[#This Row],[Candidate 6]], "")</f>
        <v/>
      </c>
      <c r="AK964" s="18" t="str">
        <f>IF(NOT(ISBLANK(Audit[[#This Row],[Audit Candidate 7]])), Audit[[#This Row],[Audit Candidate 7]]-Audit[[#This Row],[Candidate 7]], "")</f>
        <v/>
      </c>
      <c r="AL964" s="18" t="str">
        <f>IF(NOT(ISBLANK(Audit[[#This Row],[Audit Candidate 8]])), Audit[[#This Row],[Audit Candidate 8]]-Audit[[#This Row],[Candidate 8]], "")</f>
        <v/>
      </c>
      <c r="AM964" s="18" t="str">
        <f>IF(NOT(ISBLANK(Audit[[#This Row],[Audit Candidate 9]])), Audit[[#This Row],[Audit Candidate 9]]-Audit[[#This Row],[Candidate 9]], "")</f>
        <v/>
      </c>
      <c r="AN964" s="18" t="str">
        <f>IF(NOT(ISBLANK(Audit[[#This Row],[Audit Candidate 10]])), Audit[[#This Row],[Audit Candidate 10]]-Audit[[#This Row],[Candidate 10]], "")</f>
        <v/>
      </c>
      <c r="AO964" s="18" t="str">
        <f>IF(NOT(ISBLANK(Audit[[#This Row],[Audit Candidate 11]])), Audit[[#This Row],[Audit Candidate 11]]-Audit[[#This Row],[Candidate 11]], "")</f>
        <v/>
      </c>
      <c r="AP964" s="18" t="str">
        <f>IF(NOT(ISBLANK(Audit[[#This Row],[Audit Candidate 12]])), Audit[[#This Row],[Audit Candidate 12]]-Audit[[#This Row],[Candidate 12]], "")</f>
        <v/>
      </c>
      <c r="AQ964" s="18">
        <f>SUMIF(Audit[[#This Row],[Difference Winner]:[Difference Candidate 12]], "&gt;0")</f>
        <v>0</v>
      </c>
      <c r="AR964" s="18">
        <f>SUM(Audit[[#This Row],[Difference Winner]:[Difference Candidate 12]])</f>
        <v>0</v>
      </c>
      <c r="AS964" s="18">
        <f>IF(Audit[[#This Row],[Times p Drawn - With Replacement]]&gt;0, IF(Audit[[#This Row],[Canceled Differences]]&lt;0, Audit[[#This Row],[Max Differences]]+ABS(Audit[[#This Row],[Canceled Differences]]), Audit[[#This Row],[Max Differences]]), 0)</f>
        <v>0</v>
      </c>
      <c r="AT964" s="18">
        <f>'Sampling Data'!AB964</f>
        <v>2.0919056443760405E-2</v>
      </c>
      <c r="AU964" s="18">
        <f>IF(
      SUM(Audit[[#This Row],[Audit Losing Candidate]:[Audit Candidate 12]])
      &lt;&gt;0,
      (Audit[[#This Row],[Winning Candidate]]-Audit[[#This Row],[Losing Candidate]]-(Audit[[#This Row],[Audit Winning Candidate]]-Audit[[#This Row],[Audit Losing Candidate]]))/(Audit[[#Totals],[Winning Candidate]]-Audit[[#Totals],[Losing Candidate]]),
      0
)</f>
        <v>0</v>
      </c>
      <c r="AV9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8">
        <f>IF(Audit[[#This Row],[Max Relative Error (ep)]] = 0, 0, Audit[[#This Row],[Max Relative Error (ep)]]/Audit[[#This Row],[Error Bound (up) - Max. possible relative overstatement]])</f>
        <v>0</v>
      </c>
      <c r="BH9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4" s="18">
        <f t="shared" si="15"/>
        <v>0.57146126097022543</v>
      </c>
      <c r="BJ964" s="18">
        <f>PRODUCT($BI$5:BI964)</f>
        <v>0.18662094552288083</v>
      </c>
      <c r="BK964" s="20">
        <f>1 - Audit[[#This Row],[K-M P Value]]</f>
        <v>0.81337905447711911</v>
      </c>
      <c r="BL964" s="18" t="str">
        <f>IF(Audit[[#This Row],[K-M P Value]]&gt;1-'General Info'!$B$12,"Continue", "Stop")</f>
        <v>Continue</v>
      </c>
      <c r="BM964" s="23" t="b">
        <f>IF(Audit[[#This Row],[Status - Continue or stop audit]] = "Continue", TRUE, IF(BL963 = "Continue", TRUE, FALSE))</f>
        <v>1</v>
      </c>
      <c r="BN964" s="23"/>
    </row>
    <row r="965" spans="1:66" ht="15" hidden="1" customHeight="1" x14ac:dyDescent="0.35">
      <c r="A965" s="18" t="str">
        <f>'Sampling Data'!AI965</f>
        <v/>
      </c>
      <c r="B965" s="18" t="str">
        <f>'Sampling Data'!A965</f>
        <v>6501 DELHI A   (ED)</v>
      </c>
      <c r="C965" s="18">
        <f>'Sampling Data'!B965</f>
        <v>83</v>
      </c>
      <c r="D965" s="18">
        <f>'Sampling Data'!C965</f>
        <v>20</v>
      </c>
      <c r="E965" s="19">
        <f>'Sampling Data'!D965</f>
        <v>0</v>
      </c>
      <c r="F965" s="19">
        <f>'Sampling Data'!E965</f>
        <v>0</v>
      </c>
      <c r="G965" s="19">
        <f>'Sampling Data'!F965</f>
        <v>0</v>
      </c>
      <c r="H965" s="19">
        <f>'Sampling Data'!G965</f>
        <v>0</v>
      </c>
      <c r="I965" s="19">
        <f>'Sampling Data'!H965</f>
        <v>0</v>
      </c>
      <c r="J965" s="19">
        <f>'Sampling Data'!I965</f>
        <v>0</v>
      </c>
      <c r="K965" s="19">
        <f>'Sampling Data'!J965</f>
        <v>0</v>
      </c>
      <c r="L965" s="19">
        <f>'Sampling Data'!K965</f>
        <v>0</v>
      </c>
      <c r="M965" s="19">
        <f>'Sampling Data'!L965</f>
        <v>0</v>
      </c>
      <c r="N965" s="19">
        <f>'Sampling Data'!M965</f>
        <v>0</v>
      </c>
      <c r="O965" s="18">
        <f>'Sampling Data'!N965</f>
        <v>0</v>
      </c>
      <c r="P965" s="18">
        <f>'Sampling Data'!O965</f>
        <v>0</v>
      </c>
      <c r="Q965" s="18">
        <f>'Sampling Data'!P965</f>
        <v>103</v>
      </c>
      <c r="R965" s="18">
        <f>'Sampling Data'!AJ965</f>
        <v>0</v>
      </c>
      <c r="S965" s="112"/>
      <c r="T965" s="112"/>
      <c r="U965" s="113"/>
      <c r="V965" s="113"/>
      <c r="W965" s="112"/>
      <c r="X965" s="112"/>
      <c r="Y965" s="112"/>
      <c r="Z965" s="112"/>
      <c r="AA965" s="15"/>
      <c r="AB965" s="15"/>
      <c r="AC965" s="15"/>
      <c r="AD965" s="15"/>
      <c r="AE965" s="114" t="str">
        <f>IF(NOT(ISBLANK(Audit[[#This Row],[Audit Winning Candidate]])), Audit[[#This Row],[Audit Winning Candidate]]-Audit[[#This Row],[Winning Candidate]], "")</f>
        <v/>
      </c>
      <c r="AF965" s="18" t="str">
        <f>IF(NOT(ISBLANK(Audit[[#This Row],[Audit Losing Candidate]])), Audit[[#This Row],[Audit Losing Candidate]]-Audit[[#This Row],[Losing Candidate]], "")</f>
        <v/>
      </c>
      <c r="AG965" s="18" t="str">
        <f>IF(NOT(ISBLANK(Audit[[#This Row],[Audit Candidate 3]])), Audit[[#This Row],[Audit Candidate 3]]-Audit[[#This Row],[Candidate 3]], "")</f>
        <v/>
      </c>
      <c r="AH965" s="18" t="str">
        <f>IF(NOT(ISBLANK(Audit[[#This Row],[Audit Candidate 4]])),Audit[[#This Row],[Audit Candidate 4]]-Audit[[#This Row],[Candidate 4]], "")</f>
        <v/>
      </c>
      <c r="AI965" s="18" t="str">
        <f>IF(NOT(ISBLANK(Audit[[#This Row],[Audit Candidate 5]])), Audit[[#This Row],[Audit Candidate 5]]-Audit[[#This Row],[Candidate 5]], "")</f>
        <v/>
      </c>
      <c r="AJ965" s="18" t="str">
        <f>IF(NOT(ISBLANK(Audit[[#This Row],[Audit Candidate 6]])), Audit[[#This Row],[Audit Candidate 6]]-Audit[[#This Row],[Candidate 6]], "")</f>
        <v/>
      </c>
      <c r="AK965" s="18" t="str">
        <f>IF(NOT(ISBLANK(Audit[[#This Row],[Audit Candidate 7]])), Audit[[#This Row],[Audit Candidate 7]]-Audit[[#This Row],[Candidate 7]], "")</f>
        <v/>
      </c>
      <c r="AL965" s="18" t="str">
        <f>IF(NOT(ISBLANK(Audit[[#This Row],[Audit Candidate 8]])), Audit[[#This Row],[Audit Candidate 8]]-Audit[[#This Row],[Candidate 8]], "")</f>
        <v/>
      </c>
      <c r="AM965" s="18" t="str">
        <f>IF(NOT(ISBLANK(Audit[[#This Row],[Audit Candidate 9]])), Audit[[#This Row],[Audit Candidate 9]]-Audit[[#This Row],[Candidate 9]], "")</f>
        <v/>
      </c>
      <c r="AN965" s="18" t="str">
        <f>IF(NOT(ISBLANK(Audit[[#This Row],[Audit Candidate 10]])), Audit[[#This Row],[Audit Candidate 10]]-Audit[[#This Row],[Candidate 10]], "")</f>
        <v/>
      </c>
      <c r="AO965" s="18" t="str">
        <f>IF(NOT(ISBLANK(Audit[[#This Row],[Audit Candidate 11]])), Audit[[#This Row],[Audit Candidate 11]]-Audit[[#This Row],[Candidate 11]], "")</f>
        <v/>
      </c>
      <c r="AP965" s="18" t="str">
        <f>IF(NOT(ISBLANK(Audit[[#This Row],[Audit Candidate 12]])), Audit[[#This Row],[Audit Candidate 12]]-Audit[[#This Row],[Candidate 12]], "")</f>
        <v/>
      </c>
      <c r="AQ965" s="18">
        <f>SUMIF(Audit[[#This Row],[Difference Winner]:[Difference Candidate 12]], "&gt;0")</f>
        <v>0</v>
      </c>
      <c r="AR965" s="18">
        <f>SUM(Audit[[#This Row],[Difference Winner]:[Difference Candidate 12]])</f>
        <v>0</v>
      </c>
      <c r="AS965" s="18">
        <f>IF(Audit[[#This Row],[Times p Drawn - With Replacement]]&gt;0, IF(Audit[[#This Row],[Canceled Differences]]&lt;0, Audit[[#This Row],[Max Differences]]+ABS(Audit[[#This Row],[Canceled Differences]]), Audit[[#This Row],[Max Differences]]), 0)</f>
        <v>0</v>
      </c>
      <c r="AT965" s="18">
        <f>'Sampling Data'!AB965</f>
        <v>5.2140591136099505E-3</v>
      </c>
      <c r="AU965" s="18">
        <f>IF(
      SUM(Audit[[#This Row],[Audit Losing Candidate]:[Audit Candidate 12]])
      &lt;&gt;0,
      (Audit[[#This Row],[Winning Candidate]]-Audit[[#This Row],[Losing Candidate]]-(Audit[[#This Row],[Audit Winning Candidate]]-Audit[[#This Row],[Audit Losing Candidate]]))/(Audit[[#Totals],[Winning Candidate]]-Audit[[#Totals],[Losing Candidate]]),
      0
)</f>
        <v>0</v>
      </c>
      <c r="AV9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8">
        <f>IF(Audit[[#This Row],[Max Relative Error (ep)]] = 0, 0, Audit[[#This Row],[Max Relative Error (ep)]]/Audit[[#This Row],[Error Bound (up) - Max. possible relative overstatement]])</f>
        <v>0</v>
      </c>
      <c r="BH9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5" s="18">
        <f t="shared" si="15"/>
        <v>1</v>
      </c>
      <c r="BJ965" s="18">
        <f>PRODUCT($BI$5:BI965)</f>
        <v>0.18662094552288083</v>
      </c>
      <c r="BK965" s="20">
        <f>1 - Audit[[#This Row],[K-M P Value]]</f>
        <v>0.81337905447711911</v>
      </c>
      <c r="BL965" s="18" t="str">
        <f>IF(Audit[[#This Row],[K-M P Value]]&gt;1-'General Info'!$B$12,"Continue", "Stop")</f>
        <v>Continue</v>
      </c>
      <c r="BM965" s="23" t="b">
        <f>IF(Audit[[#This Row],[Status - Continue or stop audit]] = "Continue", TRUE, IF(BL964 = "Continue", TRUE, FALSE))</f>
        <v>1</v>
      </c>
      <c r="BN965" s="23"/>
    </row>
    <row r="966" spans="1:66" ht="15" hidden="1" customHeight="1" x14ac:dyDescent="0.35">
      <c r="A966" s="18" t="str">
        <f>'Sampling Data'!AI966</f>
        <v/>
      </c>
      <c r="B966" s="18" t="str">
        <f>'Sampling Data'!A966</f>
        <v>6502 DELHI B   (ED)</v>
      </c>
      <c r="C966" s="18">
        <f>'Sampling Data'!B966</f>
        <v>74</v>
      </c>
      <c r="D966" s="18">
        <f>'Sampling Data'!C966</f>
        <v>7</v>
      </c>
      <c r="E966" s="19">
        <f>'Sampling Data'!D966</f>
        <v>0</v>
      </c>
      <c r="F966" s="19">
        <f>'Sampling Data'!E966</f>
        <v>0</v>
      </c>
      <c r="G966" s="19">
        <f>'Sampling Data'!F966</f>
        <v>0</v>
      </c>
      <c r="H966" s="19">
        <f>'Sampling Data'!G966</f>
        <v>0</v>
      </c>
      <c r="I966" s="19">
        <f>'Sampling Data'!H966</f>
        <v>0</v>
      </c>
      <c r="J966" s="19">
        <f>'Sampling Data'!I966</f>
        <v>0</v>
      </c>
      <c r="K966" s="19">
        <f>'Sampling Data'!J966</f>
        <v>0</v>
      </c>
      <c r="L966" s="19">
        <f>'Sampling Data'!K966</f>
        <v>0</v>
      </c>
      <c r="M966" s="19">
        <f>'Sampling Data'!L966</f>
        <v>0</v>
      </c>
      <c r="N966" s="19">
        <f>'Sampling Data'!M966</f>
        <v>0</v>
      </c>
      <c r="O966" s="18">
        <f>'Sampling Data'!N966</f>
        <v>0</v>
      </c>
      <c r="P966" s="18">
        <f>'Sampling Data'!O966</f>
        <v>7</v>
      </c>
      <c r="Q966" s="18">
        <f>'Sampling Data'!P966</f>
        <v>88</v>
      </c>
      <c r="R966" s="18">
        <f>'Sampling Data'!AJ966</f>
        <v>0</v>
      </c>
      <c r="S966" s="112"/>
      <c r="T966" s="112"/>
      <c r="U966" s="113"/>
      <c r="V966" s="113"/>
      <c r="W966" s="112"/>
      <c r="X966" s="112"/>
      <c r="Y966" s="112"/>
      <c r="Z966" s="112"/>
      <c r="AA966" s="15"/>
      <c r="AB966" s="15"/>
      <c r="AC966" s="15"/>
      <c r="AD966" s="15"/>
      <c r="AE966" s="114" t="str">
        <f>IF(NOT(ISBLANK(Audit[[#This Row],[Audit Winning Candidate]])), Audit[[#This Row],[Audit Winning Candidate]]-Audit[[#This Row],[Winning Candidate]], "")</f>
        <v/>
      </c>
      <c r="AF966" s="18" t="str">
        <f>IF(NOT(ISBLANK(Audit[[#This Row],[Audit Losing Candidate]])), Audit[[#This Row],[Audit Losing Candidate]]-Audit[[#This Row],[Losing Candidate]], "")</f>
        <v/>
      </c>
      <c r="AG966" s="18" t="str">
        <f>IF(NOT(ISBLANK(Audit[[#This Row],[Audit Candidate 3]])), Audit[[#This Row],[Audit Candidate 3]]-Audit[[#This Row],[Candidate 3]], "")</f>
        <v/>
      </c>
      <c r="AH966" s="18" t="str">
        <f>IF(NOT(ISBLANK(Audit[[#This Row],[Audit Candidate 4]])),Audit[[#This Row],[Audit Candidate 4]]-Audit[[#This Row],[Candidate 4]], "")</f>
        <v/>
      </c>
      <c r="AI966" s="18" t="str">
        <f>IF(NOT(ISBLANK(Audit[[#This Row],[Audit Candidate 5]])), Audit[[#This Row],[Audit Candidate 5]]-Audit[[#This Row],[Candidate 5]], "")</f>
        <v/>
      </c>
      <c r="AJ966" s="18" t="str">
        <f>IF(NOT(ISBLANK(Audit[[#This Row],[Audit Candidate 6]])), Audit[[#This Row],[Audit Candidate 6]]-Audit[[#This Row],[Candidate 6]], "")</f>
        <v/>
      </c>
      <c r="AK966" s="18" t="str">
        <f>IF(NOT(ISBLANK(Audit[[#This Row],[Audit Candidate 7]])), Audit[[#This Row],[Audit Candidate 7]]-Audit[[#This Row],[Candidate 7]], "")</f>
        <v/>
      </c>
      <c r="AL966" s="18" t="str">
        <f>IF(NOT(ISBLANK(Audit[[#This Row],[Audit Candidate 8]])), Audit[[#This Row],[Audit Candidate 8]]-Audit[[#This Row],[Candidate 8]], "")</f>
        <v/>
      </c>
      <c r="AM966" s="18" t="str">
        <f>IF(NOT(ISBLANK(Audit[[#This Row],[Audit Candidate 9]])), Audit[[#This Row],[Audit Candidate 9]]-Audit[[#This Row],[Candidate 9]], "")</f>
        <v/>
      </c>
      <c r="AN966" s="18" t="str">
        <f>IF(NOT(ISBLANK(Audit[[#This Row],[Audit Candidate 10]])), Audit[[#This Row],[Audit Candidate 10]]-Audit[[#This Row],[Candidate 10]], "")</f>
        <v/>
      </c>
      <c r="AO966" s="18" t="str">
        <f>IF(NOT(ISBLANK(Audit[[#This Row],[Audit Candidate 11]])), Audit[[#This Row],[Audit Candidate 11]]-Audit[[#This Row],[Candidate 11]], "")</f>
        <v/>
      </c>
      <c r="AP966" s="18" t="str">
        <f>IF(NOT(ISBLANK(Audit[[#This Row],[Audit Candidate 12]])), Audit[[#This Row],[Audit Candidate 12]]-Audit[[#This Row],[Candidate 12]], "")</f>
        <v/>
      </c>
      <c r="AQ966" s="18">
        <f>SUMIF(Audit[[#This Row],[Difference Winner]:[Difference Candidate 12]], "&gt;0")</f>
        <v>0</v>
      </c>
      <c r="AR966" s="18">
        <f>SUM(Audit[[#This Row],[Difference Winner]:[Difference Candidate 12]])</f>
        <v>0</v>
      </c>
      <c r="AS966" s="18">
        <f>IF(Audit[[#This Row],[Times p Drawn - With Replacement]]&gt;0, IF(Audit[[#This Row],[Canceled Differences]]&lt;0, Audit[[#This Row],[Max Differences]]+ABS(Audit[[#This Row],[Canceled Differences]]), Audit[[#This Row],[Max Differences]]), 0)</f>
        <v>0</v>
      </c>
      <c r="AT966" s="18">
        <f>'Sampling Data'!AB966</f>
        <v>4.8685491723466411E-3</v>
      </c>
      <c r="AU966" s="18">
        <f>IF(
      SUM(Audit[[#This Row],[Audit Losing Candidate]:[Audit Candidate 12]])
      &lt;&gt;0,
      (Audit[[#This Row],[Winning Candidate]]-Audit[[#This Row],[Losing Candidate]]-(Audit[[#This Row],[Audit Winning Candidate]]-Audit[[#This Row],[Audit Losing Candidate]]))/(Audit[[#Totals],[Winning Candidate]]-Audit[[#Totals],[Losing Candidate]]),
      0
)</f>
        <v>0</v>
      </c>
      <c r="AV9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8">
        <f>IF(Audit[[#This Row],[Max Relative Error (ep)]] = 0, 0, Audit[[#This Row],[Max Relative Error (ep)]]/Audit[[#This Row],[Error Bound (up) - Max. possible relative overstatement]])</f>
        <v>0</v>
      </c>
      <c r="BH9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6" s="18">
        <f t="shared" si="15"/>
        <v>1</v>
      </c>
      <c r="BJ966" s="18">
        <f>PRODUCT($BI$5:BI966)</f>
        <v>0.18662094552288083</v>
      </c>
      <c r="BK966" s="20">
        <f>1 - Audit[[#This Row],[K-M P Value]]</f>
        <v>0.81337905447711911</v>
      </c>
      <c r="BL966" s="18" t="str">
        <f>IF(Audit[[#This Row],[K-M P Value]]&gt;1-'General Info'!$B$12,"Continue", "Stop")</f>
        <v>Continue</v>
      </c>
      <c r="BM966" s="23" t="b">
        <f>IF(Audit[[#This Row],[Status - Continue or stop audit]] = "Continue", TRUE, IF(BL965 = "Continue", TRUE, FALSE))</f>
        <v>1</v>
      </c>
      <c r="BN966" s="23"/>
    </row>
    <row r="967" spans="1:66" ht="15" hidden="1" customHeight="1" x14ac:dyDescent="0.35">
      <c r="A967" s="18" t="str">
        <f>'Sampling Data'!AI967</f>
        <v/>
      </c>
      <c r="B967" s="18" t="str">
        <f>'Sampling Data'!A967</f>
        <v>6503 DELHI C   (ED)</v>
      </c>
      <c r="C967" s="18">
        <f>'Sampling Data'!B967</f>
        <v>149</v>
      </c>
      <c r="D967" s="18">
        <f>'Sampling Data'!C967</f>
        <v>24</v>
      </c>
      <c r="E967" s="19">
        <f>'Sampling Data'!D967</f>
        <v>0</v>
      </c>
      <c r="F967" s="19">
        <f>'Sampling Data'!E967</f>
        <v>0</v>
      </c>
      <c r="G967" s="19">
        <f>'Sampling Data'!F967</f>
        <v>0</v>
      </c>
      <c r="H967" s="19">
        <f>'Sampling Data'!G967</f>
        <v>0</v>
      </c>
      <c r="I967" s="19">
        <f>'Sampling Data'!H967</f>
        <v>0</v>
      </c>
      <c r="J967" s="19">
        <f>'Sampling Data'!I967</f>
        <v>0</v>
      </c>
      <c r="K967" s="19">
        <f>'Sampling Data'!J967</f>
        <v>0</v>
      </c>
      <c r="L967" s="19">
        <f>'Sampling Data'!K967</f>
        <v>0</v>
      </c>
      <c r="M967" s="19">
        <f>'Sampling Data'!L967</f>
        <v>0</v>
      </c>
      <c r="N967" s="19">
        <f>'Sampling Data'!M967</f>
        <v>0</v>
      </c>
      <c r="O967" s="18">
        <f>'Sampling Data'!N967</f>
        <v>0</v>
      </c>
      <c r="P967" s="18">
        <f>'Sampling Data'!O967</f>
        <v>5</v>
      </c>
      <c r="Q967" s="18">
        <f>'Sampling Data'!P967</f>
        <v>178</v>
      </c>
      <c r="R967" s="18">
        <f>'Sampling Data'!AJ967</f>
        <v>0</v>
      </c>
      <c r="S967" s="112"/>
      <c r="T967" s="112"/>
      <c r="U967" s="113"/>
      <c r="V967" s="113"/>
      <c r="W967" s="112"/>
      <c r="X967" s="112"/>
      <c r="Y967" s="112"/>
      <c r="Z967" s="112"/>
      <c r="AA967" s="15"/>
      <c r="AB967" s="15"/>
      <c r="AC967" s="15"/>
      <c r="AD967" s="15"/>
      <c r="AE967" s="114" t="str">
        <f>IF(NOT(ISBLANK(Audit[[#This Row],[Audit Winning Candidate]])), Audit[[#This Row],[Audit Winning Candidate]]-Audit[[#This Row],[Winning Candidate]], "")</f>
        <v/>
      </c>
      <c r="AF967" s="18" t="str">
        <f>IF(NOT(ISBLANK(Audit[[#This Row],[Audit Losing Candidate]])), Audit[[#This Row],[Audit Losing Candidate]]-Audit[[#This Row],[Losing Candidate]], "")</f>
        <v/>
      </c>
      <c r="AG967" s="18" t="str">
        <f>IF(NOT(ISBLANK(Audit[[#This Row],[Audit Candidate 3]])), Audit[[#This Row],[Audit Candidate 3]]-Audit[[#This Row],[Candidate 3]], "")</f>
        <v/>
      </c>
      <c r="AH967" s="18" t="str">
        <f>IF(NOT(ISBLANK(Audit[[#This Row],[Audit Candidate 4]])),Audit[[#This Row],[Audit Candidate 4]]-Audit[[#This Row],[Candidate 4]], "")</f>
        <v/>
      </c>
      <c r="AI967" s="18" t="str">
        <f>IF(NOT(ISBLANK(Audit[[#This Row],[Audit Candidate 5]])), Audit[[#This Row],[Audit Candidate 5]]-Audit[[#This Row],[Candidate 5]], "")</f>
        <v/>
      </c>
      <c r="AJ967" s="18" t="str">
        <f>IF(NOT(ISBLANK(Audit[[#This Row],[Audit Candidate 6]])), Audit[[#This Row],[Audit Candidate 6]]-Audit[[#This Row],[Candidate 6]], "")</f>
        <v/>
      </c>
      <c r="AK967" s="18" t="str">
        <f>IF(NOT(ISBLANK(Audit[[#This Row],[Audit Candidate 7]])), Audit[[#This Row],[Audit Candidate 7]]-Audit[[#This Row],[Candidate 7]], "")</f>
        <v/>
      </c>
      <c r="AL967" s="18" t="str">
        <f>IF(NOT(ISBLANK(Audit[[#This Row],[Audit Candidate 8]])), Audit[[#This Row],[Audit Candidate 8]]-Audit[[#This Row],[Candidate 8]], "")</f>
        <v/>
      </c>
      <c r="AM967" s="18" t="str">
        <f>IF(NOT(ISBLANK(Audit[[#This Row],[Audit Candidate 9]])), Audit[[#This Row],[Audit Candidate 9]]-Audit[[#This Row],[Candidate 9]], "")</f>
        <v/>
      </c>
      <c r="AN967" s="18" t="str">
        <f>IF(NOT(ISBLANK(Audit[[#This Row],[Audit Candidate 10]])), Audit[[#This Row],[Audit Candidate 10]]-Audit[[#This Row],[Candidate 10]], "")</f>
        <v/>
      </c>
      <c r="AO967" s="18" t="str">
        <f>IF(NOT(ISBLANK(Audit[[#This Row],[Audit Candidate 11]])), Audit[[#This Row],[Audit Candidate 11]]-Audit[[#This Row],[Candidate 11]], "")</f>
        <v/>
      </c>
      <c r="AP967" s="18" t="str">
        <f>IF(NOT(ISBLANK(Audit[[#This Row],[Audit Candidate 12]])), Audit[[#This Row],[Audit Candidate 12]]-Audit[[#This Row],[Candidate 12]], "")</f>
        <v/>
      </c>
      <c r="AQ967" s="18">
        <f>SUMIF(Audit[[#This Row],[Difference Winner]:[Difference Candidate 12]], "&gt;0")</f>
        <v>0</v>
      </c>
      <c r="AR967" s="18">
        <f>SUM(Audit[[#This Row],[Difference Winner]:[Difference Candidate 12]])</f>
        <v>0</v>
      </c>
      <c r="AS967" s="18">
        <f>IF(Audit[[#This Row],[Times p Drawn - With Replacement]]&gt;0, IF(Audit[[#This Row],[Canceled Differences]]&lt;0, Audit[[#This Row],[Max Differences]]+ABS(Audit[[#This Row],[Canceled Differences]]), Audit[[#This Row],[Max Differences]]), 0)</f>
        <v>0</v>
      </c>
      <c r="AT967" s="18">
        <f>'Sampling Data'!AB967</f>
        <v>9.5172283820711759E-3</v>
      </c>
      <c r="AU967" s="18">
        <f>IF(
      SUM(Audit[[#This Row],[Audit Losing Candidate]:[Audit Candidate 12]])
      &lt;&gt;0,
      (Audit[[#This Row],[Winning Candidate]]-Audit[[#This Row],[Losing Candidate]]-(Audit[[#This Row],[Audit Winning Candidate]]-Audit[[#This Row],[Audit Losing Candidate]]))/(Audit[[#Totals],[Winning Candidate]]-Audit[[#Totals],[Losing Candidate]]),
      0
)</f>
        <v>0</v>
      </c>
      <c r="AV9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8">
        <f>IF(Audit[[#This Row],[Max Relative Error (ep)]] = 0, 0, Audit[[#This Row],[Max Relative Error (ep)]]/Audit[[#This Row],[Error Bound (up) - Max. possible relative overstatement]])</f>
        <v>0</v>
      </c>
      <c r="BH9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7" s="18">
        <f t="shared" si="15"/>
        <v>1</v>
      </c>
      <c r="BJ967" s="18">
        <f>PRODUCT($BI$5:BI967)</f>
        <v>0.18662094552288083</v>
      </c>
      <c r="BK967" s="20">
        <f>1 - Audit[[#This Row],[K-M P Value]]</f>
        <v>0.81337905447711911</v>
      </c>
      <c r="BL967" s="18" t="str">
        <f>IF(Audit[[#This Row],[K-M P Value]]&gt;1-'General Info'!$B$12,"Continue", "Stop")</f>
        <v>Continue</v>
      </c>
      <c r="BM967" s="23" t="b">
        <f>IF(Audit[[#This Row],[Status - Continue or stop audit]] = "Continue", TRUE, IF(BL966 = "Continue", TRUE, FALSE))</f>
        <v>1</v>
      </c>
      <c r="BN967" s="23"/>
    </row>
    <row r="968" spans="1:66" ht="15" hidden="1" customHeight="1" x14ac:dyDescent="0.35">
      <c r="A968" s="18" t="str">
        <f>'Sampling Data'!AI968</f>
        <v/>
      </c>
      <c r="B968" s="18" t="str">
        <f>'Sampling Data'!A968</f>
        <v>6504 DELHI D   (ED)</v>
      </c>
      <c r="C968" s="18">
        <f>'Sampling Data'!B968</f>
        <v>85</v>
      </c>
      <c r="D968" s="18">
        <f>'Sampling Data'!C968</f>
        <v>6</v>
      </c>
      <c r="E968" s="19">
        <f>'Sampling Data'!D968</f>
        <v>0</v>
      </c>
      <c r="F968" s="19">
        <f>'Sampling Data'!E968</f>
        <v>0</v>
      </c>
      <c r="G968" s="19">
        <f>'Sampling Data'!F968</f>
        <v>0</v>
      </c>
      <c r="H968" s="19">
        <f>'Sampling Data'!G968</f>
        <v>0</v>
      </c>
      <c r="I968" s="19">
        <f>'Sampling Data'!H968</f>
        <v>0</v>
      </c>
      <c r="J968" s="19">
        <f>'Sampling Data'!I968</f>
        <v>0</v>
      </c>
      <c r="K968" s="19">
        <f>'Sampling Data'!J968</f>
        <v>0</v>
      </c>
      <c r="L968" s="19">
        <f>'Sampling Data'!K968</f>
        <v>0</v>
      </c>
      <c r="M968" s="19">
        <f>'Sampling Data'!L968</f>
        <v>0</v>
      </c>
      <c r="N968" s="19">
        <f>'Sampling Data'!M968</f>
        <v>0</v>
      </c>
      <c r="O968" s="18">
        <f>'Sampling Data'!N968</f>
        <v>0</v>
      </c>
      <c r="P968" s="18">
        <f>'Sampling Data'!O968</f>
        <v>0</v>
      </c>
      <c r="Q968" s="18">
        <f>'Sampling Data'!P968</f>
        <v>91</v>
      </c>
      <c r="R968" s="18">
        <f>'Sampling Data'!AJ968</f>
        <v>0</v>
      </c>
      <c r="S968" s="112"/>
      <c r="T968" s="112"/>
      <c r="U968" s="113"/>
      <c r="V968" s="113"/>
      <c r="W968" s="112"/>
      <c r="X968" s="112"/>
      <c r="Y968" s="112"/>
      <c r="Z968" s="112"/>
      <c r="AA968" s="15"/>
      <c r="AB968" s="15"/>
      <c r="AC968" s="15"/>
      <c r="AD968" s="15"/>
      <c r="AE968" s="114" t="str">
        <f>IF(NOT(ISBLANK(Audit[[#This Row],[Audit Winning Candidate]])), Audit[[#This Row],[Audit Winning Candidate]]-Audit[[#This Row],[Winning Candidate]], "")</f>
        <v/>
      </c>
      <c r="AF968" s="18" t="str">
        <f>IF(NOT(ISBLANK(Audit[[#This Row],[Audit Losing Candidate]])), Audit[[#This Row],[Audit Losing Candidate]]-Audit[[#This Row],[Losing Candidate]], "")</f>
        <v/>
      </c>
      <c r="AG968" s="18" t="str">
        <f>IF(NOT(ISBLANK(Audit[[#This Row],[Audit Candidate 3]])), Audit[[#This Row],[Audit Candidate 3]]-Audit[[#This Row],[Candidate 3]], "")</f>
        <v/>
      </c>
      <c r="AH968" s="18" t="str">
        <f>IF(NOT(ISBLANK(Audit[[#This Row],[Audit Candidate 4]])),Audit[[#This Row],[Audit Candidate 4]]-Audit[[#This Row],[Candidate 4]], "")</f>
        <v/>
      </c>
      <c r="AI968" s="18" t="str">
        <f>IF(NOT(ISBLANK(Audit[[#This Row],[Audit Candidate 5]])), Audit[[#This Row],[Audit Candidate 5]]-Audit[[#This Row],[Candidate 5]], "")</f>
        <v/>
      </c>
      <c r="AJ968" s="18" t="str">
        <f>IF(NOT(ISBLANK(Audit[[#This Row],[Audit Candidate 6]])), Audit[[#This Row],[Audit Candidate 6]]-Audit[[#This Row],[Candidate 6]], "")</f>
        <v/>
      </c>
      <c r="AK968" s="18" t="str">
        <f>IF(NOT(ISBLANK(Audit[[#This Row],[Audit Candidate 7]])), Audit[[#This Row],[Audit Candidate 7]]-Audit[[#This Row],[Candidate 7]], "")</f>
        <v/>
      </c>
      <c r="AL968" s="18" t="str">
        <f>IF(NOT(ISBLANK(Audit[[#This Row],[Audit Candidate 8]])), Audit[[#This Row],[Audit Candidate 8]]-Audit[[#This Row],[Candidate 8]], "")</f>
        <v/>
      </c>
      <c r="AM968" s="18" t="str">
        <f>IF(NOT(ISBLANK(Audit[[#This Row],[Audit Candidate 9]])), Audit[[#This Row],[Audit Candidate 9]]-Audit[[#This Row],[Candidate 9]], "")</f>
        <v/>
      </c>
      <c r="AN968" s="18" t="str">
        <f>IF(NOT(ISBLANK(Audit[[#This Row],[Audit Candidate 10]])), Audit[[#This Row],[Audit Candidate 10]]-Audit[[#This Row],[Candidate 10]], "")</f>
        <v/>
      </c>
      <c r="AO968" s="18" t="str">
        <f>IF(NOT(ISBLANK(Audit[[#This Row],[Audit Candidate 11]])), Audit[[#This Row],[Audit Candidate 11]]-Audit[[#This Row],[Candidate 11]], "")</f>
        <v/>
      </c>
      <c r="AP968" s="18" t="str">
        <f>IF(NOT(ISBLANK(Audit[[#This Row],[Audit Candidate 12]])), Audit[[#This Row],[Audit Candidate 12]]-Audit[[#This Row],[Candidate 12]], "")</f>
        <v/>
      </c>
      <c r="AQ968" s="18">
        <f>SUMIF(Audit[[#This Row],[Difference Winner]:[Difference Candidate 12]], "&gt;0")</f>
        <v>0</v>
      </c>
      <c r="AR968" s="18">
        <f>SUM(Audit[[#This Row],[Difference Winner]:[Difference Candidate 12]])</f>
        <v>0</v>
      </c>
      <c r="AS968" s="18">
        <f>IF(Audit[[#This Row],[Times p Drawn - With Replacement]]&gt;0, IF(Audit[[#This Row],[Canceled Differences]]&lt;0, Audit[[#This Row],[Max Differences]]+ABS(Audit[[#This Row],[Canceled Differences]]), Audit[[#This Row],[Max Differences]]), 0)</f>
        <v>0</v>
      </c>
      <c r="AT968" s="18">
        <f>'Sampling Data'!AB968</f>
        <v>5.3396990922511545E-3</v>
      </c>
      <c r="AU968" s="18">
        <f>IF(
      SUM(Audit[[#This Row],[Audit Losing Candidate]:[Audit Candidate 12]])
      &lt;&gt;0,
      (Audit[[#This Row],[Winning Candidate]]-Audit[[#This Row],[Losing Candidate]]-(Audit[[#This Row],[Audit Winning Candidate]]-Audit[[#This Row],[Audit Losing Candidate]]))/(Audit[[#Totals],[Winning Candidate]]-Audit[[#Totals],[Losing Candidate]]),
      0
)</f>
        <v>0</v>
      </c>
      <c r="AV9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8">
        <f>IF(Audit[[#This Row],[Max Relative Error (ep)]] = 0, 0, Audit[[#This Row],[Max Relative Error (ep)]]/Audit[[#This Row],[Error Bound (up) - Max. possible relative overstatement]])</f>
        <v>0</v>
      </c>
      <c r="BH9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8" s="18">
        <f t="shared" si="15"/>
        <v>1</v>
      </c>
      <c r="BJ968" s="18">
        <f>PRODUCT($BI$5:BI968)</f>
        <v>0.18662094552288083</v>
      </c>
      <c r="BK968" s="20">
        <f>1 - Audit[[#This Row],[K-M P Value]]</f>
        <v>0.81337905447711911</v>
      </c>
      <c r="BL968" s="18" t="str">
        <f>IF(Audit[[#This Row],[K-M P Value]]&gt;1-'General Info'!$B$12,"Continue", "Stop")</f>
        <v>Continue</v>
      </c>
      <c r="BM968" s="23" t="b">
        <f>IF(Audit[[#This Row],[Status - Continue or stop audit]] = "Continue", TRUE, IF(BL967 = "Continue", TRUE, FALSE))</f>
        <v>1</v>
      </c>
      <c r="BN968" s="23"/>
    </row>
    <row r="969" spans="1:66" ht="15" hidden="1" customHeight="1" x14ac:dyDescent="0.35">
      <c r="A969" s="18" t="str">
        <f>'Sampling Data'!AI969</f>
        <v/>
      </c>
      <c r="B969" s="18" t="str">
        <f>'Sampling Data'!A969</f>
        <v>6505 DELHI E   (ED)</v>
      </c>
      <c r="C969" s="18">
        <f>'Sampling Data'!B969</f>
        <v>168</v>
      </c>
      <c r="D969" s="18">
        <f>'Sampling Data'!C969</f>
        <v>9</v>
      </c>
      <c r="E969" s="19">
        <f>'Sampling Data'!D969</f>
        <v>0</v>
      </c>
      <c r="F969" s="19">
        <f>'Sampling Data'!E969</f>
        <v>0</v>
      </c>
      <c r="G969" s="19">
        <f>'Sampling Data'!F969</f>
        <v>0</v>
      </c>
      <c r="H969" s="19">
        <f>'Sampling Data'!G969</f>
        <v>0</v>
      </c>
      <c r="I969" s="19">
        <f>'Sampling Data'!H969</f>
        <v>0</v>
      </c>
      <c r="J969" s="19">
        <f>'Sampling Data'!I969</f>
        <v>0</v>
      </c>
      <c r="K969" s="19">
        <f>'Sampling Data'!J969</f>
        <v>0</v>
      </c>
      <c r="L969" s="19">
        <f>'Sampling Data'!K969</f>
        <v>0</v>
      </c>
      <c r="M969" s="19">
        <f>'Sampling Data'!L969</f>
        <v>0</v>
      </c>
      <c r="N969" s="19">
        <f>'Sampling Data'!M969</f>
        <v>0</v>
      </c>
      <c r="O969" s="18">
        <f>'Sampling Data'!N969</f>
        <v>1</v>
      </c>
      <c r="P969" s="18">
        <f>'Sampling Data'!O969</f>
        <v>6</v>
      </c>
      <c r="Q969" s="18">
        <f>'Sampling Data'!P969</f>
        <v>184</v>
      </c>
      <c r="R969" s="18">
        <f>'Sampling Data'!AJ969</f>
        <v>0</v>
      </c>
      <c r="S969" s="112"/>
      <c r="T969" s="112"/>
      <c r="U969" s="113"/>
      <c r="V969" s="113"/>
      <c r="W969" s="112"/>
      <c r="X969" s="112"/>
      <c r="Y969" s="112"/>
      <c r="Z969" s="112"/>
      <c r="AA969" s="15"/>
      <c r="AB969" s="15"/>
      <c r="AC969" s="15"/>
      <c r="AD969" s="15"/>
      <c r="AE969" s="114" t="str">
        <f>IF(NOT(ISBLANK(Audit[[#This Row],[Audit Winning Candidate]])), Audit[[#This Row],[Audit Winning Candidate]]-Audit[[#This Row],[Winning Candidate]], "")</f>
        <v/>
      </c>
      <c r="AF969" s="18" t="str">
        <f>IF(NOT(ISBLANK(Audit[[#This Row],[Audit Losing Candidate]])), Audit[[#This Row],[Audit Losing Candidate]]-Audit[[#This Row],[Losing Candidate]], "")</f>
        <v/>
      </c>
      <c r="AG969" s="18" t="str">
        <f>IF(NOT(ISBLANK(Audit[[#This Row],[Audit Candidate 3]])), Audit[[#This Row],[Audit Candidate 3]]-Audit[[#This Row],[Candidate 3]], "")</f>
        <v/>
      </c>
      <c r="AH969" s="18" t="str">
        <f>IF(NOT(ISBLANK(Audit[[#This Row],[Audit Candidate 4]])),Audit[[#This Row],[Audit Candidate 4]]-Audit[[#This Row],[Candidate 4]], "")</f>
        <v/>
      </c>
      <c r="AI969" s="18" t="str">
        <f>IF(NOT(ISBLANK(Audit[[#This Row],[Audit Candidate 5]])), Audit[[#This Row],[Audit Candidate 5]]-Audit[[#This Row],[Candidate 5]], "")</f>
        <v/>
      </c>
      <c r="AJ969" s="18" t="str">
        <f>IF(NOT(ISBLANK(Audit[[#This Row],[Audit Candidate 6]])), Audit[[#This Row],[Audit Candidate 6]]-Audit[[#This Row],[Candidate 6]], "")</f>
        <v/>
      </c>
      <c r="AK969" s="18" t="str">
        <f>IF(NOT(ISBLANK(Audit[[#This Row],[Audit Candidate 7]])), Audit[[#This Row],[Audit Candidate 7]]-Audit[[#This Row],[Candidate 7]], "")</f>
        <v/>
      </c>
      <c r="AL969" s="18" t="str">
        <f>IF(NOT(ISBLANK(Audit[[#This Row],[Audit Candidate 8]])), Audit[[#This Row],[Audit Candidate 8]]-Audit[[#This Row],[Candidate 8]], "")</f>
        <v/>
      </c>
      <c r="AM969" s="18" t="str">
        <f>IF(NOT(ISBLANK(Audit[[#This Row],[Audit Candidate 9]])), Audit[[#This Row],[Audit Candidate 9]]-Audit[[#This Row],[Candidate 9]], "")</f>
        <v/>
      </c>
      <c r="AN969" s="18" t="str">
        <f>IF(NOT(ISBLANK(Audit[[#This Row],[Audit Candidate 10]])), Audit[[#This Row],[Audit Candidate 10]]-Audit[[#This Row],[Candidate 10]], "")</f>
        <v/>
      </c>
      <c r="AO969" s="18" t="str">
        <f>IF(NOT(ISBLANK(Audit[[#This Row],[Audit Candidate 11]])), Audit[[#This Row],[Audit Candidate 11]]-Audit[[#This Row],[Candidate 11]], "")</f>
        <v/>
      </c>
      <c r="AP969" s="18" t="str">
        <f>IF(NOT(ISBLANK(Audit[[#This Row],[Audit Candidate 12]])), Audit[[#This Row],[Audit Candidate 12]]-Audit[[#This Row],[Candidate 12]], "")</f>
        <v/>
      </c>
      <c r="AQ969" s="18">
        <f>SUMIF(Audit[[#This Row],[Difference Winner]:[Difference Candidate 12]], "&gt;0")</f>
        <v>0</v>
      </c>
      <c r="AR969" s="18">
        <f>SUM(Audit[[#This Row],[Difference Winner]:[Difference Candidate 12]])</f>
        <v>0</v>
      </c>
      <c r="AS969" s="18">
        <f>IF(Audit[[#This Row],[Times p Drawn - With Replacement]]&gt;0, IF(Audit[[#This Row],[Canceled Differences]]&lt;0, Audit[[#This Row],[Max Differences]]+ABS(Audit[[#This Row],[Canceled Differences]]), Audit[[#This Row],[Max Differences]]), 0)</f>
        <v>0</v>
      </c>
      <c r="AT969" s="18">
        <f>'Sampling Data'!AB969</f>
        <v>1.0773628168483212E-2</v>
      </c>
      <c r="AU969" s="18">
        <f>IF(
      SUM(Audit[[#This Row],[Audit Losing Candidate]:[Audit Candidate 12]])
      &lt;&gt;0,
      (Audit[[#This Row],[Winning Candidate]]-Audit[[#This Row],[Losing Candidate]]-(Audit[[#This Row],[Audit Winning Candidate]]-Audit[[#This Row],[Audit Losing Candidate]]))/(Audit[[#Totals],[Winning Candidate]]-Audit[[#Totals],[Losing Candidate]]),
      0
)</f>
        <v>0</v>
      </c>
      <c r="AV9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8">
        <f>IF(Audit[[#This Row],[Max Relative Error (ep)]] = 0, 0, Audit[[#This Row],[Max Relative Error (ep)]]/Audit[[#This Row],[Error Bound (up) - Max. possible relative overstatement]])</f>
        <v>0</v>
      </c>
      <c r="BH9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69" s="18">
        <f t="shared" si="15"/>
        <v>1</v>
      </c>
      <c r="BJ969" s="18">
        <f>PRODUCT($BI$5:BI969)</f>
        <v>0.18662094552288083</v>
      </c>
      <c r="BK969" s="20">
        <f>1 - Audit[[#This Row],[K-M P Value]]</f>
        <v>0.81337905447711911</v>
      </c>
      <c r="BL969" s="18" t="str">
        <f>IF(Audit[[#This Row],[K-M P Value]]&gt;1-'General Info'!$B$12,"Continue", "Stop")</f>
        <v>Continue</v>
      </c>
      <c r="BM969" s="23" t="b">
        <f>IF(Audit[[#This Row],[Status - Continue or stop audit]] = "Continue", TRUE, IF(BL968 = "Continue", TRUE, FALSE))</f>
        <v>1</v>
      </c>
      <c r="BN969" s="23"/>
    </row>
    <row r="970" spans="1:66" ht="15" hidden="1" customHeight="1" x14ac:dyDescent="0.35">
      <c r="A970" s="18" t="str">
        <f>'Sampling Data'!AI970</f>
        <v/>
      </c>
      <c r="B970" s="18" t="str">
        <f>'Sampling Data'!A970</f>
        <v>6506 DELHI F   (ED)</v>
      </c>
      <c r="C970" s="18">
        <f>'Sampling Data'!B970</f>
        <v>96</v>
      </c>
      <c r="D970" s="18">
        <f>'Sampling Data'!C970</f>
        <v>16</v>
      </c>
      <c r="E970" s="19">
        <f>'Sampling Data'!D970</f>
        <v>0</v>
      </c>
      <c r="F970" s="19">
        <f>'Sampling Data'!E970</f>
        <v>0</v>
      </c>
      <c r="G970" s="19">
        <f>'Sampling Data'!F970</f>
        <v>0</v>
      </c>
      <c r="H970" s="19">
        <f>'Sampling Data'!G970</f>
        <v>0</v>
      </c>
      <c r="I970" s="19">
        <f>'Sampling Data'!H970</f>
        <v>0</v>
      </c>
      <c r="J970" s="19">
        <f>'Sampling Data'!I970</f>
        <v>0</v>
      </c>
      <c r="K970" s="19">
        <f>'Sampling Data'!J970</f>
        <v>0</v>
      </c>
      <c r="L970" s="19">
        <f>'Sampling Data'!K970</f>
        <v>0</v>
      </c>
      <c r="M970" s="19">
        <f>'Sampling Data'!L970</f>
        <v>0</v>
      </c>
      <c r="N970" s="19">
        <f>'Sampling Data'!M970</f>
        <v>0</v>
      </c>
      <c r="O970" s="18">
        <f>'Sampling Data'!N970</f>
        <v>0</v>
      </c>
      <c r="P970" s="18">
        <f>'Sampling Data'!O970</f>
        <v>3</v>
      </c>
      <c r="Q970" s="18">
        <f>'Sampling Data'!P970</f>
        <v>115</v>
      </c>
      <c r="R970" s="18">
        <f>'Sampling Data'!AJ970</f>
        <v>0</v>
      </c>
      <c r="S970" s="112"/>
      <c r="T970" s="112"/>
      <c r="U970" s="113"/>
      <c r="V970" s="113"/>
      <c r="W970" s="112"/>
      <c r="X970" s="112"/>
      <c r="Y970" s="112"/>
      <c r="Z970" s="112"/>
      <c r="AA970" s="15"/>
      <c r="AB970" s="15"/>
      <c r="AC970" s="15"/>
      <c r="AD970" s="15"/>
      <c r="AE970" s="114" t="str">
        <f>IF(NOT(ISBLANK(Audit[[#This Row],[Audit Winning Candidate]])), Audit[[#This Row],[Audit Winning Candidate]]-Audit[[#This Row],[Winning Candidate]], "")</f>
        <v/>
      </c>
      <c r="AF970" s="18" t="str">
        <f>IF(NOT(ISBLANK(Audit[[#This Row],[Audit Losing Candidate]])), Audit[[#This Row],[Audit Losing Candidate]]-Audit[[#This Row],[Losing Candidate]], "")</f>
        <v/>
      </c>
      <c r="AG970" s="18" t="str">
        <f>IF(NOT(ISBLANK(Audit[[#This Row],[Audit Candidate 3]])), Audit[[#This Row],[Audit Candidate 3]]-Audit[[#This Row],[Candidate 3]], "")</f>
        <v/>
      </c>
      <c r="AH970" s="18" t="str">
        <f>IF(NOT(ISBLANK(Audit[[#This Row],[Audit Candidate 4]])),Audit[[#This Row],[Audit Candidate 4]]-Audit[[#This Row],[Candidate 4]], "")</f>
        <v/>
      </c>
      <c r="AI970" s="18" t="str">
        <f>IF(NOT(ISBLANK(Audit[[#This Row],[Audit Candidate 5]])), Audit[[#This Row],[Audit Candidate 5]]-Audit[[#This Row],[Candidate 5]], "")</f>
        <v/>
      </c>
      <c r="AJ970" s="18" t="str">
        <f>IF(NOT(ISBLANK(Audit[[#This Row],[Audit Candidate 6]])), Audit[[#This Row],[Audit Candidate 6]]-Audit[[#This Row],[Candidate 6]], "")</f>
        <v/>
      </c>
      <c r="AK970" s="18" t="str">
        <f>IF(NOT(ISBLANK(Audit[[#This Row],[Audit Candidate 7]])), Audit[[#This Row],[Audit Candidate 7]]-Audit[[#This Row],[Candidate 7]], "")</f>
        <v/>
      </c>
      <c r="AL970" s="18" t="str">
        <f>IF(NOT(ISBLANK(Audit[[#This Row],[Audit Candidate 8]])), Audit[[#This Row],[Audit Candidate 8]]-Audit[[#This Row],[Candidate 8]], "")</f>
        <v/>
      </c>
      <c r="AM970" s="18" t="str">
        <f>IF(NOT(ISBLANK(Audit[[#This Row],[Audit Candidate 9]])), Audit[[#This Row],[Audit Candidate 9]]-Audit[[#This Row],[Candidate 9]], "")</f>
        <v/>
      </c>
      <c r="AN970" s="18" t="str">
        <f>IF(NOT(ISBLANK(Audit[[#This Row],[Audit Candidate 10]])), Audit[[#This Row],[Audit Candidate 10]]-Audit[[#This Row],[Candidate 10]], "")</f>
        <v/>
      </c>
      <c r="AO970" s="18" t="str">
        <f>IF(NOT(ISBLANK(Audit[[#This Row],[Audit Candidate 11]])), Audit[[#This Row],[Audit Candidate 11]]-Audit[[#This Row],[Candidate 11]], "")</f>
        <v/>
      </c>
      <c r="AP970" s="18" t="str">
        <f>IF(NOT(ISBLANK(Audit[[#This Row],[Audit Candidate 12]])), Audit[[#This Row],[Audit Candidate 12]]-Audit[[#This Row],[Candidate 12]], "")</f>
        <v/>
      </c>
      <c r="AQ970" s="18">
        <f>SUMIF(Audit[[#This Row],[Difference Winner]:[Difference Candidate 12]], "&gt;0")</f>
        <v>0</v>
      </c>
      <c r="AR970" s="18">
        <f>SUM(Audit[[#This Row],[Difference Winner]:[Difference Candidate 12]])</f>
        <v>0</v>
      </c>
      <c r="AS970" s="18">
        <f>IF(Audit[[#This Row],[Times p Drawn - With Replacement]]&gt;0, IF(Audit[[#This Row],[Canceled Differences]]&lt;0, Audit[[#This Row],[Max Differences]]+ABS(Audit[[#This Row],[Canceled Differences]]), Audit[[#This Row],[Max Differences]]), 0)</f>
        <v>0</v>
      </c>
      <c r="AT970" s="18">
        <f>'Sampling Data'!AB970</f>
        <v>6.1249489587586773E-3</v>
      </c>
      <c r="AU970" s="18">
        <f>IF(
      SUM(Audit[[#This Row],[Audit Losing Candidate]:[Audit Candidate 12]])
      &lt;&gt;0,
      (Audit[[#This Row],[Winning Candidate]]-Audit[[#This Row],[Losing Candidate]]-(Audit[[#This Row],[Audit Winning Candidate]]-Audit[[#This Row],[Audit Losing Candidate]]))/(Audit[[#Totals],[Winning Candidate]]-Audit[[#Totals],[Losing Candidate]]),
      0
)</f>
        <v>0</v>
      </c>
      <c r="AV9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8">
        <f>IF(Audit[[#This Row],[Max Relative Error (ep)]] = 0, 0, Audit[[#This Row],[Max Relative Error (ep)]]/Audit[[#This Row],[Error Bound (up) - Max. possible relative overstatement]])</f>
        <v>0</v>
      </c>
      <c r="BH9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0" s="18">
        <f t="shared" si="15"/>
        <v>1</v>
      </c>
      <c r="BJ970" s="18">
        <f>PRODUCT($BI$5:BI970)</f>
        <v>0.18662094552288083</v>
      </c>
      <c r="BK970" s="20">
        <f>1 - Audit[[#This Row],[K-M P Value]]</f>
        <v>0.81337905447711911</v>
      </c>
      <c r="BL970" s="18" t="str">
        <f>IF(Audit[[#This Row],[K-M P Value]]&gt;1-'General Info'!$B$12,"Continue", "Stop")</f>
        <v>Continue</v>
      </c>
      <c r="BM970" s="23" t="b">
        <f>IF(Audit[[#This Row],[Status - Continue or stop audit]] = "Continue", TRUE, IF(BL969 = "Continue", TRUE, FALSE))</f>
        <v>1</v>
      </c>
      <c r="BN970" s="23"/>
    </row>
    <row r="971" spans="1:66" ht="15" hidden="1" customHeight="1" x14ac:dyDescent="0.35">
      <c r="A971" s="18" t="str">
        <f>'Sampling Data'!AI971</f>
        <v/>
      </c>
      <c r="B971" s="18" t="str">
        <f>'Sampling Data'!A971</f>
        <v>6507 DELHI G   (ED)</v>
      </c>
      <c r="C971" s="18">
        <f>'Sampling Data'!B971</f>
        <v>177</v>
      </c>
      <c r="D971" s="18">
        <f>'Sampling Data'!C971</f>
        <v>11</v>
      </c>
      <c r="E971" s="19">
        <f>'Sampling Data'!D971</f>
        <v>0</v>
      </c>
      <c r="F971" s="19">
        <f>'Sampling Data'!E971</f>
        <v>0</v>
      </c>
      <c r="G971" s="19">
        <f>'Sampling Data'!F971</f>
        <v>0</v>
      </c>
      <c r="H971" s="19">
        <f>'Sampling Data'!G971</f>
        <v>0</v>
      </c>
      <c r="I971" s="19">
        <f>'Sampling Data'!H971</f>
        <v>0</v>
      </c>
      <c r="J971" s="19">
        <f>'Sampling Data'!I971</f>
        <v>0</v>
      </c>
      <c r="K971" s="19">
        <f>'Sampling Data'!J971</f>
        <v>0</v>
      </c>
      <c r="L971" s="19">
        <f>'Sampling Data'!K971</f>
        <v>0</v>
      </c>
      <c r="M971" s="19">
        <f>'Sampling Data'!L971</f>
        <v>0</v>
      </c>
      <c r="N971" s="19">
        <f>'Sampling Data'!M971</f>
        <v>0</v>
      </c>
      <c r="O971" s="18">
        <f>'Sampling Data'!N971</f>
        <v>0</v>
      </c>
      <c r="P971" s="18">
        <f>'Sampling Data'!O971</f>
        <v>11</v>
      </c>
      <c r="Q971" s="18">
        <f>'Sampling Data'!P971</f>
        <v>199</v>
      </c>
      <c r="R971" s="18">
        <f>'Sampling Data'!AJ971</f>
        <v>0</v>
      </c>
      <c r="S971" s="112"/>
      <c r="T971" s="112"/>
      <c r="U971" s="113"/>
      <c r="V971" s="113"/>
      <c r="W971" s="112"/>
      <c r="X971" s="112"/>
      <c r="Y971" s="112"/>
      <c r="Z971" s="112"/>
      <c r="AA971" s="15"/>
      <c r="AB971" s="15"/>
      <c r="AC971" s="15"/>
      <c r="AD971" s="15"/>
      <c r="AE971" s="114" t="str">
        <f>IF(NOT(ISBLANK(Audit[[#This Row],[Audit Winning Candidate]])), Audit[[#This Row],[Audit Winning Candidate]]-Audit[[#This Row],[Winning Candidate]], "")</f>
        <v/>
      </c>
      <c r="AF971" s="18" t="str">
        <f>IF(NOT(ISBLANK(Audit[[#This Row],[Audit Losing Candidate]])), Audit[[#This Row],[Audit Losing Candidate]]-Audit[[#This Row],[Losing Candidate]], "")</f>
        <v/>
      </c>
      <c r="AG971" s="18" t="str">
        <f>IF(NOT(ISBLANK(Audit[[#This Row],[Audit Candidate 3]])), Audit[[#This Row],[Audit Candidate 3]]-Audit[[#This Row],[Candidate 3]], "")</f>
        <v/>
      </c>
      <c r="AH971" s="18" t="str">
        <f>IF(NOT(ISBLANK(Audit[[#This Row],[Audit Candidate 4]])),Audit[[#This Row],[Audit Candidate 4]]-Audit[[#This Row],[Candidate 4]], "")</f>
        <v/>
      </c>
      <c r="AI971" s="18" t="str">
        <f>IF(NOT(ISBLANK(Audit[[#This Row],[Audit Candidate 5]])), Audit[[#This Row],[Audit Candidate 5]]-Audit[[#This Row],[Candidate 5]], "")</f>
        <v/>
      </c>
      <c r="AJ971" s="18" t="str">
        <f>IF(NOT(ISBLANK(Audit[[#This Row],[Audit Candidate 6]])), Audit[[#This Row],[Audit Candidate 6]]-Audit[[#This Row],[Candidate 6]], "")</f>
        <v/>
      </c>
      <c r="AK971" s="18" t="str">
        <f>IF(NOT(ISBLANK(Audit[[#This Row],[Audit Candidate 7]])), Audit[[#This Row],[Audit Candidate 7]]-Audit[[#This Row],[Candidate 7]], "")</f>
        <v/>
      </c>
      <c r="AL971" s="18" t="str">
        <f>IF(NOT(ISBLANK(Audit[[#This Row],[Audit Candidate 8]])), Audit[[#This Row],[Audit Candidate 8]]-Audit[[#This Row],[Candidate 8]], "")</f>
        <v/>
      </c>
      <c r="AM971" s="18" t="str">
        <f>IF(NOT(ISBLANK(Audit[[#This Row],[Audit Candidate 9]])), Audit[[#This Row],[Audit Candidate 9]]-Audit[[#This Row],[Candidate 9]], "")</f>
        <v/>
      </c>
      <c r="AN971" s="18" t="str">
        <f>IF(NOT(ISBLANK(Audit[[#This Row],[Audit Candidate 10]])), Audit[[#This Row],[Audit Candidate 10]]-Audit[[#This Row],[Candidate 10]], "")</f>
        <v/>
      </c>
      <c r="AO971" s="18" t="str">
        <f>IF(NOT(ISBLANK(Audit[[#This Row],[Audit Candidate 11]])), Audit[[#This Row],[Audit Candidate 11]]-Audit[[#This Row],[Candidate 11]], "")</f>
        <v/>
      </c>
      <c r="AP971" s="18" t="str">
        <f>IF(NOT(ISBLANK(Audit[[#This Row],[Audit Candidate 12]])), Audit[[#This Row],[Audit Candidate 12]]-Audit[[#This Row],[Candidate 12]], "")</f>
        <v/>
      </c>
      <c r="AQ971" s="18">
        <f>SUMIF(Audit[[#This Row],[Difference Winner]:[Difference Candidate 12]], "&gt;0")</f>
        <v>0</v>
      </c>
      <c r="AR971" s="18">
        <f>SUM(Audit[[#This Row],[Difference Winner]:[Difference Candidate 12]])</f>
        <v>0</v>
      </c>
      <c r="AS971" s="18">
        <f>IF(Audit[[#This Row],[Times p Drawn - With Replacement]]&gt;0, IF(Audit[[#This Row],[Canceled Differences]]&lt;0, Audit[[#This Row],[Max Differences]]+ABS(Audit[[#This Row],[Canceled Differences]]), Audit[[#This Row],[Max Differences]]), 0)</f>
        <v>0</v>
      </c>
      <c r="AT971" s="18">
        <f>'Sampling Data'!AB971</f>
        <v>1.1464648051009831E-2</v>
      </c>
      <c r="AU971" s="18">
        <f>IF(
      SUM(Audit[[#This Row],[Audit Losing Candidate]:[Audit Candidate 12]])
      &lt;&gt;0,
      (Audit[[#This Row],[Winning Candidate]]-Audit[[#This Row],[Losing Candidate]]-(Audit[[#This Row],[Audit Winning Candidate]]-Audit[[#This Row],[Audit Losing Candidate]]))/(Audit[[#Totals],[Winning Candidate]]-Audit[[#Totals],[Losing Candidate]]),
      0
)</f>
        <v>0</v>
      </c>
      <c r="AV9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8">
        <f>IF(Audit[[#This Row],[Max Relative Error (ep)]] = 0, 0, Audit[[#This Row],[Max Relative Error (ep)]]/Audit[[#This Row],[Error Bound (up) - Max. possible relative overstatement]])</f>
        <v>0</v>
      </c>
      <c r="BH9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1" s="18">
        <f t="shared" si="15"/>
        <v>1</v>
      </c>
      <c r="BJ971" s="18">
        <f>PRODUCT($BI$5:BI971)</f>
        <v>0.18662094552288083</v>
      </c>
      <c r="BK971" s="20">
        <f>1 - Audit[[#This Row],[K-M P Value]]</f>
        <v>0.81337905447711911</v>
      </c>
      <c r="BL971" s="18" t="str">
        <f>IF(Audit[[#This Row],[K-M P Value]]&gt;1-'General Info'!$B$12,"Continue", "Stop")</f>
        <v>Continue</v>
      </c>
      <c r="BM971" s="23" t="b">
        <f>IF(Audit[[#This Row],[Status - Continue or stop audit]] = "Continue", TRUE, IF(BL970 = "Continue", TRUE, FALSE))</f>
        <v>1</v>
      </c>
      <c r="BN971" s="23"/>
    </row>
    <row r="972" spans="1:66" ht="15" customHeight="1" x14ac:dyDescent="0.35">
      <c r="A972" s="18">
        <f>'Sampling Data'!AI972</f>
        <v>1</v>
      </c>
      <c r="B972" s="18" t="str">
        <f>'Sampling Data'!A972</f>
        <v>6508 DELHI H   (ED)</v>
      </c>
      <c r="C972" s="18">
        <f>'Sampling Data'!B972</f>
        <v>162</v>
      </c>
      <c r="D972" s="18">
        <f>'Sampling Data'!C972</f>
        <v>14</v>
      </c>
      <c r="E972" s="19">
        <f>'Sampling Data'!D972</f>
        <v>0</v>
      </c>
      <c r="F972" s="19">
        <f>'Sampling Data'!E972</f>
        <v>0</v>
      </c>
      <c r="G972" s="19">
        <f>'Sampling Data'!F972</f>
        <v>0</v>
      </c>
      <c r="H972" s="19">
        <f>'Sampling Data'!G972</f>
        <v>0</v>
      </c>
      <c r="I972" s="19">
        <f>'Sampling Data'!H972</f>
        <v>0</v>
      </c>
      <c r="J972" s="19">
        <f>'Sampling Data'!I972</f>
        <v>0</v>
      </c>
      <c r="K972" s="19">
        <f>'Sampling Data'!J972</f>
        <v>0</v>
      </c>
      <c r="L972" s="19">
        <f>'Sampling Data'!K972</f>
        <v>0</v>
      </c>
      <c r="M972" s="19">
        <f>'Sampling Data'!L972</f>
        <v>0</v>
      </c>
      <c r="N972" s="19">
        <f>'Sampling Data'!M972</f>
        <v>0</v>
      </c>
      <c r="O972" s="18">
        <f>'Sampling Data'!N972</f>
        <v>0</v>
      </c>
      <c r="P972" s="18">
        <f>'Sampling Data'!O972</f>
        <v>6</v>
      </c>
      <c r="Q972" s="18">
        <f>'Sampling Data'!P972</f>
        <v>182</v>
      </c>
      <c r="R972" s="18">
        <f>'Sampling Data'!AJ972</f>
        <v>1</v>
      </c>
      <c r="S972" s="112">
        <v>162</v>
      </c>
      <c r="T972" s="112">
        <v>14</v>
      </c>
      <c r="U972" s="113"/>
      <c r="V972" s="113"/>
      <c r="W972" s="112"/>
      <c r="X972" s="112"/>
      <c r="Y972" s="112"/>
      <c r="Z972" s="112"/>
      <c r="AA972" s="15"/>
      <c r="AB972" s="15"/>
      <c r="AC972" s="15"/>
      <c r="AD972" s="15"/>
      <c r="AE972" s="114">
        <f>IF(NOT(ISBLANK(Audit[[#This Row],[Audit Winning Candidate]])), Audit[[#This Row],[Audit Winning Candidate]]-Audit[[#This Row],[Winning Candidate]], "")</f>
        <v>0</v>
      </c>
      <c r="AF972" s="18">
        <f>IF(NOT(ISBLANK(Audit[[#This Row],[Audit Losing Candidate]])), Audit[[#This Row],[Audit Losing Candidate]]-Audit[[#This Row],[Losing Candidate]], "")</f>
        <v>0</v>
      </c>
      <c r="AG972" s="18" t="str">
        <f>IF(NOT(ISBLANK(Audit[[#This Row],[Audit Candidate 3]])), Audit[[#This Row],[Audit Candidate 3]]-Audit[[#This Row],[Candidate 3]], "")</f>
        <v/>
      </c>
      <c r="AH972" s="18" t="str">
        <f>IF(NOT(ISBLANK(Audit[[#This Row],[Audit Candidate 4]])),Audit[[#This Row],[Audit Candidate 4]]-Audit[[#This Row],[Candidate 4]], "")</f>
        <v/>
      </c>
      <c r="AI972" s="18" t="str">
        <f>IF(NOT(ISBLANK(Audit[[#This Row],[Audit Candidate 5]])), Audit[[#This Row],[Audit Candidate 5]]-Audit[[#This Row],[Candidate 5]], "")</f>
        <v/>
      </c>
      <c r="AJ972" s="18" t="str">
        <f>IF(NOT(ISBLANK(Audit[[#This Row],[Audit Candidate 6]])), Audit[[#This Row],[Audit Candidate 6]]-Audit[[#This Row],[Candidate 6]], "")</f>
        <v/>
      </c>
      <c r="AK972" s="18" t="str">
        <f>IF(NOT(ISBLANK(Audit[[#This Row],[Audit Candidate 7]])), Audit[[#This Row],[Audit Candidate 7]]-Audit[[#This Row],[Candidate 7]], "")</f>
        <v/>
      </c>
      <c r="AL972" s="18" t="str">
        <f>IF(NOT(ISBLANK(Audit[[#This Row],[Audit Candidate 8]])), Audit[[#This Row],[Audit Candidate 8]]-Audit[[#This Row],[Candidate 8]], "")</f>
        <v/>
      </c>
      <c r="AM972" s="18" t="str">
        <f>IF(NOT(ISBLANK(Audit[[#This Row],[Audit Candidate 9]])), Audit[[#This Row],[Audit Candidate 9]]-Audit[[#This Row],[Candidate 9]], "")</f>
        <v/>
      </c>
      <c r="AN972" s="18" t="str">
        <f>IF(NOT(ISBLANK(Audit[[#This Row],[Audit Candidate 10]])), Audit[[#This Row],[Audit Candidate 10]]-Audit[[#This Row],[Candidate 10]], "")</f>
        <v/>
      </c>
      <c r="AO972" s="18" t="str">
        <f>IF(NOT(ISBLANK(Audit[[#This Row],[Audit Candidate 11]])), Audit[[#This Row],[Audit Candidate 11]]-Audit[[#This Row],[Candidate 11]], "")</f>
        <v/>
      </c>
      <c r="AP972" s="18" t="str">
        <f>IF(NOT(ISBLANK(Audit[[#This Row],[Audit Candidate 12]])), Audit[[#This Row],[Audit Candidate 12]]-Audit[[#This Row],[Candidate 12]], "")</f>
        <v/>
      </c>
      <c r="AQ972" s="18">
        <f>SUMIF(Audit[[#This Row],[Difference Winner]:[Difference Candidate 12]], "&gt;0")</f>
        <v>0</v>
      </c>
      <c r="AR972" s="18">
        <f>SUM(Audit[[#This Row],[Difference Winner]:[Difference Candidate 12]])</f>
        <v>0</v>
      </c>
      <c r="AS972" s="18">
        <f>IF(Audit[[#This Row],[Times p Drawn - With Replacement]]&gt;0, IF(Audit[[#This Row],[Canceled Differences]]&lt;0, Audit[[#This Row],[Max Differences]]+ABS(Audit[[#This Row],[Canceled Differences]]), Audit[[#This Row],[Max Differences]]), 0)</f>
        <v>0</v>
      </c>
      <c r="AT972" s="18">
        <f>'Sampling Data'!AB972</f>
        <v>1.0365298237899299E-2</v>
      </c>
      <c r="AU972" s="18">
        <f>IF(
      SUM(Audit[[#This Row],[Audit Losing Candidate]:[Audit Candidate 12]])
      &lt;&gt;0,
      (Audit[[#This Row],[Winning Candidate]]-Audit[[#This Row],[Losing Candidate]]-(Audit[[#This Row],[Audit Winning Candidate]]-Audit[[#This Row],[Audit Losing Candidate]]))/(Audit[[#Totals],[Winning Candidate]]-Audit[[#Totals],[Losing Candidate]]),
      0
)</f>
        <v>0</v>
      </c>
      <c r="AV9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8">
        <f>IF(Audit[[#This Row],[Max Relative Error (ep)]] = 0, 0, Audit[[#This Row],[Max Relative Error (ep)]]/Audit[[#This Row],[Error Bound (up) - Max. possible relative overstatement]])</f>
        <v>0</v>
      </c>
      <c r="BH9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2" s="18">
        <f t="shared" si="15"/>
        <v>0.57146126097022543</v>
      </c>
      <c r="BJ972" s="18">
        <f>PRODUCT($BI$5:BI972)</f>
        <v>0.10664664085196122</v>
      </c>
      <c r="BK972" s="20">
        <f>1 - Audit[[#This Row],[K-M P Value]]</f>
        <v>0.89335335914803882</v>
      </c>
      <c r="BL972" s="18" t="str">
        <f>IF(Audit[[#This Row],[K-M P Value]]&gt;1-'General Info'!$B$12,"Continue", "Stop")</f>
        <v>Continue</v>
      </c>
      <c r="BM972" s="23" t="b">
        <f>IF(Audit[[#This Row],[Status - Continue or stop audit]] = "Continue", TRUE, IF(BL971 = "Continue", TRUE, FALSE))</f>
        <v>1</v>
      </c>
      <c r="BN972" s="23"/>
    </row>
    <row r="973" spans="1:66" ht="15" hidden="1" customHeight="1" x14ac:dyDescent="0.35">
      <c r="A973" s="18" t="str">
        <f>'Sampling Data'!AI973</f>
        <v/>
      </c>
      <c r="B973" s="18" t="str">
        <f>'Sampling Data'!A973</f>
        <v>6509 DELHI I   (ED)</v>
      </c>
      <c r="C973" s="18">
        <f>'Sampling Data'!B973</f>
        <v>82</v>
      </c>
      <c r="D973" s="18">
        <f>'Sampling Data'!C973</f>
        <v>14</v>
      </c>
      <c r="E973" s="19">
        <f>'Sampling Data'!D973</f>
        <v>0</v>
      </c>
      <c r="F973" s="19">
        <f>'Sampling Data'!E973</f>
        <v>0</v>
      </c>
      <c r="G973" s="19">
        <f>'Sampling Data'!F973</f>
        <v>0</v>
      </c>
      <c r="H973" s="19">
        <f>'Sampling Data'!G973</f>
        <v>0</v>
      </c>
      <c r="I973" s="19">
        <f>'Sampling Data'!H973</f>
        <v>0</v>
      </c>
      <c r="J973" s="19">
        <f>'Sampling Data'!I973</f>
        <v>0</v>
      </c>
      <c r="K973" s="19">
        <f>'Sampling Data'!J973</f>
        <v>0</v>
      </c>
      <c r="L973" s="19">
        <f>'Sampling Data'!K973</f>
        <v>0</v>
      </c>
      <c r="M973" s="19">
        <f>'Sampling Data'!L973</f>
        <v>0</v>
      </c>
      <c r="N973" s="19">
        <f>'Sampling Data'!M973</f>
        <v>0</v>
      </c>
      <c r="O973" s="18">
        <f>'Sampling Data'!N973</f>
        <v>0</v>
      </c>
      <c r="P973" s="18">
        <f>'Sampling Data'!O973</f>
        <v>4</v>
      </c>
      <c r="Q973" s="18">
        <f>'Sampling Data'!P973</f>
        <v>100</v>
      </c>
      <c r="R973" s="18">
        <f>'Sampling Data'!AJ973</f>
        <v>0</v>
      </c>
      <c r="S973" s="112"/>
      <c r="T973" s="112"/>
      <c r="U973" s="113"/>
      <c r="V973" s="113"/>
      <c r="W973" s="112"/>
      <c r="X973" s="112"/>
      <c r="Y973" s="112"/>
      <c r="Z973" s="112"/>
      <c r="AA973" s="15"/>
      <c r="AB973" s="15"/>
      <c r="AC973" s="15"/>
      <c r="AD973" s="15"/>
      <c r="AE973" s="114" t="str">
        <f>IF(NOT(ISBLANK(Audit[[#This Row],[Audit Winning Candidate]])), Audit[[#This Row],[Audit Winning Candidate]]-Audit[[#This Row],[Winning Candidate]], "")</f>
        <v/>
      </c>
      <c r="AF973" s="18" t="str">
        <f>IF(NOT(ISBLANK(Audit[[#This Row],[Audit Losing Candidate]])), Audit[[#This Row],[Audit Losing Candidate]]-Audit[[#This Row],[Losing Candidate]], "")</f>
        <v/>
      </c>
      <c r="AG973" s="18" t="str">
        <f>IF(NOT(ISBLANK(Audit[[#This Row],[Audit Candidate 3]])), Audit[[#This Row],[Audit Candidate 3]]-Audit[[#This Row],[Candidate 3]], "")</f>
        <v/>
      </c>
      <c r="AH973" s="18" t="str">
        <f>IF(NOT(ISBLANK(Audit[[#This Row],[Audit Candidate 4]])),Audit[[#This Row],[Audit Candidate 4]]-Audit[[#This Row],[Candidate 4]], "")</f>
        <v/>
      </c>
      <c r="AI973" s="18" t="str">
        <f>IF(NOT(ISBLANK(Audit[[#This Row],[Audit Candidate 5]])), Audit[[#This Row],[Audit Candidate 5]]-Audit[[#This Row],[Candidate 5]], "")</f>
        <v/>
      </c>
      <c r="AJ973" s="18" t="str">
        <f>IF(NOT(ISBLANK(Audit[[#This Row],[Audit Candidate 6]])), Audit[[#This Row],[Audit Candidate 6]]-Audit[[#This Row],[Candidate 6]], "")</f>
        <v/>
      </c>
      <c r="AK973" s="18" t="str">
        <f>IF(NOT(ISBLANK(Audit[[#This Row],[Audit Candidate 7]])), Audit[[#This Row],[Audit Candidate 7]]-Audit[[#This Row],[Candidate 7]], "")</f>
        <v/>
      </c>
      <c r="AL973" s="18" t="str">
        <f>IF(NOT(ISBLANK(Audit[[#This Row],[Audit Candidate 8]])), Audit[[#This Row],[Audit Candidate 8]]-Audit[[#This Row],[Candidate 8]], "")</f>
        <v/>
      </c>
      <c r="AM973" s="18" t="str">
        <f>IF(NOT(ISBLANK(Audit[[#This Row],[Audit Candidate 9]])), Audit[[#This Row],[Audit Candidate 9]]-Audit[[#This Row],[Candidate 9]], "")</f>
        <v/>
      </c>
      <c r="AN973" s="18" t="str">
        <f>IF(NOT(ISBLANK(Audit[[#This Row],[Audit Candidate 10]])), Audit[[#This Row],[Audit Candidate 10]]-Audit[[#This Row],[Candidate 10]], "")</f>
        <v/>
      </c>
      <c r="AO973" s="18" t="str">
        <f>IF(NOT(ISBLANK(Audit[[#This Row],[Audit Candidate 11]])), Audit[[#This Row],[Audit Candidate 11]]-Audit[[#This Row],[Candidate 11]], "")</f>
        <v/>
      </c>
      <c r="AP973" s="18" t="str">
        <f>IF(NOT(ISBLANK(Audit[[#This Row],[Audit Candidate 12]])), Audit[[#This Row],[Audit Candidate 12]]-Audit[[#This Row],[Candidate 12]], "")</f>
        <v/>
      </c>
      <c r="AQ973" s="18">
        <f>SUMIF(Audit[[#This Row],[Difference Winner]:[Difference Candidate 12]], "&gt;0")</f>
        <v>0</v>
      </c>
      <c r="AR973" s="18">
        <f>SUM(Audit[[#This Row],[Difference Winner]:[Difference Candidate 12]])</f>
        <v>0</v>
      </c>
      <c r="AS973" s="18">
        <f>IF(Audit[[#This Row],[Times p Drawn - With Replacement]]&gt;0, IF(Audit[[#This Row],[Canceled Differences]]&lt;0, Audit[[#This Row],[Max Differences]]+ABS(Audit[[#This Row],[Canceled Differences]]), Audit[[#This Row],[Max Differences]]), 0)</f>
        <v>0</v>
      </c>
      <c r="AT973" s="18">
        <f>'Sampling Data'!AB973</f>
        <v>5.2768791029305529E-3</v>
      </c>
      <c r="AU973" s="18">
        <f>IF(
      SUM(Audit[[#This Row],[Audit Losing Candidate]:[Audit Candidate 12]])
      &lt;&gt;0,
      (Audit[[#This Row],[Winning Candidate]]-Audit[[#This Row],[Losing Candidate]]-(Audit[[#This Row],[Audit Winning Candidate]]-Audit[[#This Row],[Audit Losing Candidate]]))/(Audit[[#Totals],[Winning Candidate]]-Audit[[#Totals],[Losing Candidate]]),
      0
)</f>
        <v>0</v>
      </c>
      <c r="AV9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8">
        <f>IF(Audit[[#This Row],[Max Relative Error (ep)]] = 0, 0, Audit[[#This Row],[Max Relative Error (ep)]]/Audit[[#This Row],[Error Bound (up) - Max. possible relative overstatement]])</f>
        <v>0</v>
      </c>
      <c r="BH9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3" s="18">
        <f t="shared" si="15"/>
        <v>1</v>
      </c>
      <c r="BJ973" s="18">
        <f>PRODUCT($BI$5:BI973)</f>
        <v>0.10664664085196122</v>
      </c>
      <c r="BK973" s="20">
        <f>1 - Audit[[#This Row],[K-M P Value]]</f>
        <v>0.89335335914803882</v>
      </c>
      <c r="BL973" s="18" t="str">
        <f>IF(Audit[[#This Row],[K-M P Value]]&gt;1-'General Info'!$B$12,"Continue", "Stop")</f>
        <v>Continue</v>
      </c>
      <c r="BM973" s="23" t="b">
        <f>IF(Audit[[#This Row],[Status - Continue or stop audit]] = "Continue", TRUE, IF(BL972 = "Continue", TRUE, FALSE))</f>
        <v>1</v>
      </c>
      <c r="BN973" s="23"/>
    </row>
    <row r="974" spans="1:66" ht="15" hidden="1" customHeight="1" x14ac:dyDescent="0.35">
      <c r="A974" s="18" t="str">
        <f>'Sampling Data'!AI974</f>
        <v/>
      </c>
      <c r="B974" s="18" t="str">
        <f>'Sampling Data'!A974</f>
        <v>6510 DELHI J   (ED)</v>
      </c>
      <c r="C974" s="18">
        <f>'Sampling Data'!B974</f>
        <v>105</v>
      </c>
      <c r="D974" s="18">
        <f>'Sampling Data'!C974</f>
        <v>11</v>
      </c>
      <c r="E974" s="19">
        <f>'Sampling Data'!D974</f>
        <v>0</v>
      </c>
      <c r="F974" s="19">
        <f>'Sampling Data'!E974</f>
        <v>0</v>
      </c>
      <c r="G974" s="19">
        <f>'Sampling Data'!F974</f>
        <v>0</v>
      </c>
      <c r="H974" s="19">
        <f>'Sampling Data'!G974</f>
        <v>0</v>
      </c>
      <c r="I974" s="19">
        <f>'Sampling Data'!H974</f>
        <v>0</v>
      </c>
      <c r="J974" s="19">
        <f>'Sampling Data'!I974</f>
        <v>0</v>
      </c>
      <c r="K974" s="19">
        <f>'Sampling Data'!J974</f>
        <v>0</v>
      </c>
      <c r="L974" s="19">
        <f>'Sampling Data'!K974</f>
        <v>0</v>
      </c>
      <c r="M974" s="19">
        <f>'Sampling Data'!L974</f>
        <v>0</v>
      </c>
      <c r="N974" s="19">
        <f>'Sampling Data'!M974</f>
        <v>0</v>
      </c>
      <c r="O974" s="18">
        <f>'Sampling Data'!N974</f>
        <v>0</v>
      </c>
      <c r="P974" s="18">
        <f>'Sampling Data'!O974</f>
        <v>8</v>
      </c>
      <c r="Q974" s="18">
        <f>'Sampling Data'!P974</f>
        <v>124</v>
      </c>
      <c r="R974" s="18">
        <f>'Sampling Data'!AJ974</f>
        <v>0</v>
      </c>
      <c r="S974" s="112"/>
      <c r="T974" s="112"/>
      <c r="U974" s="113"/>
      <c r="V974" s="113"/>
      <c r="W974" s="112"/>
      <c r="X974" s="112"/>
      <c r="Y974" s="112"/>
      <c r="Z974" s="112"/>
      <c r="AA974" s="15"/>
      <c r="AB974" s="15"/>
      <c r="AC974" s="15"/>
      <c r="AD974" s="15"/>
      <c r="AE974" s="114" t="str">
        <f>IF(NOT(ISBLANK(Audit[[#This Row],[Audit Winning Candidate]])), Audit[[#This Row],[Audit Winning Candidate]]-Audit[[#This Row],[Winning Candidate]], "")</f>
        <v/>
      </c>
      <c r="AF974" s="18" t="str">
        <f>IF(NOT(ISBLANK(Audit[[#This Row],[Audit Losing Candidate]])), Audit[[#This Row],[Audit Losing Candidate]]-Audit[[#This Row],[Losing Candidate]], "")</f>
        <v/>
      </c>
      <c r="AG974" s="18" t="str">
        <f>IF(NOT(ISBLANK(Audit[[#This Row],[Audit Candidate 3]])), Audit[[#This Row],[Audit Candidate 3]]-Audit[[#This Row],[Candidate 3]], "")</f>
        <v/>
      </c>
      <c r="AH974" s="18" t="str">
        <f>IF(NOT(ISBLANK(Audit[[#This Row],[Audit Candidate 4]])),Audit[[#This Row],[Audit Candidate 4]]-Audit[[#This Row],[Candidate 4]], "")</f>
        <v/>
      </c>
      <c r="AI974" s="18" t="str">
        <f>IF(NOT(ISBLANK(Audit[[#This Row],[Audit Candidate 5]])), Audit[[#This Row],[Audit Candidate 5]]-Audit[[#This Row],[Candidate 5]], "")</f>
        <v/>
      </c>
      <c r="AJ974" s="18" t="str">
        <f>IF(NOT(ISBLANK(Audit[[#This Row],[Audit Candidate 6]])), Audit[[#This Row],[Audit Candidate 6]]-Audit[[#This Row],[Candidate 6]], "")</f>
        <v/>
      </c>
      <c r="AK974" s="18" t="str">
        <f>IF(NOT(ISBLANK(Audit[[#This Row],[Audit Candidate 7]])), Audit[[#This Row],[Audit Candidate 7]]-Audit[[#This Row],[Candidate 7]], "")</f>
        <v/>
      </c>
      <c r="AL974" s="18" t="str">
        <f>IF(NOT(ISBLANK(Audit[[#This Row],[Audit Candidate 8]])), Audit[[#This Row],[Audit Candidate 8]]-Audit[[#This Row],[Candidate 8]], "")</f>
        <v/>
      </c>
      <c r="AM974" s="18" t="str">
        <f>IF(NOT(ISBLANK(Audit[[#This Row],[Audit Candidate 9]])), Audit[[#This Row],[Audit Candidate 9]]-Audit[[#This Row],[Candidate 9]], "")</f>
        <v/>
      </c>
      <c r="AN974" s="18" t="str">
        <f>IF(NOT(ISBLANK(Audit[[#This Row],[Audit Candidate 10]])), Audit[[#This Row],[Audit Candidate 10]]-Audit[[#This Row],[Candidate 10]], "")</f>
        <v/>
      </c>
      <c r="AO974" s="18" t="str">
        <f>IF(NOT(ISBLANK(Audit[[#This Row],[Audit Candidate 11]])), Audit[[#This Row],[Audit Candidate 11]]-Audit[[#This Row],[Candidate 11]], "")</f>
        <v/>
      </c>
      <c r="AP974" s="18" t="str">
        <f>IF(NOT(ISBLANK(Audit[[#This Row],[Audit Candidate 12]])), Audit[[#This Row],[Audit Candidate 12]]-Audit[[#This Row],[Candidate 12]], "")</f>
        <v/>
      </c>
      <c r="AQ974" s="18">
        <f>SUMIF(Audit[[#This Row],[Difference Winner]:[Difference Candidate 12]], "&gt;0")</f>
        <v>0</v>
      </c>
      <c r="AR974" s="18">
        <f>SUM(Audit[[#This Row],[Difference Winner]:[Difference Candidate 12]])</f>
        <v>0</v>
      </c>
      <c r="AS974" s="18">
        <f>IF(Audit[[#This Row],[Times p Drawn - With Replacement]]&gt;0, IF(Audit[[#This Row],[Canceled Differences]]&lt;0, Audit[[#This Row],[Max Differences]]+ABS(Audit[[#This Row],[Canceled Differences]]), Audit[[#This Row],[Max Differences]]), 0)</f>
        <v>0</v>
      </c>
      <c r="AT974" s="18">
        <f>'Sampling Data'!AB974</f>
        <v>6.8473788359455978E-3</v>
      </c>
      <c r="AU974" s="18">
        <f>IF(
      SUM(Audit[[#This Row],[Audit Losing Candidate]:[Audit Candidate 12]])
      &lt;&gt;0,
      (Audit[[#This Row],[Winning Candidate]]-Audit[[#This Row],[Losing Candidate]]-(Audit[[#This Row],[Audit Winning Candidate]]-Audit[[#This Row],[Audit Losing Candidate]]))/(Audit[[#Totals],[Winning Candidate]]-Audit[[#Totals],[Losing Candidate]]),
      0
)</f>
        <v>0</v>
      </c>
      <c r="AV9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8">
        <f>IF(Audit[[#This Row],[Max Relative Error (ep)]] = 0, 0, Audit[[#This Row],[Max Relative Error (ep)]]/Audit[[#This Row],[Error Bound (up) - Max. possible relative overstatement]])</f>
        <v>0</v>
      </c>
      <c r="BH9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4" s="18">
        <f t="shared" si="15"/>
        <v>1</v>
      </c>
      <c r="BJ974" s="18">
        <f>PRODUCT($BI$5:BI974)</f>
        <v>0.10664664085196122</v>
      </c>
      <c r="BK974" s="20">
        <f>1 - Audit[[#This Row],[K-M P Value]]</f>
        <v>0.89335335914803882</v>
      </c>
      <c r="BL974" s="18" t="str">
        <f>IF(Audit[[#This Row],[K-M P Value]]&gt;1-'General Info'!$B$12,"Continue", "Stop")</f>
        <v>Continue</v>
      </c>
      <c r="BM974" s="23" t="b">
        <f>IF(Audit[[#This Row],[Status - Continue or stop audit]] = "Continue", TRUE, IF(BL973 = "Continue", TRUE, FALSE))</f>
        <v>1</v>
      </c>
      <c r="BN974" s="23"/>
    </row>
    <row r="975" spans="1:66" ht="15" hidden="1" customHeight="1" x14ac:dyDescent="0.35">
      <c r="A975" s="18" t="str">
        <f>'Sampling Data'!AI975</f>
        <v/>
      </c>
      <c r="B975" s="18" t="str">
        <f>'Sampling Data'!A975</f>
        <v>6511 DELHI K   (ED)</v>
      </c>
      <c r="C975" s="18">
        <f>'Sampling Data'!B975</f>
        <v>135</v>
      </c>
      <c r="D975" s="18">
        <f>'Sampling Data'!C975</f>
        <v>14</v>
      </c>
      <c r="E975" s="19">
        <f>'Sampling Data'!D975</f>
        <v>0</v>
      </c>
      <c r="F975" s="19">
        <f>'Sampling Data'!E975</f>
        <v>0</v>
      </c>
      <c r="G975" s="19">
        <f>'Sampling Data'!F975</f>
        <v>0</v>
      </c>
      <c r="H975" s="19">
        <f>'Sampling Data'!G975</f>
        <v>0</v>
      </c>
      <c r="I975" s="19">
        <f>'Sampling Data'!H975</f>
        <v>0</v>
      </c>
      <c r="J975" s="19">
        <f>'Sampling Data'!I975</f>
        <v>0</v>
      </c>
      <c r="K975" s="19">
        <f>'Sampling Data'!J975</f>
        <v>0</v>
      </c>
      <c r="L975" s="19">
        <f>'Sampling Data'!K975</f>
        <v>0</v>
      </c>
      <c r="M975" s="19">
        <f>'Sampling Data'!L975</f>
        <v>0</v>
      </c>
      <c r="N975" s="19">
        <f>'Sampling Data'!M975</f>
        <v>0</v>
      </c>
      <c r="O975" s="18">
        <f>'Sampling Data'!N975</f>
        <v>0</v>
      </c>
      <c r="P975" s="18">
        <f>'Sampling Data'!O975</f>
        <v>3</v>
      </c>
      <c r="Q975" s="18">
        <f>'Sampling Data'!P975</f>
        <v>152</v>
      </c>
      <c r="R975" s="18">
        <f>'Sampling Data'!AJ975</f>
        <v>0</v>
      </c>
      <c r="S975" s="112"/>
      <c r="T975" s="112"/>
      <c r="U975" s="113"/>
      <c r="V975" s="113"/>
      <c r="W975" s="112"/>
      <c r="X975" s="112"/>
      <c r="Y975" s="112"/>
      <c r="Z975" s="112"/>
      <c r="AA975" s="15"/>
      <c r="AB975" s="15"/>
      <c r="AC975" s="15"/>
      <c r="AD975" s="15"/>
      <c r="AE975" s="114" t="str">
        <f>IF(NOT(ISBLANK(Audit[[#This Row],[Audit Winning Candidate]])), Audit[[#This Row],[Audit Winning Candidate]]-Audit[[#This Row],[Winning Candidate]], "")</f>
        <v/>
      </c>
      <c r="AF975" s="18" t="str">
        <f>IF(NOT(ISBLANK(Audit[[#This Row],[Audit Losing Candidate]])), Audit[[#This Row],[Audit Losing Candidate]]-Audit[[#This Row],[Losing Candidate]], "")</f>
        <v/>
      </c>
      <c r="AG975" s="18" t="str">
        <f>IF(NOT(ISBLANK(Audit[[#This Row],[Audit Candidate 3]])), Audit[[#This Row],[Audit Candidate 3]]-Audit[[#This Row],[Candidate 3]], "")</f>
        <v/>
      </c>
      <c r="AH975" s="18" t="str">
        <f>IF(NOT(ISBLANK(Audit[[#This Row],[Audit Candidate 4]])),Audit[[#This Row],[Audit Candidate 4]]-Audit[[#This Row],[Candidate 4]], "")</f>
        <v/>
      </c>
      <c r="AI975" s="18" t="str">
        <f>IF(NOT(ISBLANK(Audit[[#This Row],[Audit Candidate 5]])), Audit[[#This Row],[Audit Candidate 5]]-Audit[[#This Row],[Candidate 5]], "")</f>
        <v/>
      </c>
      <c r="AJ975" s="18" t="str">
        <f>IF(NOT(ISBLANK(Audit[[#This Row],[Audit Candidate 6]])), Audit[[#This Row],[Audit Candidate 6]]-Audit[[#This Row],[Candidate 6]], "")</f>
        <v/>
      </c>
      <c r="AK975" s="18" t="str">
        <f>IF(NOT(ISBLANK(Audit[[#This Row],[Audit Candidate 7]])), Audit[[#This Row],[Audit Candidate 7]]-Audit[[#This Row],[Candidate 7]], "")</f>
        <v/>
      </c>
      <c r="AL975" s="18" t="str">
        <f>IF(NOT(ISBLANK(Audit[[#This Row],[Audit Candidate 8]])), Audit[[#This Row],[Audit Candidate 8]]-Audit[[#This Row],[Candidate 8]], "")</f>
        <v/>
      </c>
      <c r="AM975" s="18" t="str">
        <f>IF(NOT(ISBLANK(Audit[[#This Row],[Audit Candidate 9]])), Audit[[#This Row],[Audit Candidate 9]]-Audit[[#This Row],[Candidate 9]], "")</f>
        <v/>
      </c>
      <c r="AN975" s="18" t="str">
        <f>IF(NOT(ISBLANK(Audit[[#This Row],[Audit Candidate 10]])), Audit[[#This Row],[Audit Candidate 10]]-Audit[[#This Row],[Candidate 10]], "")</f>
        <v/>
      </c>
      <c r="AO975" s="18" t="str">
        <f>IF(NOT(ISBLANK(Audit[[#This Row],[Audit Candidate 11]])), Audit[[#This Row],[Audit Candidate 11]]-Audit[[#This Row],[Candidate 11]], "")</f>
        <v/>
      </c>
      <c r="AP975" s="18" t="str">
        <f>IF(NOT(ISBLANK(Audit[[#This Row],[Audit Candidate 12]])), Audit[[#This Row],[Audit Candidate 12]]-Audit[[#This Row],[Candidate 12]], "")</f>
        <v/>
      </c>
      <c r="AQ975" s="18">
        <f>SUMIF(Audit[[#This Row],[Difference Winner]:[Difference Candidate 12]], "&gt;0")</f>
        <v>0</v>
      </c>
      <c r="AR975" s="18">
        <f>SUM(Audit[[#This Row],[Difference Winner]:[Difference Candidate 12]])</f>
        <v>0</v>
      </c>
      <c r="AS975" s="18">
        <f>IF(Audit[[#This Row],[Times p Drawn - With Replacement]]&gt;0, IF(Audit[[#This Row],[Canceled Differences]]&lt;0, Audit[[#This Row],[Max Differences]]+ABS(Audit[[#This Row],[Canceled Differences]]), Audit[[#This Row],[Max Differences]]), 0)</f>
        <v>0</v>
      </c>
      <c r="AT975" s="18">
        <f>'Sampling Data'!AB975</f>
        <v>8.5749285422621474E-3</v>
      </c>
      <c r="AU975" s="18">
        <f>IF(
      SUM(Audit[[#This Row],[Audit Losing Candidate]:[Audit Candidate 12]])
      &lt;&gt;0,
      (Audit[[#This Row],[Winning Candidate]]-Audit[[#This Row],[Losing Candidate]]-(Audit[[#This Row],[Audit Winning Candidate]]-Audit[[#This Row],[Audit Losing Candidate]]))/(Audit[[#Totals],[Winning Candidate]]-Audit[[#Totals],[Losing Candidate]]),
      0
)</f>
        <v>0</v>
      </c>
      <c r="AV9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8">
        <f>IF(Audit[[#This Row],[Max Relative Error (ep)]] = 0, 0, Audit[[#This Row],[Max Relative Error (ep)]]/Audit[[#This Row],[Error Bound (up) - Max. possible relative overstatement]])</f>
        <v>0</v>
      </c>
      <c r="BH9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5" s="18">
        <f t="shared" ref="BI975:BI1038" si="16">IF(ISERR(POWER(BH975,R975)), 0, POWER(BH975,R975))</f>
        <v>1</v>
      </c>
      <c r="BJ975" s="18">
        <f>PRODUCT($BI$5:BI975)</f>
        <v>0.10664664085196122</v>
      </c>
      <c r="BK975" s="20">
        <f>1 - Audit[[#This Row],[K-M P Value]]</f>
        <v>0.89335335914803882</v>
      </c>
      <c r="BL975" s="18" t="str">
        <f>IF(Audit[[#This Row],[K-M P Value]]&gt;1-'General Info'!$B$12,"Continue", "Stop")</f>
        <v>Continue</v>
      </c>
      <c r="BM975" s="23" t="b">
        <f>IF(Audit[[#This Row],[Status - Continue or stop audit]] = "Continue", TRUE, IF(BL974 = "Continue", TRUE, FALSE))</f>
        <v>1</v>
      </c>
      <c r="BN975" s="23"/>
    </row>
    <row r="976" spans="1:66" ht="15" hidden="1" customHeight="1" x14ac:dyDescent="0.35">
      <c r="A976" s="18" t="str">
        <f>'Sampling Data'!AI976</f>
        <v/>
      </c>
      <c r="B976" s="18" t="str">
        <f>'Sampling Data'!A976</f>
        <v>6512 DELHI L   (ED)</v>
      </c>
      <c r="C976" s="18">
        <f>'Sampling Data'!B976</f>
        <v>146</v>
      </c>
      <c r="D976" s="18">
        <f>'Sampling Data'!C976</f>
        <v>21</v>
      </c>
      <c r="E976" s="19">
        <f>'Sampling Data'!D976</f>
        <v>0</v>
      </c>
      <c r="F976" s="19">
        <f>'Sampling Data'!E976</f>
        <v>0</v>
      </c>
      <c r="G976" s="19">
        <f>'Sampling Data'!F976</f>
        <v>0</v>
      </c>
      <c r="H976" s="19">
        <f>'Sampling Data'!G976</f>
        <v>0</v>
      </c>
      <c r="I976" s="19">
        <f>'Sampling Data'!H976</f>
        <v>0</v>
      </c>
      <c r="J976" s="19">
        <f>'Sampling Data'!I976</f>
        <v>0</v>
      </c>
      <c r="K976" s="19">
        <f>'Sampling Data'!J976</f>
        <v>0</v>
      </c>
      <c r="L976" s="19">
        <f>'Sampling Data'!K976</f>
        <v>0</v>
      </c>
      <c r="M976" s="19">
        <f>'Sampling Data'!L976</f>
        <v>0</v>
      </c>
      <c r="N976" s="19">
        <f>'Sampling Data'!M976</f>
        <v>0</v>
      </c>
      <c r="O976" s="18">
        <f>'Sampling Data'!N976</f>
        <v>0</v>
      </c>
      <c r="P976" s="18">
        <f>'Sampling Data'!O976</f>
        <v>6</v>
      </c>
      <c r="Q976" s="18">
        <f>'Sampling Data'!P976</f>
        <v>173</v>
      </c>
      <c r="R976" s="18">
        <f>'Sampling Data'!AJ976</f>
        <v>0</v>
      </c>
      <c r="S976" s="112"/>
      <c r="T976" s="112"/>
      <c r="U976" s="113"/>
      <c r="V976" s="113"/>
      <c r="W976" s="112"/>
      <c r="X976" s="112"/>
      <c r="Y976" s="112"/>
      <c r="Z976" s="112"/>
      <c r="AA976" s="15"/>
      <c r="AB976" s="15"/>
      <c r="AC976" s="15"/>
      <c r="AD976" s="15"/>
      <c r="AE976" s="114" t="str">
        <f>IF(NOT(ISBLANK(Audit[[#This Row],[Audit Winning Candidate]])), Audit[[#This Row],[Audit Winning Candidate]]-Audit[[#This Row],[Winning Candidate]], "")</f>
        <v/>
      </c>
      <c r="AF976" s="18" t="str">
        <f>IF(NOT(ISBLANK(Audit[[#This Row],[Audit Losing Candidate]])), Audit[[#This Row],[Audit Losing Candidate]]-Audit[[#This Row],[Losing Candidate]], "")</f>
        <v/>
      </c>
      <c r="AG976" s="18" t="str">
        <f>IF(NOT(ISBLANK(Audit[[#This Row],[Audit Candidate 3]])), Audit[[#This Row],[Audit Candidate 3]]-Audit[[#This Row],[Candidate 3]], "")</f>
        <v/>
      </c>
      <c r="AH976" s="18" t="str">
        <f>IF(NOT(ISBLANK(Audit[[#This Row],[Audit Candidate 4]])),Audit[[#This Row],[Audit Candidate 4]]-Audit[[#This Row],[Candidate 4]], "")</f>
        <v/>
      </c>
      <c r="AI976" s="18" t="str">
        <f>IF(NOT(ISBLANK(Audit[[#This Row],[Audit Candidate 5]])), Audit[[#This Row],[Audit Candidate 5]]-Audit[[#This Row],[Candidate 5]], "")</f>
        <v/>
      </c>
      <c r="AJ976" s="18" t="str">
        <f>IF(NOT(ISBLANK(Audit[[#This Row],[Audit Candidate 6]])), Audit[[#This Row],[Audit Candidate 6]]-Audit[[#This Row],[Candidate 6]], "")</f>
        <v/>
      </c>
      <c r="AK976" s="18" t="str">
        <f>IF(NOT(ISBLANK(Audit[[#This Row],[Audit Candidate 7]])), Audit[[#This Row],[Audit Candidate 7]]-Audit[[#This Row],[Candidate 7]], "")</f>
        <v/>
      </c>
      <c r="AL976" s="18" t="str">
        <f>IF(NOT(ISBLANK(Audit[[#This Row],[Audit Candidate 8]])), Audit[[#This Row],[Audit Candidate 8]]-Audit[[#This Row],[Candidate 8]], "")</f>
        <v/>
      </c>
      <c r="AM976" s="18" t="str">
        <f>IF(NOT(ISBLANK(Audit[[#This Row],[Audit Candidate 9]])), Audit[[#This Row],[Audit Candidate 9]]-Audit[[#This Row],[Candidate 9]], "")</f>
        <v/>
      </c>
      <c r="AN976" s="18" t="str">
        <f>IF(NOT(ISBLANK(Audit[[#This Row],[Audit Candidate 10]])), Audit[[#This Row],[Audit Candidate 10]]-Audit[[#This Row],[Candidate 10]], "")</f>
        <v/>
      </c>
      <c r="AO976" s="18" t="str">
        <f>IF(NOT(ISBLANK(Audit[[#This Row],[Audit Candidate 11]])), Audit[[#This Row],[Audit Candidate 11]]-Audit[[#This Row],[Candidate 11]], "")</f>
        <v/>
      </c>
      <c r="AP976" s="18" t="str">
        <f>IF(NOT(ISBLANK(Audit[[#This Row],[Audit Candidate 12]])), Audit[[#This Row],[Audit Candidate 12]]-Audit[[#This Row],[Candidate 12]], "")</f>
        <v/>
      </c>
      <c r="AQ976" s="18">
        <f>SUMIF(Audit[[#This Row],[Difference Winner]:[Difference Candidate 12]], "&gt;0")</f>
        <v>0</v>
      </c>
      <c r="AR976" s="18">
        <f>SUM(Audit[[#This Row],[Difference Winner]:[Difference Candidate 12]])</f>
        <v>0</v>
      </c>
      <c r="AS976" s="18">
        <f>IF(Audit[[#This Row],[Times p Drawn - With Replacement]]&gt;0, IF(Audit[[#This Row],[Canceled Differences]]&lt;0, Audit[[#This Row],[Max Differences]]+ABS(Audit[[#This Row],[Canceled Differences]]), Audit[[#This Row],[Max Differences]]), 0)</f>
        <v>0</v>
      </c>
      <c r="AT976" s="18">
        <f>'Sampling Data'!AB976</f>
        <v>9.3601784087696711E-3</v>
      </c>
      <c r="AU976" s="18">
        <f>IF(
      SUM(Audit[[#This Row],[Audit Losing Candidate]:[Audit Candidate 12]])
      &lt;&gt;0,
      (Audit[[#This Row],[Winning Candidate]]-Audit[[#This Row],[Losing Candidate]]-(Audit[[#This Row],[Audit Winning Candidate]]-Audit[[#This Row],[Audit Losing Candidate]]))/(Audit[[#Totals],[Winning Candidate]]-Audit[[#Totals],[Losing Candidate]]),
      0
)</f>
        <v>0</v>
      </c>
      <c r="AV9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8">
        <f>IF(Audit[[#This Row],[Max Relative Error (ep)]] = 0, 0, Audit[[#This Row],[Max Relative Error (ep)]]/Audit[[#This Row],[Error Bound (up) - Max. possible relative overstatement]])</f>
        <v>0</v>
      </c>
      <c r="BH9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6" s="18">
        <f t="shared" si="16"/>
        <v>1</v>
      </c>
      <c r="BJ976" s="18">
        <f>PRODUCT($BI$5:BI976)</f>
        <v>0.10664664085196122</v>
      </c>
      <c r="BK976" s="20">
        <f>1 - Audit[[#This Row],[K-M P Value]]</f>
        <v>0.89335335914803882</v>
      </c>
      <c r="BL976" s="18" t="str">
        <f>IF(Audit[[#This Row],[K-M P Value]]&gt;1-'General Info'!$B$12,"Continue", "Stop")</f>
        <v>Continue</v>
      </c>
      <c r="BM976" s="23" t="b">
        <f>IF(Audit[[#This Row],[Status - Continue or stop audit]] = "Continue", TRUE, IF(BL975 = "Continue", TRUE, FALSE))</f>
        <v>1</v>
      </c>
      <c r="BN976" s="23"/>
    </row>
    <row r="977" spans="1:66" ht="15" hidden="1" customHeight="1" x14ac:dyDescent="0.35">
      <c r="A977" s="18" t="str">
        <f>'Sampling Data'!AI977</f>
        <v/>
      </c>
      <c r="B977" s="18" t="str">
        <f>'Sampling Data'!A977</f>
        <v>6513 DELHI M   (ED)</v>
      </c>
      <c r="C977" s="18">
        <f>'Sampling Data'!B977</f>
        <v>109</v>
      </c>
      <c r="D977" s="18">
        <f>'Sampling Data'!C977</f>
        <v>9</v>
      </c>
      <c r="E977" s="19">
        <f>'Sampling Data'!D977</f>
        <v>0</v>
      </c>
      <c r="F977" s="19">
        <f>'Sampling Data'!E977</f>
        <v>0</v>
      </c>
      <c r="G977" s="19">
        <f>'Sampling Data'!F977</f>
        <v>0</v>
      </c>
      <c r="H977" s="19">
        <f>'Sampling Data'!G977</f>
        <v>0</v>
      </c>
      <c r="I977" s="19">
        <f>'Sampling Data'!H977</f>
        <v>0</v>
      </c>
      <c r="J977" s="19">
        <f>'Sampling Data'!I977</f>
        <v>0</v>
      </c>
      <c r="K977" s="19">
        <f>'Sampling Data'!J977</f>
        <v>0</v>
      </c>
      <c r="L977" s="19">
        <f>'Sampling Data'!K977</f>
        <v>0</v>
      </c>
      <c r="M977" s="19">
        <f>'Sampling Data'!L977</f>
        <v>0</v>
      </c>
      <c r="N977" s="19">
        <f>'Sampling Data'!M977</f>
        <v>0</v>
      </c>
      <c r="O977" s="18">
        <f>'Sampling Data'!N977</f>
        <v>0</v>
      </c>
      <c r="P977" s="18">
        <f>'Sampling Data'!O977</f>
        <v>5</v>
      </c>
      <c r="Q977" s="18">
        <f>'Sampling Data'!P977</f>
        <v>123</v>
      </c>
      <c r="R977" s="18">
        <f>'Sampling Data'!AJ977</f>
        <v>0</v>
      </c>
      <c r="S977" s="112"/>
      <c r="T977" s="112"/>
      <c r="U977" s="113"/>
      <c r="V977" s="113"/>
      <c r="W977" s="112"/>
      <c r="X977" s="112"/>
      <c r="Y977" s="112"/>
      <c r="Z977" s="112"/>
      <c r="AA977" s="15"/>
      <c r="AB977" s="15"/>
      <c r="AC977" s="15"/>
      <c r="AD977" s="15"/>
      <c r="AE977" s="114" t="str">
        <f>IF(NOT(ISBLANK(Audit[[#This Row],[Audit Winning Candidate]])), Audit[[#This Row],[Audit Winning Candidate]]-Audit[[#This Row],[Winning Candidate]], "")</f>
        <v/>
      </c>
      <c r="AF977" s="18" t="str">
        <f>IF(NOT(ISBLANK(Audit[[#This Row],[Audit Losing Candidate]])), Audit[[#This Row],[Audit Losing Candidate]]-Audit[[#This Row],[Losing Candidate]], "")</f>
        <v/>
      </c>
      <c r="AG977" s="18" t="str">
        <f>IF(NOT(ISBLANK(Audit[[#This Row],[Audit Candidate 3]])), Audit[[#This Row],[Audit Candidate 3]]-Audit[[#This Row],[Candidate 3]], "")</f>
        <v/>
      </c>
      <c r="AH977" s="18" t="str">
        <f>IF(NOT(ISBLANK(Audit[[#This Row],[Audit Candidate 4]])),Audit[[#This Row],[Audit Candidate 4]]-Audit[[#This Row],[Candidate 4]], "")</f>
        <v/>
      </c>
      <c r="AI977" s="18" t="str">
        <f>IF(NOT(ISBLANK(Audit[[#This Row],[Audit Candidate 5]])), Audit[[#This Row],[Audit Candidate 5]]-Audit[[#This Row],[Candidate 5]], "")</f>
        <v/>
      </c>
      <c r="AJ977" s="18" t="str">
        <f>IF(NOT(ISBLANK(Audit[[#This Row],[Audit Candidate 6]])), Audit[[#This Row],[Audit Candidate 6]]-Audit[[#This Row],[Candidate 6]], "")</f>
        <v/>
      </c>
      <c r="AK977" s="18" t="str">
        <f>IF(NOT(ISBLANK(Audit[[#This Row],[Audit Candidate 7]])), Audit[[#This Row],[Audit Candidate 7]]-Audit[[#This Row],[Candidate 7]], "")</f>
        <v/>
      </c>
      <c r="AL977" s="18" t="str">
        <f>IF(NOT(ISBLANK(Audit[[#This Row],[Audit Candidate 8]])), Audit[[#This Row],[Audit Candidate 8]]-Audit[[#This Row],[Candidate 8]], "")</f>
        <v/>
      </c>
      <c r="AM977" s="18" t="str">
        <f>IF(NOT(ISBLANK(Audit[[#This Row],[Audit Candidate 9]])), Audit[[#This Row],[Audit Candidate 9]]-Audit[[#This Row],[Candidate 9]], "")</f>
        <v/>
      </c>
      <c r="AN977" s="18" t="str">
        <f>IF(NOT(ISBLANK(Audit[[#This Row],[Audit Candidate 10]])), Audit[[#This Row],[Audit Candidate 10]]-Audit[[#This Row],[Candidate 10]], "")</f>
        <v/>
      </c>
      <c r="AO977" s="18" t="str">
        <f>IF(NOT(ISBLANK(Audit[[#This Row],[Audit Candidate 11]])), Audit[[#This Row],[Audit Candidate 11]]-Audit[[#This Row],[Candidate 11]], "")</f>
        <v/>
      </c>
      <c r="AP977" s="18" t="str">
        <f>IF(NOT(ISBLANK(Audit[[#This Row],[Audit Candidate 12]])), Audit[[#This Row],[Audit Candidate 12]]-Audit[[#This Row],[Candidate 12]], "")</f>
        <v/>
      </c>
      <c r="AQ977" s="18">
        <f>SUMIF(Audit[[#This Row],[Difference Winner]:[Difference Candidate 12]], "&gt;0")</f>
        <v>0</v>
      </c>
      <c r="AR977" s="18">
        <f>SUM(Audit[[#This Row],[Difference Winner]:[Difference Candidate 12]])</f>
        <v>0</v>
      </c>
      <c r="AS977" s="18">
        <f>IF(Audit[[#This Row],[Times p Drawn - With Replacement]]&gt;0, IF(Audit[[#This Row],[Canceled Differences]]&lt;0, Audit[[#This Row],[Max Differences]]+ABS(Audit[[#This Row],[Canceled Differences]]), Audit[[#This Row],[Max Differences]]), 0)</f>
        <v>0</v>
      </c>
      <c r="AT977" s="18">
        <f>'Sampling Data'!AB977</f>
        <v>7.0044288092471025E-3</v>
      </c>
      <c r="AU977" s="18">
        <f>IF(
      SUM(Audit[[#This Row],[Audit Losing Candidate]:[Audit Candidate 12]])
      &lt;&gt;0,
      (Audit[[#This Row],[Winning Candidate]]-Audit[[#This Row],[Losing Candidate]]-(Audit[[#This Row],[Audit Winning Candidate]]-Audit[[#This Row],[Audit Losing Candidate]]))/(Audit[[#Totals],[Winning Candidate]]-Audit[[#Totals],[Losing Candidate]]),
      0
)</f>
        <v>0</v>
      </c>
      <c r="AV9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8">
        <f>IF(Audit[[#This Row],[Max Relative Error (ep)]] = 0, 0, Audit[[#This Row],[Max Relative Error (ep)]]/Audit[[#This Row],[Error Bound (up) - Max. possible relative overstatement]])</f>
        <v>0</v>
      </c>
      <c r="BH9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7" s="18">
        <f t="shared" si="16"/>
        <v>1</v>
      </c>
      <c r="BJ977" s="18">
        <f>PRODUCT($BI$5:BI977)</f>
        <v>0.10664664085196122</v>
      </c>
      <c r="BK977" s="20">
        <f>1 - Audit[[#This Row],[K-M P Value]]</f>
        <v>0.89335335914803882</v>
      </c>
      <c r="BL977" s="18" t="str">
        <f>IF(Audit[[#This Row],[K-M P Value]]&gt;1-'General Info'!$B$12,"Continue", "Stop")</f>
        <v>Continue</v>
      </c>
      <c r="BM977" s="23" t="b">
        <f>IF(Audit[[#This Row],[Status - Continue or stop audit]] = "Continue", TRUE, IF(BL976 = "Continue", TRUE, FALSE))</f>
        <v>1</v>
      </c>
      <c r="BN977" s="23"/>
    </row>
    <row r="978" spans="1:66" ht="15" hidden="1" customHeight="1" x14ac:dyDescent="0.35">
      <c r="A978" s="18" t="str">
        <f>'Sampling Data'!AI978</f>
        <v/>
      </c>
      <c r="B978" s="18" t="str">
        <f>'Sampling Data'!A978</f>
        <v>6514 DELHI N   (ED)</v>
      </c>
      <c r="C978" s="18">
        <f>'Sampling Data'!B978</f>
        <v>37</v>
      </c>
      <c r="D978" s="18">
        <f>'Sampling Data'!C978</f>
        <v>8</v>
      </c>
      <c r="E978" s="19">
        <f>'Sampling Data'!D978</f>
        <v>0</v>
      </c>
      <c r="F978" s="19">
        <f>'Sampling Data'!E978</f>
        <v>0</v>
      </c>
      <c r="G978" s="19">
        <f>'Sampling Data'!F978</f>
        <v>0</v>
      </c>
      <c r="H978" s="19">
        <f>'Sampling Data'!G978</f>
        <v>0</v>
      </c>
      <c r="I978" s="19">
        <f>'Sampling Data'!H978</f>
        <v>0</v>
      </c>
      <c r="J978" s="19">
        <f>'Sampling Data'!I978</f>
        <v>0</v>
      </c>
      <c r="K978" s="19">
        <f>'Sampling Data'!J978</f>
        <v>0</v>
      </c>
      <c r="L978" s="19">
        <f>'Sampling Data'!K978</f>
        <v>0</v>
      </c>
      <c r="M978" s="19">
        <f>'Sampling Data'!L978</f>
        <v>0</v>
      </c>
      <c r="N978" s="19">
        <f>'Sampling Data'!M978</f>
        <v>0</v>
      </c>
      <c r="O978" s="18">
        <f>'Sampling Data'!N978</f>
        <v>0</v>
      </c>
      <c r="P978" s="18">
        <f>'Sampling Data'!O978</f>
        <v>1</v>
      </c>
      <c r="Q978" s="18">
        <f>'Sampling Data'!P978</f>
        <v>46</v>
      </c>
      <c r="R978" s="18">
        <f>'Sampling Data'!AJ978</f>
        <v>0</v>
      </c>
      <c r="S978" s="112"/>
      <c r="T978" s="112"/>
      <c r="U978" s="113"/>
      <c r="V978" s="113"/>
      <c r="W978" s="112"/>
      <c r="X978" s="112"/>
      <c r="Y978" s="112"/>
      <c r="Z978" s="112"/>
      <c r="AA978" s="15"/>
      <c r="AB978" s="15"/>
      <c r="AC978" s="15"/>
      <c r="AD978" s="15"/>
      <c r="AE978" s="114" t="str">
        <f>IF(NOT(ISBLANK(Audit[[#This Row],[Audit Winning Candidate]])), Audit[[#This Row],[Audit Winning Candidate]]-Audit[[#This Row],[Winning Candidate]], "")</f>
        <v/>
      </c>
      <c r="AF978" s="18" t="str">
        <f>IF(NOT(ISBLANK(Audit[[#This Row],[Audit Losing Candidate]])), Audit[[#This Row],[Audit Losing Candidate]]-Audit[[#This Row],[Losing Candidate]], "")</f>
        <v/>
      </c>
      <c r="AG978" s="18" t="str">
        <f>IF(NOT(ISBLANK(Audit[[#This Row],[Audit Candidate 3]])), Audit[[#This Row],[Audit Candidate 3]]-Audit[[#This Row],[Candidate 3]], "")</f>
        <v/>
      </c>
      <c r="AH978" s="18" t="str">
        <f>IF(NOT(ISBLANK(Audit[[#This Row],[Audit Candidate 4]])),Audit[[#This Row],[Audit Candidate 4]]-Audit[[#This Row],[Candidate 4]], "")</f>
        <v/>
      </c>
      <c r="AI978" s="18" t="str">
        <f>IF(NOT(ISBLANK(Audit[[#This Row],[Audit Candidate 5]])), Audit[[#This Row],[Audit Candidate 5]]-Audit[[#This Row],[Candidate 5]], "")</f>
        <v/>
      </c>
      <c r="AJ978" s="18" t="str">
        <f>IF(NOT(ISBLANK(Audit[[#This Row],[Audit Candidate 6]])), Audit[[#This Row],[Audit Candidate 6]]-Audit[[#This Row],[Candidate 6]], "")</f>
        <v/>
      </c>
      <c r="AK978" s="18" t="str">
        <f>IF(NOT(ISBLANK(Audit[[#This Row],[Audit Candidate 7]])), Audit[[#This Row],[Audit Candidate 7]]-Audit[[#This Row],[Candidate 7]], "")</f>
        <v/>
      </c>
      <c r="AL978" s="18" t="str">
        <f>IF(NOT(ISBLANK(Audit[[#This Row],[Audit Candidate 8]])), Audit[[#This Row],[Audit Candidate 8]]-Audit[[#This Row],[Candidate 8]], "")</f>
        <v/>
      </c>
      <c r="AM978" s="18" t="str">
        <f>IF(NOT(ISBLANK(Audit[[#This Row],[Audit Candidate 9]])), Audit[[#This Row],[Audit Candidate 9]]-Audit[[#This Row],[Candidate 9]], "")</f>
        <v/>
      </c>
      <c r="AN978" s="18" t="str">
        <f>IF(NOT(ISBLANK(Audit[[#This Row],[Audit Candidate 10]])), Audit[[#This Row],[Audit Candidate 10]]-Audit[[#This Row],[Candidate 10]], "")</f>
        <v/>
      </c>
      <c r="AO978" s="18" t="str">
        <f>IF(NOT(ISBLANK(Audit[[#This Row],[Audit Candidate 11]])), Audit[[#This Row],[Audit Candidate 11]]-Audit[[#This Row],[Candidate 11]], "")</f>
        <v/>
      </c>
      <c r="AP978" s="18" t="str">
        <f>IF(NOT(ISBLANK(Audit[[#This Row],[Audit Candidate 12]])), Audit[[#This Row],[Audit Candidate 12]]-Audit[[#This Row],[Candidate 12]], "")</f>
        <v/>
      </c>
      <c r="AQ978" s="18">
        <f>SUMIF(Audit[[#This Row],[Difference Winner]:[Difference Candidate 12]], "&gt;0")</f>
        <v>0</v>
      </c>
      <c r="AR978" s="18">
        <f>SUM(Audit[[#This Row],[Difference Winner]:[Difference Candidate 12]])</f>
        <v>0</v>
      </c>
      <c r="AS978" s="18">
        <f>IF(Audit[[#This Row],[Times p Drawn - With Replacement]]&gt;0, IF(Audit[[#This Row],[Canceled Differences]]&lt;0, Audit[[#This Row],[Max Differences]]+ABS(Audit[[#This Row],[Canceled Differences]]), Audit[[#This Row],[Max Differences]]), 0)</f>
        <v>0</v>
      </c>
      <c r="AT978" s="18">
        <f>'Sampling Data'!AB978</f>
        <v>2.3557495995225682E-3</v>
      </c>
      <c r="AU978" s="18">
        <f>IF(
      SUM(Audit[[#This Row],[Audit Losing Candidate]:[Audit Candidate 12]])
      &lt;&gt;0,
      (Audit[[#This Row],[Winning Candidate]]-Audit[[#This Row],[Losing Candidate]]-(Audit[[#This Row],[Audit Winning Candidate]]-Audit[[#This Row],[Audit Losing Candidate]]))/(Audit[[#Totals],[Winning Candidate]]-Audit[[#Totals],[Losing Candidate]]),
      0
)</f>
        <v>0</v>
      </c>
      <c r="AV9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8">
        <f>IF(Audit[[#This Row],[Max Relative Error (ep)]] = 0, 0, Audit[[#This Row],[Max Relative Error (ep)]]/Audit[[#This Row],[Error Bound (up) - Max. possible relative overstatement]])</f>
        <v>0</v>
      </c>
      <c r="BH9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8" s="18">
        <f t="shared" si="16"/>
        <v>1</v>
      </c>
      <c r="BJ978" s="18">
        <f>PRODUCT($BI$5:BI978)</f>
        <v>0.10664664085196122</v>
      </c>
      <c r="BK978" s="20">
        <f>1 - Audit[[#This Row],[K-M P Value]]</f>
        <v>0.89335335914803882</v>
      </c>
      <c r="BL978" s="18" t="str">
        <f>IF(Audit[[#This Row],[K-M P Value]]&gt;1-'General Info'!$B$12,"Continue", "Stop")</f>
        <v>Continue</v>
      </c>
      <c r="BM978" s="23" t="b">
        <f>IF(Audit[[#This Row],[Status - Continue or stop audit]] = "Continue", TRUE, IF(BL977 = "Continue", TRUE, FALSE))</f>
        <v>1</v>
      </c>
      <c r="BN978" s="23"/>
    </row>
    <row r="979" spans="1:66" ht="15" hidden="1" customHeight="1" x14ac:dyDescent="0.35">
      <c r="A979" s="18" t="str">
        <f>'Sampling Data'!AI979</f>
        <v/>
      </c>
      <c r="B979" s="18" t="str">
        <f>'Sampling Data'!A979</f>
        <v>6515 DELHI O   (ED)</v>
      </c>
      <c r="C979" s="18">
        <f>'Sampling Data'!B979</f>
        <v>117</v>
      </c>
      <c r="D979" s="18">
        <f>'Sampling Data'!C979</f>
        <v>18</v>
      </c>
      <c r="E979" s="19">
        <f>'Sampling Data'!D979</f>
        <v>0</v>
      </c>
      <c r="F979" s="19">
        <f>'Sampling Data'!E979</f>
        <v>0</v>
      </c>
      <c r="G979" s="19">
        <f>'Sampling Data'!F979</f>
        <v>0</v>
      </c>
      <c r="H979" s="19">
        <f>'Sampling Data'!G979</f>
        <v>0</v>
      </c>
      <c r="I979" s="19">
        <f>'Sampling Data'!H979</f>
        <v>0</v>
      </c>
      <c r="J979" s="19">
        <f>'Sampling Data'!I979</f>
        <v>0</v>
      </c>
      <c r="K979" s="19">
        <f>'Sampling Data'!J979</f>
        <v>0</v>
      </c>
      <c r="L979" s="19">
        <f>'Sampling Data'!K979</f>
        <v>0</v>
      </c>
      <c r="M979" s="19">
        <f>'Sampling Data'!L979</f>
        <v>0</v>
      </c>
      <c r="N979" s="19">
        <f>'Sampling Data'!M979</f>
        <v>0</v>
      </c>
      <c r="O979" s="18">
        <f>'Sampling Data'!N979</f>
        <v>0</v>
      </c>
      <c r="P979" s="18">
        <f>'Sampling Data'!O979</f>
        <v>5</v>
      </c>
      <c r="Q979" s="18">
        <f>'Sampling Data'!P979</f>
        <v>140</v>
      </c>
      <c r="R979" s="18">
        <f>'Sampling Data'!AJ979</f>
        <v>0</v>
      </c>
      <c r="S979" s="112"/>
      <c r="T979" s="112"/>
      <c r="U979" s="113"/>
      <c r="V979" s="113"/>
      <c r="W979" s="112"/>
      <c r="X979" s="112"/>
      <c r="Y979" s="112"/>
      <c r="Z979" s="112"/>
      <c r="AA979" s="15"/>
      <c r="AB979" s="15"/>
      <c r="AC979" s="15"/>
      <c r="AD979" s="15"/>
      <c r="AE979" s="114" t="str">
        <f>IF(NOT(ISBLANK(Audit[[#This Row],[Audit Winning Candidate]])), Audit[[#This Row],[Audit Winning Candidate]]-Audit[[#This Row],[Winning Candidate]], "")</f>
        <v/>
      </c>
      <c r="AF979" s="18" t="str">
        <f>IF(NOT(ISBLANK(Audit[[#This Row],[Audit Losing Candidate]])), Audit[[#This Row],[Audit Losing Candidate]]-Audit[[#This Row],[Losing Candidate]], "")</f>
        <v/>
      </c>
      <c r="AG979" s="18" t="str">
        <f>IF(NOT(ISBLANK(Audit[[#This Row],[Audit Candidate 3]])), Audit[[#This Row],[Audit Candidate 3]]-Audit[[#This Row],[Candidate 3]], "")</f>
        <v/>
      </c>
      <c r="AH979" s="18" t="str">
        <f>IF(NOT(ISBLANK(Audit[[#This Row],[Audit Candidate 4]])),Audit[[#This Row],[Audit Candidate 4]]-Audit[[#This Row],[Candidate 4]], "")</f>
        <v/>
      </c>
      <c r="AI979" s="18" t="str">
        <f>IF(NOT(ISBLANK(Audit[[#This Row],[Audit Candidate 5]])), Audit[[#This Row],[Audit Candidate 5]]-Audit[[#This Row],[Candidate 5]], "")</f>
        <v/>
      </c>
      <c r="AJ979" s="18" t="str">
        <f>IF(NOT(ISBLANK(Audit[[#This Row],[Audit Candidate 6]])), Audit[[#This Row],[Audit Candidate 6]]-Audit[[#This Row],[Candidate 6]], "")</f>
        <v/>
      </c>
      <c r="AK979" s="18" t="str">
        <f>IF(NOT(ISBLANK(Audit[[#This Row],[Audit Candidate 7]])), Audit[[#This Row],[Audit Candidate 7]]-Audit[[#This Row],[Candidate 7]], "")</f>
        <v/>
      </c>
      <c r="AL979" s="18" t="str">
        <f>IF(NOT(ISBLANK(Audit[[#This Row],[Audit Candidate 8]])), Audit[[#This Row],[Audit Candidate 8]]-Audit[[#This Row],[Candidate 8]], "")</f>
        <v/>
      </c>
      <c r="AM979" s="18" t="str">
        <f>IF(NOT(ISBLANK(Audit[[#This Row],[Audit Candidate 9]])), Audit[[#This Row],[Audit Candidate 9]]-Audit[[#This Row],[Candidate 9]], "")</f>
        <v/>
      </c>
      <c r="AN979" s="18" t="str">
        <f>IF(NOT(ISBLANK(Audit[[#This Row],[Audit Candidate 10]])), Audit[[#This Row],[Audit Candidate 10]]-Audit[[#This Row],[Candidate 10]], "")</f>
        <v/>
      </c>
      <c r="AO979" s="18" t="str">
        <f>IF(NOT(ISBLANK(Audit[[#This Row],[Audit Candidate 11]])), Audit[[#This Row],[Audit Candidate 11]]-Audit[[#This Row],[Candidate 11]], "")</f>
        <v/>
      </c>
      <c r="AP979" s="18" t="str">
        <f>IF(NOT(ISBLANK(Audit[[#This Row],[Audit Candidate 12]])), Audit[[#This Row],[Audit Candidate 12]]-Audit[[#This Row],[Candidate 12]], "")</f>
        <v/>
      </c>
      <c r="AQ979" s="18">
        <f>SUMIF(Audit[[#This Row],[Difference Winner]:[Difference Candidate 12]], "&gt;0")</f>
        <v>0</v>
      </c>
      <c r="AR979" s="18">
        <f>SUM(Audit[[#This Row],[Difference Winner]:[Difference Candidate 12]])</f>
        <v>0</v>
      </c>
      <c r="AS979" s="18">
        <f>IF(Audit[[#This Row],[Times p Drawn - With Replacement]]&gt;0, IF(Audit[[#This Row],[Canceled Differences]]&lt;0, Audit[[#This Row],[Max Differences]]+ABS(Audit[[#This Row],[Canceled Differences]]), Audit[[#This Row],[Max Differences]]), 0)</f>
        <v>0</v>
      </c>
      <c r="AT979" s="18">
        <f>'Sampling Data'!AB979</f>
        <v>7.5069887238119167E-3</v>
      </c>
      <c r="AU979" s="18">
        <f>IF(
      SUM(Audit[[#This Row],[Audit Losing Candidate]:[Audit Candidate 12]])
      &lt;&gt;0,
      (Audit[[#This Row],[Winning Candidate]]-Audit[[#This Row],[Losing Candidate]]-(Audit[[#This Row],[Audit Winning Candidate]]-Audit[[#This Row],[Audit Losing Candidate]]))/(Audit[[#Totals],[Winning Candidate]]-Audit[[#Totals],[Losing Candidate]]),
      0
)</f>
        <v>0</v>
      </c>
      <c r="AV9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8">
        <f>IF(Audit[[#This Row],[Max Relative Error (ep)]] = 0, 0, Audit[[#This Row],[Max Relative Error (ep)]]/Audit[[#This Row],[Error Bound (up) - Max. possible relative overstatement]])</f>
        <v>0</v>
      </c>
      <c r="BH9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79" s="18">
        <f t="shared" si="16"/>
        <v>1</v>
      </c>
      <c r="BJ979" s="18">
        <f>PRODUCT($BI$5:BI979)</f>
        <v>0.10664664085196122</v>
      </c>
      <c r="BK979" s="20">
        <f>1 - Audit[[#This Row],[K-M P Value]]</f>
        <v>0.89335335914803882</v>
      </c>
      <c r="BL979" s="18" t="str">
        <f>IF(Audit[[#This Row],[K-M P Value]]&gt;1-'General Info'!$B$12,"Continue", "Stop")</f>
        <v>Continue</v>
      </c>
      <c r="BM979" s="23" t="b">
        <f>IF(Audit[[#This Row],[Status - Continue or stop audit]] = "Continue", TRUE, IF(BL978 = "Continue", TRUE, FALSE))</f>
        <v>1</v>
      </c>
      <c r="BN979" s="23"/>
    </row>
    <row r="980" spans="1:66" ht="15" hidden="1" customHeight="1" x14ac:dyDescent="0.35">
      <c r="A980" s="18" t="str">
        <f>'Sampling Data'!AI980</f>
        <v/>
      </c>
      <c r="B980" s="18" t="str">
        <f>'Sampling Data'!A980</f>
        <v>6516 DELHI P   (ED)</v>
      </c>
      <c r="C980" s="18">
        <f>'Sampling Data'!B980</f>
        <v>108</v>
      </c>
      <c r="D980" s="18">
        <f>'Sampling Data'!C980</f>
        <v>11</v>
      </c>
      <c r="E980" s="19">
        <f>'Sampling Data'!D980</f>
        <v>0</v>
      </c>
      <c r="F980" s="19">
        <f>'Sampling Data'!E980</f>
        <v>0</v>
      </c>
      <c r="G980" s="19">
        <f>'Sampling Data'!F980</f>
        <v>0</v>
      </c>
      <c r="H980" s="19">
        <f>'Sampling Data'!G980</f>
        <v>0</v>
      </c>
      <c r="I980" s="19">
        <f>'Sampling Data'!H980</f>
        <v>0</v>
      </c>
      <c r="J980" s="19">
        <f>'Sampling Data'!I980</f>
        <v>0</v>
      </c>
      <c r="K980" s="19">
        <f>'Sampling Data'!J980</f>
        <v>0</v>
      </c>
      <c r="L980" s="19">
        <f>'Sampling Data'!K980</f>
        <v>0</v>
      </c>
      <c r="M980" s="19">
        <f>'Sampling Data'!L980</f>
        <v>0</v>
      </c>
      <c r="N980" s="19">
        <f>'Sampling Data'!M980</f>
        <v>0</v>
      </c>
      <c r="O980" s="18">
        <f>'Sampling Data'!N980</f>
        <v>0</v>
      </c>
      <c r="P980" s="18">
        <f>'Sampling Data'!O980</f>
        <v>10</v>
      </c>
      <c r="Q980" s="18">
        <f>'Sampling Data'!P980</f>
        <v>129</v>
      </c>
      <c r="R980" s="18">
        <f>'Sampling Data'!AJ980</f>
        <v>0</v>
      </c>
      <c r="S980" s="112"/>
      <c r="T980" s="112"/>
      <c r="U980" s="113"/>
      <c r="V980" s="113"/>
      <c r="W980" s="112"/>
      <c r="X980" s="112"/>
      <c r="Y980" s="112"/>
      <c r="Z980" s="112"/>
      <c r="AA980" s="15"/>
      <c r="AB980" s="15"/>
      <c r="AC980" s="15"/>
      <c r="AD980" s="15"/>
      <c r="AE980" s="114" t="str">
        <f>IF(NOT(ISBLANK(Audit[[#This Row],[Audit Winning Candidate]])), Audit[[#This Row],[Audit Winning Candidate]]-Audit[[#This Row],[Winning Candidate]], "")</f>
        <v/>
      </c>
      <c r="AF980" s="18" t="str">
        <f>IF(NOT(ISBLANK(Audit[[#This Row],[Audit Losing Candidate]])), Audit[[#This Row],[Audit Losing Candidate]]-Audit[[#This Row],[Losing Candidate]], "")</f>
        <v/>
      </c>
      <c r="AG980" s="18" t="str">
        <f>IF(NOT(ISBLANK(Audit[[#This Row],[Audit Candidate 3]])), Audit[[#This Row],[Audit Candidate 3]]-Audit[[#This Row],[Candidate 3]], "")</f>
        <v/>
      </c>
      <c r="AH980" s="18" t="str">
        <f>IF(NOT(ISBLANK(Audit[[#This Row],[Audit Candidate 4]])),Audit[[#This Row],[Audit Candidate 4]]-Audit[[#This Row],[Candidate 4]], "")</f>
        <v/>
      </c>
      <c r="AI980" s="18" t="str">
        <f>IF(NOT(ISBLANK(Audit[[#This Row],[Audit Candidate 5]])), Audit[[#This Row],[Audit Candidate 5]]-Audit[[#This Row],[Candidate 5]], "")</f>
        <v/>
      </c>
      <c r="AJ980" s="18" t="str">
        <f>IF(NOT(ISBLANK(Audit[[#This Row],[Audit Candidate 6]])), Audit[[#This Row],[Audit Candidate 6]]-Audit[[#This Row],[Candidate 6]], "")</f>
        <v/>
      </c>
      <c r="AK980" s="18" t="str">
        <f>IF(NOT(ISBLANK(Audit[[#This Row],[Audit Candidate 7]])), Audit[[#This Row],[Audit Candidate 7]]-Audit[[#This Row],[Candidate 7]], "")</f>
        <v/>
      </c>
      <c r="AL980" s="18" t="str">
        <f>IF(NOT(ISBLANK(Audit[[#This Row],[Audit Candidate 8]])), Audit[[#This Row],[Audit Candidate 8]]-Audit[[#This Row],[Candidate 8]], "")</f>
        <v/>
      </c>
      <c r="AM980" s="18" t="str">
        <f>IF(NOT(ISBLANK(Audit[[#This Row],[Audit Candidate 9]])), Audit[[#This Row],[Audit Candidate 9]]-Audit[[#This Row],[Candidate 9]], "")</f>
        <v/>
      </c>
      <c r="AN980" s="18" t="str">
        <f>IF(NOT(ISBLANK(Audit[[#This Row],[Audit Candidate 10]])), Audit[[#This Row],[Audit Candidate 10]]-Audit[[#This Row],[Candidate 10]], "")</f>
        <v/>
      </c>
      <c r="AO980" s="18" t="str">
        <f>IF(NOT(ISBLANK(Audit[[#This Row],[Audit Candidate 11]])), Audit[[#This Row],[Audit Candidate 11]]-Audit[[#This Row],[Candidate 11]], "")</f>
        <v/>
      </c>
      <c r="AP980" s="18" t="str">
        <f>IF(NOT(ISBLANK(Audit[[#This Row],[Audit Candidate 12]])), Audit[[#This Row],[Audit Candidate 12]]-Audit[[#This Row],[Candidate 12]], "")</f>
        <v/>
      </c>
      <c r="AQ980" s="18">
        <f>SUMIF(Audit[[#This Row],[Difference Winner]:[Difference Candidate 12]], "&gt;0")</f>
        <v>0</v>
      </c>
      <c r="AR980" s="18">
        <f>SUM(Audit[[#This Row],[Difference Winner]:[Difference Candidate 12]])</f>
        <v>0</v>
      </c>
      <c r="AS980" s="18">
        <f>IF(Audit[[#This Row],[Times p Drawn - With Replacement]]&gt;0, IF(Audit[[#This Row],[Canceled Differences]]&lt;0, Audit[[#This Row],[Max Differences]]+ABS(Audit[[#This Row],[Canceled Differences]]), Audit[[#This Row],[Max Differences]]), 0)</f>
        <v>0</v>
      </c>
      <c r="AT980" s="18">
        <f>'Sampling Data'!AB980</f>
        <v>7.0986587932280049E-3</v>
      </c>
      <c r="AU980" s="18">
        <f>IF(
      SUM(Audit[[#This Row],[Audit Losing Candidate]:[Audit Candidate 12]])
      &lt;&gt;0,
      (Audit[[#This Row],[Winning Candidate]]-Audit[[#This Row],[Losing Candidate]]-(Audit[[#This Row],[Audit Winning Candidate]]-Audit[[#This Row],[Audit Losing Candidate]]))/(Audit[[#Totals],[Winning Candidate]]-Audit[[#Totals],[Losing Candidate]]),
      0
)</f>
        <v>0</v>
      </c>
      <c r="AV9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8">
        <f>IF(Audit[[#This Row],[Max Relative Error (ep)]] = 0, 0, Audit[[#This Row],[Max Relative Error (ep)]]/Audit[[#This Row],[Error Bound (up) - Max. possible relative overstatement]])</f>
        <v>0</v>
      </c>
      <c r="BH9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0" s="18">
        <f t="shared" si="16"/>
        <v>1</v>
      </c>
      <c r="BJ980" s="18">
        <f>PRODUCT($BI$5:BI980)</f>
        <v>0.10664664085196122</v>
      </c>
      <c r="BK980" s="20">
        <f>1 - Audit[[#This Row],[K-M P Value]]</f>
        <v>0.89335335914803882</v>
      </c>
      <c r="BL980" s="18" t="str">
        <f>IF(Audit[[#This Row],[K-M P Value]]&gt;1-'General Info'!$B$12,"Continue", "Stop")</f>
        <v>Continue</v>
      </c>
      <c r="BM980" s="23" t="b">
        <f>IF(Audit[[#This Row],[Status - Continue or stop audit]] = "Continue", TRUE, IF(BL979 = "Continue", TRUE, FALSE))</f>
        <v>1</v>
      </c>
      <c r="BN980" s="23"/>
    </row>
    <row r="981" spans="1:66" ht="15" hidden="1" customHeight="1" x14ac:dyDescent="0.35">
      <c r="A981" s="18" t="str">
        <f>'Sampling Data'!AI981</f>
        <v/>
      </c>
      <c r="B981" s="18" t="str">
        <f>'Sampling Data'!A981</f>
        <v>6517 DELHI Q   (ED)</v>
      </c>
      <c r="C981" s="18">
        <f>'Sampling Data'!B981</f>
        <v>176</v>
      </c>
      <c r="D981" s="18">
        <f>'Sampling Data'!C981</f>
        <v>15</v>
      </c>
      <c r="E981" s="19">
        <f>'Sampling Data'!D981</f>
        <v>0</v>
      </c>
      <c r="F981" s="19">
        <f>'Sampling Data'!E981</f>
        <v>0</v>
      </c>
      <c r="G981" s="19">
        <f>'Sampling Data'!F981</f>
        <v>0</v>
      </c>
      <c r="H981" s="19">
        <f>'Sampling Data'!G981</f>
        <v>0</v>
      </c>
      <c r="I981" s="19">
        <f>'Sampling Data'!H981</f>
        <v>0</v>
      </c>
      <c r="J981" s="19">
        <f>'Sampling Data'!I981</f>
        <v>0</v>
      </c>
      <c r="K981" s="19">
        <f>'Sampling Data'!J981</f>
        <v>0</v>
      </c>
      <c r="L981" s="19">
        <f>'Sampling Data'!K981</f>
        <v>0</v>
      </c>
      <c r="M981" s="19">
        <f>'Sampling Data'!L981</f>
        <v>0</v>
      </c>
      <c r="N981" s="19">
        <f>'Sampling Data'!M981</f>
        <v>0</v>
      </c>
      <c r="O981" s="18">
        <f>'Sampling Data'!N981</f>
        <v>0</v>
      </c>
      <c r="P981" s="18">
        <f>'Sampling Data'!O981</f>
        <v>6</v>
      </c>
      <c r="Q981" s="18">
        <f>'Sampling Data'!P981</f>
        <v>197</v>
      </c>
      <c r="R981" s="18">
        <f>'Sampling Data'!AJ981</f>
        <v>0</v>
      </c>
      <c r="S981" s="112"/>
      <c r="T981" s="112"/>
      <c r="U981" s="113"/>
      <c r="V981" s="113"/>
      <c r="W981" s="112"/>
      <c r="X981" s="112"/>
      <c r="Y981" s="112"/>
      <c r="Z981" s="112"/>
      <c r="AA981" s="15"/>
      <c r="AB981" s="15"/>
      <c r="AC981" s="15"/>
      <c r="AD981" s="15"/>
      <c r="AE981" s="114" t="str">
        <f>IF(NOT(ISBLANK(Audit[[#This Row],[Audit Winning Candidate]])), Audit[[#This Row],[Audit Winning Candidate]]-Audit[[#This Row],[Winning Candidate]], "")</f>
        <v/>
      </c>
      <c r="AF981" s="18" t="str">
        <f>IF(NOT(ISBLANK(Audit[[#This Row],[Audit Losing Candidate]])), Audit[[#This Row],[Audit Losing Candidate]]-Audit[[#This Row],[Losing Candidate]], "")</f>
        <v/>
      </c>
      <c r="AG981" s="18" t="str">
        <f>IF(NOT(ISBLANK(Audit[[#This Row],[Audit Candidate 3]])), Audit[[#This Row],[Audit Candidate 3]]-Audit[[#This Row],[Candidate 3]], "")</f>
        <v/>
      </c>
      <c r="AH981" s="18" t="str">
        <f>IF(NOT(ISBLANK(Audit[[#This Row],[Audit Candidate 4]])),Audit[[#This Row],[Audit Candidate 4]]-Audit[[#This Row],[Candidate 4]], "")</f>
        <v/>
      </c>
      <c r="AI981" s="18" t="str">
        <f>IF(NOT(ISBLANK(Audit[[#This Row],[Audit Candidate 5]])), Audit[[#This Row],[Audit Candidate 5]]-Audit[[#This Row],[Candidate 5]], "")</f>
        <v/>
      </c>
      <c r="AJ981" s="18" t="str">
        <f>IF(NOT(ISBLANK(Audit[[#This Row],[Audit Candidate 6]])), Audit[[#This Row],[Audit Candidate 6]]-Audit[[#This Row],[Candidate 6]], "")</f>
        <v/>
      </c>
      <c r="AK981" s="18" t="str">
        <f>IF(NOT(ISBLANK(Audit[[#This Row],[Audit Candidate 7]])), Audit[[#This Row],[Audit Candidate 7]]-Audit[[#This Row],[Candidate 7]], "")</f>
        <v/>
      </c>
      <c r="AL981" s="18" t="str">
        <f>IF(NOT(ISBLANK(Audit[[#This Row],[Audit Candidate 8]])), Audit[[#This Row],[Audit Candidate 8]]-Audit[[#This Row],[Candidate 8]], "")</f>
        <v/>
      </c>
      <c r="AM981" s="18" t="str">
        <f>IF(NOT(ISBLANK(Audit[[#This Row],[Audit Candidate 9]])), Audit[[#This Row],[Audit Candidate 9]]-Audit[[#This Row],[Candidate 9]], "")</f>
        <v/>
      </c>
      <c r="AN981" s="18" t="str">
        <f>IF(NOT(ISBLANK(Audit[[#This Row],[Audit Candidate 10]])), Audit[[#This Row],[Audit Candidate 10]]-Audit[[#This Row],[Candidate 10]], "")</f>
        <v/>
      </c>
      <c r="AO981" s="18" t="str">
        <f>IF(NOT(ISBLANK(Audit[[#This Row],[Audit Candidate 11]])), Audit[[#This Row],[Audit Candidate 11]]-Audit[[#This Row],[Candidate 11]], "")</f>
        <v/>
      </c>
      <c r="AP981" s="18" t="str">
        <f>IF(NOT(ISBLANK(Audit[[#This Row],[Audit Candidate 12]])), Audit[[#This Row],[Audit Candidate 12]]-Audit[[#This Row],[Candidate 12]], "")</f>
        <v/>
      </c>
      <c r="AQ981" s="18">
        <f>SUMIF(Audit[[#This Row],[Difference Winner]:[Difference Candidate 12]], "&gt;0")</f>
        <v>0</v>
      </c>
      <c r="AR981" s="18">
        <f>SUM(Audit[[#This Row],[Difference Winner]:[Difference Candidate 12]])</f>
        <v>0</v>
      </c>
      <c r="AS981" s="18">
        <f>IF(Audit[[#This Row],[Times p Drawn - With Replacement]]&gt;0, IF(Audit[[#This Row],[Canceled Differences]]&lt;0, Audit[[#This Row],[Max Differences]]+ABS(Audit[[#This Row],[Canceled Differences]]), Audit[[#This Row],[Max Differences]]), 0)</f>
        <v>0</v>
      </c>
      <c r="AT981" s="18">
        <f>'Sampling Data'!AB981</f>
        <v>1.1244778088387725E-2</v>
      </c>
      <c r="AU981" s="18">
        <f>IF(
      SUM(Audit[[#This Row],[Audit Losing Candidate]:[Audit Candidate 12]])
      &lt;&gt;0,
      (Audit[[#This Row],[Winning Candidate]]-Audit[[#This Row],[Losing Candidate]]-(Audit[[#This Row],[Audit Winning Candidate]]-Audit[[#This Row],[Audit Losing Candidate]]))/(Audit[[#Totals],[Winning Candidate]]-Audit[[#Totals],[Losing Candidate]]),
      0
)</f>
        <v>0</v>
      </c>
      <c r="AV9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8">
        <f>IF(Audit[[#This Row],[Max Relative Error (ep)]] = 0, 0, Audit[[#This Row],[Max Relative Error (ep)]]/Audit[[#This Row],[Error Bound (up) - Max. possible relative overstatement]])</f>
        <v>0</v>
      </c>
      <c r="BH9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1" s="18">
        <f t="shared" si="16"/>
        <v>1</v>
      </c>
      <c r="BJ981" s="18">
        <f>PRODUCT($BI$5:BI981)</f>
        <v>0.10664664085196122</v>
      </c>
      <c r="BK981" s="20">
        <f>1 - Audit[[#This Row],[K-M P Value]]</f>
        <v>0.89335335914803882</v>
      </c>
      <c r="BL981" s="18" t="str">
        <f>IF(Audit[[#This Row],[K-M P Value]]&gt;1-'General Info'!$B$12,"Continue", "Stop")</f>
        <v>Continue</v>
      </c>
      <c r="BM981" s="23" t="b">
        <f>IF(Audit[[#This Row],[Status - Continue or stop audit]] = "Continue", TRUE, IF(BL980 = "Continue", TRUE, FALSE))</f>
        <v>1</v>
      </c>
      <c r="BN981" s="23"/>
    </row>
    <row r="982" spans="1:66" ht="15" hidden="1" customHeight="1" x14ac:dyDescent="0.35">
      <c r="A982" s="18" t="str">
        <f>'Sampling Data'!AI982</f>
        <v/>
      </c>
      <c r="B982" s="18" t="str">
        <f>'Sampling Data'!A982</f>
        <v>6518 DELHI R   (ED)</v>
      </c>
      <c r="C982" s="18">
        <f>'Sampling Data'!B982</f>
        <v>92</v>
      </c>
      <c r="D982" s="18">
        <f>'Sampling Data'!C982</f>
        <v>6</v>
      </c>
      <c r="E982" s="19">
        <f>'Sampling Data'!D982</f>
        <v>0</v>
      </c>
      <c r="F982" s="19">
        <f>'Sampling Data'!E982</f>
        <v>0</v>
      </c>
      <c r="G982" s="19">
        <f>'Sampling Data'!F982</f>
        <v>0</v>
      </c>
      <c r="H982" s="19">
        <f>'Sampling Data'!G982</f>
        <v>0</v>
      </c>
      <c r="I982" s="19">
        <f>'Sampling Data'!H982</f>
        <v>0</v>
      </c>
      <c r="J982" s="19">
        <f>'Sampling Data'!I982</f>
        <v>0</v>
      </c>
      <c r="K982" s="19">
        <f>'Sampling Data'!J982</f>
        <v>0</v>
      </c>
      <c r="L982" s="19">
        <f>'Sampling Data'!K982</f>
        <v>0</v>
      </c>
      <c r="M982" s="19">
        <f>'Sampling Data'!L982</f>
        <v>0</v>
      </c>
      <c r="N982" s="19">
        <f>'Sampling Data'!M982</f>
        <v>0</v>
      </c>
      <c r="O982" s="18">
        <f>'Sampling Data'!N982</f>
        <v>0</v>
      </c>
      <c r="P982" s="18">
        <f>'Sampling Data'!O982</f>
        <v>1</v>
      </c>
      <c r="Q982" s="18">
        <f>'Sampling Data'!P982</f>
        <v>99</v>
      </c>
      <c r="R982" s="18">
        <f>'Sampling Data'!AJ982</f>
        <v>0</v>
      </c>
      <c r="S982" s="112"/>
      <c r="T982" s="112"/>
      <c r="U982" s="113"/>
      <c r="V982" s="113"/>
      <c r="W982" s="112"/>
      <c r="X982" s="112"/>
      <c r="Y982" s="112"/>
      <c r="Z982" s="112"/>
      <c r="AA982" s="15"/>
      <c r="AB982" s="15"/>
      <c r="AC982" s="15"/>
      <c r="AD982" s="15"/>
      <c r="AE982" s="114" t="str">
        <f>IF(NOT(ISBLANK(Audit[[#This Row],[Audit Winning Candidate]])), Audit[[#This Row],[Audit Winning Candidate]]-Audit[[#This Row],[Winning Candidate]], "")</f>
        <v/>
      </c>
      <c r="AF982" s="18" t="str">
        <f>IF(NOT(ISBLANK(Audit[[#This Row],[Audit Losing Candidate]])), Audit[[#This Row],[Audit Losing Candidate]]-Audit[[#This Row],[Losing Candidate]], "")</f>
        <v/>
      </c>
      <c r="AG982" s="18" t="str">
        <f>IF(NOT(ISBLANK(Audit[[#This Row],[Audit Candidate 3]])), Audit[[#This Row],[Audit Candidate 3]]-Audit[[#This Row],[Candidate 3]], "")</f>
        <v/>
      </c>
      <c r="AH982" s="18" t="str">
        <f>IF(NOT(ISBLANK(Audit[[#This Row],[Audit Candidate 4]])),Audit[[#This Row],[Audit Candidate 4]]-Audit[[#This Row],[Candidate 4]], "")</f>
        <v/>
      </c>
      <c r="AI982" s="18" t="str">
        <f>IF(NOT(ISBLANK(Audit[[#This Row],[Audit Candidate 5]])), Audit[[#This Row],[Audit Candidate 5]]-Audit[[#This Row],[Candidate 5]], "")</f>
        <v/>
      </c>
      <c r="AJ982" s="18" t="str">
        <f>IF(NOT(ISBLANK(Audit[[#This Row],[Audit Candidate 6]])), Audit[[#This Row],[Audit Candidate 6]]-Audit[[#This Row],[Candidate 6]], "")</f>
        <v/>
      </c>
      <c r="AK982" s="18" t="str">
        <f>IF(NOT(ISBLANK(Audit[[#This Row],[Audit Candidate 7]])), Audit[[#This Row],[Audit Candidate 7]]-Audit[[#This Row],[Candidate 7]], "")</f>
        <v/>
      </c>
      <c r="AL982" s="18" t="str">
        <f>IF(NOT(ISBLANK(Audit[[#This Row],[Audit Candidate 8]])), Audit[[#This Row],[Audit Candidate 8]]-Audit[[#This Row],[Candidate 8]], "")</f>
        <v/>
      </c>
      <c r="AM982" s="18" t="str">
        <f>IF(NOT(ISBLANK(Audit[[#This Row],[Audit Candidate 9]])), Audit[[#This Row],[Audit Candidate 9]]-Audit[[#This Row],[Candidate 9]], "")</f>
        <v/>
      </c>
      <c r="AN982" s="18" t="str">
        <f>IF(NOT(ISBLANK(Audit[[#This Row],[Audit Candidate 10]])), Audit[[#This Row],[Audit Candidate 10]]-Audit[[#This Row],[Candidate 10]], "")</f>
        <v/>
      </c>
      <c r="AO982" s="18" t="str">
        <f>IF(NOT(ISBLANK(Audit[[#This Row],[Audit Candidate 11]])), Audit[[#This Row],[Audit Candidate 11]]-Audit[[#This Row],[Candidate 11]], "")</f>
        <v/>
      </c>
      <c r="AP982" s="18" t="str">
        <f>IF(NOT(ISBLANK(Audit[[#This Row],[Audit Candidate 12]])), Audit[[#This Row],[Audit Candidate 12]]-Audit[[#This Row],[Candidate 12]], "")</f>
        <v/>
      </c>
      <c r="AQ982" s="18">
        <f>SUMIF(Audit[[#This Row],[Difference Winner]:[Difference Candidate 12]], "&gt;0")</f>
        <v>0</v>
      </c>
      <c r="AR982" s="18">
        <f>SUM(Audit[[#This Row],[Difference Winner]:[Difference Candidate 12]])</f>
        <v>0</v>
      </c>
      <c r="AS982" s="18">
        <f>IF(Audit[[#This Row],[Times p Drawn - With Replacement]]&gt;0, IF(Audit[[#This Row],[Canceled Differences]]&lt;0, Audit[[#This Row],[Max Differences]]+ABS(Audit[[#This Row],[Canceled Differences]]), Audit[[#This Row],[Max Differences]]), 0)</f>
        <v>0</v>
      </c>
      <c r="AT982" s="18">
        <f>'Sampling Data'!AB982</f>
        <v>5.8108490121556678E-3</v>
      </c>
      <c r="AU982" s="18">
        <f>IF(
      SUM(Audit[[#This Row],[Audit Losing Candidate]:[Audit Candidate 12]])
      &lt;&gt;0,
      (Audit[[#This Row],[Winning Candidate]]-Audit[[#This Row],[Losing Candidate]]-(Audit[[#This Row],[Audit Winning Candidate]]-Audit[[#This Row],[Audit Losing Candidate]]))/(Audit[[#Totals],[Winning Candidate]]-Audit[[#Totals],[Losing Candidate]]),
      0
)</f>
        <v>0</v>
      </c>
      <c r="AV9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8">
        <f>IF(Audit[[#This Row],[Max Relative Error (ep)]] = 0, 0, Audit[[#This Row],[Max Relative Error (ep)]]/Audit[[#This Row],[Error Bound (up) - Max. possible relative overstatement]])</f>
        <v>0</v>
      </c>
      <c r="BH9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2" s="18">
        <f t="shared" si="16"/>
        <v>1</v>
      </c>
      <c r="BJ982" s="18">
        <f>PRODUCT($BI$5:BI982)</f>
        <v>0.10664664085196122</v>
      </c>
      <c r="BK982" s="20">
        <f>1 - Audit[[#This Row],[K-M P Value]]</f>
        <v>0.89335335914803882</v>
      </c>
      <c r="BL982" s="18" t="str">
        <f>IF(Audit[[#This Row],[K-M P Value]]&gt;1-'General Info'!$B$12,"Continue", "Stop")</f>
        <v>Continue</v>
      </c>
      <c r="BM982" s="23" t="b">
        <f>IF(Audit[[#This Row],[Status - Continue or stop audit]] = "Continue", TRUE, IF(BL981 = "Continue", TRUE, FALSE))</f>
        <v>1</v>
      </c>
      <c r="BN982" s="23"/>
    </row>
    <row r="983" spans="1:66" ht="15" hidden="1" customHeight="1" x14ac:dyDescent="0.35">
      <c r="A983" s="18" t="str">
        <f>'Sampling Data'!AI983</f>
        <v/>
      </c>
      <c r="B983" s="18" t="str">
        <f>'Sampling Data'!A983</f>
        <v>6519 DELHI S   (ED)</v>
      </c>
      <c r="C983" s="18">
        <f>'Sampling Data'!B983</f>
        <v>126</v>
      </c>
      <c r="D983" s="18">
        <f>'Sampling Data'!C983</f>
        <v>23</v>
      </c>
      <c r="E983" s="19">
        <f>'Sampling Data'!D983</f>
        <v>0</v>
      </c>
      <c r="F983" s="19">
        <f>'Sampling Data'!E983</f>
        <v>0</v>
      </c>
      <c r="G983" s="19">
        <f>'Sampling Data'!F983</f>
        <v>0</v>
      </c>
      <c r="H983" s="19">
        <f>'Sampling Data'!G983</f>
        <v>0</v>
      </c>
      <c r="I983" s="19">
        <f>'Sampling Data'!H983</f>
        <v>0</v>
      </c>
      <c r="J983" s="19">
        <f>'Sampling Data'!I983</f>
        <v>0</v>
      </c>
      <c r="K983" s="19">
        <f>'Sampling Data'!J983</f>
        <v>0</v>
      </c>
      <c r="L983" s="19">
        <f>'Sampling Data'!K983</f>
        <v>0</v>
      </c>
      <c r="M983" s="19">
        <f>'Sampling Data'!L983</f>
        <v>0</v>
      </c>
      <c r="N983" s="19">
        <f>'Sampling Data'!M983</f>
        <v>0</v>
      </c>
      <c r="O983" s="18">
        <f>'Sampling Data'!N983</f>
        <v>0</v>
      </c>
      <c r="P983" s="18">
        <f>'Sampling Data'!O983</f>
        <v>3</v>
      </c>
      <c r="Q983" s="18">
        <f>'Sampling Data'!P983</f>
        <v>152</v>
      </c>
      <c r="R983" s="18">
        <f>'Sampling Data'!AJ983</f>
        <v>0</v>
      </c>
      <c r="S983" s="112"/>
      <c r="T983" s="112"/>
      <c r="U983" s="113"/>
      <c r="V983" s="113"/>
      <c r="W983" s="112"/>
      <c r="X983" s="112"/>
      <c r="Y983" s="112"/>
      <c r="Z983" s="112"/>
      <c r="AA983" s="15"/>
      <c r="AB983" s="15"/>
      <c r="AC983" s="15"/>
      <c r="AD983" s="15"/>
      <c r="AE983" s="114" t="str">
        <f>IF(NOT(ISBLANK(Audit[[#This Row],[Audit Winning Candidate]])), Audit[[#This Row],[Audit Winning Candidate]]-Audit[[#This Row],[Winning Candidate]], "")</f>
        <v/>
      </c>
      <c r="AF983" s="18" t="str">
        <f>IF(NOT(ISBLANK(Audit[[#This Row],[Audit Losing Candidate]])), Audit[[#This Row],[Audit Losing Candidate]]-Audit[[#This Row],[Losing Candidate]], "")</f>
        <v/>
      </c>
      <c r="AG983" s="18" t="str">
        <f>IF(NOT(ISBLANK(Audit[[#This Row],[Audit Candidate 3]])), Audit[[#This Row],[Audit Candidate 3]]-Audit[[#This Row],[Candidate 3]], "")</f>
        <v/>
      </c>
      <c r="AH983" s="18" t="str">
        <f>IF(NOT(ISBLANK(Audit[[#This Row],[Audit Candidate 4]])),Audit[[#This Row],[Audit Candidate 4]]-Audit[[#This Row],[Candidate 4]], "")</f>
        <v/>
      </c>
      <c r="AI983" s="18" t="str">
        <f>IF(NOT(ISBLANK(Audit[[#This Row],[Audit Candidate 5]])), Audit[[#This Row],[Audit Candidate 5]]-Audit[[#This Row],[Candidate 5]], "")</f>
        <v/>
      </c>
      <c r="AJ983" s="18" t="str">
        <f>IF(NOT(ISBLANK(Audit[[#This Row],[Audit Candidate 6]])), Audit[[#This Row],[Audit Candidate 6]]-Audit[[#This Row],[Candidate 6]], "")</f>
        <v/>
      </c>
      <c r="AK983" s="18" t="str">
        <f>IF(NOT(ISBLANK(Audit[[#This Row],[Audit Candidate 7]])), Audit[[#This Row],[Audit Candidate 7]]-Audit[[#This Row],[Candidate 7]], "")</f>
        <v/>
      </c>
      <c r="AL983" s="18" t="str">
        <f>IF(NOT(ISBLANK(Audit[[#This Row],[Audit Candidate 8]])), Audit[[#This Row],[Audit Candidate 8]]-Audit[[#This Row],[Candidate 8]], "")</f>
        <v/>
      </c>
      <c r="AM983" s="18" t="str">
        <f>IF(NOT(ISBLANK(Audit[[#This Row],[Audit Candidate 9]])), Audit[[#This Row],[Audit Candidate 9]]-Audit[[#This Row],[Candidate 9]], "")</f>
        <v/>
      </c>
      <c r="AN983" s="18" t="str">
        <f>IF(NOT(ISBLANK(Audit[[#This Row],[Audit Candidate 10]])), Audit[[#This Row],[Audit Candidate 10]]-Audit[[#This Row],[Candidate 10]], "")</f>
        <v/>
      </c>
      <c r="AO983" s="18" t="str">
        <f>IF(NOT(ISBLANK(Audit[[#This Row],[Audit Candidate 11]])), Audit[[#This Row],[Audit Candidate 11]]-Audit[[#This Row],[Candidate 11]], "")</f>
        <v/>
      </c>
      <c r="AP983" s="18" t="str">
        <f>IF(NOT(ISBLANK(Audit[[#This Row],[Audit Candidate 12]])), Audit[[#This Row],[Audit Candidate 12]]-Audit[[#This Row],[Candidate 12]], "")</f>
        <v/>
      </c>
      <c r="AQ983" s="18">
        <f>SUMIF(Audit[[#This Row],[Difference Winner]:[Difference Candidate 12]], "&gt;0")</f>
        <v>0</v>
      </c>
      <c r="AR983" s="18">
        <f>SUM(Audit[[#This Row],[Difference Winner]:[Difference Candidate 12]])</f>
        <v>0</v>
      </c>
      <c r="AS983" s="18">
        <f>IF(Audit[[#This Row],[Times p Drawn - With Replacement]]&gt;0, IF(Audit[[#This Row],[Canceled Differences]]&lt;0, Audit[[#This Row],[Max Differences]]+ABS(Audit[[#This Row],[Canceled Differences]]), Audit[[#This Row],[Max Differences]]), 0)</f>
        <v>0</v>
      </c>
      <c r="AT983" s="18">
        <f>'Sampling Data'!AB983</f>
        <v>8.0095486383767317E-3</v>
      </c>
      <c r="AU983" s="18">
        <f>IF(
      SUM(Audit[[#This Row],[Audit Losing Candidate]:[Audit Candidate 12]])
      &lt;&gt;0,
      (Audit[[#This Row],[Winning Candidate]]-Audit[[#This Row],[Losing Candidate]]-(Audit[[#This Row],[Audit Winning Candidate]]-Audit[[#This Row],[Audit Losing Candidate]]))/(Audit[[#Totals],[Winning Candidate]]-Audit[[#Totals],[Losing Candidate]]),
      0
)</f>
        <v>0</v>
      </c>
      <c r="AV9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8">
        <f>IF(Audit[[#This Row],[Max Relative Error (ep)]] = 0, 0, Audit[[#This Row],[Max Relative Error (ep)]]/Audit[[#This Row],[Error Bound (up) - Max. possible relative overstatement]])</f>
        <v>0</v>
      </c>
      <c r="BH9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3" s="18">
        <f t="shared" si="16"/>
        <v>1</v>
      </c>
      <c r="BJ983" s="18">
        <f>PRODUCT($BI$5:BI983)</f>
        <v>0.10664664085196122</v>
      </c>
      <c r="BK983" s="20">
        <f>1 - Audit[[#This Row],[K-M P Value]]</f>
        <v>0.89335335914803882</v>
      </c>
      <c r="BL983" s="18" t="str">
        <f>IF(Audit[[#This Row],[K-M P Value]]&gt;1-'General Info'!$B$12,"Continue", "Stop")</f>
        <v>Continue</v>
      </c>
      <c r="BM983" s="23" t="b">
        <f>IF(Audit[[#This Row],[Status - Continue or stop audit]] = "Continue", TRUE, IF(BL982 = "Continue", TRUE, FALSE))</f>
        <v>1</v>
      </c>
      <c r="BN983" s="23"/>
    </row>
    <row r="984" spans="1:66" ht="15" hidden="1" customHeight="1" x14ac:dyDescent="0.35">
      <c r="A984" s="18" t="str">
        <f>'Sampling Data'!AI984</f>
        <v/>
      </c>
      <c r="B984" s="18" t="str">
        <f>'Sampling Data'!A984</f>
        <v>6701 ELMW A   (ED)</v>
      </c>
      <c r="C984" s="18">
        <f>'Sampling Data'!B984</f>
        <v>33</v>
      </c>
      <c r="D984" s="18">
        <f>'Sampling Data'!C984</f>
        <v>5</v>
      </c>
      <c r="E984" s="19">
        <f>'Sampling Data'!D984</f>
        <v>0</v>
      </c>
      <c r="F984" s="19">
        <f>'Sampling Data'!E984</f>
        <v>0</v>
      </c>
      <c r="G984" s="19">
        <f>'Sampling Data'!F984</f>
        <v>0</v>
      </c>
      <c r="H984" s="19">
        <f>'Sampling Data'!G984</f>
        <v>0</v>
      </c>
      <c r="I984" s="19">
        <f>'Sampling Data'!H984</f>
        <v>0</v>
      </c>
      <c r="J984" s="19">
        <f>'Sampling Data'!I984</f>
        <v>0</v>
      </c>
      <c r="K984" s="19">
        <f>'Sampling Data'!J984</f>
        <v>0</v>
      </c>
      <c r="L984" s="19">
        <f>'Sampling Data'!K984</f>
        <v>0</v>
      </c>
      <c r="M984" s="19">
        <f>'Sampling Data'!L984</f>
        <v>0</v>
      </c>
      <c r="N984" s="19">
        <f>'Sampling Data'!M984</f>
        <v>0</v>
      </c>
      <c r="O984" s="18">
        <f>'Sampling Data'!N984</f>
        <v>0</v>
      </c>
      <c r="P984" s="18">
        <f>'Sampling Data'!O984</f>
        <v>2</v>
      </c>
      <c r="Q984" s="18">
        <f>'Sampling Data'!P984</f>
        <v>40</v>
      </c>
      <c r="R984" s="18">
        <f>'Sampling Data'!AJ984</f>
        <v>0</v>
      </c>
      <c r="S984" s="112"/>
      <c r="T984" s="112"/>
      <c r="U984" s="113"/>
      <c r="V984" s="113"/>
      <c r="W984" s="112"/>
      <c r="X984" s="112"/>
      <c r="Y984" s="112"/>
      <c r="Z984" s="112"/>
      <c r="AA984" s="15"/>
      <c r="AB984" s="15"/>
      <c r="AC984" s="15"/>
      <c r="AD984" s="15"/>
      <c r="AE984" s="114" t="str">
        <f>IF(NOT(ISBLANK(Audit[[#This Row],[Audit Winning Candidate]])), Audit[[#This Row],[Audit Winning Candidate]]-Audit[[#This Row],[Winning Candidate]], "")</f>
        <v/>
      </c>
      <c r="AF984" s="18" t="str">
        <f>IF(NOT(ISBLANK(Audit[[#This Row],[Audit Losing Candidate]])), Audit[[#This Row],[Audit Losing Candidate]]-Audit[[#This Row],[Losing Candidate]], "")</f>
        <v/>
      </c>
      <c r="AG984" s="18" t="str">
        <f>IF(NOT(ISBLANK(Audit[[#This Row],[Audit Candidate 3]])), Audit[[#This Row],[Audit Candidate 3]]-Audit[[#This Row],[Candidate 3]], "")</f>
        <v/>
      </c>
      <c r="AH984" s="18" t="str">
        <f>IF(NOT(ISBLANK(Audit[[#This Row],[Audit Candidate 4]])),Audit[[#This Row],[Audit Candidate 4]]-Audit[[#This Row],[Candidate 4]], "")</f>
        <v/>
      </c>
      <c r="AI984" s="18" t="str">
        <f>IF(NOT(ISBLANK(Audit[[#This Row],[Audit Candidate 5]])), Audit[[#This Row],[Audit Candidate 5]]-Audit[[#This Row],[Candidate 5]], "")</f>
        <v/>
      </c>
      <c r="AJ984" s="18" t="str">
        <f>IF(NOT(ISBLANK(Audit[[#This Row],[Audit Candidate 6]])), Audit[[#This Row],[Audit Candidate 6]]-Audit[[#This Row],[Candidate 6]], "")</f>
        <v/>
      </c>
      <c r="AK984" s="18" t="str">
        <f>IF(NOT(ISBLANK(Audit[[#This Row],[Audit Candidate 7]])), Audit[[#This Row],[Audit Candidate 7]]-Audit[[#This Row],[Candidate 7]], "")</f>
        <v/>
      </c>
      <c r="AL984" s="18" t="str">
        <f>IF(NOT(ISBLANK(Audit[[#This Row],[Audit Candidate 8]])), Audit[[#This Row],[Audit Candidate 8]]-Audit[[#This Row],[Candidate 8]], "")</f>
        <v/>
      </c>
      <c r="AM984" s="18" t="str">
        <f>IF(NOT(ISBLANK(Audit[[#This Row],[Audit Candidate 9]])), Audit[[#This Row],[Audit Candidate 9]]-Audit[[#This Row],[Candidate 9]], "")</f>
        <v/>
      </c>
      <c r="AN984" s="18" t="str">
        <f>IF(NOT(ISBLANK(Audit[[#This Row],[Audit Candidate 10]])), Audit[[#This Row],[Audit Candidate 10]]-Audit[[#This Row],[Candidate 10]], "")</f>
        <v/>
      </c>
      <c r="AO984" s="18" t="str">
        <f>IF(NOT(ISBLANK(Audit[[#This Row],[Audit Candidate 11]])), Audit[[#This Row],[Audit Candidate 11]]-Audit[[#This Row],[Candidate 11]], "")</f>
        <v/>
      </c>
      <c r="AP984" s="18" t="str">
        <f>IF(NOT(ISBLANK(Audit[[#This Row],[Audit Candidate 12]])), Audit[[#This Row],[Audit Candidate 12]]-Audit[[#This Row],[Candidate 12]], "")</f>
        <v/>
      </c>
      <c r="AQ984" s="18">
        <f>SUMIF(Audit[[#This Row],[Difference Winner]:[Difference Candidate 12]], "&gt;0")</f>
        <v>0</v>
      </c>
      <c r="AR984" s="18">
        <f>SUM(Audit[[#This Row],[Difference Winner]:[Difference Candidate 12]])</f>
        <v>0</v>
      </c>
      <c r="AS984" s="18">
        <f>IF(Audit[[#This Row],[Times p Drawn - With Replacement]]&gt;0, IF(Audit[[#This Row],[Canceled Differences]]&lt;0, Audit[[#This Row],[Max Differences]]+ABS(Audit[[#This Row],[Canceled Differences]]), Audit[[#This Row],[Max Differences]]), 0)</f>
        <v>0</v>
      </c>
      <c r="AT984" s="18">
        <f>'Sampling Data'!AB984</f>
        <v>2.1358796369004619E-3</v>
      </c>
      <c r="AU984" s="18">
        <f>IF(
      SUM(Audit[[#This Row],[Audit Losing Candidate]:[Audit Candidate 12]])
      &lt;&gt;0,
      (Audit[[#This Row],[Winning Candidate]]-Audit[[#This Row],[Losing Candidate]]-(Audit[[#This Row],[Audit Winning Candidate]]-Audit[[#This Row],[Audit Losing Candidate]]))/(Audit[[#Totals],[Winning Candidate]]-Audit[[#Totals],[Losing Candidate]]),
      0
)</f>
        <v>0</v>
      </c>
      <c r="AV9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8">
        <f>IF(Audit[[#This Row],[Max Relative Error (ep)]] = 0, 0, Audit[[#This Row],[Max Relative Error (ep)]]/Audit[[#This Row],[Error Bound (up) - Max. possible relative overstatement]])</f>
        <v>0</v>
      </c>
      <c r="BH9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4" s="18">
        <f t="shared" si="16"/>
        <v>1</v>
      </c>
      <c r="BJ984" s="18">
        <f>PRODUCT($BI$5:BI984)</f>
        <v>0.10664664085196122</v>
      </c>
      <c r="BK984" s="20">
        <f>1 - Audit[[#This Row],[K-M P Value]]</f>
        <v>0.89335335914803882</v>
      </c>
      <c r="BL984" s="18" t="str">
        <f>IF(Audit[[#This Row],[K-M P Value]]&gt;1-'General Info'!$B$12,"Continue", "Stop")</f>
        <v>Continue</v>
      </c>
      <c r="BM984" s="23" t="b">
        <f>IF(Audit[[#This Row],[Status - Continue or stop audit]] = "Continue", TRUE, IF(BL983 = "Continue", TRUE, FALSE))</f>
        <v>1</v>
      </c>
      <c r="BN984" s="23"/>
    </row>
    <row r="985" spans="1:66" ht="15" hidden="1" customHeight="1" x14ac:dyDescent="0.35">
      <c r="A985" s="18" t="str">
        <f>'Sampling Data'!AI985</f>
        <v/>
      </c>
      <c r="B985" s="18" t="str">
        <f>'Sampling Data'!A985</f>
        <v>6801 EVEN A   (ED)</v>
      </c>
      <c r="C985" s="18">
        <f>'Sampling Data'!B985</f>
        <v>149</v>
      </c>
      <c r="D985" s="18">
        <f>'Sampling Data'!C985</f>
        <v>13</v>
      </c>
      <c r="E985" s="19">
        <f>'Sampling Data'!D985</f>
        <v>0</v>
      </c>
      <c r="F985" s="19">
        <f>'Sampling Data'!E985</f>
        <v>0</v>
      </c>
      <c r="G985" s="19">
        <f>'Sampling Data'!F985</f>
        <v>0</v>
      </c>
      <c r="H985" s="19">
        <f>'Sampling Data'!G985</f>
        <v>0</v>
      </c>
      <c r="I985" s="19">
        <f>'Sampling Data'!H985</f>
        <v>0</v>
      </c>
      <c r="J985" s="19">
        <f>'Sampling Data'!I985</f>
        <v>0</v>
      </c>
      <c r="K985" s="19">
        <f>'Sampling Data'!J985</f>
        <v>0</v>
      </c>
      <c r="L985" s="19">
        <f>'Sampling Data'!K985</f>
        <v>0</v>
      </c>
      <c r="M985" s="19">
        <f>'Sampling Data'!L985</f>
        <v>0</v>
      </c>
      <c r="N985" s="19">
        <f>'Sampling Data'!M985</f>
        <v>0</v>
      </c>
      <c r="O985" s="18">
        <f>'Sampling Data'!N985</f>
        <v>0</v>
      </c>
      <c r="P985" s="18">
        <f>'Sampling Data'!O985</f>
        <v>7</v>
      </c>
      <c r="Q985" s="18">
        <f>'Sampling Data'!P985</f>
        <v>169</v>
      </c>
      <c r="R985" s="18">
        <f>'Sampling Data'!AJ985</f>
        <v>0</v>
      </c>
      <c r="S985" s="112"/>
      <c r="T985" s="112"/>
      <c r="U985" s="113"/>
      <c r="V985" s="113"/>
      <c r="W985" s="112"/>
      <c r="X985" s="112"/>
      <c r="Y985" s="112"/>
      <c r="Z985" s="112"/>
      <c r="AA985" s="15"/>
      <c r="AB985" s="15"/>
      <c r="AC985" s="15"/>
      <c r="AD985" s="15"/>
      <c r="AE985" s="114" t="str">
        <f>IF(NOT(ISBLANK(Audit[[#This Row],[Audit Winning Candidate]])), Audit[[#This Row],[Audit Winning Candidate]]-Audit[[#This Row],[Winning Candidate]], "")</f>
        <v/>
      </c>
      <c r="AF985" s="18" t="str">
        <f>IF(NOT(ISBLANK(Audit[[#This Row],[Audit Losing Candidate]])), Audit[[#This Row],[Audit Losing Candidate]]-Audit[[#This Row],[Losing Candidate]], "")</f>
        <v/>
      </c>
      <c r="AG985" s="18" t="str">
        <f>IF(NOT(ISBLANK(Audit[[#This Row],[Audit Candidate 3]])), Audit[[#This Row],[Audit Candidate 3]]-Audit[[#This Row],[Candidate 3]], "")</f>
        <v/>
      </c>
      <c r="AH985" s="18" t="str">
        <f>IF(NOT(ISBLANK(Audit[[#This Row],[Audit Candidate 4]])),Audit[[#This Row],[Audit Candidate 4]]-Audit[[#This Row],[Candidate 4]], "")</f>
        <v/>
      </c>
      <c r="AI985" s="18" t="str">
        <f>IF(NOT(ISBLANK(Audit[[#This Row],[Audit Candidate 5]])), Audit[[#This Row],[Audit Candidate 5]]-Audit[[#This Row],[Candidate 5]], "")</f>
        <v/>
      </c>
      <c r="AJ985" s="18" t="str">
        <f>IF(NOT(ISBLANK(Audit[[#This Row],[Audit Candidate 6]])), Audit[[#This Row],[Audit Candidate 6]]-Audit[[#This Row],[Candidate 6]], "")</f>
        <v/>
      </c>
      <c r="AK985" s="18" t="str">
        <f>IF(NOT(ISBLANK(Audit[[#This Row],[Audit Candidate 7]])), Audit[[#This Row],[Audit Candidate 7]]-Audit[[#This Row],[Candidate 7]], "")</f>
        <v/>
      </c>
      <c r="AL985" s="18" t="str">
        <f>IF(NOT(ISBLANK(Audit[[#This Row],[Audit Candidate 8]])), Audit[[#This Row],[Audit Candidate 8]]-Audit[[#This Row],[Candidate 8]], "")</f>
        <v/>
      </c>
      <c r="AM985" s="18" t="str">
        <f>IF(NOT(ISBLANK(Audit[[#This Row],[Audit Candidate 9]])), Audit[[#This Row],[Audit Candidate 9]]-Audit[[#This Row],[Candidate 9]], "")</f>
        <v/>
      </c>
      <c r="AN985" s="18" t="str">
        <f>IF(NOT(ISBLANK(Audit[[#This Row],[Audit Candidate 10]])), Audit[[#This Row],[Audit Candidate 10]]-Audit[[#This Row],[Candidate 10]], "")</f>
        <v/>
      </c>
      <c r="AO985" s="18" t="str">
        <f>IF(NOT(ISBLANK(Audit[[#This Row],[Audit Candidate 11]])), Audit[[#This Row],[Audit Candidate 11]]-Audit[[#This Row],[Candidate 11]], "")</f>
        <v/>
      </c>
      <c r="AP985" s="18" t="str">
        <f>IF(NOT(ISBLANK(Audit[[#This Row],[Audit Candidate 12]])), Audit[[#This Row],[Audit Candidate 12]]-Audit[[#This Row],[Candidate 12]], "")</f>
        <v/>
      </c>
      <c r="AQ985" s="18">
        <f>SUMIF(Audit[[#This Row],[Difference Winner]:[Difference Candidate 12]], "&gt;0")</f>
        <v>0</v>
      </c>
      <c r="AR985" s="18">
        <f>SUM(Audit[[#This Row],[Difference Winner]:[Difference Candidate 12]])</f>
        <v>0</v>
      </c>
      <c r="AS985" s="18">
        <f>IF(Audit[[#This Row],[Times p Drawn - With Replacement]]&gt;0, IF(Audit[[#This Row],[Canceled Differences]]&lt;0, Audit[[#This Row],[Max Differences]]+ABS(Audit[[#This Row],[Canceled Differences]]), Audit[[#This Row],[Max Differences]]), 0)</f>
        <v>0</v>
      </c>
      <c r="AT985" s="18">
        <f>'Sampling Data'!AB985</f>
        <v>9.5800483713917774E-3</v>
      </c>
      <c r="AU985" s="18">
        <f>IF(
      SUM(Audit[[#This Row],[Audit Losing Candidate]:[Audit Candidate 12]])
      &lt;&gt;0,
      (Audit[[#This Row],[Winning Candidate]]-Audit[[#This Row],[Losing Candidate]]-(Audit[[#This Row],[Audit Winning Candidate]]-Audit[[#This Row],[Audit Losing Candidate]]))/(Audit[[#Totals],[Winning Candidate]]-Audit[[#Totals],[Losing Candidate]]),
      0
)</f>
        <v>0</v>
      </c>
      <c r="AV9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8">
        <f>IF(Audit[[#This Row],[Max Relative Error (ep)]] = 0, 0, Audit[[#This Row],[Max Relative Error (ep)]]/Audit[[#This Row],[Error Bound (up) - Max. possible relative overstatement]])</f>
        <v>0</v>
      </c>
      <c r="BH9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5" s="18">
        <f t="shared" si="16"/>
        <v>1</v>
      </c>
      <c r="BJ985" s="18">
        <f>PRODUCT($BI$5:BI985)</f>
        <v>0.10664664085196122</v>
      </c>
      <c r="BK985" s="20">
        <f>1 - Audit[[#This Row],[K-M P Value]]</f>
        <v>0.89335335914803882</v>
      </c>
      <c r="BL985" s="18" t="str">
        <f>IF(Audit[[#This Row],[K-M P Value]]&gt;1-'General Info'!$B$12,"Continue", "Stop")</f>
        <v>Continue</v>
      </c>
      <c r="BM985" s="23" t="b">
        <f>IF(Audit[[#This Row],[Status - Continue or stop audit]] = "Continue", TRUE, IF(BL984 = "Continue", TRUE, FALSE))</f>
        <v>1</v>
      </c>
      <c r="BN985" s="23"/>
    </row>
    <row r="986" spans="1:66" ht="15" hidden="1" customHeight="1" x14ac:dyDescent="0.35">
      <c r="A986" s="18" t="str">
        <f>'Sampling Data'!AI986</f>
        <v/>
      </c>
      <c r="B986" s="18" t="str">
        <f>'Sampling Data'!A986</f>
        <v>6802 EVEN B   (ED)</v>
      </c>
      <c r="C986" s="18">
        <f>'Sampling Data'!B986</f>
        <v>133</v>
      </c>
      <c r="D986" s="18">
        <f>'Sampling Data'!C986</f>
        <v>26</v>
      </c>
      <c r="E986" s="19">
        <f>'Sampling Data'!D986</f>
        <v>0</v>
      </c>
      <c r="F986" s="19">
        <f>'Sampling Data'!E986</f>
        <v>0</v>
      </c>
      <c r="G986" s="19">
        <f>'Sampling Data'!F986</f>
        <v>0</v>
      </c>
      <c r="H986" s="19">
        <f>'Sampling Data'!G986</f>
        <v>0</v>
      </c>
      <c r="I986" s="19">
        <f>'Sampling Data'!H986</f>
        <v>0</v>
      </c>
      <c r="J986" s="19">
        <f>'Sampling Data'!I986</f>
        <v>0</v>
      </c>
      <c r="K986" s="19">
        <f>'Sampling Data'!J986</f>
        <v>0</v>
      </c>
      <c r="L986" s="19">
        <f>'Sampling Data'!K986</f>
        <v>0</v>
      </c>
      <c r="M986" s="19">
        <f>'Sampling Data'!L986</f>
        <v>0</v>
      </c>
      <c r="N986" s="19">
        <f>'Sampling Data'!M986</f>
        <v>0</v>
      </c>
      <c r="O986" s="18">
        <f>'Sampling Data'!N986</f>
        <v>1</v>
      </c>
      <c r="P986" s="18">
        <f>'Sampling Data'!O986</f>
        <v>1</v>
      </c>
      <c r="Q986" s="18">
        <f>'Sampling Data'!P986</f>
        <v>161</v>
      </c>
      <c r="R986" s="18">
        <f>'Sampling Data'!AJ986</f>
        <v>0</v>
      </c>
      <c r="S986" s="112"/>
      <c r="T986" s="112"/>
      <c r="U986" s="113"/>
      <c r="V986" s="113"/>
      <c r="W986" s="112"/>
      <c r="X986" s="112"/>
      <c r="Y986" s="112"/>
      <c r="Z986" s="112"/>
      <c r="AA986" s="15"/>
      <c r="AB986" s="15"/>
      <c r="AC986" s="15"/>
      <c r="AD986" s="15"/>
      <c r="AE986" s="114" t="str">
        <f>IF(NOT(ISBLANK(Audit[[#This Row],[Audit Winning Candidate]])), Audit[[#This Row],[Audit Winning Candidate]]-Audit[[#This Row],[Winning Candidate]], "")</f>
        <v/>
      </c>
      <c r="AF986" s="18" t="str">
        <f>IF(NOT(ISBLANK(Audit[[#This Row],[Audit Losing Candidate]])), Audit[[#This Row],[Audit Losing Candidate]]-Audit[[#This Row],[Losing Candidate]], "")</f>
        <v/>
      </c>
      <c r="AG986" s="18" t="str">
        <f>IF(NOT(ISBLANK(Audit[[#This Row],[Audit Candidate 3]])), Audit[[#This Row],[Audit Candidate 3]]-Audit[[#This Row],[Candidate 3]], "")</f>
        <v/>
      </c>
      <c r="AH986" s="18" t="str">
        <f>IF(NOT(ISBLANK(Audit[[#This Row],[Audit Candidate 4]])),Audit[[#This Row],[Audit Candidate 4]]-Audit[[#This Row],[Candidate 4]], "")</f>
        <v/>
      </c>
      <c r="AI986" s="18" t="str">
        <f>IF(NOT(ISBLANK(Audit[[#This Row],[Audit Candidate 5]])), Audit[[#This Row],[Audit Candidate 5]]-Audit[[#This Row],[Candidate 5]], "")</f>
        <v/>
      </c>
      <c r="AJ986" s="18" t="str">
        <f>IF(NOT(ISBLANK(Audit[[#This Row],[Audit Candidate 6]])), Audit[[#This Row],[Audit Candidate 6]]-Audit[[#This Row],[Candidate 6]], "")</f>
        <v/>
      </c>
      <c r="AK986" s="18" t="str">
        <f>IF(NOT(ISBLANK(Audit[[#This Row],[Audit Candidate 7]])), Audit[[#This Row],[Audit Candidate 7]]-Audit[[#This Row],[Candidate 7]], "")</f>
        <v/>
      </c>
      <c r="AL986" s="18" t="str">
        <f>IF(NOT(ISBLANK(Audit[[#This Row],[Audit Candidate 8]])), Audit[[#This Row],[Audit Candidate 8]]-Audit[[#This Row],[Candidate 8]], "")</f>
        <v/>
      </c>
      <c r="AM986" s="18" t="str">
        <f>IF(NOT(ISBLANK(Audit[[#This Row],[Audit Candidate 9]])), Audit[[#This Row],[Audit Candidate 9]]-Audit[[#This Row],[Candidate 9]], "")</f>
        <v/>
      </c>
      <c r="AN986" s="18" t="str">
        <f>IF(NOT(ISBLANK(Audit[[#This Row],[Audit Candidate 10]])), Audit[[#This Row],[Audit Candidate 10]]-Audit[[#This Row],[Candidate 10]], "")</f>
        <v/>
      </c>
      <c r="AO986" s="18" t="str">
        <f>IF(NOT(ISBLANK(Audit[[#This Row],[Audit Candidate 11]])), Audit[[#This Row],[Audit Candidate 11]]-Audit[[#This Row],[Candidate 11]], "")</f>
        <v/>
      </c>
      <c r="AP986" s="18" t="str">
        <f>IF(NOT(ISBLANK(Audit[[#This Row],[Audit Candidate 12]])), Audit[[#This Row],[Audit Candidate 12]]-Audit[[#This Row],[Candidate 12]], "")</f>
        <v/>
      </c>
      <c r="AQ986" s="18">
        <f>SUMIF(Audit[[#This Row],[Difference Winner]:[Difference Candidate 12]], "&gt;0")</f>
        <v>0</v>
      </c>
      <c r="AR986" s="18">
        <f>SUM(Audit[[#This Row],[Difference Winner]:[Difference Candidate 12]])</f>
        <v>0</v>
      </c>
      <c r="AS986" s="18">
        <f>IF(Audit[[#This Row],[Times p Drawn - With Replacement]]&gt;0, IF(Audit[[#This Row],[Canceled Differences]]&lt;0, Audit[[#This Row],[Max Differences]]+ABS(Audit[[#This Row],[Canceled Differences]]), Audit[[#This Row],[Max Differences]]), 0)</f>
        <v>0</v>
      </c>
      <c r="AT986" s="18">
        <f>'Sampling Data'!AB986</f>
        <v>8.4178785689606427E-3</v>
      </c>
      <c r="AU986" s="18">
        <f>IF(
      SUM(Audit[[#This Row],[Audit Losing Candidate]:[Audit Candidate 12]])
      &lt;&gt;0,
      (Audit[[#This Row],[Winning Candidate]]-Audit[[#This Row],[Losing Candidate]]-(Audit[[#This Row],[Audit Winning Candidate]]-Audit[[#This Row],[Audit Losing Candidate]]))/(Audit[[#Totals],[Winning Candidate]]-Audit[[#Totals],[Losing Candidate]]),
      0
)</f>
        <v>0</v>
      </c>
      <c r="AV9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8">
        <f>IF(Audit[[#This Row],[Max Relative Error (ep)]] = 0, 0, Audit[[#This Row],[Max Relative Error (ep)]]/Audit[[#This Row],[Error Bound (up) - Max. possible relative overstatement]])</f>
        <v>0</v>
      </c>
      <c r="BH9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6" s="18">
        <f t="shared" si="16"/>
        <v>1</v>
      </c>
      <c r="BJ986" s="18">
        <f>PRODUCT($BI$5:BI986)</f>
        <v>0.10664664085196122</v>
      </c>
      <c r="BK986" s="20">
        <f>1 - Audit[[#This Row],[K-M P Value]]</f>
        <v>0.89335335914803882</v>
      </c>
      <c r="BL986" s="18" t="str">
        <f>IF(Audit[[#This Row],[K-M P Value]]&gt;1-'General Info'!$B$12,"Continue", "Stop")</f>
        <v>Continue</v>
      </c>
      <c r="BM986" s="23" t="b">
        <f>IF(Audit[[#This Row],[Status - Continue or stop audit]] = "Continue", TRUE, IF(BL985 = "Continue", TRUE, FALSE))</f>
        <v>1</v>
      </c>
      <c r="BN986" s="23"/>
    </row>
    <row r="987" spans="1:66" ht="15" hidden="1" customHeight="1" x14ac:dyDescent="0.35">
      <c r="A987" s="18" t="str">
        <f>'Sampling Data'!AI987</f>
        <v/>
      </c>
      <c r="B987" s="18" t="str">
        <f>'Sampling Data'!A987</f>
        <v>6803 EVEN C   (ED)</v>
      </c>
      <c r="C987" s="18">
        <f>'Sampling Data'!B987</f>
        <v>11</v>
      </c>
      <c r="D987" s="18">
        <f>'Sampling Data'!C987</f>
        <v>7</v>
      </c>
      <c r="E987" s="19">
        <f>'Sampling Data'!D987</f>
        <v>0</v>
      </c>
      <c r="F987" s="19">
        <f>'Sampling Data'!E987</f>
        <v>0</v>
      </c>
      <c r="G987" s="19">
        <f>'Sampling Data'!F987</f>
        <v>0</v>
      </c>
      <c r="H987" s="19">
        <f>'Sampling Data'!G987</f>
        <v>0</v>
      </c>
      <c r="I987" s="19">
        <f>'Sampling Data'!H987</f>
        <v>0</v>
      </c>
      <c r="J987" s="19">
        <f>'Sampling Data'!I987</f>
        <v>0</v>
      </c>
      <c r="K987" s="19">
        <f>'Sampling Data'!J987</f>
        <v>0</v>
      </c>
      <c r="L987" s="19">
        <f>'Sampling Data'!K987</f>
        <v>0</v>
      </c>
      <c r="M987" s="19">
        <f>'Sampling Data'!L987</f>
        <v>0</v>
      </c>
      <c r="N987" s="19">
        <f>'Sampling Data'!M987</f>
        <v>0</v>
      </c>
      <c r="O987" s="18">
        <f>'Sampling Data'!N987</f>
        <v>0</v>
      </c>
      <c r="P987" s="18">
        <f>'Sampling Data'!O987</f>
        <v>0</v>
      </c>
      <c r="Q987" s="18">
        <f>'Sampling Data'!P987</f>
        <v>18</v>
      </c>
      <c r="R987" s="18">
        <f>'Sampling Data'!AJ987</f>
        <v>0</v>
      </c>
      <c r="S987" s="112"/>
      <c r="T987" s="112"/>
      <c r="U987" s="113"/>
      <c r="V987" s="113"/>
      <c r="W987" s="112"/>
      <c r="X987" s="112"/>
      <c r="Y987" s="112"/>
      <c r="Z987" s="112"/>
      <c r="AA987" s="15"/>
      <c r="AB987" s="15"/>
      <c r="AC987" s="15"/>
      <c r="AD987" s="15"/>
      <c r="AE987" s="114" t="str">
        <f>IF(NOT(ISBLANK(Audit[[#This Row],[Audit Winning Candidate]])), Audit[[#This Row],[Audit Winning Candidate]]-Audit[[#This Row],[Winning Candidate]], "")</f>
        <v/>
      </c>
      <c r="AF987" s="18" t="str">
        <f>IF(NOT(ISBLANK(Audit[[#This Row],[Audit Losing Candidate]])), Audit[[#This Row],[Audit Losing Candidate]]-Audit[[#This Row],[Losing Candidate]], "")</f>
        <v/>
      </c>
      <c r="AG987" s="18" t="str">
        <f>IF(NOT(ISBLANK(Audit[[#This Row],[Audit Candidate 3]])), Audit[[#This Row],[Audit Candidate 3]]-Audit[[#This Row],[Candidate 3]], "")</f>
        <v/>
      </c>
      <c r="AH987" s="18" t="str">
        <f>IF(NOT(ISBLANK(Audit[[#This Row],[Audit Candidate 4]])),Audit[[#This Row],[Audit Candidate 4]]-Audit[[#This Row],[Candidate 4]], "")</f>
        <v/>
      </c>
      <c r="AI987" s="18" t="str">
        <f>IF(NOT(ISBLANK(Audit[[#This Row],[Audit Candidate 5]])), Audit[[#This Row],[Audit Candidate 5]]-Audit[[#This Row],[Candidate 5]], "")</f>
        <v/>
      </c>
      <c r="AJ987" s="18" t="str">
        <f>IF(NOT(ISBLANK(Audit[[#This Row],[Audit Candidate 6]])), Audit[[#This Row],[Audit Candidate 6]]-Audit[[#This Row],[Candidate 6]], "")</f>
        <v/>
      </c>
      <c r="AK987" s="18" t="str">
        <f>IF(NOT(ISBLANK(Audit[[#This Row],[Audit Candidate 7]])), Audit[[#This Row],[Audit Candidate 7]]-Audit[[#This Row],[Candidate 7]], "")</f>
        <v/>
      </c>
      <c r="AL987" s="18" t="str">
        <f>IF(NOT(ISBLANK(Audit[[#This Row],[Audit Candidate 8]])), Audit[[#This Row],[Audit Candidate 8]]-Audit[[#This Row],[Candidate 8]], "")</f>
        <v/>
      </c>
      <c r="AM987" s="18" t="str">
        <f>IF(NOT(ISBLANK(Audit[[#This Row],[Audit Candidate 9]])), Audit[[#This Row],[Audit Candidate 9]]-Audit[[#This Row],[Candidate 9]], "")</f>
        <v/>
      </c>
      <c r="AN987" s="18" t="str">
        <f>IF(NOT(ISBLANK(Audit[[#This Row],[Audit Candidate 10]])), Audit[[#This Row],[Audit Candidate 10]]-Audit[[#This Row],[Candidate 10]], "")</f>
        <v/>
      </c>
      <c r="AO987" s="18" t="str">
        <f>IF(NOT(ISBLANK(Audit[[#This Row],[Audit Candidate 11]])), Audit[[#This Row],[Audit Candidate 11]]-Audit[[#This Row],[Candidate 11]], "")</f>
        <v/>
      </c>
      <c r="AP987" s="18" t="str">
        <f>IF(NOT(ISBLANK(Audit[[#This Row],[Audit Candidate 12]])), Audit[[#This Row],[Audit Candidate 12]]-Audit[[#This Row],[Candidate 12]], "")</f>
        <v/>
      </c>
      <c r="AQ987" s="18">
        <f>SUMIF(Audit[[#This Row],[Difference Winner]:[Difference Candidate 12]], "&gt;0")</f>
        <v>0</v>
      </c>
      <c r="AR987" s="18">
        <f>SUM(Audit[[#This Row],[Difference Winner]:[Difference Candidate 12]])</f>
        <v>0</v>
      </c>
      <c r="AS987" s="18">
        <f>IF(Audit[[#This Row],[Times p Drawn - With Replacement]]&gt;0, IF(Audit[[#This Row],[Canceled Differences]]&lt;0, Audit[[#This Row],[Max Differences]]+ABS(Audit[[#This Row],[Canceled Differences]]), Audit[[#This Row],[Max Differences]]), 0)</f>
        <v>0</v>
      </c>
      <c r="AT987" s="18">
        <f>'Sampling Data'!AB987</f>
        <v>6.9101988252662E-4</v>
      </c>
      <c r="AU987" s="18">
        <f>IF(
      SUM(Audit[[#This Row],[Audit Losing Candidate]:[Audit Candidate 12]])
      &lt;&gt;0,
      (Audit[[#This Row],[Winning Candidate]]-Audit[[#This Row],[Losing Candidate]]-(Audit[[#This Row],[Audit Winning Candidate]]-Audit[[#This Row],[Audit Losing Candidate]]))/(Audit[[#Totals],[Winning Candidate]]-Audit[[#Totals],[Losing Candidate]]),
      0
)</f>
        <v>0</v>
      </c>
      <c r="AV9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8">
        <f>IF(Audit[[#This Row],[Max Relative Error (ep)]] = 0, 0, Audit[[#This Row],[Max Relative Error (ep)]]/Audit[[#This Row],[Error Bound (up) - Max. possible relative overstatement]])</f>
        <v>0</v>
      </c>
      <c r="BH9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7" s="18">
        <f t="shared" si="16"/>
        <v>1</v>
      </c>
      <c r="BJ987" s="18">
        <f>PRODUCT($BI$5:BI987)</f>
        <v>0.10664664085196122</v>
      </c>
      <c r="BK987" s="20">
        <f>1 - Audit[[#This Row],[K-M P Value]]</f>
        <v>0.89335335914803882</v>
      </c>
      <c r="BL987" s="18" t="str">
        <f>IF(Audit[[#This Row],[K-M P Value]]&gt;1-'General Info'!$B$12,"Continue", "Stop")</f>
        <v>Continue</v>
      </c>
      <c r="BM987" s="23" t="b">
        <f>IF(Audit[[#This Row],[Status - Continue or stop audit]] = "Continue", TRUE, IF(BL986 = "Continue", TRUE, FALSE))</f>
        <v>1</v>
      </c>
      <c r="BN987" s="23"/>
    </row>
    <row r="988" spans="1:66" ht="15" hidden="1" customHeight="1" x14ac:dyDescent="0.35">
      <c r="A988" s="18" t="str">
        <f>'Sampling Data'!AI988</f>
        <v/>
      </c>
      <c r="B988" s="18" t="str">
        <f>'Sampling Data'!A988</f>
        <v>6901 FAIRFX A   (ED)</v>
      </c>
      <c r="C988" s="18">
        <f>'Sampling Data'!B988</f>
        <v>62</v>
      </c>
      <c r="D988" s="18">
        <f>'Sampling Data'!C988</f>
        <v>12</v>
      </c>
      <c r="E988" s="19">
        <f>'Sampling Data'!D988</f>
        <v>0</v>
      </c>
      <c r="F988" s="19">
        <f>'Sampling Data'!E988</f>
        <v>0</v>
      </c>
      <c r="G988" s="19">
        <f>'Sampling Data'!F988</f>
        <v>0</v>
      </c>
      <c r="H988" s="19">
        <f>'Sampling Data'!G988</f>
        <v>0</v>
      </c>
      <c r="I988" s="19">
        <f>'Sampling Data'!H988</f>
        <v>0</v>
      </c>
      <c r="J988" s="19">
        <f>'Sampling Data'!I988</f>
        <v>0</v>
      </c>
      <c r="K988" s="19">
        <f>'Sampling Data'!J988</f>
        <v>0</v>
      </c>
      <c r="L988" s="19">
        <f>'Sampling Data'!K988</f>
        <v>0</v>
      </c>
      <c r="M988" s="19">
        <f>'Sampling Data'!L988</f>
        <v>0</v>
      </c>
      <c r="N988" s="19">
        <f>'Sampling Data'!M988</f>
        <v>0</v>
      </c>
      <c r="O988" s="18">
        <f>'Sampling Data'!N988</f>
        <v>0</v>
      </c>
      <c r="P988" s="18">
        <f>'Sampling Data'!O988</f>
        <v>2</v>
      </c>
      <c r="Q988" s="18">
        <f>'Sampling Data'!P988</f>
        <v>76</v>
      </c>
      <c r="R988" s="18">
        <f>'Sampling Data'!AJ988</f>
        <v>0</v>
      </c>
      <c r="S988" s="112"/>
      <c r="T988" s="112"/>
      <c r="U988" s="113"/>
      <c r="V988" s="113"/>
      <c r="W988" s="112"/>
      <c r="X988" s="112"/>
      <c r="Y988" s="112"/>
      <c r="Z988" s="112"/>
      <c r="AA988" s="15"/>
      <c r="AB988" s="15"/>
      <c r="AC988" s="15"/>
      <c r="AD988" s="15"/>
      <c r="AE988" s="114" t="str">
        <f>IF(NOT(ISBLANK(Audit[[#This Row],[Audit Winning Candidate]])), Audit[[#This Row],[Audit Winning Candidate]]-Audit[[#This Row],[Winning Candidate]], "")</f>
        <v/>
      </c>
      <c r="AF988" s="18" t="str">
        <f>IF(NOT(ISBLANK(Audit[[#This Row],[Audit Losing Candidate]])), Audit[[#This Row],[Audit Losing Candidate]]-Audit[[#This Row],[Losing Candidate]], "")</f>
        <v/>
      </c>
      <c r="AG988" s="18" t="str">
        <f>IF(NOT(ISBLANK(Audit[[#This Row],[Audit Candidate 3]])), Audit[[#This Row],[Audit Candidate 3]]-Audit[[#This Row],[Candidate 3]], "")</f>
        <v/>
      </c>
      <c r="AH988" s="18" t="str">
        <f>IF(NOT(ISBLANK(Audit[[#This Row],[Audit Candidate 4]])),Audit[[#This Row],[Audit Candidate 4]]-Audit[[#This Row],[Candidate 4]], "")</f>
        <v/>
      </c>
      <c r="AI988" s="18" t="str">
        <f>IF(NOT(ISBLANK(Audit[[#This Row],[Audit Candidate 5]])), Audit[[#This Row],[Audit Candidate 5]]-Audit[[#This Row],[Candidate 5]], "")</f>
        <v/>
      </c>
      <c r="AJ988" s="18" t="str">
        <f>IF(NOT(ISBLANK(Audit[[#This Row],[Audit Candidate 6]])), Audit[[#This Row],[Audit Candidate 6]]-Audit[[#This Row],[Candidate 6]], "")</f>
        <v/>
      </c>
      <c r="AK988" s="18" t="str">
        <f>IF(NOT(ISBLANK(Audit[[#This Row],[Audit Candidate 7]])), Audit[[#This Row],[Audit Candidate 7]]-Audit[[#This Row],[Candidate 7]], "")</f>
        <v/>
      </c>
      <c r="AL988" s="18" t="str">
        <f>IF(NOT(ISBLANK(Audit[[#This Row],[Audit Candidate 8]])), Audit[[#This Row],[Audit Candidate 8]]-Audit[[#This Row],[Candidate 8]], "")</f>
        <v/>
      </c>
      <c r="AM988" s="18" t="str">
        <f>IF(NOT(ISBLANK(Audit[[#This Row],[Audit Candidate 9]])), Audit[[#This Row],[Audit Candidate 9]]-Audit[[#This Row],[Candidate 9]], "")</f>
        <v/>
      </c>
      <c r="AN988" s="18" t="str">
        <f>IF(NOT(ISBLANK(Audit[[#This Row],[Audit Candidate 10]])), Audit[[#This Row],[Audit Candidate 10]]-Audit[[#This Row],[Candidate 10]], "")</f>
        <v/>
      </c>
      <c r="AO988" s="18" t="str">
        <f>IF(NOT(ISBLANK(Audit[[#This Row],[Audit Candidate 11]])), Audit[[#This Row],[Audit Candidate 11]]-Audit[[#This Row],[Candidate 11]], "")</f>
        <v/>
      </c>
      <c r="AP988" s="18" t="str">
        <f>IF(NOT(ISBLANK(Audit[[#This Row],[Audit Candidate 12]])), Audit[[#This Row],[Audit Candidate 12]]-Audit[[#This Row],[Candidate 12]], "")</f>
        <v/>
      </c>
      <c r="AQ988" s="18">
        <f>SUMIF(Audit[[#This Row],[Difference Winner]:[Difference Candidate 12]], "&gt;0")</f>
        <v>0</v>
      </c>
      <c r="AR988" s="18">
        <f>SUM(Audit[[#This Row],[Difference Winner]:[Difference Candidate 12]])</f>
        <v>0</v>
      </c>
      <c r="AS988" s="18">
        <f>IF(Audit[[#This Row],[Times p Drawn - With Replacement]]&gt;0, IF(Audit[[#This Row],[Canceled Differences]]&lt;0, Audit[[#This Row],[Max Differences]]+ABS(Audit[[#This Row],[Canceled Differences]]), Audit[[#This Row],[Max Differences]]), 0)</f>
        <v>0</v>
      </c>
      <c r="AT988" s="18">
        <f>'Sampling Data'!AB988</f>
        <v>3.9576593271979143E-3</v>
      </c>
      <c r="AU988" s="18">
        <f>IF(
      SUM(Audit[[#This Row],[Audit Losing Candidate]:[Audit Candidate 12]])
      &lt;&gt;0,
      (Audit[[#This Row],[Winning Candidate]]-Audit[[#This Row],[Losing Candidate]]-(Audit[[#This Row],[Audit Winning Candidate]]-Audit[[#This Row],[Audit Losing Candidate]]))/(Audit[[#Totals],[Winning Candidate]]-Audit[[#Totals],[Losing Candidate]]),
      0
)</f>
        <v>0</v>
      </c>
      <c r="AV9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8">
        <f>IF(Audit[[#This Row],[Max Relative Error (ep)]] = 0, 0, Audit[[#This Row],[Max Relative Error (ep)]]/Audit[[#This Row],[Error Bound (up) - Max. possible relative overstatement]])</f>
        <v>0</v>
      </c>
      <c r="BH9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8" s="18">
        <f t="shared" si="16"/>
        <v>1</v>
      </c>
      <c r="BJ988" s="18">
        <f>PRODUCT($BI$5:BI988)</f>
        <v>0.10664664085196122</v>
      </c>
      <c r="BK988" s="20">
        <f>1 - Audit[[#This Row],[K-M P Value]]</f>
        <v>0.89335335914803882</v>
      </c>
      <c r="BL988" s="18" t="str">
        <f>IF(Audit[[#This Row],[K-M P Value]]&gt;1-'General Info'!$B$12,"Continue", "Stop")</f>
        <v>Continue</v>
      </c>
      <c r="BM988" s="23" t="b">
        <f>IF(Audit[[#This Row],[Status - Continue or stop audit]] = "Continue", TRUE, IF(BL987 = "Continue", TRUE, FALSE))</f>
        <v>1</v>
      </c>
      <c r="BN988" s="23"/>
    </row>
    <row r="989" spans="1:66" ht="15" hidden="1" customHeight="1" x14ac:dyDescent="0.35">
      <c r="A989" s="18" t="str">
        <f>'Sampling Data'!AI989</f>
        <v/>
      </c>
      <c r="B989" s="18" t="str">
        <f>'Sampling Data'!A989</f>
        <v>7001 GLEN A   (ED)</v>
      </c>
      <c r="C989" s="18">
        <f>'Sampling Data'!B989</f>
        <v>85</v>
      </c>
      <c r="D989" s="18">
        <f>'Sampling Data'!C989</f>
        <v>15</v>
      </c>
      <c r="E989" s="19">
        <f>'Sampling Data'!D989</f>
        <v>0</v>
      </c>
      <c r="F989" s="19">
        <f>'Sampling Data'!E989</f>
        <v>0</v>
      </c>
      <c r="G989" s="19">
        <f>'Sampling Data'!F989</f>
        <v>0</v>
      </c>
      <c r="H989" s="19">
        <f>'Sampling Data'!G989</f>
        <v>0</v>
      </c>
      <c r="I989" s="19">
        <f>'Sampling Data'!H989</f>
        <v>0</v>
      </c>
      <c r="J989" s="19">
        <f>'Sampling Data'!I989</f>
        <v>0</v>
      </c>
      <c r="K989" s="19">
        <f>'Sampling Data'!J989</f>
        <v>0</v>
      </c>
      <c r="L989" s="19">
        <f>'Sampling Data'!K989</f>
        <v>0</v>
      </c>
      <c r="M989" s="19">
        <f>'Sampling Data'!L989</f>
        <v>0</v>
      </c>
      <c r="N989" s="19">
        <f>'Sampling Data'!M989</f>
        <v>0</v>
      </c>
      <c r="O989" s="18">
        <f>'Sampling Data'!N989</f>
        <v>0</v>
      </c>
      <c r="P989" s="18">
        <f>'Sampling Data'!O989</f>
        <v>1</v>
      </c>
      <c r="Q989" s="18">
        <f>'Sampling Data'!P989</f>
        <v>101</v>
      </c>
      <c r="R989" s="18">
        <f>'Sampling Data'!AJ989</f>
        <v>0</v>
      </c>
      <c r="S989" s="112"/>
      <c r="T989" s="112"/>
      <c r="U989" s="113"/>
      <c r="V989" s="113"/>
      <c r="W989" s="112"/>
      <c r="X989" s="112"/>
      <c r="Y989" s="112"/>
      <c r="Z989" s="112"/>
      <c r="AA989" s="15"/>
      <c r="AB989" s="15"/>
      <c r="AC989" s="15"/>
      <c r="AD989" s="15"/>
      <c r="AE989" s="114" t="str">
        <f>IF(NOT(ISBLANK(Audit[[#This Row],[Audit Winning Candidate]])), Audit[[#This Row],[Audit Winning Candidate]]-Audit[[#This Row],[Winning Candidate]], "")</f>
        <v/>
      </c>
      <c r="AF989" s="18" t="str">
        <f>IF(NOT(ISBLANK(Audit[[#This Row],[Audit Losing Candidate]])), Audit[[#This Row],[Audit Losing Candidate]]-Audit[[#This Row],[Losing Candidate]], "")</f>
        <v/>
      </c>
      <c r="AG989" s="18" t="str">
        <f>IF(NOT(ISBLANK(Audit[[#This Row],[Audit Candidate 3]])), Audit[[#This Row],[Audit Candidate 3]]-Audit[[#This Row],[Candidate 3]], "")</f>
        <v/>
      </c>
      <c r="AH989" s="18" t="str">
        <f>IF(NOT(ISBLANK(Audit[[#This Row],[Audit Candidate 4]])),Audit[[#This Row],[Audit Candidate 4]]-Audit[[#This Row],[Candidate 4]], "")</f>
        <v/>
      </c>
      <c r="AI989" s="18" t="str">
        <f>IF(NOT(ISBLANK(Audit[[#This Row],[Audit Candidate 5]])), Audit[[#This Row],[Audit Candidate 5]]-Audit[[#This Row],[Candidate 5]], "")</f>
        <v/>
      </c>
      <c r="AJ989" s="18" t="str">
        <f>IF(NOT(ISBLANK(Audit[[#This Row],[Audit Candidate 6]])), Audit[[#This Row],[Audit Candidate 6]]-Audit[[#This Row],[Candidate 6]], "")</f>
        <v/>
      </c>
      <c r="AK989" s="18" t="str">
        <f>IF(NOT(ISBLANK(Audit[[#This Row],[Audit Candidate 7]])), Audit[[#This Row],[Audit Candidate 7]]-Audit[[#This Row],[Candidate 7]], "")</f>
        <v/>
      </c>
      <c r="AL989" s="18" t="str">
        <f>IF(NOT(ISBLANK(Audit[[#This Row],[Audit Candidate 8]])), Audit[[#This Row],[Audit Candidate 8]]-Audit[[#This Row],[Candidate 8]], "")</f>
        <v/>
      </c>
      <c r="AM989" s="18" t="str">
        <f>IF(NOT(ISBLANK(Audit[[#This Row],[Audit Candidate 9]])), Audit[[#This Row],[Audit Candidate 9]]-Audit[[#This Row],[Candidate 9]], "")</f>
        <v/>
      </c>
      <c r="AN989" s="18" t="str">
        <f>IF(NOT(ISBLANK(Audit[[#This Row],[Audit Candidate 10]])), Audit[[#This Row],[Audit Candidate 10]]-Audit[[#This Row],[Candidate 10]], "")</f>
        <v/>
      </c>
      <c r="AO989" s="18" t="str">
        <f>IF(NOT(ISBLANK(Audit[[#This Row],[Audit Candidate 11]])), Audit[[#This Row],[Audit Candidate 11]]-Audit[[#This Row],[Candidate 11]], "")</f>
        <v/>
      </c>
      <c r="AP989" s="18" t="str">
        <f>IF(NOT(ISBLANK(Audit[[#This Row],[Audit Candidate 12]])), Audit[[#This Row],[Audit Candidate 12]]-Audit[[#This Row],[Candidate 12]], "")</f>
        <v/>
      </c>
      <c r="AQ989" s="18">
        <f>SUMIF(Audit[[#This Row],[Difference Winner]:[Difference Candidate 12]], "&gt;0")</f>
        <v>0</v>
      </c>
      <c r="AR989" s="18">
        <f>SUM(Audit[[#This Row],[Difference Winner]:[Difference Candidate 12]])</f>
        <v>0</v>
      </c>
      <c r="AS989" s="18">
        <f>IF(Audit[[#This Row],[Times p Drawn - With Replacement]]&gt;0, IF(Audit[[#This Row],[Canceled Differences]]&lt;0, Audit[[#This Row],[Max Differences]]+ABS(Audit[[#This Row],[Canceled Differences]]), Audit[[#This Row],[Max Differences]]), 0)</f>
        <v>0</v>
      </c>
      <c r="AT989" s="18">
        <f>'Sampling Data'!AB989</f>
        <v>5.3711090869114552E-3</v>
      </c>
      <c r="AU989" s="18">
        <f>IF(
      SUM(Audit[[#This Row],[Audit Losing Candidate]:[Audit Candidate 12]])
      &lt;&gt;0,
      (Audit[[#This Row],[Winning Candidate]]-Audit[[#This Row],[Losing Candidate]]-(Audit[[#This Row],[Audit Winning Candidate]]-Audit[[#This Row],[Audit Losing Candidate]]))/(Audit[[#Totals],[Winning Candidate]]-Audit[[#Totals],[Losing Candidate]]),
      0
)</f>
        <v>0</v>
      </c>
      <c r="AV9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8">
        <f>IF(Audit[[#This Row],[Max Relative Error (ep)]] = 0, 0, Audit[[#This Row],[Max Relative Error (ep)]]/Audit[[#This Row],[Error Bound (up) - Max. possible relative overstatement]])</f>
        <v>0</v>
      </c>
      <c r="BH9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89" s="18">
        <f t="shared" si="16"/>
        <v>1</v>
      </c>
      <c r="BJ989" s="18">
        <f>PRODUCT($BI$5:BI989)</f>
        <v>0.10664664085196122</v>
      </c>
      <c r="BK989" s="20">
        <f>1 - Audit[[#This Row],[K-M P Value]]</f>
        <v>0.89335335914803882</v>
      </c>
      <c r="BL989" s="18" t="str">
        <f>IF(Audit[[#This Row],[K-M P Value]]&gt;1-'General Info'!$B$12,"Continue", "Stop")</f>
        <v>Continue</v>
      </c>
      <c r="BM989" s="23" t="b">
        <f>IF(Audit[[#This Row],[Status - Continue or stop audit]] = "Continue", TRUE, IF(BL988 = "Continue", TRUE, FALSE))</f>
        <v>1</v>
      </c>
      <c r="BN989" s="23"/>
    </row>
    <row r="990" spans="1:66" ht="15" hidden="1" customHeight="1" x14ac:dyDescent="0.35">
      <c r="A990" s="18" t="str">
        <f>'Sampling Data'!AI990</f>
        <v/>
      </c>
      <c r="B990" s="18" t="str">
        <f>'Sampling Data'!A990</f>
        <v>7002 GLEN B   (ED)</v>
      </c>
      <c r="C990" s="18">
        <f>'Sampling Data'!B990</f>
        <v>78</v>
      </c>
      <c r="D990" s="18">
        <f>'Sampling Data'!C990</f>
        <v>22</v>
      </c>
      <c r="E990" s="19">
        <f>'Sampling Data'!D990</f>
        <v>0</v>
      </c>
      <c r="F990" s="19">
        <f>'Sampling Data'!E990</f>
        <v>0</v>
      </c>
      <c r="G990" s="19">
        <f>'Sampling Data'!F990</f>
        <v>0</v>
      </c>
      <c r="H990" s="19">
        <f>'Sampling Data'!G990</f>
        <v>0</v>
      </c>
      <c r="I990" s="19">
        <f>'Sampling Data'!H990</f>
        <v>0</v>
      </c>
      <c r="J990" s="19">
        <f>'Sampling Data'!I990</f>
        <v>0</v>
      </c>
      <c r="K990" s="19">
        <f>'Sampling Data'!J990</f>
        <v>0</v>
      </c>
      <c r="L990" s="19">
        <f>'Sampling Data'!K990</f>
        <v>0</v>
      </c>
      <c r="M990" s="19">
        <f>'Sampling Data'!L990</f>
        <v>0</v>
      </c>
      <c r="N990" s="19">
        <f>'Sampling Data'!M990</f>
        <v>0</v>
      </c>
      <c r="O990" s="18">
        <f>'Sampling Data'!N990</f>
        <v>0</v>
      </c>
      <c r="P990" s="18">
        <f>'Sampling Data'!O990</f>
        <v>2</v>
      </c>
      <c r="Q990" s="18">
        <f>'Sampling Data'!P990</f>
        <v>102</v>
      </c>
      <c r="R990" s="18">
        <f>'Sampling Data'!AJ990</f>
        <v>0</v>
      </c>
      <c r="S990" s="112"/>
      <c r="T990" s="112"/>
      <c r="U990" s="113"/>
      <c r="V990" s="113"/>
      <c r="W990" s="112"/>
      <c r="X990" s="112"/>
      <c r="Y990" s="112"/>
      <c r="Z990" s="112"/>
      <c r="AA990" s="15"/>
      <c r="AB990" s="15"/>
      <c r="AC990" s="15"/>
      <c r="AD990" s="15"/>
      <c r="AE990" s="114" t="str">
        <f>IF(NOT(ISBLANK(Audit[[#This Row],[Audit Winning Candidate]])), Audit[[#This Row],[Audit Winning Candidate]]-Audit[[#This Row],[Winning Candidate]], "")</f>
        <v/>
      </c>
      <c r="AF990" s="18" t="str">
        <f>IF(NOT(ISBLANK(Audit[[#This Row],[Audit Losing Candidate]])), Audit[[#This Row],[Audit Losing Candidate]]-Audit[[#This Row],[Losing Candidate]], "")</f>
        <v/>
      </c>
      <c r="AG990" s="18" t="str">
        <f>IF(NOT(ISBLANK(Audit[[#This Row],[Audit Candidate 3]])), Audit[[#This Row],[Audit Candidate 3]]-Audit[[#This Row],[Candidate 3]], "")</f>
        <v/>
      </c>
      <c r="AH990" s="18" t="str">
        <f>IF(NOT(ISBLANK(Audit[[#This Row],[Audit Candidate 4]])),Audit[[#This Row],[Audit Candidate 4]]-Audit[[#This Row],[Candidate 4]], "")</f>
        <v/>
      </c>
      <c r="AI990" s="18" t="str">
        <f>IF(NOT(ISBLANK(Audit[[#This Row],[Audit Candidate 5]])), Audit[[#This Row],[Audit Candidate 5]]-Audit[[#This Row],[Candidate 5]], "")</f>
        <v/>
      </c>
      <c r="AJ990" s="18" t="str">
        <f>IF(NOT(ISBLANK(Audit[[#This Row],[Audit Candidate 6]])), Audit[[#This Row],[Audit Candidate 6]]-Audit[[#This Row],[Candidate 6]], "")</f>
        <v/>
      </c>
      <c r="AK990" s="18" t="str">
        <f>IF(NOT(ISBLANK(Audit[[#This Row],[Audit Candidate 7]])), Audit[[#This Row],[Audit Candidate 7]]-Audit[[#This Row],[Candidate 7]], "")</f>
        <v/>
      </c>
      <c r="AL990" s="18" t="str">
        <f>IF(NOT(ISBLANK(Audit[[#This Row],[Audit Candidate 8]])), Audit[[#This Row],[Audit Candidate 8]]-Audit[[#This Row],[Candidate 8]], "")</f>
        <v/>
      </c>
      <c r="AM990" s="18" t="str">
        <f>IF(NOT(ISBLANK(Audit[[#This Row],[Audit Candidate 9]])), Audit[[#This Row],[Audit Candidate 9]]-Audit[[#This Row],[Candidate 9]], "")</f>
        <v/>
      </c>
      <c r="AN990" s="18" t="str">
        <f>IF(NOT(ISBLANK(Audit[[#This Row],[Audit Candidate 10]])), Audit[[#This Row],[Audit Candidate 10]]-Audit[[#This Row],[Candidate 10]], "")</f>
        <v/>
      </c>
      <c r="AO990" s="18" t="str">
        <f>IF(NOT(ISBLANK(Audit[[#This Row],[Audit Candidate 11]])), Audit[[#This Row],[Audit Candidate 11]]-Audit[[#This Row],[Candidate 11]], "")</f>
        <v/>
      </c>
      <c r="AP990" s="18" t="str">
        <f>IF(NOT(ISBLANK(Audit[[#This Row],[Audit Candidate 12]])), Audit[[#This Row],[Audit Candidate 12]]-Audit[[#This Row],[Candidate 12]], "")</f>
        <v/>
      </c>
      <c r="AQ990" s="18">
        <f>SUMIF(Audit[[#This Row],[Difference Winner]:[Difference Candidate 12]], "&gt;0")</f>
        <v>0</v>
      </c>
      <c r="AR990" s="18">
        <f>SUM(Audit[[#This Row],[Difference Winner]:[Difference Candidate 12]])</f>
        <v>0</v>
      </c>
      <c r="AS990" s="18">
        <f>IF(Audit[[#This Row],[Times p Drawn - With Replacement]]&gt;0, IF(Audit[[#This Row],[Canceled Differences]]&lt;0, Audit[[#This Row],[Max Differences]]+ABS(Audit[[#This Row],[Canceled Differences]]), Audit[[#This Row],[Max Differences]]), 0)</f>
        <v>0</v>
      </c>
      <c r="AT990" s="18">
        <f>'Sampling Data'!AB990</f>
        <v>4.9627791563275434E-3</v>
      </c>
      <c r="AU990" s="18">
        <f>IF(
      SUM(Audit[[#This Row],[Audit Losing Candidate]:[Audit Candidate 12]])
      &lt;&gt;0,
      (Audit[[#This Row],[Winning Candidate]]-Audit[[#This Row],[Losing Candidate]]-(Audit[[#This Row],[Audit Winning Candidate]]-Audit[[#This Row],[Audit Losing Candidate]]))/(Audit[[#Totals],[Winning Candidate]]-Audit[[#Totals],[Losing Candidate]]),
      0
)</f>
        <v>0</v>
      </c>
      <c r="AV9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8">
        <f>IF(Audit[[#This Row],[Max Relative Error (ep)]] = 0, 0, Audit[[#This Row],[Max Relative Error (ep)]]/Audit[[#This Row],[Error Bound (up) - Max. possible relative overstatement]])</f>
        <v>0</v>
      </c>
      <c r="BH9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0" s="18">
        <f t="shared" si="16"/>
        <v>1</v>
      </c>
      <c r="BJ990" s="18">
        <f>PRODUCT($BI$5:BI990)</f>
        <v>0.10664664085196122</v>
      </c>
      <c r="BK990" s="20">
        <f>1 - Audit[[#This Row],[K-M P Value]]</f>
        <v>0.89335335914803882</v>
      </c>
      <c r="BL990" s="18" t="str">
        <f>IF(Audit[[#This Row],[K-M P Value]]&gt;1-'General Info'!$B$12,"Continue", "Stop")</f>
        <v>Continue</v>
      </c>
      <c r="BM990" s="23" t="b">
        <f>IF(Audit[[#This Row],[Status - Continue or stop audit]] = "Continue", TRUE, IF(BL989 = "Continue", TRUE, FALSE))</f>
        <v>1</v>
      </c>
      <c r="BN990" s="23"/>
    </row>
    <row r="991" spans="1:66" ht="15" hidden="1" customHeight="1" x14ac:dyDescent="0.35">
      <c r="A991" s="18" t="str">
        <f>'Sampling Data'!AI991</f>
        <v/>
      </c>
      <c r="B991" s="18" t="str">
        <f>'Sampling Data'!A991</f>
        <v>7101 GOLF A   (ED)</v>
      </c>
      <c r="C991" s="18">
        <f>'Sampling Data'!B991</f>
        <v>37</v>
      </c>
      <c r="D991" s="18">
        <f>'Sampling Data'!C991</f>
        <v>1</v>
      </c>
      <c r="E991" s="19">
        <f>'Sampling Data'!D991</f>
        <v>0</v>
      </c>
      <c r="F991" s="19">
        <f>'Sampling Data'!E991</f>
        <v>0</v>
      </c>
      <c r="G991" s="19">
        <f>'Sampling Data'!F991</f>
        <v>0</v>
      </c>
      <c r="H991" s="19">
        <f>'Sampling Data'!G991</f>
        <v>0</v>
      </c>
      <c r="I991" s="19">
        <f>'Sampling Data'!H991</f>
        <v>0</v>
      </c>
      <c r="J991" s="19">
        <f>'Sampling Data'!I991</f>
        <v>0</v>
      </c>
      <c r="K991" s="19">
        <f>'Sampling Data'!J991</f>
        <v>0</v>
      </c>
      <c r="L991" s="19">
        <f>'Sampling Data'!K991</f>
        <v>0</v>
      </c>
      <c r="M991" s="19">
        <f>'Sampling Data'!L991</f>
        <v>0</v>
      </c>
      <c r="N991" s="19">
        <f>'Sampling Data'!M991</f>
        <v>0</v>
      </c>
      <c r="O991" s="18">
        <f>'Sampling Data'!N991</f>
        <v>0</v>
      </c>
      <c r="P991" s="18">
        <f>'Sampling Data'!O991</f>
        <v>1</v>
      </c>
      <c r="Q991" s="18">
        <f>'Sampling Data'!P991</f>
        <v>39</v>
      </c>
      <c r="R991" s="18">
        <f>'Sampling Data'!AJ991</f>
        <v>0</v>
      </c>
      <c r="S991" s="112"/>
      <c r="T991" s="112"/>
      <c r="U991" s="113"/>
      <c r="V991" s="113"/>
      <c r="W991" s="112"/>
      <c r="X991" s="112"/>
      <c r="Y991" s="112"/>
      <c r="Z991" s="112"/>
      <c r="AA991" s="15"/>
      <c r="AB991" s="15"/>
      <c r="AC991" s="15"/>
      <c r="AD991" s="15"/>
      <c r="AE991" s="114" t="str">
        <f>IF(NOT(ISBLANK(Audit[[#This Row],[Audit Winning Candidate]])), Audit[[#This Row],[Audit Winning Candidate]]-Audit[[#This Row],[Winning Candidate]], "")</f>
        <v/>
      </c>
      <c r="AF991" s="18" t="str">
        <f>IF(NOT(ISBLANK(Audit[[#This Row],[Audit Losing Candidate]])), Audit[[#This Row],[Audit Losing Candidate]]-Audit[[#This Row],[Losing Candidate]], "")</f>
        <v/>
      </c>
      <c r="AG991" s="18" t="str">
        <f>IF(NOT(ISBLANK(Audit[[#This Row],[Audit Candidate 3]])), Audit[[#This Row],[Audit Candidate 3]]-Audit[[#This Row],[Candidate 3]], "")</f>
        <v/>
      </c>
      <c r="AH991" s="18" t="str">
        <f>IF(NOT(ISBLANK(Audit[[#This Row],[Audit Candidate 4]])),Audit[[#This Row],[Audit Candidate 4]]-Audit[[#This Row],[Candidate 4]], "")</f>
        <v/>
      </c>
      <c r="AI991" s="18" t="str">
        <f>IF(NOT(ISBLANK(Audit[[#This Row],[Audit Candidate 5]])), Audit[[#This Row],[Audit Candidate 5]]-Audit[[#This Row],[Candidate 5]], "")</f>
        <v/>
      </c>
      <c r="AJ991" s="18" t="str">
        <f>IF(NOT(ISBLANK(Audit[[#This Row],[Audit Candidate 6]])), Audit[[#This Row],[Audit Candidate 6]]-Audit[[#This Row],[Candidate 6]], "")</f>
        <v/>
      </c>
      <c r="AK991" s="18" t="str">
        <f>IF(NOT(ISBLANK(Audit[[#This Row],[Audit Candidate 7]])), Audit[[#This Row],[Audit Candidate 7]]-Audit[[#This Row],[Candidate 7]], "")</f>
        <v/>
      </c>
      <c r="AL991" s="18" t="str">
        <f>IF(NOT(ISBLANK(Audit[[#This Row],[Audit Candidate 8]])), Audit[[#This Row],[Audit Candidate 8]]-Audit[[#This Row],[Candidate 8]], "")</f>
        <v/>
      </c>
      <c r="AM991" s="18" t="str">
        <f>IF(NOT(ISBLANK(Audit[[#This Row],[Audit Candidate 9]])), Audit[[#This Row],[Audit Candidate 9]]-Audit[[#This Row],[Candidate 9]], "")</f>
        <v/>
      </c>
      <c r="AN991" s="18" t="str">
        <f>IF(NOT(ISBLANK(Audit[[#This Row],[Audit Candidate 10]])), Audit[[#This Row],[Audit Candidate 10]]-Audit[[#This Row],[Candidate 10]], "")</f>
        <v/>
      </c>
      <c r="AO991" s="18" t="str">
        <f>IF(NOT(ISBLANK(Audit[[#This Row],[Audit Candidate 11]])), Audit[[#This Row],[Audit Candidate 11]]-Audit[[#This Row],[Candidate 11]], "")</f>
        <v/>
      </c>
      <c r="AP991" s="18" t="str">
        <f>IF(NOT(ISBLANK(Audit[[#This Row],[Audit Candidate 12]])), Audit[[#This Row],[Audit Candidate 12]]-Audit[[#This Row],[Candidate 12]], "")</f>
        <v/>
      </c>
      <c r="AQ991" s="18">
        <f>SUMIF(Audit[[#This Row],[Difference Winner]:[Difference Candidate 12]], "&gt;0")</f>
        <v>0</v>
      </c>
      <c r="AR991" s="18">
        <f>SUM(Audit[[#This Row],[Difference Winner]:[Difference Candidate 12]])</f>
        <v>0</v>
      </c>
      <c r="AS991" s="18">
        <f>IF(Audit[[#This Row],[Times p Drawn - With Replacement]]&gt;0, IF(Audit[[#This Row],[Canceled Differences]]&lt;0, Audit[[#This Row],[Max Differences]]+ABS(Audit[[#This Row],[Canceled Differences]]), Audit[[#This Row],[Max Differences]]), 0)</f>
        <v>0</v>
      </c>
      <c r="AT991" s="18">
        <f>'Sampling Data'!AB991</f>
        <v>2.3557495995225682E-3</v>
      </c>
      <c r="AU991" s="18">
        <f>IF(
      SUM(Audit[[#This Row],[Audit Losing Candidate]:[Audit Candidate 12]])
      &lt;&gt;0,
      (Audit[[#This Row],[Winning Candidate]]-Audit[[#This Row],[Losing Candidate]]-(Audit[[#This Row],[Audit Winning Candidate]]-Audit[[#This Row],[Audit Losing Candidate]]))/(Audit[[#Totals],[Winning Candidate]]-Audit[[#Totals],[Losing Candidate]]),
      0
)</f>
        <v>0</v>
      </c>
      <c r="AV9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8">
        <f>IF(Audit[[#This Row],[Max Relative Error (ep)]] = 0, 0, Audit[[#This Row],[Max Relative Error (ep)]]/Audit[[#This Row],[Error Bound (up) - Max. possible relative overstatement]])</f>
        <v>0</v>
      </c>
      <c r="BH9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1" s="18">
        <f t="shared" si="16"/>
        <v>1</v>
      </c>
      <c r="BJ991" s="18">
        <f>PRODUCT($BI$5:BI991)</f>
        <v>0.10664664085196122</v>
      </c>
      <c r="BK991" s="20">
        <f>1 - Audit[[#This Row],[K-M P Value]]</f>
        <v>0.89335335914803882</v>
      </c>
      <c r="BL991" s="18" t="str">
        <f>IF(Audit[[#This Row],[K-M P Value]]&gt;1-'General Info'!$B$12,"Continue", "Stop")</f>
        <v>Continue</v>
      </c>
      <c r="BM991" s="23" t="b">
        <f>IF(Audit[[#This Row],[Status - Continue or stop audit]] = "Continue", TRUE, IF(BL990 = "Continue", TRUE, FALSE))</f>
        <v>1</v>
      </c>
      <c r="BN991" s="23"/>
    </row>
    <row r="992" spans="1:66" ht="15" hidden="1" customHeight="1" x14ac:dyDescent="0.35">
      <c r="A992" s="18" t="str">
        <f>'Sampling Data'!AI992</f>
        <v/>
      </c>
      <c r="B992" s="18" t="str">
        <f>'Sampling Data'!A992</f>
        <v>7102 GOLF B   (ED)</v>
      </c>
      <c r="C992" s="18">
        <f>'Sampling Data'!B992</f>
        <v>8</v>
      </c>
      <c r="D992" s="18">
        <f>'Sampling Data'!C992</f>
        <v>4</v>
      </c>
      <c r="E992" s="19">
        <f>'Sampling Data'!D992</f>
        <v>0</v>
      </c>
      <c r="F992" s="19">
        <f>'Sampling Data'!E992</f>
        <v>0</v>
      </c>
      <c r="G992" s="19">
        <f>'Sampling Data'!F992</f>
        <v>0</v>
      </c>
      <c r="H992" s="19">
        <f>'Sampling Data'!G992</f>
        <v>0</v>
      </c>
      <c r="I992" s="19">
        <f>'Sampling Data'!H992</f>
        <v>0</v>
      </c>
      <c r="J992" s="19">
        <f>'Sampling Data'!I992</f>
        <v>0</v>
      </c>
      <c r="K992" s="19">
        <f>'Sampling Data'!J992</f>
        <v>0</v>
      </c>
      <c r="L992" s="19">
        <f>'Sampling Data'!K992</f>
        <v>0</v>
      </c>
      <c r="M992" s="19">
        <f>'Sampling Data'!L992</f>
        <v>0</v>
      </c>
      <c r="N992" s="19">
        <f>'Sampling Data'!M992</f>
        <v>0</v>
      </c>
      <c r="O992" s="18">
        <f>'Sampling Data'!N992</f>
        <v>0</v>
      </c>
      <c r="P992" s="18">
        <f>'Sampling Data'!O992</f>
        <v>0</v>
      </c>
      <c r="Q992" s="18">
        <f>'Sampling Data'!P992</f>
        <v>12</v>
      </c>
      <c r="R992" s="18">
        <f>'Sampling Data'!AJ992</f>
        <v>0</v>
      </c>
      <c r="S992" s="112"/>
      <c r="T992" s="112"/>
      <c r="U992" s="113"/>
      <c r="V992" s="113"/>
      <c r="W992" s="112"/>
      <c r="X992" s="112"/>
      <c r="Y992" s="112"/>
      <c r="Z992" s="112"/>
      <c r="AA992" s="15"/>
      <c r="AB992" s="15"/>
      <c r="AC992" s="15"/>
      <c r="AD992" s="15"/>
      <c r="AE992" s="114" t="str">
        <f>IF(NOT(ISBLANK(Audit[[#This Row],[Audit Winning Candidate]])), Audit[[#This Row],[Audit Winning Candidate]]-Audit[[#This Row],[Winning Candidate]], "")</f>
        <v/>
      </c>
      <c r="AF992" s="18" t="str">
        <f>IF(NOT(ISBLANK(Audit[[#This Row],[Audit Losing Candidate]])), Audit[[#This Row],[Audit Losing Candidate]]-Audit[[#This Row],[Losing Candidate]], "")</f>
        <v/>
      </c>
      <c r="AG992" s="18" t="str">
        <f>IF(NOT(ISBLANK(Audit[[#This Row],[Audit Candidate 3]])), Audit[[#This Row],[Audit Candidate 3]]-Audit[[#This Row],[Candidate 3]], "")</f>
        <v/>
      </c>
      <c r="AH992" s="18" t="str">
        <f>IF(NOT(ISBLANK(Audit[[#This Row],[Audit Candidate 4]])),Audit[[#This Row],[Audit Candidate 4]]-Audit[[#This Row],[Candidate 4]], "")</f>
        <v/>
      </c>
      <c r="AI992" s="18" t="str">
        <f>IF(NOT(ISBLANK(Audit[[#This Row],[Audit Candidate 5]])), Audit[[#This Row],[Audit Candidate 5]]-Audit[[#This Row],[Candidate 5]], "")</f>
        <v/>
      </c>
      <c r="AJ992" s="18" t="str">
        <f>IF(NOT(ISBLANK(Audit[[#This Row],[Audit Candidate 6]])), Audit[[#This Row],[Audit Candidate 6]]-Audit[[#This Row],[Candidate 6]], "")</f>
        <v/>
      </c>
      <c r="AK992" s="18" t="str">
        <f>IF(NOT(ISBLANK(Audit[[#This Row],[Audit Candidate 7]])), Audit[[#This Row],[Audit Candidate 7]]-Audit[[#This Row],[Candidate 7]], "")</f>
        <v/>
      </c>
      <c r="AL992" s="18" t="str">
        <f>IF(NOT(ISBLANK(Audit[[#This Row],[Audit Candidate 8]])), Audit[[#This Row],[Audit Candidate 8]]-Audit[[#This Row],[Candidate 8]], "")</f>
        <v/>
      </c>
      <c r="AM992" s="18" t="str">
        <f>IF(NOT(ISBLANK(Audit[[#This Row],[Audit Candidate 9]])), Audit[[#This Row],[Audit Candidate 9]]-Audit[[#This Row],[Candidate 9]], "")</f>
        <v/>
      </c>
      <c r="AN992" s="18" t="str">
        <f>IF(NOT(ISBLANK(Audit[[#This Row],[Audit Candidate 10]])), Audit[[#This Row],[Audit Candidate 10]]-Audit[[#This Row],[Candidate 10]], "")</f>
        <v/>
      </c>
      <c r="AO992" s="18" t="str">
        <f>IF(NOT(ISBLANK(Audit[[#This Row],[Audit Candidate 11]])), Audit[[#This Row],[Audit Candidate 11]]-Audit[[#This Row],[Candidate 11]], "")</f>
        <v/>
      </c>
      <c r="AP992" s="18" t="str">
        <f>IF(NOT(ISBLANK(Audit[[#This Row],[Audit Candidate 12]])), Audit[[#This Row],[Audit Candidate 12]]-Audit[[#This Row],[Candidate 12]], "")</f>
        <v/>
      </c>
      <c r="AQ992" s="18">
        <f>SUMIF(Audit[[#This Row],[Difference Winner]:[Difference Candidate 12]], "&gt;0")</f>
        <v>0</v>
      </c>
      <c r="AR992" s="18">
        <f>SUM(Audit[[#This Row],[Difference Winner]:[Difference Candidate 12]])</f>
        <v>0</v>
      </c>
      <c r="AS992" s="18">
        <f>IF(Audit[[#This Row],[Times p Drawn - With Replacement]]&gt;0, IF(Audit[[#This Row],[Canceled Differences]]&lt;0, Audit[[#This Row],[Max Differences]]+ABS(Audit[[#This Row],[Canceled Differences]]), Audit[[#This Row],[Max Differences]]), 0)</f>
        <v>0</v>
      </c>
      <c r="AT992" s="18">
        <f>'Sampling Data'!AB992</f>
        <v>5.0255991456481448E-4</v>
      </c>
      <c r="AU992" s="18">
        <f>IF(
      SUM(Audit[[#This Row],[Audit Losing Candidate]:[Audit Candidate 12]])
      &lt;&gt;0,
      (Audit[[#This Row],[Winning Candidate]]-Audit[[#This Row],[Losing Candidate]]-(Audit[[#This Row],[Audit Winning Candidate]]-Audit[[#This Row],[Audit Losing Candidate]]))/(Audit[[#Totals],[Winning Candidate]]-Audit[[#Totals],[Losing Candidate]]),
      0
)</f>
        <v>0</v>
      </c>
      <c r="AV9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8">
        <f>IF(Audit[[#This Row],[Max Relative Error (ep)]] = 0, 0, Audit[[#This Row],[Max Relative Error (ep)]]/Audit[[#This Row],[Error Bound (up) - Max. possible relative overstatement]])</f>
        <v>0</v>
      </c>
      <c r="BH9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2" s="18">
        <f t="shared" si="16"/>
        <v>1</v>
      </c>
      <c r="BJ992" s="18">
        <f>PRODUCT($BI$5:BI992)</f>
        <v>0.10664664085196122</v>
      </c>
      <c r="BK992" s="20">
        <f>1 - Audit[[#This Row],[K-M P Value]]</f>
        <v>0.89335335914803882</v>
      </c>
      <c r="BL992" s="18" t="str">
        <f>IF(Audit[[#This Row],[K-M P Value]]&gt;1-'General Info'!$B$12,"Continue", "Stop")</f>
        <v>Continue</v>
      </c>
      <c r="BM992" s="23" t="b">
        <f>IF(Audit[[#This Row],[Status - Continue or stop audit]] = "Continue", TRUE, IF(BL991 = "Continue", TRUE, FALSE))</f>
        <v>1</v>
      </c>
      <c r="BN992" s="23"/>
    </row>
    <row r="993" spans="1:66" ht="15" hidden="1" customHeight="1" x14ac:dyDescent="0.35">
      <c r="A993" s="18" t="str">
        <f>'Sampling Data'!AI993</f>
        <v/>
      </c>
      <c r="B993" s="18" t="str">
        <f>'Sampling Data'!A993</f>
        <v>7301 GREEN A   (ED)</v>
      </c>
      <c r="C993" s="18">
        <f>'Sampling Data'!B993</f>
        <v>109</v>
      </c>
      <c r="D993" s="18">
        <f>'Sampling Data'!C993</f>
        <v>13</v>
      </c>
      <c r="E993" s="19">
        <f>'Sampling Data'!D993</f>
        <v>0</v>
      </c>
      <c r="F993" s="19">
        <f>'Sampling Data'!E993</f>
        <v>0</v>
      </c>
      <c r="G993" s="19">
        <f>'Sampling Data'!F993</f>
        <v>0</v>
      </c>
      <c r="H993" s="19">
        <f>'Sampling Data'!G993</f>
        <v>0</v>
      </c>
      <c r="I993" s="19">
        <f>'Sampling Data'!H993</f>
        <v>0</v>
      </c>
      <c r="J993" s="19">
        <f>'Sampling Data'!I993</f>
        <v>0</v>
      </c>
      <c r="K993" s="19">
        <f>'Sampling Data'!J993</f>
        <v>0</v>
      </c>
      <c r="L993" s="19">
        <f>'Sampling Data'!K993</f>
        <v>0</v>
      </c>
      <c r="M993" s="19">
        <f>'Sampling Data'!L993</f>
        <v>0</v>
      </c>
      <c r="N993" s="19">
        <f>'Sampling Data'!M993</f>
        <v>0</v>
      </c>
      <c r="O993" s="18">
        <f>'Sampling Data'!N993</f>
        <v>0</v>
      </c>
      <c r="P993" s="18">
        <f>'Sampling Data'!O993</f>
        <v>0</v>
      </c>
      <c r="Q993" s="18">
        <f>'Sampling Data'!P993</f>
        <v>122</v>
      </c>
      <c r="R993" s="18">
        <f>'Sampling Data'!AJ993</f>
        <v>0</v>
      </c>
      <c r="S993" s="112"/>
      <c r="T993" s="112"/>
      <c r="U993" s="113"/>
      <c r="V993" s="113"/>
      <c r="W993" s="112"/>
      <c r="X993" s="112"/>
      <c r="Y993" s="112"/>
      <c r="Z993" s="112"/>
      <c r="AA993" s="15"/>
      <c r="AB993" s="15"/>
      <c r="AC993" s="15"/>
      <c r="AD993" s="15"/>
      <c r="AE993" s="114" t="str">
        <f>IF(NOT(ISBLANK(Audit[[#This Row],[Audit Winning Candidate]])), Audit[[#This Row],[Audit Winning Candidate]]-Audit[[#This Row],[Winning Candidate]], "")</f>
        <v/>
      </c>
      <c r="AF993" s="18" t="str">
        <f>IF(NOT(ISBLANK(Audit[[#This Row],[Audit Losing Candidate]])), Audit[[#This Row],[Audit Losing Candidate]]-Audit[[#This Row],[Losing Candidate]], "")</f>
        <v/>
      </c>
      <c r="AG993" s="18" t="str">
        <f>IF(NOT(ISBLANK(Audit[[#This Row],[Audit Candidate 3]])), Audit[[#This Row],[Audit Candidate 3]]-Audit[[#This Row],[Candidate 3]], "")</f>
        <v/>
      </c>
      <c r="AH993" s="18" t="str">
        <f>IF(NOT(ISBLANK(Audit[[#This Row],[Audit Candidate 4]])),Audit[[#This Row],[Audit Candidate 4]]-Audit[[#This Row],[Candidate 4]], "")</f>
        <v/>
      </c>
      <c r="AI993" s="18" t="str">
        <f>IF(NOT(ISBLANK(Audit[[#This Row],[Audit Candidate 5]])), Audit[[#This Row],[Audit Candidate 5]]-Audit[[#This Row],[Candidate 5]], "")</f>
        <v/>
      </c>
      <c r="AJ993" s="18" t="str">
        <f>IF(NOT(ISBLANK(Audit[[#This Row],[Audit Candidate 6]])), Audit[[#This Row],[Audit Candidate 6]]-Audit[[#This Row],[Candidate 6]], "")</f>
        <v/>
      </c>
      <c r="AK993" s="18" t="str">
        <f>IF(NOT(ISBLANK(Audit[[#This Row],[Audit Candidate 7]])), Audit[[#This Row],[Audit Candidate 7]]-Audit[[#This Row],[Candidate 7]], "")</f>
        <v/>
      </c>
      <c r="AL993" s="18" t="str">
        <f>IF(NOT(ISBLANK(Audit[[#This Row],[Audit Candidate 8]])), Audit[[#This Row],[Audit Candidate 8]]-Audit[[#This Row],[Candidate 8]], "")</f>
        <v/>
      </c>
      <c r="AM993" s="18" t="str">
        <f>IF(NOT(ISBLANK(Audit[[#This Row],[Audit Candidate 9]])), Audit[[#This Row],[Audit Candidate 9]]-Audit[[#This Row],[Candidate 9]], "")</f>
        <v/>
      </c>
      <c r="AN993" s="18" t="str">
        <f>IF(NOT(ISBLANK(Audit[[#This Row],[Audit Candidate 10]])), Audit[[#This Row],[Audit Candidate 10]]-Audit[[#This Row],[Candidate 10]], "")</f>
        <v/>
      </c>
      <c r="AO993" s="18" t="str">
        <f>IF(NOT(ISBLANK(Audit[[#This Row],[Audit Candidate 11]])), Audit[[#This Row],[Audit Candidate 11]]-Audit[[#This Row],[Candidate 11]], "")</f>
        <v/>
      </c>
      <c r="AP993" s="18" t="str">
        <f>IF(NOT(ISBLANK(Audit[[#This Row],[Audit Candidate 12]])), Audit[[#This Row],[Audit Candidate 12]]-Audit[[#This Row],[Candidate 12]], "")</f>
        <v/>
      </c>
      <c r="AQ993" s="18">
        <f>SUMIF(Audit[[#This Row],[Difference Winner]:[Difference Candidate 12]], "&gt;0")</f>
        <v>0</v>
      </c>
      <c r="AR993" s="18">
        <f>SUM(Audit[[#This Row],[Difference Winner]:[Difference Candidate 12]])</f>
        <v>0</v>
      </c>
      <c r="AS993" s="18">
        <f>IF(Audit[[#This Row],[Times p Drawn - With Replacement]]&gt;0, IF(Audit[[#This Row],[Canceled Differences]]&lt;0, Audit[[#This Row],[Max Differences]]+ABS(Audit[[#This Row],[Canceled Differences]]), Audit[[#This Row],[Max Differences]]), 0)</f>
        <v>0</v>
      </c>
      <c r="AT993" s="18">
        <f>'Sampling Data'!AB993</f>
        <v>6.8473788359455978E-3</v>
      </c>
      <c r="AU993" s="18">
        <f>IF(
      SUM(Audit[[#This Row],[Audit Losing Candidate]:[Audit Candidate 12]])
      &lt;&gt;0,
      (Audit[[#This Row],[Winning Candidate]]-Audit[[#This Row],[Losing Candidate]]-(Audit[[#This Row],[Audit Winning Candidate]]-Audit[[#This Row],[Audit Losing Candidate]]))/(Audit[[#Totals],[Winning Candidate]]-Audit[[#Totals],[Losing Candidate]]),
      0
)</f>
        <v>0</v>
      </c>
      <c r="AV9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8">
        <f>IF(Audit[[#This Row],[Max Relative Error (ep)]] = 0, 0, Audit[[#This Row],[Max Relative Error (ep)]]/Audit[[#This Row],[Error Bound (up) - Max. possible relative overstatement]])</f>
        <v>0</v>
      </c>
      <c r="BH9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3" s="18">
        <f t="shared" si="16"/>
        <v>1</v>
      </c>
      <c r="BJ993" s="18">
        <f>PRODUCT($BI$5:BI993)</f>
        <v>0.10664664085196122</v>
      </c>
      <c r="BK993" s="20">
        <f>1 - Audit[[#This Row],[K-M P Value]]</f>
        <v>0.89335335914803882</v>
      </c>
      <c r="BL993" s="18" t="str">
        <f>IF(Audit[[#This Row],[K-M P Value]]&gt;1-'General Info'!$B$12,"Continue", "Stop")</f>
        <v>Continue</v>
      </c>
      <c r="BM993" s="23" t="b">
        <f>IF(Audit[[#This Row],[Status - Continue or stop audit]] = "Continue", TRUE, IF(BL992 = "Continue", TRUE, FALSE))</f>
        <v>1</v>
      </c>
      <c r="BN993" s="23"/>
    </row>
    <row r="994" spans="1:66" ht="15" hidden="1" customHeight="1" x14ac:dyDescent="0.35">
      <c r="A994" s="18" t="str">
        <f>'Sampling Data'!AI994</f>
        <v/>
      </c>
      <c r="B994" s="18" t="str">
        <f>'Sampling Data'!A994</f>
        <v>7302 GREEN B   (ED)</v>
      </c>
      <c r="C994" s="18">
        <f>'Sampling Data'!B994</f>
        <v>93</v>
      </c>
      <c r="D994" s="18">
        <f>'Sampling Data'!C994</f>
        <v>16</v>
      </c>
      <c r="E994" s="19">
        <f>'Sampling Data'!D994</f>
        <v>0</v>
      </c>
      <c r="F994" s="19">
        <f>'Sampling Data'!E994</f>
        <v>0</v>
      </c>
      <c r="G994" s="19">
        <f>'Sampling Data'!F994</f>
        <v>0</v>
      </c>
      <c r="H994" s="19">
        <f>'Sampling Data'!G994</f>
        <v>0</v>
      </c>
      <c r="I994" s="19">
        <f>'Sampling Data'!H994</f>
        <v>0</v>
      </c>
      <c r="J994" s="19">
        <f>'Sampling Data'!I994</f>
        <v>0</v>
      </c>
      <c r="K994" s="19">
        <f>'Sampling Data'!J994</f>
        <v>0</v>
      </c>
      <c r="L994" s="19">
        <f>'Sampling Data'!K994</f>
        <v>0</v>
      </c>
      <c r="M994" s="19">
        <f>'Sampling Data'!L994</f>
        <v>0</v>
      </c>
      <c r="N994" s="19">
        <f>'Sampling Data'!M994</f>
        <v>0</v>
      </c>
      <c r="O994" s="18">
        <f>'Sampling Data'!N994</f>
        <v>0</v>
      </c>
      <c r="P994" s="18">
        <f>'Sampling Data'!O994</f>
        <v>0</v>
      </c>
      <c r="Q994" s="18">
        <f>'Sampling Data'!P994</f>
        <v>109</v>
      </c>
      <c r="R994" s="18">
        <f>'Sampling Data'!AJ994</f>
        <v>0</v>
      </c>
      <c r="S994" s="112"/>
      <c r="T994" s="112"/>
      <c r="U994" s="113"/>
      <c r="V994" s="113"/>
      <c r="W994" s="112"/>
      <c r="X994" s="112"/>
      <c r="Y994" s="112"/>
      <c r="Z994" s="112"/>
      <c r="AA994" s="15"/>
      <c r="AB994" s="15"/>
      <c r="AC994" s="15"/>
      <c r="AD994" s="15"/>
      <c r="AE994" s="114" t="str">
        <f>IF(NOT(ISBLANK(Audit[[#This Row],[Audit Winning Candidate]])), Audit[[#This Row],[Audit Winning Candidate]]-Audit[[#This Row],[Winning Candidate]], "")</f>
        <v/>
      </c>
      <c r="AF994" s="18" t="str">
        <f>IF(NOT(ISBLANK(Audit[[#This Row],[Audit Losing Candidate]])), Audit[[#This Row],[Audit Losing Candidate]]-Audit[[#This Row],[Losing Candidate]], "")</f>
        <v/>
      </c>
      <c r="AG994" s="18" t="str">
        <f>IF(NOT(ISBLANK(Audit[[#This Row],[Audit Candidate 3]])), Audit[[#This Row],[Audit Candidate 3]]-Audit[[#This Row],[Candidate 3]], "")</f>
        <v/>
      </c>
      <c r="AH994" s="18" t="str">
        <f>IF(NOT(ISBLANK(Audit[[#This Row],[Audit Candidate 4]])),Audit[[#This Row],[Audit Candidate 4]]-Audit[[#This Row],[Candidate 4]], "")</f>
        <v/>
      </c>
      <c r="AI994" s="18" t="str">
        <f>IF(NOT(ISBLANK(Audit[[#This Row],[Audit Candidate 5]])), Audit[[#This Row],[Audit Candidate 5]]-Audit[[#This Row],[Candidate 5]], "")</f>
        <v/>
      </c>
      <c r="AJ994" s="18" t="str">
        <f>IF(NOT(ISBLANK(Audit[[#This Row],[Audit Candidate 6]])), Audit[[#This Row],[Audit Candidate 6]]-Audit[[#This Row],[Candidate 6]], "")</f>
        <v/>
      </c>
      <c r="AK994" s="18" t="str">
        <f>IF(NOT(ISBLANK(Audit[[#This Row],[Audit Candidate 7]])), Audit[[#This Row],[Audit Candidate 7]]-Audit[[#This Row],[Candidate 7]], "")</f>
        <v/>
      </c>
      <c r="AL994" s="18" t="str">
        <f>IF(NOT(ISBLANK(Audit[[#This Row],[Audit Candidate 8]])), Audit[[#This Row],[Audit Candidate 8]]-Audit[[#This Row],[Candidate 8]], "")</f>
        <v/>
      </c>
      <c r="AM994" s="18" t="str">
        <f>IF(NOT(ISBLANK(Audit[[#This Row],[Audit Candidate 9]])), Audit[[#This Row],[Audit Candidate 9]]-Audit[[#This Row],[Candidate 9]], "")</f>
        <v/>
      </c>
      <c r="AN994" s="18" t="str">
        <f>IF(NOT(ISBLANK(Audit[[#This Row],[Audit Candidate 10]])), Audit[[#This Row],[Audit Candidate 10]]-Audit[[#This Row],[Candidate 10]], "")</f>
        <v/>
      </c>
      <c r="AO994" s="18" t="str">
        <f>IF(NOT(ISBLANK(Audit[[#This Row],[Audit Candidate 11]])), Audit[[#This Row],[Audit Candidate 11]]-Audit[[#This Row],[Candidate 11]], "")</f>
        <v/>
      </c>
      <c r="AP994" s="18" t="str">
        <f>IF(NOT(ISBLANK(Audit[[#This Row],[Audit Candidate 12]])), Audit[[#This Row],[Audit Candidate 12]]-Audit[[#This Row],[Candidate 12]], "")</f>
        <v/>
      </c>
      <c r="AQ994" s="18">
        <f>SUMIF(Audit[[#This Row],[Difference Winner]:[Difference Candidate 12]], "&gt;0")</f>
        <v>0</v>
      </c>
      <c r="AR994" s="18">
        <f>SUM(Audit[[#This Row],[Difference Winner]:[Difference Candidate 12]])</f>
        <v>0</v>
      </c>
      <c r="AS994" s="18">
        <f>IF(Audit[[#This Row],[Times p Drawn - With Replacement]]&gt;0, IF(Audit[[#This Row],[Canceled Differences]]&lt;0, Audit[[#This Row],[Max Differences]]+ABS(Audit[[#This Row],[Canceled Differences]]), Audit[[#This Row],[Max Differences]]), 0)</f>
        <v>0</v>
      </c>
      <c r="AT994" s="18">
        <f>'Sampling Data'!AB994</f>
        <v>5.8422590068159686E-3</v>
      </c>
      <c r="AU994" s="18">
        <f>IF(
      SUM(Audit[[#This Row],[Audit Losing Candidate]:[Audit Candidate 12]])
      &lt;&gt;0,
      (Audit[[#This Row],[Winning Candidate]]-Audit[[#This Row],[Losing Candidate]]-(Audit[[#This Row],[Audit Winning Candidate]]-Audit[[#This Row],[Audit Losing Candidate]]))/(Audit[[#Totals],[Winning Candidate]]-Audit[[#Totals],[Losing Candidate]]),
      0
)</f>
        <v>0</v>
      </c>
      <c r="AV9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8">
        <f>IF(Audit[[#This Row],[Max Relative Error (ep)]] = 0, 0, Audit[[#This Row],[Max Relative Error (ep)]]/Audit[[#This Row],[Error Bound (up) - Max. possible relative overstatement]])</f>
        <v>0</v>
      </c>
      <c r="BH9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4" s="18">
        <f t="shared" si="16"/>
        <v>1</v>
      </c>
      <c r="BJ994" s="18">
        <f>PRODUCT($BI$5:BI994)</f>
        <v>0.10664664085196122</v>
      </c>
      <c r="BK994" s="20">
        <f>1 - Audit[[#This Row],[K-M P Value]]</f>
        <v>0.89335335914803882</v>
      </c>
      <c r="BL994" s="18" t="str">
        <f>IF(Audit[[#This Row],[K-M P Value]]&gt;1-'General Info'!$B$12,"Continue", "Stop")</f>
        <v>Continue</v>
      </c>
      <c r="BM994" s="23" t="b">
        <f>IF(Audit[[#This Row],[Status - Continue or stop audit]] = "Continue", TRUE, IF(BL993 = "Continue", TRUE, FALSE))</f>
        <v>1</v>
      </c>
      <c r="BN994" s="23"/>
    </row>
    <row r="995" spans="1:66" ht="15" hidden="1" customHeight="1" x14ac:dyDescent="0.35">
      <c r="A995" s="18" t="str">
        <f>'Sampling Data'!AI995</f>
        <v/>
      </c>
      <c r="B995" s="18" t="str">
        <f>'Sampling Data'!A995</f>
        <v>7303 GREEN C   (ED)</v>
      </c>
      <c r="C995" s="18">
        <f>'Sampling Data'!B995</f>
        <v>46</v>
      </c>
      <c r="D995" s="18">
        <f>'Sampling Data'!C995</f>
        <v>11</v>
      </c>
      <c r="E995" s="19">
        <f>'Sampling Data'!D995</f>
        <v>0</v>
      </c>
      <c r="F995" s="19">
        <f>'Sampling Data'!E995</f>
        <v>0</v>
      </c>
      <c r="G995" s="19">
        <f>'Sampling Data'!F995</f>
        <v>0</v>
      </c>
      <c r="H995" s="19">
        <f>'Sampling Data'!G995</f>
        <v>0</v>
      </c>
      <c r="I995" s="19">
        <f>'Sampling Data'!H995</f>
        <v>0</v>
      </c>
      <c r="J995" s="19">
        <f>'Sampling Data'!I995</f>
        <v>0</v>
      </c>
      <c r="K995" s="19">
        <f>'Sampling Data'!J995</f>
        <v>0</v>
      </c>
      <c r="L995" s="19">
        <f>'Sampling Data'!K995</f>
        <v>0</v>
      </c>
      <c r="M995" s="19">
        <f>'Sampling Data'!L995</f>
        <v>0</v>
      </c>
      <c r="N995" s="19">
        <f>'Sampling Data'!M995</f>
        <v>0</v>
      </c>
      <c r="O995" s="18">
        <f>'Sampling Data'!N995</f>
        <v>0</v>
      </c>
      <c r="P995" s="18">
        <f>'Sampling Data'!O995</f>
        <v>1</v>
      </c>
      <c r="Q995" s="18">
        <f>'Sampling Data'!P995</f>
        <v>58</v>
      </c>
      <c r="R995" s="18">
        <f>'Sampling Data'!AJ995</f>
        <v>0</v>
      </c>
      <c r="S995" s="112"/>
      <c r="T995" s="112"/>
      <c r="U995" s="113"/>
      <c r="V995" s="113"/>
      <c r="W995" s="112"/>
      <c r="X995" s="112"/>
      <c r="Y995" s="112"/>
      <c r="Z995" s="112"/>
      <c r="AA995" s="15"/>
      <c r="AB995" s="15"/>
      <c r="AC995" s="15"/>
      <c r="AD995" s="15"/>
      <c r="AE995" s="114" t="str">
        <f>IF(NOT(ISBLANK(Audit[[#This Row],[Audit Winning Candidate]])), Audit[[#This Row],[Audit Winning Candidate]]-Audit[[#This Row],[Winning Candidate]], "")</f>
        <v/>
      </c>
      <c r="AF995" s="18" t="str">
        <f>IF(NOT(ISBLANK(Audit[[#This Row],[Audit Losing Candidate]])), Audit[[#This Row],[Audit Losing Candidate]]-Audit[[#This Row],[Losing Candidate]], "")</f>
        <v/>
      </c>
      <c r="AG995" s="18" t="str">
        <f>IF(NOT(ISBLANK(Audit[[#This Row],[Audit Candidate 3]])), Audit[[#This Row],[Audit Candidate 3]]-Audit[[#This Row],[Candidate 3]], "")</f>
        <v/>
      </c>
      <c r="AH995" s="18" t="str">
        <f>IF(NOT(ISBLANK(Audit[[#This Row],[Audit Candidate 4]])),Audit[[#This Row],[Audit Candidate 4]]-Audit[[#This Row],[Candidate 4]], "")</f>
        <v/>
      </c>
      <c r="AI995" s="18" t="str">
        <f>IF(NOT(ISBLANK(Audit[[#This Row],[Audit Candidate 5]])), Audit[[#This Row],[Audit Candidate 5]]-Audit[[#This Row],[Candidate 5]], "")</f>
        <v/>
      </c>
      <c r="AJ995" s="18" t="str">
        <f>IF(NOT(ISBLANK(Audit[[#This Row],[Audit Candidate 6]])), Audit[[#This Row],[Audit Candidate 6]]-Audit[[#This Row],[Candidate 6]], "")</f>
        <v/>
      </c>
      <c r="AK995" s="18" t="str">
        <f>IF(NOT(ISBLANK(Audit[[#This Row],[Audit Candidate 7]])), Audit[[#This Row],[Audit Candidate 7]]-Audit[[#This Row],[Candidate 7]], "")</f>
        <v/>
      </c>
      <c r="AL995" s="18" t="str">
        <f>IF(NOT(ISBLANK(Audit[[#This Row],[Audit Candidate 8]])), Audit[[#This Row],[Audit Candidate 8]]-Audit[[#This Row],[Candidate 8]], "")</f>
        <v/>
      </c>
      <c r="AM995" s="18" t="str">
        <f>IF(NOT(ISBLANK(Audit[[#This Row],[Audit Candidate 9]])), Audit[[#This Row],[Audit Candidate 9]]-Audit[[#This Row],[Candidate 9]], "")</f>
        <v/>
      </c>
      <c r="AN995" s="18" t="str">
        <f>IF(NOT(ISBLANK(Audit[[#This Row],[Audit Candidate 10]])), Audit[[#This Row],[Audit Candidate 10]]-Audit[[#This Row],[Candidate 10]], "")</f>
        <v/>
      </c>
      <c r="AO995" s="18" t="str">
        <f>IF(NOT(ISBLANK(Audit[[#This Row],[Audit Candidate 11]])), Audit[[#This Row],[Audit Candidate 11]]-Audit[[#This Row],[Candidate 11]], "")</f>
        <v/>
      </c>
      <c r="AP995" s="18" t="str">
        <f>IF(NOT(ISBLANK(Audit[[#This Row],[Audit Candidate 12]])), Audit[[#This Row],[Audit Candidate 12]]-Audit[[#This Row],[Candidate 12]], "")</f>
        <v/>
      </c>
      <c r="AQ995" s="18">
        <f>SUMIF(Audit[[#This Row],[Difference Winner]:[Difference Candidate 12]], "&gt;0")</f>
        <v>0</v>
      </c>
      <c r="AR995" s="18">
        <f>SUM(Audit[[#This Row],[Difference Winner]:[Difference Candidate 12]])</f>
        <v>0</v>
      </c>
      <c r="AS995" s="18">
        <f>IF(Audit[[#This Row],[Times p Drawn - With Replacement]]&gt;0, IF(Audit[[#This Row],[Canceled Differences]]&lt;0, Audit[[#This Row],[Max Differences]]+ABS(Audit[[#This Row],[Canceled Differences]]), Audit[[#This Row],[Max Differences]]), 0)</f>
        <v>0</v>
      </c>
      <c r="AT995" s="18">
        <f>'Sampling Data'!AB995</f>
        <v>2.9211295034079843E-3</v>
      </c>
      <c r="AU995" s="18">
        <f>IF(
      SUM(Audit[[#This Row],[Audit Losing Candidate]:[Audit Candidate 12]])
      &lt;&gt;0,
      (Audit[[#This Row],[Winning Candidate]]-Audit[[#This Row],[Losing Candidate]]-(Audit[[#This Row],[Audit Winning Candidate]]-Audit[[#This Row],[Audit Losing Candidate]]))/(Audit[[#Totals],[Winning Candidate]]-Audit[[#Totals],[Losing Candidate]]),
      0
)</f>
        <v>0</v>
      </c>
      <c r="AV9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8">
        <f>IF(Audit[[#This Row],[Max Relative Error (ep)]] = 0, 0, Audit[[#This Row],[Max Relative Error (ep)]]/Audit[[#This Row],[Error Bound (up) - Max. possible relative overstatement]])</f>
        <v>0</v>
      </c>
      <c r="BH9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5" s="18">
        <f t="shared" si="16"/>
        <v>1</v>
      </c>
      <c r="BJ995" s="18">
        <f>PRODUCT($BI$5:BI995)</f>
        <v>0.10664664085196122</v>
      </c>
      <c r="BK995" s="20">
        <f>1 - Audit[[#This Row],[K-M P Value]]</f>
        <v>0.89335335914803882</v>
      </c>
      <c r="BL995" s="18" t="str">
        <f>IF(Audit[[#This Row],[K-M P Value]]&gt;1-'General Info'!$B$12,"Continue", "Stop")</f>
        <v>Continue</v>
      </c>
      <c r="BM995" s="23" t="b">
        <f>IF(Audit[[#This Row],[Status - Continue or stop audit]] = "Continue", TRUE, IF(BL994 = "Continue", TRUE, FALSE))</f>
        <v>1</v>
      </c>
      <c r="BN995" s="23"/>
    </row>
    <row r="996" spans="1:66" ht="15" hidden="1" customHeight="1" x14ac:dyDescent="0.35">
      <c r="A996" s="18" t="str">
        <f>'Sampling Data'!AI996</f>
        <v/>
      </c>
      <c r="B996" s="18" t="str">
        <f>'Sampling Data'!A996</f>
        <v>7304 GREEN D   (ED)</v>
      </c>
      <c r="C996" s="18">
        <f>'Sampling Data'!B996</f>
        <v>131</v>
      </c>
      <c r="D996" s="18">
        <f>'Sampling Data'!C996</f>
        <v>12</v>
      </c>
      <c r="E996" s="19">
        <f>'Sampling Data'!D996</f>
        <v>0</v>
      </c>
      <c r="F996" s="19">
        <f>'Sampling Data'!E996</f>
        <v>0</v>
      </c>
      <c r="G996" s="19">
        <f>'Sampling Data'!F996</f>
        <v>0</v>
      </c>
      <c r="H996" s="19">
        <f>'Sampling Data'!G996</f>
        <v>0</v>
      </c>
      <c r="I996" s="19">
        <f>'Sampling Data'!H996</f>
        <v>0</v>
      </c>
      <c r="J996" s="19">
        <f>'Sampling Data'!I996</f>
        <v>0</v>
      </c>
      <c r="K996" s="19">
        <f>'Sampling Data'!J996</f>
        <v>0</v>
      </c>
      <c r="L996" s="19">
        <f>'Sampling Data'!K996</f>
        <v>0</v>
      </c>
      <c r="M996" s="19">
        <f>'Sampling Data'!L996</f>
        <v>0</v>
      </c>
      <c r="N996" s="19">
        <f>'Sampling Data'!M996</f>
        <v>0</v>
      </c>
      <c r="O996" s="18">
        <f>'Sampling Data'!N996</f>
        <v>1</v>
      </c>
      <c r="P996" s="18">
        <f>'Sampling Data'!O996</f>
        <v>1</v>
      </c>
      <c r="Q996" s="18">
        <f>'Sampling Data'!P996</f>
        <v>145</v>
      </c>
      <c r="R996" s="18">
        <f>'Sampling Data'!AJ996</f>
        <v>0</v>
      </c>
      <c r="S996" s="112"/>
      <c r="T996" s="112"/>
      <c r="U996" s="113"/>
      <c r="V996" s="113"/>
      <c r="W996" s="112"/>
      <c r="X996" s="112"/>
      <c r="Y996" s="112"/>
      <c r="Z996" s="112"/>
      <c r="AA996" s="15"/>
      <c r="AB996" s="15"/>
      <c r="AC996" s="15"/>
      <c r="AD996" s="15"/>
      <c r="AE996" s="114" t="str">
        <f>IF(NOT(ISBLANK(Audit[[#This Row],[Audit Winning Candidate]])), Audit[[#This Row],[Audit Winning Candidate]]-Audit[[#This Row],[Winning Candidate]], "")</f>
        <v/>
      </c>
      <c r="AF996" s="18" t="str">
        <f>IF(NOT(ISBLANK(Audit[[#This Row],[Audit Losing Candidate]])), Audit[[#This Row],[Audit Losing Candidate]]-Audit[[#This Row],[Losing Candidate]], "")</f>
        <v/>
      </c>
      <c r="AG996" s="18" t="str">
        <f>IF(NOT(ISBLANK(Audit[[#This Row],[Audit Candidate 3]])), Audit[[#This Row],[Audit Candidate 3]]-Audit[[#This Row],[Candidate 3]], "")</f>
        <v/>
      </c>
      <c r="AH996" s="18" t="str">
        <f>IF(NOT(ISBLANK(Audit[[#This Row],[Audit Candidate 4]])),Audit[[#This Row],[Audit Candidate 4]]-Audit[[#This Row],[Candidate 4]], "")</f>
        <v/>
      </c>
      <c r="AI996" s="18" t="str">
        <f>IF(NOT(ISBLANK(Audit[[#This Row],[Audit Candidate 5]])), Audit[[#This Row],[Audit Candidate 5]]-Audit[[#This Row],[Candidate 5]], "")</f>
        <v/>
      </c>
      <c r="AJ996" s="18" t="str">
        <f>IF(NOT(ISBLANK(Audit[[#This Row],[Audit Candidate 6]])), Audit[[#This Row],[Audit Candidate 6]]-Audit[[#This Row],[Candidate 6]], "")</f>
        <v/>
      </c>
      <c r="AK996" s="18" t="str">
        <f>IF(NOT(ISBLANK(Audit[[#This Row],[Audit Candidate 7]])), Audit[[#This Row],[Audit Candidate 7]]-Audit[[#This Row],[Candidate 7]], "")</f>
        <v/>
      </c>
      <c r="AL996" s="18" t="str">
        <f>IF(NOT(ISBLANK(Audit[[#This Row],[Audit Candidate 8]])), Audit[[#This Row],[Audit Candidate 8]]-Audit[[#This Row],[Candidate 8]], "")</f>
        <v/>
      </c>
      <c r="AM996" s="18" t="str">
        <f>IF(NOT(ISBLANK(Audit[[#This Row],[Audit Candidate 9]])), Audit[[#This Row],[Audit Candidate 9]]-Audit[[#This Row],[Candidate 9]], "")</f>
        <v/>
      </c>
      <c r="AN996" s="18" t="str">
        <f>IF(NOT(ISBLANK(Audit[[#This Row],[Audit Candidate 10]])), Audit[[#This Row],[Audit Candidate 10]]-Audit[[#This Row],[Candidate 10]], "")</f>
        <v/>
      </c>
      <c r="AO996" s="18" t="str">
        <f>IF(NOT(ISBLANK(Audit[[#This Row],[Audit Candidate 11]])), Audit[[#This Row],[Audit Candidate 11]]-Audit[[#This Row],[Candidate 11]], "")</f>
        <v/>
      </c>
      <c r="AP996" s="18" t="str">
        <f>IF(NOT(ISBLANK(Audit[[#This Row],[Audit Candidate 12]])), Audit[[#This Row],[Audit Candidate 12]]-Audit[[#This Row],[Candidate 12]], "")</f>
        <v/>
      </c>
      <c r="AQ996" s="18">
        <f>SUMIF(Audit[[#This Row],[Difference Winner]:[Difference Candidate 12]], "&gt;0")</f>
        <v>0</v>
      </c>
      <c r="AR996" s="18">
        <f>SUM(Audit[[#This Row],[Difference Winner]:[Difference Candidate 12]])</f>
        <v>0</v>
      </c>
      <c r="AS996" s="18">
        <f>IF(Audit[[#This Row],[Times p Drawn - With Replacement]]&gt;0, IF(Audit[[#This Row],[Canceled Differences]]&lt;0, Audit[[#This Row],[Max Differences]]+ABS(Audit[[#This Row],[Canceled Differences]]), Audit[[#This Row],[Max Differences]]), 0)</f>
        <v>0</v>
      </c>
      <c r="AT996" s="18">
        <f>'Sampling Data'!AB996</f>
        <v>8.2922385903194396E-3</v>
      </c>
      <c r="AU996" s="18">
        <f>IF(
      SUM(Audit[[#This Row],[Audit Losing Candidate]:[Audit Candidate 12]])
      &lt;&gt;0,
      (Audit[[#This Row],[Winning Candidate]]-Audit[[#This Row],[Losing Candidate]]-(Audit[[#This Row],[Audit Winning Candidate]]-Audit[[#This Row],[Audit Losing Candidate]]))/(Audit[[#Totals],[Winning Candidate]]-Audit[[#Totals],[Losing Candidate]]),
      0
)</f>
        <v>0</v>
      </c>
      <c r="AV9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8">
        <f>IF(Audit[[#This Row],[Max Relative Error (ep)]] = 0, 0, Audit[[#This Row],[Max Relative Error (ep)]]/Audit[[#This Row],[Error Bound (up) - Max. possible relative overstatement]])</f>
        <v>0</v>
      </c>
      <c r="BH9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6" s="18">
        <f t="shared" si="16"/>
        <v>1</v>
      </c>
      <c r="BJ996" s="18">
        <f>PRODUCT($BI$5:BI996)</f>
        <v>0.10664664085196122</v>
      </c>
      <c r="BK996" s="20">
        <f>1 - Audit[[#This Row],[K-M P Value]]</f>
        <v>0.89335335914803882</v>
      </c>
      <c r="BL996" s="18" t="str">
        <f>IF(Audit[[#This Row],[K-M P Value]]&gt;1-'General Info'!$B$12,"Continue", "Stop")</f>
        <v>Continue</v>
      </c>
      <c r="BM996" s="23" t="b">
        <f>IF(Audit[[#This Row],[Status - Continue or stop audit]] = "Continue", TRUE, IF(BL995 = "Continue", TRUE, FALSE))</f>
        <v>1</v>
      </c>
      <c r="BN996" s="23"/>
    </row>
    <row r="997" spans="1:66" ht="15" hidden="1" customHeight="1" x14ac:dyDescent="0.35">
      <c r="A997" s="18" t="str">
        <f>'Sampling Data'!AI997</f>
        <v/>
      </c>
      <c r="B997" s="18" t="str">
        <f>'Sampling Data'!A997</f>
        <v>7305 GREEN E   (ED)</v>
      </c>
      <c r="C997" s="18">
        <f>'Sampling Data'!B997</f>
        <v>132</v>
      </c>
      <c r="D997" s="18">
        <f>'Sampling Data'!C997</f>
        <v>13</v>
      </c>
      <c r="E997" s="19">
        <f>'Sampling Data'!D997</f>
        <v>0</v>
      </c>
      <c r="F997" s="19">
        <f>'Sampling Data'!E997</f>
        <v>0</v>
      </c>
      <c r="G997" s="19">
        <f>'Sampling Data'!F997</f>
        <v>0</v>
      </c>
      <c r="H997" s="19">
        <f>'Sampling Data'!G997</f>
        <v>0</v>
      </c>
      <c r="I997" s="19">
        <f>'Sampling Data'!H997</f>
        <v>0</v>
      </c>
      <c r="J997" s="19">
        <f>'Sampling Data'!I997</f>
        <v>0</v>
      </c>
      <c r="K997" s="19">
        <f>'Sampling Data'!J997</f>
        <v>0</v>
      </c>
      <c r="L997" s="19">
        <f>'Sampling Data'!K997</f>
        <v>0</v>
      </c>
      <c r="M997" s="19">
        <f>'Sampling Data'!L997</f>
        <v>0</v>
      </c>
      <c r="N997" s="19">
        <f>'Sampling Data'!M997</f>
        <v>0</v>
      </c>
      <c r="O997" s="18">
        <f>'Sampling Data'!N997</f>
        <v>0</v>
      </c>
      <c r="P997" s="18">
        <f>'Sampling Data'!O997</f>
        <v>2</v>
      </c>
      <c r="Q997" s="18">
        <f>'Sampling Data'!P997</f>
        <v>147</v>
      </c>
      <c r="R997" s="18">
        <f>'Sampling Data'!AJ997</f>
        <v>0</v>
      </c>
      <c r="S997" s="112"/>
      <c r="T997" s="112"/>
      <c r="U997" s="113"/>
      <c r="V997" s="113"/>
      <c r="W997" s="112"/>
      <c r="X997" s="112"/>
      <c r="Y997" s="112"/>
      <c r="Z997" s="112"/>
      <c r="AA997" s="15"/>
      <c r="AB997" s="15"/>
      <c r="AC997" s="15"/>
      <c r="AD997" s="15"/>
      <c r="AE997" s="114" t="str">
        <f>IF(NOT(ISBLANK(Audit[[#This Row],[Audit Winning Candidate]])), Audit[[#This Row],[Audit Winning Candidate]]-Audit[[#This Row],[Winning Candidate]], "")</f>
        <v/>
      </c>
      <c r="AF997" s="18" t="str">
        <f>IF(NOT(ISBLANK(Audit[[#This Row],[Audit Losing Candidate]])), Audit[[#This Row],[Audit Losing Candidate]]-Audit[[#This Row],[Losing Candidate]], "")</f>
        <v/>
      </c>
      <c r="AG997" s="18" t="str">
        <f>IF(NOT(ISBLANK(Audit[[#This Row],[Audit Candidate 3]])), Audit[[#This Row],[Audit Candidate 3]]-Audit[[#This Row],[Candidate 3]], "")</f>
        <v/>
      </c>
      <c r="AH997" s="18" t="str">
        <f>IF(NOT(ISBLANK(Audit[[#This Row],[Audit Candidate 4]])),Audit[[#This Row],[Audit Candidate 4]]-Audit[[#This Row],[Candidate 4]], "")</f>
        <v/>
      </c>
      <c r="AI997" s="18" t="str">
        <f>IF(NOT(ISBLANK(Audit[[#This Row],[Audit Candidate 5]])), Audit[[#This Row],[Audit Candidate 5]]-Audit[[#This Row],[Candidate 5]], "")</f>
        <v/>
      </c>
      <c r="AJ997" s="18" t="str">
        <f>IF(NOT(ISBLANK(Audit[[#This Row],[Audit Candidate 6]])), Audit[[#This Row],[Audit Candidate 6]]-Audit[[#This Row],[Candidate 6]], "")</f>
        <v/>
      </c>
      <c r="AK997" s="18" t="str">
        <f>IF(NOT(ISBLANK(Audit[[#This Row],[Audit Candidate 7]])), Audit[[#This Row],[Audit Candidate 7]]-Audit[[#This Row],[Candidate 7]], "")</f>
        <v/>
      </c>
      <c r="AL997" s="18" t="str">
        <f>IF(NOT(ISBLANK(Audit[[#This Row],[Audit Candidate 8]])), Audit[[#This Row],[Audit Candidate 8]]-Audit[[#This Row],[Candidate 8]], "")</f>
        <v/>
      </c>
      <c r="AM997" s="18" t="str">
        <f>IF(NOT(ISBLANK(Audit[[#This Row],[Audit Candidate 9]])), Audit[[#This Row],[Audit Candidate 9]]-Audit[[#This Row],[Candidate 9]], "")</f>
        <v/>
      </c>
      <c r="AN997" s="18" t="str">
        <f>IF(NOT(ISBLANK(Audit[[#This Row],[Audit Candidate 10]])), Audit[[#This Row],[Audit Candidate 10]]-Audit[[#This Row],[Candidate 10]], "")</f>
        <v/>
      </c>
      <c r="AO997" s="18" t="str">
        <f>IF(NOT(ISBLANK(Audit[[#This Row],[Audit Candidate 11]])), Audit[[#This Row],[Audit Candidate 11]]-Audit[[#This Row],[Candidate 11]], "")</f>
        <v/>
      </c>
      <c r="AP997" s="18" t="str">
        <f>IF(NOT(ISBLANK(Audit[[#This Row],[Audit Candidate 12]])), Audit[[#This Row],[Audit Candidate 12]]-Audit[[#This Row],[Candidate 12]], "")</f>
        <v/>
      </c>
      <c r="AQ997" s="18">
        <f>SUMIF(Audit[[#This Row],[Difference Winner]:[Difference Candidate 12]], "&gt;0")</f>
        <v>0</v>
      </c>
      <c r="AR997" s="18">
        <f>SUM(Audit[[#This Row],[Difference Winner]:[Difference Candidate 12]])</f>
        <v>0</v>
      </c>
      <c r="AS997" s="18">
        <f>IF(Audit[[#This Row],[Times p Drawn - With Replacement]]&gt;0, IF(Audit[[#This Row],[Canceled Differences]]&lt;0, Audit[[#This Row],[Max Differences]]+ABS(Audit[[#This Row],[Canceled Differences]]), Audit[[#This Row],[Max Differences]]), 0)</f>
        <v>0</v>
      </c>
      <c r="AT997" s="18">
        <f>'Sampling Data'!AB997</f>
        <v>8.3550585796400411E-3</v>
      </c>
      <c r="AU997" s="18">
        <f>IF(
      SUM(Audit[[#This Row],[Audit Losing Candidate]:[Audit Candidate 12]])
      &lt;&gt;0,
      (Audit[[#This Row],[Winning Candidate]]-Audit[[#This Row],[Losing Candidate]]-(Audit[[#This Row],[Audit Winning Candidate]]-Audit[[#This Row],[Audit Losing Candidate]]))/(Audit[[#Totals],[Winning Candidate]]-Audit[[#Totals],[Losing Candidate]]),
      0
)</f>
        <v>0</v>
      </c>
      <c r="AV9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8">
        <f>IF(Audit[[#This Row],[Max Relative Error (ep)]] = 0, 0, Audit[[#This Row],[Max Relative Error (ep)]]/Audit[[#This Row],[Error Bound (up) - Max. possible relative overstatement]])</f>
        <v>0</v>
      </c>
      <c r="BH9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7" s="18">
        <f t="shared" si="16"/>
        <v>1</v>
      </c>
      <c r="BJ997" s="18">
        <f>PRODUCT($BI$5:BI997)</f>
        <v>0.10664664085196122</v>
      </c>
      <c r="BK997" s="20">
        <f>1 - Audit[[#This Row],[K-M P Value]]</f>
        <v>0.89335335914803882</v>
      </c>
      <c r="BL997" s="18" t="str">
        <f>IF(Audit[[#This Row],[K-M P Value]]&gt;1-'General Info'!$B$12,"Continue", "Stop")</f>
        <v>Continue</v>
      </c>
      <c r="BM997" s="23" t="b">
        <f>IF(Audit[[#This Row],[Status - Continue or stop audit]] = "Continue", TRUE, IF(BL996 = "Continue", TRUE, FALSE))</f>
        <v>1</v>
      </c>
      <c r="BN997" s="23"/>
    </row>
    <row r="998" spans="1:66" ht="15" hidden="1" customHeight="1" x14ac:dyDescent="0.35">
      <c r="A998" s="18" t="str">
        <f>'Sampling Data'!AI998</f>
        <v/>
      </c>
      <c r="B998" s="18" t="str">
        <f>'Sampling Data'!A998</f>
        <v>7306 GREEN F   (ED)</v>
      </c>
      <c r="C998" s="18">
        <f>'Sampling Data'!B998</f>
        <v>76</v>
      </c>
      <c r="D998" s="18">
        <f>'Sampling Data'!C998</f>
        <v>6</v>
      </c>
      <c r="E998" s="19">
        <f>'Sampling Data'!D998</f>
        <v>0</v>
      </c>
      <c r="F998" s="19">
        <f>'Sampling Data'!E998</f>
        <v>0</v>
      </c>
      <c r="G998" s="19">
        <f>'Sampling Data'!F998</f>
        <v>0</v>
      </c>
      <c r="H998" s="19">
        <f>'Sampling Data'!G998</f>
        <v>0</v>
      </c>
      <c r="I998" s="19">
        <f>'Sampling Data'!H998</f>
        <v>0</v>
      </c>
      <c r="J998" s="19">
        <f>'Sampling Data'!I998</f>
        <v>0</v>
      </c>
      <c r="K998" s="19">
        <f>'Sampling Data'!J998</f>
        <v>0</v>
      </c>
      <c r="L998" s="19">
        <f>'Sampling Data'!K998</f>
        <v>0</v>
      </c>
      <c r="M998" s="19">
        <f>'Sampling Data'!L998</f>
        <v>0</v>
      </c>
      <c r="N998" s="19">
        <f>'Sampling Data'!M998</f>
        <v>0</v>
      </c>
      <c r="O998" s="18">
        <f>'Sampling Data'!N998</f>
        <v>1</v>
      </c>
      <c r="P998" s="18">
        <f>'Sampling Data'!O998</f>
        <v>0</v>
      </c>
      <c r="Q998" s="18">
        <f>'Sampling Data'!P998</f>
        <v>83</v>
      </c>
      <c r="R998" s="18">
        <f>'Sampling Data'!AJ998</f>
        <v>0</v>
      </c>
      <c r="S998" s="112"/>
      <c r="T998" s="112"/>
      <c r="U998" s="113"/>
      <c r="V998" s="113"/>
      <c r="W998" s="112"/>
      <c r="X998" s="112"/>
      <c r="Y998" s="112"/>
      <c r="Z998" s="112"/>
      <c r="AA998" s="15"/>
      <c r="AB998" s="15"/>
      <c r="AC998" s="15"/>
      <c r="AD998" s="15"/>
      <c r="AE998" s="114" t="str">
        <f>IF(NOT(ISBLANK(Audit[[#This Row],[Audit Winning Candidate]])), Audit[[#This Row],[Audit Winning Candidate]]-Audit[[#This Row],[Winning Candidate]], "")</f>
        <v/>
      </c>
      <c r="AF998" s="18" t="str">
        <f>IF(NOT(ISBLANK(Audit[[#This Row],[Audit Losing Candidate]])), Audit[[#This Row],[Audit Losing Candidate]]-Audit[[#This Row],[Losing Candidate]], "")</f>
        <v/>
      </c>
      <c r="AG998" s="18" t="str">
        <f>IF(NOT(ISBLANK(Audit[[#This Row],[Audit Candidate 3]])), Audit[[#This Row],[Audit Candidate 3]]-Audit[[#This Row],[Candidate 3]], "")</f>
        <v/>
      </c>
      <c r="AH998" s="18" t="str">
        <f>IF(NOT(ISBLANK(Audit[[#This Row],[Audit Candidate 4]])),Audit[[#This Row],[Audit Candidate 4]]-Audit[[#This Row],[Candidate 4]], "")</f>
        <v/>
      </c>
      <c r="AI998" s="18" t="str">
        <f>IF(NOT(ISBLANK(Audit[[#This Row],[Audit Candidate 5]])), Audit[[#This Row],[Audit Candidate 5]]-Audit[[#This Row],[Candidate 5]], "")</f>
        <v/>
      </c>
      <c r="AJ998" s="18" t="str">
        <f>IF(NOT(ISBLANK(Audit[[#This Row],[Audit Candidate 6]])), Audit[[#This Row],[Audit Candidate 6]]-Audit[[#This Row],[Candidate 6]], "")</f>
        <v/>
      </c>
      <c r="AK998" s="18" t="str">
        <f>IF(NOT(ISBLANK(Audit[[#This Row],[Audit Candidate 7]])), Audit[[#This Row],[Audit Candidate 7]]-Audit[[#This Row],[Candidate 7]], "")</f>
        <v/>
      </c>
      <c r="AL998" s="18" t="str">
        <f>IF(NOT(ISBLANK(Audit[[#This Row],[Audit Candidate 8]])), Audit[[#This Row],[Audit Candidate 8]]-Audit[[#This Row],[Candidate 8]], "")</f>
        <v/>
      </c>
      <c r="AM998" s="18" t="str">
        <f>IF(NOT(ISBLANK(Audit[[#This Row],[Audit Candidate 9]])), Audit[[#This Row],[Audit Candidate 9]]-Audit[[#This Row],[Candidate 9]], "")</f>
        <v/>
      </c>
      <c r="AN998" s="18" t="str">
        <f>IF(NOT(ISBLANK(Audit[[#This Row],[Audit Candidate 10]])), Audit[[#This Row],[Audit Candidate 10]]-Audit[[#This Row],[Candidate 10]], "")</f>
        <v/>
      </c>
      <c r="AO998" s="18" t="str">
        <f>IF(NOT(ISBLANK(Audit[[#This Row],[Audit Candidate 11]])), Audit[[#This Row],[Audit Candidate 11]]-Audit[[#This Row],[Candidate 11]], "")</f>
        <v/>
      </c>
      <c r="AP998" s="18" t="str">
        <f>IF(NOT(ISBLANK(Audit[[#This Row],[Audit Candidate 12]])), Audit[[#This Row],[Audit Candidate 12]]-Audit[[#This Row],[Candidate 12]], "")</f>
        <v/>
      </c>
      <c r="AQ998" s="18">
        <f>SUMIF(Audit[[#This Row],[Difference Winner]:[Difference Candidate 12]], "&gt;0")</f>
        <v>0</v>
      </c>
      <c r="AR998" s="18">
        <f>SUM(Audit[[#This Row],[Difference Winner]:[Difference Candidate 12]])</f>
        <v>0</v>
      </c>
      <c r="AS998" s="18">
        <f>IF(Audit[[#This Row],[Times p Drawn - With Replacement]]&gt;0, IF(Audit[[#This Row],[Canceled Differences]]&lt;0, Audit[[#This Row],[Max Differences]]+ABS(Audit[[#This Row],[Canceled Differences]]), Audit[[#This Row],[Max Differences]]), 0)</f>
        <v>0</v>
      </c>
      <c r="AT998" s="18">
        <f>'Sampling Data'!AB998</f>
        <v>4.8057291830260387E-3</v>
      </c>
      <c r="AU998" s="18">
        <f>IF(
      SUM(Audit[[#This Row],[Audit Losing Candidate]:[Audit Candidate 12]])
      &lt;&gt;0,
      (Audit[[#This Row],[Winning Candidate]]-Audit[[#This Row],[Losing Candidate]]-(Audit[[#This Row],[Audit Winning Candidate]]-Audit[[#This Row],[Audit Losing Candidate]]))/(Audit[[#Totals],[Winning Candidate]]-Audit[[#Totals],[Losing Candidate]]),
      0
)</f>
        <v>0</v>
      </c>
      <c r="AV9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8">
        <f>IF(Audit[[#This Row],[Max Relative Error (ep)]] = 0, 0, Audit[[#This Row],[Max Relative Error (ep)]]/Audit[[#This Row],[Error Bound (up) - Max. possible relative overstatement]])</f>
        <v>0</v>
      </c>
      <c r="BH9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8" s="18">
        <f t="shared" si="16"/>
        <v>1</v>
      </c>
      <c r="BJ998" s="18">
        <f>PRODUCT($BI$5:BI998)</f>
        <v>0.10664664085196122</v>
      </c>
      <c r="BK998" s="20">
        <f>1 - Audit[[#This Row],[K-M P Value]]</f>
        <v>0.89335335914803882</v>
      </c>
      <c r="BL998" s="18" t="str">
        <f>IF(Audit[[#This Row],[K-M P Value]]&gt;1-'General Info'!$B$12,"Continue", "Stop")</f>
        <v>Continue</v>
      </c>
      <c r="BM998" s="23" t="b">
        <f>IF(Audit[[#This Row],[Status - Continue or stop audit]] = "Continue", TRUE, IF(BL997 = "Continue", TRUE, FALSE))</f>
        <v>1</v>
      </c>
      <c r="BN998" s="23"/>
    </row>
    <row r="999" spans="1:66" ht="15" hidden="1" customHeight="1" x14ac:dyDescent="0.35">
      <c r="A999" s="18" t="str">
        <f>'Sampling Data'!AI999</f>
        <v/>
      </c>
      <c r="B999" s="18" t="str">
        <f>'Sampling Data'!A999</f>
        <v>7307 GREEN G   (ED)</v>
      </c>
      <c r="C999" s="18">
        <f>'Sampling Data'!B999</f>
        <v>121</v>
      </c>
      <c r="D999" s="18">
        <f>'Sampling Data'!C999</f>
        <v>5</v>
      </c>
      <c r="E999" s="19">
        <f>'Sampling Data'!D999</f>
        <v>0</v>
      </c>
      <c r="F999" s="19">
        <f>'Sampling Data'!E999</f>
        <v>0</v>
      </c>
      <c r="G999" s="19">
        <f>'Sampling Data'!F999</f>
        <v>0</v>
      </c>
      <c r="H999" s="19">
        <f>'Sampling Data'!G999</f>
        <v>0</v>
      </c>
      <c r="I999" s="19">
        <f>'Sampling Data'!H999</f>
        <v>0</v>
      </c>
      <c r="J999" s="19">
        <f>'Sampling Data'!I999</f>
        <v>0</v>
      </c>
      <c r="K999" s="19">
        <f>'Sampling Data'!J999</f>
        <v>0</v>
      </c>
      <c r="L999" s="19">
        <f>'Sampling Data'!K999</f>
        <v>0</v>
      </c>
      <c r="M999" s="19">
        <f>'Sampling Data'!L999</f>
        <v>0</v>
      </c>
      <c r="N999" s="19">
        <f>'Sampling Data'!M999</f>
        <v>0</v>
      </c>
      <c r="O999" s="18">
        <f>'Sampling Data'!N999</f>
        <v>0</v>
      </c>
      <c r="P999" s="18">
        <f>'Sampling Data'!O999</f>
        <v>1</v>
      </c>
      <c r="Q999" s="18">
        <f>'Sampling Data'!P999</f>
        <v>127</v>
      </c>
      <c r="R999" s="18">
        <f>'Sampling Data'!AJ999</f>
        <v>0</v>
      </c>
      <c r="S999" s="112"/>
      <c r="T999" s="112"/>
      <c r="U999" s="113"/>
      <c r="V999" s="113"/>
      <c r="W999" s="112"/>
      <c r="X999" s="112"/>
      <c r="Y999" s="112"/>
      <c r="Z999" s="112"/>
      <c r="AA999" s="15"/>
      <c r="AB999" s="15"/>
      <c r="AC999" s="15"/>
      <c r="AD999" s="15"/>
      <c r="AE999" s="114" t="str">
        <f>IF(NOT(ISBLANK(Audit[[#This Row],[Audit Winning Candidate]])), Audit[[#This Row],[Audit Winning Candidate]]-Audit[[#This Row],[Winning Candidate]], "")</f>
        <v/>
      </c>
      <c r="AF999" s="18" t="str">
        <f>IF(NOT(ISBLANK(Audit[[#This Row],[Audit Losing Candidate]])), Audit[[#This Row],[Audit Losing Candidate]]-Audit[[#This Row],[Losing Candidate]], "")</f>
        <v/>
      </c>
      <c r="AG999" s="18" t="str">
        <f>IF(NOT(ISBLANK(Audit[[#This Row],[Audit Candidate 3]])), Audit[[#This Row],[Audit Candidate 3]]-Audit[[#This Row],[Candidate 3]], "")</f>
        <v/>
      </c>
      <c r="AH999" s="18" t="str">
        <f>IF(NOT(ISBLANK(Audit[[#This Row],[Audit Candidate 4]])),Audit[[#This Row],[Audit Candidate 4]]-Audit[[#This Row],[Candidate 4]], "")</f>
        <v/>
      </c>
      <c r="AI999" s="18" t="str">
        <f>IF(NOT(ISBLANK(Audit[[#This Row],[Audit Candidate 5]])), Audit[[#This Row],[Audit Candidate 5]]-Audit[[#This Row],[Candidate 5]], "")</f>
        <v/>
      </c>
      <c r="AJ999" s="18" t="str">
        <f>IF(NOT(ISBLANK(Audit[[#This Row],[Audit Candidate 6]])), Audit[[#This Row],[Audit Candidate 6]]-Audit[[#This Row],[Candidate 6]], "")</f>
        <v/>
      </c>
      <c r="AK999" s="18" t="str">
        <f>IF(NOT(ISBLANK(Audit[[#This Row],[Audit Candidate 7]])), Audit[[#This Row],[Audit Candidate 7]]-Audit[[#This Row],[Candidate 7]], "")</f>
        <v/>
      </c>
      <c r="AL999" s="18" t="str">
        <f>IF(NOT(ISBLANK(Audit[[#This Row],[Audit Candidate 8]])), Audit[[#This Row],[Audit Candidate 8]]-Audit[[#This Row],[Candidate 8]], "")</f>
        <v/>
      </c>
      <c r="AM999" s="18" t="str">
        <f>IF(NOT(ISBLANK(Audit[[#This Row],[Audit Candidate 9]])), Audit[[#This Row],[Audit Candidate 9]]-Audit[[#This Row],[Candidate 9]], "")</f>
        <v/>
      </c>
      <c r="AN999" s="18" t="str">
        <f>IF(NOT(ISBLANK(Audit[[#This Row],[Audit Candidate 10]])), Audit[[#This Row],[Audit Candidate 10]]-Audit[[#This Row],[Candidate 10]], "")</f>
        <v/>
      </c>
      <c r="AO999" s="18" t="str">
        <f>IF(NOT(ISBLANK(Audit[[#This Row],[Audit Candidate 11]])), Audit[[#This Row],[Audit Candidate 11]]-Audit[[#This Row],[Candidate 11]], "")</f>
        <v/>
      </c>
      <c r="AP999" s="18" t="str">
        <f>IF(NOT(ISBLANK(Audit[[#This Row],[Audit Candidate 12]])), Audit[[#This Row],[Audit Candidate 12]]-Audit[[#This Row],[Candidate 12]], "")</f>
        <v/>
      </c>
      <c r="AQ999" s="18">
        <f>SUMIF(Audit[[#This Row],[Difference Winner]:[Difference Candidate 12]], "&gt;0")</f>
        <v>0</v>
      </c>
      <c r="AR999" s="18">
        <f>SUM(Audit[[#This Row],[Difference Winner]:[Difference Candidate 12]])</f>
        <v>0</v>
      </c>
      <c r="AS999" s="18">
        <f>IF(Audit[[#This Row],[Times p Drawn - With Replacement]]&gt;0, IF(Audit[[#This Row],[Canceled Differences]]&lt;0, Audit[[#This Row],[Max Differences]]+ABS(Audit[[#This Row],[Canceled Differences]]), Audit[[#This Row],[Max Differences]]), 0)</f>
        <v>0</v>
      </c>
      <c r="AT999" s="18">
        <f>'Sampling Data'!AB999</f>
        <v>7.6326287024531207E-3</v>
      </c>
      <c r="AU999" s="18">
        <f>IF(
      SUM(Audit[[#This Row],[Audit Losing Candidate]:[Audit Candidate 12]])
      &lt;&gt;0,
      (Audit[[#This Row],[Winning Candidate]]-Audit[[#This Row],[Losing Candidate]]-(Audit[[#This Row],[Audit Winning Candidate]]-Audit[[#This Row],[Audit Losing Candidate]]))/(Audit[[#Totals],[Winning Candidate]]-Audit[[#Totals],[Losing Candidate]]),
      0
)</f>
        <v>0</v>
      </c>
      <c r="AV9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8">
        <f>IF(Audit[[#This Row],[Max Relative Error (ep)]] = 0, 0, Audit[[#This Row],[Max Relative Error (ep)]]/Audit[[#This Row],[Error Bound (up) - Max. possible relative overstatement]])</f>
        <v>0</v>
      </c>
      <c r="BH9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999" s="18">
        <f t="shared" si="16"/>
        <v>1</v>
      </c>
      <c r="BJ999" s="18">
        <f>PRODUCT($BI$5:BI999)</f>
        <v>0.10664664085196122</v>
      </c>
      <c r="BK999" s="20">
        <f>1 - Audit[[#This Row],[K-M P Value]]</f>
        <v>0.89335335914803882</v>
      </c>
      <c r="BL999" s="18" t="str">
        <f>IF(Audit[[#This Row],[K-M P Value]]&gt;1-'General Info'!$B$12,"Continue", "Stop")</f>
        <v>Continue</v>
      </c>
      <c r="BM999" s="23" t="b">
        <f>IF(Audit[[#This Row],[Status - Continue or stop audit]] = "Continue", TRUE, IF(BL998 = "Continue", TRUE, FALSE))</f>
        <v>1</v>
      </c>
      <c r="BN999" s="23"/>
    </row>
    <row r="1000" spans="1:66" ht="15" hidden="1" customHeight="1" x14ac:dyDescent="0.35">
      <c r="A1000" s="18" t="str">
        <f>'Sampling Data'!AI1000</f>
        <v/>
      </c>
      <c r="B1000" s="18" t="str">
        <f>'Sampling Data'!A1000</f>
        <v>7308 GREEN H   (ED)</v>
      </c>
      <c r="C1000" s="18">
        <f>'Sampling Data'!B1000</f>
        <v>67</v>
      </c>
      <c r="D1000" s="18">
        <f>'Sampling Data'!C1000</f>
        <v>4</v>
      </c>
      <c r="E1000" s="19">
        <f>'Sampling Data'!D1000</f>
        <v>0</v>
      </c>
      <c r="F1000" s="19">
        <f>'Sampling Data'!E1000</f>
        <v>0</v>
      </c>
      <c r="G1000" s="19">
        <f>'Sampling Data'!F1000</f>
        <v>0</v>
      </c>
      <c r="H1000" s="19">
        <f>'Sampling Data'!G1000</f>
        <v>0</v>
      </c>
      <c r="I1000" s="19">
        <f>'Sampling Data'!H1000</f>
        <v>0</v>
      </c>
      <c r="J1000" s="19">
        <f>'Sampling Data'!I1000</f>
        <v>0</v>
      </c>
      <c r="K1000" s="19">
        <f>'Sampling Data'!J1000</f>
        <v>0</v>
      </c>
      <c r="L1000" s="19">
        <f>'Sampling Data'!K1000</f>
        <v>0</v>
      </c>
      <c r="M1000" s="19">
        <f>'Sampling Data'!L1000</f>
        <v>0</v>
      </c>
      <c r="N1000" s="19">
        <f>'Sampling Data'!M1000</f>
        <v>0</v>
      </c>
      <c r="O1000" s="18">
        <f>'Sampling Data'!N1000</f>
        <v>0</v>
      </c>
      <c r="P1000" s="18">
        <f>'Sampling Data'!O1000</f>
        <v>1</v>
      </c>
      <c r="Q1000" s="18">
        <f>'Sampling Data'!P1000</f>
        <v>72</v>
      </c>
      <c r="R1000" s="18">
        <f>'Sampling Data'!AJ1000</f>
        <v>0</v>
      </c>
      <c r="S1000" s="112"/>
      <c r="T1000" s="112"/>
      <c r="U1000" s="113"/>
      <c r="V1000" s="113"/>
      <c r="W1000" s="112"/>
      <c r="X1000" s="112"/>
      <c r="Y1000" s="112"/>
      <c r="Z1000" s="112"/>
      <c r="AA1000" s="15"/>
      <c r="AB1000" s="15"/>
      <c r="AC1000" s="15"/>
      <c r="AD1000" s="15"/>
      <c r="AE1000" s="114" t="str">
        <f>IF(NOT(ISBLANK(Audit[[#This Row],[Audit Winning Candidate]])), Audit[[#This Row],[Audit Winning Candidate]]-Audit[[#This Row],[Winning Candidate]], "")</f>
        <v/>
      </c>
      <c r="AF1000" s="18" t="str">
        <f>IF(NOT(ISBLANK(Audit[[#This Row],[Audit Losing Candidate]])), Audit[[#This Row],[Audit Losing Candidate]]-Audit[[#This Row],[Losing Candidate]], "")</f>
        <v/>
      </c>
      <c r="AG1000" s="18" t="str">
        <f>IF(NOT(ISBLANK(Audit[[#This Row],[Audit Candidate 3]])), Audit[[#This Row],[Audit Candidate 3]]-Audit[[#This Row],[Candidate 3]], "")</f>
        <v/>
      </c>
      <c r="AH1000" s="18" t="str">
        <f>IF(NOT(ISBLANK(Audit[[#This Row],[Audit Candidate 4]])),Audit[[#This Row],[Audit Candidate 4]]-Audit[[#This Row],[Candidate 4]], "")</f>
        <v/>
      </c>
      <c r="AI1000" s="18" t="str">
        <f>IF(NOT(ISBLANK(Audit[[#This Row],[Audit Candidate 5]])), Audit[[#This Row],[Audit Candidate 5]]-Audit[[#This Row],[Candidate 5]], "")</f>
        <v/>
      </c>
      <c r="AJ1000" s="18" t="str">
        <f>IF(NOT(ISBLANK(Audit[[#This Row],[Audit Candidate 6]])), Audit[[#This Row],[Audit Candidate 6]]-Audit[[#This Row],[Candidate 6]], "")</f>
        <v/>
      </c>
      <c r="AK1000" s="18" t="str">
        <f>IF(NOT(ISBLANK(Audit[[#This Row],[Audit Candidate 7]])), Audit[[#This Row],[Audit Candidate 7]]-Audit[[#This Row],[Candidate 7]], "")</f>
        <v/>
      </c>
      <c r="AL1000" s="18" t="str">
        <f>IF(NOT(ISBLANK(Audit[[#This Row],[Audit Candidate 8]])), Audit[[#This Row],[Audit Candidate 8]]-Audit[[#This Row],[Candidate 8]], "")</f>
        <v/>
      </c>
      <c r="AM1000" s="18" t="str">
        <f>IF(NOT(ISBLANK(Audit[[#This Row],[Audit Candidate 9]])), Audit[[#This Row],[Audit Candidate 9]]-Audit[[#This Row],[Candidate 9]], "")</f>
        <v/>
      </c>
      <c r="AN1000" s="18" t="str">
        <f>IF(NOT(ISBLANK(Audit[[#This Row],[Audit Candidate 10]])), Audit[[#This Row],[Audit Candidate 10]]-Audit[[#This Row],[Candidate 10]], "")</f>
        <v/>
      </c>
      <c r="AO1000" s="18" t="str">
        <f>IF(NOT(ISBLANK(Audit[[#This Row],[Audit Candidate 11]])), Audit[[#This Row],[Audit Candidate 11]]-Audit[[#This Row],[Candidate 11]], "")</f>
        <v/>
      </c>
      <c r="AP1000" s="18" t="str">
        <f>IF(NOT(ISBLANK(Audit[[#This Row],[Audit Candidate 12]])), Audit[[#This Row],[Audit Candidate 12]]-Audit[[#This Row],[Candidate 12]], "")</f>
        <v/>
      </c>
      <c r="AQ1000" s="18">
        <f>SUMIF(Audit[[#This Row],[Difference Winner]:[Difference Candidate 12]], "&gt;0")</f>
        <v>0</v>
      </c>
      <c r="AR1000" s="18">
        <f>SUM(Audit[[#This Row],[Difference Winner]:[Difference Candidate 12]])</f>
        <v>0</v>
      </c>
      <c r="AS1000" s="18">
        <f>IF(Audit[[#This Row],[Times p Drawn - With Replacement]]&gt;0, IF(Audit[[#This Row],[Canceled Differences]]&lt;0, Audit[[#This Row],[Max Differences]]+ABS(Audit[[#This Row],[Canceled Differences]]), Audit[[#This Row],[Max Differences]]), 0)</f>
        <v>0</v>
      </c>
      <c r="AT1000" s="18">
        <f>'Sampling Data'!AB1000</f>
        <v>4.240349279140623E-3</v>
      </c>
      <c r="AU1000" s="18">
        <f>IF(
      SUM(Audit[[#This Row],[Audit Losing Candidate]:[Audit Candidate 12]])
      &lt;&gt;0,
      (Audit[[#This Row],[Winning Candidate]]-Audit[[#This Row],[Losing Candidate]]-(Audit[[#This Row],[Audit Winning Candidate]]-Audit[[#This Row],[Audit Losing Candidate]]))/(Audit[[#Totals],[Winning Candidate]]-Audit[[#Totals],[Losing Candidate]]),
      0
)</f>
        <v>0</v>
      </c>
      <c r="AV10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8">
        <f>IF(Audit[[#This Row],[Max Relative Error (ep)]] = 0, 0, Audit[[#This Row],[Max Relative Error (ep)]]/Audit[[#This Row],[Error Bound (up) - Max. possible relative overstatement]])</f>
        <v>0</v>
      </c>
      <c r="BH10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0" s="18">
        <f t="shared" si="16"/>
        <v>1</v>
      </c>
      <c r="BJ1000" s="18">
        <f>PRODUCT($BI$5:BI1000)</f>
        <v>0.10664664085196122</v>
      </c>
      <c r="BK1000" s="20">
        <f>1 - Audit[[#This Row],[K-M P Value]]</f>
        <v>0.89335335914803882</v>
      </c>
      <c r="BL1000" s="18" t="str">
        <f>IF(Audit[[#This Row],[K-M P Value]]&gt;1-'General Info'!$B$12,"Continue", "Stop")</f>
        <v>Continue</v>
      </c>
      <c r="BM1000" s="23" t="b">
        <f>IF(Audit[[#This Row],[Status - Continue or stop audit]] = "Continue", TRUE, IF(BL999 = "Continue", TRUE, FALSE))</f>
        <v>1</v>
      </c>
      <c r="BN1000" s="23"/>
    </row>
    <row r="1001" spans="1:66" ht="15" hidden="1" customHeight="1" x14ac:dyDescent="0.35">
      <c r="A1001" s="18" t="str">
        <f>'Sampling Data'!AI1001</f>
        <v/>
      </c>
      <c r="B1001" s="18" t="str">
        <f>'Sampling Data'!A1001</f>
        <v>7309 GREEN I   (ED)</v>
      </c>
      <c r="C1001" s="18">
        <f>'Sampling Data'!B1001</f>
        <v>76</v>
      </c>
      <c r="D1001" s="18">
        <f>'Sampling Data'!C1001</f>
        <v>17</v>
      </c>
      <c r="E1001" s="19">
        <f>'Sampling Data'!D1001</f>
        <v>0</v>
      </c>
      <c r="F1001" s="19">
        <f>'Sampling Data'!E1001</f>
        <v>0</v>
      </c>
      <c r="G1001" s="19">
        <f>'Sampling Data'!F1001</f>
        <v>0</v>
      </c>
      <c r="H1001" s="19">
        <f>'Sampling Data'!G1001</f>
        <v>0</v>
      </c>
      <c r="I1001" s="19">
        <f>'Sampling Data'!H1001</f>
        <v>0</v>
      </c>
      <c r="J1001" s="19">
        <f>'Sampling Data'!I1001</f>
        <v>0</v>
      </c>
      <c r="K1001" s="19">
        <f>'Sampling Data'!J1001</f>
        <v>0</v>
      </c>
      <c r="L1001" s="19">
        <f>'Sampling Data'!K1001</f>
        <v>0</v>
      </c>
      <c r="M1001" s="19">
        <f>'Sampling Data'!L1001</f>
        <v>0</v>
      </c>
      <c r="N1001" s="19">
        <f>'Sampling Data'!M1001</f>
        <v>0</v>
      </c>
      <c r="O1001" s="18">
        <f>'Sampling Data'!N1001</f>
        <v>0</v>
      </c>
      <c r="P1001" s="18">
        <f>'Sampling Data'!O1001</f>
        <v>1</v>
      </c>
      <c r="Q1001" s="18">
        <f>'Sampling Data'!P1001</f>
        <v>94</v>
      </c>
      <c r="R1001" s="18">
        <f>'Sampling Data'!AJ1001</f>
        <v>0</v>
      </c>
      <c r="S1001" s="112"/>
      <c r="T1001" s="112"/>
      <c r="U1001" s="113"/>
      <c r="V1001" s="113"/>
      <c r="W1001" s="112"/>
      <c r="X1001" s="112"/>
      <c r="Y1001" s="112"/>
      <c r="Z1001" s="112"/>
      <c r="AA1001" s="15"/>
      <c r="AB1001" s="15"/>
      <c r="AC1001" s="15"/>
      <c r="AD1001" s="15"/>
      <c r="AE1001" s="114" t="str">
        <f>IF(NOT(ISBLANK(Audit[[#This Row],[Audit Winning Candidate]])), Audit[[#This Row],[Audit Winning Candidate]]-Audit[[#This Row],[Winning Candidate]], "")</f>
        <v/>
      </c>
      <c r="AF1001" s="18" t="str">
        <f>IF(NOT(ISBLANK(Audit[[#This Row],[Audit Losing Candidate]])), Audit[[#This Row],[Audit Losing Candidate]]-Audit[[#This Row],[Losing Candidate]], "")</f>
        <v/>
      </c>
      <c r="AG1001" s="18" t="str">
        <f>IF(NOT(ISBLANK(Audit[[#This Row],[Audit Candidate 3]])), Audit[[#This Row],[Audit Candidate 3]]-Audit[[#This Row],[Candidate 3]], "")</f>
        <v/>
      </c>
      <c r="AH1001" s="18" t="str">
        <f>IF(NOT(ISBLANK(Audit[[#This Row],[Audit Candidate 4]])),Audit[[#This Row],[Audit Candidate 4]]-Audit[[#This Row],[Candidate 4]], "")</f>
        <v/>
      </c>
      <c r="AI1001" s="18" t="str">
        <f>IF(NOT(ISBLANK(Audit[[#This Row],[Audit Candidate 5]])), Audit[[#This Row],[Audit Candidate 5]]-Audit[[#This Row],[Candidate 5]], "")</f>
        <v/>
      </c>
      <c r="AJ1001" s="18" t="str">
        <f>IF(NOT(ISBLANK(Audit[[#This Row],[Audit Candidate 6]])), Audit[[#This Row],[Audit Candidate 6]]-Audit[[#This Row],[Candidate 6]], "")</f>
        <v/>
      </c>
      <c r="AK1001" s="18" t="str">
        <f>IF(NOT(ISBLANK(Audit[[#This Row],[Audit Candidate 7]])), Audit[[#This Row],[Audit Candidate 7]]-Audit[[#This Row],[Candidate 7]], "")</f>
        <v/>
      </c>
      <c r="AL1001" s="18" t="str">
        <f>IF(NOT(ISBLANK(Audit[[#This Row],[Audit Candidate 8]])), Audit[[#This Row],[Audit Candidate 8]]-Audit[[#This Row],[Candidate 8]], "")</f>
        <v/>
      </c>
      <c r="AM1001" s="18" t="str">
        <f>IF(NOT(ISBLANK(Audit[[#This Row],[Audit Candidate 9]])), Audit[[#This Row],[Audit Candidate 9]]-Audit[[#This Row],[Candidate 9]], "")</f>
        <v/>
      </c>
      <c r="AN1001" s="18" t="str">
        <f>IF(NOT(ISBLANK(Audit[[#This Row],[Audit Candidate 10]])), Audit[[#This Row],[Audit Candidate 10]]-Audit[[#This Row],[Candidate 10]], "")</f>
        <v/>
      </c>
      <c r="AO1001" s="18" t="str">
        <f>IF(NOT(ISBLANK(Audit[[#This Row],[Audit Candidate 11]])), Audit[[#This Row],[Audit Candidate 11]]-Audit[[#This Row],[Candidate 11]], "")</f>
        <v/>
      </c>
      <c r="AP1001" s="18" t="str">
        <f>IF(NOT(ISBLANK(Audit[[#This Row],[Audit Candidate 12]])), Audit[[#This Row],[Audit Candidate 12]]-Audit[[#This Row],[Candidate 12]], "")</f>
        <v/>
      </c>
      <c r="AQ1001" s="18">
        <f>SUMIF(Audit[[#This Row],[Difference Winner]:[Difference Candidate 12]], "&gt;0")</f>
        <v>0</v>
      </c>
      <c r="AR1001" s="18">
        <f>SUM(Audit[[#This Row],[Difference Winner]:[Difference Candidate 12]])</f>
        <v>0</v>
      </c>
      <c r="AS1001" s="18">
        <f>IF(Audit[[#This Row],[Times p Drawn - With Replacement]]&gt;0, IF(Audit[[#This Row],[Canceled Differences]]&lt;0, Audit[[#This Row],[Max Differences]]+ABS(Audit[[#This Row],[Canceled Differences]]), Audit[[#This Row],[Max Differences]]), 0)</f>
        <v>0</v>
      </c>
      <c r="AT1001" s="18">
        <f>'Sampling Data'!AB1001</f>
        <v>4.8057291830260387E-3</v>
      </c>
      <c r="AU1001" s="18">
        <f>IF(
      SUM(Audit[[#This Row],[Audit Losing Candidate]:[Audit Candidate 12]])
      &lt;&gt;0,
      (Audit[[#This Row],[Winning Candidate]]-Audit[[#This Row],[Losing Candidate]]-(Audit[[#This Row],[Audit Winning Candidate]]-Audit[[#This Row],[Audit Losing Candidate]]))/(Audit[[#Totals],[Winning Candidate]]-Audit[[#Totals],[Losing Candidate]]),
      0
)</f>
        <v>0</v>
      </c>
      <c r="AV10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8">
        <f>IF(Audit[[#This Row],[Max Relative Error (ep)]] = 0, 0, Audit[[#This Row],[Max Relative Error (ep)]]/Audit[[#This Row],[Error Bound (up) - Max. possible relative overstatement]])</f>
        <v>0</v>
      </c>
      <c r="BH10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1" s="18">
        <f t="shared" si="16"/>
        <v>1</v>
      </c>
      <c r="BJ1001" s="18">
        <f>PRODUCT($BI$5:BI1001)</f>
        <v>0.10664664085196122</v>
      </c>
      <c r="BK1001" s="20">
        <f>1 - Audit[[#This Row],[K-M P Value]]</f>
        <v>0.89335335914803882</v>
      </c>
      <c r="BL1001" s="18" t="str">
        <f>IF(Audit[[#This Row],[K-M P Value]]&gt;1-'General Info'!$B$12,"Continue", "Stop")</f>
        <v>Continue</v>
      </c>
      <c r="BM1001" s="23" t="b">
        <f>IF(Audit[[#This Row],[Status - Continue or stop audit]] = "Continue", TRUE, IF(BL1000 = "Continue", TRUE, FALSE))</f>
        <v>1</v>
      </c>
      <c r="BN1001" s="23"/>
    </row>
    <row r="1002" spans="1:66" ht="15" hidden="1" customHeight="1" x14ac:dyDescent="0.35">
      <c r="A1002" s="18" t="str">
        <f>'Sampling Data'!AI1002</f>
        <v/>
      </c>
      <c r="B1002" s="18" t="str">
        <f>'Sampling Data'!A1002</f>
        <v>7310 GREEN J   (ED)</v>
      </c>
      <c r="C1002" s="18">
        <f>'Sampling Data'!B1002</f>
        <v>125</v>
      </c>
      <c r="D1002" s="18">
        <f>'Sampling Data'!C1002</f>
        <v>7</v>
      </c>
      <c r="E1002" s="19">
        <f>'Sampling Data'!D1002</f>
        <v>0</v>
      </c>
      <c r="F1002" s="19">
        <f>'Sampling Data'!E1002</f>
        <v>0</v>
      </c>
      <c r="G1002" s="19">
        <f>'Sampling Data'!F1002</f>
        <v>0</v>
      </c>
      <c r="H1002" s="19">
        <f>'Sampling Data'!G1002</f>
        <v>0</v>
      </c>
      <c r="I1002" s="19">
        <f>'Sampling Data'!H1002</f>
        <v>0</v>
      </c>
      <c r="J1002" s="19">
        <f>'Sampling Data'!I1002</f>
        <v>0</v>
      </c>
      <c r="K1002" s="19">
        <f>'Sampling Data'!J1002</f>
        <v>0</v>
      </c>
      <c r="L1002" s="19">
        <f>'Sampling Data'!K1002</f>
        <v>0</v>
      </c>
      <c r="M1002" s="19">
        <f>'Sampling Data'!L1002</f>
        <v>0</v>
      </c>
      <c r="N1002" s="19">
        <f>'Sampling Data'!M1002</f>
        <v>0</v>
      </c>
      <c r="O1002" s="18">
        <f>'Sampling Data'!N1002</f>
        <v>0</v>
      </c>
      <c r="P1002" s="18">
        <f>'Sampling Data'!O1002</f>
        <v>2</v>
      </c>
      <c r="Q1002" s="18">
        <f>'Sampling Data'!P1002</f>
        <v>134</v>
      </c>
      <c r="R1002" s="18">
        <f>'Sampling Data'!AJ1002</f>
        <v>0</v>
      </c>
      <c r="S1002" s="112"/>
      <c r="T1002" s="112"/>
      <c r="U1002" s="113"/>
      <c r="V1002" s="113"/>
      <c r="W1002" s="112"/>
      <c r="X1002" s="112"/>
      <c r="Y1002" s="112"/>
      <c r="Z1002" s="112"/>
      <c r="AA1002" s="15"/>
      <c r="AB1002" s="15"/>
      <c r="AC1002" s="15"/>
      <c r="AD1002" s="15"/>
      <c r="AE1002" s="114" t="str">
        <f>IF(NOT(ISBLANK(Audit[[#This Row],[Audit Winning Candidate]])), Audit[[#This Row],[Audit Winning Candidate]]-Audit[[#This Row],[Winning Candidate]], "")</f>
        <v/>
      </c>
      <c r="AF1002" s="18" t="str">
        <f>IF(NOT(ISBLANK(Audit[[#This Row],[Audit Losing Candidate]])), Audit[[#This Row],[Audit Losing Candidate]]-Audit[[#This Row],[Losing Candidate]], "")</f>
        <v/>
      </c>
      <c r="AG1002" s="18" t="str">
        <f>IF(NOT(ISBLANK(Audit[[#This Row],[Audit Candidate 3]])), Audit[[#This Row],[Audit Candidate 3]]-Audit[[#This Row],[Candidate 3]], "")</f>
        <v/>
      </c>
      <c r="AH1002" s="18" t="str">
        <f>IF(NOT(ISBLANK(Audit[[#This Row],[Audit Candidate 4]])),Audit[[#This Row],[Audit Candidate 4]]-Audit[[#This Row],[Candidate 4]], "")</f>
        <v/>
      </c>
      <c r="AI1002" s="18" t="str">
        <f>IF(NOT(ISBLANK(Audit[[#This Row],[Audit Candidate 5]])), Audit[[#This Row],[Audit Candidate 5]]-Audit[[#This Row],[Candidate 5]], "")</f>
        <v/>
      </c>
      <c r="AJ1002" s="18" t="str">
        <f>IF(NOT(ISBLANK(Audit[[#This Row],[Audit Candidate 6]])), Audit[[#This Row],[Audit Candidate 6]]-Audit[[#This Row],[Candidate 6]], "")</f>
        <v/>
      </c>
      <c r="AK1002" s="18" t="str">
        <f>IF(NOT(ISBLANK(Audit[[#This Row],[Audit Candidate 7]])), Audit[[#This Row],[Audit Candidate 7]]-Audit[[#This Row],[Candidate 7]], "")</f>
        <v/>
      </c>
      <c r="AL1002" s="18" t="str">
        <f>IF(NOT(ISBLANK(Audit[[#This Row],[Audit Candidate 8]])), Audit[[#This Row],[Audit Candidate 8]]-Audit[[#This Row],[Candidate 8]], "")</f>
        <v/>
      </c>
      <c r="AM1002" s="18" t="str">
        <f>IF(NOT(ISBLANK(Audit[[#This Row],[Audit Candidate 9]])), Audit[[#This Row],[Audit Candidate 9]]-Audit[[#This Row],[Candidate 9]], "")</f>
        <v/>
      </c>
      <c r="AN1002" s="18" t="str">
        <f>IF(NOT(ISBLANK(Audit[[#This Row],[Audit Candidate 10]])), Audit[[#This Row],[Audit Candidate 10]]-Audit[[#This Row],[Candidate 10]], "")</f>
        <v/>
      </c>
      <c r="AO1002" s="18" t="str">
        <f>IF(NOT(ISBLANK(Audit[[#This Row],[Audit Candidate 11]])), Audit[[#This Row],[Audit Candidate 11]]-Audit[[#This Row],[Candidate 11]], "")</f>
        <v/>
      </c>
      <c r="AP1002" s="18" t="str">
        <f>IF(NOT(ISBLANK(Audit[[#This Row],[Audit Candidate 12]])), Audit[[#This Row],[Audit Candidate 12]]-Audit[[#This Row],[Candidate 12]], "")</f>
        <v/>
      </c>
      <c r="AQ1002" s="18">
        <f>SUMIF(Audit[[#This Row],[Difference Winner]:[Difference Candidate 12]], "&gt;0")</f>
        <v>0</v>
      </c>
      <c r="AR1002" s="18">
        <f>SUM(Audit[[#This Row],[Difference Winner]:[Difference Candidate 12]])</f>
        <v>0</v>
      </c>
      <c r="AS1002" s="18">
        <f>IF(Audit[[#This Row],[Times p Drawn - With Replacement]]&gt;0, IF(Audit[[#This Row],[Canceled Differences]]&lt;0, Audit[[#This Row],[Max Differences]]+ABS(Audit[[#This Row],[Canceled Differences]]), Audit[[#This Row],[Max Differences]]), 0)</f>
        <v>0</v>
      </c>
      <c r="AT1002" s="18">
        <f>'Sampling Data'!AB1002</f>
        <v>7.9153186543958285E-3</v>
      </c>
      <c r="AU1002" s="18">
        <f>IF(
      SUM(Audit[[#This Row],[Audit Losing Candidate]:[Audit Candidate 12]])
      &lt;&gt;0,
      (Audit[[#This Row],[Winning Candidate]]-Audit[[#This Row],[Losing Candidate]]-(Audit[[#This Row],[Audit Winning Candidate]]-Audit[[#This Row],[Audit Losing Candidate]]))/(Audit[[#Totals],[Winning Candidate]]-Audit[[#Totals],[Losing Candidate]]),
      0
)</f>
        <v>0</v>
      </c>
      <c r="AV10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8">
        <f>IF(Audit[[#This Row],[Max Relative Error (ep)]] = 0, 0, Audit[[#This Row],[Max Relative Error (ep)]]/Audit[[#This Row],[Error Bound (up) - Max. possible relative overstatement]])</f>
        <v>0</v>
      </c>
      <c r="BH10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2" s="18">
        <f t="shared" si="16"/>
        <v>1</v>
      </c>
      <c r="BJ1002" s="18">
        <f>PRODUCT($BI$5:BI1002)</f>
        <v>0.10664664085196122</v>
      </c>
      <c r="BK1002" s="20">
        <f>1 - Audit[[#This Row],[K-M P Value]]</f>
        <v>0.89335335914803882</v>
      </c>
      <c r="BL1002" s="18" t="str">
        <f>IF(Audit[[#This Row],[K-M P Value]]&gt;1-'General Info'!$B$12,"Continue", "Stop")</f>
        <v>Continue</v>
      </c>
      <c r="BM1002" s="23" t="b">
        <f>IF(Audit[[#This Row],[Status - Continue or stop audit]] = "Continue", TRUE, IF(BL1001 = "Continue", TRUE, FALSE))</f>
        <v>1</v>
      </c>
      <c r="BN1002" s="23"/>
    </row>
    <row r="1003" spans="1:66" ht="15" hidden="1" customHeight="1" x14ac:dyDescent="0.35">
      <c r="A1003" s="18" t="str">
        <f>'Sampling Data'!AI1003</f>
        <v/>
      </c>
      <c r="B1003" s="18" t="str">
        <f>'Sampling Data'!A1003</f>
        <v>7311 GREEN K   (ED)</v>
      </c>
      <c r="C1003" s="18">
        <f>'Sampling Data'!B1003</f>
        <v>146</v>
      </c>
      <c r="D1003" s="18">
        <f>'Sampling Data'!C1003</f>
        <v>14</v>
      </c>
      <c r="E1003" s="19">
        <f>'Sampling Data'!D1003</f>
        <v>0</v>
      </c>
      <c r="F1003" s="19">
        <f>'Sampling Data'!E1003</f>
        <v>0</v>
      </c>
      <c r="G1003" s="19">
        <f>'Sampling Data'!F1003</f>
        <v>0</v>
      </c>
      <c r="H1003" s="19">
        <f>'Sampling Data'!G1003</f>
        <v>0</v>
      </c>
      <c r="I1003" s="19">
        <f>'Sampling Data'!H1003</f>
        <v>0</v>
      </c>
      <c r="J1003" s="19">
        <f>'Sampling Data'!I1003</f>
        <v>0</v>
      </c>
      <c r="K1003" s="19">
        <f>'Sampling Data'!J1003</f>
        <v>0</v>
      </c>
      <c r="L1003" s="19">
        <f>'Sampling Data'!K1003</f>
        <v>0</v>
      </c>
      <c r="M1003" s="19">
        <f>'Sampling Data'!L1003</f>
        <v>0</v>
      </c>
      <c r="N1003" s="19">
        <f>'Sampling Data'!M1003</f>
        <v>0</v>
      </c>
      <c r="O1003" s="18">
        <f>'Sampling Data'!N1003</f>
        <v>0</v>
      </c>
      <c r="P1003" s="18">
        <f>'Sampling Data'!O1003</f>
        <v>2</v>
      </c>
      <c r="Q1003" s="18">
        <f>'Sampling Data'!P1003</f>
        <v>162</v>
      </c>
      <c r="R1003" s="18">
        <f>'Sampling Data'!AJ1003</f>
        <v>0</v>
      </c>
      <c r="S1003" s="112"/>
      <c r="T1003" s="112"/>
      <c r="U1003" s="113"/>
      <c r="V1003" s="113"/>
      <c r="W1003" s="112"/>
      <c r="X1003" s="112"/>
      <c r="Y1003" s="112"/>
      <c r="Z1003" s="112"/>
      <c r="AA1003" s="15"/>
      <c r="AB1003" s="15"/>
      <c r="AC1003" s="15"/>
      <c r="AD1003" s="15"/>
      <c r="AE1003" s="114" t="str">
        <f>IF(NOT(ISBLANK(Audit[[#This Row],[Audit Winning Candidate]])), Audit[[#This Row],[Audit Winning Candidate]]-Audit[[#This Row],[Winning Candidate]], "")</f>
        <v/>
      </c>
      <c r="AF1003" s="18" t="str">
        <f>IF(NOT(ISBLANK(Audit[[#This Row],[Audit Losing Candidate]])), Audit[[#This Row],[Audit Losing Candidate]]-Audit[[#This Row],[Losing Candidate]], "")</f>
        <v/>
      </c>
      <c r="AG1003" s="18" t="str">
        <f>IF(NOT(ISBLANK(Audit[[#This Row],[Audit Candidate 3]])), Audit[[#This Row],[Audit Candidate 3]]-Audit[[#This Row],[Candidate 3]], "")</f>
        <v/>
      </c>
      <c r="AH1003" s="18" t="str">
        <f>IF(NOT(ISBLANK(Audit[[#This Row],[Audit Candidate 4]])),Audit[[#This Row],[Audit Candidate 4]]-Audit[[#This Row],[Candidate 4]], "")</f>
        <v/>
      </c>
      <c r="AI1003" s="18" t="str">
        <f>IF(NOT(ISBLANK(Audit[[#This Row],[Audit Candidate 5]])), Audit[[#This Row],[Audit Candidate 5]]-Audit[[#This Row],[Candidate 5]], "")</f>
        <v/>
      </c>
      <c r="AJ1003" s="18" t="str">
        <f>IF(NOT(ISBLANK(Audit[[#This Row],[Audit Candidate 6]])), Audit[[#This Row],[Audit Candidate 6]]-Audit[[#This Row],[Candidate 6]], "")</f>
        <v/>
      </c>
      <c r="AK1003" s="18" t="str">
        <f>IF(NOT(ISBLANK(Audit[[#This Row],[Audit Candidate 7]])), Audit[[#This Row],[Audit Candidate 7]]-Audit[[#This Row],[Candidate 7]], "")</f>
        <v/>
      </c>
      <c r="AL1003" s="18" t="str">
        <f>IF(NOT(ISBLANK(Audit[[#This Row],[Audit Candidate 8]])), Audit[[#This Row],[Audit Candidate 8]]-Audit[[#This Row],[Candidate 8]], "")</f>
        <v/>
      </c>
      <c r="AM1003" s="18" t="str">
        <f>IF(NOT(ISBLANK(Audit[[#This Row],[Audit Candidate 9]])), Audit[[#This Row],[Audit Candidate 9]]-Audit[[#This Row],[Candidate 9]], "")</f>
        <v/>
      </c>
      <c r="AN1003" s="18" t="str">
        <f>IF(NOT(ISBLANK(Audit[[#This Row],[Audit Candidate 10]])), Audit[[#This Row],[Audit Candidate 10]]-Audit[[#This Row],[Candidate 10]], "")</f>
        <v/>
      </c>
      <c r="AO1003" s="18" t="str">
        <f>IF(NOT(ISBLANK(Audit[[#This Row],[Audit Candidate 11]])), Audit[[#This Row],[Audit Candidate 11]]-Audit[[#This Row],[Candidate 11]], "")</f>
        <v/>
      </c>
      <c r="AP1003" s="18" t="str">
        <f>IF(NOT(ISBLANK(Audit[[#This Row],[Audit Candidate 12]])), Audit[[#This Row],[Audit Candidate 12]]-Audit[[#This Row],[Candidate 12]], "")</f>
        <v/>
      </c>
      <c r="AQ1003" s="18">
        <f>SUMIF(Audit[[#This Row],[Difference Winner]:[Difference Candidate 12]], "&gt;0")</f>
        <v>0</v>
      </c>
      <c r="AR1003" s="18">
        <f>SUM(Audit[[#This Row],[Difference Winner]:[Difference Candidate 12]])</f>
        <v>0</v>
      </c>
      <c r="AS1003" s="18">
        <f>IF(Audit[[#This Row],[Times p Drawn - With Replacement]]&gt;0, IF(Audit[[#This Row],[Canceled Differences]]&lt;0, Audit[[#This Row],[Max Differences]]+ABS(Audit[[#This Row],[Canceled Differences]]), Audit[[#This Row],[Max Differences]]), 0)</f>
        <v>0</v>
      </c>
      <c r="AT1003" s="18">
        <f>'Sampling Data'!AB1003</f>
        <v>9.2345384301284663E-3</v>
      </c>
      <c r="AU1003" s="18">
        <f>IF(
      SUM(Audit[[#This Row],[Audit Losing Candidate]:[Audit Candidate 12]])
      &lt;&gt;0,
      (Audit[[#This Row],[Winning Candidate]]-Audit[[#This Row],[Losing Candidate]]-(Audit[[#This Row],[Audit Winning Candidate]]-Audit[[#This Row],[Audit Losing Candidate]]))/(Audit[[#Totals],[Winning Candidate]]-Audit[[#Totals],[Losing Candidate]]),
      0
)</f>
        <v>0</v>
      </c>
      <c r="AV10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8">
        <f>IF(Audit[[#This Row],[Max Relative Error (ep)]] = 0, 0, Audit[[#This Row],[Max Relative Error (ep)]]/Audit[[#This Row],[Error Bound (up) - Max. possible relative overstatement]])</f>
        <v>0</v>
      </c>
      <c r="BH10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3" s="18">
        <f t="shared" si="16"/>
        <v>1</v>
      </c>
      <c r="BJ1003" s="18">
        <f>PRODUCT($BI$5:BI1003)</f>
        <v>0.10664664085196122</v>
      </c>
      <c r="BK1003" s="20">
        <f>1 - Audit[[#This Row],[K-M P Value]]</f>
        <v>0.89335335914803882</v>
      </c>
      <c r="BL1003" s="18" t="str">
        <f>IF(Audit[[#This Row],[K-M P Value]]&gt;1-'General Info'!$B$12,"Continue", "Stop")</f>
        <v>Continue</v>
      </c>
      <c r="BM1003" s="23" t="b">
        <f>IF(Audit[[#This Row],[Status - Continue or stop audit]] = "Continue", TRUE, IF(BL1002 = "Continue", TRUE, FALSE))</f>
        <v>1</v>
      </c>
      <c r="BN1003" s="23"/>
    </row>
    <row r="1004" spans="1:66" ht="15" hidden="1" customHeight="1" x14ac:dyDescent="0.35">
      <c r="A1004" s="18" t="str">
        <f>'Sampling Data'!AI1004</f>
        <v/>
      </c>
      <c r="B1004" s="18" t="str">
        <f>'Sampling Data'!A1004</f>
        <v>7312 GREEN L   (ED)</v>
      </c>
      <c r="C1004" s="18">
        <f>'Sampling Data'!B1004</f>
        <v>143</v>
      </c>
      <c r="D1004" s="18">
        <f>'Sampling Data'!C1004</f>
        <v>21</v>
      </c>
      <c r="E1004" s="19">
        <f>'Sampling Data'!D1004</f>
        <v>0</v>
      </c>
      <c r="F1004" s="19">
        <f>'Sampling Data'!E1004</f>
        <v>0</v>
      </c>
      <c r="G1004" s="19">
        <f>'Sampling Data'!F1004</f>
        <v>0</v>
      </c>
      <c r="H1004" s="19">
        <f>'Sampling Data'!G1004</f>
        <v>0</v>
      </c>
      <c r="I1004" s="19">
        <f>'Sampling Data'!H1004</f>
        <v>0</v>
      </c>
      <c r="J1004" s="19">
        <f>'Sampling Data'!I1004</f>
        <v>0</v>
      </c>
      <c r="K1004" s="19">
        <f>'Sampling Data'!J1004</f>
        <v>0</v>
      </c>
      <c r="L1004" s="19">
        <f>'Sampling Data'!K1004</f>
        <v>0</v>
      </c>
      <c r="M1004" s="19">
        <f>'Sampling Data'!L1004</f>
        <v>0</v>
      </c>
      <c r="N1004" s="19">
        <f>'Sampling Data'!M1004</f>
        <v>0</v>
      </c>
      <c r="O1004" s="18">
        <f>'Sampling Data'!N1004</f>
        <v>0</v>
      </c>
      <c r="P1004" s="18">
        <f>'Sampling Data'!O1004</f>
        <v>0</v>
      </c>
      <c r="Q1004" s="18">
        <f>'Sampling Data'!P1004</f>
        <v>164</v>
      </c>
      <c r="R1004" s="18">
        <f>'Sampling Data'!AJ1004</f>
        <v>0</v>
      </c>
      <c r="S1004" s="112"/>
      <c r="T1004" s="112"/>
      <c r="U1004" s="113"/>
      <c r="V1004" s="113"/>
      <c r="W1004" s="112"/>
      <c r="X1004" s="112"/>
      <c r="Y1004" s="112"/>
      <c r="Z1004" s="112"/>
      <c r="AA1004" s="15"/>
      <c r="AB1004" s="15"/>
      <c r="AC1004" s="15"/>
      <c r="AD1004" s="15"/>
      <c r="AE1004" s="114" t="str">
        <f>IF(NOT(ISBLANK(Audit[[#This Row],[Audit Winning Candidate]])), Audit[[#This Row],[Audit Winning Candidate]]-Audit[[#This Row],[Winning Candidate]], "")</f>
        <v/>
      </c>
      <c r="AF1004" s="18" t="str">
        <f>IF(NOT(ISBLANK(Audit[[#This Row],[Audit Losing Candidate]])), Audit[[#This Row],[Audit Losing Candidate]]-Audit[[#This Row],[Losing Candidate]], "")</f>
        <v/>
      </c>
      <c r="AG1004" s="18" t="str">
        <f>IF(NOT(ISBLANK(Audit[[#This Row],[Audit Candidate 3]])), Audit[[#This Row],[Audit Candidate 3]]-Audit[[#This Row],[Candidate 3]], "")</f>
        <v/>
      </c>
      <c r="AH1004" s="18" t="str">
        <f>IF(NOT(ISBLANK(Audit[[#This Row],[Audit Candidate 4]])),Audit[[#This Row],[Audit Candidate 4]]-Audit[[#This Row],[Candidate 4]], "")</f>
        <v/>
      </c>
      <c r="AI1004" s="18" t="str">
        <f>IF(NOT(ISBLANK(Audit[[#This Row],[Audit Candidate 5]])), Audit[[#This Row],[Audit Candidate 5]]-Audit[[#This Row],[Candidate 5]], "")</f>
        <v/>
      </c>
      <c r="AJ1004" s="18" t="str">
        <f>IF(NOT(ISBLANK(Audit[[#This Row],[Audit Candidate 6]])), Audit[[#This Row],[Audit Candidate 6]]-Audit[[#This Row],[Candidate 6]], "")</f>
        <v/>
      </c>
      <c r="AK1004" s="18" t="str">
        <f>IF(NOT(ISBLANK(Audit[[#This Row],[Audit Candidate 7]])), Audit[[#This Row],[Audit Candidate 7]]-Audit[[#This Row],[Candidate 7]], "")</f>
        <v/>
      </c>
      <c r="AL1004" s="18" t="str">
        <f>IF(NOT(ISBLANK(Audit[[#This Row],[Audit Candidate 8]])), Audit[[#This Row],[Audit Candidate 8]]-Audit[[#This Row],[Candidate 8]], "")</f>
        <v/>
      </c>
      <c r="AM1004" s="18" t="str">
        <f>IF(NOT(ISBLANK(Audit[[#This Row],[Audit Candidate 9]])), Audit[[#This Row],[Audit Candidate 9]]-Audit[[#This Row],[Candidate 9]], "")</f>
        <v/>
      </c>
      <c r="AN1004" s="18" t="str">
        <f>IF(NOT(ISBLANK(Audit[[#This Row],[Audit Candidate 10]])), Audit[[#This Row],[Audit Candidate 10]]-Audit[[#This Row],[Candidate 10]], "")</f>
        <v/>
      </c>
      <c r="AO1004" s="18" t="str">
        <f>IF(NOT(ISBLANK(Audit[[#This Row],[Audit Candidate 11]])), Audit[[#This Row],[Audit Candidate 11]]-Audit[[#This Row],[Candidate 11]], "")</f>
        <v/>
      </c>
      <c r="AP1004" s="18" t="str">
        <f>IF(NOT(ISBLANK(Audit[[#This Row],[Audit Candidate 12]])), Audit[[#This Row],[Audit Candidate 12]]-Audit[[#This Row],[Candidate 12]], "")</f>
        <v/>
      </c>
      <c r="AQ1004" s="18">
        <f>SUMIF(Audit[[#This Row],[Difference Winner]:[Difference Candidate 12]], "&gt;0")</f>
        <v>0</v>
      </c>
      <c r="AR1004" s="18">
        <f>SUM(Audit[[#This Row],[Difference Winner]:[Difference Candidate 12]])</f>
        <v>0</v>
      </c>
      <c r="AS1004" s="18">
        <f>IF(Audit[[#This Row],[Times p Drawn - With Replacement]]&gt;0, IF(Audit[[#This Row],[Canceled Differences]]&lt;0, Audit[[#This Row],[Max Differences]]+ABS(Audit[[#This Row],[Canceled Differences]]), Audit[[#This Row],[Max Differences]]), 0)</f>
        <v>0</v>
      </c>
      <c r="AT1004" s="18">
        <f>'Sampling Data'!AB1004</f>
        <v>8.9832584728460601E-3</v>
      </c>
      <c r="AU1004" s="18">
        <f>IF(
      SUM(Audit[[#This Row],[Audit Losing Candidate]:[Audit Candidate 12]])
      &lt;&gt;0,
      (Audit[[#This Row],[Winning Candidate]]-Audit[[#This Row],[Losing Candidate]]-(Audit[[#This Row],[Audit Winning Candidate]]-Audit[[#This Row],[Audit Losing Candidate]]))/(Audit[[#Totals],[Winning Candidate]]-Audit[[#Totals],[Losing Candidate]]),
      0
)</f>
        <v>0</v>
      </c>
      <c r="AV10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8">
        <f>IF(Audit[[#This Row],[Max Relative Error (ep)]] = 0, 0, Audit[[#This Row],[Max Relative Error (ep)]]/Audit[[#This Row],[Error Bound (up) - Max. possible relative overstatement]])</f>
        <v>0</v>
      </c>
      <c r="BH10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4" s="18">
        <f t="shared" si="16"/>
        <v>1</v>
      </c>
      <c r="BJ1004" s="18">
        <f>PRODUCT($BI$5:BI1004)</f>
        <v>0.10664664085196122</v>
      </c>
      <c r="BK1004" s="20">
        <f>1 - Audit[[#This Row],[K-M P Value]]</f>
        <v>0.89335335914803882</v>
      </c>
      <c r="BL1004" s="18" t="str">
        <f>IF(Audit[[#This Row],[K-M P Value]]&gt;1-'General Info'!$B$12,"Continue", "Stop")</f>
        <v>Continue</v>
      </c>
      <c r="BM1004" s="23" t="b">
        <f>IF(Audit[[#This Row],[Status - Continue or stop audit]] = "Continue", TRUE, IF(BL1003 = "Continue", TRUE, FALSE))</f>
        <v>1</v>
      </c>
      <c r="BN1004" s="23"/>
    </row>
    <row r="1005" spans="1:66" ht="15" hidden="1" customHeight="1" x14ac:dyDescent="0.35">
      <c r="A1005" s="18" t="str">
        <f>'Sampling Data'!AI1005</f>
        <v/>
      </c>
      <c r="B1005" s="18" t="str">
        <f>'Sampling Data'!A1005</f>
        <v>7313 GREEN M   (ED)</v>
      </c>
      <c r="C1005" s="18">
        <f>'Sampling Data'!B1005</f>
        <v>86</v>
      </c>
      <c r="D1005" s="18">
        <f>'Sampling Data'!C1005</f>
        <v>11</v>
      </c>
      <c r="E1005" s="19">
        <f>'Sampling Data'!D1005</f>
        <v>0</v>
      </c>
      <c r="F1005" s="19">
        <f>'Sampling Data'!E1005</f>
        <v>0</v>
      </c>
      <c r="G1005" s="19">
        <f>'Sampling Data'!F1005</f>
        <v>0</v>
      </c>
      <c r="H1005" s="19">
        <f>'Sampling Data'!G1005</f>
        <v>0</v>
      </c>
      <c r="I1005" s="19">
        <f>'Sampling Data'!H1005</f>
        <v>0</v>
      </c>
      <c r="J1005" s="19">
        <f>'Sampling Data'!I1005</f>
        <v>0</v>
      </c>
      <c r="K1005" s="19">
        <f>'Sampling Data'!J1005</f>
        <v>0</v>
      </c>
      <c r="L1005" s="19">
        <f>'Sampling Data'!K1005</f>
        <v>0</v>
      </c>
      <c r="M1005" s="19">
        <f>'Sampling Data'!L1005</f>
        <v>0</v>
      </c>
      <c r="N1005" s="19">
        <f>'Sampling Data'!M1005</f>
        <v>0</v>
      </c>
      <c r="O1005" s="18">
        <f>'Sampling Data'!N1005</f>
        <v>0</v>
      </c>
      <c r="P1005" s="18">
        <f>'Sampling Data'!O1005</f>
        <v>0</v>
      </c>
      <c r="Q1005" s="18">
        <f>'Sampling Data'!P1005</f>
        <v>97</v>
      </c>
      <c r="R1005" s="18">
        <f>'Sampling Data'!AJ1005</f>
        <v>0</v>
      </c>
      <c r="S1005" s="112"/>
      <c r="T1005" s="112"/>
      <c r="U1005" s="113"/>
      <c r="V1005" s="113"/>
      <c r="W1005" s="112"/>
      <c r="X1005" s="112"/>
      <c r="Y1005" s="112"/>
      <c r="Z1005" s="112"/>
      <c r="AA1005" s="15"/>
      <c r="AB1005" s="15"/>
      <c r="AC1005" s="15"/>
      <c r="AD1005" s="15"/>
      <c r="AE1005" s="114" t="str">
        <f>IF(NOT(ISBLANK(Audit[[#This Row],[Audit Winning Candidate]])), Audit[[#This Row],[Audit Winning Candidate]]-Audit[[#This Row],[Winning Candidate]], "")</f>
        <v/>
      </c>
      <c r="AF1005" s="18" t="str">
        <f>IF(NOT(ISBLANK(Audit[[#This Row],[Audit Losing Candidate]])), Audit[[#This Row],[Audit Losing Candidate]]-Audit[[#This Row],[Losing Candidate]], "")</f>
        <v/>
      </c>
      <c r="AG1005" s="18" t="str">
        <f>IF(NOT(ISBLANK(Audit[[#This Row],[Audit Candidate 3]])), Audit[[#This Row],[Audit Candidate 3]]-Audit[[#This Row],[Candidate 3]], "")</f>
        <v/>
      </c>
      <c r="AH1005" s="18" t="str">
        <f>IF(NOT(ISBLANK(Audit[[#This Row],[Audit Candidate 4]])),Audit[[#This Row],[Audit Candidate 4]]-Audit[[#This Row],[Candidate 4]], "")</f>
        <v/>
      </c>
      <c r="AI1005" s="18" t="str">
        <f>IF(NOT(ISBLANK(Audit[[#This Row],[Audit Candidate 5]])), Audit[[#This Row],[Audit Candidate 5]]-Audit[[#This Row],[Candidate 5]], "")</f>
        <v/>
      </c>
      <c r="AJ1005" s="18" t="str">
        <f>IF(NOT(ISBLANK(Audit[[#This Row],[Audit Candidate 6]])), Audit[[#This Row],[Audit Candidate 6]]-Audit[[#This Row],[Candidate 6]], "")</f>
        <v/>
      </c>
      <c r="AK1005" s="18" t="str">
        <f>IF(NOT(ISBLANK(Audit[[#This Row],[Audit Candidate 7]])), Audit[[#This Row],[Audit Candidate 7]]-Audit[[#This Row],[Candidate 7]], "")</f>
        <v/>
      </c>
      <c r="AL1005" s="18" t="str">
        <f>IF(NOT(ISBLANK(Audit[[#This Row],[Audit Candidate 8]])), Audit[[#This Row],[Audit Candidate 8]]-Audit[[#This Row],[Candidate 8]], "")</f>
        <v/>
      </c>
      <c r="AM1005" s="18" t="str">
        <f>IF(NOT(ISBLANK(Audit[[#This Row],[Audit Candidate 9]])), Audit[[#This Row],[Audit Candidate 9]]-Audit[[#This Row],[Candidate 9]], "")</f>
        <v/>
      </c>
      <c r="AN1005" s="18" t="str">
        <f>IF(NOT(ISBLANK(Audit[[#This Row],[Audit Candidate 10]])), Audit[[#This Row],[Audit Candidate 10]]-Audit[[#This Row],[Candidate 10]], "")</f>
        <v/>
      </c>
      <c r="AO1005" s="18" t="str">
        <f>IF(NOT(ISBLANK(Audit[[#This Row],[Audit Candidate 11]])), Audit[[#This Row],[Audit Candidate 11]]-Audit[[#This Row],[Candidate 11]], "")</f>
        <v/>
      </c>
      <c r="AP1005" s="18" t="str">
        <f>IF(NOT(ISBLANK(Audit[[#This Row],[Audit Candidate 12]])), Audit[[#This Row],[Audit Candidate 12]]-Audit[[#This Row],[Candidate 12]], "")</f>
        <v/>
      </c>
      <c r="AQ1005" s="18">
        <f>SUMIF(Audit[[#This Row],[Difference Winner]:[Difference Candidate 12]], "&gt;0")</f>
        <v>0</v>
      </c>
      <c r="AR1005" s="18">
        <f>SUM(Audit[[#This Row],[Difference Winner]:[Difference Candidate 12]])</f>
        <v>0</v>
      </c>
      <c r="AS1005" s="18">
        <f>IF(Audit[[#This Row],[Times p Drawn - With Replacement]]&gt;0, IF(Audit[[#This Row],[Canceled Differences]]&lt;0, Audit[[#This Row],[Max Differences]]+ABS(Audit[[#This Row],[Canceled Differences]]), Audit[[#This Row],[Max Differences]]), 0)</f>
        <v>0</v>
      </c>
      <c r="AT1005" s="18">
        <f>'Sampling Data'!AB1005</f>
        <v>5.402519081571756E-3</v>
      </c>
      <c r="AU1005" s="18">
        <f>IF(
      SUM(Audit[[#This Row],[Audit Losing Candidate]:[Audit Candidate 12]])
      &lt;&gt;0,
      (Audit[[#This Row],[Winning Candidate]]-Audit[[#This Row],[Losing Candidate]]-(Audit[[#This Row],[Audit Winning Candidate]]-Audit[[#This Row],[Audit Losing Candidate]]))/(Audit[[#Totals],[Winning Candidate]]-Audit[[#Totals],[Losing Candidate]]),
      0
)</f>
        <v>0</v>
      </c>
      <c r="AV10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8">
        <f>IF(Audit[[#This Row],[Max Relative Error (ep)]] = 0, 0, Audit[[#This Row],[Max Relative Error (ep)]]/Audit[[#This Row],[Error Bound (up) - Max. possible relative overstatement]])</f>
        <v>0</v>
      </c>
      <c r="BH10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5" s="18">
        <f t="shared" si="16"/>
        <v>1</v>
      </c>
      <c r="BJ1005" s="18">
        <f>PRODUCT($BI$5:BI1005)</f>
        <v>0.10664664085196122</v>
      </c>
      <c r="BK1005" s="20">
        <f>1 - Audit[[#This Row],[K-M P Value]]</f>
        <v>0.89335335914803882</v>
      </c>
      <c r="BL1005" s="18" t="str">
        <f>IF(Audit[[#This Row],[K-M P Value]]&gt;1-'General Info'!$B$12,"Continue", "Stop")</f>
        <v>Continue</v>
      </c>
      <c r="BM1005" s="23" t="b">
        <f>IF(Audit[[#This Row],[Status - Continue or stop audit]] = "Continue", TRUE, IF(BL1004 = "Continue", TRUE, FALSE))</f>
        <v>1</v>
      </c>
      <c r="BN1005" s="23"/>
    </row>
    <row r="1006" spans="1:66" ht="15" hidden="1" customHeight="1" x14ac:dyDescent="0.35">
      <c r="A1006" s="18" t="str">
        <f>'Sampling Data'!AI1006</f>
        <v/>
      </c>
      <c r="B1006" s="18" t="str">
        <f>'Sampling Data'!A1006</f>
        <v>7314 GREEN N   (ED)</v>
      </c>
      <c r="C1006" s="18">
        <f>'Sampling Data'!B1006</f>
        <v>78</v>
      </c>
      <c r="D1006" s="18">
        <f>'Sampling Data'!C1006</f>
        <v>12</v>
      </c>
      <c r="E1006" s="19">
        <f>'Sampling Data'!D1006</f>
        <v>0</v>
      </c>
      <c r="F1006" s="19">
        <f>'Sampling Data'!E1006</f>
        <v>0</v>
      </c>
      <c r="G1006" s="19">
        <f>'Sampling Data'!F1006</f>
        <v>0</v>
      </c>
      <c r="H1006" s="19">
        <f>'Sampling Data'!G1006</f>
        <v>0</v>
      </c>
      <c r="I1006" s="19">
        <f>'Sampling Data'!H1006</f>
        <v>0</v>
      </c>
      <c r="J1006" s="19">
        <f>'Sampling Data'!I1006</f>
        <v>0</v>
      </c>
      <c r="K1006" s="19">
        <f>'Sampling Data'!J1006</f>
        <v>0</v>
      </c>
      <c r="L1006" s="19">
        <f>'Sampling Data'!K1006</f>
        <v>0</v>
      </c>
      <c r="M1006" s="19">
        <f>'Sampling Data'!L1006</f>
        <v>0</v>
      </c>
      <c r="N1006" s="19">
        <f>'Sampling Data'!M1006</f>
        <v>0</v>
      </c>
      <c r="O1006" s="18">
        <f>'Sampling Data'!N1006</f>
        <v>0</v>
      </c>
      <c r="P1006" s="18">
        <f>'Sampling Data'!O1006</f>
        <v>0</v>
      </c>
      <c r="Q1006" s="18">
        <f>'Sampling Data'!P1006</f>
        <v>90</v>
      </c>
      <c r="R1006" s="18">
        <f>'Sampling Data'!AJ1006</f>
        <v>0</v>
      </c>
      <c r="S1006" s="112"/>
      <c r="T1006" s="112"/>
      <c r="U1006" s="113"/>
      <c r="V1006" s="113"/>
      <c r="W1006" s="112"/>
      <c r="X1006" s="112"/>
      <c r="Y1006" s="112"/>
      <c r="Z1006" s="112"/>
      <c r="AA1006" s="15"/>
      <c r="AB1006" s="15"/>
      <c r="AC1006" s="15"/>
      <c r="AD1006" s="15"/>
      <c r="AE1006" s="114" t="str">
        <f>IF(NOT(ISBLANK(Audit[[#This Row],[Audit Winning Candidate]])), Audit[[#This Row],[Audit Winning Candidate]]-Audit[[#This Row],[Winning Candidate]], "")</f>
        <v/>
      </c>
      <c r="AF1006" s="18" t="str">
        <f>IF(NOT(ISBLANK(Audit[[#This Row],[Audit Losing Candidate]])), Audit[[#This Row],[Audit Losing Candidate]]-Audit[[#This Row],[Losing Candidate]], "")</f>
        <v/>
      </c>
      <c r="AG1006" s="18" t="str">
        <f>IF(NOT(ISBLANK(Audit[[#This Row],[Audit Candidate 3]])), Audit[[#This Row],[Audit Candidate 3]]-Audit[[#This Row],[Candidate 3]], "")</f>
        <v/>
      </c>
      <c r="AH1006" s="18" t="str">
        <f>IF(NOT(ISBLANK(Audit[[#This Row],[Audit Candidate 4]])),Audit[[#This Row],[Audit Candidate 4]]-Audit[[#This Row],[Candidate 4]], "")</f>
        <v/>
      </c>
      <c r="AI1006" s="18" t="str">
        <f>IF(NOT(ISBLANK(Audit[[#This Row],[Audit Candidate 5]])), Audit[[#This Row],[Audit Candidate 5]]-Audit[[#This Row],[Candidate 5]], "")</f>
        <v/>
      </c>
      <c r="AJ1006" s="18" t="str">
        <f>IF(NOT(ISBLANK(Audit[[#This Row],[Audit Candidate 6]])), Audit[[#This Row],[Audit Candidate 6]]-Audit[[#This Row],[Candidate 6]], "")</f>
        <v/>
      </c>
      <c r="AK1006" s="18" t="str">
        <f>IF(NOT(ISBLANK(Audit[[#This Row],[Audit Candidate 7]])), Audit[[#This Row],[Audit Candidate 7]]-Audit[[#This Row],[Candidate 7]], "")</f>
        <v/>
      </c>
      <c r="AL1006" s="18" t="str">
        <f>IF(NOT(ISBLANK(Audit[[#This Row],[Audit Candidate 8]])), Audit[[#This Row],[Audit Candidate 8]]-Audit[[#This Row],[Candidate 8]], "")</f>
        <v/>
      </c>
      <c r="AM1006" s="18" t="str">
        <f>IF(NOT(ISBLANK(Audit[[#This Row],[Audit Candidate 9]])), Audit[[#This Row],[Audit Candidate 9]]-Audit[[#This Row],[Candidate 9]], "")</f>
        <v/>
      </c>
      <c r="AN1006" s="18" t="str">
        <f>IF(NOT(ISBLANK(Audit[[#This Row],[Audit Candidate 10]])), Audit[[#This Row],[Audit Candidate 10]]-Audit[[#This Row],[Candidate 10]], "")</f>
        <v/>
      </c>
      <c r="AO1006" s="18" t="str">
        <f>IF(NOT(ISBLANK(Audit[[#This Row],[Audit Candidate 11]])), Audit[[#This Row],[Audit Candidate 11]]-Audit[[#This Row],[Candidate 11]], "")</f>
        <v/>
      </c>
      <c r="AP1006" s="18" t="str">
        <f>IF(NOT(ISBLANK(Audit[[#This Row],[Audit Candidate 12]])), Audit[[#This Row],[Audit Candidate 12]]-Audit[[#This Row],[Candidate 12]], "")</f>
        <v/>
      </c>
      <c r="AQ1006" s="18">
        <f>SUMIF(Audit[[#This Row],[Difference Winner]:[Difference Candidate 12]], "&gt;0")</f>
        <v>0</v>
      </c>
      <c r="AR1006" s="18">
        <f>SUM(Audit[[#This Row],[Difference Winner]:[Difference Candidate 12]])</f>
        <v>0</v>
      </c>
      <c r="AS1006" s="18">
        <f>IF(Audit[[#This Row],[Times p Drawn - With Replacement]]&gt;0, IF(Audit[[#This Row],[Canceled Differences]]&lt;0, Audit[[#This Row],[Max Differences]]+ABS(Audit[[#This Row],[Canceled Differences]]), Audit[[#This Row],[Max Differences]]), 0)</f>
        <v>0</v>
      </c>
      <c r="AT1006" s="18">
        <f>'Sampling Data'!AB1006</f>
        <v>4.8999591670069419E-3</v>
      </c>
      <c r="AU1006" s="18">
        <f>IF(
      SUM(Audit[[#This Row],[Audit Losing Candidate]:[Audit Candidate 12]])
      &lt;&gt;0,
      (Audit[[#This Row],[Winning Candidate]]-Audit[[#This Row],[Losing Candidate]]-(Audit[[#This Row],[Audit Winning Candidate]]-Audit[[#This Row],[Audit Losing Candidate]]))/(Audit[[#Totals],[Winning Candidate]]-Audit[[#Totals],[Losing Candidate]]),
      0
)</f>
        <v>0</v>
      </c>
      <c r="AV10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8">
        <f>IF(Audit[[#This Row],[Max Relative Error (ep)]] = 0, 0, Audit[[#This Row],[Max Relative Error (ep)]]/Audit[[#This Row],[Error Bound (up) - Max. possible relative overstatement]])</f>
        <v>0</v>
      </c>
      <c r="BH10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6" s="18">
        <f t="shared" si="16"/>
        <v>1</v>
      </c>
      <c r="BJ1006" s="18">
        <f>PRODUCT($BI$5:BI1006)</f>
        <v>0.10664664085196122</v>
      </c>
      <c r="BK1006" s="20">
        <f>1 - Audit[[#This Row],[K-M P Value]]</f>
        <v>0.89335335914803882</v>
      </c>
      <c r="BL1006" s="18" t="str">
        <f>IF(Audit[[#This Row],[K-M P Value]]&gt;1-'General Info'!$B$12,"Continue", "Stop")</f>
        <v>Continue</v>
      </c>
      <c r="BM1006" s="23" t="b">
        <f>IF(Audit[[#This Row],[Status - Continue or stop audit]] = "Continue", TRUE, IF(BL1005 = "Continue", TRUE, FALSE))</f>
        <v>1</v>
      </c>
      <c r="BN1006" s="23"/>
    </row>
    <row r="1007" spans="1:66" ht="15" hidden="1" customHeight="1" x14ac:dyDescent="0.35">
      <c r="A1007" s="18" t="str">
        <f>'Sampling Data'!AI1007</f>
        <v/>
      </c>
      <c r="B1007" s="18" t="str">
        <f>'Sampling Data'!A1007</f>
        <v>7315 GREEN O   (ED)</v>
      </c>
      <c r="C1007" s="18">
        <f>'Sampling Data'!B1007</f>
        <v>92</v>
      </c>
      <c r="D1007" s="18">
        <f>'Sampling Data'!C1007</f>
        <v>12</v>
      </c>
      <c r="E1007" s="19">
        <f>'Sampling Data'!D1007</f>
        <v>0</v>
      </c>
      <c r="F1007" s="19">
        <f>'Sampling Data'!E1007</f>
        <v>0</v>
      </c>
      <c r="G1007" s="19">
        <f>'Sampling Data'!F1007</f>
        <v>0</v>
      </c>
      <c r="H1007" s="19">
        <f>'Sampling Data'!G1007</f>
        <v>0</v>
      </c>
      <c r="I1007" s="19">
        <f>'Sampling Data'!H1007</f>
        <v>0</v>
      </c>
      <c r="J1007" s="19">
        <f>'Sampling Data'!I1007</f>
        <v>0</v>
      </c>
      <c r="K1007" s="19">
        <f>'Sampling Data'!J1007</f>
        <v>0</v>
      </c>
      <c r="L1007" s="19">
        <f>'Sampling Data'!K1007</f>
        <v>0</v>
      </c>
      <c r="M1007" s="19">
        <f>'Sampling Data'!L1007</f>
        <v>0</v>
      </c>
      <c r="N1007" s="19">
        <f>'Sampling Data'!M1007</f>
        <v>0</v>
      </c>
      <c r="O1007" s="18">
        <f>'Sampling Data'!N1007</f>
        <v>0</v>
      </c>
      <c r="P1007" s="18">
        <f>'Sampling Data'!O1007</f>
        <v>3</v>
      </c>
      <c r="Q1007" s="18">
        <f>'Sampling Data'!P1007</f>
        <v>107</v>
      </c>
      <c r="R1007" s="18">
        <f>'Sampling Data'!AJ1007</f>
        <v>0</v>
      </c>
      <c r="S1007" s="112"/>
      <c r="T1007" s="112"/>
      <c r="U1007" s="113"/>
      <c r="V1007" s="113"/>
      <c r="W1007" s="112"/>
      <c r="X1007" s="112"/>
      <c r="Y1007" s="112"/>
      <c r="Z1007" s="112"/>
      <c r="AA1007" s="15"/>
      <c r="AB1007" s="15"/>
      <c r="AC1007" s="15"/>
      <c r="AD1007" s="15"/>
      <c r="AE1007" s="114" t="str">
        <f>IF(NOT(ISBLANK(Audit[[#This Row],[Audit Winning Candidate]])), Audit[[#This Row],[Audit Winning Candidate]]-Audit[[#This Row],[Winning Candidate]], "")</f>
        <v/>
      </c>
      <c r="AF1007" s="18" t="str">
        <f>IF(NOT(ISBLANK(Audit[[#This Row],[Audit Losing Candidate]])), Audit[[#This Row],[Audit Losing Candidate]]-Audit[[#This Row],[Losing Candidate]], "")</f>
        <v/>
      </c>
      <c r="AG1007" s="18" t="str">
        <f>IF(NOT(ISBLANK(Audit[[#This Row],[Audit Candidate 3]])), Audit[[#This Row],[Audit Candidate 3]]-Audit[[#This Row],[Candidate 3]], "")</f>
        <v/>
      </c>
      <c r="AH1007" s="18" t="str">
        <f>IF(NOT(ISBLANK(Audit[[#This Row],[Audit Candidate 4]])),Audit[[#This Row],[Audit Candidate 4]]-Audit[[#This Row],[Candidate 4]], "")</f>
        <v/>
      </c>
      <c r="AI1007" s="18" t="str">
        <f>IF(NOT(ISBLANK(Audit[[#This Row],[Audit Candidate 5]])), Audit[[#This Row],[Audit Candidate 5]]-Audit[[#This Row],[Candidate 5]], "")</f>
        <v/>
      </c>
      <c r="AJ1007" s="18" t="str">
        <f>IF(NOT(ISBLANK(Audit[[#This Row],[Audit Candidate 6]])), Audit[[#This Row],[Audit Candidate 6]]-Audit[[#This Row],[Candidate 6]], "")</f>
        <v/>
      </c>
      <c r="AK1007" s="18" t="str">
        <f>IF(NOT(ISBLANK(Audit[[#This Row],[Audit Candidate 7]])), Audit[[#This Row],[Audit Candidate 7]]-Audit[[#This Row],[Candidate 7]], "")</f>
        <v/>
      </c>
      <c r="AL1007" s="18" t="str">
        <f>IF(NOT(ISBLANK(Audit[[#This Row],[Audit Candidate 8]])), Audit[[#This Row],[Audit Candidate 8]]-Audit[[#This Row],[Candidate 8]], "")</f>
        <v/>
      </c>
      <c r="AM1007" s="18" t="str">
        <f>IF(NOT(ISBLANK(Audit[[#This Row],[Audit Candidate 9]])), Audit[[#This Row],[Audit Candidate 9]]-Audit[[#This Row],[Candidate 9]], "")</f>
        <v/>
      </c>
      <c r="AN1007" s="18" t="str">
        <f>IF(NOT(ISBLANK(Audit[[#This Row],[Audit Candidate 10]])), Audit[[#This Row],[Audit Candidate 10]]-Audit[[#This Row],[Candidate 10]], "")</f>
        <v/>
      </c>
      <c r="AO1007" s="18" t="str">
        <f>IF(NOT(ISBLANK(Audit[[#This Row],[Audit Candidate 11]])), Audit[[#This Row],[Audit Candidate 11]]-Audit[[#This Row],[Candidate 11]], "")</f>
        <v/>
      </c>
      <c r="AP1007" s="18" t="str">
        <f>IF(NOT(ISBLANK(Audit[[#This Row],[Audit Candidate 12]])), Audit[[#This Row],[Audit Candidate 12]]-Audit[[#This Row],[Candidate 12]], "")</f>
        <v/>
      </c>
      <c r="AQ1007" s="18">
        <f>SUMIF(Audit[[#This Row],[Difference Winner]:[Difference Candidate 12]], "&gt;0")</f>
        <v>0</v>
      </c>
      <c r="AR1007" s="18">
        <f>SUM(Audit[[#This Row],[Difference Winner]:[Difference Candidate 12]])</f>
        <v>0</v>
      </c>
      <c r="AS1007" s="18">
        <f>IF(Audit[[#This Row],[Times p Drawn - With Replacement]]&gt;0, IF(Audit[[#This Row],[Canceled Differences]]&lt;0, Audit[[#This Row],[Max Differences]]+ABS(Audit[[#This Row],[Canceled Differences]]), Audit[[#This Row],[Max Differences]]), 0)</f>
        <v>0</v>
      </c>
      <c r="AT1007" s="18">
        <f>'Sampling Data'!AB1007</f>
        <v>5.8736690014762694E-3</v>
      </c>
      <c r="AU1007" s="18">
        <f>IF(
      SUM(Audit[[#This Row],[Audit Losing Candidate]:[Audit Candidate 12]])
      &lt;&gt;0,
      (Audit[[#This Row],[Winning Candidate]]-Audit[[#This Row],[Losing Candidate]]-(Audit[[#This Row],[Audit Winning Candidate]]-Audit[[#This Row],[Audit Losing Candidate]]))/(Audit[[#Totals],[Winning Candidate]]-Audit[[#Totals],[Losing Candidate]]),
      0
)</f>
        <v>0</v>
      </c>
      <c r="AV10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8">
        <f>IF(Audit[[#This Row],[Max Relative Error (ep)]] = 0, 0, Audit[[#This Row],[Max Relative Error (ep)]]/Audit[[#This Row],[Error Bound (up) - Max. possible relative overstatement]])</f>
        <v>0</v>
      </c>
      <c r="BH10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7" s="18">
        <f t="shared" si="16"/>
        <v>1</v>
      </c>
      <c r="BJ1007" s="18">
        <f>PRODUCT($BI$5:BI1007)</f>
        <v>0.10664664085196122</v>
      </c>
      <c r="BK1007" s="20">
        <f>1 - Audit[[#This Row],[K-M P Value]]</f>
        <v>0.89335335914803882</v>
      </c>
      <c r="BL1007" s="18" t="str">
        <f>IF(Audit[[#This Row],[K-M P Value]]&gt;1-'General Info'!$B$12,"Continue", "Stop")</f>
        <v>Continue</v>
      </c>
      <c r="BM1007" s="23" t="b">
        <f>IF(Audit[[#This Row],[Status - Continue or stop audit]] = "Continue", TRUE, IF(BL1006 = "Continue", TRUE, FALSE))</f>
        <v>1</v>
      </c>
      <c r="BN1007" s="23"/>
    </row>
    <row r="1008" spans="1:66" ht="15" hidden="1" customHeight="1" x14ac:dyDescent="0.35">
      <c r="A1008" s="18" t="str">
        <f>'Sampling Data'!AI1008</f>
        <v/>
      </c>
      <c r="B1008" s="18" t="str">
        <f>'Sampling Data'!A1008</f>
        <v>7316 GREEN P   (ED)</v>
      </c>
      <c r="C1008" s="18">
        <f>'Sampling Data'!B1008</f>
        <v>114</v>
      </c>
      <c r="D1008" s="18">
        <f>'Sampling Data'!C1008</f>
        <v>4</v>
      </c>
      <c r="E1008" s="19">
        <f>'Sampling Data'!D1008</f>
        <v>0</v>
      </c>
      <c r="F1008" s="19">
        <f>'Sampling Data'!E1008</f>
        <v>0</v>
      </c>
      <c r="G1008" s="19">
        <f>'Sampling Data'!F1008</f>
        <v>0</v>
      </c>
      <c r="H1008" s="19">
        <f>'Sampling Data'!G1008</f>
        <v>0</v>
      </c>
      <c r="I1008" s="19">
        <f>'Sampling Data'!H1008</f>
        <v>0</v>
      </c>
      <c r="J1008" s="19">
        <f>'Sampling Data'!I1008</f>
        <v>0</v>
      </c>
      <c r="K1008" s="19">
        <f>'Sampling Data'!J1008</f>
        <v>0</v>
      </c>
      <c r="L1008" s="19">
        <f>'Sampling Data'!K1008</f>
        <v>0</v>
      </c>
      <c r="M1008" s="19">
        <f>'Sampling Data'!L1008</f>
        <v>0</v>
      </c>
      <c r="N1008" s="19">
        <f>'Sampling Data'!M1008</f>
        <v>0</v>
      </c>
      <c r="O1008" s="18">
        <f>'Sampling Data'!N1008</f>
        <v>0</v>
      </c>
      <c r="P1008" s="18">
        <f>'Sampling Data'!O1008</f>
        <v>3</v>
      </c>
      <c r="Q1008" s="18">
        <f>'Sampling Data'!P1008</f>
        <v>121</v>
      </c>
      <c r="R1008" s="18">
        <f>'Sampling Data'!AJ1008</f>
        <v>0</v>
      </c>
      <c r="S1008" s="112"/>
      <c r="T1008" s="112"/>
      <c r="U1008" s="113"/>
      <c r="V1008" s="113"/>
      <c r="W1008" s="112"/>
      <c r="X1008" s="112"/>
      <c r="Y1008" s="112"/>
      <c r="Z1008" s="112"/>
      <c r="AA1008" s="15"/>
      <c r="AB1008" s="15"/>
      <c r="AC1008" s="15"/>
      <c r="AD1008" s="15"/>
      <c r="AE1008" s="114" t="str">
        <f>IF(NOT(ISBLANK(Audit[[#This Row],[Audit Winning Candidate]])), Audit[[#This Row],[Audit Winning Candidate]]-Audit[[#This Row],[Winning Candidate]], "")</f>
        <v/>
      </c>
      <c r="AF1008" s="18" t="str">
        <f>IF(NOT(ISBLANK(Audit[[#This Row],[Audit Losing Candidate]])), Audit[[#This Row],[Audit Losing Candidate]]-Audit[[#This Row],[Losing Candidate]], "")</f>
        <v/>
      </c>
      <c r="AG1008" s="18" t="str">
        <f>IF(NOT(ISBLANK(Audit[[#This Row],[Audit Candidate 3]])), Audit[[#This Row],[Audit Candidate 3]]-Audit[[#This Row],[Candidate 3]], "")</f>
        <v/>
      </c>
      <c r="AH1008" s="18" t="str">
        <f>IF(NOT(ISBLANK(Audit[[#This Row],[Audit Candidate 4]])),Audit[[#This Row],[Audit Candidate 4]]-Audit[[#This Row],[Candidate 4]], "")</f>
        <v/>
      </c>
      <c r="AI1008" s="18" t="str">
        <f>IF(NOT(ISBLANK(Audit[[#This Row],[Audit Candidate 5]])), Audit[[#This Row],[Audit Candidate 5]]-Audit[[#This Row],[Candidate 5]], "")</f>
        <v/>
      </c>
      <c r="AJ1008" s="18" t="str">
        <f>IF(NOT(ISBLANK(Audit[[#This Row],[Audit Candidate 6]])), Audit[[#This Row],[Audit Candidate 6]]-Audit[[#This Row],[Candidate 6]], "")</f>
        <v/>
      </c>
      <c r="AK1008" s="18" t="str">
        <f>IF(NOT(ISBLANK(Audit[[#This Row],[Audit Candidate 7]])), Audit[[#This Row],[Audit Candidate 7]]-Audit[[#This Row],[Candidate 7]], "")</f>
        <v/>
      </c>
      <c r="AL1008" s="18" t="str">
        <f>IF(NOT(ISBLANK(Audit[[#This Row],[Audit Candidate 8]])), Audit[[#This Row],[Audit Candidate 8]]-Audit[[#This Row],[Candidate 8]], "")</f>
        <v/>
      </c>
      <c r="AM1008" s="18" t="str">
        <f>IF(NOT(ISBLANK(Audit[[#This Row],[Audit Candidate 9]])), Audit[[#This Row],[Audit Candidate 9]]-Audit[[#This Row],[Candidate 9]], "")</f>
        <v/>
      </c>
      <c r="AN1008" s="18" t="str">
        <f>IF(NOT(ISBLANK(Audit[[#This Row],[Audit Candidate 10]])), Audit[[#This Row],[Audit Candidate 10]]-Audit[[#This Row],[Candidate 10]], "")</f>
        <v/>
      </c>
      <c r="AO1008" s="18" t="str">
        <f>IF(NOT(ISBLANK(Audit[[#This Row],[Audit Candidate 11]])), Audit[[#This Row],[Audit Candidate 11]]-Audit[[#This Row],[Candidate 11]], "")</f>
        <v/>
      </c>
      <c r="AP1008" s="18" t="str">
        <f>IF(NOT(ISBLANK(Audit[[#This Row],[Audit Candidate 12]])), Audit[[#This Row],[Audit Candidate 12]]-Audit[[#This Row],[Candidate 12]], "")</f>
        <v/>
      </c>
      <c r="AQ1008" s="18">
        <f>SUMIF(Audit[[#This Row],[Difference Winner]:[Difference Candidate 12]], "&gt;0")</f>
        <v>0</v>
      </c>
      <c r="AR1008" s="18">
        <f>SUM(Audit[[#This Row],[Difference Winner]:[Difference Candidate 12]])</f>
        <v>0</v>
      </c>
      <c r="AS1008" s="18">
        <f>IF(Audit[[#This Row],[Times p Drawn - With Replacement]]&gt;0, IF(Audit[[#This Row],[Canceled Differences]]&lt;0, Audit[[#This Row],[Max Differences]]+ABS(Audit[[#This Row],[Canceled Differences]]), Audit[[#This Row],[Max Differences]]), 0)</f>
        <v>0</v>
      </c>
      <c r="AT1008" s="18">
        <f>'Sampling Data'!AB1008</f>
        <v>7.2557087665295096E-3</v>
      </c>
      <c r="AU1008" s="18">
        <f>IF(
      SUM(Audit[[#This Row],[Audit Losing Candidate]:[Audit Candidate 12]])
      &lt;&gt;0,
      (Audit[[#This Row],[Winning Candidate]]-Audit[[#This Row],[Losing Candidate]]-(Audit[[#This Row],[Audit Winning Candidate]]-Audit[[#This Row],[Audit Losing Candidate]]))/(Audit[[#Totals],[Winning Candidate]]-Audit[[#Totals],[Losing Candidate]]),
      0
)</f>
        <v>0</v>
      </c>
      <c r="AV10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8">
        <f>IF(Audit[[#This Row],[Max Relative Error (ep)]] = 0, 0, Audit[[#This Row],[Max Relative Error (ep)]]/Audit[[#This Row],[Error Bound (up) - Max. possible relative overstatement]])</f>
        <v>0</v>
      </c>
      <c r="BH10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8" s="18">
        <f t="shared" si="16"/>
        <v>1</v>
      </c>
      <c r="BJ1008" s="18">
        <f>PRODUCT($BI$5:BI1008)</f>
        <v>0.10664664085196122</v>
      </c>
      <c r="BK1008" s="20">
        <f>1 - Audit[[#This Row],[K-M P Value]]</f>
        <v>0.89335335914803882</v>
      </c>
      <c r="BL1008" s="18" t="str">
        <f>IF(Audit[[#This Row],[K-M P Value]]&gt;1-'General Info'!$B$12,"Continue", "Stop")</f>
        <v>Continue</v>
      </c>
      <c r="BM1008" s="23" t="b">
        <f>IF(Audit[[#This Row],[Status - Continue or stop audit]] = "Continue", TRUE, IF(BL1007 = "Continue", TRUE, FALSE))</f>
        <v>1</v>
      </c>
      <c r="BN1008" s="23"/>
    </row>
    <row r="1009" spans="1:66" ht="15" hidden="1" customHeight="1" x14ac:dyDescent="0.35">
      <c r="A1009" s="18" t="str">
        <f>'Sampling Data'!AI1009</f>
        <v/>
      </c>
      <c r="B1009" s="18" t="str">
        <f>'Sampling Data'!A1009</f>
        <v>7317 GREEN Q   (ED)</v>
      </c>
      <c r="C1009" s="18">
        <f>'Sampling Data'!B1009</f>
        <v>165</v>
      </c>
      <c r="D1009" s="18">
        <f>'Sampling Data'!C1009</f>
        <v>22</v>
      </c>
      <c r="E1009" s="19">
        <f>'Sampling Data'!D1009</f>
        <v>0</v>
      </c>
      <c r="F1009" s="19">
        <f>'Sampling Data'!E1009</f>
        <v>0</v>
      </c>
      <c r="G1009" s="19">
        <f>'Sampling Data'!F1009</f>
        <v>0</v>
      </c>
      <c r="H1009" s="19">
        <f>'Sampling Data'!G1009</f>
        <v>0</v>
      </c>
      <c r="I1009" s="19">
        <f>'Sampling Data'!H1009</f>
        <v>0</v>
      </c>
      <c r="J1009" s="19">
        <f>'Sampling Data'!I1009</f>
        <v>0</v>
      </c>
      <c r="K1009" s="19">
        <f>'Sampling Data'!J1009</f>
        <v>0</v>
      </c>
      <c r="L1009" s="19">
        <f>'Sampling Data'!K1009</f>
        <v>0</v>
      </c>
      <c r="M1009" s="19">
        <f>'Sampling Data'!L1009</f>
        <v>0</v>
      </c>
      <c r="N1009" s="19">
        <f>'Sampling Data'!M1009</f>
        <v>0</v>
      </c>
      <c r="O1009" s="18">
        <f>'Sampling Data'!N1009</f>
        <v>0</v>
      </c>
      <c r="P1009" s="18">
        <f>'Sampling Data'!O1009</f>
        <v>2</v>
      </c>
      <c r="Q1009" s="18">
        <f>'Sampling Data'!P1009</f>
        <v>189</v>
      </c>
      <c r="R1009" s="18">
        <f>'Sampling Data'!AJ1009</f>
        <v>0</v>
      </c>
      <c r="S1009" s="112"/>
      <c r="T1009" s="112"/>
      <c r="U1009" s="113"/>
      <c r="V1009" s="113"/>
      <c r="W1009" s="112"/>
      <c r="X1009" s="112"/>
      <c r="Y1009" s="112"/>
      <c r="Z1009" s="112"/>
      <c r="AA1009" s="15"/>
      <c r="AB1009" s="15"/>
      <c r="AC1009" s="15"/>
      <c r="AD1009" s="15"/>
      <c r="AE1009" s="114" t="str">
        <f>IF(NOT(ISBLANK(Audit[[#This Row],[Audit Winning Candidate]])), Audit[[#This Row],[Audit Winning Candidate]]-Audit[[#This Row],[Winning Candidate]], "")</f>
        <v/>
      </c>
      <c r="AF1009" s="18" t="str">
        <f>IF(NOT(ISBLANK(Audit[[#This Row],[Audit Losing Candidate]])), Audit[[#This Row],[Audit Losing Candidate]]-Audit[[#This Row],[Losing Candidate]], "")</f>
        <v/>
      </c>
      <c r="AG1009" s="18" t="str">
        <f>IF(NOT(ISBLANK(Audit[[#This Row],[Audit Candidate 3]])), Audit[[#This Row],[Audit Candidate 3]]-Audit[[#This Row],[Candidate 3]], "")</f>
        <v/>
      </c>
      <c r="AH1009" s="18" t="str">
        <f>IF(NOT(ISBLANK(Audit[[#This Row],[Audit Candidate 4]])),Audit[[#This Row],[Audit Candidate 4]]-Audit[[#This Row],[Candidate 4]], "")</f>
        <v/>
      </c>
      <c r="AI1009" s="18" t="str">
        <f>IF(NOT(ISBLANK(Audit[[#This Row],[Audit Candidate 5]])), Audit[[#This Row],[Audit Candidate 5]]-Audit[[#This Row],[Candidate 5]], "")</f>
        <v/>
      </c>
      <c r="AJ1009" s="18" t="str">
        <f>IF(NOT(ISBLANK(Audit[[#This Row],[Audit Candidate 6]])), Audit[[#This Row],[Audit Candidate 6]]-Audit[[#This Row],[Candidate 6]], "")</f>
        <v/>
      </c>
      <c r="AK1009" s="18" t="str">
        <f>IF(NOT(ISBLANK(Audit[[#This Row],[Audit Candidate 7]])), Audit[[#This Row],[Audit Candidate 7]]-Audit[[#This Row],[Candidate 7]], "")</f>
        <v/>
      </c>
      <c r="AL1009" s="18" t="str">
        <f>IF(NOT(ISBLANK(Audit[[#This Row],[Audit Candidate 8]])), Audit[[#This Row],[Audit Candidate 8]]-Audit[[#This Row],[Candidate 8]], "")</f>
        <v/>
      </c>
      <c r="AM1009" s="18" t="str">
        <f>IF(NOT(ISBLANK(Audit[[#This Row],[Audit Candidate 9]])), Audit[[#This Row],[Audit Candidate 9]]-Audit[[#This Row],[Candidate 9]], "")</f>
        <v/>
      </c>
      <c r="AN1009" s="18" t="str">
        <f>IF(NOT(ISBLANK(Audit[[#This Row],[Audit Candidate 10]])), Audit[[#This Row],[Audit Candidate 10]]-Audit[[#This Row],[Candidate 10]], "")</f>
        <v/>
      </c>
      <c r="AO1009" s="18" t="str">
        <f>IF(NOT(ISBLANK(Audit[[#This Row],[Audit Candidate 11]])), Audit[[#This Row],[Audit Candidate 11]]-Audit[[#This Row],[Candidate 11]], "")</f>
        <v/>
      </c>
      <c r="AP1009" s="18" t="str">
        <f>IF(NOT(ISBLANK(Audit[[#This Row],[Audit Candidate 12]])), Audit[[#This Row],[Audit Candidate 12]]-Audit[[#This Row],[Candidate 12]], "")</f>
        <v/>
      </c>
      <c r="AQ1009" s="18">
        <f>SUMIF(Audit[[#This Row],[Difference Winner]:[Difference Candidate 12]], "&gt;0")</f>
        <v>0</v>
      </c>
      <c r="AR1009" s="18">
        <f>SUM(Audit[[#This Row],[Difference Winner]:[Difference Candidate 12]])</f>
        <v>0</v>
      </c>
      <c r="AS1009" s="18">
        <f>IF(Audit[[#This Row],[Times p Drawn - With Replacement]]&gt;0, IF(Audit[[#This Row],[Canceled Differences]]&lt;0, Audit[[#This Row],[Max Differences]]+ABS(Audit[[#This Row],[Canceled Differences]]), Audit[[#This Row],[Max Differences]]), 0)</f>
        <v>0</v>
      </c>
      <c r="AT1009" s="18">
        <f>'Sampling Data'!AB1009</f>
        <v>1.0428118227219901E-2</v>
      </c>
      <c r="AU1009" s="18">
        <f>IF(
      SUM(Audit[[#This Row],[Audit Losing Candidate]:[Audit Candidate 12]])
      &lt;&gt;0,
      (Audit[[#This Row],[Winning Candidate]]-Audit[[#This Row],[Losing Candidate]]-(Audit[[#This Row],[Audit Winning Candidate]]-Audit[[#This Row],[Audit Losing Candidate]]))/(Audit[[#Totals],[Winning Candidate]]-Audit[[#Totals],[Losing Candidate]]),
      0
)</f>
        <v>0</v>
      </c>
      <c r="AV10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8">
        <f>IF(Audit[[#This Row],[Max Relative Error (ep)]] = 0, 0, Audit[[#This Row],[Max Relative Error (ep)]]/Audit[[#This Row],[Error Bound (up) - Max. possible relative overstatement]])</f>
        <v>0</v>
      </c>
      <c r="BH10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09" s="18">
        <f t="shared" si="16"/>
        <v>1</v>
      </c>
      <c r="BJ1009" s="18">
        <f>PRODUCT($BI$5:BI1009)</f>
        <v>0.10664664085196122</v>
      </c>
      <c r="BK1009" s="20">
        <f>1 - Audit[[#This Row],[K-M P Value]]</f>
        <v>0.89335335914803882</v>
      </c>
      <c r="BL1009" s="18" t="str">
        <f>IF(Audit[[#This Row],[K-M P Value]]&gt;1-'General Info'!$B$12,"Continue", "Stop")</f>
        <v>Continue</v>
      </c>
      <c r="BM1009" s="23" t="b">
        <f>IF(Audit[[#This Row],[Status - Continue or stop audit]] = "Continue", TRUE, IF(BL1008 = "Continue", TRUE, FALSE))</f>
        <v>1</v>
      </c>
      <c r="BN1009" s="23"/>
    </row>
    <row r="1010" spans="1:66" ht="15" hidden="1" customHeight="1" x14ac:dyDescent="0.35">
      <c r="A1010" s="18" t="str">
        <f>'Sampling Data'!AI1010</f>
        <v/>
      </c>
      <c r="B1010" s="18" t="str">
        <f>'Sampling Data'!A1010</f>
        <v>7318 GREEN R   (ED)</v>
      </c>
      <c r="C1010" s="18">
        <f>'Sampling Data'!B1010</f>
        <v>94</v>
      </c>
      <c r="D1010" s="18">
        <f>'Sampling Data'!C1010</f>
        <v>10</v>
      </c>
      <c r="E1010" s="19">
        <f>'Sampling Data'!D1010</f>
        <v>0</v>
      </c>
      <c r="F1010" s="19">
        <f>'Sampling Data'!E1010</f>
        <v>0</v>
      </c>
      <c r="G1010" s="19">
        <f>'Sampling Data'!F1010</f>
        <v>0</v>
      </c>
      <c r="H1010" s="19">
        <f>'Sampling Data'!G1010</f>
        <v>0</v>
      </c>
      <c r="I1010" s="19">
        <f>'Sampling Data'!H1010</f>
        <v>0</v>
      </c>
      <c r="J1010" s="19">
        <f>'Sampling Data'!I1010</f>
        <v>0</v>
      </c>
      <c r="K1010" s="19">
        <f>'Sampling Data'!J1010</f>
        <v>0</v>
      </c>
      <c r="L1010" s="19">
        <f>'Sampling Data'!K1010</f>
        <v>0</v>
      </c>
      <c r="M1010" s="19">
        <f>'Sampling Data'!L1010</f>
        <v>0</v>
      </c>
      <c r="N1010" s="19">
        <f>'Sampling Data'!M1010</f>
        <v>0</v>
      </c>
      <c r="O1010" s="18">
        <f>'Sampling Data'!N1010</f>
        <v>0</v>
      </c>
      <c r="P1010" s="18">
        <f>'Sampling Data'!O1010</f>
        <v>4</v>
      </c>
      <c r="Q1010" s="18">
        <f>'Sampling Data'!P1010</f>
        <v>108</v>
      </c>
      <c r="R1010" s="18">
        <f>'Sampling Data'!AJ1010</f>
        <v>0</v>
      </c>
      <c r="S1010" s="112"/>
      <c r="T1010" s="112"/>
      <c r="U1010" s="113"/>
      <c r="V1010" s="113"/>
      <c r="W1010" s="112"/>
      <c r="X1010" s="112"/>
      <c r="Y1010" s="112"/>
      <c r="Z1010" s="112"/>
      <c r="AA1010" s="15"/>
      <c r="AB1010" s="15"/>
      <c r="AC1010" s="15"/>
      <c r="AD1010" s="15"/>
      <c r="AE1010" s="114" t="str">
        <f>IF(NOT(ISBLANK(Audit[[#This Row],[Audit Winning Candidate]])), Audit[[#This Row],[Audit Winning Candidate]]-Audit[[#This Row],[Winning Candidate]], "")</f>
        <v/>
      </c>
      <c r="AF1010" s="18" t="str">
        <f>IF(NOT(ISBLANK(Audit[[#This Row],[Audit Losing Candidate]])), Audit[[#This Row],[Audit Losing Candidate]]-Audit[[#This Row],[Losing Candidate]], "")</f>
        <v/>
      </c>
      <c r="AG1010" s="18" t="str">
        <f>IF(NOT(ISBLANK(Audit[[#This Row],[Audit Candidate 3]])), Audit[[#This Row],[Audit Candidate 3]]-Audit[[#This Row],[Candidate 3]], "")</f>
        <v/>
      </c>
      <c r="AH1010" s="18" t="str">
        <f>IF(NOT(ISBLANK(Audit[[#This Row],[Audit Candidate 4]])),Audit[[#This Row],[Audit Candidate 4]]-Audit[[#This Row],[Candidate 4]], "")</f>
        <v/>
      </c>
      <c r="AI1010" s="18" t="str">
        <f>IF(NOT(ISBLANK(Audit[[#This Row],[Audit Candidate 5]])), Audit[[#This Row],[Audit Candidate 5]]-Audit[[#This Row],[Candidate 5]], "")</f>
        <v/>
      </c>
      <c r="AJ1010" s="18" t="str">
        <f>IF(NOT(ISBLANK(Audit[[#This Row],[Audit Candidate 6]])), Audit[[#This Row],[Audit Candidate 6]]-Audit[[#This Row],[Candidate 6]], "")</f>
        <v/>
      </c>
      <c r="AK1010" s="18" t="str">
        <f>IF(NOT(ISBLANK(Audit[[#This Row],[Audit Candidate 7]])), Audit[[#This Row],[Audit Candidate 7]]-Audit[[#This Row],[Candidate 7]], "")</f>
        <v/>
      </c>
      <c r="AL1010" s="18" t="str">
        <f>IF(NOT(ISBLANK(Audit[[#This Row],[Audit Candidate 8]])), Audit[[#This Row],[Audit Candidate 8]]-Audit[[#This Row],[Candidate 8]], "")</f>
        <v/>
      </c>
      <c r="AM1010" s="18" t="str">
        <f>IF(NOT(ISBLANK(Audit[[#This Row],[Audit Candidate 9]])), Audit[[#This Row],[Audit Candidate 9]]-Audit[[#This Row],[Candidate 9]], "")</f>
        <v/>
      </c>
      <c r="AN1010" s="18" t="str">
        <f>IF(NOT(ISBLANK(Audit[[#This Row],[Audit Candidate 10]])), Audit[[#This Row],[Audit Candidate 10]]-Audit[[#This Row],[Candidate 10]], "")</f>
        <v/>
      </c>
      <c r="AO1010" s="18" t="str">
        <f>IF(NOT(ISBLANK(Audit[[#This Row],[Audit Candidate 11]])), Audit[[#This Row],[Audit Candidate 11]]-Audit[[#This Row],[Candidate 11]], "")</f>
        <v/>
      </c>
      <c r="AP1010" s="18" t="str">
        <f>IF(NOT(ISBLANK(Audit[[#This Row],[Audit Candidate 12]])), Audit[[#This Row],[Audit Candidate 12]]-Audit[[#This Row],[Candidate 12]], "")</f>
        <v/>
      </c>
      <c r="AQ1010" s="18">
        <f>SUMIF(Audit[[#This Row],[Difference Winner]:[Difference Candidate 12]], "&gt;0")</f>
        <v>0</v>
      </c>
      <c r="AR1010" s="18">
        <f>SUM(Audit[[#This Row],[Difference Winner]:[Difference Candidate 12]])</f>
        <v>0</v>
      </c>
      <c r="AS1010" s="18">
        <f>IF(Audit[[#This Row],[Times p Drawn - With Replacement]]&gt;0, IF(Audit[[#This Row],[Canceled Differences]]&lt;0, Audit[[#This Row],[Max Differences]]+ABS(Audit[[#This Row],[Canceled Differences]]), Audit[[#This Row],[Max Differences]]), 0)</f>
        <v>0</v>
      </c>
      <c r="AT1010" s="18">
        <f>'Sampling Data'!AB1010</f>
        <v>6.0307189747777741E-3</v>
      </c>
      <c r="AU1010" s="18">
        <f>IF(
      SUM(Audit[[#This Row],[Audit Losing Candidate]:[Audit Candidate 12]])
      &lt;&gt;0,
      (Audit[[#This Row],[Winning Candidate]]-Audit[[#This Row],[Losing Candidate]]-(Audit[[#This Row],[Audit Winning Candidate]]-Audit[[#This Row],[Audit Losing Candidate]]))/(Audit[[#Totals],[Winning Candidate]]-Audit[[#Totals],[Losing Candidate]]),
      0
)</f>
        <v>0</v>
      </c>
      <c r="AV10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8">
        <f>IF(Audit[[#This Row],[Max Relative Error (ep)]] = 0, 0, Audit[[#This Row],[Max Relative Error (ep)]]/Audit[[#This Row],[Error Bound (up) - Max. possible relative overstatement]])</f>
        <v>0</v>
      </c>
      <c r="BH10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0" s="18">
        <f t="shared" si="16"/>
        <v>1</v>
      </c>
      <c r="BJ1010" s="18">
        <f>PRODUCT($BI$5:BI1010)</f>
        <v>0.10664664085196122</v>
      </c>
      <c r="BK1010" s="20">
        <f>1 - Audit[[#This Row],[K-M P Value]]</f>
        <v>0.89335335914803882</v>
      </c>
      <c r="BL1010" s="18" t="str">
        <f>IF(Audit[[#This Row],[K-M P Value]]&gt;1-'General Info'!$B$12,"Continue", "Stop")</f>
        <v>Continue</v>
      </c>
      <c r="BM1010" s="23" t="b">
        <f>IF(Audit[[#This Row],[Status - Continue or stop audit]] = "Continue", TRUE, IF(BL1009 = "Continue", TRUE, FALSE))</f>
        <v>1</v>
      </c>
      <c r="BN1010" s="23"/>
    </row>
    <row r="1011" spans="1:66" ht="15" hidden="1" customHeight="1" x14ac:dyDescent="0.35">
      <c r="A1011" s="18" t="str">
        <f>'Sampling Data'!AI1011</f>
        <v/>
      </c>
      <c r="B1011" s="18" t="str">
        <f>'Sampling Data'!A1011</f>
        <v>7319 GREEN S   (ED)</v>
      </c>
      <c r="C1011" s="18">
        <f>'Sampling Data'!B1011</f>
        <v>65</v>
      </c>
      <c r="D1011" s="18">
        <f>'Sampling Data'!C1011</f>
        <v>11</v>
      </c>
      <c r="E1011" s="19">
        <f>'Sampling Data'!D1011</f>
        <v>0</v>
      </c>
      <c r="F1011" s="19">
        <f>'Sampling Data'!E1011</f>
        <v>0</v>
      </c>
      <c r="G1011" s="19">
        <f>'Sampling Data'!F1011</f>
        <v>0</v>
      </c>
      <c r="H1011" s="19">
        <f>'Sampling Data'!G1011</f>
        <v>0</v>
      </c>
      <c r="I1011" s="19">
        <f>'Sampling Data'!H1011</f>
        <v>0</v>
      </c>
      <c r="J1011" s="19">
        <f>'Sampling Data'!I1011</f>
        <v>0</v>
      </c>
      <c r="K1011" s="19">
        <f>'Sampling Data'!J1011</f>
        <v>0</v>
      </c>
      <c r="L1011" s="19">
        <f>'Sampling Data'!K1011</f>
        <v>0</v>
      </c>
      <c r="M1011" s="19">
        <f>'Sampling Data'!L1011</f>
        <v>0</v>
      </c>
      <c r="N1011" s="19">
        <f>'Sampling Data'!M1011</f>
        <v>0</v>
      </c>
      <c r="O1011" s="18">
        <f>'Sampling Data'!N1011</f>
        <v>0</v>
      </c>
      <c r="P1011" s="18">
        <f>'Sampling Data'!O1011</f>
        <v>0</v>
      </c>
      <c r="Q1011" s="18">
        <f>'Sampling Data'!P1011</f>
        <v>76</v>
      </c>
      <c r="R1011" s="18">
        <f>'Sampling Data'!AJ1011</f>
        <v>0</v>
      </c>
      <c r="S1011" s="112"/>
      <c r="T1011" s="112"/>
      <c r="U1011" s="113"/>
      <c r="V1011" s="113"/>
      <c r="W1011" s="112"/>
      <c r="X1011" s="112"/>
      <c r="Y1011" s="112"/>
      <c r="Z1011" s="112"/>
      <c r="AA1011" s="15"/>
      <c r="AB1011" s="15"/>
      <c r="AC1011" s="15"/>
      <c r="AD1011" s="15"/>
      <c r="AE1011" s="114" t="str">
        <f>IF(NOT(ISBLANK(Audit[[#This Row],[Audit Winning Candidate]])), Audit[[#This Row],[Audit Winning Candidate]]-Audit[[#This Row],[Winning Candidate]], "")</f>
        <v/>
      </c>
      <c r="AF1011" s="18" t="str">
        <f>IF(NOT(ISBLANK(Audit[[#This Row],[Audit Losing Candidate]])), Audit[[#This Row],[Audit Losing Candidate]]-Audit[[#This Row],[Losing Candidate]], "")</f>
        <v/>
      </c>
      <c r="AG1011" s="18" t="str">
        <f>IF(NOT(ISBLANK(Audit[[#This Row],[Audit Candidate 3]])), Audit[[#This Row],[Audit Candidate 3]]-Audit[[#This Row],[Candidate 3]], "")</f>
        <v/>
      </c>
      <c r="AH1011" s="18" t="str">
        <f>IF(NOT(ISBLANK(Audit[[#This Row],[Audit Candidate 4]])),Audit[[#This Row],[Audit Candidate 4]]-Audit[[#This Row],[Candidate 4]], "")</f>
        <v/>
      </c>
      <c r="AI1011" s="18" t="str">
        <f>IF(NOT(ISBLANK(Audit[[#This Row],[Audit Candidate 5]])), Audit[[#This Row],[Audit Candidate 5]]-Audit[[#This Row],[Candidate 5]], "")</f>
        <v/>
      </c>
      <c r="AJ1011" s="18" t="str">
        <f>IF(NOT(ISBLANK(Audit[[#This Row],[Audit Candidate 6]])), Audit[[#This Row],[Audit Candidate 6]]-Audit[[#This Row],[Candidate 6]], "")</f>
        <v/>
      </c>
      <c r="AK1011" s="18" t="str">
        <f>IF(NOT(ISBLANK(Audit[[#This Row],[Audit Candidate 7]])), Audit[[#This Row],[Audit Candidate 7]]-Audit[[#This Row],[Candidate 7]], "")</f>
        <v/>
      </c>
      <c r="AL1011" s="18" t="str">
        <f>IF(NOT(ISBLANK(Audit[[#This Row],[Audit Candidate 8]])), Audit[[#This Row],[Audit Candidate 8]]-Audit[[#This Row],[Candidate 8]], "")</f>
        <v/>
      </c>
      <c r="AM1011" s="18" t="str">
        <f>IF(NOT(ISBLANK(Audit[[#This Row],[Audit Candidate 9]])), Audit[[#This Row],[Audit Candidate 9]]-Audit[[#This Row],[Candidate 9]], "")</f>
        <v/>
      </c>
      <c r="AN1011" s="18" t="str">
        <f>IF(NOT(ISBLANK(Audit[[#This Row],[Audit Candidate 10]])), Audit[[#This Row],[Audit Candidate 10]]-Audit[[#This Row],[Candidate 10]], "")</f>
        <v/>
      </c>
      <c r="AO1011" s="18" t="str">
        <f>IF(NOT(ISBLANK(Audit[[#This Row],[Audit Candidate 11]])), Audit[[#This Row],[Audit Candidate 11]]-Audit[[#This Row],[Candidate 11]], "")</f>
        <v/>
      </c>
      <c r="AP1011" s="18" t="str">
        <f>IF(NOT(ISBLANK(Audit[[#This Row],[Audit Candidate 12]])), Audit[[#This Row],[Audit Candidate 12]]-Audit[[#This Row],[Candidate 12]], "")</f>
        <v/>
      </c>
      <c r="AQ1011" s="18">
        <f>SUMIF(Audit[[#This Row],[Difference Winner]:[Difference Candidate 12]], "&gt;0")</f>
        <v>0</v>
      </c>
      <c r="AR1011" s="18">
        <f>SUM(Audit[[#This Row],[Difference Winner]:[Difference Candidate 12]])</f>
        <v>0</v>
      </c>
      <c r="AS1011" s="18">
        <f>IF(Audit[[#This Row],[Times p Drawn - With Replacement]]&gt;0, IF(Audit[[#This Row],[Canceled Differences]]&lt;0, Audit[[#This Row],[Max Differences]]+ABS(Audit[[#This Row],[Canceled Differences]]), Audit[[#This Row],[Max Differences]]), 0)</f>
        <v>0</v>
      </c>
      <c r="AT1011" s="18">
        <f>'Sampling Data'!AB1011</f>
        <v>4.0832993058391182E-3</v>
      </c>
      <c r="AU1011" s="18">
        <f>IF(
      SUM(Audit[[#This Row],[Audit Losing Candidate]:[Audit Candidate 12]])
      &lt;&gt;0,
      (Audit[[#This Row],[Winning Candidate]]-Audit[[#This Row],[Losing Candidate]]-(Audit[[#This Row],[Audit Winning Candidate]]-Audit[[#This Row],[Audit Losing Candidate]]))/(Audit[[#Totals],[Winning Candidate]]-Audit[[#Totals],[Losing Candidate]]),
      0
)</f>
        <v>0</v>
      </c>
      <c r="AV10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8">
        <f>IF(Audit[[#This Row],[Max Relative Error (ep)]] = 0, 0, Audit[[#This Row],[Max Relative Error (ep)]]/Audit[[#This Row],[Error Bound (up) - Max. possible relative overstatement]])</f>
        <v>0</v>
      </c>
      <c r="BH10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1" s="18">
        <f t="shared" si="16"/>
        <v>1</v>
      </c>
      <c r="BJ1011" s="18">
        <f>PRODUCT($BI$5:BI1011)</f>
        <v>0.10664664085196122</v>
      </c>
      <c r="BK1011" s="20">
        <f>1 - Audit[[#This Row],[K-M P Value]]</f>
        <v>0.89335335914803882</v>
      </c>
      <c r="BL1011" s="18" t="str">
        <f>IF(Audit[[#This Row],[K-M P Value]]&gt;1-'General Info'!$B$12,"Continue", "Stop")</f>
        <v>Continue</v>
      </c>
      <c r="BM1011" s="23" t="b">
        <f>IF(Audit[[#This Row],[Status - Continue or stop audit]] = "Continue", TRUE, IF(BL1010 = "Continue", TRUE, FALSE))</f>
        <v>1</v>
      </c>
      <c r="BN1011" s="23"/>
    </row>
    <row r="1012" spans="1:66" ht="15" hidden="1" customHeight="1" x14ac:dyDescent="0.35">
      <c r="A1012" s="18" t="str">
        <f>'Sampling Data'!AI1012</f>
        <v/>
      </c>
      <c r="B1012" s="18" t="str">
        <f>'Sampling Data'!A1012</f>
        <v>7320 GREEN T   (ED)</v>
      </c>
      <c r="C1012" s="18">
        <f>'Sampling Data'!B1012</f>
        <v>33</v>
      </c>
      <c r="D1012" s="18">
        <f>'Sampling Data'!C1012</f>
        <v>8</v>
      </c>
      <c r="E1012" s="19">
        <f>'Sampling Data'!D1012</f>
        <v>0</v>
      </c>
      <c r="F1012" s="19">
        <f>'Sampling Data'!E1012</f>
        <v>0</v>
      </c>
      <c r="G1012" s="19">
        <f>'Sampling Data'!F1012</f>
        <v>0</v>
      </c>
      <c r="H1012" s="19">
        <f>'Sampling Data'!G1012</f>
        <v>0</v>
      </c>
      <c r="I1012" s="19">
        <f>'Sampling Data'!H1012</f>
        <v>0</v>
      </c>
      <c r="J1012" s="19">
        <f>'Sampling Data'!I1012</f>
        <v>0</v>
      </c>
      <c r="K1012" s="19">
        <f>'Sampling Data'!J1012</f>
        <v>0</v>
      </c>
      <c r="L1012" s="19">
        <f>'Sampling Data'!K1012</f>
        <v>0</v>
      </c>
      <c r="M1012" s="19">
        <f>'Sampling Data'!L1012</f>
        <v>0</v>
      </c>
      <c r="N1012" s="19">
        <f>'Sampling Data'!M1012</f>
        <v>0</v>
      </c>
      <c r="O1012" s="18">
        <f>'Sampling Data'!N1012</f>
        <v>0</v>
      </c>
      <c r="P1012" s="18">
        <f>'Sampling Data'!O1012</f>
        <v>0</v>
      </c>
      <c r="Q1012" s="18">
        <f>'Sampling Data'!P1012</f>
        <v>41</v>
      </c>
      <c r="R1012" s="18">
        <f>'Sampling Data'!AJ1012</f>
        <v>0</v>
      </c>
      <c r="S1012" s="112"/>
      <c r="T1012" s="112"/>
      <c r="U1012" s="113"/>
      <c r="V1012" s="113"/>
      <c r="W1012" s="112"/>
      <c r="X1012" s="112"/>
      <c r="Y1012" s="112"/>
      <c r="Z1012" s="112"/>
      <c r="AA1012" s="15"/>
      <c r="AB1012" s="15"/>
      <c r="AC1012" s="15"/>
      <c r="AD1012" s="15"/>
      <c r="AE1012" s="114" t="str">
        <f>IF(NOT(ISBLANK(Audit[[#This Row],[Audit Winning Candidate]])), Audit[[#This Row],[Audit Winning Candidate]]-Audit[[#This Row],[Winning Candidate]], "")</f>
        <v/>
      </c>
      <c r="AF1012" s="18" t="str">
        <f>IF(NOT(ISBLANK(Audit[[#This Row],[Audit Losing Candidate]])), Audit[[#This Row],[Audit Losing Candidate]]-Audit[[#This Row],[Losing Candidate]], "")</f>
        <v/>
      </c>
      <c r="AG1012" s="18" t="str">
        <f>IF(NOT(ISBLANK(Audit[[#This Row],[Audit Candidate 3]])), Audit[[#This Row],[Audit Candidate 3]]-Audit[[#This Row],[Candidate 3]], "")</f>
        <v/>
      </c>
      <c r="AH1012" s="18" t="str">
        <f>IF(NOT(ISBLANK(Audit[[#This Row],[Audit Candidate 4]])),Audit[[#This Row],[Audit Candidate 4]]-Audit[[#This Row],[Candidate 4]], "")</f>
        <v/>
      </c>
      <c r="AI1012" s="18" t="str">
        <f>IF(NOT(ISBLANK(Audit[[#This Row],[Audit Candidate 5]])), Audit[[#This Row],[Audit Candidate 5]]-Audit[[#This Row],[Candidate 5]], "")</f>
        <v/>
      </c>
      <c r="AJ1012" s="18" t="str">
        <f>IF(NOT(ISBLANK(Audit[[#This Row],[Audit Candidate 6]])), Audit[[#This Row],[Audit Candidate 6]]-Audit[[#This Row],[Candidate 6]], "")</f>
        <v/>
      </c>
      <c r="AK1012" s="18" t="str">
        <f>IF(NOT(ISBLANK(Audit[[#This Row],[Audit Candidate 7]])), Audit[[#This Row],[Audit Candidate 7]]-Audit[[#This Row],[Candidate 7]], "")</f>
        <v/>
      </c>
      <c r="AL1012" s="18" t="str">
        <f>IF(NOT(ISBLANK(Audit[[#This Row],[Audit Candidate 8]])), Audit[[#This Row],[Audit Candidate 8]]-Audit[[#This Row],[Candidate 8]], "")</f>
        <v/>
      </c>
      <c r="AM1012" s="18" t="str">
        <f>IF(NOT(ISBLANK(Audit[[#This Row],[Audit Candidate 9]])), Audit[[#This Row],[Audit Candidate 9]]-Audit[[#This Row],[Candidate 9]], "")</f>
        <v/>
      </c>
      <c r="AN1012" s="18" t="str">
        <f>IF(NOT(ISBLANK(Audit[[#This Row],[Audit Candidate 10]])), Audit[[#This Row],[Audit Candidate 10]]-Audit[[#This Row],[Candidate 10]], "")</f>
        <v/>
      </c>
      <c r="AO1012" s="18" t="str">
        <f>IF(NOT(ISBLANK(Audit[[#This Row],[Audit Candidate 11]])), Audit[[#This Row],[Audit Candidate 11]]-Audit[[#This Row],[Candidate 11]], "")</f>
        <v/>
      </c>
      <c r="AP1012" s="18" t="str">
        <f>IF(NOT(ISBLANK(Audit[[#This Row],[Audit Candidate 12]])), Audit[[#This Row],[Audit Candidate 12]]-Audit[[#This Row],[Candidate 12]], "")</f>
        <v/>
      </c>
      <c r="AQ1012" s="18">
        <f>SUMIF(Audit[[#This Row],[Difference Winner]:[Difference Candidate 12]], "&gt;0")</f>
        <v>0</v>
      </c>
      <c r="AR1012" s="18">
        <f>SUM(Audit[[#This Row],[Difference Winner]:[Difference Candidate 12]])</f>
        <v>0</v>
      </c>
      <c r="AS1012" s="18">
        <f>IF(Audit[[#This Row],[Times p Drawn - With Replacement]]&gt;0, IF(Audit[[#This Row],[Canceled Differences]]&lt;0, Audit[[#This Row],[Max Differences]]+ABS(Audit[[#This Row],[Canceled Differences]]), Audit[[#This Row],[Max Differences]]), 0)</f>
        <v>0</v>
      </c>
      <c r="AT1012" s="18">
        <f>'Sampling Data'!AB1012</f>
        <v>2.0730596475798599E-3</v>
      </c>
      <c r="AU1012" s="18">
        <f>IF(
      SUM(Audit[[#This Row],[Audit Losing Candidate]:[Audit Candidate 12]])
      &lt;&gt;0,
      (Audit[[#This Row],[Winning Candidate]]-Audit[[#This Row],[Losing Candidate]]-(Audit[[#This Row],[Audit Winning Candidate]]-Audit[[#This Row],[Audit Losing Candidate]]))/(Audit[[#Totals],[Winning Candidate]]-Audit[[#Totals],[Losing Candidate]]),
      0
)</f>
        <v>0</v>
      </c>
      <c r="AV10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8">
        <f>IF(Audit[[#This Row],[Max Relative Error (ep)]] = 0, 0, Audit[[#This Row],[Max Relative Error (ep)]]/Audit[[#This Row],[Error Bound (up) - Max. possible relative overstatement]])</f>
        <v>0</v>
      </c>
      <c r="BH10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2" s="18">
        <f t="shared" si="16"/>
        <v>1</v>
      </c>
      <c r="BJ1012" s="18">
        <f>PRODUCT($BI$5:BI1012)</f>
        <v>0.10664664085196122</v>
      </c>
      <c r="BK1012" s="20">
        <f>1 - Audit[[#This Row],[K-M P Value]]</f>
        <v>0.89335335914803882</v>
      </c>
      <c r="BL1012" s="18" t="str">
        <f>IF(Audit[[#This Row],[K-M P Value]]&gt;1-'General Info'!$B$12,"Continue", "Stop")</f>
        <v>Continue</v>
      </c>
      <c r="BM1012" s="23" t="b">
        <f>IF(Audit[[#This Row],[Status - Continue or stop audit]] = "Continue", TRUE, IF(BL1011 = "Continue", TRUE, FALSE))</f>
        <v>1</v>
      </c>
      <c r="BN1012" s="23"/>
    </row>
    <row r="1013" spans="1:66" ht="15" hidden="1" customHeight="1" x14ac:dyDescent="0.35">
      <c r="A1013" s="18" t="str">
        <f>'Sampling Data'!AI1013</f>
        <v/>
      </c>
      <c r="B1013" s="18" t="str">
        <f>'Sampling Data'!A1013</f>
        <v>7321 GREEN U   (ED)</v>
      </c>
      <c r="C1013" s="18">
        <f>'Sampling Data'!B1013</f>
        <v>78</v>
      </c>
      <c r="D1013" s="18">
        <f>'Sampling Data'!C1013</f>
        <v>11</v>
      </c>
      <c r="E1013" s="19">
        <f>'Sampling Data'!D1013</f>
        <v>0</v>
      </c>
      <c r="F1013" s="19">
        <f>'Sampling Data'!E1013</f>
        <v>0</v>
      </c>
      <c r="G1013" s="19">
        <f>'Sampling Data'!F1013</f>
        <v>0</v>
      </c>
      <c r="H1013" s="19">
        <f>'Sampling Data'!G1013</f>
        <v>0</v>
      </c>
      <c r="I1013" s="19">
        <f>'Sampling Data'!H1013</f>
        <v>0</v>
      </c>
      <c r="J1013" s="19">
        <f>'Sampling Data'!I1013</f>
        <v>0</v>
      </c>
      <c r="K1013" s="19">
        <f>'Sampling Data'!J1013</f>
        <v>0</v>
      </c>
      <c r="L1013" s="19">
        <f>'Sampling Data'!K1013</f>
        <v>0</v>
      </c>
      <c r="M1013" s="19">
        <f>'Sampling Data'!L1013</f>
        <v>0</v>
      </c>
      <c r="N1013" s="19">
        <f>'Sampling Data'!M1013</f>
        <v>0</v>
      </c>
      <c r="O1013" s="18">
        <f>'Sampling Data'!N1013</f>
        <v>0</v>
      </c>
      <c r="P1013" s="18">
        <f>'Sampling Data'!O1013</f>
        <v>1</v>
      </c>
      <c r="Q1013" s="18">
        <f>'Sampling Data'!P1013</f>
        <v>90</v>
      </c>
      <c r="R1013" s="18">
        <f>'Sampling Data'!AJ1013</f>
        <v>0</v>
      </c>
      <c r="S1013" s="112"/>
      <c r="T1013" s="112"/>
      <c r="U1013" s="113"/>
      <c r="V1013" s="113"/>
      <c r="W1013" s="112"/>
      <c r="X1013" s="112"/>
      <c r="Y1013" s="112"/>
      <c r="Z1013" s="112"/>
      <c r="AA1013" s="15"/>
      <c r="AB1013" s="15"/>
      <c r="AC1013" s="15"/>
      <c r="AD1013" s="15"/>
      <c r="AE1013" s="114" t="str">
        <f>IF(NOT(ISBLANK(Audit[[#This Row],[Audit Winning Candidate]])), Audit[[#This Row],[Audit Winning Candidate]]-Audit[[#This Row],[Winning Candidate]], "")</f>
        <v/>
      </c>
      <c r="AF1013" s="18" t="str">
        <f>IF(NOT(ISBLANK(Audit[[#This Row],[Audit Losing Candidate]])), Audit[[#This Row],[Audit Losing Candidate]]-Audit[[#This Row],[Losing Candidate]], "")</f>
        <v/>
      </c>
      <c r="AG1013" s="18" t="str">
        <f>IF(NOT(ISBLANK(Audit[[#This Row],[Audit Candidate 3]])), Audit[[#This Row],[Audit Candidate 3]]-Audit[[#This Row],[Candidate 3]], "")</f>
        <v/>
      </c>
      <c r="AH1013" s="18" t="str">
        <f>IF(NOT(ISBLANK(Audit[[#This Row],[Audit Candidate 4]])),Audit[[#This Row],[Audit Candidate 4]]-Audit[[#This Row],[Candidate 4]], "")</f>
        <v/>
      </c>
      <c r="AI1013" s="18" t="str">
        <f>IF(NOT(ISBLANK(Audit[[#This Row],[Audit Candidate 5]])), Audit[[#This Row],[Audit Candidate 5]]-Audit[[#This Row],[Candidate 5]], "")</f>
        <v/>
      </c>
      <c r="AJ1013" s="18" t="str">
        <f>IF(NOT(ISBLANK(Audit[[#This Row],[Audit Candidate 6]])), Audit[[#This Row],[Audit Candidate 6]]-Audit[[#This Row],[Candidate 6]], "")</f>
        <v/>
      </c>
      <c r="AK1013" s="18" t="str">
        <f>IF(NOT(ISBLANK(Audit[[#This Row],[Audit Candidate 7]])), Audit[[#This Row],[Audit Candidate 7]]-Audit[[#This Row],[Candidate 7]], "")</f>
        <v/>
      </c>
      <c r="AL1013" s="18" t="str">
        <f>IF(NOT(ISBLANK(Audit[[#This Row],[Audit Candidate 8]])), Audit[[#This Row],[Audit Candidate 8]]-Audit[[#This Row],[Candidate 8]], "")</f>
        <v/>
      </c>
      <c r="AM1013" s="18" t="str">
        <f>IF(NOT(ISBLANK(Audit[[#This Row],[Audit Candidate 9]])), Audit[[#This Row],[Audit Candidate 9]]-Audit[[#This Row],[Candidate 9]], "")</f>
        <v/>
      </c>
      <c r="AN1013" s="18" t="str">
        <f>IF(NOT(ISBLANK(Audit[[#This Row],[Audit Candidate 10]])), Audit[[#This Row],[Audit Candidate 10]]-Audit[[#This Row],[Candidate 10]], "")</f>
        <v/>
      </c>
      <c r="AO1013" s="18" t="str">
        <f>IF(NOT(ISBLANK(Audit[[#This Row],[Audit Candidate 11]])), Audit[[#This Row],[Audit Candidate 11]]-Audit[[#This Row],[Candidate 11]], "")</f>
        <v/>
      </c>
      <c r="AP1013" s="18" t="str">
        <f>IF(NOT(ISBLANK(Audit[[#This Row],[Audit Candidate 12]])), Audit[[#This Row],[Audit Candidate 12]]-Audit[[#This Row],[Candidate 12]], "")</f>
        <v/>
      </c>
      <c r="AQ1013" s="18">
        <f>SUMIF(Audit[[#This Row],[Difference Winner]:[Difference Candidate 12]], "&gt;0")</f>
        <v>0</v>
      </c>
      <c r="AR1013" s="18">
        <f>SUM(Audit[[#This Row],[Difference Winner]:[Difference Candidate 12]])</f>
        <v>0</v>
      </c>
      <c r="AS1013" s="18">
        <f>IF(Audit[[#This Row],[Times p Drawn - With Replacement]]&gt;0, IF(Audit[[#This Row],[Canceled Differences]]&lt;0, Audit[[#This Row],[Max Differences]]+ABS(Audit[[#This Row],[Canceled Differences]]), Audit[[#This Row],[Max Differences]]), 0)</f>
        <v>0</v>
      </c>
      <c r="AT1013" s="18">
        <f>'Sampling Data'!AB1013</f>
        <v>4.9313691616672426E-3</v>
      </c>
      <c r="AU1013" s="18">
        <f>IF(
      SUM(Audit[[#This Row],[Audit Losing Candidate]:[Audit Candidate 12]])
      &lt;&gt;0,
      (Audit[[#This Row],[Winning Candidate]]-Audit[[#This Row],[Losing Candidate]]-(Audit[[#This Row],[Audit Winning Candidate]]-Audit[[#This Row],[Audit Losing Candidate]]))/(Audit[[#Totals],[Winning Candidate]]-Audit[[#Totals],[Losing Candidate]]),
      0
)</f>
        <v>0</v>
      </c>
      <c r="AV10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8">
        <f>IF(Audit[[#This Row],[Max Relative Error (ep)]] = 0, 0, Audit[[#This Row],[Max Relative Error (ep)]]/Audit[[#This Row],[Error Bound (up) - Max. possible relative overstatement]])</f>
        <v>0</v>
      </c>
      <c r="BH10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3" s="18">
        <f t="shared" si="16"/>
        <v>1</v>
      </c>
      <c r="BJ1013" s="18">
        <f>PRODUCT($BI$5:BI1013)</f>
        <v>0.10664664085196122</v>
      </c>
      <c r="BK1013" s="20">
        <f>1 - Audit[[#This Row],[K-M P Value]]</f>
        <v>0.89335335914803882</v>
      </c>
      <c r="BL1013" s="18" t="str">
        <f>IF(Audit[[#This Row],[K-M P Value]]&gt;1-'General Info'!$B$12,"Continue", "Stop")</f>
        <v>Continue</v>
      </c>
      <c r="BM1013" s="23" t="b">
        <f>IF(Audit[[#This Row],[Status - Continue or stop audit]] = "Continue", TRUE, IF(BL1012 = "Continue", TRUE, FALSE))</f>
        <v>1</v>
      </c>
      <c r="BN1013" s="23"/>
    </row>
    <row r="1014" spans="1:66" ht="15" hidden="1" customHeight="1" x14ac:dyDescent="0.35">
      <c r="A1014" s="18" t="str">
        <f>'Sampling Data'!AI1014</f>
        <v/>
      </c>
      <c r="B1014" s="18" t="str">
        <f>'Sampling Data'!A1014</f>
        <v>7322 GREEN V   (ED)</v>
      </c>
      <c r="C1014" s="18">
        <f>'Sampling Data'!B1014</f>
        <v>92</v>
      </c>
      <c r="D1014" s="18">
        <f>'Sampling Data'!C1014</f>
        <v>8</v>
      </c>
      <c r="E1014" s="19">
        <f>'Sampling Data'!D1014</f>
        <v>0</v>
      </c>
      <c r="F1014" s="19">
        <f>'Sampling Data'!E1014</f>
        <v>0</v>
      </c>
      <c r="G1014" s="19">
        <f>'Sampling Data'!F1014</f>
        <v>0</v>
      </c>
      <c r="H1014" s="19">
        <f>'Sampling Data'!G1014</f>
        <v>0</v>
      </c>
      <c r="I1014" s="19">
        <f>'Sampling Data'!H1014</f>
        <v>0</v>
      </c>
      <c r="J1014" s="19">
        <f>'Sampling Data'!I1014</f>
        <v>0</v>
      </c>
      <c r="K1014" s="19">
        <f>'Sampling Data'!J1014</f>
        <v>0</v>
      </c>
      <c r="L1014" s="19">
        <f>'Sampling Data'!K1014</f>
        <v>0</v>
      </c>
      <c r="M1014" s="19">
        <f>'Sampling Data'!L1014</f>
        <v>0</v>
      </c>
      <c r="N1014" s="19">
        <f>'Sampling Data'!M1014</f>
        <v>0</v>
      </c>
      <c r="O1014" s="18">
        <f>'Sampling Data'!N1014</f>
        <v>0</v>
      </c>
      <c r="P1014" s="18">
        <f>'Sampling Data'!O1014</f>
        <v>1</v>
      </c>
      <c r="Q1014" s="18">
        <f>'Sampling Data'!P1014</f>
        <v>101</v>
      </c>
      <c r="R1014" s="18">
        <f>'Sampling Data'!AJ1014</f>
        <v>0</v>
      </c>
      <c r="S1014" s="112"/>
      <c r="T1014" s="112"/>
      <c r="U1014" s="113"/>
      <c r="V1014" s="113"/>
      <c r="W1014" s="112"/>
      <c r="X1014" s="112"/>
      <c r="Y1014" s="112"/>
      <c r="Z1014" s="112"/>
      <c r="AA1014" s="15"/>
      <c r="AB1014" s="15"/>
      <c r="AC1014" s="15"/>
      <c r="AD1014" s="15"/>
      <c r="AE1014" s="114" t="str">
        <f>IF(NOT(ISBLANK(Audit[[#This Row],[Audit Winning Candidate]])), Audit[[#This Row],[Audit Winning Candidate]]-Audit[[#This Row],[Winning Candidate]], "")</f>
        <v/>
      </c>
      <c r="AF1014" s="18" t="str">
        <f>IF(NOT(ISBLANK(Audit[[#This Row],[Audit Losing Candidate]])), Audit[[#This Row],[Audit Losing Candidate]]-Audit[[#This Row],[Losing Candidate]], "")</f>
        <v/>
      </c>
      <c r="AG1014" s="18" t="str">
        <f>IF(NOT(ISBLANK(Audit[[#This Row],[Audit Candidate 3]])), Audit[[#This Row],[Audit Candidate 3]]-Audit[[#This Row],[Candidate 3]], "")</f>
        <v/>
      </c>
      <c r="AH1014" s="18" t="str">
        <f>IF(NOT(ISBLANK(Audit[[#This Row],[Audit Candidate 4]])),Audit[[#This Row],[Audit Candidate 4]]-Audit[[#This Row],[Candidate 4]], "")</f>
        <v/>
      </c>
      <c r="AI1014" s="18" t="str">
        <f>IF(NOT(ISBLANK(Audit[[#This Row],[Audit Candidate 5]])), Audit[[#This Row],[Audit Candidate 5]]-Audit[[#This Row],[Candidate 5]], "")</f>
        <v/>
      </c>
      <c r="AJ1014" s="18" t="str">
        <f>IF(NOT(ISBLANK(Audit[[#This Row],[Audit Candidate 6]])), Audit[[#This Row],[Audit Candidate 6]]-Audit[[#This Row],[Candidate 6]], "")</f>
        <v/>
      </c>
      <c r="AK1014" s="18" t="str">
        <f>IF(NOT(ISBLANK(Audit[[#This Row],[Audit Candidate 7]])), Audit[[#This Row],[Audit Candidate 7]]-Audit[[#This Row],[Candidate 7]], "")</f>
        <v/>
      </c>
      <c r="AL1014" s="18" t="str">
        <f>IF(NOT(ISBLANK(Audit[[#This Row],[Audit Candidate 8]])), Audit[[#This Row],[Audit Candidate 8]]-Audit[[#This Row],[Candidate 8]], "")</f>
        <v/>
      </c>
      <c r="AM1014" s="18" t="str">
        <f>IF(NOT(ISBLANK(Audit[[#This Row],[Audit Candidate 9]])), Audit[[#This Row],[Audit Candidate 9]]-Audit[[#This Row],[Candidate 9]], "")</f>
        <v/>
      </c>
      <c r="AN1014" s="18" t="str">
        <f>IF(NOT(ISBLANK(Audit[[#This Row],[Audit Candidate 10]])), Audit[[#This Row],[Audit Candidate 10]]-Audit[[#This Row],[Candidate 10]], "")</f>
        <v/>
      </c>
      <c r="AO1014" s="18" t="str">
        <f>IF(NOT(ISBLANK(Audit[[#This Row],[Audit Candidate 11]])), Audit[[#This Row],[Audit Candidate 11]]-Audit[[#This Row],[Candidate 11]], "")</f>
        <v/>
      </c>
      <c r="AP1014" s="18" t="str">
        <f>IF(NOT(ISBLANK(Audit[[#This Row],[Audit Candidate 12]])), Audit[[#This Row],[Audit Candidate 12]]-Audit[[#This Row],[Candidate 12]], "")</f>
        <v/>
      </c>
      <c r="AQ1014" s="18">
        <f>SUMIF(Audit[[#This Row],[Difference Winner]:[Difference Candidate 12]], "&gt;0")</f>
        <v>0</v>
      </c>
      <c r="AR1014" s="18">
        <f>SUM(Audit[[#This Row],[Difference Winner]:[Difference Candidate 12]])</f>
        <v>0</v>
      </c>
      <c r="AS1014" s="18">
        <f>IF(Audit[[#This Row],[Times p Drawn - With Replacement]]&gt;0, IF(Audit[[#This Row],[Canceled Differences]]&lt;0, Audit[[#This Row],[Max Differences]]+ABS(Audit[[#This Row],[Canceled Differences]]), Audit[[#This Row],[Max Differences]]), 0)</f>
        <v>0</v>
      </c>
      <c r="AT1014" s="18">
        <f>'Sampling Data'!AB1014</f>
        <v>5.8108490121556678E-3</v>
      </c>
      <c r="AU1014" s="18">
        <f>IF(
      SUM(Audit[[#This Row],[Audit Losing Candidate]:[Audit Candidate 12]])
      &lt;&gt;0,
      (Audit[[#This Row],[Winning Candidate]]-Audit[[#This Row],[Losing Candidate]]-(Audit[[#This Row],[Audit Winning Candidate]]-Audit[[#This Row],[Audit Losing Candidate]]))/(Audit[[#Totals],[Winning Candidate]]-Audit[[#Totals],[Losing Candidate]]),
      0
)</f>
        <v>0</v>
      </c>
      <c r="AV10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8">
        <f>IF(Audit[[#This Row],[Max Relative Error (ep)]] = 0, 0, Audit[[#This Row],[Max Relative Error (ep)]]/Audit[[#This Row],[Error Bound (up) - Max. possible relative overstatement]])</f>
        <v>0</v>
      </c>
      <c r="BH10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4" s="18">
        <f t="shared" si="16"/>
        <v>1</v>
      </c>
      <c r="BJ1014" s="18">
        <f>PRODUCT($BI$5:BI1014)</f>
        <v>0.10664664085196122</v>
      </c>
      <c r="BK1014" s="20">
        <f>1 - Audit[[#This Row],[K-M P Value]]</f>
        <v>0.89335335914803882</v>
      </c>
      <c r="BL1014" s="18" t="str">
        <f>IF(Audit[[#This Row],[K-M P Value]]&gt;1-'General Info'!$B$12,"Continue", "Stop")</f>
        <v>Continue</v>
      </c>
      <c r="BM1014" s="23" t="b">
        <f>IF(Audit[[#This Row],[Status - Continue or stop audit]] = "Continue", TRUE, IF(BL1013 = "Continue", TRUE, FALSE))</f>
        <v>1</v>
      </c>
      <c r="BN1014" s="23"/>
    </row>
    <row r="1015" spans="1:66" ht="15" hidden="1" customHeight="1" x14ac:dyDescent="0.35">
      <c r="A1015" s="18" t="str">
        <f>'Sampling Data'!AI1015</f>
        <v/>
      </c>
      <c r="B1015" s="18" t="str">
        <f>'Sampling Data'!A1015</f>
        <v>7323 GREEN W   (ED)</v>
      </c>
      <c r="C1015" s="18">
        <f>'Sampling Data'!B1015</f>
        <v>222</v>
      </c>
      <c r="D1015" s="18">
        <f>'Sampling Data'!C1015</f>
        <v>10</v>
      </c>
      <c r="E1015" s="19">
        <f>'Sampling Data'!D1015</f>
        <v>0</v>
      </c>
      <c r="F1015" s="19">
        <f>'Sampling Data'!E1015</f>
        <v>0</v>
      </c>
      <c r="G1015" s="19">
        <f>'Sampling Data'!F1015</f>
        <v>0</v>
      </c>
      <c r="H1015" s="19">
        <f>'Sampling Data'!G1015</f>
        <v>0</v>
      </c>
      <c r="I1015" s="19">
        <f>'Sampling Data'!H1015</f>
        <v>0</v>
      </c>
      <c r="J1015" s="19">
        <f>'Sampling Data'!I1015</f>
        <v>0</v>
      </c>
      <c r="K1015" s="19">
        <f>'Sampling Data'!J1015</f>
        <v>0</v>
      </c>
      <c r="L1015" s="19">
        <f>'Sampling Data'!K1015</f>
        <v>0</v>
      </c>
      <c r="M1015" s="19">
        <f>'Sampling Data'!L1015</f>
        <v>0</v>
      </c>
      <c r="N1015" s="19">
        <f>'Sampling Data'!M1015</f>
        <v>0</v>
      </c>
      <c r="O1015" s="18">
        <f>'Sampling Data'!N1015</f>
        <v>0</v>
      </c>
      <c r="P1015" s="18">
        <f>'Sampling Data'!O1015</f>
        <v>3</v>
      </c>
      <c r="Q1015" s="18">
        <f>'Sampling Data'!P1015</f>
        <v>235</v>
      </c>
      <c r="R1015" s="18">
        <f>'Sampling Data'!AJ1015</f>
        <v>0</v>
      </c>
      <c r="S1015" s="112"/>
      <c r="T1015" s="112"/>
      <c r="U1015" s="113"/>
      <c r="V1015" s="113"/>
      <c r="W1015" s="112"/>
      <c r="X1015" s="112"/>
      <c r="Y1015" s="112"/>
      <c r="Z1015" s="112"/>
      <c r="AA1015" s="15"/>
      <c r="AB1015" s="15"/>
      <c r="AC1015" s="15"/>
      <c r="AD1015" s="15"/>
      <c r="AE1015" s="114" t="str">
        <f>IF(NOT(ISBLANK(Audit[[#This Row],[Audit Winning Candidate]])), Audit[[#This Row],[Audit Winning Candidate]]-Audit[[#This Row],[Winning Candidate]], "")</f>
        <v/>
      </c>
      <c r="AF1015" s="18" t="str">
        <f>IF(NOT(ISBLANK(Audit[[#This Row],[Audit Losing Candidate]])), Audit[[#This Row],[Audit Losing Candidate]]-Audit[[#This Row],[Losing Candidate]], "")</f>
        <v/>
      </c>
      <c r="AG1015" s="18" t="str">
        <f>IF(NOT(ISBLANK(Audit[[#This Row],[Audit Candidate 3]])), Audit[[#This Row],[Audit Candidate 3]]-Audit[[#This Row],[Candidate 3]], "")</f>
        <v/>
      </c>
      <c r="AH1015" s="18" t="str">
        <f>IF(NOT(ISBLANK(Audit[[#This Row],[Audit Candidate 4]])),Audit[[#This Row],[Audit Candidate 4]]-Audit[[#This Row],[Candidate 4]], "")</f>
        <v/>
      </c>
      <c r="AI1015" s="18" t="str">
        <f>IF(NOT(ISBLANK(Audit[[#This Row],[Audit Candidate 5]])), Audit[[#This Row],[Audit Candidate 5]]-Audit[[#This Row],[Candidate 5]], "")</f>
        <v/>
      </c>
      <c r="AJ1015" s="18" t="str">
        <f>IF(NOT(ISBLANK(Audit[[#This Row],[Audit Candidate 6]])), Audit[[#This Row],[Audit Candidate 6]]-Audit[[#This Row],[Candidate 6]], "")</f>
        <v/>
      </c>
      <c r="AK1015" s="18" t="str">
        <f>IF(NOT(ISBLANK(Audit[[#This Row],[Audit Candidate 7]])), Audit[[#This Row],[Audit Candidate 7]]-Audit[[#This Row],[Candidate 7]], "")</f>
        <v/>
      </c>
      <c r="AL1015" s="18" t="str">
        <f>IF(NOT(ISBLANK(Audit[[#This Row],[Audit Candidate 8]])), Audit[[#This Row],[Audit Candidate 8]]-Audit[[#This Row],[Candidate 8]], "")</f>
        <v/>
      </c>
      <c r="AM1015" s="18" t="str">
        <f>IF(NOT(ISBLANK(Audit[[#This Row],[Audit Candidate 9]])), Audit[[#This Row],[Audit Candidate 9]]-Audit[[#This Row],[Candidate 9]], "")</f>
        <v/>
      </c>
      <c r="AN1015" s="18" t="str">
        <f>IF(NOT(ISBLANK(Audit[[#This Row],[Audit Candidate 10]])), Audit[[#This Row],[Audit Candidate 10]]-Audit[[#This Row],[Candidate 10]], "")</f>
        <v/>
      </c>
      <c r="AO1015" s="18" t="str">
        <f>IF(NOT(ISBLANK(Audit[[#This Row],[Audit Candidate 11]])), Audit[[#This Row],[Audit Candidate 11]]-Audit[[#This Row],[Candidate 11]], "")</f>
        <v/>
      </c>
      <c r="AP1015" s="18" t="str">
        <f>IF(NOT(ISBLANK(Audit[[#This Row],[Audit Candidate 12]])), Audit[[#This Row],[Audit Candidate 12]]-Audit[[#This Row],[Candidate 12]], "")</f>
        <v/>
      </c>
      <c r="AQ1015" s="18">
        <f>SUMIF(Audit[[#This Row],[Difference Winner]:[Difference Candidate 12]], "&gt;0")</f>
        <v>0</v>
      </c>
      <c r="AR1015" s="18">
        <f>SUM(Audit[[#This Row],[Difference Winner]:[Difference Candidate 12]])</f>
        <v>0</v>
      </c>
      <c r="AS1015" s="18">
        <f>IF(Audit[[#This Row],[Times p Drawn - With Replacement]]&gt;0, IF(Audit[[#This Row],[Canceled Differences]]&lt;0, Audit[[#This Row],[Max Differences]]+ABS(Audit[[#This Row],[Canceled Differences]]), Audit[[#This Row],[Max Differences]]), 0)</f>
        <v>0</v>
      </c>
      <c r="AT1015" s="18">
        <f>'Sampling Data'!AB1015</f>
        <v>1.4040267613154505E-2</v>
      </c>
      <c r="AU1015" s="18">
        <f>IF(
      SUM(Audit[[#This Row],[Audit Losing Candidate]:[Audit Candidate 12]])
      &lt;&gt;0,
      (Audit[[#This Row],[Winning Candidate]]-Audit[[#This Row],[Losing Candidate]]-(Audit[[#This Row],[Audit Winning Candidate]]-Audit[[#This Row],[Audit Losing Candidate]]))/(Audit[[#Totals],[Winning Candidate]]-Audit[[#Totals],[Losing Candidate]]),
      0
)</f>
        <v>0</v>
      </c>
      <c r="AV10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8">
        <f>IF(Audit[[#This Row],[Max Relative Error (ep)]] = 0, 0, Audit[[#This Row],[Max Relative Error (ep)]]/Audit[[#This Row],[Error Bound (up) - Max. possible relative overstatement]])</f>
        <v>0</v>
      </c>
      <c r="BH10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5" s="18">
        <f t="shared" si="16"/>
        <v>1</v>
      </c>
      <c r="BJ1015" s="18">
        <f>PRODUCT($BI$5:BI1015)</f>
        <v>0.10664664085196122</v>
      </c>
      <c r="BK1015" s="20">
        <f>1 - Audit[[#This Row],[K-M P Value]]</f>
        <v>0.89335335914803882</v>
      </c>
      <c r="BL1015" s="18" t="str">
        <f>IF(Audit[[#This Row],[K-M P Value]]&gt;1-'General Info'!$B$12,"Continue", "Stop")</f>
        <v>Continue</v>
      </c>
      <c r="BM1015" s="23" t="b">
        <f>IF(Audit[[#This Row],[Status - Continue or stop audit]] = "Continue", TRUE, IF(BL1014 = "Continue", TRUE, FALSE))</f>
        <v>1</v>
      </c>
      <c r="BN1015" s="23"/>
    </row>
    <row r="1016" spans="1:66" ht="15" hidden="1" customHeight="1" x14ac:dyDescent="0.35">
      <c r="A1016" s="18" t="str">
        <f>'Sampling Data'!AI1016</f>
        <v/>
      </c>
      <c r="B1016" s="18" t="str">
        <f>'Sampling Data'!A1016</f>
        <v>7324 GREEN X   (ED)</v>
      </c>
      <c r="C1016" s="18">
        <f>'Sampling Data'!B1016</f>
        <v>145</v>
      </c>
      <c r="D1016" s="18">
        <f>'Sampling Data'!C1016</f>
        <v>20</v>
      </c>
      <c r="E1016" s="19">
        <f>'Sampling Data'!D1016</f>
        <v>0</v>
      </c>
      <c r="F1016" s="19">
        <f>'Sampling Data'!E1016</f>
        <v>0</v>
      </c>
      <c r="G1016" s="19">
        <f>'Sampling Data'!F1016</f>
        <v>0</v>
      </c>
      <c r="H1016" s="19">
        <f>'Sampling Data'!G1016</f>
        <v>0</v>
      </c>
      <c r="I1016" s="19">
        <f>'Sampling Data'!H1016</f>
        <v>0</v>
      </c>
      <c r="J1016" s="19">
        <f>'Sampling Data'!I1016</f>
        <v>0</v>
      </c>
      <c r="K1016" s="19">
        <f>'Sampling Data'!J1016</f>
        <v>0</v>
      </c>
      <c r="L1016" s="19">
        <f>'Sampling Data'!K1016</f>
        <v>0</v>
      </c>
      <c r="M1016" s="19">
        <f>'Sampling Data'!L1016</f>
        <v>0</v>
      </c>
      <c r="N1016" s="19">
        <f>'Sampling Data'!M1016</f>
        <v>0</v>
      </c>
      <c r="O1016" s="18">
        <f>'Sampling Data'!N1016</f>
        <v>0</v>
      </c>
      <c r="P1016" s="18">
        <f>'Sampling Data'!O1016</f>
        <v>1</v>
      </c>
      <c r="Q1016" s="18">
        <f>'Sampling Data'!P1016</f>
        <v>166</v>
      </c>
      <c r="R1016" s="18">
        <f>'Sampling Data'!AJ1016</f>
        <v>0</v>
      </c>
      <c r="S1016" s="112"/>
      <c r="T1016" s="112"/>
      <c r="U1016" s="113"/>
      <c r="V1016" s="113"/>
      <c r="W1016" s="112"/>
      <c r="X1016" s="112"/>
      <c r="Y1016" s="112"/>
      <c r="Z1016" s="112"/>
      <c r="AA1016" s="15"/>
      <c r="AB1016" s="15"/>
      <c r="AC1016" s="15"/>
      <c r="AD1016" s="15"/>
      <c r="AE1016" s="114" t="str">
        <f>IF(NOT(ISBLANK(Audit[[#This Row],[Audit Winning Candidate]])), Audit[[#This Row],[Audit Winning Candidate]]-Audit[[#This Row],[Winning Candidate]], "")</f>
        <v/>
      </c>
      <c r="AF1016" s="18" t="str">
        <f>IF(NOT(ISBLANK(Audit[[#This Row],[Audit Losing Candidate]])), Audit[[#This Row],[Audit Losing Candidate]]-Audit[[#This Row],[Losing Candidate]], "")</f>
        <v/>
      </c>
      <c r="AG1016" s="18" t="str">
        <f>IF(NOT(ISBLANK(Audit[[#This Row],[Audit Candidate 3]])), Audit[[#This Row],[Audit Candidate 3]]-Audit[[#This Row],[Candidate 3]], "")</f>
        <v/>
      </c>
      <c r="AH1016" s="18" t="str">
        <f>IF(NOT(ISBLANK(Audit[[#This Row],[Audit Candidate 4]])),Audit[[#This Row],[Audit Candidate 4]]-Audit[[#This Row],[Candidate 4]], "")</f>
        <v/>
      </c>
      <c r="AI1016" s="18" t="str">
        <f>IF(NOT(ISBLANK(Audit[[#This Row],[Audit Candidate 5]])), Audit[[#This Row],[Audit Candidate 5]]-Audit[[#This Row],[Candidate 5]], "")</f>
        <v/>
      </c>
      <c r="AJ1016" s="18" t="str">
        <f>IF(NOT(ISBLANK(Audit[[#This Row],[Audit Candidate 6]])), Audit[[#This Row],[Audit Candidate 6]]-Audit[[#This Row],[Candidate 6]], "")</f>
        <v/>
      </c>
      <c r="AK1016" s="18" t="str">
        <f>IF(NOT(ISBLANK(Audit[[#This Row],[Audit Candidate 7]])), Audit[[#This Row],[Audit Candidate 7]]-Audit[[#This Row],[Candidate 7]], "")</f>
        <v/>
      </c>
      <c r="AL1016" s="18" t="str">
        <f>IF(NOT(ISBLANK(Audit[[#This Row],[Audit Candidate 8]])), Audit[[#This Row],[Audit Candidate 8]]-Audit[[#This Row],[Candidate 8]], "")</f>
        <v/>
      </c>
      <c r="AM1016" s="18" t="str">
        <f>IF(NOT(ISBLANK(Audit[[#This Row],[Audit Candidate 9]])), Audit[[#This Row],[Audit Candidate 9]]-Audit[[#This Row],[Candidate 9]], "")</f>
        <v/>
      </c>
      <c r="AN1016" s="18" t="str">
        <f>IF(NOT(ISBLANK(Audit[[#This Row],[Audit Candidate 10]])), Audit[[#This Row],[Audit Candidate 10]]-Audit[[#This Row],[Candidate 10]], "")</f>
        <v/>
      </c>
      <c r="AO1016" s="18" t="str">
        <f>IF(NOT(ISBLANK(Audit[[#This Row],[Audit Candidate 11]])), Audit[[#This Row],[Audit Candidate 11]]-Audit[[#This Row],[Candidate 11]], "")</f>
        <v/>
      </c>
      <c r="AP1016" s="18" t="str">
        <f>IF(NOT(ISBLANK(Audit[[#This Row],[Audit Candidate 12]])), Audit[[#This Row],[Audit Candidate 12]]-Audit[[#This Row],[Candidate 12]], "")</f>
        <v/>
      </c>
      <c r="AQ1016" s="18">
        <f>SUMIF(Audit[[#This Row],[Difference Winner]:[Difference Candidate 12]], "&gt;0")</f>
        <v>0</v>
      </c>
      <c r="AR1016" s="18">
        <f>SUM(Audit[[#This Row],[Difference Winner]:[Difference Candidate 12]])</f>
        <v>0</v>
      </c>
      <c r="AS1016" s="18">
        <f>IF(Audit[[#This Row],[Times p Drawn - With Replacement]]&gt;0, IF(Audit[[#This Row],[Canceled Differences]]&lt;0, Audit[[#This Row],[Max Differences]]+ABS(Audit[[#This Row],[Canceled Differences]]), Audit[[#This Row],[Max Differences]]), 0)</f>
        <v>0</v>
      </c>
      <c r="AT1016" s="18">
        <f>'Sampling Data'!AB1016</f>
        <v>9.1403084461475648E-3</v>
      </c>
      <c r="AU1016" s="18">
        <f>IF(
      SUM(Audit[[#This Row],[Audit Losing Candidate]:[Audit Candidate 12]])
      &lt;&gt;0,
      (Audit[[#This Row],[Winning Candidate]]-Audit[[#This Row],[Losing Candidate]]-(Audit[[#This Row],[Audit Winning Candidate]]-Audit[[#This Row],[Audit Losing Candidate]]))/(Audit[[#Totals],[Winning Candidate]]-Audit[[#Totals],[Losing Candidate]]),
      0
)</f>
        <v>0</v>
      </c>
      <c r="AV10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8">
        <f>IF(Audit[[#This Row],[Max Relative Error (ep)]] = 0, 0, Audit[[#This Row],[Max Relative Error (ep)]]/Audit[[#This Row],[Error Bound (up) - Max. possible relative overstatement]])</f>
        <v>0</v>
      </c>
      <c r="BH10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6" s="18">
        <f t="shared" si="16"/>
        <v>1</v>
      </c>
      <c r="BJ1016" s="18">
        <f>PRODUCT($BI$5:BI1016)</f>
        <v>0.10664664085196122</v>
      </c>
      <c r="BK1016" s="20">
        <f>1 - Audit[[#This Row],[K-M P Value]]</f>
        <v>0.89335335914803882</v>
      </c>
      <c r="BL1016" s="18" t="str">
        <f>IF(Audit[[#This Row],[K-M P Value]]&gt;1-'General Info'!$B$12,"Continue", "Stop")</f>
        <v>Continue</v>
      </c>
      <c r="BM1016" s="23" t="b">
        <f>IF(Audit[[#This Row],[Status - Continue or stop audit]] = "Continue", TRUE, IF(BL1015 = "Continue", TRUE, FALSE))</f>
        <v>1</v>
      </c>
      <c r="BN1016" s="23"/>
    </row>
    <row r="1017" spans="1:66" ht="15" hidden="1" customHeight="1" x14ac:dyDescent="0.35">
      <c r="A1017" s="18" t="str">
        <f>'Sampling Data'!AI1017</f>
        <v/>
      </c>
      <c r="B1017" s="18" t="str">
        <f>'Sampling Data'!A1017</f>
        <v>7325 GREEN Y   (ED)</v>
      </c>
      <c r="C1017" s="18">
        <f>'Sampling Data'!B1017</f>
        <v>94</v>
      </c>
      <c r="D1017" s="18">
        <f>'Sampling Data'!C1017</f>
        <v>8</v>
      </c>
      <c r="E1017" s="19">
        <f>'Sampling Data'!D1017</f>
        <v>0</v>
      </c>
      <c r="F1017" s="19">
        <f>'Sampling Data'!E1017</f>
        <v>0</v>
      </c>
      <c r="G1017" s="19">
        <f>'Sampling Data'!F1017</f>
        <v>0</v>
      </c>
      <c r="H1017" s="19">
        <f>'Sampling Data'!G1017</f>
        <v>0</v>
      </c>
      <c r="I1017" s="19">
        <f>'Sampling Data'!H1017</f>
        <v>0</v>
      </c>
      <c r="J1017" s="19">
        <f>'Sampling Data'!I1017</f>
        <v>0</v>
      </c>
      <c r="K1017" s="19">
        <f>'Sampling Data'!J1017</f>
        <v>0</v>
      </c>
      <c r="L1017" s="19">
        <f>'Sampling Data'!K1017</f>
        <v>0</v>
      </c>
      <c r="M1017" s="19">
        <f>'Sampling Data'!L1017</f>
        <v>0</v>
      </c>
      <c r="N1017" s="19">
        <f>'Sampling Data'!M1017</f>
        <v>0</v>
      </c>
      <c r="O1017" s="18">
        <f>'Sampling Data'!N1017</f>
        <v>0</v>
      </c>
      <c r="P1017" s="18">
        <f>'Sampling Data'!O1017</f>
        <v>1</v>
      </c>
      <c r="Q1017" s="18">
        <f>'Sampling Data'!P1017</f>
        <v>103</v>
      </c>
      <c r="R1017" s="18">
        <f>'Sampling Data'!AJ1017</f>
        <v>0</v>
      </c>
      <c r="S1017" s="112"/>
      <c r="T1017" s="112"/>
      <c r="U1017" s="113"/>
      <c r="V1017" s="113"/>
      <c r="W1017" s="112"/>
      <c r="X1017" s="112"/>
      <c r="Y1017" s="112"/>
      <c r="Z1017" s="112"/>
      <c r="AA1017" s="15"/>
      <c r="AB1017" s="15"/>
      <c r="AC1017" s="15"/>
      <c r="AD1017" s="15"/>
      <c r="AE1017" s="114" t="str">
        <f>IF(NOT(ISBLANK(Audit[[#This Row],[Audit Winning Candidate]])), Audit[[#This Row],[Audit Winning Candidate]]-Audit[[#This Row],[Winning Candidate]], "")</f>
        <v/>
      </c>
      <c r="AF1017" s="18" t="str">
        <f>IF(NOT(ISBLANK(Audit[[#This Row],[Audit Losing Candidate]])), Audit[[#This Row],[Audit Losing Candidate]]-Audit[[#This Row],[Losing Candidate]], "")</f>
        <v/>
      </c>
      <c r="AG1017" s="18" t="str">
        <f>IF(NOT(ISBLANK(Audit[[#This Row],[Audit Candidate 3]])), Audit[[#This Row],[Audit Candidate 3]]-Audit[[#This Row],[Candidate 3]], "")</f>
        <v/>
      </c>
      <c r="AH1017" s="18" t="str">
        <f>IF(NOT(ISBLANK(Audit[[#This Row],[Audit Candidate 4]])),Audit[[#This Row],[Audit Candidate 4]]-Audit[[#This Row],[Candidate 4]], "")</f>
        <v/>
      </c>
      <c r="AI1017" s="18" t="str">
        <f>IF(NOT(ISBLANK(Audit[[#This Row],[Audit Candidate 5]])), Audit[[#This Row],[Audit Candidate 5]]-Audit[[#This Row],[Candidate 5]], "")</f>
        <v/>
      </c>
      <c r="AJ1017" s="18" t="str">
        <f>IF(NOT(ISBLANK(Audit[[#This Row],[Audit Candidate 6]])), Audit[[#This Row],[Audit Candidate 6]]-Audit[[#This Row],[Candidate 6]], "")</f>
        <v/>
      </c>
      <c r="AK1017" s="18" t="str">
        <f>IF(NOT(ISBLANK(Audit[[#This Row],[Audit Candidate 7]])), Audit[[#This Row],[Audit Candidate 7]]-Audit[[#This Row],[Candidate 7]], "")</f>
        <v/>
      </c>
      <c r="AL1017" s="18" t="str">
        <f>IF(NOT(ISBLANK(Audit[[#This Row],[Audit Candidate 8]])), Audit[[#This Row],[Audit Candidate 8]]-Audit[[#This Row],[Candidate 8]], "")</f>
        <v/>
      </c>
      <c r="AM1017" s="18" t="str">
        <f>IF(NOT(ISBLANK(Audit[[#This Row],[Audit Candidate 9]])), Audit[[#This Row],[Audit Candidate 9]]-Audit[[#This Row],[Candidate 9]], "")</f>
        <v/>
      </c>
      <c r="AN1017" s="18" t="str">
        <f>IF(NOT(ISBLANK(Audit[[#This Row],[Audit Candidate 10]])), Audit[[#This Row],[Audit Candidate 10]]-Audit[[#This Row],[Candidate 10]], "")</f>
        <v/>
      </c>
      <c r="AO1017" s="18" t="str">
        <f>IF(NOT(ISBLANK(Audit[[#This Row],[Audit Candidate 11]])), Audit[[#This Row],[Audit Candidate 11]]-Audit[[#This Row],[Candidate 11]], "")</f>
        <v/>
      </c>
      <c r="AP1017" s="18" t="str">
        <f>IF(NOT(ISBLANK(Audit[[#This Row],[Audit Candidate 12]])), Audit[[#This Row],[Audit Candidate 12]]-Audit[[#This Row],[Candidate 12]], "")</f>
        <v/>
      </c>
      <c r="AQ1017" s="18">
        <f>SUMIF(Audit[[#This Row],[Difference Winner]:[Difference Candidate 12]], "&gt;0")</f>
        <v>0</v>
      </c>
      <c r="AR1017" s="18">
        <f>SUM(Audit[[#This Row],[Difference Winner]:[Difference Candidate 12]])</f>
        <v>0</v>
      </c>
      <c r="AS1017" s="18">
        <f>IF(Audit[[#This Row],[Times p Drawn - With Replacement]]&gt;0, IF(Audit[[#This Row],[Canceled Differences]]&lt;0, Audit[[#This Row],[Max Differences]]+ABS(Audit[[#This Row],[Canceled Differences]]), Audit[[#This Row],[Max Differences]]), 0)</f>
        <v>0</v>
      </c>
      <c r="AT1017" s="18">
        <f>'Sampling Data'!AB1017</f>
        <v>5.9364889907968718E-3</v>
      </c>
      <c r="AU1017" s="18">
        <f>IF(
      SUM(Audit[[#This Row],[Audit Losing Candidate]:[Audit Candidate 12]])
      &lt;&gt;0,
      (Audit[[#This Row],[Winning Candidate]]-Audit[[#This Row],[Losing Candidate]]-(Audit[[#This Row],[Audit Winning Candidate]]-Audit[[#This Row],[Audit Losing Candidate]]))/(Audit[[#Totals],[Winning Candidate]]-Audit[[#Totals],[Losing Candidate]]),
      0
)</f>
        <v>0</v>
      </c>
      <c r="AV10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8">
        <f>IF(Audit[[#This Row],[Max Relative Error (ep)]] = 0, 0, Audit[[#This Row],[Max Relative Error (ep)]]/Audit[[#This Row],[Error Bound (up) - Max. possible relative overstatement]])</f>
        <v>0</v>
      </c>
      <c r="BH10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7" s="18">
        <f t="shared" si="16"/>
        <v>1</v>
      </c>
      <c r="BJ1017" s="18">
        <f>PRODUCT($BI$5:BI1017)</f>
        <v>0.10664664085196122</v>
      </c>
      <c r="BK1017" s="20">
        <f>1 - Audit[[#This Row],[K-M P Value]]</f>
        <v>0.89335335914803882</v>
      </c>
      <c r="BL1017" s="18" t="str">
        <f>IF(Audit[[#This Row],[K-M P Value]]&gt;1-'General Info'!$B$12,"Continue", "Stop")</f>
        <v>Continue</v>
      </c>
      <c r="BM1017" s="23" t="b">
        <f>IF(Audit[[#This Row],[Status - Continue or stop audit]] = "Continue", TRUE, IF(BL1016 = "Continue", TRUE, FALSE))</f>
        <v>1</v>
      </c>
      <c r="BN1017" s="23"/>
    </row>
    <row r="1018" spans="1:66" ht="15" hidden="1" customHeight="1" x14ac:dyDescent="0.35">
      <c r="A1018" s="18" t="str">
        <f>'Sampling Data'!AI1018</f>
        <v/>
      </c>
      <c r="B1018" s="18" t="str">
        <f>'Sampling Data'!A1018</f>
        <v>7326 GREEN Z   (ED)</v>
      </c>
      <c r="C1018" s="18">
        <f>'Sampling Data'!B1018</f>
        <v>95</v>
      </c>
      <c r="D1018" s="18">
        <f>'Sampling Data'!C1018</f>
        <v>12</v>
      </c>
      <c r="E1018" s="19">
        <f>'Sampling Data'!D1018</f>
        <v>0</v>
      </c>
      <c r="F1018" s="19">
        <f>'Sampling Data'!E1018</f>
        <v>0</v>
      </c>
      <c r="G1018" s="19">
        <f>'Sampling Data'!F1018</f>
        <v>0</v>
      </c>
      <c r="H1018" s="19">
        <f>'Sampling Data'!G1018</f>
        <v>0</v>
      </c>
      <c r="I1018" s="19">
        <f>'Sampling Data'!H1018</f>
        <v>0</v>
      </c>
      <c r="J1018" s="19">
        <f>'Sampling Data'!I1018</f>
        <v>0</v>
      </c>
      <c r="K1018" s="19">
        <f>'Sampling Data'!J1018</f>
        <v>0</v>
      </c>
      <c r="L1018" s="19">
        <f>'Sampling Data'!K1018</f>
        <v>0</v>
      </c>
      <c r="M1018" s="19">
        <f>'Sampling Data'!L1018</f>
        <v>0</v>
      </c>
      <c r="N1018" s="19">
        <f>'Sampling Data'!M1018</f>
        <v>0</v>
      </c>
      <c r="O1018" s="18">
        <f>'Sampling Data'!N1018</f>
        <v>0</v>
      </c>
      <c r="P1018" s="18">
        <f>'Sampling Data'!O1018</f>
        <v>1</v>
      </c>
      <c r="Q1018" s="18">
        <f>'Sampling Data'!P1018</f>
        <v>108</v>
      </c>
      <c r="R1018" s="18">
        <f>'Sampling Data'!AJ1018</f>
        <v>0</v>
      </c>
      <c r="S1018" s="112"/>
      <c r="T1018" s="112"/>
      <c r="U1018" s="113"/>
      <c r="V1018" s="113"/>
      <c r="W1018" s="112"/>
      <c r="X1018" s="112"/>
      <c r="Y1018" s="112"/>
      <c r="Z1018" s="112"/>
      <c r="AA1018" s="15"/>
      <c r="AB1018" s="15"/>
      <c r="AC1018" s="15"/>
      <c r="AD1018" s="15"/>
      <c r="AE1018" s="114" t="str">
        <f>IF(NOT(ISBLANK(Audit[[#This Row],[Audit Winning Candidate]])), Audit[[#This Row],[Audit Winning Candidate]]-Audit[[#This Row],[Winning Candidate]], "")</f>
        <v/>
      </c>
      <c r="AF1018" s="18" t="str">
        <f>IF(NOT(ISBLANK(Audit[[#This Row],[Audit Losing Candidate]])), Audit[[#This Row],[Audit Losing Candidate]]-Audit[[#This Row],[Losing Candidate]], "")</f>
        <v/>
      </c>
      <c r="AG1018" s="18" t="str">
        <f>IF(NOT(ISBLANK(Audit[[#This Row],[Audit Candidate 3]])), Audit[[#This Row],[Audit Candidate 3]]-Audit[[#This Row],[Candidate 3]], "")</f>
        <v/>
      </c>
      <c r="AH1018" s="18" t="str">
        <f>IF(NOT(ISBLANK(Audit[[#This Row],[Audit Candidate 4]])),Audit[[#This Row],[Audit Candidate 4]]-Audit[[#This Row],[Candidate 4]], "")</f>
        <v/>
      </c>
      <c r="AI1018" s="18" t="str">
        <f>IF(NOT(ISBLANK(Audit[[#This Row],[Audit Candidate 5]])), Audit[[#This Row],[Audit Candidate 5]]-Audit[[#This Row],[Candidate 5]], "")</f>
        <v/>
      </c>
      <c r="AJ1018" s="18" t="str">
        <f>IF(NOT(ISBLANK(Audit[[#This Row],[Audit Candidate 6]])), Audit[[#This Row],[Audit Candidate 6]]-Audit[[#This Row],[Candidate 6]], "")</f>
        <v/>
      </c>
      <c r="AK1018" s="18" t="str">
        <f>IF(NOT(ISBLANK(Audit[[#This Row],[Audit Candidate 7]])), Audit[[#This Row],[Audit Candidate 7]]-Audit[[#This Row],[Candidate 7]], "")</f>
        <v/>
      </c>
      <c r="AL1018" s="18" t="str">
        <f>IF(NOT(ISBLANK(Audit[[#This Row],[Audit Candidate 8]])), Audit[[#This Row],[Audit Candidate 8]]-Audit[[#This Row],[Candidate 8]], "")</f>
        <v/>
      </c>
      <c r="AM1018" s="18" t="str">
        <f>IF(NOT(ISBLANK(Audit[[#This Row],[Audit Candidate 9]])), Audit[[#This Row],[Audit Candidate 9]]-Audit[[#This Row],[Candidate 9]], "")</f>
        <v/>
      </c>
      <c r="AN1018" s="18" t="str">
        <f>IF(NOT(ISBLANK(Audit[[#This Row],[Audit Candidate 10]])), Audit[[#This Row],[Audit Candidate 10]]-Audit[[#This Row],[Candidate 10]], "")</f>
        <v/>
      </c>
      <c r="AO1018" s="18" t="str">
        <f>IF(NOT(ISBLANK(Audit[[#This Row],[Audit Candidate 11]])), Audit[[#This Row],[Audit Candidate 11]]-Audit[[#This Row],[Candidate 11]], "")</f>
        <v/>
      </c>
      <c r="AP1018" s="18" t="str">
        <f>IF(NOT(ISBLANK(Audit[[#This Row],[Audit Candidate 12]])), Audit[[#This Row],[Audit Candidate 12]]-Audit[[#This Row],[Candidate 12]], "")</f>
        <v/>
      </c>
      <c r="AQ1018" s="18">
        <f>SUMIF(Audit[[#This Row],[Difference Winner]:[Difference Candidate 12]], "&gt;0")</f>
        <v>0</v>
      </c>
      <c r="AR1018" s="18">
        <f>SUM(Audit[[#This Row],[Difference Winner]:[Difference Candidate 12]])</f>
        <v>0</v>
      </c>
      <c r="AS1018" s="18">
        <f>IF(Audit[[#This Row],[Times p Drawn - With Replacement]]&gt;0, IF(Audit[[#This Row],[Canceled Differences]]&lt;0, Audit[[#This Row],[Max Differences]]+ABS(Audit[[#This Row],[Canceled Differences]]), Audit[[#This Row],[Max Differences]]), 0)</f>
        <v>0</v>
      </c>
      <c r="AT1018" s="18">
        <f>'Sampling Data'!AB1018</f>
        <v>5.9993089801174734E-3</v>
      </c>
      <c r="AU1018" s="18">
        <f>IF(
      SUM(Audit[[#This Row],[Audit Losing Candidate]:[Audit Candidate 12]])
      &lt;&gt;0,
      (Audit[[#This Row],[Winning Candidate]]-Audit[[#This Row],[Losing Candidate]]-(Audit[[#This Row],[Audit Winning Candidate]]-Audit[[#This Row],[Audit Losing Candidate]]))/(Audit[[#Totals],[Winning Candidate]]-Audit[[#Totals],[Losing Candidate]]),
      0
)</f>
        <v>0</v>
      </c>
      <c r="AV10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8">
        <f>IF(Audit[[#This Row],[Max Relative Error (ep)]] = 0, 0, Audit[[#This Row],[Max Relative Error (ep)]]/Audit[[#This Row],[Error Bound (up) - Max. possible relative overstatement]])</f>
        <v>0</v>
      </c>
      <c r="BH10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8" s="18">
        <f t="shared" si="16"/>
        <v>1</v>
      </c>
      <c r="BJ1018" s="18">
        <f>PRODUCT($BI$5:BI1018)</f>
        <v>0.10664664085196122</v>
      </c>
      <c r="BK1018" s="20">
        <f>1 - Audit[[#This Row],[K-M P Value]]</f>
        <v>0.89335335914803882</v>
      </c>
      <c r="BL1018" s="18" t="str">
        <f>IF(Audit[[#This Row],[K-M P Value]]&gt;1-'General Info'!$B$12,"Continue", "Stop")</f>
        <v>Continue</v>
      </c>
      <c r="BM1018" s="23" t="b">
        <f>IF(Audit[[#This Row],[Status - Continue or stop audit]] = "Continue", TRUE, IF(BL1017 = "Continue", TRUE, FALSE))</f>
        <v>1</v>
      </c>
      <c r="BN1018" s="23"/>
    </row>
    <row r="1019" spans="1:66" ht="15" hidden="1" customHeight="1" x14ac:dyDescent="0.35">
      <c r="A1019" s="18" t="str">
        <f>'Sampling Data'!AI1019</f>
        <v/>
      </c>
      <c r="B1019" s="18" t="str">
        <f>'Sampling Data'!A1019</f>
        <v>7327 GREEN AA   (ED)</v>
      </c>
      <c r="C1019" s="18">
        <f>'Sampling Data'!B1019</f>
        <v>105</v>
      </c>
      <c r="D1019" s="18">
        <f>'Sampling Data'!C1019</f>
        <v>13</v>
      </c>
      <c r="E1019" s="19">
        <f>'Sampling Data'!D1019</f>
        <v>0</v>
      </c>
      <c r="F1019" s="19">
        <f>'Sampling Data'!E1019</f>
        <v>0</v>
      </c>
      <c r="G1019" s="19">
        <f>'Sampling Data'!F1019</f>
        <v>0</v>
      </c>
      <c r="H1019" s="19">
        <f>'Sampling Data'!G1019</f>
        <v>0</v>
      </c>
      <c r="I1019" s="19">
        <f>'Sampling Data'!H1019</f>
        <v>0</v>
      </c>
      <c r="J1019" s="19">
        <f>'Sampling Data'!I1019</f>
        <v>0</v>
      </c>
      <c r="K1019" s="19">
        <f>'Sampling Data'!J1019</f>
        <v>0</v>
      </c>
      <c r="L1019" s="19">
        <f>'Sampling Data'!K1019</f>
        <v>0</v>
      </c>
      <c r="M1019" s="19">
        <f>'Sampling Data'!L1019</f>
        <v>0</v>
      </c>
      <c r="N1019" s="19">
        <f>'Sampling Data'!M1019</f>
        <v>0</v>
      </c>
      <c r="O1019" s="18">
        <f>'Sampling Data'!N1019</f>
        <v>0</v>
      </c>
      <c r="P1019" s="18">
        <f>'Sampling Data'!O1019</f>
        <v>1</v>
      </c>
      <c r="Q1019" s="18">
        <f>'Sampling Data'!P1019</f>
        <v>119</v>
      </c>
      <c r="R1019" s="18">
        <f>'Sampling Data'!AJ1019</f>
        <v>0</v>
      </c>
      <c r="S1019" s="112"/>
      <c r="T1019" s="112"/>
      <c r="U1019" s="113"/>
      <c r="V1019" s="113"/>
      <c r="W1019" s="112"/>
      <c r="X1019" s="112"/>
      <c r="Y1019" s="112"/>
      <c r="Z1019" s="112"/>
      <c r="AA1019" s="15"/>
      <c r="AB1019" s="15"/>
      <c r="AC1019" s="15"/>
      <c r="AD1019" s="15"/>
      <c r="AE1019" s="114" t="str">
        <f>IF(NOT(ISBLANK(Audit[[#This Row],[Audit Winning Candidate]])), Audit[[#This Row],[Audit Winning Candidate]]-Audit[[#This Row],[Winning Candidate]], "")</f>
        <v/>
      </c>
      <c r="AF1019" s="18" t="str">
        <f>IF(NOT(ISBLANK(Audit[[#This Row],[Audit Losing Candidate]])), Audit[[#This Row],[Audit Losing Candidate]]-Audit[[#This Row],[Losing Candidate]], "")</f>
        <v/>
      </c>
      <c r="AG1019" s="18" t="str">
        <f>IF(NOT(ISBLANK(Audit[[#This Row],[Audit Candidate 3]])), Audit[[#This Row],[Audit Candidate 3]]-Audit[[#This Row],[Candidate 3]], "")</f>
        <v/>
      </c>
      <c r="AH1019" s="18" t="str">
        <f>IF(NOT(ISBLANK(Audit[[#This Row],[Audit Candidate 4]])),Audit[[#This Row],[Audit Candidate 4]]-Audit[[#This Row],[Candidate 4]], "")</f>
        <v/>
      </c>
      <c r="AI1019" s="18" t="str">
        <f>IF(NOT(ISBLANK(Audit[[#This Row],[Audit Candidate 5]])), Audit[[#This Row],[Audit Candidate 5]]-Audit[[#This Row],[Candidate 5]], "")</f>
        <v/>
      </c>
      <c r="AJ1019" s="18" t="str">
        <f>IF(NOT(ISBLANK(Audit[[#This Row],[Audit Candidate 6]])), Audit[[#This Row],[Audit Candidate 6]]-Audit[[#This Row],[Candidate 6]], "")</f>
        <v/>
      </c>
      <c r="AK1019" s="18" t="str">
        <f>IF(NOT(ISBLANK(Audit[[#This Row],[Audit Candidate 7]])), Audit[[#This Row],[Audit Candidate 7]]-Audit[[#This Row],[Candidate 7]], "")</f>
        <v/>
      </c>
      <c r="AL1019" s="18" t="str">
        <f>IF(NOT(ISBLANK(Audit[[#This Row],[Audit Candidate 8]])), Audit[[#This Row],[Audit Candidate 8]]-Audit[[#This Row],[Candidate 8]], "")</f>
        <v/>
      </c>
      <c r="AM1019" s="18" t="str">
        <f>IF(NOT(ISBLANK(Audit[[#This Row],[Audit Candidate 9]])), Audit[[#This Row],[Audit Candidate 9]]-Audit[[#This Row],[Candidate 9]], "")</f>
        <v/>
      </c>
      <c r="AN1019" s="18" t="str">
        <f>IF(NOT(ISBLANK(Audit[[#This Row],[Audit Candidate 10]])), Audit[[#This Row],[Audit Candidate 10]]-Audit[[#This Row],[Candidate 10]], "")</f>
        <v/>
      </c>
      <c r="AO1019" s="18" t="str">
        <f>IF(NOT(ISBLANK(Audit[[#This Row],[Audit Candidate 11]])), Audit[[#This Row],[Audit Candidate 11]]-Audit[[#This Row],[Candidate 11]], "")</f>
        <v/>
      </c>
      <c r="AP1019" s="18" t="str">
        <f>IF(NOT(ISBLANK(Audit[[#This Row],[Audit Candidate 12]])), Audit[[#This Row],[Audit Candidate 12]]-Audit[[#This Row],[Candidate 12]], "")</f>
        <v/>
      </c>
      <c r="AQ1019" s="18">
        <f>SUMIF(Audit[[#This Row],[Difference Winner]:[Difference Candidate 12]], "&gt;0")</f>
        <v>0</v>
      </c>
      <c r="AR1019" s="18">
        <f>SUM(Audit[[#This Row],[Difference Winner]:[Difference Candidate 12]])</f>
        <v>0</v>
      </c>
      <c r="AS1019" s="18">
        <f>IF(Audit[[#This Row],[Times p Drawn - With Replacement]]&gt;0, IF(Audit[[#This Row],[Canceled Differences]]&lt;0, Audit[[#This Row],[Max Differences]]+ABS(Audit[[#This Row],[Canceled Differences]]), Audit[[#This Row],[Max Differences]]), 0)</f>
        <v>0</v>
      </c>
      <c r="AT1019" s="18">
        <f>'Sampling Data'!AB1019</f>
        <v>6.6275088733234915E-3</v>
      </c>
      <c r="AU1019" s="18">
        <f>IF(
      SUM(Audit[[#This Row],[Audit Losing Candidate]:[Audit Candidate 12]])
      &lt;&gt;0,
      (Audit[[#This Row],[Winning Candidate]]-Audit[[#This Row],[Losing Candidate]]-(Audit[[#This Row],[Audit Winning Candidate]]-Audit[[#This Row],[Audit Losing Candidate]]))/(Audit[[#Totals],[Winning Candidate]]-Audit[[#Totals],[Losing Candidate]]),
      0
)</f>
        <v>0</v>
      </c>
      <c r="AV10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8">
        <f>IF(Audit[[#This Row],[Max Relative Error (ep)]] = 0, 0, Audit[[#This Row],[Max Relative Error (ep)]]/Audit[[#This Row],[Error Bound (up) - Max. possible relative overstatement]])</f>
        <v>0</v>
      </c>
      <c r="BH10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19" s="18">
        <f t="shared" si="16"/>
        <v>1</v>
      </c>
      <c r="BJ1019" s="18">
        <f>PRODUCT($BI$5:BI1019)</f>
        <v>0.10664664085196122</v>
      </c>
      <c r="BK1019" s="20">
        <f>1 - Audit[[#This Row],[K-M P Value]]</f>
        <v>0.89335335914803882</v>
      </c>
      <c r="BL1019" s="18" t="str">
        <f>IF(Audit[[#This Row],[K-M P Value]]&gt;1-'General Info'!$B$12,"Continue", "Stop")</f>
        <v>Continue</v>
      </c>
      <c r="BM1019" s="23" t="b">
        <f>IF(Audit[[#This Row],[Status - Continue or stop audit]] = "Continue", TRUE, IF(BL1018 = "Continue", TRUE, FALSE))</f>
        <v>1</v>
      </c>
      <c r="BN1019" s="23"/>
    </row>
    <row r="1020" spans="1:66" ht="15" hidden="1" customHeight="1" x14ac:dyDescent="0.35">
      <c r="A1020" s="18" t="str">
        <f>'Sampling Data'!AI1020</f>
        <v/>
      </c>
      <c r="B1020" s="18" t="str">
        <f>'Sampling Data'!A1020</f>
        <v>7328 GREEN BB   (ED)</v>
      </c>
      <c r="C1020" s="18">
        <f>'Sampling Data'!B1020</f>
        <v>97</v>
      </c>
      <c r="D1020" s="18">
        <f>'Sampling Data'!C1020</f>
        <v>8</v>
      </c>
      <c r="E1020" s="19">
        <f>'Sampling Data'!D1020</f>
        <v>0</v>
      </c>
      <c r="F1020" s="19">
        <f>'Sampling Data'!E1020</f>
        <v>0</v>
      </c>
      <c r="G1020" s="19">
        <f>'Sampling Data'!F1020</f>
        <v>0</v>
      </c>
      <c r="H1020" s="19">
        <f>'Sampling Data'!G1020</f>
        <v>0</v>
      </c>
      <c r="I1020" s="19">
        <f>'Sampling Data'!H1020</f>
        <v>0</v>
      </c>
      <c r="J1020" s="19">
        <f>'Sampling Data'!I1020</f>
        <v>0</v>
      </c>
      <c r="K1020" s="19">
        <f>'Sampling Data'!J1020</f>
        <v>0</v>
      </c>
      <c r="L1020" s="19">
        <f>'Sampling Data'!K1020</f>
        <v>0</v>
      </c>
      <c r="M1020" s="19">
        <f>'Sampling Data'!L1020</f>
        <v>0</v>
      </c>
      <c r="N1020" s="19">
        <f>'Sampling Data'!M1020</f>
        <v>0</v>
      </c>
      <c r="O1020" s="18">
        <f>'Sampling Data'!N1020</f>
        <v>0</v>
      </c>
      <c r="P1020" s="18">
        <f>'Sampling Data'!O1020</f>
        <v>1</v>
      </c>
      <c r="Q1020" s="18">
        <f>'Sampling Data'!P1020</f>
        <v>106</v>
      </c>
      <c r="R1020" s="18">
        <f>'Sampling Data'!AJ1020</f>
        <v>0</v>
      </c>
      <c r="S1020" s="112"/>
      <c r="T1020" s="112"/>
      <c r="U1020" s="113"/>
      <c r="V1020" s="113"/>
      <c r="W1020" s="112"/>
      <c r="X1020" s="112"/>
      <c r="Y1020" s="112"/>
      <c r="Z1020" s="112"/>
      <c r="AA1020" s="15"/>
      <c r="AB1020" s="15"/>
      <c r="AC1020" s="15"/>
      <c r="AD1020" s="15"/>
      <c r="AE1020" s="114" t="str">
        <f>IF(NOT(ISBLANK(Audit[[#This Row],[Audit Winning Candidate]])), Audit[[#This Row],[Audit Winning Candidate]]-Audit[[#This Row],[Winning Candidate]], "")</f>
        <v/>
      </c>
      <c r="AF1020" s="18" t="str">
        <f>IF(NOT(ISBLANK(Audit[[#This Row],[Audit Losing Candidate]])), Audit[[#This Row],[Audit Losing Candidate]]-Audit[[#This Row],[Losing Candidate]], "")</f>
        <v/>
      </c>
      <c r="AG1020" s="18" t="str">
        <f>IF(NOT(ISBLANK(Audit[[#This Row],[Audit Candidate 3]])), Audit[[#This Row],[Audit Candidate 3]]-Audit[[#This Row],[Candidate 3]], "")</f>
        <v/>
      </c>
      <c r="AH1020" s="18" t="str">
        <f>IF(NOT(ISBLANK(Audit[[#This Row],[Audit Candidate 4]])),Audit[[#This Row],[Audit Candidate 4]]-Audit[[#This Row],[Candidate 4]], "")</f>
        <v/>
      </c>
      <c r="AI1020" s="18" t="str">
        <f>IF(NOT(ISBLANK(Audit[[#This Row],[Audit Candidate 5]])), Audit[[#This Row],[Audit Candidate 5]]-Audit[[#This Row],[Candidate 5]], "")</f>
        <v/>
      </c>
      <c r="AJ1020" s="18" t="str">
        <f>IF(NOT(ISBLANK(Audit[[#This Row],[Audit Candidate 6]])), Audit[[#This Row],[Audit Candidate 6]]-Audit[[#This Row],[Candidate 6]], "")</f>
        <v/>
      </c>
      <c r="AK1020" s="18" t="str">
        <f>IF(NOT(ISBLANK(Audit[[#This Row],[Audit Candidate 7]])), Audit[[#This Row],[Audit Candidate 7]]-Audit[[#This Row],[Candidate 7]], "")</f>
        <v/>
      </c>
      <c r="AL1020" s="18" t="str">
        <f>IF(NOT(ISBLANK(Audit[[#This Row],[Audit Candidate 8]])), Audit[[#This Row],[Audit Candidate 8]]-Audit[[#This Row],[Candidate 8]], "")</f>
        <v/>
      </c>
      <c r="AM1020" s="18" t="str">
        <f>IF(NOT(ISBLANK(Audit[[#This Row],[Audit Candidate 9]])), Audit[[#This Row],[Audit Candidate 9]]-Audit[[#This Row],[Candidate 9]], "")</f>
        <v/>
      </c>
      <c r="AN1020" s="18" t="str">
        <f>IF(NOT(ISBLANK(Audit[[#This Row],[Audit Candidate 10]])), Audit[[#This Row],[Audit Candidate 10]]-Audit[[#This Row],[Candidate 10]], "")</f>
        <v/>
      </c>
      <c r="AO1020" s="18" t="str">
        <f>IF(NOT(ISBLANK(Audit[[#This Row],[Audit Candidate 11]])), Audit[[#This Row],[Audit Candidate 11]]-Audit[[#This Row],[Candidate 11]], "")</f>
        <v/>
      </c>
      <c r="AP1020" s="18" t="str">
        <f>IF(NOT(ISBLANK(Audit[[#This Row],[Audit Candidate 12]])), Audit[[#This Row],[Audit Candidate 12]]-Audit[[#This Row],[Candidate 12]], "")</f>
        <v/>
      </c>
      <c r="AQ1020" s="18">
        <f>SUMIF(Audit[[#This Row],[Difference Winner]:[Difference Candidate 12]], "&gt;0")</f>
        <v>0</v>
      </c>
      <c r="AR1020" s="18">
        <f>SUM(Audit[[#This Row],[Difference Winner]:[Difference Candidate 12]])</f>
        <v>0</v>
      </c>
      <c r="AS1020" s="18">
        <f>IF(Audit[[#This Row],[Times p Drawn - With Replacement]]&gt;0, IF(Audit[[#This Row],[Canceled Differences]]&lt;0, Audit[[#This Row],[Max Differences]]+ABS(Audit[[#This Row],[Canceled Differences]]), Audit[[#This Row],[Max Differences]]), 0)</f>
        <v>0</v>
      </c>
      <c r="AT1020" s="18">
        <f>'Sampling Data'!AB1020</f>
        <v>6.1249489587586773E-3</v>
      </c>
      <c r="AU1020" s="18">
        <f>IF(
      SUM(Audit[[#This Row],[Audit Losing Candidate]:[Audit Candidate 12]])
      &lt;&gt;0,
      (Audit[[#This Row],[Winning Candidate]]-Audit[[#This Row],[Losing Candidate]]-(Audit[[#This Row],[Audit Winning Candidate]]-Audit[[#This Row],[Audit Losing Candidate]]))/(Audit[[#Totals],[Winning Candidate]]-Audit[[#Totals],[Losing Candidate]]),
      0
)</f>
        <v>0</v>
      </c>
      <c r="AV10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8">
        <f>IF(Audit[[#This Row],[Max Relative Error (ep)]] = 0, 0, Audit[[#This Row],[Max Relative Error (ep)]]/Audit[[#This Row],[Error Bound (up) - Max. possible relative overstatement]])</f>
        <v>0</v>
      </c>
      <c r="BH10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0" s="18">
        <f t="shared" si="16"/>
        <v>1</v>
      </c>
      <c r="BJ1020" s="18">
        <f>PRODUCT($BI$5:BI1020)</f>
        <v>0.10664664085196122</v>
      </c>
      <c r="BK1020" s="20">
        <f>1 - Audit[[#This Row],[K-M P Value]]</f>
        <v>0.89335335914803882</v>
      </c>
      <c r="BL1020" s="18" t="str">
        <f>IF(Audit[[#This Row],[K-M P Value]]&gt;1-'General Info'!$B$12,"Continue", "Stop")</f>
        <v>Continue</v>
      </c>
      <c r="BM1020" s="23" t="b">
        <f>IF(Audit[[#This Row],[Status - Continue or stop audit]] = "Continue", TRUE, IF(BL1019 = "Continue", TRUE, FALSE))</f>
        <v>1</v>
      </c>
      <c r="BN1020" s="23"/>
    </row>
    <row r="1021" spans="1:66" ht="15" hidden="1" customHeight="1" x14ac:dyDescent="0.35">
      <c r="A1021" s="18" t="str">
        <f>'Sampling Data'!AI1021</f>
        <v/>
      </c>
      <c r="B1021" s="18" t="str">
        <f>'Sampling Data'!A1021</f>
        <v>7329 GREEN CC   (ED)</v>
      </c>
      <c r="C1021" s="18">
        <f>'Sampling Data'!B1021</f>
        <v>98</v>
      </c>
      <c r="D1021" s="18">
        <f>'Sampling Data'!C1021</f>
        <v>6</v>
      </c>
      <c r="E1021" s="19">
        <f>'Sampling Data'!D1021</f>
        <v>0</v>
      </c>
      <c r="F1021" s="19">
        <f>'Sampling Data'!E1021</f>
        <v>0</v>
      </c>
      <c r="G1021" s="19">
        <f>'Sampling Data'!F1021</f>
        <v>0</v>
      </c>
      <c r="H1021" s="19">
        <f>'Sampling Data'!G1021</f>
        <v>0</v>
      </c>
      <c r="I1021" s="19">
        <f>'Sampling Data'!H1021</f>
        <v>0</v>
      </c>
      <c r="J1021" s="19">
        <f>'Sampling Data'!I1021</f>
        <v>0</v>
      </c>
      <c r="K1021" s="19">
        <f>'Sampling Data'!J1021</f>
        <v>0</v>
      </c>
      <c r="L1021" s="19">
        <f>'Sampling Data'!K1021</f>
        <v>0</v>
      </c>
      <c r="M1021" s="19">
        <f>'Sampling Data'!L1021</f>
        <v>0</v>
      </c>
      <c r="N1021" s="19">
        <f>'Sampling Data'!M1021</f>
        <v>0</v>
      </c>
      <c r="O1021" s="18">
        <f>'Sampling Data'!N1021</f>
        <v>0</v>
      </c>
      <c r="P1021" s="18">
        <f>'Sampling Data'!O1021</f>
        <v>1</v>
      </c>
      <c r="Q1021" s="18">
        <f>'Sampling Data'!P1021</f>
        <v>105</v>
      </c>
      <c r="R1021" s="18">
        <f>'Sampling Data'!AJ1021</f>
        <v>0</v>
      </c>
      <c r="S1021" s="112"/>
      <c r="T1021" s="112"/>
      <c r="U1021" s="113"/>
      <c r="V1021" s="113"/>
      <c r="W1021" s="112"/>
      <c r="X1021" s="112"/>
      <c r="Y1021" s="112"/>
      <c r="Z1021" s="112"/>
      <c r="AA1021" s="15"/>
      <c r="AB1021" s="15"/>
      <c r="AC1021" s="15"/>
      <c r="AD1021" s="15"/>
      <c r="AE1021" s="114" t="str">
        <f>IF(NOT(ISBLANK(Audit[[#This Row],[Audit Winning Candidate]])), Audit[[#This Row],[Audit Winning Candidate]]-Audit[[#This Row],[Winning Candidate]], "")</f>
        <v/>
      </c>
      <c r="AF1021" s="18" t="str">
        <f>IF(NOT(ISBLANK(Audit[[#This Row],[Audit Losing Candidate]])), Audit[[#This Row],[Audit Losing Candidate]]-Audit[[#This Row],[Losing Candidate]], "")</f>
        <v/>
      </c>
      <c r="AG1021" s="18" t="str">
        <f>IF(NOT(ISBLANK(Audit[[#This Row],[Audit Candidate 3]])), Audit[[#This Row],[Audit Candidate 3]]-Audit[[#This Row],[Candidate 3]], "")</f>
        <v/>
      </c>
      <c r="AH1021" s="18" t="str">
        <f>IF(NOT(ISBLANK(Audit[[#This Row],[Audit Candidate 4]])),Audit[[#This Row],[Audit Candidate 4]]-Audit[[#This Row],[Candidate 4]], "")</f>
        <v/>
      </c>
      <c r="AI1021" s="18" t="str">
        <f>IF(NOT(ISBLANK(Audit[[#This Row],[Audit Candidate 5]])), Audit[[#This Row],[Audit Candidate 5]]-Audit[[#This Row],[Candidate 5]], "")</f>
        <v/>
      </c>
      <c r="AJ1021" s="18" t="str">
        <f>IF(NOT(ISBLANK(Audit[[#This Row],[Audit Candidate 6]])), Audit[[#This Row],[Audit Candidate 6]]-Audit[[#This Row],[Candidate 6]], "")</f>
        <v/>
      </c>
      <c r="AK1021" s="18" t="str">
        <f>IF(NOT(ISBLANK(Audit[[#This Row],[Audit Candidate 7]])), Audit[[#This Row],[Audit Candidate 7]]-Audit[[#This Row],[Candidate 7]], "")</f>
        <v/>
      </c>
      <c r="AL1021" s="18" t="str">
        <f>IF(NOT(ISBLANK(Audit[[#This Row],[Audit Candidate 8]])), Audit[[#This Row],[Audit Candidate 8]]-Audit[[#This Row],[Candidate 8]], "")</f>
        <v/>
      </c>
      <c r="AM1021" s="18" t="str">
        <f>IF(NOT(ISBLANK(Audit[[#This Row],[Audit Candidate 9]])), Audit[[#This Row],[Audit Candidate 9]]-Audit[[#This Row],[Candidate 9]], "")</f>
        <v/>
      </c>
      <c r="AN1021" s="18" t="str">
        <f>IF(NOT(ISBLANK(Audit[[#This Row],[Audit Candidate 10]])), Audit[[#This Row],[Audit Candidate 10]]-Audit[[#This Row],[Candidate 10]], "")</f>
        <v/>
      </c>
      <c r="AO1021" s="18" t="str">
        <f>IF(NOT(ISBLANK(Audit[[#This Row],[Audit Candidate 11]])), Audit[[#This Row],[Audit Candidate 11]]-Audit[[#This Row],[Candidate 11]], "")</f>
        <v/>
      </c>
      <c r="AP1021" s="18" t="str">
        <f>IF(NOT(ISBLANK(Audit[[#This Row],[Audit Candidate 12]])), Audit[[#This Row],[Audit Candidate 12]]-Audit[[#This Row],[Candidate 12]], "")</f>
        <v/>
      </c>
      <c r="AQ1021" s="18">
        <f>SUMIF(Audit[[#This Row],[Difference Winner]:[Difference Candidate 12]], "&gt;0")</f>
        <v>0</v>
      </c>
      <c r="AR1021" s="18">
        <f>SUM(Audit[[#This Row],[Difference Winner]:[Difference Candidate 12]])</f>
        <v>0</v>
      </c>
      <c r="AS1021" s="18">
        <f>IF(Audit[[#This Row],[Times p Drawn - With Replacement]]&gt;0, IF(Audit[[#This Row],[Canceled Differences]]&lt;0, Audit[[#This Row],[Max Differences]]+ABS(Audit[[#This Row],[Canceled Differences]]), Audit[[#This Row],[Max Differences]]), 0)</f>
        <v>0</v>
      </c>
      <c r="AT1021" s="18">
        <f>'Sampling Data'!AB1021</f>
        <v>6.1877689480792789E-3</v>
      </c>
      <c r="AU1021" s="18">
        <f>IF(
      SUM(Audit[[#This Row],[Audit Losing Candidate]:[Audit Candidate 12]])
      &lt;&gt;0,
      (Audit[[#This Row],[Winning Candidate]]-Audit[[#This Row],[Losing Candidate]]-(Audit[[#This Row],[Audit Winning Candidate]]-Audit[[#This Row],[Audit Losing Candidate]]))/(Audit[[#Totals],[Winning Candidate]]-Audit[[#Totals],[Losing Candidate]]),
      0
)</f>
        <v>0</v>
      </c>
      <c r="AV10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8">
        <f>IF(Audit[[#This Row],[Max Relative Error (ep)]] = 0, 0, Audit[[#This Row],[Max Relative Error (ep)]]/Audit[[#This Row],[Error Bound (up) - Max. possible relative overstatement]])</f>
        <v>0</v>
      </c>
      <c r="BH10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1" s="18">
        <f t="shared" si="16"/>
        <v>1</v>
      </c>
      <c r="BJ1021" s="18">
        <f>PRODUCT($BI$5:BI1021)</f>
        <v>0.10664664085196122</v>
      </c>
      <c r="BK1021" s="20">
        <f>1 - Audit[[#This Row],[K-M P Value]]</f>
        <v>0.89335335914803882</v>
      </c>
      <c r="BL1021" s="18" t="str">
        <f>IF(Audit[[#This Row],[K-M P Value]]&gt;1-'General Info'!$B$12,"Continue", "Stop")</f>
        <v>Continue</v>
      </c>
      <c r="BM1021" s="23" t="b">
        <f>IF(Audit[[#This Row],[Status - Continue or stop audit]] = "Continue", TRUE, IF(BL1020 = "Continue", TRUE, FALSE))</f>
        <v>1</v>
      </c>
      <c r="BN1021" s="23"/>
    </row>
    <row r="1022" spans="1:66" ht="15" hidden="1" customHeight="1" x14ac:dyDescent="0.35">
      <c r="A1022" s="18" t="str">
        <f>'Sampling Data'!AI1022</f>
        <v/>
      </c>
      <c r="B1022" s="18" t="str">
        <f>'Sampling Data'!A1022</f>
        <v>7330 GREEN DD   (ED)</v>
      </c>
      <c r="C1022" s="18">
        <f>'Sampling Data'!B1022</f>
        <v>76</v>
      </c>
      <c r="D1022" s="18">
        <f>'Sampling Data'!C1022</f>
        <v>14</v>
      </c>
      <c r="E1022" s="19">
        <f>'Sampling Data'!D1022</f>
        <v>0</v>
      </c>
      <c r="F1022" s="19">
        <f>'Sampling Data'!E1022</f>
        <v>0</v>
      </c>
      <c r="G1022" s="19">
        <f>'Sampling Data'!F1022</f>
        <v>0</v>
      </c>
      <c r="H1022" s="19">
        <f>'Sampling Data'!G1022</f>
        <v>0</v>
      </c>
      <c r="I1022" s="19">
        <f>'Sampling Data'!H1022</f>
        <v>0</v>
      </c>
      <c r="J1022" s="19">
        <f>'Sampling Data'!I1022</f>
        <v>0</v>
      </c>
      <c r="K1022" s="19">
        <f>'Sampling Data'!J1022</f>
        <v>0</v>
      </c>
      <c r="L1022" s="19">
        <f>'Sampling Data'!K1022</f>
        <v>0</v>
      </c>
      <c r="M1022" s="19">
        <f>'Sampling Data'!L1022</f>
        <v>0</v>
      </c>
      <c r="N1022" s="19">
        <f>'Sampling Data'!M1022</f>
        <v>0</v>
      </c>
      <c r="O1022" s="18">
        <f>'Sampling Data'!N1022</f>
        <v>0</v>
      </c>
      <c r="P1022" s="18">
        <f>'Sampling Data'!O1022</f>
        <v>2</v>
      </c>
      <c r="Q1022" s="18">
        <f>'Sampling Data'!P1022</f>
        <v>92</v>
      </c>
      <c r="R1022" s="18">
        <f>'Sampling Data'!AJ1022</f>
        <v>0</v>
      </c>
      <c r="S1022" s="112"/>
      <c r="T1022" s="112"/>
      <c r="U1022" s="113"/>
      <c r="V1022" s="113"/>
      <c r="W1022" s="112"/>
      <c r="X1022" s="112"/>
      <c r="Y1022" s="112"/>
      <c r="Z1022" s="112"/>
      <c r="AA1022" s="15"/>
      <c r="AB1022" s="15"/>
      <c r="AC1022" s="15"/>
      <c r="AD1022" s="15"/>
      <c r="AE1022" s="114" t="str">
        <f>IF(NOT(ISBLANK(Audit[[#This Row],[Audit Winning Candidate]])), Audit[[#This Row],[Audit Winning Candidate]]-Audit[[#This Row],[Winning Candidate]], "")</f>
        <v/>
      </c>
      <c r="AF1022" s="18" t="str">
        <f>IF(NOT(ISBLANK(Audit[[#This Row],[Audit Losing Candidate]])), Audit[[#This Row],[Audit Losing Candidate]]-Audit[[#This Row],[Losing Candidate]], "")</f>
        <v/>
      </c>
      <c r="AG1022" s="18" t="str">
        <f>IF(NOT(ISBLANK(Audit[[#This Row],[Audit Candidate 3]])), Audit[[#This Row],[Audit Candidate 3]]-Audit[[#This Row],[Candidate 3]], "")</f>
        <v/>
      </c>
      <c r="AH1022" s="18" t="str">
        <f>IF(NOT(ISBLANK(Audit[[#This Row],[Audit Candidate 4]])),Audit[[#This Row],[Audit Candidate 4]]-Audit[[#This Row],[Candidate 4]], "")</f>
        <v/>
      </c>
      <c r="AI1022" s="18" t="str">
        <f>IF(NOT(ISBLANK(Audit[[#This Row],[Audit Candidate 5]])), Audit[[#This Row],[Audit Candidate 5]]-Audit[[#This Row],[Candidate 5]], "")</f>
        <v/>
      </c>
      <c r="AJ1022" s="18" t="str">
        <f>IF(NOT(ISBLANK(Audit[[#This Row],[Audit Candidate 6]])), Audit[[#This Row],[Audit Candidate 6]]-Audit[[#This Row],[Candidate 6]], "")</f>
        <v/>
      </c>
      <c r="AK1022" s="18" t="str">
        <f>IF(NOT(ISBLANK(Audit[[#This Row],[Audit Candidate 7]])), Audit[[#This Row],[Audit Candidate 7]]-Audit[[#This Row],[Candidate 7]], "")</f>
        <v/>
      </c>
      <c r="AL1022" s="18" t="str">
        <f>IF(NOT(ISBLANK(Audit[[#This Row],[Audit Candidate 8]])), Audit[[#This Row],[Audit Candidate 8]]-Audit[[#This Row],[Candidate 8]], "")</f>
        <v/>
      </c>
      <c r="AM1022" s="18" t="str">
        <f>IF(NOT(ISBLANK(Audit[[#This Row],[Audit Candidate 9]])), Audit[[#This Row],[Audit Candidate 9]]-Audit[[#This Row],[Candidate 9]], "")</f>
        <v/>
      </c>
      <c r="AN1022" s="18" t="str">
        <f>IF(NOT(ISBLANK(Audit[[#This Row],[Audit Candidate 10]])), Audit[[#This Row],[Audit Candidate 10]]-Audit[[#This Row],[Candidate 10]], "")</f>
        <v/>
      </c>
      <c r="AO1022" s="18" t="str">
        <f>IF(NOT(ISBLANK(Audit[[#This Row],[Audit Candidate 11]])), Audit[[#This Row],[Audit Candidate 11]]-Audit[[#This Row],[Candidate 11]], "")</f>
        <v/>
      </c>
      <c r="AP1022" s="18" t="str">
        <f>IF(NOT(ISBLANK(Audit[[#This Row],[Audit Candidate 12]])), Audit[[#This Row],[Audit Candidate 12]]-Audit[[#This Row],[Candidate 12]], "")</f>
        <v/>
      </c>
      <c r="AQ1022" s="18">
        <f>SUMIF(Audit[[#This Row],[Difference Winner]:[Difference Candidate 12]], "&gt;0")</f>
        <v>0</v>
      </c>
      <c r="AR1022" s="18">
        <f>SUM(Audit[[#This Row],[Difference Winner]:[Difference Candidate 12]])</f>
        <v>0</v>
      </c>
      <c r="AS1022" s="18">
        <f>IF(Audit[[#This Row],[Times p Drawn - With Replacement]]&gt;0, IF(Audit[[#This Row],[Canceled Differences]]&lt;0, Audit[[#This Row],[Max Differences]]+ABS(Audit[[#This Row],[Canceled Differences]]), Audit[[#This Row],[Max Differences]]), 0)</f>
        <v>0</v>
      </c>
      <c r="AT1022" s="18">
        <f>'Sampling Data'!AB1022</f>
        <v>4.8371391776863394E-3</v>
      </c>
      <c r="AU1022" s="18">
        <f>IF(
      SUM(Audit[[#This Row],[Audit Losing Candidate]:[Audit Candidate 12]])
      &lt;&gt;0,
      (Audit[[#This Row],[Winning Candidate]]-Audit[[#This Row],[Losing Candidate]]-(Audit[[#This Row],[Audit Winning Candidate]]-Audit[[#This Row],[Audit Losing Candidate]]))/(Audit[[#Totals],[Winning Candidate]]-Audit[[#Totals],[Losing Candidate]]),
      0
)</f>
        <v>0</v>
      </c>
      <c r="AV10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8">
        <f>IF(Audit[[#This Row],[Max Relative Error (ep)]] = 0, 0, Audit[[#This Row],[Max Relative Error (ep)]]/Audit[[#This Row],[Error Bound (up) - Max. possible relative overstatement]])</f>
        <v>0</v>
      </c>
      <c r="BH10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2" s="18">
        <f t="shared" si="16"/>
        <v>1</v>
      </c>
      <c r="BJ1022" s="18">
        <f>PRODUCT($BI$5:BI1022)</f>
        <v>0.10664664085196122</v>
      </c>
      <c r="BK1022" s="20">
        <f>1 - Audit[[#This Row],[K-M P Value]]</f>
        <v>0.89335335914803882</v>
      </c>
      <c r="BL1022" s="18" t="str">
        <f>IF(Audit[[#This Row],[K-M P Value]]&gt;1-'General Info'!$B$12,"Continue", "Stop")</f>
        <v>Continue</v>
      </c>
      <c r="BM1022" s="23" t="b">
        <f>IF(Audit[[#This Row],[Status - Continue or stop audit]] = "Continue", TRUE, IF(BL1021 = "Continue", TRUE, FALSE))</f>
        <v>1</v>
      </c>
      <c r="BN1022" s="23"/>
    </row>
    <row r="1023" spans="1:66" ht="15" hidden="1" customHeight="1" x14ac:dyDescent="0.35">
      <c r="A1023" s="18" t="str">
        <f>'Sampling Data'!AI1023</f>
        <v/>
      </c>
      <c r="B1023" s="18" t="str">
        <f>'Sampling Data'!A1023</f>
        <v>7331 GREEN EE   (ED)</v>
      </c>
      <c r="C1023" s="18">
        <f>'Sampling Data'!B1023</f>
        <v>66</v>
      </c>
      <c r="D1023" s="18">
        <f>'Sampling Data'!C1023</f>
        <v>5</v>
      </c>
      <c r="E1023" s="19">
        <f>'Sampling Data'!D1023</f>
        <v>0</v>
      </c>
      <c r="F1023" s="19">
        <f>'Sampling Data'!E1023</f>
        <v>0</v>
      </c>
      <c r="G1023" s="19">
        <f>'Sampling Data'!F1023</f>
        <v>0</v>
      </c>
      <c r="H1023" s="19">
        <f>'Sampling Data'!G1023</f>
        <v>0</v>
      </c>
      <c r="I1023" s="19">
        <f>'Sampling Data'!H1023</f>
        <v>0</v>
      </c>
      <c r="J1023" s="19">
        <f>'Sampling Data'!I1023</f>
        <v>0</v>
      </c>
      <c r="K1023" s="19">
        <f>'Sampling Data'!J1023</f>
        <v>0</v>
      </c>
      <c r="L1023" s="19">
        <f>'Sampling Data'!K1023</f>
        <v>0</v>
      </c>
      <c r="M1023" s="19">
        <f>'Sampling Data'!L1023</f>
        <v>0</v>
      </c>
      <c r="N1023" s="19">
        <f>'Sampling Data'!M1023</f>
        <v>0</v>
      </c>
      <c r="O1023" s="18">
        <f>'Sampling Data'!N1023</f>
        <v>0</v>
      </c>
      <c r="P1023" s="18">
        <f>'Sampling Data'!O1023</f>
        <v>0</v>
      </c>
      <c r="Q1023" s="18">
        <f>'Sampling Data'!P1023</f>
        <v>71</v>
      </c>
      <c r="R1023" s="18">
        <f>'Sampling Data'!AJ1023</f>
        <v>0</v>
      </c>
      <c r="S1023" s="112"/>
      <c r="T1023" s="112"/>
      <c r="U1023" s="113"/>
      <c r="V1023" s="113"/>
      <c r="W1023" s="112"/>
      <c r="X1023" s="112"/>
      <c r="Y1023" s="112"/>
      <c r="Z1023" s="112"/>
      <c r="AA1023" s="15"/>
      <c r="AB1023" s="15"/>
      <c r="AC1023" s="15"/>
      <c r="AD1023" s="15"/>
      <c r="AE1023" s="114" t="str">
        <f>IF(NOT(ISBLANK(Audit[[#This Row],[Audit Winning Candidate]])), Audit[[#This Row],[Audit Winning Candidate]]-Audit[[#This Row],[Winning Candidate]], "")</f>
        <v/>
      </c>
      <c r="AF1023" s="18" t="str">
        <f>IF(NOT(ISBLANK(Audit[[#This Row],[Audit Losing Candidate]])), Audit[[#This Row],[Audit Losing Candidate]]-Audit[[#This Row],[Losing Candidate]], "")</f>
        <v/>
      </c>
      <c r="AG1023" s="18" t="str">
        <f>IF(NOT(ISBLANK(Audit[[#This Row],[Audit Candidate 3]])), Audit[[#This Row],[Audit Candidate 3]]-Audit[[#This Row],[Candidate 3]], "")</f>
        <v/>
      </c>
      <c r="AH1023" s="18" t="str">
        <f>IF(NOT(ISBLANK(Audit[[#This Row],[Audit Candidate 4]])),Audit[[#This Row],[Audit Candidate 4]]-Audit[[#This Row],[Candidate 4]], "")</f>
        <v/>
      </c>
      <c r="AI1023" s="18" t="str">
        <f>IF(NOT(ISBLANK(Audit[[#This Row],[Audit Candidate 5]])), Audit[[#This Row],[Audit Candidate 5]]-Audit[[#This Row],[Candidate 5]], "")</f>
        <v/>
      </c>
      <c r="AJ1023" s="18" t="str">
        <f>IF(NOT(ISBLANK(Audit[[#This Row],[Audit Candidate 6]])), Audit[[#This Row],[Audit Candidate 6]]-Audit[[#This Row],[Candidate 6]], "")</f>
        <v/>
      </c>
      <c r="AK1023" s="18" t="str">
        <f>IF(NOT(ISBLANK(Audit[[#This Row],[Audit Candidate 7]])), Audit[[#This Row],[Audit Candidate 7]]-Audit[[#This Row],[Candidate 7]], "")</f>
        <v/>
      </c>
      <c r="AL1023" s="18" t="str">
        <f>IF(NOT(ISBLANK(Audit[[#This Row],[Audit Candidate 8]])), Audit[[#This Row],[Audit Candidate 8]]-Audit[[#This Row],[Candidate 8]], "")</f>
        <v/>
      </c>
      <c r="AM1023" s="18" t="str">
        <f>IF(NOT(ISBLANK(Audit[[#This Row],[Audit Candidate 9]])), Audit[[#This Row],[Audit Candidate 9]]-Audit[[#This Row],[Candidate 9]], "")</f>
        <v/>
      </c>
      <c r="AN1023" s="18" t="str">
        <f>IF(NOT(ISBLANK(Audit[[#This Row],[Audit Candidate 10]])), Audit[[#This Row],[Audit Candidate 10]]-Audit[[#This Row],[Candidate 10]], "")</f>
        <v/>
      </c>
      <c r="AO1023" s="18" t="str">
        <f>IF(NOT(ISBLANK(Audit[[#This Row],[Audit Candidate 11]])), Audit[[#This Row],[Audit Candidate 11]]-Audit[[#This Row],[Candidate 11]], "")</f>
        <v/>
      </c>
      <c r="AP1023" s="18" t="str">
        <f>IF(NOT(ISBLANK(Audit[[#This Row],[Audit Candidate 12]])), Audit[[#This Row],[Audit Candidate 12]]-Audit[[#This Row],[Candidate 12]], "")</f>
        <v/>
      </c>
      <c r="AQ1023" s="18">
        <f>SUMIF(Audit[[#This Row],[Difference Winner]:[Difference Candidate 12]], "&gt;0")</f>
        <v>0</v>
      </c>
      <c r="AR1023" s="18">
        <f>SUM(Audit[[#This Row],[Difference Winner]:[Difference Candidate 12]])</f>
        <v>0</v>
      </c>
      <c r="AS1023" s="18">
        <f>IF(Audit[[#This Row],[Times p Drawn - With Replacement]]&gt;0, IF(Audit[[#This Row],[Canceled Differences]]&lt;0, Audit[[#This Row],[Max Differences]]+ABS(Audit[[#This Row],[Canceled Differences]]), Audit[[#This Row],[Max Differences]]), 0)</f>
        <v>0</v>
      </c>
      <c r="AT1023" s="18">
        <f>'Sampling Data'!AB1023</f>
        <v>4.1461192951597198E-3</v>
      </c>
      <c r="AU1023" s="18">
        <f>IF(
      SUM(Audit[[#This Row],[Audit Losing Candidate]:[Audit Candidate 12]])
      &lt;&gt;0,
      (Audit[[#This Row],[Winning Candidate]]-Audit[[#This Row],[Losing Candidate]]-(Audit[[#This Row],[Audit Winning Candidate]]-Audit[[#This Row],[Audit Losing Candidate]]))/(Audit[[#Totals],[Winning Candidate]]-Audit[[#Totals],[Losing Candidate]]),
      0
)</f>
        <v>0</v>
      </c>
      <c r="AV10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8">
        <f>IF(Audit[[#This Row],[Max Relative Error (ep)]] = 0, 0, Audit[[#This Row],[Max Relative Error (ep)]]/Audit[[#This Row],[Error Bound (up) - Max. possible relative overstatement]])</f>
        <v>0</v>
      </c>
      <c r="BH10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3" s="18">
        <f t="shared" si="16"/>
        <v>1</v>
      </c>
      <c r="BJ1023" s="18">
        <f>PRODUCT($BI$5:BI1023)</f>
        <v>0.10664664085196122</v>
      </c>
      <c r="BK1023" s="20">
        <f>1 - Audit[[#This Row],[K-M P Value]]</f>
        <v>0.89335335914803882</v>
      </c>
      <c r="BL1023" s="18" t="str">
        <f>IF(Audit[[#This Row],[K-M P Value]]&gt;1-'General Info'!$B$12,"Continue", "Stop")</f>
        <v>Continue</v>
      </c>
      <c r="BM1023" s="23" t="b">
        <f>IF(Audit[[#This Row],[Status - Continue or stop audit]] = "Continue", TRUE, IF(BL1022 = "Continue", TRUE, FALSE))</f>
        <v>1</v>
      </c>
      <c r="BN1023" s="23"/>
    </row>
    <row r="1024" spans="1:66" ht="15" hidden="1" customHeight="1" x14ac:dyDescent="0.35">
      <c r="A1024" s="18" t="str">
        <f>'Sampling Data'!AI1024</f>
        <v/>
      </c>
      <c r="B1024" s="18" t="str">
        <f>'Sampling Data'!A1024</f>
        <v>7332 GREEN FF   (ED)</v>
      </c>
      <c r="C1024" s="18">
        <f>'Sampling Data'!B1024</f>
        <v>81</v>
      </c>
      <c r="D1024" s="18">
        <f>'Sampling Data'!C1024</f>
        <v>5</v>
      </c>
      <c r="E1024" s="19">
        <f>'Sampling Data'!D1024</f>
        <v>0</v>
      </c>
      <c r="F1024" s="19">
        <f>'Sampling Data'!E1024</f>
        <v>0</v>
      </c>
      <c r="G1024" s="19">
        <f>'Sampling Data'!F1024</f>
        <v>0</v>
      </c>
      <c r="H1024" s="19">
        <f>'Sampling Data'!G1024</f>
        <v>0</v>
      </c>
      <c r="I1024" s="19">
        <f>'Sampling Data'!H1024</f>
        <v>0</v>
      </c>
      <c r="J1024" s="19">
        <f>'Sampling Data'!I1024</f>
        <v>0</v>
      </c>
      <c r="K1024" s="19">
        <f>'Sampling Data'!J1024</f>
        <v>0</v>
      </c>
      <c r="L1024" s="19">
        <f>'Sampling Data'!K1024</f>
        <v>0</v>
      </c>
      <c r="M1024" s="19">
        <f>'Sampling Data'!L1024</f>
        <v>0</v>
      </c>
      <c r="N1024" s="19">
        <f>'Sampling Data'!M1024</f>
        <v>0</v>
      </c>
      <c r="O1024" s="18">
        <f>'Sampling Data'!N1024</f>
        <v>0</v>
      </c>
      <c r="P1024" s="18">
        <f>'Sampling Data'!O1024</f>
        <v>1</v>
      </c>
      <c r="Q1024" s="18">
        <f>'Sampling Data'!P1024</f>
        <v>87</v>
      </c>
      <c r="R1024" s="18">
        <f>'Sampling Data'!AJ1024</f>
        <v>0</v>
      </c>
      <c r="S1024" s="112"/>
      <c r="T1024" s="112"/>
      <c r="U1024" s="113"/>
      <c r="V1024" s="113"/>
      <c r="W1024" s="112"/>
      <c r="X1024" s="112"/>
      <c r="Y1024" s="112"/>
      <c r="Z1024" s="112"/>
      <c r="AA1024" s="15"/>
      <c r="AB1024" s="15"/>
      <c r="AC1024" s="15"/>
      <c r="AD1024" s="15"/>
      <c r="AE1024" s="114" t="str">
        <f>IF(NOT(ISBLANK(Audit[[#This Row],[Audit Winning Candidate]])), Audit[[#This Row],[Audit Winning Candidate]]-Audit[[#This Row],[Winning Candidate]], "")</f>
        <v/>
      </c>
      <c r="AF1024" s="18" t="str">
        <f>IF(NOT(ISBLANK(Audit[[#This Row],[Audit Losing Candidate]])), Audit[[#This Row],[Audit Losing Candidate]]-Audit[[#This Row],[Losing Candidate]], "")</f>
        <v/>
      </c>
      <c r="AG1024" s="18" t="str">
        <f>IF(NOT(ISBLANK(Audit[[#This Row],[Audit Candidate 3]])), Audit[[#This Row],[Audit Candidate 3]]-Audit[[#This Row],[Candidate 3]], "")</f>
        <v/>
      </c>
      <c r="AH1024" s="18" t="str">
        <f>IF(NOT(ISBLANK(Audit[[#This Row],[Audit Candidate 4]])),Audit[[#This Row],[Audit Candidate 4]]-Audit[[#This Row],[Candidate 4]], "")</f>
        <v/>
      </c>
      <c r="AI1024" s="18" t="str">
        <f>IF(NOT(ISBLANK(Audit[[#This Row],[Audit Candidate 5]])), Audit[[#This Row],[Audit Candidate 5]]-Audit[[#This Row],[Candidate 5]], "")</f>
        <v/>
      </c>
      <c r="AJ1024" s="18" t="str">
        <f>IF(NOT(ISBLANK(Audit[[#This Row],[Audit Candidate 6]])), Audit[[#This Row],[Audit Candidate 6]]-Audit[[#This Row],[Candidate 6]], "")</f>
        <v/>
      </c>
      <c r="AK1024" s="18" t="str">
        <f>IF(NOT(ISBLANK(Audit[[#This Row],[Audit Candidate 7]])), Audit[[#This Row],[Audit Candidate 7]]-Audit[[#This Row],[Candidate 7]], "")</f>
        <v/>
      </c>
      <c r="AL1024" s="18" t="str">
        <f>IF(NOT(ISBLANK(Audit[[#This Row],[Audit Candidate 8]])), Audit[[#This Row],[Audit Candidate 8]]-Audit[[#This Row],[Candidate 8]], "")</f>
        <v/>
      </c>
      <c r="AM1024" s="18" t="str">
        <f>IF(NOT(ISBLANK(Audit[[#This Row],[Audit Candidate 9]])), Audit[[#This Row],[Audit Candidate 9]]-Audit[[#This Row],[Candidate 9]], "")</f>
        <v/>
      </c>
      <c r="AN1024" s="18" t="str">
        <f>IF(NOT(ISBLANK(Audit[[#This Row],[Audit Candidate 10]])), Audit[[#This Row],[Audit Candidate 10]]-Audit[[#This Row],[Candidate 10]], "")</f>
        <v/>
      </c>
      <c r="AO1024" s="18" t="str">
        <f>IF(NOT(ISBLANK(Audit[[#This Row],[Audit Candidate 11]])), Audit[[#This Row],[Audit Candidate 11]]-Audit[[#This Row],[Candidate 11]], "")</f>
        <v/>
      </c>
      <c r="AP1024" s="18" t="str">
        <f>IF(NOT(ISBLANK(Audit[[#This Row],[Audit Candidate 12]])), Audit[[#This Row],[Audit Candidate 12]]-Audit[[#This Row],[Candidate 12]], "")</f>
        <v/>
      </c>
      <c r="AQ1024" s="18">
        <f>SUMIF(Audit[[#This Row],[Difference Winner]:[Difference Candidate 12]], "&gt;0")</f>
        <v>0</v>
      </c>
      <c r="AR1024" s="18">
        <f>SUM(Audit[[#This Row],[Difference Winner]:[Difference Candidate 12]])</f>
        <v>0</v>
      </c>
      <c r="AS1024" s="18">
        <f>IF(Audit[[#This Row],[Times p Drawn - With Replacement]]&gt;0, IF(Audit[[#This Row],[Canceled Differences]]&lt;0, Audit[[#This Row],[Max Differences]]+ABS(Audit[[#This Row],[Canceled Differences]]), Audit[[#This Row],[Max Differences]]), 0)</f>
        <v>0</v>
      </c>
      <c r="AT1024" s="18">
        <f>'Sampling Data'!AB1024</f>
        <v>5.1198291296290482E-3</v>
      </c>
      <c r="AU1024" s="18">
        <f>IF(
      SUM(Audit[[#This Row],[Audit Losing Candidate]:[Audit Candidate 12]])
      &lt;&gt;0,
      (Audit[[#This Row],[Winning Candidate]]-Audit[[#This Row],[Losing Candidate]]-(Audit[[#This Row],[Audit Winning Candidate]]-Audit[[#This Row],[Audit Losing Candidate]]))/(Audit[[#Totals],[Winning Candidate]]-Audit[[#Totals],[Losing Candidate]]),
      0
)</f>
        <v>0</v>
      </c>
      <c r="AV10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8">
        <f>IF(Audit[[#This Row],[Max Relative Error (ep)]] = 0, 0, Audit[[#This Row],[Max Relative Error (ep)]]/Audit[[#This Row],[Error Bound (up) - Max. possible relative overstatement]])</f>
        <v>0</v>
      </c>
      <c r="BH10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4" s="18">
        <f t="shared" si="16"/>
        <v>1</v>
      </c>
      <c r="BJ1024" s="18">
        <f>PRODUCT($BI$5:BI1024)</f>
        <v>0.10664664085196122</v>
      </c>
      <c r="BK1024" s="20">
        <f>1 - Audit[[#This Row],[K-M P Value]]</f>
        <v>0.89335335914803882</v>
      </c>
      <c r="BL1024" s="18" t="str">
        <f>IF(Audit[[#This Row],[K-M P Value]]&gt;1-'General Info'!$B$12,"Continue", "Stop")</f>
        <v>Continue</v>
      </c>
      <c r="BM1024" s="23" t="b">
        <f>IF(Audit[[#This Row],[Status - Continue or stop audit]] = "Continue", TRUE, IF(BL1023 = "Continue", TRUE, FALSE))</f>
        <v>1</v>
      </c>
      <c r="BN1024" s="23"/>
    </row>
    <row r="1025" spans="1:66" ht="15" hidden="1" customHeight="1" x14ac:dyDescent="0.35">
      <c r="A1025" s="18" t="str">
        <f>'Sampling Data'!AI1025</f>
        <v/>
      </c>
      <c r="B1025" s="18" t="str">
        <f>'Sampling Data'!A1025</f>
        <v>7333 GREEN GG   (ED)</v>
      </c>
      <c r="C1025" s="18">
        <f>'Sampling Data'!B1025</f>
        <v>130</v>
      </c>
      <c r="D1025" s="18">
        <f>'Sampling Data'!C1025</f>
        <v>9</v>
      </c>
      <c r="E1025" s="19">
        <f>'Sampling Data'!D1025</f>
        <v>0</v>
      </c>
      <c r="F1025" s="19">
        <f>'Sampling Data'!E1025</f>
        <v>0</v>
      </c>
      <c r="G1025" s="19">
        <f>'Sampling Data'!F1025</f>
        <v>0</v>
      </c>
      <c r="H1025" s="19">
        <f>'Sampling Data'!G1025</f>
        <v>0</v>
      </c>
      <c r="I1025" s="19">
        <f>'Sampling Data'!H1025</f>
        <v>0</v>
      </c>
      <c r="J1025" s="19">
        <f>'Sampling Data'!I1025</f>
        <v>0</v>
      </c>
      <c r="K1025" s="19">
        <f>'Sampling Data'!J1025</f>
        <v>0</v>
      </c>
      <c r="L1025" s="19">
        <f>'Sampling Data'!K1025</f>
        <v>0</v>
      </c>
      <c r="M1025" s="19">
        <f>'Sampling Data'!L1025</f>
        <v>0</v>
      </c>
      <c r="N1025" s="19">
        <f>'Sampling Data'!M1025</f>
        <v>0</v>
      </c>
      <c r="O1025" s="18">
        <f>'Sampling Data'!N1025</f>
        <v>0</v>
      </c>
      <c r="P1025" s="18">
        <f>'Sampling Data'!O1025</f>
        <v>1</v>
      </c>
      <c r="Q1025" s="18">
        <f>'Sampling Data'!P1025</f>
        <v>140</v>
      </c>
      <c r="R1025" s="18">
        <f>'Sampling Data'!AJ1025</f>
        <v>0</v>
      </c>
      <c r="S1025" s="112"/>
      <c r="T1025" s="112"/>
      <c r="U1025" s="113"/>
      <c r="V1025" s="113"/>
      <c r="W1025" s="112"/>
      <c r="X1025" s="112"/>
      <c r="Y1025" s="112"/>
      <c r="Z1025" s="112"/>
      <c r="AA1025" s="15"/>
      <c r="AB1025" s="15"/>
      <c r="AC1025" s="15"/>
      <c r="AD1025" s="15"/>
      <c r="AE1025" s="114" t="str">
        <f>IF(NOT(ISBLANK(Audit[[#This Row],[Audit Winning Candidate]])), Audit[[#This Row],[Audit Winning Candidate]]-Audit[[#This Row],[Winning Candidate]], "")</f>
        <v/>
      </c>
      <c r="AF1025" s="18" t="str">
        <f>IF(NOT(ISBLANK(Audit[[#This Row],[Audit Losing Candidate]])), Audit[[#This Row],[Audit Losing Candidate]]-Audit[[#This Row],[Losing Candidate]], "")</f>
        <v/>
      </c>
      <c r="AG1025" s="18" t="str">
        <f>IF(NOT(ISBLANK(Audit[[#This Row],[Audit Candidate 3]])), Audit[[#This Row],[Audit Candidate 3]]-Audit[[#This Row],[Candidate 3]], "")</f>
        <v/>
      </c>
      <c r="AH1025" s="18" t="str">
        <f>IF(NOT(ISBLANK(Audit[[#This Row],[Audit Candidate 4]])),Audit[[#This Row],[Audit Candidate 4]]-Audit[[#This Row],[Candidate 4]], "")</f>
        <v/>
      </c>
      <c r="AI1025" s="18" t="str">
        <f>IF(NOT(ISBLANK(Audit[[#This Row],[Audit Candidate 5]])), Audit[[#This Row],[Audit Candidate 5]]-Audit[[#This Row],[Candidate 5]], "")</f>
        <v/>
      </c>
      <c r="AJ1025" s="18" t="str">
        <f>IF(NOT(ISBLANK(Audit[[#This Row],[Audit Candidate 6]])), Audit[[#This Row],[Audit Candidate 6]]-Audit[[#This Row],[Candidate 6]], "")</f>
        <v/>
      </c>
      <c r="AK1025" s="18" t="str">
        <f>IF(NOT(ISBLANK(Audit[[#This Row],[Audit Candidate 7]])), Audit[[#This Row],[Audit Candidate 7]]-Audit[[#This Row],[Candidate 7]], "")</f>
        <v/>
      </c>
      <c r="AL1025" s="18" t="str">
        <f>IF(NOT(ISBLANK(Audit[[#This Row],[Audit Candidate 8]])), Audit[[#This Row],[Audit Candidate 8]]-Audit[[#This Row],[Candidate 8]], "")</f>
        <v/>
      </c>
      <c r="AM1025" s="18" t="str">
        <f>IF(NOT(ISBLANK(Audit[[#This Row],[Audit Candidate 9]])), Audit[[#This Row],[Audit Candidate 9]]-Audit[[#This Row],[Candidate 9]], "")</f>
        <v/>
      </c>
      <c r="AN1025" s="18" t="str">
        <f>IF(NOT(ISBLANK(Audit[[#This Row],[Audit Candidate 10]])), Audit[[#This Row],[Audit Candidate 10]]-Audit[[#This Row],[Candidate 10]], "")</f>
        <v/>
      </c>
      <c r="AO1025" s="18" t="str">
        <f>IF(NOT(ISBLANK(Audit[[#This Row],[Audit Candidate 11]])), Audit[[#This Row],[Audit Candidate 11]]-Audit[[#This Row],[Candidate 11]], "")</f>
        <v/>
      </c>
      <c r="AP1025" s="18" t="str">
        <f>IF(NOT(ISBLANK(Audit[[#This Row],[Audit Candidate 12]])), Audit[[#This Row],[Audit Candidate 12]]-Audit[[#This Row],[Candidate 12]], "")</f>
        <v/>
      </c>
      <c r="AQ1025" s="18">
        <f>SUMIF(Audit[[#This Row],[Difference Winner]:[Difference Candidate 12]], "&gt;0")</f>
        <v>0</v>
      </c>
      <c r="AR1025" s="18">
        <f>SUM(Audit[[#This Row],[Difference Winner]:[Difference Candidate 12]])</f>
        <v>0</v>
      </c>
      <c r="AS1025" s="18">
        <f>IF(Audit[[#This Row],[Times p Drawn - With Replacement]]&gt;0, IF(Audit[[#This Row],[Canceled Differences]]&lt;0, Audit[[#This Row],[Max Differences]]+ABS(Audit[[#This Row],[Canceled Differences]]), Audit[[#This Row],[Max Differences]]), 0)</f>
        <v>0</v>
      </c>
      <c r="AT1025" s="18">
        <f>'Sampling Data'!AB1025</f>
        <v>8.1980086063385364E-3</v>
      </c>
      <c r="AU1025" s="18">
        <f>IF(
      SUM(Audit[[#This Row],[Audit Losing Candidate]:[Audit Candidate 12]])
      &lt;&gt;0,
      (Audit[[#This Row],[Winning Candidate]]-Audit[[#This Row],[Losing Candidate]]-(Audit[[#This Row],[Audit Winning Candidate]]-Audit[[#This Row],[Audit Losing Candidate]]))/(Audit[[#Totals],[Winning Candidate]]-Audit[[#Totals],[Losing Candidate]]),
      0
)</f>
        <v>0</v>
      </c>
      <c r="AV10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8">
        <f>IF(Audit[[#This Row],[Max Relative Error (ep)]] = 0, 0, Audit[[#This Row],[Max Relative Error (ep)]]/Audit[[#This Row],[Error Bound (up) - Max. possible relative overstatement]])</f>
        <v>0</v>
      </c>
      <c r="BH10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5" s="18">
        <f t="shared" si="16"/>
        <v>1</v>
      </c>
      <c r="BJ1025" s="18">
        <f>PRODUCT($BI$5:BI1025)</f>
        <v>0.10664664085196122</v>
      </c>
      <c r="BK1025" s="20">
        <f>1 - Audit[[#This Row],[K-M P Value]]</f>
        <v>0.89335335914803882</v>
      </c>
      <c r="BL1025" s="18" t="str">
        <f>IF(Audit[[#This Row],[K-M P Value]]&gt;1-'General Info'!$B$12,"Continue", "Stop")</f>
        <v>Continue</v>
      </c>
      <c r="BM1025" s="23" t="b">
        <f>IF(Audit[[#This Row],[Status - Continue or stop audit]] = "Continue", TRUE, IF(BL1024 = "Continue", TRUE, FALSE))</f>
        <v>1</v>
      </c>
      <c r="BN1025" s="23"/>
    </row>
    <row r="1026" spans="1:66" ht="15" hidden="1" customHeight="1" x14ac:dyDescent="0.35">
      <c r="A1026" s="18" t="str">
        <f>'Sampling Data'!AI1026</f>
        <v/>
      </c>
      <c r="B1026" s="18" t="str">
        <f>'Sampling Data'!A1026</f>
        <v>7334 GREEN HH   (ED)</v>
      </c>
      <c r="C1026" s="18">
        <f>'Sampling Data'!B1026</f>
        <v>108</v>
      </c>
      <c r="D1026" s="18">
        <f>'Sampling Data'!C1026</f>
        <v>8</v>
      </c>
      <c r="E1026" s="19">
        <f>'Sampling Data'!D1026</f>
        <v>0</v>
      </c>
      <c r="F1026" s="19">
        <f>'Sampling Data'!E1026</f>
        <v>0</v>
      </c>
      <c r="G1026" s="19">
        <f>'Sampling Data'!F1026</f>
        <v>0</v>
      </c>
      <c r="H1026" s="19">
        <f>'Sampling Data'!G1026</f>
        <v>0</v>
      </c>
      <c r="I1026" s="19">
        <f>'Sampling Data'!H1026</f>
        <v>0</v>
      </c>
      <c r="J1026" s="19">
        <f>'Sampling Data'!I1026</f>
        <v>0</v>
      </c>
      <c r="K1026" s="19">
        <f>'Sampling Data'!J1026</f>
        <v>0</v>
      </c>
      <c r="L1026" s="19">
        <f>'Sampling Data'!K1026</f>
        <v>0</v>
      </c>
      <c r="M1026" s="19">
        <f>'Sampling Data'!L1026</f>
        <v>0</v>
      </c>
      <c r="N1026" s="19">
        <f>'Sampling Data'!M1026</f>
        <v>0</v>
      </c>
      <c r="O1026" s="18">
        <f>'Sampling Data'!N1026</f>
        <v>0</v>
      </c>
      <c r="P1026" s="18">
        <f>'Sampling Data'!O1026</f>
        <v>0</v>
      </c>
      <c r="Q1026" s="18">
        <f>'Sampling Data'!P1026</f>
        <v>116</v>
      </c>
      <c r="R1026" s="18">
        <f>'Sampling Data'!AJ1026</f>
        <v>0</v>
      </c>
      <c r="S1026" s="112"/>
      <c r="T1026" s="112"/>
      <c r="U1026" s="113"/>
      <c r="V1026" s="113"/>
      <c r="W1026" s="112"/>
      <c r="X1026" s="112"/>
      <c r="Y1026" s="112"/>
      <c r="Z1026" s="112"/>
      <c r="AA1026" s="15"/>
      <c r="AB1026" s="15"/>
      <c r="AC1026" s="15"/>
      <c r="AD1026" s="15"/>
      <c r="AE1026" s="114" t="str">
        <f>IF(NOT(ISBLANK(Audit[[#This Row],[Audit Winning Candidate]])), Audit[[#This Row],[Audit Winning Candidate]]-Audit[[#This Row],[Winning Candidate]], "")</f>
        <v/>
      </c>
      <c r="AF1026" s="18" t="str">
        <f>IF(NOT(ISBLANK(Audit[[#This Row],[Audit Losing Candidate]])), Audit[[#This Row],[Audit Losing Candidate]]-Audit[[#This Row],[Losing Candidate]], "")</f>
        <v/>
      </c>
      <c r="AG1026" s="18" t="str">
        <f>IF(NOT(ISBLANK(Audit[[#This Row],[Audit Candidate 3]])), Audit[[#This Row],[Audit Candidate 3]]-Audit[[#This Row],[Candidate 3]], "")</f>
        <v/>
      </c>
      <c r="AH1026" s="18" t="str">
        <f>IF(NOT(ISBLANK(Audit[[#This Row],[Audit Candidate 4]])),Audit[[#This Row],[Audit Candidate 4]]-Audit[[#This Row],[Candidate 4]], "")</f>
        <v/>
      </c>
      <c r="AI1026" s="18" t="str">
        <f>IF(NOT(ISBLANK(Audit[[#This Row],[Audit Candidate 5]])), Audit[[#This Row],[Audit Candidate 5]]-Audit[[#This Row],[Candidate 5]], "")</f>
        <v/>
      </c>
      <c r="AJ1026" s="18" t="str">
        <f>IF(NOT(ISBLANK(Audit[[#This Row],[Audit Candidate 6]])), Audit[[#This Row],[Audit Candidate 6]]-Audit[[#This Row],[Candidate 6]], "")</f>
        <v/>
      </c>
      <c r="AK1026" s="18" t="str">
        <f>IF(NOT(ISBLANK(Audit[[#This Row],[Audit Candidate 7]])), Audit[[#This Row],[Audit Candidate 7]]-Audit[[#This Row],[Candidate 7]], "")</f>
        <v/>
      </c>
      <c r="AL1026" s="18" t="str">
        <f>IF(NOT(ISBLANK(Audit[[#This Row],[Audit Candidate 8]])), Audit[[#This Row],[Audit Candidate 8]]-Audit[[#This Row],[Candidate 8]], "")</f>
        <v/>
      </c>
      <c r="AM1026" s="18" t="str">
        <f>IF(NOT(ISBLANK(Audit[[#This Row],[Audit Candidate 9]])), Audit[[#This Row],[Audit Candidate 9]]-Audit[[#This Row],[Candidate 9]], "")</f>
        <v/>
      </c>
      <c r="AN1026" s="18" t="str">
        <f>IF(NOT(ISBLANK(Audit[[#This Row],[Audit Candidate 10]])), Audit[[#This Row],[Audit Candidate 10]]-Audit[[#This Row],[Candidate 10]], "")</f>
        <v/>
      </c>
      <c r="AO1026" s="18" t="str">
        <f>IF(NOT(ISBLANK(Audit[[#This Row],[Audit Candidate 11]])), Audit[[#This Row],[Audit Candidate 11]]-Audit[[#This Row],[Candidate 11]], "")</f>
        <v/>
      </c>
      <c r="AP1026" s="18" t="str">
        <f>IF(NOT(ISBLANK(Audit[[#This Row],[Audit Candidate 12]])), Audit[[#This Row],[Audit Candidate 12]]-Audit[[#This Row],[Candidate 12]], "")</f>
        <v/>
      </c>
      <c r="AQ1026" s="18">
        <f>SUMIF(Audit[[#This Row],[Difference Winner]:[Difference Candidate 12]], "&gt;0")</f>
        <v>0</v>
      </c>
      <c r="AR1026" s="18">
        <f>SUM(Audit[[#This Row],[Difference Winner]:[Difference Candidate 12]])</f>
        <v>0</v>
      </c>
      <c r="AS1026" s="18">
        <f>IF(Audit[[#This Row],[Times p Drawn - With Replacement]]&gt;0, IF(Audit[[#This Row],[Canceled Differences]]&lt;0, Audit[[#This Row],[Max Differences]]+ABS(Audit[[#This Row],[Canceled Differences]]), Audit[[#This Row],[Max Differences]]), 0)</f>
        <v>0</v>
      </c>
      <c r="AT1026" s="18">
        <f>'Sampling Data'!AB1026</f>
        <v>6.7845588466249962E-3</v>
      </c>
      <c r="AU1026" s="18">
        <f>IF(
      SUM(Audit[[#This Row],[Audit Losing Candidate]:[Audit Candidate 12]])
      &lt;&gt;0,
      (Audit[[#This Row],[Winning Candidate]]-Audit[[#This Row],[Losing Candidate]]-(Audit[[#This Row],[Audit Winning Candidate]]-Audit[[#This Row],[Audit Losing Candidate]]))/(Audit[[#Totals],[Winning Candidate]]-Audit[[#Totals],[Losing Candidate]]),
      0
)</f>
        <v>0</v>
      </c>
      <c r="AV10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8">
        <f>IF(Audit[[#This Row],[Max Relative Error (ep)]] = 0, 0, Audit[[#This Row],[Max Relative Error (ep)]]/Audit[[#This Row],[Error Bound (up) - Max. possible relative overstatement]])</f>
        <v>0</v>
      </c>
      <c r="BH10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6" s="18">
        <f t="shared" si="16"/>
        <v>1</v>
      </c>
      <c r="BJ1026" s="18">
        <f>PRODUCT($BI$5:BI1026)</f>
        <v>0.10664664085196122</v>
      </c>
      <c r="BK1026" s="20">
        <f>1 - Audit[[#This Row],[K-M P Value]]</f>
        <v>0.89335335914803882</v>
      </c>
      <c r="BL1026" s="18" t="str">
        <f>IF(Audit[[#This Row],[K-M P Value]]&gt;1-'General Info'!$B$12,"Continue", "Stop")</f>
        <v>Continue</v>
      </c>
      <c r="BM1026" s="23" t="b">
        <f>IF(Audit[[#This Row],[Status - Continue or stop audit]] = "Continue", TRUE, IF(BL1025 = "Continue", TRUE, FALSE))</f>
        <v>1</v>
      </c>
      <c r="BN1026" s="23"/>
    </row>
    <row r="1027" spans="1:66" ht="15" hidden="1" customHeight="1" x14ac:dyDescent="0.35">
      <c r="A1027" s="18" t="str">
        <f>'Sampling Data'!AI1027</f>
        <v/>
      </c>
      <c r="B1027" s="18" t="str">
        <f>'Sampling Data'!A1027</f>
        <v>7335 GREEN II   (ED)</v>
      </c>
      <c r="C1027" s="18">
        <f>'Sampling Data'!B1027</f>
        <v>24</v>
      </c>
      <c r="D1027" s="18">
        <f>'Sampling Data'!C1027</f>
        <v>6</v>
      </c>
      <c r="E1027" s="19">
        <f>'Sampling Data'!D1027</f>
        <v>0</v>
      </c>
      <c r="F1027" s="19">
        <f>'Sampling Data'!E1027</f>
        <v>0</v>
      </c>
      <c r="G1027" s="19">
        <f>'Sampling Data'!F1027</f>
        <v>0</v>
      </c>
      <c r="H1027" s="19">
        <f>'Sampling Data'!G1027</f>
        <v>0</v>
      </c>
      <c r="I1027" s="19">
        <f>'Sampling Data'!H1027</f>
        <v>0</v>
      </c>
      <c r="J1027" s="19">
        <f>'Sampling Data'!I1027</f>
        <v>0</v>
      </c>
      <c r="K1027" s="19">
        <f>'Sampling Data'!J1027</f>
        <v>0</v>
      </c>
      <c r="L1027" s="19">
        <f>'Sampling Data'!K1027</f>
        <v>0</v>
      </c>
      <c r="M1027" s="19">
        <f>'Sampling Data'!L1027</f>
        <v>0</v>
      </c>
      <c r="N1027" s="19">
        <f>'Sampling Data'!M1027</f>
        <v>0</v>
      </c>
      <c r="O1027" s="18">
        <f>'Sampling Data'!N1027</f>
        <v>0</v>
      </c>
      <c r="P1027" s="18">
        <f>'Sampling Data'!O1027</f>
        <v>0</v>
      </c>
      <c r="Q1027" s="18">
        <f>'Sampling Data'!P1027</f>
        <v>30</v>
      </c>
      <c r="R1027" s="18">
        <f>'Sampling Data'!AJ1027</f>
        <v>0</v>
      </c>
      <c r="S1027" s="112"/>
      <c r="T1027" s="112"/>
      <c r="U1027" s="113"/>
      <c r="V1027" s="113"/>
      <c r="W1027" s="112"/>
      <c r="X1027" s="112"/>
      <c r="Y1027" s="112"/>
      <c r="Z1027" s="112"/>
      <c r="AA1027" s="15"/>
      <c r="AB1027" s="15"/>
      <c r="AC1027" s="15"/>
      <c r="AD1027" s="15"/>
      <c r="AE1027" s="114" t="str">
        <f>IF(NOT(ISBLANK(Audit[[#This Row],[Audit Winning Candidate]])), Audit[[#This Row],[Audit Winning Candidate]]-Audit[[#This Row],[Winning Candidate]], "")</f>
        <v/>
      </c>
      <c r="AF1027" s="18" t="str">
        <f>IF(NOT(ISBLANK(Audit[[#This Row],[Audit Losing Candidate]])), Audit[[#This Row],[Audit Losing Candidate]]-Audit[[#This Row],[Losing Candidate]], "")</f>
        <v/>
      </c>
      <c r="AG1027" s="18" t="str">
        <f>IF(NOT(ISBLANK(Audit[[#This Row],[Audit Candidate 3]])), Audit[[#This Row],[Audit Candidate 3]]-Audit[[#This Row],[Candidate 3]], "")</f>
        <v/>
      </c>
      <c r="AH1027" s="18" t="str">
        <f>IF(NOT(ISBLANK(Audit[[#This Row],[Audit Candidate 4]])),Audit[[#This Row],[Audit Candidate 4]]-Audit[[#This Row],[Candidate 4]], "")</f>
        <v/>
      </c>
      <c r="AI1027" s="18" t="str">
        <f>IF(NOT(ISBLANK(Audit[[#This Row],[Audit Candidate 5]])), Audit[[#This Row],[Audit Candidate 5]]-Audit[[#This Row],[Candidate 5]], "")</f>
        <v/>
      </c>
      <c r="AJ1027" s="18" t="str">
        <f>IF(NOT(ISBLANK(Audit[[#This Row],[Audit Candidate 6]])), Audit[[#This Row],[Audit Candidate 6]]-Audit[[#This Row],[Candidate 6]], "")</f>
        <v/>
      </c>
      <c r="AK1027" s="18" t="str">
        <f>IF(NOT(ISBLANK(Audit[[#This Row],[Audit Candidate 7]])), Audit[[#This Row],[Audit Candidate 7]]-Audit[[#This Row],[Candidate 7]], "")</f>
        <v/>
      </c>
      <c r="AL1027" s="18" t="str">
        <f>IF(NOT(ISBLANK(Audit[[#This Row],[Audit Candidate 8]])), Audit[[#This Row],[Audit Candidate 8]]-Audit[[#This Row],[Candidate 8]], "")</f>
        <v/>
      </c>
      <c r="AM1027" s="18" t="str">
        <f>IF(NOT(ISBLANK(Audit[[#This Row],[Audit Candidate 9]])), Audit[[#This Row],[Audit Candidate 9]]-Audit[[#This Row],[Candidate 9]], "")</f>
        <v/>
      </c>
      <c r="AN1027" s="18" t="str">
        <f>IF(NOT(ISBLANK(Audit[[#This Row],[Audit Candidate 10]])), Audit[[#This Row],[Audit Candidate 10]]-Audit[[#This Row],[Candidate 10]], "")</f>
        <v/>
      </c>
      <c r="AO1027" s="18" t="str">
        <f>IF(NOT(ISBLANK(Audit[[#This Row],[Audit Candidate 11]])), Audit[[#This Row],[Audit Candidate 11]]-Audit[[#This Row],[Candidate 11]], "")</f>
        <v/>
      </c>
      <c r="AP1027" s="18" t="str">
        <f>IF(NOT(ISBLANK(Audit[[#This Row],[Audit Candidate 12]])), Audit[[#This Row],[Audit Candidate 12]]-Audit[[#This Row],[Candidate 12]], "")</f>
        <v/>
      </c>
      <c r="AQ1027" s="18">
        <f>SUMIF(Audit[[#This Row],[Difference Winner]:[Difference Candidate 12]], "&gt;0")</f>
        <v>0</v>
      </c>
      <c r="AR1027" s="18">
        <f>SUM(Audit[[#This Row],[Difference Winner]:[Difference Candidate 12]])</f>
        <v>0</v>
      </c>
      <c r="AS1027" s="18">
        <f>IF(Audit[[#This Row],[Times p Drawn - With Replacement]]&gt;0, IF(Audit[[#This Row],[Canceled Differences]]&lt;0, Audit[[#This Row],[Max Differences]]+ABS(Audit[[#This Row],[Canceled Differences]]), Audit[[#This Row],[Max Differences]]), 0)</f>
        <v>0</v>
      </c>
      <c r="AT1027" s="18">
        <f>'Sampling Data'!AB1027</f>
        <v>1.5076797436944435E-3</v>
      </c>
      <c r="AU1027" s="18">
        <f>IF(
      SUM(Audit[[#This Row],[Audit Losing Candidate]:[Audit Candidate 12]])
      &lt;&gt;0,
      (Audit[[#This Row],[Winning Candidate]]-Audit[[#This Row],[Losing Candidate]]-(Audit[[#This Row],[Audit Winning Candidate]]-Audit[[#This Row],[Audit Losing Candidate]]))/(Audit[[#Totals],[Winning Candidate]]-Audit[[#Totals],[Losing Candidate]]),
      0
)</f>
        <v>0</v>
      </c>
      <c r="AV10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8">
        <f>IF(Audit[[#This Row],[Max Relative Error (ep)]] = 0, 0, Audit[[#This Row],[Max Relative Error (ep)]]/Audit[[#This Row],[Error Bound (up) - Max. possible relative overstatement]])</f>
        <v>0</v>
      </c>
      <c r="BH10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7" s="18">
        <f t="shared" si="16"/>
        <v>1</v>
      </c>
      <c r="BJ1027" s="18">
        <f>PRODUCT($BI$5:BI1027)</f>
        <v>0.10664664085196122</v>
      </c>
      <c r="BK1027" s="20">
        <f>1 - Audit[[#This Row],[K-M P Value]]</f>
        <v>0.89335335914803882</v>
      </c>
      <c r="BL1027" s="18" t="str">
        <f>IF(Audit[[#This Row],[K-M P Value]]&gt;1-'General Info'!$B$12,"Continue", "Stop")</f>
        <v>Continue</v>
      </c>
      <c r="BM1027" s="23" t="b">
        <f>IF(Audit[[#This Row],[Status - Continue or stop audit]] = "Continue", TRUE, IF(BL1026 = "Continue", TRUE, FALSE))</f>
        <v>1</v>
      </c>
      <c r="BN1027" s="23"/>
    </row>
    <row r="1028" spans="1:66" ht="15" hidden="1" customHeight="1" x14ac:dyDescent="0.35">
      <c r="A1028" s="18" t="str">
        <f>'Sampling Data'!AI1028</f>
        <v/>
      </c>
      <c r="B1028" s="18" t="str">
        <f>'Sampling Data'!A1028</f>
        <v>7336 GREEN JJ   (ED)</v>
      </c>
      <c r="C1028" s="18">
        <f>'Sampling Data'!B1028</f>
        <v>105</v>
      </c>
      <c r="D1028" s="18">
        <f>'Sampling Data'!C1028</f>
        <v>9</v>
      </c>
      <c r="E1028" s="19">
        <f>'Sampling Data'!D1028</f>
        <v>0</v>
      </c>
      <c r="F1028" s="19">
        <f>'Sampling Data'!E1028</f>
        <v>0</v>
      </c>
      <c r="G1028" s="19">
        <f>'Sampling Data'!F1028</f>
        <v>0</v>
      </c>
      <c r="H1028" s="19">
        <f>'Sampling Data'!G1028</f>
        <v>0</v>
      </c>
      <c r="I1028" s="19">
        <f>'Sampling Data'!H1028</f>
        <v>0</v>
      </c>
      <c r="J1028" s="19">
        <f>'Sampling Data'!I1028</f>
        <v>0</v>
      </c>
      <c r="K1028" s="19">
        <f>'Sampling Data'!J1028</f>
        <v>0</v>
      </c>
      <c r="L1028" s="19">
        <f>'Sampling Data'!K1028</f>
        <v>0</v>
      </c>
      <c r="M1028" s="19">
        <f>'Sampling Data'!L1028</f>
        <v>0</v>
      </c>
      <c r="N1028" s="19">
        <f>'Sampling Data'!M1028</f>
        <v>0</v>
      </c>
      <c r="O1028" s="18">
        <f>'Sampling Data'!N1028</f>
        <v>0</v>
      </c>
      <c r="P1028" s="18">
        <f>'Sampling Data'!O1028</f>
        <v>2</v>
      </c>
      <c r="Q1028" s="18">
        <f>'Sampling Data'!P1028</f>
        <v>116</v>
      </c>
      <c r="R1028" s="18">
        <f>'Sampling Data'!AJ1028</f>
        <v>0</v>
      </c>
      <c r="S1028" s="112"/>
      <c r="T1028" s="112"/>
      <c r="U1028" s="113"/>
      <c r="V1028" s="113"/>
      <c r="W1028" s="112"/>
      <c r="X1028" s="112"/>
      <c r="Y1028" s="112"/>
      <c r="Z1028" s="112"/>
      <c r="AA1028" s="15"/>
      <c r="AB1028" s="15"/>
      <c r="AC1028" s="15"/>
      <c r="AD1028" s="15"/>
      <c r="AE1028" s="114" t="str">
        <f>IF(NOT(ISBLANK(Audit[[#This Row],[Audit Winning Candidate]])), Audit[[#This Row],[Audit Winning Candidate]]-Audit[[#This Row],[Winning Candidate]], "")</f>
        <v/>
      </c>
      <c r="AF1028" s="18" t="str">
        <f>IF(NOT(ISBLANK(Audit[[#This Row],[Audit Losing Candidate]])), Audit[[#This Row],[Audit Losing Candidate]]-Audit[[#This Row],[Losing Candidate]], "")</f>
        <v/>
      </c>
      <c r="AG1028" s="18" t="str">
        <f>IF(NOT(ISBLANK(Audit[[#This Row],[Audit Candidate 3]])), Audit[[#This Row],[Audit Candidate 3]]-Audit[[#This Row],[Candidate 3]], "")</f>
        <v/>
      </c>
      <c r="AH1028" s="18" t="str">
        <f>IF(NOT(ISBLANK(Audit[[#This Row],[Audit Candidate 4]])),Audit[[#This Row],[Audit Candidate 4]]-Audit[[#This Row],[Candidate 4]], "")</f>
        <v/>
      </c>
      <c r="AI1028" s="18" t="str">
        <f>IF(NOT(ISBLANK(Audit[[#This Row],[Audit Candidate 5]])), Audit[[#This Row],[Audit Candidate 5]]-Audit[[#This Row],[Candidate 5]], "")</f>
        <v/>
      </c>
      <c r="AJ1028" s="18" t="str">
        <f>IF(NOT(ISBLANK(Audit[[#This Row],[Audit Candidate 6]])), Audit[[#This Row],[Audit Candidate 6]]-Audit[[#This Row],[Candidate 6]], "")</f>
        <v/>
      </c>
      <c r="AK1028" s="18" t="str">
        <f>IF(NOT(ISBLANK(Audit[[#This Row],[Audit Candidate 7]])), Audit[[#This Row],[Audit Candidate 7]]-Audit[[#This Row],[Candidate 7]], "")</f>
        <v/>
      </c>
      <c r="AL1028" s="18" t="str">
        <f>IF(NOT(ISBLANK(Audit[[#This Row],[Audit Candidate 8]])), Audit[[#This Row],[Audit Candidate 8]]-Audit[[#This Row],[Candidate 8]], "")</f>
        <v/>
      </c>
      <c r="AM1028" s="18" t="str">
        <f>IF(NOT(ISBLANK(Audit[[#This Row],[Audit Candidate 9]])), Audit[[#This Row],[Audit Candidate 9]]-Audit[[#This Row],[Candidate 9]], "")</f>
        <v/>
      </c>
      <c r="AN1028" s="18" t="str">
        <f>IF(NOT(ISBLANK(Audit[[#This Row],[Audit Candidate 10]])), Audit[[#This Row],[Audit Candidate 10]]-Audit[[#This Row],[Candidate 10]], "")</f>
        <v/>
      </c>
      <c r="AO1028" s="18" t="str">
        <f>IF(NOT(ISBLANK(Audit[[#This Row],[Audit Candidate 11]])), Audit[[#This Row],[Audit Candidate 11]]-Audit[[#This Row],[Candidate 11]], "")</f>
        <v/>
      </c>
      <c r="AP1028" s="18" t="str">
        <f>IF(NOT(ISBLANK(Audit[[#This Row],[Audit Candidate 12]])), Audit[[#This Row],[Audit Candidate 12]]-Audit[[#This Row],[Candidate 12]], "")</f>
        <v/>
      </c>
      <c r="AQ1028" s="18">
        <f>SUMIF(Audit[[#This Row],[Difference Winner]:[Difference Candidate 12]], "&gt;0")</f>
        <v>0</v>
      </c>
      <c r="AR1028" s="18">
        <f>SUM(Audit[[#This Row],[Difference Winner]:[Difference Candidate 12]])</f>
        <v>0</v>
      </c>
      <c r="AS1028" s="18">
        <f>IF(Audit[[#This Row],[Times p Drawn - With Replacement]]&gt;0, IF(Audit[[#This Row],[Canceled Differences]]&lt;0, Audit[[#This Row],[Max Differences]]+ABS(Audit[[#This Row],[Canceled Differences]]), Audit[[#This Row],[Max Differences]]), 0)</f>
        <v>0</v>
      </c>
      <c r="AT1028" s="18">
        <f>'Sampling Data'!AB1028</f>
        <v>6.6589188679837923E-3</v>
      </c>
      <c r="AU1028" s="18">
        <f>IF(
      SUM(Audit[[#This Row],[Audit Losing Candidate]:[Audit Candidate 12]])
      &lt;&gt;0,
      (Audit[[#This Row],[Winning Candidate]]-Audit[[#This Row],[Losing Candidate]]-(Audit[[#This Row],[Audit Winning Candidate]]-Audit[[#This Row],[Audit Losing Candidate]]))/(Audit[[#Totals],[Winning Candidate]]-Audit[[#Totals],[Losing Candidate]]),
      0
)</f>
        <v>0</v>
      </c>
      <c r="AV10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8">
        <f>IF(Audit[[#This Row],[Max Relative Error (ep)]] = 0, 0, Audit[[#This Row],[Max Relative Error (ep)]]/Audit[[#This Row],[Error Bound (up) - Max. possible relative overstatement]])</f>
        <v>0</v>
      </c>
      <c r="BH10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8" s="18">
        <f t="shared" si="16"/>
        <v>1</v>
      </c>
      <c r="BJ1028" s="18">
        <f>PRODUCT($BI$5:BI1028)</f>
        <v>0.10664664085196122</v>
      </c>
      <c r="BK1028" s="20">
        <f>1 - Audit[[#This Row],[K-M P Value]]</f>
        <v>0.89335335914803882</v>
      </c>
      <c r="BL1028" s="18" t="str">
        <f>IF(Audit[[#This Row],[K-M P Value]]&gt;1-'General Info'!$B$12,"Continue", "Stop")</f>
        <v>Continue</v>
      </c>
      <c r="BM1028" s="23" t="b">
        <f>IF(Audit[[#This Row],[Status - Continue or stop audit]] = "Continue", TRUE, IF(BL1027 = "Continue", TRUE, FALSE))</f>
        <v>1</v>
      </c>
      <c r="BN1028" s="23"/>
    </row>
    <row r="1029" spans="1:66" ht="15" hidden="1" customHeight="1" x14ac:dyDescent="0.35">
      <c r="A1029" s="18" t="str">
        <f>'Sampling Data'!AI1029</f>
        <v/>
      </c>
      <c r="B1029" s="18" t="str">
        <f>'Sampling Data'!A1029</f>
        <v>7337 GREEN KK   (ED)</v>
      </c>
      <c r="C1029" s="18">
        <f>'Sampling Data'!B1029</f>
        <v>118</v>
      </c>
      <c r="D1029" s="18">
        <f>'Sampling Data'!C1029</f>
        <v>19</v>
      </c>
      <c r="E1029" s="19">
        <f>'Sampling Data'!D1029</f>
        <v>0</v>
      </c>
      <c r="F1029" s="19">
        <f>'Sampling Data'!E1029</f>
        <v>0</v>
      </c>
      <c r="G1029" s="19">
        <f>'Sampling Data'!F1029</f>
        <v>0</v>
      </c>
      <c r="H1029" s="19">
        <f>'Sampling Data'!G1029</f>
        <v>0</v>
      </c>
      <c r="I1029" s="19">
        <f>'Sampling Data'!H1029</f>
        <v>0</v>
      </c>
      <c r="J1029" s="19">
        <f>'Sampling Data'!I1029</f>
        <v>0</v>
      </c>
      <c r="K1029" s="19">
        <f>'Sampling Data'!J1029</f>
        <v>0</v>
      </c>
      <c r="L1029" s="19">
        <f>'Sampling Data'!K1029</f>
        <v>0</v>
      </c>
      <c r="M1029" s="19">
        <f>'Sampling Data'!L1029</f>
        <v>0</v>
      </c>
      <c r="N1029" s="19">
        <f>'Sampling Data'!M1029</f>
        <v>0</v>
      </c>
      <c r="O1029" s="18">
        <f>'Sampling Data'!N1029</f>
        <v>1</v>
      </c>
      <c r="P1029" s="18">
        <f>'Sampling Data'!O1029</f>
        <v>2</v>
      </c>
      <c r="Q1029" s="18">
        <f>'Sampling Data'!P1029</f>
        <v>140</v>
      </c>
      <c r="R1029" s="18">
        <f>'Sampling Data'!AJ1029</f>
        <v>0</v>
      </c>
      <c r="S1029" s="112"/>
      <c r="T1029" s="112"/>
      <c r="U1029" s="113"/>
      <c r="V1029" s="113"/>
      <c r="W1029" s="112"/>
      <c r="X1029" s="112"/>
      <c r="Y1029" s="112"/>
      <c r="Z1029" s="112"/>
      <c r="AA1029" s="15"/>
      <c r="AB1029" s="15"/>
      <c r="AC1029" s="15"/>
      <c r="AD1029" s="15"/>
      <c r="AE1029" s="114" t="str">
        <f>IF(NOT(ISBLANK(Audit[[#This Row],[Audit Winning Candidate]])), Audit[[#This Row],[Audit Winning Candidate]]-Audit[[#This Row],[Winning Candidate]], "")</f>
        <v/>
      </c>
      <c r="AF1029" s="18" t="str">
        <f>IF(NOT(ISBLANK(Audit[[#This Row],[Audit Losing Candidate]])), Audit[[#This Row],[Audit Losing Candidate]]-Audit[[#This Row],[Losing Candidate]], "")</f>
        <v/>
      </c>
      <c r="AG1029" s="18" t="str">
        <f>IF(NOT(ISBLANK(Audit[[#This Row],[Audit Candidate 3]])), Audit[[#This Row],[Audit Candidate 3]]-Audit[[#This Row],[Candidate 3]], "")</f>
        <v/>
      </c>
      <c r="AH1029" s="18" t="str">
        <f>IF(NOT(ISBLANK(Audit[[#This Row],[Audit Candidate 4]])),Audit[[#This Row],[Audit Candidate 4]]-Audit[[#This Row],[Candidate 4]], "")</f>
        <v/>
      </c>
      <c r="AI1029" s="18" t="str">
        <f>IF(NOT(ISBLANK(Audit[[#This Row],[Audit Candidate 5]])), Audit[[#This Row],[Audit Candidate 5]]-Audit[[#This Row],[Candidate 5]], "")</f>
        <v/>
      </c>
      <c r="AJ1029" s="18" t="str">
        <f>IF(NOT(ISBLANK(Audit[[#This Row],[Audit Candidate 6]])), Audit[[#This Row],[Audit Candidate 6]]-Audit[[#This Row],[Candidate 6]], "")</f>
        <v/>
      </c>
      <c r="AK1029" s="18" t="str">
        <f>IF(NOT(ISBLANK(Audit[[#This Row],[Audit Candidate 7]])), Audit[[#This Row],[Audit Candidate 7]]-Audit[[#This Row],[Candidate 7]], "")</f>
        <v/>
      </c>
      <c r="AL1029" s="18" t="str">
        <f>IF(NOT(ISBLANK(Audit[[#This Row],[Audit Candidate 8]])), Audit[[#This Row],[Audit Candidate 8]]-Audit[[#This Row],[Candidate 8]], "")</f>
        <v/>
      </c>
      <c r="AM1029" s="18" t="str">
        <f>IF(NOT(ISBLANK(Audit[[#This Row],[Audit Candidate 9]])), Audit[[#This Row],[Audit Candidate 9]]-Audit[[#This Row],[Candidate 9]], "")</f>
        <v/>
      </c>
      <c r="AN1029" s="18" t="str">
        <f>IF(NOT(ISBLANK(Audit[[#This Row],[Audit Candidate 10]])), Audit[[#This Row],[Audit Candidate 10]]-Audit[[#This Row],[Candidate 10]], "")</f>
        <v/>
      </c>
      <c r="AO1029" s="18" t="str">
        <f>IF(NOT(ISBLANK(Audit[[#This Row],[Audit Candidate 11]])), Audit[[#This Row],[Audit Candidate 11]]-Audit[[#This Row],[Candidate 11]], "")</f>
        <v/>
      </c>
      <c r="AP1029" s="18" t="str">
        <f>IF(NOT(ISBLANK(Audit[[#This Row],[Audit Candidate 12]])), Audit[[#This Row],[Audit Candidate 12]]-Audit[[#This Row],[Candidate 12]], "")</f>
        <v/>
      </c>
      <c r="AQ1029" s="18">
        <f>SUMIF(Audit[[#This Row],[Difference Winner]:[Difference Candidate 12]], "&gt;0")</f>
        <v>0</v>
      </c>
      <c r="AR1029" s="18">
        <f>SUM(Audit[[#This Row],[Difference Winner]:[Difference Candidate 12]])</f>
        <v>0</v>
      </c>
      <c r="AS1029" s="18">
        <f>IF(Audit[[#This Row],[Times p Drawn - With Replacement]]&gt;0, IF(Audit[[#This Row],[Canceled Differences]]&lt;0, Audit[[#This Row],[Max Differences]]+ABS(Audit[[#This Row],[Canceled Differences]]), Audit[[#This Row],[Max Differences]]), 0)</f>
        <v>0</v>
      </c>
      <c r="AT1029" s="18">
        <f>'Sampling Data'!AB1029</f>
        <v>7.5069887238119167E-3</v>
      </c>
      <c r="AU1029" s="18">
        <f>IF(
      SUM(Audit[[#This Row],[Audit Losing Candidate]:[Audit Candidate 12]])
      &lt;&gt;0,
      (Audit[[#This Row],[Winning Candidate]]-Audit[[#This Row],[Losing Candidate]]-(Audit[[#This Row],[Audit Winning Candidate]]-Audit[[#This Row],[Audit Losing Candidate]]))/(Audit[[#Totals],[Winning Candidate]]-Audit[[#Totals],[Losing Candidate]]),
      0
)</f>
        <v>0</v>
      </c>
      <c r="AV10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8">
        <f>IF(Audit[[#This Row],[Max Relative Error (ep)]] = 0, 0, Audit[[#This Row],[Max Relative Error (ep)]]/Audit[[#This Row],[Error Bound (up) - Max. possible relative overstatement]])</f>
        <v>0</v>
      </c>
      <c r="BH10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29" s="18">
        <f t="shared" si="16"/>
        <v>1</v>
      </c>
      <c r="BJ1029" s="18">
        <f>PRODUCT($BI$5:BI1029)</f>
        <v>0.10664664085196122</v>
      </c>
      <c r="BK1029" s="20">
        <f>1 - Audit[[#This Row],[K-M P Value]]</f>
        <v>0.89335335914803882</v>
      </c>
      <c r="BL1029" s="18" t="str">
        <f>IF(Audit[[#This Row],[K-M P Value]]&gt;1-'General Info'!$B$12,"Continue", "Stop")</f>
        <v>Continue</v>
      </c>
      <c r="BM1029" s="23" t="b">
        <f>IF(Audit[[#This Row],[Status - Continue or stop audit]] = "Continue", TRUE, IF(BL1028 = "Continue", TRUE, FALSE))</f>
        <v>1</v>
      </c>
      <c r="BN1029" s="23"/>
    </row>
    <row r="1030" spans="1:66" ht="15" hidden="1" customHeight="1" x14ac:dyDescent="0.35">
      <c r="A1030" s="18" t="str">
        <f>'Sampling Data'!AI1030</f>
        <v/>
      </c>
      <c r="B1030" s="18" t="str">
        <f>'Sampling Data'!A1030</f>
        <v>7338 GREEN LL   (ED)</v>
      </c>
      <c r="C1030" s="18">
        <f>'Sampling Data'!B1030</f>
        <v>102</v>
      </c>
      <c r="D1030" s="18">
        <f>'Sampling Data'!C1030</f>
        <v>10</v>
      </c>
      <c r="E1030" s="19">
        <f>'Sampling Data'!D1030</f>
        <v>0</v>
      </c>
      <c r="F1030" s="19">
        <f>'Sampling Data'!E1030</f>
        <v>0</v>
      </c>
      <c r="G1030" s="19">
        <f>'Sampling Data'!F1030</f>
        <v>0</v>
      </c>
      <c r="H1030" s="19">
        <f>'Sampling Data'!G1030</f>
        <v>0</v>
      </c>
      <c r="I1030" s="19">
        <f>'Sampling Data'!H1030</f>
        <v>0</v>
      </c>
      <c r="J1030" s="19">
        <f>'Sampling Data'!I1030</f>
        <v>0</v>
      </c>
      <c r="K1030" s="19">
        <f>'Sampling Data'!J1030</f>
        <v>0</v>
      </c>
      <c r="L1030" s="19">
        <f>'Sampling Data'!K1030</f>
        <v>0</v>
      </c>
      <c r="M1030" s="19">
        <f>'Sampling Data'!L1030</f>
        <v>0</v>
      </c>
      <c r="N1030" s="19">
        <f>'Sampling Data'!M1030</f>
        <v>0</v>
      </c>
      <c r="O1030" s="18">
        <f>'Sampling Data'!N1030</f>
        <v>0</v>
      </c>
      <c r="P1030" s="18">
        <f>'Sampling Data'!O1030</f>
        <v>1</v>
      </c>
      <c r="Q1030" s="18">
        <f>'Sampling Data'!P1030</f>
        <v>113</v>
      </c>
      <c r="R1030" s="18">
        <f>'Sampling Data'!AJ1030</f>
        <v>0</v>
      </c>
      <c r="S1030" s="112"/>
      <c r="T1030" s="112"/>
      <c r="U1030" s="113"/>
      <c r="V1030" s="113"/>
      <c r="W1030" s="112"/>
      <c r="X1030" s="112"/>
      <c r="Y1030" s="112"/>
      <c r="Z1030" s="112"/>
      <c r="AA1030" s="15"/>
      <c r="AB1030" s="15"/>
      <c r="AC1030" s="15"/>
      <c r="AD1030" s="15"/>
      <c r="AE1030" s="114" t="str">
        <f>IF(NOT(ISBLANK(Audit[[#This Row],[Audit Winning Candidate]])), Audit[[#This Row],[Audit Winning Candidate]]-Audit[[#This Row],[Winning Candidate]], "")</f>
        <v/>
      </c>
      <c r="AF1030" s="18" t="str">
        <f>IF(NOT(ISBLANK(Audit[[#This Row],[Audit Losing Candidate]])), Audit[[#This Row],[Audit Losing Candidate]]-Audit[[#This Row],[Losing Candidate]], "")</f>
        <v/>
      </c>
      <c r="AG1030" s="18" t="str">
        <f>IF(NOT(ISBLANK(Audit[[#This Row],[Audit Candidate 3]])), Audit[[#This Row],[Audit Candidate 3]]-Audit[[#This Row],[Candidate 3]], "")</f>
        <v/>
      </c>
      <c r="AH1030" s="18" t="str">
        <f>IF(NOT(ISBLANK(Audit[[#This Row],[Audit Candidate 4]])),Audit[[#This Row],[Audit Candidate 4]]-Audit[[#This Row],[Candidate 4]], "")</f>
        <v/>
      </c>
      <c r="AI1030" s="18" t="str">
        <f>IF(NOT(ISBLANK(Audit[[#This Row],[Audit Candidate 5]])), Audit[[#This Row],[Audit Candidate 5]]-Audit[[#This Row],[Candidate 5]], "")</f>
        <v/>
      </c>
      <c r="AJ1030" s="18" t="str">
        <f>IF(NOT(ISBLANK(Audit[[#This Row],[Audit Candidate 6]])), Audit[[#This Row],[Audit Candidate 6]]-Audit[[#This Row],[Candidate 6]], "")</f>
        <v/>
      </c>
      <c r="AK1030" s="18" t="str">
        <f>IF(NOT(ISBLANK(Audit[[#This Row],[Audit Candidate 7]])), Audit[[#This Row],[Audit Candidate 7]]-Audit[[#This Row],[Candidate 7]], "")</f>
        <v/>
      </c>
      <c r="AL1030" s="18" t="str">
        <f>IF(NOT(ISBLANK(Audit[[#This Row],[Audit Candidate 8]])), Audit[[#This Row],[Audit Candidate 8]]-Audit[[#This Row],[Candidate 8]], "")</f>
        <v/>
      </c>
      <c r="AM1030" s="18" t="str">
        <f>IF(NOT(ISBLANK(Audit[[#This Row],[Audit Candidate 9]])), Audit[[#This Row],[Audit Candidate 9]]-Audit[[#This Row],[Candidate 9]], "")</f>
        <v/>
      </c>
      <c r="AN1030" s="18" t="str">
        <f>IF(NOT(ISBLANK(Audit[[#This Row],[Audit Candidate 10]])), Audit[[#This Row],[Audit Candidate 10]]-Audit[[#This Row],[Candidate 10]], "")</f>
        <v/>
      </c>
      <c r="AO1030" s="18" t="str">
        <f>IF(NOT(ISBLANK(Audit[[#This Row],[Audit Candidate 11]])), Audit[[#This Row],[Audit Candidate 11]]-Audit[[#This Row],[Candidate 11]], "")</f>
        <v/>
      </c>
      <c r="AP1030" s="18" t="str">
        <f>IF(NOT(ISBLANK(Audit[[#This Row],[Audit Candidate 12]])), Audit[[#This Row],[Audit Candidate 12]]-Audit[[#This Row],[Candidate 12]], "")</f>
        <v/>
      </c>
      <c r="AQ1030" s="18">
        <f>SUMIF(Audit[[#This Row],[Difference Winner]:[Difference Candidate 12]], "&gt;0")</f>
        <v>0</v>
      </c>
      <c r="AR1030" s="18">
        <f>SUM(Audit[[#This Row],[Difference Winner]:[Difference Candidate 12]])</f>
        <v>0</v>
      </c>
      <c r="AS1030" s="18">
        <f>IF(Audit[[#This Row],[Times p Drawn - With Replacement]]&gt;0, IF(Audit[[#This Row],[Canceled Differences]]&lt;0, Audit[[#This Row],[Max Differences]]+ABS(Audit[[#This Row],[Canceled Differences]]), Audit[[#This Row],[Max Differences]]), 0)</f>
        <v>0</v>
      </c>
      <c r="AT1030" s="18">
        <f>'Sampling Data'!AB1030</f>
        <v>6.439048905361686E-3</v>
      </c>
      <c r="AU1030" s="18">
        <f>IF(
      SUM(Audit[[#This Row],[Audit Losing Candidate]:[Audit Candidate 12]])
      &lt;&gt;0,
      (Audit[[#This Row],[Winning Candidate]]-Audit[[#This Row],[Losing Candidate]]-(Audit[[#This Row],[Audit Winning Candidate]]-Audit[[#This Row],[Audit Losing Candidate]]))/(Audit[[#Totals],[Winning Candidate]]-Audit[[#Totals],[Losing Candidate]]),
      0
)</f>
        <v>0</v>
      </c>
      <c r="AV10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8">
        <f>IF(Audit[[#This Row],[Max Relative Error (ep)]] = 0, 0, Audit[[#This Row],[Max Relative Error (ep)]]/Audit[[#This Row],[Error Bound (up) - Max. possible relative overstatement]])</f>
        <v>0</v>
      </c>
      <c r="BH10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0" s="18">
        <f t="shared" si="16"/>
        <v>1</v>
      </c>
      <c r="BJ1030" s="18">
        <f>PRODUCT($BI$5:BI1030)</f>
        <v>0.10664664085196122</v>
      </c>
      <c r="BK1030" s="20">
        <f>1 - Audit[[#This Row],[K-M P Value]]</f>
        <v>0.89335335914803882</v>
      </c>
      <c r="BL1030" s="18" t="str">
        <f>IF(Audit[[#This Row],[K-M P Value]]&gt;1-'General Info'!$B$12,"Continue", "Stop")</f>
        <v>Continue</v>
      </c>
      <c r="BM1030" s="23" t="b">
        <f>IF(Audit[[#This Row],[Status - Continue or stop audit]] = "Continue", TRUE, IF(BL1029 = "Continue", TRUE, FALSE))</f>
        <v>1</v>
      </c>
      <c r="BN1030" s="23"/>
    </row>
    <row r="1031" spans="1:66" ht="15" hidden="1" customHeight="1" x14ac:dyDescent="0.35">
      <c r="A1031" s="18" t="str">
        <f>'Sampling Data'!AI1031</f>
        <v/>
      </c>
      <c r="B1031" s="18" t="str">
        <f>'Sampling Data'!A1031</f>
        <v>7339 GREEN MM   (ED)</v>
      </c>
      <c r="C1031" s="18">
        <f>'Sampling Data'!B1031</f>
        <v>110</v>
      </c>
      <c r="D1031" s="18">
        <f>'Sampling Data'!C1031</f>
        <v>9</v>
      </c>
      <c r="E1031" s="19">
        <f>'Sampling Data'!D1031</f>
        <v>0</v>
      </c>
      <c r="F1031" s="19">
        <f>'Sampling Data'!E1031</f>
        <v>0</v>
      </c>
      <c r="G1031" s="19">
        <f>'Sampling Data'!F1031</f>
        <v>0</v>
      </c>
      <c r="H1031" s="19">
        <f>'Sampling Data'!G1031</f>
        <v>0</v>
      </c>
      <c r="I1031" s="19">
        <f>'Sampling Data'!H1031</f>
        <v>0</v>
      </c>
      <c r="J1031" s="19">
        <f>'Sampling Data'!I1031</f>
        <v>0</v>
      </c>
      <c r="K1031" s="19">
        <f>'Sampling Data'!J1031</f>
        <v>0</v>
      </c>
      <c r="L1031" s="19">
        <f>'Sampling Data'!K1031</f>
        <v>0</v>
      </c>
      <c r="M1031" s="19">
        <f>'Sampling Data'!L1031</f>
        <v>0</v>
      </c>
      <c r="N1031" s="19">
        <f>'Sampling Data'!M1031</f>
        <v>0</v>
      </c>
      <c r="O1031" s="18">
        <f>'Sampling Data'!N1031</f>
        <v>0</v>
      </c>
      <c r="P1031" s="18">
        <f>'Sampling Data'!O1031</f>
        <v>1</v>
      </c>
      <c r="Q1031" s="18">
        <f>'Sampling Data'!P1031</f>
        <v>120</v>
      </c>
      <c r="R1031" s="18">
        <f>'Sampling Data'!AJ1031</f>
        <v>0</v>
      </c>
      <c r="S1031" s="112"/>
      <c r="T1031" s="112"/>
      <c r="U1031" s="113"/>
      <c r="V1031" s="113"/>
      <c r="W1031" s="112"/>
      <c r="X1031" s="112"/>
      <c r="Y1031" s="112"/>
      <c r="Z1031" s="112"/>
      <c r="AA1031" s="15"/>
      <c r="AB1031" s="15"/>
      <c r="AC1031" s="15"/>
      <c r="AD1031" s="15"/>
      <c r="AE1031" s="114" t="str">
        <f>IF(NOT(ISBLANK(Audit[[#This Row],[Audit Winning Candidate]])), Audit[[#This Row],[Audit Winning Candidate]]-Audit[[#This Row],[Winning Candidate]], "")</f>
        <v/>
      </c>
      <c r="AF1031" s="18" t="str">
        <f>IF(NOT(ISBLANK(Audit[[#This Row],[Audit Losing Candidate]])), Audit[[#This Row],[Audit Losing Candidate]]-Audit[[#This Row],[Losing Candidate]], "")</f>
        <v/>
      </c>
      <c r="AG1031" s="18" t="str">
        <f>IF(NOT(ISBLANK(Audit[[#This Row],[Audit Candidate 3]])), Audit[[#This Row],[Audit Candidate 3]]-Audit[[#This Row],[Candidate 3]], "")</f>
        <v/>
      </c>
      <c r="AH1031" s="18" t="str">
        <f>IF(NOT(ISBLANK(Audit[[#This Row],[Audit Candidate 4]])),Audit[[#This Row],[Audit Candidate 4]]-Audit[[#This Row],[Candidate 4]], "")</f>
        <v/>
      </c>
      <c r="AI1031" s="18" t="str">
        <f>IF(NOT(ISBLANK(Audit[[#This Row],[Audit Candidate 5]])), Audit[[#This Row],[Audit Candidate 5]]-Audit[[#This Row],[Candidate 5]], "")</f>
        <v/>
      </c>
      <c r="AJ1031" s="18" t="str">
        <f>IF(NOT(ISBLANK(Audit[[#This Row],[Audit Candidate 6]])), Audit[[#This Row],[Audit Candidate 6]]-Audit[[#This Row],[Candidate 6]], "")</f>
        <v/>
      </c>
      <c r="AK1031" s="18" t="str">
        <f>IF(NOT(ISBLANK(Audit[[#This Row],[Audit Candidate 7]])), Audit[[#This Row],[Audit Candidate 7]]-Audit[[#This Row],[Candidate 7]], "")</f>
        <v/>
      </c>
      <c r="AL1031" s="18" t="str">
        <f>IF(NOT(ISBLANK(Audit[[#This Row],[Audit Candidate 8]])), Audit[[#This Row],[Audit Candidate 8]]-Audit[[#This Row],[Candidate 8]], "")</f>
        <v/>
      </c>
      <c r="AM1031" s="18" t="str">
        <f>IF(NOT(ISBLANK(Audit[[#This Row],[Audit Candidate 9]])), Audit[[#This Row],[Audit Candidate 9]]-Audit[[#This Row],[Candidate 9]], "")</f>
        <v/>
      </c>
      <c r="AN1031" s="18" t="str">
        <f>IF(NOT(ISBLANK(Audit[[#This Row],[Audit Candidate 10]])), Audit[[#This Row],[Audit Candidate 10]]-Audit[[#This Row],[Candidate 10]], "")</f>
        <v/>
      </c>
      <c r="AO1031" s="18" t="str">
        <f>IF(NOT(ISBLANK(Audit[[#This Row],[Audit Candidate 11]])), Audit[[#This Row],[Audit Candidate 11]]-Audit[[#This Row],[Candidate 11]], "")</f>
        <v/>
      </c>
      <c r="AP1031" s="18" t="str">
        <f>IF(NOT(ISBLANK(Audit[[#This Row],[Audit Candidate 12]])), Audit[[#This Row],[Audit Candidate 12]]-Audit[[#This Row],[Candidate 12]], "")</f>
        <v/>
      </c>
      <c r="AQ1031" s="18">
        <f>SUMIF(Audit[[#This Row],[Difference Winner]:[Difference Candidate 12]], "&gt;0")</f>
        <v>0</v>
      </c>
      <c r="AR1031" s="18">
        <f>SUM(Audit[[#This Row],[Difference Winner]:[Difference Candidate 12]])</f>
        <v>0</v>
      </c>
      <c r="AS1031" s="18">
        <f>IF(Audit[[#This Row],[Times p Drawn - With Replacement]]&gt;0, IF(Audit[[#This Row],[Canceled Differences]]&lt;0, Audit[[#This Row],[Max Differences]]+ABS(Audit[[#This Row],[Canceled Differences]]), Audit[[#This Row],[Max Differences]]), 0)</f>
        <v>0</v>
      </c>
      <c r="AT1031" s="18">
        <f>'Sampling Data'!AB1031</f>
        <v>6.941608819926501E-3</v>
      </c>
      <c r="AU1031" s="18">
        <f>IF(
      SUM(Audit[[#This Row],[Audit Losing Candidate]:[Audit Candidate 12]])
      &lt;&gt;0,
      (Audit[[#This Row],[Winning Candidate]]-Audit[[#This Row],[Losing Candidate]]-(Audit[[#This Row],[Audit Winning Candidate]]-Audit[[#This Row],[Audit Losing Candidate]]))/(Audit[[#Totals],[Winning Candidate]]-Audit[[#Totals],[Losing Candidate]]),
      0
)</f>
        <v>0</v>
      </c>
      <c r="AV103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8">
        <f>IF(Audit[[#This Row],[Max Relative Error (ep)]] = 0, 0, Audit[[#This Row],[Max Relative Error (ep)]]/Audit[[#This Row],[Error Bound (up) - Max. possible relative overstatement]])</f>
        <v>0</v>
      </c>
      <c r="BH103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1" s="18">
        <f t="shared" si="16"/>
        <v>1</v>
      </c>
      <c r="BJ1031" s="18">
        <f>PRODUCT($BI$5:BI1031)</f>
        <v>0.10664664085196122</v>
      </c>
      <c r="BK1031" s="20">
        <f>1 - Audit[[#This Row],[K-M P Value]]</f>
        <v>0.89335335914803882</v>
      </c>
      <c r="BL1031" s="18" t="str">
        <f>IF(Audit[[#This Row],[K-M P Value]]&gt;1-'General Info'!$B$12,"Continue", "Stop")</f>
        <v>Continue</v>
      </c>
      <c r="BM1031" s="23" t="b">
        <f>IF(Audit[[#This Row],[Status - Continue or stop audit]] = "Continue", TRUE, IF(BL1030 = "Continue", TRUE, FALSE))</f>
        <v>1</v>
      </c>
      <c r="BN1031" s="23"/>
    </row>
    <row r="1032" spans="1:66" ht="15" hidden="1" customHeight="1" x14ac:dyDescent="0.35">
      <c r="A1032" s="18" t="str">
        <f>'Sampling Data'!AI1032</f>
        <v/>
      </c>
      <c r="B1032" s="18" t="str">
        <f>'Sampling Data'!A1032</f>
        <v>7340 GREEN NN   (ED)</v>
      </c>
      <c r="C1032" s="18">
        <f>'Sampling Data'!B1032</f>
        <v>87</v>
      </c>
      <c r="D1032" s="18">
        <f>'Sampling Data'!C1032</f>
        <v>12</v>
      </c>
      <c r="E1032" s="19">
        <f>'Sampling Data'!D1032</f>
        <v>0</v>
      </c>
      <c r="F1032" s="19">
        <f>'Sampling Data'!E1032</f>
        <v>0</v>
      </c>
      <c r="G1032" s="19">
        <f>'Sampling Data'!F1032</f>
        <v>0</v>
      </c>
      <c r="H1032" s="19">
        <f>'Sampling Data'!G1032</f>
        <v>0</v>
      </c>
      <c r="I1032" s="19">
        <f>'Sampling Data'!H1032</f>
        <v>0</v>
      </c>
      <c r="J1032" s="19">
        <f>'Sampling Data'!I1032</f>
        <v>0</v>
      </c>
      <c r="K1032" s="19">
        <f>'Sampling Data'!J1032</f>
        <v>0</v>
      </c>
      <c r="L1032" s="19">
        <f>'Sampling Data'!K1032</f>
        <v>0</v>
      </c>
      <c r="M1032" s="19">
        <f>'Sampling Data'!L1032</f>
        <v>0</v>
      </c>
      <c r="N1032" s="19">
        <f>'Sampling Data'!M1032</f>
        <v>0</v>
      </c>
      <c r="O1032" s="18">
        <f>'Sampling Data'!N1032</f>
        <v>0</v>
      </c>
      <c r="P1032" s="18">
        <f>'Sampling Data'!O1032</f>
        <v>1</v>
      </c>
      <c r="Q1032" s="18">
        <f>'Sampling Data'!P1032</f>
        <v>100</v>
      </c>
      <c r="R1032" s="18">
        <f>'Sampling Data'!AJ1032</f>
        <v>0</v>
      </c>
      <c r="S1032" s="112"/>
      <c r="T1032" s="112"/>
      <c r="U1032" s="113"/>
      <c r="V1032" s="113"/>
      <c r="W1032" s="112"/>
      <c r="X1032" s="112"/>
      <c r="Y1032" s="112"/>
      <c r="Z1032" s="112"/>
      <c r="AA1032" s="15"/>
      <c r="AB1032" s="15"/>
      <c r="AC1032" s="15"/>
      <c r="AD1032" s="15"/>
      <c r="AE1032" s="114" t="str">
        <f>IF(NOT(ISBLANK(Audit[[#This Row],[Audit Winning Candidate]])), Audit[[#This Row],[Audit Winning Candidate]]-Audit[[#This Row],[Winning Candidate]], "")</f>
        <v/>
      </c>
      <c r="AF1032" s="18" t="str">
        <f>IF(NOT(ISBLANK(Audit[[#This Row],[Audit Losing Candidate]])), Audit[[#This Row],[Audit Losing Candidate]]-Audit[[#This Row],[Losing Candidate]], "")</f>
        <v/>
      </c>
      <c r="AG1032" s="18" t="str">
        <f>IF(NOT(ISBLANK(Audit[[#This Row],[Audit Candidate 3]])), Audit[[#This Row],[Audit Candidate 3]]-Audit[[#This Row],[Candidate 3]], "")</f>
        <v/>
      </c>
      <c r="AH1032" s="18" t="str">
        <f>IF(NOT(ISBLANK(Audit[[#This Row],[Audit Candidate 4]])),Audit[[#This Row],[Audit Candidate 4]]-Audit[[#This Row],[Candidate 4]], "")</f>
        <v/>
      </c>
      <c r="AI1032" s="18" t="str">
        <f>IF(NOT(ISBLANK(Audit[[#This Row],[Audit Candidate 5]])), Audit[[#This Row],[Audit Candidate 5]]-Audit[[#This Row],[Candidate 5]], "")</f>
        <v/>
      </c>
      <c r="AJ1032" s="18" t="str">
        <f>IF(NOT(ISBLANK(Audit[[#This Row],[Audit Candidate 6]])), Audit[[#This Row],[Audit Candidate 6]]-Audit[[#This Row],[Candidate 6]], "")</f>
        <v/>
      </c>
      <c r="AK1032" s="18" t="str">
        <f>IF(NOT(ISBLANK(Audit[[#This Row],[Audit Candidate 7]])), Audit[[#This Row],[Audit Candidate 7]]-Audit[[#This Row],[Candidate 7]], "")</f>
        <v/>
      </c>
      <c r="AL1032" s="18" t="str">
        <f>IF(NOT(ISBLANK(Audit[[#This Row],[Audit Candidate 8]])), Audit[[#This Row],[Audit Candidate 8]]-Audit[[#This Row],[Candidate 8]], "")</f>
        <v/>
      </c>
      <c r="AM1032" s="18" t="str">
        <f>IF(NOT(ISBLANK(Audit[[#This Row],[Audit Candidate 9]])), Audit[[#This Row],[Audit Candidate 9]]-Audit[[#This Row],[Candidate 9]], "")</f>
        <v/>
      </c>
      <c r="AN1032" s="18" t="str">
        <f>IF(NOT(ISBLANK(Audit[[#This Row],[Audit Candidate 10]])), Audit[[#This Row],[Audit Candidate 10]]-Audit[[#This Row],[Candidate 10]], "")</f>
        <v/>
      </c>
      <c r="AO1032" s="18" t="str">
        <f>IF(NOT(ISBLANK(Audit[[#This Row],[Audit Candidate 11]])), Audit[[#This Row],[Audit Candidate 11]]-Audit[[#This Row],[Candidate 11]], "")</f>
        <v/>
      </c>
      <c r="AP1032" s="18" t="str">
        <f>IF(NOT(ISBLANK(Audit[[#This Row],[Audit Candidate 12]])), Audit[[#This Row],[Audit Candidate 12]]-Audit[[#This Row],[Candidate 12]], "")</f>
        <v/>
      </c>
      <c r="AQ1032" s="18">
        <f>SUMIF(Audit[[#This Row],[Difference Winner]:[Difference Candidate 12]], "&gt;0")</f>
        <v>0</v>
      </c>
      <c r="AR1032" s="18">
        <f>SUM(Audit[[#This Row],[Difference Winner]:[Difference Candidate 12]])</f>
        <v>0</v>
      </c>
      <c r="AS1032" s="18">
        <f>IF(Audit[[#This Row],[Times p Drawn - With Replacement]]&gt;0, IF(Audit[[#This Row],[Canceled Differences]]&lt;0, Audit[[#This Row],[Max Differences]]+ABS(Audit[[#This Row],[Canceled Differences]]), Audit[[#This Row],[Max Differences]]), 0)</f>
        <v>0</v>
      </c>
      <c r="AT1032" s="18">
        <f>'Sampling Data'!AB1032</f>
        <v>5.4967490655526592E-3</v>
      </c>
      <c r="AU1032" s="18">
        <f>IF(
      SUM(Audit[[#This Row],[Audit Losing Candidate]:[Audit Candidate 12]])
      &lt;&gt;0,
      (Audit[[#This Row],[Winning Candidate]]-Audit[[#This Row],[Losing Candidate]]-(Audit[[#This Row],[Audit Winning Candidate]]-Audit[[#This Row],[Audit Losing Candidate]]))/(Audit[[#Totals],[Winning Candidate]]-Audit[[#Totals],[Losing Candidate]]),
      0
)</f>
        <v>0</v>
      </c>
      <c r="AV103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8">
        <f>IF(Audit[[#This Row],[Max Relative Error (ep)]] = 0, 0, Audit[[#This Row],[Max Relative Error (ep)]]/Audit[[#This Row],[Error Bound (up) - Max. possible relative overstatement]])</f>
        <v>0</v>
      </c>
      <c r="BH103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2" s="18">
        <f t="shared" si="16"/>
        <v>1</v>
      </c>
      <c r="BJ1032" s="18">
        <f>PRODUCT($BI$5:BI1032)</f>
        <v>0.10664664085196122</v>
      </c>
      <c r="BK1032" s="20">
        <f>1 - Audit[[#This Row],[K-M P Value]]</f>
        <v>0.89335335914803882</v>
      </c>
      <c r="BL1032" s="18" t="str">
        <f>IF(Audit[[#This Row],[K-M P Value]]&gt;1-'General Info'!$B$12,"Continue", "Stop")</f>
        <v>Continue</v>
      </c>
      <c r="BM1032" s="23" t="b">
        <f>IF(Audit[[#This Row],[Status - Continue or stop audit]] = "Continue", TRUE, IF(BL1031 = "Continue", TRUE, FALSE))</f>
        <v>1</v>
      </c>
      <c r="BN1032" s="23"/>
    </row>
    <row r="1033" spans="1:66" ht="15" hidden="1" customHeight="1" x14ac:dyDescent="0.35">
      <c r="A1033" s="18" t="str">
        <f>'Sampling Data'!AI1033</f>
        <v/>
      </c>
      <c r="B1033" s="18" t="str">
        <f>'Sampling Data'!A1033</f>
        <v>7341 GREEN OO   (ED)</v>
      </c>
      <c r="C1033" s="18">
        <f>'Sampling Data'!B1033</f>
        <v>58</v>
      </c>
      <c r="D1033" s="18">
        <f>'Sampling Data'!C1033</f>
        <v>9</v>
      </c>
      <c r="E1033" s="19">
        <f>'Sampling Data'!D1033</f>
        <v>0</v>
      </c>
      <c r="F1033" s="19">
        <f>'Sampling Data'!E1033</f>
        <v>0</v>
      </c>
      <c r="G1033" s="19">
        <f>'Sampling Data'!F1033</f>
        <v>0</v>
      </c>
      <c r="H1033" s="19">
        <f>'Sampling Data'!G1033</f>
        <v>0</v>
      </c>
      <c r="I1033" s="19">
        <f>'Sampling Data'!H1033</f>
        <v>0</v>
      </c>
      <c r="J1033" s="19">
        <f>'Sampling Data'!I1033</f>
        <v>0</v>
      </c>
      <c r="K1033" s="19">
        <f>'Sampling Data'!J1033</f>
        <v>0</v>
      </c>
      <c r="L1033" s="19">
        <f>'Sampling Data'!K1033</f>
        <v>0</v>
      </c>
      <c r="M1033" s="19">
        <f>'Sampling Data'!L1033</f>
        <v>0</v>
      </c>
      <c r="N1033" s="19">
        <f>'Sampling Data'!M1033</f>
        <v>0</v>
      </c>
      <c r="O1033" s="18">
        <f>'Sampling Data'!N1033</f>
        <v>0</v>
      </c>
      <c r="P1033" s="18">
        <f>'Sampling Data'!O1033</f>
        <v>2</v>
      </c>
      <c r="Q1033" s="18">
        <f>'Sampling Data'!P1033</f>
        <v>69</v>
      </c>
      <c r="R1033" s="18">
        <f>'Sampling Data'!AJ1033</f>
        <v>0</v>
      </c>
      <c r="S1033" s="112"/>
      <c r="T1033" s="112"/>
      <c r="U1033" s="113"/>
      <c r="V1033" s="113"/>
      <c r="W1033" s="112"/>
      <c r="X1033" s="112"/>
      <c r="Y1033" s="112"/>
      <c r="Z1033" s="112"/>
      <c r="AA1033" s="15"/>
      <c r="AB1033" s="15"/>
      <c r="AC1033" s="15"/>
      <c r="AD1033" s="15"/>
      <c r="AE1033" s="114" t="str">
        <f>IF(NOT(ISBLANK(Audit[[#This Row],[Audit Winning Candidate]])), Audit[[#This Row],[Audit Winning Candidate]]-Audit[[#This Row],[Winning Candidate]], "")</f>
        <v/>
      </c>
      <c r="AF1033" s="18" t="str">
        <f>IF(NOT(ISBLANK(Audit[[#This Row],[Audit Losing Candidate]])), Audit[[#This Row],[Audit Losing Candidate]]-Audit[[#This Row],[Losing Candidate]], "")</f>
        <v/>
      </c>
      <c r="AG1033" s="18" t="str">
        <f>IF(NOT(ISBLANK(Audit[[#This Row],[Audit Candidate 3]])), Audit[[#This Row],[Audit Candidate 3]]-Audit[[#This Row],[Candidate 3]], "")</f>
        <v/>
      </c>
      <c r="AH1033" s="18" t="str">
        <f>IF(NOT(ISBLANK(Audit[[#This Row],[Audit Candidate 4]])),Audit[[#This Row],[Audit Candidate 4]]-Audit[[#This Row],[Candidate 4]], "")</f>
        <v/>
      </c>
      <c r="AI1033" s="18" t="str">
        <f>IF(NOT(ISBLANK(Audit[[#This Row],[Audit Candidate 5]])), Audit[[#This Row],[Audit Candidate 5]]-Audit[[#This Row],[Candidate 5]], "")</f>
        <v/>
      </c>
      <c r="AJ1033" s="18" t="str">
        <f>IF(NOT(ISBLANK(Audit[[#This Row],[Audit Candidate 6]])), Audit[[#This Row],[Audit Candidate 6]]-Audit[[#This Row],[Candidate 6]], "")</f>
        <v/>
      </c>
      <c r="AK1033" s="18" t="str">
        <f>IF(NOT(ISBLANK(Audit[[#This Row],[Audit Candidate 7]])), Audit[[#This Row],[Audit Candidate 7]]-Audit[[#This Row],[Candidate 7]], "")</f>
        <v/>
      </c>
      <c r="AL1033" s="18" t="str">
        <f>IF(NOT(ISBLANK(Audit[[#This Row],[Audit Candidate 8]])), Audit[[#This Row],[Audit Candidate 8]]-Audit[[#This Row],[Candidate 8]], "")</f>
        <v/>
      </c>
      <c r="AM1033" s="18" t="str">
        <f>IF(NOT(ISBLANK(Audit[[#This Row],[Audit Candidate 9]])), Audit[[#This Row],[Audit Candidate 9]]-Audit[[#This Row],[Candidate 9]], "")</f>
        <v/>
      </c>
      <c r="AN1033" s="18" t="str">
        <f>IF(NOT(ISBLANK(Audit[[#This Row],[Audit Candidate 10]])), Audit[[#This Row],[Audit Candidate 10]]-Audit[[#This Row],[Candidate 10]], "")</f>
        <v/>
      </c>
      <c r="AO1033" s="18" t="str">
        <f>IF(NOT(ISBLANK(Audit[[#This Row],[Audit Candidate 11]])), Audit[[#This Row],[Audit Candidate 11]]-Audit[[#This Row],[Candidate 11]], "")</f>
        <v/>
      </c>
      <c r="AP1033" s="18" t="str">
        <f>IF(NOT(ISBLANK(Audit[[#This Row],[Audit Candidate 12]])), Audit[[#This Row],[Audit Candidate 12]]-Audit[[#This Row],[Candidate 12]], "")</f>
        <v/>
      </c>
      <c r="AQ1033" s="18">
        <f>SUMIF(Audit[[#This Row],[Difference Winner]:[Difference Candidate 12]], "&gt;0")</f>
        <v>0</v>
      </c>
      <c r="AR1033" s="18">
        <f>SUM(Audit[[#This Row],[Difference Winner]:[Difference Candidate 12]])</f>
        <v>0</v>
      </c>
      <c r="AS1033" s="18">
        <f>IF(Audit[[#This Row],[Times p Drawn - With Replacement]]&gt;0, IF(Audit[[#This Row],[Canceled Differences]]&lt;0, Audit[[#This Row],[Max Differences]]+ABS(Audit[[#This Row],[Canceled Differences]]), Audit[[#This Row],[Max Differences]]), 0)</f>
        <v>0</v>
      </c>
      <c r="AT1033" s="18">
        <f>'Sampling Data'!AB1033</f>
        <v>3.7063793699155072E-3</v>
      </c>
      <c r="AU1033" s="18">
        <f>IF(
      SUM(Audit[[#This Row],[Audit Losing Candidate]:[Audit Candidate 12]])
      &lt;&gt;0,
      (Audit[[#This Row],[Winning Candidate]]-Audit[[#This Row],[Losing Candidate]]-(Audit[[#This Row],[Audit Winning Candidate]]-Audit[[#This Row],[Audit Losing Candidate]]))/(Audit[[#Totals],[Winning Candidate]]-Audit[[#Totals],[Losing Candidate]]),
      0
)</f>
        <v>0</v>
      </c>
      <c r="AV103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8">
        <f>IF(Audit[[#This Row],[Max Relative Error (ep)]] = 0, 0, Audit[[#This Row],[Max Relative Error (ep)]]/Audit[[#This Row],[Error Bound (up) - Max. possible relative overstatement]])</f>
        <v>0</v>
      </c>
      <c r="BH103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3" s="18">
        <f t="shared" si="16"/>
        <v>1</v>
      </c>
      <c r="BJ1033" s="18">
        <f>PRODUCT($BI$5:BI1033)</f>
        <v>0.10664664085196122</v>
      </c>
      <c r="BK1033" s="20">
        <f>1 - Audit[[#This Row],[K-M P Value]]</f>
        <v>0.89335335914803882</v>
      </c>
      <c r="BL1033" s="18" t="str">
        <f>IF(Audit[[#This Row],[K-M P Value]]&gt;1-'General Info'!$B$12,"Continue", "Stop")</f>
        <v>Continue</v>
      </c>
      <c r="BM1033" s="23" t="b">
        <f>IF(Audit[[#This Row],[Status - Continue or stop audit]] = "Continue", TRUE, IF(BL1032 = "Continue", TRUE, FALSE))</f>
        <v>1</v>
      </c>
      <c r="BN1033" s="23"/>
    </row>
    <row r="1034" spans="1:66" ht="15" hidden="1" customHeight="1" x14ac:dyDescent="0.35">
      <c r="A1034" s="18" t="str">
        <f>'Sampling Data'!AI1034</f>
        <v/>
      </c>
      <c r="B1034" s="18" t="str">
        <f>'Sampling Data'!A1034</f>
        <v>7342 GREEN PP   (ED)</v>
      </c>
      <c r="C1034" s="18">
        <f>'Sampling Data'!B1034</f>
        <v>124</v>
      </c>
      <c r="D1034" s="18">
        <f>'Sampling Data'!C1034</f>
        <v>9</v>
      </c>
      <c r="E1034" s="19">
        <f>'Sampling Data'!D1034</f>
        <v>0</v>
      </c>
      <c r="F1034" s="19">
        <f>'Sampling Data'!E1034</f>
        <v>0</v>
      </c>
      <c r="G1034" s="19">
        <f>'Sampling Data'!F1034</f>
        <v>0</v>
      </c>
      <c r="H1034" s="19">
        <f>'Sampling Data'!G1034</f>
        <v>0</v>
      </c>
      <c r="I1034" s="19">
        <f>'Sampling Data'!H1034</f>
        <v>0</v>
      </c>
      <c r="J1034" s="19">
        <f>'Sampling Data'!I1034</f>
        <v>0</v>
      </c>
      <c r="K1034" s="19">
        <f>'Sampling Data'!J1034</f>
        <v>0</v>
      </c>
      <c r="L1034" s="19">
        <f>'Sampling Data'!K1034</f>
        <v>0</v>
      </c>
      <c r="M1034" s="19">
        <f>'Sampling Data'!L1034</f>
        <v>0</v>
      </c>
      <c r="N1034" s="19">
        <f>'Sampling Data'!M1034</f>
        <v>0</v>
      </c>
      <c r="O1034" s="18">
        <f>'Sampling Data'!N1034</f>
        <v>1</v>
      </c>
      <c r="P1034" s="18">
        <f>'Sampling Data'!O1034</f>
        <v>2</v>
      </c>
      <c r="Q1034" s="18">
        <f>'Sampling Data'!P1034</f>
        <v>136</v>
      </c>
      <c r="R1034" s="18">
        <f>'Sampling Data'!AJ1034</f>
        <v>0</v>
      </c>
      <c r="S1034" s="112"/>
      <c r="T1034" s="112"/>
      <c r="U1034" s="113"/>
      <c r="V1034" s="113"/>
      <c r="W1034" s="112"/>
      <c r="X1034" s="112"/>
      <c r="Y1034" s="112"/>
      <c r="Z1034" s="112"/>
      <c r="AA1034" s="15"/>
      <c r="AB1034" s="15"/>
      <c r="AC1034" s="15"/>
      <c r="AD1034" s="15"/>
      <c r="AE1034" s="114" t="str">
        <f>IF(NOT(ISBLANK(Audit[[#This Row],[Audit Winning Candidate]])), Audit[[#This Row],[Audit Winning Candidate]]-Audit[[#This Row],[Winning Candidate]], "")</f>
        <v/>
      </c>
      <c r="AF1034" s="18" t="str">
        <f>IF(NOT(ISBLANK(Audit[[#This Row],[Audit Losing Candidate]])), Audit[[#This Row],[Audit Losing Candidate]]-Audit[[#This Row],[Losing Candidate]], "")</f>
        <v/>
      </c>
      <c r="AG1034" s="18" t="str">
        <f>IF(NOT(ISBLANK(Audit[[#This Row],[Audit Candidate 3]])), Audit[[#This Row],[Audit Candidate 3]]-Audit[[#This Row],[Candidate 3]], "")</f>
        <v/>
      </c>
      <c r="AH1034" s="18" t="str">
        <f>IF(NOT(ISBLANK(Audit[[#This Row],[Audit Candidate 4]])),Audit[[#This Row],[Audit Candidate 4]]-Audit[[#This Row],[Candidate 4]], "")</f>
        <v/>
      </c>
      <c r="AI1034" s="18" t="str">
        <f>IF(NOT(ISBLANK(Audit[[#This Row],[Audit Candidate 5]])), Audit[[#This Row],[Audit Candidate 5]]-Audit[[#This Row],[Candidate 5]], "")</f>
        <v/>
      </c>
      <c r="AJ1034" s="18" t="str">
        <f>IF(NOT(ISBLANK(Audit[[#This Row],[Audit Candidate 6]])), Audit[[#This Row],[Audit Candidate 6]]-Audit[[#This Row],[Candidate 6]], "")</f>
        <v/>
      </c>
      <c r="AK1034" s="18" t="str">
        <f>IF(NOT(ISBLANK(Audit[[#This Row],[Audit Candidate 7]])), Audit[[#This Row],[Audit Candidate 7]]-Audit[[#This Row],[Candidate 7]], "")</f>
        <v/>
      </c>
      <c r="AL1034" s="18" t="str">
        <f>IF(NOT(ISBLANK(Audit[[#This Row],[Audit Candidate 8]])), Audit[[#This Row],[Audit Candidate 8]]-Audit[[#This Row],[Candidate 8]], "")</f>
        <v/>
      </c>
      <c r="AM1034" s="18" t="str">
        <f>IF(NOT(ISBLANK(Audit[[#This Row],[Audit Candidate 9]])), Audit[[#This Row],[Audit Candidate 9]]-Audit[[#This Row],[Candidate 9]], "")</f>
        <v/>
      </c>
      <c r="AN1034" s="18" t="str">
        <f>IF(NOT(ISBLANK(Audit[[#This Row],[Audit Candidate 10]])), Audit[[#This Row],[Audit Candidate 10]]-Audit[[#This Row],[Candidate 10]], "")</f>
        <v/>
      </c>
      <c r="AO1034" s="18" t="str">
        <f>IF(NOT(ISBLANK(Audit[[#This Row],[Audit Candidate 11]])), Audit[[#This Row],[Audit Candidate 11]]-Audit[[#This Row],[Candidate 11]], "")</f>
        <v/>
      </c>
      <c r="AP1034" s="18" t="str">
        <f>IF(NOT(ISBLANK(Audit[[#This Row],[Audit Candidate 12]])), Audit[[#This Row],[Audit Candidate 12]]-Audit[[#This Row],[Candidate 12]], "")</f>
        <v/>
      </c>
      <c r="AQ1034" s="18">
        <f>SUMIF(Audit[[#This Row],[Difference Winner]:[Difference Candidate 12]], "&gt;0")</f>
        <v>0</v>
      </c>
      <c r="AR1034" s="18">
        <f>SUM(Audit[[#This Row],[Difference Winner]:[Difference Candidate 12]])</f>
        <v>0</v>
      </c>
      <c r="AS1034" s="18">
        <f>IF(Audit[[#This Row],[Times p Drawn - With Replacement]]&gt;0, IF(Audit[[#This Row],[Canceled Differences]]&lt;0, Audit[[#This Row],[Max Differences]]+ABS(Audit[[#This Row],[Canceled Differences]]), Audit[[#This Row],[Max Differences]]), 0)</f>
        <v>0</v>
      </c>
      <c r="AT1034" s="18">
        <f>'Sampling Data'!AB1034</f>
        <v>7.8839086597355286E-3</v>
      </c>
      <c r="AU1034" s="18">
        <f>IF(
      SUM(Audit[[#This Row],[Audit Losing Candidate]:[Audit Candidate 12]])
      &lt;&gt;0,
      (Audit[[#This Row],[Winning Candidate]]-Audit[[#This Row],[Losing Candidate]]-(Audit[[#This Row],[Audit Winning Candidate]]-Audit[[#This Row],[Audit Losing Candidate]]))/(Audit[[#Totals],[Winning Candidate]]-Audit[[#Totals],[Losing Candidate]]),
      0
)</f>
        <v>0</v>
      </c>
      <c r="AV103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8">
        <f>IF(Audit[[#This Row],[Max Relative Error (ep)]] = 0, 0, Audit[[#This Row],[Max Relative Error (ep)]]/Audit[[#This Row],[Error Bound (up) - Max. possible relative overstatement]])</f>
        <v>0</v>
      </c>
      <c r="BH103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4" s="18">
        <f t="shared" si="16"/>
        <v>1</v>
      </c>
      <c r="BJ1034" s="18">
        <f>PRODUCT($BI$5:BI1034)</f>
        <v>0.10664664085196122</v>
      </c>
      <c r="BK1034" s="20">
        <f>1 - Audit[[#This Row],[K-M P Value]]</f>
        <v>0.89335335914803882</v>
      </c>
      <c r="BL1034" s="18" t="str">
        <f>IF(Audit[[#This Row],[K-M P Value]]&gt;1-'General Info'!$B$12,"Continue", "Stop")</f>
        <v>Continue</v>
      </c>
      <c r="BM1034" s="23" t="b">
        <f>IF(Audit[[#This Row],[Status - Continue or stop audit]] = "Continue", TRUE, IF(BL1033 = "Continue", TRUE, FALSE))</f>
        <v>1</v>
      </c>
      <c r="BN1034" s="23"/>
    </row>
    <row r="1035" spans="1:66" ht="15" hidden="1" customHeight="1" x14ac:dyDescent="0.35">
      <c r="A1035" s="18" t="str">
        <f>'Sampling Data'!AI1035</f>
        <v/>
      </c>
      <c r="B1035" s="18" t="str">
        <f>'Sampling Data'!A1035</f>
        <v>7343 GREEN QQ   (ED)</v>
      </c>
      <c r="C1035" s="18">
        <f>'Sampling Data'!B1035</f>
        <v>166</v>
      </c>
      <c r="D1035" s="18">
        <f>'Sampling Data'!C1035</f>
        <v>12</v>
      </c>
      <c r="E1035" s="19">
        <f>'Sampling Data'!D1035</f>
        <v>0</v>
      </c>
      <c r="F1035" s="19">
        <f>'Sampling Data'!E1035</f>
        <v>0</v>
      </c>
      <c r="G1035" s="19">
        <f>'Sampling Data'!F1035</f>
        <v>0</v>
      </c>
      <c r="H1035" s="19">
        <f>'Sampling Data'!G1035</f>
        <v>0</v>
      </c>
      <c r="I1035" s="19">
        <f>'Sampling Data'!H1035</f>
        <v>0</v>
      </c>
      <c r="J1035" s="19">
        <f>'Sampling Data'!I1035</f>
        <v>0</v>
      </c>
      <c r="K1035" s="19">
        <f>'Sampling Data'!J1035</f>
        <v>0</v>
      </c>
      <c r="L1035" s="19">
        <f>'Sampling Data'!K1035</f>
        <v>0</v>
      </c>
      <c r="M1035" s="19">
        <f>'Sampling Data'!L1035</f>
        <v>0</v>
      </c>
      <c r="N1035" s="19">
        <f>'Sampling Data'!M1035</f>
        <v>0</v>
      </c>
      <c r="O1035" s="18">
        <f>'Sampling Data'!N1035</f>
        <v>1</v>
      </c>
      <c r="P1035" s="18">
        <f>'Sampling Data'!O1035</f>
        <v>2</v>
      </c>
      <c r="Q1035" s="18">
        <f>'Sampling Data'!P1035</f>
        <v>181</v>
      </c>
      <c r="R1035" s="18">
        <f>'Sampling Data'!AJ1035</f>
        <v>0</v>
      </c>
      <c r="S1035" s="112"/>
      <c r="T1035" s="112"/>
      <c r="U1035" s="113"/>
      <c r="V1035" s="113"/>
      <c r="W1035" s="112"/>
      <c r="X1035" s="112"/>
      <c r="Y1035" s="112"/>
      <c r="Z1035" s="112"/>
      <c r="AA1035" s="15"/>
      <c r="AB1035" s="15"/>
      <c r="AC1035" s="15"/>
      <c r="AD1035" s="15"/>
      <c r="AE1035" s="114" t="str">
        <f>IF(NOT(ISBLANK(Audit[[#This Row],[Audit Winning Candidate]])), Audit[[#This Row],[Audit Winning Candidate]]-Audit[[#This Row],[Winning Candidate]], "")</f>
        <v/>
      </c>
      <c r="AF1035" s="18" t="str">
        <f>IF(NOT(ISBLANK(Audit[[#This Row],[Audit Losing Candidate]])), Audit[[#This Row],[Audit Losing Candidate]]-Audit[[#This Row],[Losing Candidate]], "")</f>
        <v/>
      </c>
      <c r="AG1035" s="18" t="str">
        <f>IF(NOT(ISBLANK(Audit[[#This Row],[Audit Candidate 3]])), Audit[[#This Row],[Audit Candidate 3]]-Audit[[#This Row],[Candidate 3]], "")</f>
        <v/>
      </c>
      <c r="AH1035" s="18" t="str">
        <f>IF(NOT(ISBLANK(Audit[[#This Row],[Audit Candidate 4]])),Audit[[#This Row],[Audit Candidate 4]]-Audit[[#This Row],[Candidate 4]], "")</f>
        <v/>
      </c>
      <c r="AI1035" s="18" t="str">
        <f>IF(NOT(ISBLANK(Audit[[#This Row],[Audit Candidate 5]])), Audit[[#This Row],[Audit Candidate 5]]-Audit[[#This Row],[Candidate 5]], "")</f>
        <v/>
      </c>
      <c r="AJ1035" s="18" t="str">
        <f>IF(NOT(ISBLANK(Audit[[#This Row],[Audit Candidate 6]])), Audit[[#This Row],[Audit Candidate 6]]-Audit[[#This Row],[Candidate 6]], "")</f>
        <v/>
      </c>
      <c r="AK1035" s="18" t="str">
        <f>IF(NOT(ISBLANK(Audit[[#This Row],[Audit Candidate 7]])), Audit[[#This Row],[Audit Candidate 7]]-Audit[[#This Row],[Candidate 7]], "")</f>
        <v/>
      </c>
      <c r="AL1035" s="18" t="str">
        <f>IF(NOT(ISBLANK(Audit[[#This Row],[Audit Candidate 8]])), Audit[[#This Row],[Audit Candidate 8]]-Audit[[#This Row],[Candidate 8]], "")</f>
        <v/>
      </c>
      <c r="AM1035" s="18" t="str">
        <f>IF(NOT(ISBLANK(Audit[[#This Row],[Audit Candidate 9]])), Audit[[#This Row],[Audit Candidate 9]]-Audit[[#This Row],[Candidate 9]], "")</f>
        <v/>
      </c>
      <c r="AN1035" s="18" t="str">
        <f>IF(NOT(ISBLANK(Audit[[#This Row],[Audit Candidate 10]])), Audit[[#This Row],[Audit Candidate 10]]-Audit[[#This Row],[Candidate 10]], "")</f>
        <v/>
      </c>
      <c r="AO1035" s="18" t="str">
        <f>IF(NOT(ISBLANK(Audit[[#This Row],[Audit Candidate 11]])), Audit[[#This Row],[Audit Candidate 11]]-Audit[[#This Row],[Candidate 11]], "")</f>
        <v/>
      </c>
      <c r="AP1035" s="18" t="str">
        <f>IF(NOT(ISBLANK(Audit[[#This Row],[Audit Candidate 12]])), Audit[[#This Row],[Audit Candidate 12]]-Audit[[#This Row],[Candidate 12]], "")</f>
        <v/>
      </c>
      <c r="AQ1035" s="18">
        <f>SUMIF(Audit[[#This Row],[Difference Winner]:[Difference Candidate 12]], "&gt;0")</f>
        <v>0</v>
      </c>
      <c r="AR1035" s="18">
        <f>SUM(Audit[[#This Row],[Difference Winner]:[Difference Candidate 12]])</f>
        <v>0</v>
      </c>
      <c r="AS1035" s="18">
        <f>IF(Audit[[#This Row],[Times p Drawn - With Replacement]]&gt;0, IF(Audit[[#This Row],[Canceled Differences]]&lt;0, Audit[[#This Row],[Max Differences]]+ABS(Audit[[#This Row],[Canceled Differences]]), Audit[[#This Row],[Max Differences]]), 0)</f>
        <v>0</v>
      </c>
      <c r="AT1035" s="18">
        <f>'Sampling Data'!AB1035</f>
        <v>1.0522348211200804E-2</v>
      </c>
      <c r="AU1035" s="18">
        <f>IF(
      SUM(Audit[[#This Row],[Audit Losing Candidate]:[Audit Candidate 12]])
      &lt;&gt;0,
      (Audit[[#This Row],[Winning Candidate]]-Audit[[#This Row],[Losing Candidate]]-(Audit[[#This Row],[Audit Winning Candidate]]-Audit[[#This Row],[Audit Losing Candidate]]))/(Audit[[#Totals],[Winning Candidate]]-Audit[[#Totals],[Losing Candidate]]),
      0
)</f>
        <v>0</v>
      </c>
      <c r="AV103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8">
        <f>IF(Audit[[#This Row],[Max Relative Error (ep)]] = 0, 0, Audit[[#This Row],[Max Relative Error (ep)]]/Audit[[#This Row],[Error Bound (up) - Max. possible relative overstatement]])</f>
        <v>0</v>
      </c>
      <c r="BH103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5" s="18">
        <f t="shared" si="16"/>
        <v>1</v>
      </c>
      <c r="BJ1035" s="18">
        <f>PRODUCT($BI$5:BI1035)</f>
        <v>0.10664664085196122</v>
      </c>
      <c r="BK1035" s="20">
        <f>1 - Audit[[#This Row],[K-M P Value]]</f>
        <v>0.89335335914803882</v>
      </c>
      <c r="BL1035" s="18" t="str">
        <f>IF(Audit[[#This Row],[K-M P Value]]&gt;1-'General Info'!$B$12,"Continue", "Stop")</f>
        <v>Continue</v>
      </c>
      <c r="BM1035" s="23" t="b">
        <f>IF(Audit[[#This Row],[Status - Continue or stop audit]] = "Continue", TRUE, IF(BL1034 = "Continue", TRUE, FALSE))</f>
        <v>1</v>
      </c>
      <c r="BN1035" s="23"/>
    </row>
    <row r="1036" spans="1:66" ht="15" hidden="1" customHeight="1" x14ac:dyDescent="0.35">
      <c r="A1036" s="18" t="str">
        <f>'Sampling Data'!AI1036</f>
        <v/>
      </c>
      <c r="B1036" s="18" t="str">
        <f>'Sampling Data'!A1036</f>
        <v>7401 GR HL A   (ED)</v>
      </c>
      <c r="C1036" s="18">
        <f>'Sampling Data'!B1036</f>
        <v>31</v>
      </c>
      <c r="D1036" s="18">
        <f>'Sampling Data'!C1036</f>
        <v>2</v>
      </c>
      <c r="E1036" s="19">
        <f>'Sampling Data'!D1036</f>
        <v>0</v>
      </c>
      <c r="F1036" s="19">
        <f>'Sampling Data'!E1036</f>
        <v>0</v>
      </c>
      <c r="G1036" s="19">
        <f>'Sampling Data'!F1036</f>
        <v>0</v>
      </c>
      <c r="H1036" s="19">
        <f>'Sampling Data'!G1036</f>
        <v>0</v>
      </c>
      <c r="I1036" s="19">
        <f>'Sampling Data'!H1036</f>
        <v>0</v>
      </c>
      <c r="J1036" s="19">
        <f>'Sampling Data'!I1036</f>
        <v>0</v>
      </c>
      <c r="K1036" s="19">
        <f>'Sampling Data'!J1036</f>
        <v>0</v>
      </c>
      <c r="L1036" s="19">
        <f>'Sampling Data'!K1036</f>
        <v>0</v>
      </c>
      <c r="M1036" s="19">
        <f>'Sampling Data'!L1036</f>
        <v>0</v>
      </c>
      <c r="N1036" s="19">
        <f>'Sampling Data'!M1036</f>
        <v>0</v>
      </c>
      <c r="O1036" s="18">
        <f>'Sampling Data'!N1036</f>
        <v>0</v>
      </c>
      <c r="P1036" s="18">
        <f>'Sampling Data'!O1036</f>
        <v>0</v>
      </c>
      <c r="Q1036" s="18">
        <f>'Sampling Data'!P1036</f>
        <v>33</v>
      </c>
      <c r="R1036" s="18">
        <f>'Sampling Data'!AJ1036</f>
        <v>0</v>
      </c>
      <c r="S1036" s="112"/>
      <c r="T1036" s="112"/>
      <c r="U1036" s="113"/>
      <c r="V1036" s="113"/>
      <c r="W1036" s="112"/>
      <c r="X1036" s="112"/>
      <c r="Y1036" s="112"/>
      <c r="Z1036" s="112"/>
      <c r="AA1036" s="15"/>
      <c r="AB1036" s="15"/>
      <c r="AC1036" s="15"/>
      <c r="AD1036" s="15"/>
      <c r="AE1036" s="114" t="str">
        <f>IF(NOT(ISBLANK(Audit[[#This Row],[Audit Winning Candidate]])), Audit[[#This Row],[Audit Winning Candidate]]-Audit[[#This Row],[Winning Candidate]], "")</f>
        <v/>
      </c>
      <c r="AF1036" s="18" t="str">
        <f>IF(NOT(ISBLANK(Audit[[#This Row],[Audit Losing Candidate]])), Audit[[#This Row],[Audit Losing Candidate]]-Audit[[#This Row],[Losing Candidate]], "")</f>
        <v/>
      </c>
      <c r="AG1036" s="18" t="str">
        <f>IF(NOT(ISBLANK(Audit[[#This Row],[Audit Candidate 3]])), Audit[[#This Row],[Audit Candidate 3]]-Audit[[#This Row],[Candidate 3]], "")</f>
        <v/>
      </c>
      <c r="AH1036" s="18" t="str">
        <f>IF(NOT(ISBLANK(Audit[[#This Row],[Audit Candidate 4]])),Audit[[#This Row],[Audit Candidate 4]]-Audit[[#This Row],[Candidate 4]], "")</f>
        <v/>
      </c>
      <c r="AI1036" s="18" t="str">
        <f>IF(NOT(ISBLANK(Audit[[#This Row],[Audit Candidate 5]])), Audit[[#This Row],[Audit Candidate 5]]-Audit[[#This Row],[Candidate 5]], "")</f>
        <v/>
      </c>
      <c r="AJ1036" s="18" t="str">
        <f>IF(NOT(ISBLANK(Audit[[#This Row],[Audit Candidate 6]])), Audit[[#This Row],[Audit Candidate 6]]-Audit[[#This Row],[Candidate 6]], "")</f>
        <v/>
      </c>
      <c r="AK1036" s="18" t="str">
        <f>IF(NOT(ISBLANK(Audit[[#This Row],[Audit Candidate 7]])), Audit[[#This Row],[Audit Candidate 7]]-Audit[[#This Row],[Candidate 7]], "")</f>
        <v/>
      </c>
      <c r="AL1036" s="18" t="str">
        <f>IF(NOT(ISBLANK(Audit[[#This Row],[Audit Candidate 8]])), Audit[[#This Row],[Audit Candidate 8]]-Audit[[#This Row],[Candidate 8]], "")</f>
        <v/>
      </c>
      <c r="AM1036" s="18" t="str">
        <f>IF(NOT(ISBLANK(Audit[[#This Row],[Audit Candidate 9]])), Audit[[#This Row],[Audit Candidate 9]]-Audit[[#This Row],[Candidate 9]], "")</f>
        <v/>
      </c>
      <c r="AN1036" s="18" t="str">
        <f>IF(NOT(ISBLANK(Audit[[#This Row],[Audit Candidate 10]])), Audit[[#This Row],[Audit Candidate 10]]-Audit[[#This Row],[Candidate 10]], "")</f>
        <v/>
      </c>
      <c r="AO1036" s="18" t="str">
        <f>IF(NOT(ISBLANK(Audit[[#This Row],[Audit Candidate 11]])), Audit[[#This Row],[Audit Candidate 11]]-Audit[[#This Row],[Candidate 11]], "")</f>
        <v/>
      </c>
      <c r="AP1036" s="18" t="str">
        <f>IF(NOT(ISBLANK(Audit[[#This Row],[Audit Candidate 12]])), Audit[[#This Row],[Audit Candidate 12]]-Audit[[#This Row],[Candidate 12]], "")</f>
        <v/>
      </c>
      <c r="AQ1036" s="18">
        <f>SUMIF(Audit[[#This Row],[Difference Winner]:[Difference Candidate 12]], "&gt;0")</f>
        <v>0</v>
      </c>
      <c r="AR1036" s="18">
        <f>SUM(Audit[[#This Row],[Difference Winner]:[Difference Candidate 12]])</f>
        <v>0</v>
      </c>
      <c r="AS1036" s="18">
        <f>IF(Audit[[#This Row],[Times p Drawn - With Replacement]]&gt;0, IF(Audit[[#This Row],[Canceled Differences]]&lt;0, Audit[[#This Row],[Max Differences]]+ABS(Audit[[#This Row],[Canceled Differences]]), Audit[[#This Row],[Max Differences]]), 0)</f>
        <v>0</v>
      </c>
      <c r="AT1036" s="18">
        <f>'Sampling Data'!AB1036</f>
        <v>1.9474196689386564E-3</v>
      </c>
      <c r="AU1036" s="18">
        <f>IF(
      SUM(Audit[[#This Row],[Audit Losing Candidate]:[Audit Candidate 12]])
      &lt;&gt;0,
      (Audit[[#This Row],[Winning Candidate]]-Audit[[#This Row],[Losing Candidate]]-(Audit[[#This Row],[Audit Winning Candidate]]-Audit[[#This Row],[Audit Losing Candidate]]))/(Audit[[#Totals],[Winning Candidate]]-Audit[[#Totals],[Losing Candidate]]),
      0
)</f>
        <v>0</v>
      </c>
      <c r="AV103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8">
        <f>IF(Audit[[#This Row],[Max Relative Error (ep)]] = 0, 0, Audit[[#This Row],[Max Relative Error (ep)]]/Audit[[#This Row],[Error Bound (up) - Max. possible relative overstatement]])</f>
        <v>0</v>
      </c>
      <c r="BH103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6" s="18">
        <f t="shared" si="16"/>
        <v>1</v>
      </c>
      <c r="BJ1036" s="18">
        <f>PRODUCT($BI$5:BI1036)</f>
        <v>0.10664664085196122</v>
      </c>
      <c r="BK1036" s="20">
        <f>1 - Audit[[#This Row],[K-M P Value]]</f>
        <v>0.89335335914803882</v>
      </c>
      <c r="BL1036" s="18" t="str">
        <f>IF(Audit[[#This Row],[K-M P Value]]&gt;1-'General Info'!$B$12,"Continue", "Stop")</f>
        <v>Continue</v>
      </c>
      <c r="BM1036" s="23" t="b">
        <f>IF(Audit[[#This Row],[Status - Continue or stop audit]] = "Continue", TRUE, IF(BL1035 = "Continue", TRUE, FALSE))</f>
        <v>1</v>
      </c>
      <c r="BN1036" s="23"/>
    </row>
    <row r="1037" spans="1:66" ht="15" hidden="1" customHeight="1" x14ac:dyDescent="0.35">
      <c r="A1037" s="18" t="str">
        <f>'Sampling Data'!AI1037</f>
        <v/>
      </c>
      <c r="B1037" s="18" t="str">
        <f>'Sampling Data'!A1037</f>
        <v>7402 GR HL B   (ED)</v>
      </c>
      <c r="C1037" s="18">
        <f>'Sampling Data'!B1037</f>
        <v>71</v>
      </c>
      <c r="D1037" s="18">
        <f>'Sampling Data'!C1037</f>
        <v>17</v>
      </c>
      <c r="E1037" s="19">
        <f>'Sampling Data'!D1037</f>
        <v>0</v>
      </c>
      <c r="F1037" s="19">
        <f>'Sampling Data'!E1037</f>
        <v>0</v>
      </c>
      <c r="G1037" s="19">
        <f>'Sampling Data'!F1037</f>
        <v>0</v>
      </c>
      <c r="H1037" s="19">
        <f>'Sampling Data'!G1037</f>
        <v>0</v>
      </c>
      <c r="I1037" s="19">
        <f>'Sampling Data'!H1037</f>
        <v>0</v>
      </c>
      <c r="J1037" s="19">
        <f>'Sampling Data'!I1037</f>
        <v>0</v>
      </c>
      <c r="K1037" s="19">
        <f>'Sampling Data'!J1037</f>
        <v>0</v>
      </c>
      <c r="L1037" s="19">
        <f>'Sampling Data'!K1037</f>
        <v>0</v>
      </c>
      <c r="M1037" s="19">
        <f>'Sampling Data'!L1037</f>
        <v>0</v>
      </c>
      <c r="N1037" s="19">
        <f>'Sampling Data'!M1037</f>
        <v>0</v>
      </c>
      <c r="O1037" s="18">
        <f>'Sampling Data'!N1037</f>
        <v>0</v>
      </c>
      <c r="P1037" s="18">
        <f>'Sampling Data'!O1037</f>
        <v>1</v>
      </c>
      <c r="Q1037" s="18">
        <f>'Sampling Data'!P1037</f>
        <v>89</v>
      </c>
      <c r="R1037" s="18">
        <f>'Sampling Data'!AJ1037</f>
        <v>0</v>
      </c>
      <c r="S1037" s="112"/>
      <c r="T1037" s="112"/>
      <c r="U1037" s="113"/>
      <c r="V1037" s="113"/>
      <c r="W1037" s="112"/>
      <c r="X1037" s="112"/>
      <c r="Y1037" s="112"/>
      <c r="Z1037" s="112"/>
      <c r="AA1037" s="15"/>
      <c r="AB1037" s="15"/>
      <c r="AC1037" s="15"/>
      <c r="AD1037" s="15"/>
      <c r="AE1037" s="114" t="str">
        <f>IF(NOT(ISBLANK(Audit[[#This Row],[Audit Winning Candidate]])), Audit[[#This Row],[Audit Winning Candidate]]-Audit[[#This Row],[Winning Candidate]], "")</f>
        <v/>
      </c>
      <c r="AF1037" s="18" t="str">
        <f>IF(NOT(ISBLANK(Audit[[#This Row],[Audit Losing Candidate]])), Audit[[#This Row],[Audit Losing Candidate]]-Audit[[#This Row],[Losing Candidate]], "")</f>
        <v/>
      </c>
      <c r="AG1037" s="18" t="str">
        <f>IF(NOT(ISBLANK(Audit[[#This Row],[Audit Candidate 3]])), Audit[[#This Row],[Audit Candidate 3]]-Audit[[#This Row],[Candidate 3]], "")</f>
        <v/>
      </c>
      <c r="AH1037" s="18" t="str">
        <f>IF(NOT(ISBLANK(Audit[[#This Row],[Audit Candidate 4]])),Audit[[#This Row],[Audit Candidate 4]]-Audit[[#This Row],[Candidate 4]], "")</f>
        <v/>
      </c>
      <c r="AI1037" s="18" t="str">
        <f>IF(NOT(ISBLANK(Audit[[#This Row],[Audit Candidate 5]])), Audit[[#This Row],[Audit Candidate 5]]-Audit[[#This Row],[Candidate 5]], "")</f>
        <v/>
      </c>
      <c r="AJ1037" s="18" t="str">
        <f>IF(NOT(ISBLANK(Audit[[#This Row],[Audit Candidate 6]])), Audit[[#This Row],[Audit Candidate 6]]-Audit[[#This Row],[Candidate 6]], "")</f>
        <v/>
      </c>
      <c r="AK1037" s="18" t="str">
        <f>IF(NOT(ISBLANK(Audit[[#This Row],[Audit Candidate 7]])), Audit[[#This Row],[Audit Candidate 7]]-Audit[[#This Row],[Candidate 7]], "")</f>
        <v/>
      </c>
      <c r="AL1037" s="18" t="str">
        <f>IF(NOT(ISBLANK(Audit[[#This Row],[Audit Candidate 8]])), Audit[[#This Row],[Audit Candidate 8]]-Audit[[#This Row],[Candidate 8]], "")</f>
        <v/>
      </c>
      <c r="AM1037" s="18" t="str">
        <f>IF(NOT(ISBLANK(Audit[[#This Row],[Audit Candidate 9]])), Audit[[#This Row],[Audit Candidate 9]]-Audit[[#This Row],[Candidate 9]], "")</f>
        <v/>
      </c>
      <c r="AN1037" s="18" t="str">
        <f>IF(NOT(ISBLANK(Audit[[#This Row],[Audit Candidate 10]])), Audit[[#This Row],[Audit Candidate 10]]-Audit[[#This Row],[Candidate 10]], "")</f>
        <v/>
      </c>
      <c r="AO1037" s="18" t="str">
        <f>IF(NOT(ISBLANK(Audit[[#This Row],[Audit Candidate 11]])), Audit[[#This Row],[Audit Candidate 11]]-Audit[[#This Row],[Candidate 11]], "")</f>
        <v/>
      </c>
      <c r="AP1037" s="18" t="str">
        <f>IF(NOT(ISBLANK(Audit[[#This Row],[Audit Candidate 12]])), Audit[[#This Row],[Audit Candidate 12]]-Audit[[#This Row],[Candidate 12]], "")</f>
        <v/>
      </c>
      <c r="AQ1037" s="18">
        <f>SUMIF(Audit[[#This Row],[Difference Winner]:[Difference Candidate 12]], "&gt;0")</f>
        <v>0</v>
      </c>
      <c r="AR1037" s="18">
        <f>SUM(Audit[[#This Row],[Difference Winner]:[Difference Candidate 12]])</f>
        <v>0</v>
      </c>
      <c r="AS1037" s="18">
        <f>IF(Audit[[#This Row],[Times p Drawn - With Replacement]]&gt;0, IF(Audit[[#This Row],[Canceled Differences]]&lt;0, Audit[[#This Row],[Max Differences]]+ABS(Audit[[#This Row],[Canceled Differences]]), Audit[[#This Row],[Max Differences]]), 0)</f>
        <v>0</v>
      </c>
      <c r="AT1037" s="18">
        <f>'Sampling Data'!AB1037</f>
        <v>4.49162923642303E-3</v>
      </c>
      <c r="AU1037" s="18">
        <f>IF(
      SUM(Audit[[#This Row],[Audit Losing Candidate]:[Audit Candidate 12]])
      &lt;&gt;0,
      (Audit[[#This Row],[Winning Candidate]]-Audit[[#This Row],[Losing Candidate]]-(Audit[[#This Row],[Audit Winning Candidate]]-Audit[[#This Row],[Audit Losing Candidate]]))/(Audit[[#Totals],[Winning Candidate]]-Audit[[#Totals],[Losing Candidate]]),
      0
)</f>
        <v>0</v>
      </c>
      <c r="AV103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8">
        <f>IF(Audit[[#This Row],[Max Relative Error (ep)]] = 0, 0, Audit[[#This Row],[Max Relative Error (ep)]]/Audit[[#This Row],[Error Bound (up) - Max. possible relative overstatement]])</f>
        <v>0</v>
      </c>
      <c r="BH103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7" s="18">
        <f t="shared" si="16"/>
        <v>1</v>
      </c>
      <c r="BJ1037" s="18">
        <f>PRODUCT($BI$5:BI1037)</f>
        <v>0.10664664085196122</v>
      </c>
      <c r="BK1037" s="20">
        <f>1 - Audit[[#This Row],[K-M P Value]]</f>
        <v>0.89335335914803882</v>
      </c>
      <c r="BL1037" s="18" t="str">
        <f>IF(Audit[[#This Row],[K-M P Value]]&gt;1-'General Info'!$B$12,"Continue", "Stop")</f>
        <v>Continue</v>
      </c>
      <c r="BM1037" s="23" t="b">
        <f>IF(Audit[[#This Row],[Status - Continue or stop audit]] = "Continue", TRUE, IF(BL1036 = "Continue", TRUE, FALSE))</f>
        <v>1</v>
      </c>
      <c r="BN1037" s="23"/>
    </row>
    <row r="1038" spans="1:66" ht="15" hidden="1" customHeight="1" x14ac:dyDescent="0.35">
      <c r="A1038" s="18" t="str">
        <f>'Sampling Data'!AI1038</f>
        <v/>
      </c>
      <c r="B1038" s="18" t="str">
        <f>'Sampling Data'!A1038</f>
        <v>7403 GR HL C   (ED)</v>
      </c>
      <c r="C1038" s="18">
        <f>'Sampling Data'!B1038</f>
        <v>58</v>
      </c>
      <c r="D1038" s="18">
        <f>'Sampling Data'!C1038</f>
        <v>7</v>
      </c>
      <c r="E1038" s="19">
        <f>'Sampling Data'!D1038</f>
        <v>0</v>
      </c>
      <c r="F1038" s="19">
        <f>'Sampling Data'!E1038</f>
        <v>0</v>
      </c>
      <c r="G1038" s="19">
        <f>'Sampling Data'!F1038</f>
        <v>0</v>
      </c>
      <c r="H1038" s="19">
        <f>'Sampling Data'!G1038</f>
        <v>0</v>
      </c>
      <c r="I1038" s="19">
        <f>'Sampling Data'!H1038</f>
        <v>0</v>
      </c>
      <c r="J1038" s="19">
        <f>'Sampling Data'!I1038</f>
        <v>0</v>
      </c>
      <c r="K1038" s="19">
        <f>'Sampling Data'!J1038</f>
        <v>0</v>
      </c>
      <c r="L1038" s="19">
        <f>'Sampling Data'!K1038</f>
        <v>0</v>
      </c>
      <c r="M1038" s="19">
        <f>'Sampling Data'!L1038</f>
        <v>0</v>
      </c>
      <c r="N1038" s="19">
        <f>'Sampling Data'!M1038</f>
        <v>0</v>
      </c>
      <c r="O1038" s="18">
        <f>'Sampling Data'!N1038</f>
        <v>0</v>
      </c>
      <c r="P1038" s="18">
        <f>'Sampling Data'!O1038</f>
        <v>0</v>
      </c>
      <c r="Q1038" s="18">
        <f>'Sampling Data'!P1038</f>
        <v>65</v>
      </c>
      <c r="R1038" s="18">
        <f>'Sampling Data'!AJ1038</f>
        <v>0</v>
      </c>
      <c r="S1038" s="112"/>
      <c r="T1038" s="112"/>
      <c r="U1038" s="113"/>
      <c r="V1038" s="113"/>
      <c r="W1038" s="112"/>
      <c r="X1038" s="112"/>
      <c r="Y1038" s="112"/>
      <c r="Z1038" s="112"/>
      <c r="AA1038" s="15"/>
      <c r="AB1038" s="15"/>
      <c r="AC1038" s="15"/>
      <c r="AD1038" s="15"/>
      <c r="AE1038" s="114" t="str">
        <f>IF(NOT(ISBLANK(Audit[[#This Row],[Audit Winning Candidate]])), Audit[[#This Row],[Audit Winning Candidate]]-Audit[[#This Row],[Winning Candidate]], "")</f>
        <v/>
      </c>
      <c r="AF1038" s="18" t="str">
        <f>IF(NOT(ISBLANK(Audit[[#This Row],[Audit Losing Candidate]])), Audit[[#This Row],[Audit Losing Candidate]]-Audit[[#This Row],[Losing Candidate]], "")</f>
        <v/>
      </c>
      <c r="AG1038" s="18" t="str">
        <f>IF(NOT(ISBLANK(Audit[[#This Row],[Audit Candidate 3]])), Audit[[#This Row],[Audit Candidate 3]]-Audit[[#This Row],[Candidate 3]], "")</f>
        <v/>
      </c>
      <c r="AH1038" s="18" t="str">
        <f>IF(NOT(ISBLANK(Audit[[#This Row],[Audit Candidate 4]])),Audit[[#This Row],[Audit Candidate 4]]-Audit[[#This Row],[Candidate 4]], "")</f>
        <v/>
      </c>
      <c r="AI1038" s="18" t="str">
        <f>IF(NOT(ISBLANK(Audit[[#This Row],[Audit Candidate 5]])), Audit[[#This Row],[Audit Candidate 5]]-Audit[[#This Row],[Candidate 5]], "")</f>
        <v/>
      </c>
      <c r="AJ1038" s="18" t="str">
        <f>IF(NOT(ISBLANK(Audit[[#This Row],[Audit Candidate 6]])), Audit[[#This Row],[Audit Candidate 6]]-Audit[[#This Row],[Candidate 6]], "")</f>
        <v/>
      </c>
      <c r="AK1038" s="18" t="str">
        <f>IF(NOT(ISBLANK(Audit[[#This Row],[Audit Candidate 7]])), Audit[[#This Row],[Audit Candidate 7]]-Audit[[#This Row],[Candidate 7]], "")</f>
        <v/>
      </c>
      <c r="AL1038" s="18" t="str">
        <f>IF(NOT(ISBLANK(Audit[[#This Row],[Audit Candidate 8]])), Audit[[#This Row],[Audit Candidate 8]]-Audit[[#This Row],[Candidate 8]], "")</f>
        <v/>
      </c>
      <c r="AM1038" s="18" t="str">
        <f>IF(NOT(ISBLANK(Audit[[#This Row],[Audit Candidate 9]])), Audit[[#This Row],[Audit Candidate 9]]-Audit[[#This Row],[Candidate 9]], "")</f>
        <v/>
      </c>
      <c r="AN1038" s="18" t="str">
        <f>IF(NOT(ISBLANK(Audit[[#This Row],[Audit Candidate 10]])), Audit[[#This Row],[Audit Candidate 10]]-Audit[[#This Row],[Candidate 10]], "")</f>
        <v/>
      </c>
      <c r="AO1038" s="18" t="str">
        <f>IF(NOT(ISBLANK(Audit[[#This Row],[Audit Candidate 11]])), Audit[[#This Row],[Audit Candidate 11]]-Audit[[#This Row],[Candidate 11]], "")</f>
        <v/>
      </c>
      <c r="AP1038" s="18" t="str">
        <f>IF(NOT(ISBLANK(Audit[[#This Row],[Audit Candidate 12]])), Audit[[#This Row],[Audit Candidate 12]]-Audit[[#This Row],[Candidate 12]], "")</f>
        <v/>
      </c>
      <c r="AQ1038" s="18">
        <f>SUMIF(Audit[[#This Row],[Difference Winner]:[Difference Candidate 12]], "&gt;0")</f>
        <v>0</v>
      </c>
      <c r="AR1038" s="18">
        <f>SUM(Audit[[#This Row],[Difference Winner]:[Difference Candidate 12]])</f>
        <v>0</v>
      </c>
      <c r="AS1038" s="18">
        <f>IF(Audit[[#This Row],[Times p Drawn - With Replacement]]&gt;0, IF(Audit[[#This Row],[Canceled Differences]]&lt;0, Audit[[#This Row],[Max Differences]]+ABS(Audit[[#This Row],[Canceled Differences]]), Audit[[#This Row],[Max Differences]]), 0)</f>
        <v>0</v>
      </c>
      <c r="AT1038" s="18">
        <f>'Sampling Data'!AB1038</f>
        <v>3.6435593805949052E-3</v>
      </c>
      <c r="AU1038" s="18">
        <f>IF(
      SUM(Audit[[#This Row],[Audit Losing Candidate]:[Audit Candidate 12]])
      &lt;&gt;0,
      (Audit[[#This Row],[Winning Candidate]]-Audit[[#This Row],[Losing Candidate]]-(Audit[[#This Row],[Audit Winning Candidate]]-Audit[[#This Row],[Audit Losing Candidate]]))/(Audit[[#Totals],[Winning Candidate]]-Audit[[#Totals],[Losing Candidate]]),
      0
)</f>
        <v>0</v>
      </c>
      <c r="AV103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8">
        <f>IF(Audit[[#This Row],[Max Relative Error (ep)]] = 0, 0, Audit[[#This Row],[Max Relative Error (ep)]]/Audit[[#This Row],[Error Bound (up) - Max. possible relative overstatement]])</f>
        <v>0</v>
      </c>
      <c r="BH103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8" s="18">
        <f t="shared" si="16"/>
        <v>1</v>
      </c>
      <c r="BJ1038" s="18">
        <f>PRODUCT($BI$5:BI1038)</f>
        <v>0.10664664085196122</v>
      </c>
      <c r="BK1038" s="20">
        <f>1 - Audit[[#This Row],[K-M P Value]]</f>
        <v>0.89335335914803882</v>
      </c>
      <c r="BL1038" s="18" t="str">
        <f>IF(Audit[[#This Row],[K-M P Value]]&gt;1-'General Info'!$B$12,"Continue", "Stop")</f>
        <v>Continue</v>
      </c>
      <c r="BM1038" s="23" t="b">
        <f>IF(Audit[[#This Row],[Status - Continue or stop audit]] = "Continue", TRUE, IF(BL1037 = "Continue", TRUE, FALSE))</f>
        <v>1</v>
      </c>
      <c r="BN1038" s="23"/>
    </row>
    <row r="1039" spans="1:66" ht="15" hidden="1" customHeight="1" x14ac:dyDescent="0.35">
      <c r="A1039" s="18" t="str">
        <f>'Sampling Data'!AI1039</f>
        <v/>
      </c>
      <c r="B1039" s="18" t="str">
        <f>'Sampling Data'!A1039</f>
        <v>7601 HARR AA   (ED)</v>
      </c>
      <c r="C1039" s="18">
        <f>'Sampling Data'!B1039</f>
        <v>177</v>
      </c>
      <c r="D1039" s="18">
        <f>'Sampling Data'!C1039</f>
        <v>24</v>
      </c>
      <c r="E1039" s="19">
        <f>'Sampling Data'!D1039</f>
        <v>0</v>
      </c>
      <c r="F1039" s="19">
        <f>'Sampling Data'!E1039</f>
        <v>0</v>
      </c>
      <c r="G1039" s="19">
        <f>'Sampling Data'!F1039</f>
        <v>0</v>
      </c>
      <c r="H1039" s="19">
        <f>'Sampling Data'!G1039</f>
        <v>0</v>
      </c>
      <c r="I1039" s="19">
        <f>'Sampling Data'!H1039</f>
        <v>0</v>
      </c>
      <c r="J1039" s="19">
        <f>'Sampling Data'!I1039</f>
        <v>0</v>
      </c>
      <c r="K1039" s="19">
        <f>'Sampling Data'!J1039</f>
        <v>0</v>
      </c>
      <c r="L1039" s="19">
        <f>'Sampling Data'!K1039</f>
        <v>0</v>
      </c>
      <c r="M1039" s="19">
        <f>'Sampling Data'!L1039</f>
        <v>0</v>
      </c>
      <c r="N1039" s="19">
        <f>'Sampling Data'!M1039</f>
        <v>0</v>
      </c>
      <c r="O1039" s="18">
        <f>'Sampling Data'!N1039</f>
        <v>0</v>
      </c>
      <c r="P1039" s="18">
        <f>'Sampling Data'!O1039</f>
        <v>9</v>
      </c>
      <c r="Q1039" s="18">
        <f>'Sampling Data'!P1039</f>
        <v>210</v>
      </c>
      <c r="R1039" s="18">
        <f>'Sampling Data'!AJ1039</f>
        <v>0</v>
      </c>
      <c r="S1039" s="112"/>
      <c r="T1039" s="112"/>
      <c r="U1039" s="113"/>
      <c r="V1039" s="113"/>
      <c r="W1039" s="112"/>
      <c r="X1039" s="112"/>
      <c r="Y1039" s="112"/>
      <c r="Z1039" s="112"/>
      <c r="AA1039" s="15"/>
      <c r="AB1039" s="15"/>
      <c r="AC1039" s="15"/>
      <c r="AD1039" s="15"/>
      <c r="AE1039" s="114" t="str">
        <f>IF(NOT(ISBLANK(Audit[[#This Row],[Audit Winning Candidate]])), Audit[[#This Row],[Audit Winning Candidate]]-Audit[[#This Row],[Winning Candidate]], "")</f>
        <v/>
      </c>
      <c r="AF1039" s="18" t="str">
        <f>IF(NOT(ISBLANK(Audit[[#This Row],[Audit Losing Candidate]])), Audit[[#This Row],[Audit Losing Candidate]]-Audit[[#This Row],[Losing Candidate]], "")</f>
        <v/>
      </c>
      <c r="AG1039" s="18" t="str">
        <f>IF(NOT(ISBLANK(Audit[[#This Row],[Audit Candidate 3]])), Audit[[#This Row],[Audit Candidate 3]]-Audit[[#This Row],[Candidate 3]], "")</f>
        <v/>
      </c>
      <c r="AH1039" s="18" t="str">
        <f>IF(NOT(ISBLANK(Audit[[#This Row],[Audit Candidate 4]])),Audit[[#This Row],[Audit Candidate 4]]-Audit[[#This Row],[Candidate 4]], "")</f>
        <v/>
      </c>
      <c r="AI1039" s="18" t="str">
        <f>IF(NOT(ISBLANK(Audit[[#This Row],[Audit Candidate 5]])), Audit[[#This Row],[Audit Candidate 5]]-Audit[[#This Row],[Candidate 5]], "")</f>
        <v/>
      </c>
      <c r="AJ1039" s="18" t="str">
        <f>IF(NOT(ISBLANK(Audit[[#This Row],[Audit Candidate 6]])), Audit[[#This Row],[Audit Candidate 6]]-Audit[[#This Row],[Candidate 6]], "")</f>
        <v/>
      </c>
      <c r="AK1039" s="18" t="str">
        <f>IF(NOT(ISBLANK(Audit[[#This Row],[Audit Candidate 7]])), Audit[[#This Row],[Audit Candidate 7]]-Audit[[#This Row],[Candidate 7]], "")</f>
        <v/>
      </c>
      <c r="AL1039" s="18" t="str">
        <f>IF(NOT(ISBLANK(Audit[[#This Row],[Audit Candidate 8]])), Audit[[#This Row],[Audit Candidate 8]]-Audit[[#This Row],[Candidate 8]], "")</f>
        <v/>
      </c>
      <c r="AM1039" s="18" t="str">
        <f>IF(NOT(ISBLANK(Audit[[#This Row],[Audit Candidate 9]])), Audit[[#This Row],[Audit Candidate 9]]-Audit[[#This Row],[Candidate 9]], "")</f>
        <v/>
      </c>
      <c r="AN1039" s="18" t="str">
        <f>IF(NOT(ISBLANK(Audit[[#This Row],[Audit Candidate 10]])), Audit[[#This Row],[Audit Candidate 10]]-Audit[[#This Row],[Candidate 10]], "")</f>
        <v/>
      </c>
      <c r="AO1039" s="18" t="str">
        <f>IF(NOT(ISBLANK(Audit[[#This Row],[Audit Candidate 11]])), Audit[[#This Row],[Audit Candidate 11]]-Audit[[#This Row],[Candidate 11]], "")</f>
        <v/>
      </c>
      <c r="AP1039" s="18" t="str">
        <f>IF(NOT(ISBLANK(Audit[[#This Row],[Audit Candidate 12]])), Audit[[#This Row],[Audit Candidate 12]]-Audit[[#This Row],[Candidate 12]], "")</f>
        <v/>
      </c>
      <c r="AQ1039" s="18">
        <f>SUMIF(Audit[[#This Row],[Difference Winner]:[Difference Candidate 12]], "&gt;0")</f>
        <v>0</v>
      </c>
      <c r="AR1039" s="18">
        <f>SUM(Audit[[#This Row],[Difference Winner]:[Difference Candidate 12]])</f>
        <v>0</v>
      </c>
      <c r="AS1039" s="18">
        <f>IF(Audit[[#This Row],[Times p Drawn - With Replacement]]&gt;0, IF(Audit[[#This Row],[Canceled Differences]]&lt;0, Audit[[#This Row],[Max Differences]]+ABS(Audit[[#This Row],[Canceled Differences]]), Audit[[#This Row],[Max Differences]]), 0)</f>
        <v>0</v>
      </c>
      <c r="AT1039" s="18">
        <f>'Sampling Data'!AB1039</f>
        <v>1.1401828061689229E-2</v>
      </c>
      <c r="AU1039" s="18">
        <f>IF(
      SUM(Audit[[#This Row],[Audit Losing Candidate]:[Audit Candidate 12]])
      &lt;&gt;0,
      (Audit[[#This Row],[Winning Candidate]]-Audit[[#This Row],[Losing Candidate]]-(Audit[[#This Row],[Audit Winning Candidate]]-Audit[[#This Row],[Audit Losing Candidate]]))/(Audit[[#Totals],[Winning Candidate]]-Audit[[#Totals],[Losing Candidate]]),
      0
)</f>
        <v>0</v>
      </c>
      <c r="AV103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8">
        <f>IF(Audit[[#This Row],[Max Relative Error (ep)]] = 0, 0, Audit[[#This Row],[Max Relative Error (ep)]]/Audit[[#This Row],[Error Bound (up) - Max. possible relative overstatement]])</f>
        <v>0</v>
      </c>
      <c r="BH103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39" s="18">
        <f t="shared" ref="BI1039:BI1102" si="17">IF(ISERR(POWER(BH1039,R1039)), 0, POWER(BH1039,R1039))</f>
        <v>1</v>
      </c>
      <c r="BJ1039" s="18">
        <f>PRODUCT($BI$5:BI1039)</f>
        <v>0.10664664085196122</v>
      </c>
      <c r="BK1039" s="20">
        <f>1 - Audit[[#This Row],[K-M P Value]]</f>
        <v>0.89335335914803882</v>
      </c>
      <c r="BL1039" s="18" t="str">
        <f>IF(Audit[[#This Row],[K-M P Value]]&gt;1-'General Info'!$B$12,"Continue", "Stop")</f>
        <v>Continue</v>
      </c>
      <c r="BM1039" s="23" t="b">
        <f>IF(Audit[[#This Row],[Status - Continue or stop audit]] = "Continue", TRUE, IF(BL1038 = "Continue", TRUE, FALSE))</f>
        <v>1</v>
      </c>
      <c r="BN1039" s="23"/>
    </row>
    <row r="1040" spans="1:66" ht="15" hidden="1" customHeight="1" x14ac:dyDescent="0.35">
      <c r="A1040" s="18" t="str">
        <f>'Sampling Data'!AI1040</f>
        <v/>
      </c>
      <c r="B1040" s="18" t="str">
        <f>'Sampling Data'!A1040</f>
        <v>7602 HARR BB   (ED)</v>
      </c>
      <c r="C1040" s="18">
        <f>'Sampling Data'!B1040</f>
        <v>274</v>
      </c>
      <c r="D1040" s="18">
        <f>'Sampling Data'!C1040</f>
        <v>58</v>
      </c>
      <c r="E1040" s="19">
        <f>'Sampling Data'!D1040</f>
        <v>0</v>
      </c>
      <c r="F1040" s="19">
        <f>'Sampling Data'!E1040</f>
        <v>0</v>
      </c>
      <c r="G1040" s="19">
        <f>'Sampling Data'!F1040</f>
        <v>0</v>
      </c>
      <c r="H1040" s="19">
        <f>'Sampling Data'!G1040</f>
        <v>0</v>
      </c>
      <c r="I1040" s="19">
        <f>'Sampling Data'!H1040</f>
        <v>0</v>
      </c>
      <c r="J1040" s="19">
        <f>'Sampling Data'!I1040</f>
        <v>0</v>
      </c>
      <c r="K1040" s="19">
        <f>'Sampling Data'!J1040</f>
        <v>0</v>
      </c>
      <c r="L1040" s="19">
        <f>'Sampling Data'!K1040</f>
        <v>0</v>
      </c>
      <c r="M1040" s="19">
        <f>'Sampling Data'!L1040</f>
        <v>0</v>
      </c>
      <c r="N1040" s="19">
        <f>'Sampling Data'!M1040</f>
        <v>0</v>
      </c>
      <c r="O1040" s="18">
        <f>'Sampling Data'!N1040</f>
        <v>0</v>
      </c>
      <c r="P1040" s="18">
        <f>'Sampling Data'!O1040</f>
        <v>32</v>
      </c>
      <c r="Q1040" s="18">
        <f>'Sampling Data'!P1040</f>
        <v>364</v>
      </c>
      <c r="R1040" s="18">
        <f>'Sampling Data'!AJ1040</f>
        <v>0</v>
      </c>
      <c r="S1040" s="112"/>
      <c r="T1040" s="112"/>
      <c r="U1040" s="113"/>
      <c r="V1040" s="113"/>
      <c r="W1040" s="112"/>
      <c r="X1040" s="112"/>
      <c r="Y1040" s="112"/>
      <c r="Z1040" s="112"/>
      <c r="AA1040" s="15"/>
      <c r="AB1040" s="15"/>
      <c r="AC1040" s="15"/>
      <c r="AD1040" s="15"/>
      <c r="AE1040" s="114" t="str">
        <f>IF(NOT(ISBLANK(Audit[[#This Row],[Audit Winning Candidate]])), Audit[[#This Row],[Audit Winning Candidate]]-Audit[[#This Row],[Winning Candidate]], "")</f>
        <v/>
      </c>
      <c r="AF1040" s="18" t="str">
        <f>IF(NOT(ISBLANK(Audit[[#This Row],[Audit Losing Candidate]])), Audit[[#This Row],[Audit Losing Candidate]]-Audit[[#This Row],[Losing Candidate]], "")</f>
        <v/>
      </c>
      <c r="AG1040" s="18" t="str">
        <f>IF(NOT(ISBLANK(Audit[[#This Row],[Audit Candidate 3]])), Audit[[#This Row],[Audit Candidate 3]]-Audit[[#This Row],[Candidate 3]], "")</f>
        <v/>
      </c>
      <c r="AH1040" s="18" t="str">
        <f>IF(NOT(ISBLANK(Audit[[#This Row],[Audit Candidate 4]])),Audit[[#This Row],[Audit Candidate 4]]-Audit[[#This Row],[Candidate 4]], "")</f>
        <v/>
      </c>
      <c r="AI1040" s="18" t="str">
        <f>IF(NOT(ISBLANK(Audit[[#This Row],[Audit Candidate 5]])), Audit[[#This Row],[Audit Candidate 5]]-Audit[[#This Row],[Candidate 5]], "")</f>
        <v/>
      </c>
      <c r="AJ1040" s="18" t="str">
        <f>IF(NOT(ISBLANK(Audit[[#This Row],[Audit Candidate 6]])), Audit[[#This Row],[Audit Candidate 6]]-Audit[[#This Row],[Candidate 6]], "")</f>
        <v/>
      </c>
      <c r="AK1040" s="18" t="str">
        <f>IF(NOT(ISBLANK(Audit[[#This Row],[Audit Candidate 7]])), Audit[[#This Row],[Audit Candidate 7]]-Audit[[#This Row],[Candidate 7]], "")</f>
        <v/>
      </c>
      <c r="AL1040" s="18" t="str">
        <f>IF(NOT(ISBLANK(Audit[[#This Row],[Audit Candidate 8]])), Audit[[#This Row],[Audit Candidate 8]]-Audit[[#This Row],[Candidate 8]], "")</f>
        <v/>
      </c>
      <c r="AM1040" s="18" t="str">
        <f>IF(NOT(ISBLANK(Audit[[#This Row],[Audit Candidate 9]])), Audit[[#This Row],[Audit Candidate 9]]-Audit[[#This Row],[Candidate 9]], "")</f>
        <v/>
      </c>
      <c r="AN1040" s="18" t="str">
        <f>IF(NOT(ISBLANK(Audit[[#This Row],[Audit Candidate 10]])), Audit[[#This Row],[Audit Candidate 10]]-Audit[[#This Row],[Candidate 10]], "")</f>
        <v/>
      </c>
      <c r="AO1040" s="18" t="str">
        <f>IF(NOT(ISBLANK(Audit[[#This Row],[Audit Candidate 11]])), Audit[[#This Row],[Audit Candidate 11]]-Audit[[#This Row],[Candidate 11]], "")</f>
        <v/>
      </c>
      <c r="AP1040" s="18" t="str">
        <f>IF(NOT(ISBLANK(Audit[[#This Row],[Audit Candidate 12]])), Audit[[#This Row],[Audit Candidate 12]]-Audit[[#This Row],[Candidate 12]], "")</f>
        <v/>
      </c>
      <c r="AQ1040" s="18">
        <f>SUMIF(Audit[[#This Row],[Difference Winner]:[Difference Candidate 12]], "&gt;0")</f>
        <v>0</v>
      </c>
      <c r="AR1040" s="18">
        <f>SUM(Audit[[#This Row],[Difference Winner]:[Difference Candidate 12]])</f>
        <v>0</v>
      </c>
      <c r="AS1040" s="18">
        <f>IF(Audit[[#This Row],[Times p Drawn - With Replacement]]&gt;0, IF(Audit[[#This Row],[Canceled Differences]]&lt;0, Audit[[#This Row],[Max Differences]]+ABS(Audit[[#This Row],[Canceled Differences]]), Audit[[#This Row],[Max Differences]]), 0)</f>
        <v>0</v>
      </c>
      <c r="AT1040" s="18">
        <f>'Sampling Data'!AB1040</f>
        <v>1.8217796902974526E-2</v>
      </c>
      <c r="AU1040" s="18">
        <f>IF(
      SUM(Audit[[#This Row],[Audit Losing Candidate]:[Audit Candidate 12]])
      &lt;&gt;0,
      (Audit[[#This Row],[Winning Candidate]]-Audit[[#This Row],[Losing Candidate]]-(Audit[[#This Row],[Audit Winning Candidate]]-Audit[[#This Row],[Audit Losing Candidate]]))/(Audit[[#Totals],[Winning Candidate]]-Audit[[#Totals],[Losing Candidate]]),
      0
)</f>
        <v>0</v>
      </c>
      <c r="AV104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8">
        <f>IF(Audit[[#This Row],[Max Relative Error (ep)]] = 0, 0, Audit[[#This Row],[Max Relative Error (ep)]]/Audit[[#This Row],[Error Bound (up) - Max. possible relative overstatement]])</f>
        <v>0</v>
      </c>
      <c r="BH104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0" s="18">
        <f t="shared" si="17"/>
        <v>1</v>
      </c>
      <c r="BJ1040" s="18">
        <f>PRODUCT($BI$5:BI1040)</f>
        <v>0.10664664085196122</v>
      </c>
      <c r="BK1040" s="20">
        <f>1 - Audit[[#This Row],[K-M P Value]]</f>
        <v>0.89335335914803882</v>
      </c>
      <c r="BL1040" s="18" t="str">
        <f>IF(Audit[[#This Row],[K-M P Value]]&gt;1-'General Info'!$B$12,"Continue", "Stop")</f>
        <v>Continue</v>
      </c>
      <c r="BM1040" s="23" t="b">
        <f>IF(Audit[[#This Row],[Status - Continue or stop audit]] = "Continue", TRUE, IF(BL1039 = "Continue", TRUE, FALSE))</f>
        <v>1</v>
      </c>
      <c r="BN1040" s="23"/>
    </row>
    <row r="1041" spans="1:66" ht="15" hidden="1" customHeight="1" x14ac:dyDescent="0.35">
      <c r="A1041" s="18" t="str">
        <f>'Sampling Data'!AI1041</f>
        <v/>
      </c>
      <c r="B1041" s="18" t="str">
        <f>'Sampling Data'!A1041</f>
        <v>7603 HARR CC   (ED)</v>
      </c>
      <c r="C1041" s="18">
        <f>'Sampling Data'!B1041</f>
        <v>92</v>
      </c>
      <c r="D1041" s="18">
        <f>'Sampling Data'!C1041</f>
        <v>27</v>
      </c>
      <c r="E1041" s="19">
        <f>'Sampling Data'!D1041</f>
        <v>0</v>
      </c>
      <c r="F1041" s="19">
        <f>'Sampling Data'!E1041</f>
        <v>0</v>
      </c>
      <c r="G1041" s="19">
        <f>'Sampling Data'!F1041</f>
        <v>0</v>
      </c>
      <c r="H1041" s="19">
        <f>'Sampling Data'!G1041</f>
        <v>0</v>
      </c>
      <c r="I1041" s="19">
        <f>'Sampling Data'!H1041</f>
        <v>0</v>
      </c>
      <c r="J1041" s="19">
        <f>'Sampling Data'!I1041</f>
        <v>0</v>
      </c>
      <c r="K1041" s="19">
        <f>'Sampling Data'!J1041</f>
        <v>0</v>
      </c>
      <c r="L1041" s="19">
        <f>'Sampling Data'!K1041</f>
        <v>0</v>
      </c>
      <c r="M1041" s="19">
        <f>'Sampling Data'!L1041</f>
        <v>0</v>
      </c>
      <c r="N1041" s="19">
        <f>'Sampling Data'!M1041</f>
        <v>0</v>
      </c>
      <c r="O1041" s="18">
        <f>'Sampling Data'!N1041</f>
        <v>0</v>
      </c>
      <c r="P1041" s="18">
        <f>'Sampling Data'!O1041</f>
        <v>6</v>
      </c>
      <c r="Q1041" s="18">
        <f>'Sampling Data'!P1041</f>
        <v>125</v>
      </c>
      <c r="R1041" s="18">
        <f>'Sampling Data'!AJ1041</f>
        <v>0</v>
      </c>
      <c r="S1041" s="112"/>
      <c r="T1041" s="112"/>
      <c r="U1041" s="113"/>
      <c r="V1041" s="113"/>
      <c r="W1041" s="112"/>
      <c r="X1041" s="112"/>
      <c r="Y1041" s="112"/>
      <c r="Z1041" s="112"/>
      <c r="AA1041" s="15"/>
      <c r="AB1041" s="15"/>
      <c r="AC1041" s="15"/>
      <c r="AD1041" s="15"/>
      <c r="AE1041" s="114" t="str">
        <f>IF(NOT(ISBLANK(Audit[[#This Row],[Audit Winning Candidate]])), Audit[[#This Row],[Audit Winning Candidate]]-Audit[[#This Row],[Winning Candidate]], "")</f>
        <v/>
      </c>
      <c r="AF1041" s="18" t="str">
        <f>IF(NOT(ISBLANK(Audit[[#This Row],[Audit Losing Candidate]])), Audit[[#This Row],[Audit Losing Candidate]]-Audit[[#This Row],[Losing Candidate]], "")</f>
        <v/>
      </c>
      <c r="AG1041" s="18" t="str">
        <f>IF(NOT(ISBLANK(Audit[[#This Row],[Audit Candidate 3]])), Audit[[#This Row],[Audit Candidate 3]]-Audit[[#This Row],[Candidate 3]], "")</f>
        <v/>
      </c>
      <c r="AH1041" s="18" t="str">
        <f>IF(NOT(ISBLANK(Audit[[#This Row],[Audit Candidate 4]])),Audit[[#This Row],[Audit Candidate 4]]-Audit[[#This Row],[Candidate 4]], "")</f>
        <v/>
      </c>
      <c r="AI1041" s="18" t="str">
        <f>IF(NOT(ISBLANK(Audit[[#This Row],[Audit Candidate 5]])), Audit[[#This Row],[Audit Candidate 5]]-Audit[[#This Row],[Candidate 5]], "")</f>
        <v/>
      </c>
      <c r="AJ1041" s="18" t="str">
        <f>IF(NOT(ISBLANK(Audit[[#This Row],[Audit Candidate 6]])), Audit[[#This Row],[Audit Candidate 6]]-Audit[[#This Row],[Candidate 6]], "")</f>
        <v/>
      </c>
      <c r="AK1041" s="18" t="str">
        <f>IF(NOT(ISBLANK(Audit[[#This Row],[Audit Candidate 7]])), Audit[[#This Row],[Audit Candidate 7]]-Audit[[#This Row],[Candidate 7]], "")</f>
        <v/>
      </c>
      <c r="AL1041" s="18" t="str">
        <f>IF(NOT(ISBLANK(Audit[[#This Row],[Audit Candidate 8]])), Audit[[#This Row],[Audit Candidate 8]]-Audit[[#This Row],[Candidate 8]], "")</f>
        <v/>
      </c>
      <c r="AM1041" s="18" t="str">
        <f>IF(NOT(ISBLANK(Audit[[#This Row],[Audit Candidate 9]])), Audit[[#This Row],[Audit Candidate 9]]-Audit[[#This Row],[Candidate 9]], "")</f>
        <v/>
      </c>
      <c r="AN1041" s="18" t="str">
        <f>IF(NOT(ISBLANK(Audit[[#This Row],[Audit Candidate 10]])), Audit[[#This Row],[Audit Candidate 10]]-Audit[[#This Row],[Candidate 10]], "")</f>
        <v/>
      </c>
      <c r="AO1041" s="18" t="str">
        <f>IF(NOT(ISBLANK(Audit[[#This Row],[Audit Candidate 11]])), Audit[[#This Row],[Audit Candidate 11]]-Audit[[#This Row],[Candidate 11]], "")</f>
        <v/>
      </c>
      <c r="AP1041" s="18" t="str">
        <f>IF(NOT(ISBLANK(Audit[[#This Row],[Audit Candidate 12]])), Audit[[#This Row],[Audit Candidate 12]]-Audit[[#This Row],[Candidate 12]], "")</f>
        <v/>
      </c>
      <c r="AQ1041" s="18">
        <f>SUMIF(Audit[[#This Row],[Difference Winner]:[Difference Candidate 12]], "&gt;0")</f>
        <v>0</v>
      </c>
      <c r="AR1041" s="18">
        <f>SUM(Audit[[#This Row],[Difference Winner]:[Difference Candidate 12]])</f>
        <v>0</v>
      </c>
      <c r="AS1041" s="18">
        <f>IF(Audit[[#This Row],[Times p Drawn - With Replacement]]&gt;0, IF(Audit[[#This Row],[Canceled Differences]]&lt;0, Audit[[#This Row],[Max Differences]]+ABS(Audit[[#This Row],[Canceled Differences]]), Audit[[#This Row],[Max Differences]]), 0)</f>
        <v>0</v>
      </c>
      <c r="AT1041" s="18">
        <f>'Sampling Data'!AB1041</f>
        <v>5.9678989854571726E-3</v>
      </c>
      <c r="AU1041" s="18">
        <f>IF(
      SUM(Audit[[#This Row],[Audit Losing Candidate]:[Audit Candidate 12]])
      &lt;&gt;0,
      (Audit[[#This Row],[Winning Candidate]]-Audit[[#This Row],[Losing Candidate]]-(Audit[[#This Row],[Audit Winning Candidate]]-Audit[[#This Row],[Audit Losing Candidate]]))/(Audit[[#Totals],[Winning Candidate]]-Audit[[#Totals],[Losing Candidate]]),
      0
)</f>
        <v>0</v>
      </c>
      <c r="AV104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8">
        <f>IF(Audit[[#This Row],[Max Relative Error (ep)]] = 0, 0, Audit[[#This Row],[Max Relative Error (ep)]]/Audit[[#This Row],[Error Bound (up) - Max. possible relative overstatement]])</f>
        <v>0</v>
      </c>
      <c r="BH104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1" s="18">
        <f t="shared" si="17"/>
        <v>1</v>
      </c>
      <c r="BJ1041" s="18">
        <f>PRODUCT($BI$5:BI1041)</f>
        <v>0.10664664085196122</v>
      </c>
      <c r="BK1041" s="20">
        <f>1 - Audit[[#This Row],[K-M P Value]]</f>
        <v>0.89335335914803882</v>
      </c>
      <c r="BL1041" s="18" t="str">
        <f>IF(Audit[[#This Row],[K-M P Value]]&gt;1-'General Info'!$B$12,"Continue", "Stop")</f>
        <v>Continue</v>
      </c>
      <c r="BM1041" s="23" t="b">
        <f>IF(Audit[[#This Row],[Status - Continue or stop audit]] = "Continue", TRUE, IF(BL1040 = "Continue", TRUE, FALSE))</f>
        <v>1</v>
      </c>
      <c r="BN1041" s="23"/>
    </row>
    <row r="1042" spans="1:66" ht="15" hidden="1" customHeight="1" x14ac:dyDescent="0.35">
      <c r="A1042" s="18" t="str">
        <f>'Sampling Data'!AI1042</f>
        <v/>
      </c>
      <c r="B1042" s="18" t="str">
        <f>'Sampling Data'!A1042</f>
        <v>7701 LIN HT A   (ED)</v>
      </c>
      <c r="C1042" s="18">
        <f>'Sampling Data'!B1042</f>
        <v>1</v>
      </c>
      <c r="D1042" s="18">
        <f>'Sampling Data'!C1042</f>
        <v>0</v>
      </c>
      <c r="E1042" s="19">
        <f>'Sampling Data'!D1042</f>
        <v>0</v>
      </c>
      <c r="F1042" s="19">
        <f>'Sampling Data'!E1042</f>
        <v>0</v>
      </c>
      <c r="G1042" s="19">
        <f>'Sampling Data'!F1042</f>
        <v>0</v>
      </c>
      <c r="H1042" s="19">
        <f>'Sampling Data'!G1042</f>
        <v>0</v>
      </c>
      <c r="I1042" s="19">
        <f>'Sampling Data'!H1042</f>
        <v>0</v>
      </c>
      <c r="J1042" s="19">
        <f>'Sampling Data'!I1042</f>
        <v>0</v>
      </c>
      <c r="K1042" s="19">
        <f>'Sampling Data'!J1042</f>
        <v>0</v>
      </c>
      <c r="L1042" s="19">
        <f>'Sampling Data'!K1042</f>
        <v>0</v>
      </c>
      <c r="M1042" s="19">
        <f>'Sampling Data'!L1042</f>
        <v>0</v>
      </c>
      <c r="N1042" s="19">
        <f>'Sampling Data'!M1042</f>
        <v>0</v>
      </c>
      <c r="O1042" s="18">
        <f>'Sampling Data'!N1042</f>
        <v>0</v>
      </c>
      <c r="P1042" s="18">
        <f>'Sampling Data'!O1042</f>
        <v>0</v>
      </c>
      <c r="Q1042" s="18">
        <f>'Sampling Data'!P1042</f>
        <v>1</v>
      </c>
      <c r="R1042" s="18">
        <f>'Sampling Data'!AJ1042</f>
        <v>0</v>
      </c>
      <c r="S1042" s="112"/>
      <c r="T1042" s="112"/>
      <c r="U1042" s="113"/>
      <c r="V1042" s="113"/>
      <c r="W1042" s="112"/>
      <c r="X1042" s="112"/>
      <c r="Y1042" s="112"/>
      <c r="Z1042" s="112"/>
      <c r="AA1042" s="15"/>
      <c r="AB1042" s="15"/>
      <c r="AC1042" s="15"/>
      <c r="AD1042" s="15"/>
      <c r="AE1042" s="114" t="str">
        <f>IF(NOT(ISBLANK(Audit[[#This Row],[Audit Winning Candidate]])), Audit[[#This Row],[Audit Winning Candidate]]-Audit[[#This Row],[Winning Candidate]], "")</f>
        <v/>
      </c>
      <c r="AF1042" s="18" t="str">
        <f>IF(NOT(ISBLANK(Audit[[#This Row],[Audit Losing Candidate]])), Audit[[#This Row],[Audit Losing Candidate]]-Audit[[#This Row],[Losing Candidate]], "")</f>
        <v/>
      </c>
      <c r="AG1042" s="18" t="str">
        <f>IF(NOT(ISBLANK(Audit[[#This Row],[Audit Candidate 3]])), Audit[[#This Row],[Audit Candidate 3]]-Audit[[#This Row],[Candidate 3]], "")</f>
        <v/>
      </c>
      <c r="AH1042" s="18" t="str">
        <f>IF(NOT(ISBLANK(Audit[[#This Row],[Audit Candidate 4]])),Audit[[#This Row],[Audit Candidate 4]]-Audit[[#This Row],[Candidate 4]], "")</f>
        <v/>
      </c>
      <c r="AI1042" s="18" t="str">
        <f>IF(NOT(ISBLANK(Audit[[#This Row],[Audit Candidate 5]])), Audit[[#This Row],[Audit Candidate 5]]-Audit[[#This Row],[Candidate 5]], "")</f>
        <v/>
      </c>
      <c r="AJ1042" s="18" t="str">
        <f>IF(NOT(ISBLANK(Audit[[#This Row],[Audit Candidate 6]])), Audit[[#This Row],[Audit Candidate 6]]-Audit[[#This Row],[Candidate 6]], "")</f>
        <v/>
      </c>
      <c r="AK1042" s="18" t="str">
        <f>IF(NOT(ISBLANK(Audit[[#This Row],[Audit Candidate 7]])), Audit[[#This Row],[Audit Candidate 7]]-Audit[[#This Row],[Candidate 7]], "")</f>
        <v/>
      </c>
      <c r="AL1042" s="18" t="str">
        <f>IF(NOT(ISBLANK(Audit[[#This Row],[Audit Candidate 8]])), Audit[[#This Row],[Audit Candidate 8]]-Audit[[#This Row],[Candidate 8]], "")</f>
        <v/>
      </c>
      <c r="AM1042" s="18" t="str">
        <f>IF(NOT(ISBLANK(Audit[[#This Row],[Audit Candidate 9]])), Audit[[#This Row],[Audit Candidate 9]]-Audit[[#This Row],[Candidate 9]], "")</f>
        <v/>
      </c>
      <c r="AN1042" s="18" t="str">
        <f>IF(NOT(ISBLANK(Audit[[#This Row],[Audit Candidate 10]])), Audit[[#This Row],[Audit Candidate 10]]-Audit[[#This Row],[Candidate 10]], "")</f>
        <v/>
      </c>
      <c r="AO1042" s="18" t="str">
        <f>IF(NOT(ISBLANK(Audit[[#This Row],[Audit Candidate 11]])), Audit[[#This Row],[Audit Candidate 11]]-Audit[[#This Row],[Candidate 11]], "")</f>
        <v/>
      </c>
      <c r="AP1042" s="18" t="str">
        <f>IF(NOT(ISBLANK(Audit[[#This Row],[Audit Candidate 12]])), Audit[[#This Row],[Audit Candidate 12]]-Audit[[#This Row],[Candidate 12]], "")</f>
        <v/>
      </c>
      <c r="AQ1042" s="18">
        <f>SUMIF(Audit[[#This Row],[Difference Winner]:[Difference Candidate 12]], "&gt;0")</f>
        <v>0</v>
      </c>
      <c r="AR1042" s="18">
        <f>SUM(Audit[[#This Row],[Difference Winner]:[Difference Candidate 12]])</f>
        <v>0</v>
      </c>
      <c r="AS1042" s="18">
        <f>IF(Audit[[#This Row],[Times p Drawn - With Replacement]]&gt;0, IF(Audit[[#This Row],[Canceled Differences]]&lt;0, Audit[[#This Row],[Max Differences]]+ABS(Audit[[#This Row],[Canceled Differences]]), Audit[[#This Row],[Max Differences]]), 0)</f>
        <v>0</v>
      </c>
      <c r="AT1042" s="18">
        <f>'Sampling Data'!AB1042</f>
        <v>6.2819989320601809E-5</v>
      </c>
      <c r="AU1042" s="18">
        <f>IF(
      SUM(Audit[[#This Row],[Audit Losing Candidate]:[Audit Candidate 12]])
      &lt;&gt;0,
      (Audit[[#This Row],[Winning Candidate]]-Audit[[#This Row],[Losing Candidate]]-(Audit[[#This Row],[Audit Winning Candidate]]-Audit[[#This Row],[Audit Losing Candidate]]))/(Audit[[#Totals],[Winning Candidate]]-Audit[[#Totals],[Losing Candidate]]),
      0
)</f>
        <v>0</v>
      </c>
      <c r="AV104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8">
        <f>IF(Audit[[#This Row],[Max Relative Error (ep)]] = 0, 0, Audit[[#This Row],[Max Relative Error (ep)]]/Audit[[#This Row],[Error Bound (up) - Max. possible relative overstatement]])</f>
        <v>0</v>
      </c>
      <c r="BH104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2" s="18">
        <f t="shared" si="17"/>
        <v>1</v>
      </c>
      <c r="BJ1042" s="18">
        <f>PRODUCT($BI$5:BI1042)</f>
        <v>0.10664664085196122</v>
      </c>
      <c r="BK1042" s="20">
        <f>1 - Audit[[#This Row],[K-M P Value]]</f>
        <v>0.89335335914803882</v>
      </c>
      <c r="BL1042" s="18" t="str">
        <f>IF(Audit[[#This Row],[K-M P Value]]&gt;1-'General Info'!$B$12,"Continue", "Stop")</f>
        <v>Continue</v>
      </c>
      <c r="BM1042" s="23" t="b">
        <f>IF(Audit[[#This Row],[Status - Continue or stop audit]] = "Continue", TRUE, IF(BL1041 = "Continue", TRUE, FALSE))</f>
        <v>1</v>
      </c>
      <c r="BN1042" s="23"/>
    </row>
    <row r="1043" spans="1:66" ht="15" hidden="1" customHeight="1" x14ac:dyDescent="0.35">
      <c r="A1043" s="18" t="str">
        <f>'Sampling Data'!AI1043</f>
        <v/>
      </c>
      <c r="B1043" s="18" t="str">
        <f>'Sampling Data'!A1043</f>
        <v>7702 LIN HT B   (ED)</v>
      </c>
      <c r="C1043" s="18">
        <f>'Sampling Data'!B1043</f>
        <v>0</v>
      </c>
      <c r="D1043" s="18">
        <f>'Sampling Data'!C1043</f>
        <v>0</v>
      </c>
      <c r="E1043" s="19">
        <f>'Sampling Data'!D1043</f>
        <v>0</v>
      </c>
      <c r="F1043" s="19">
        <f>'Sampling Data'!E1043</f>
        <v>0</v>
      </c>
      <c r="G1043" s="19">
        <f>'Sampling Data'!F1043</f>
        <v>0</v>
      </c>
      <c r="H1043" s="19">
        <f>'Sampling Data'!G1043</f>
        <v>0</v>
      </c>
      <c r="I1043" s="19">
        <f>'Sampling Data'!H1043</f>
        <v>0</v>
      </c>
      <c r="J1043" s="19">
        <f>'Sampling Data'!I1043</f>
        <v>0</v>
      </c>
      <c r="K1043" s="19">
        <f>'Sampling Data'!J1043</f>
        <v>0</v>
      </c>
      <c r="L1043" s="19">
        <f>'Sampling Data'!K1043</f>
        <v>0</v>
      </c>
      <c r="M1043" s="19">
        <f>'Sampling Data'!L1043</f>
        <v>0</v>
      </c>
      <c r="N1043" s="19">
        <f>'Sampling Data'!M1043</f>
        <v>0</v>
      </c>
      <c r="O1043" s="18">
        <f>'Sampling Data'!N1043</f>
        <v>0</v>
      </c>
      <c r="P1043" s="18">
        <f>'Sampling Data'!O1043</f>
        <v>0</v>
      </c>
      <c r="Q1043" s="18">
        <f>'Sampling Data'!P1043</f>
        <v>0</v>
      </c>
      <c r="R1043" s="18">
        <f>'Sampling Data'!AJ1043</f>
        <v>0</v>
      </c>
      <c r="S1043" s="112"/>
      <c r="T1043" s="112"/>
      <c r="U1043" s="113"/>
      <c r="V1043" s="113"/>
      <c r="W1043" s="112"/>
      <c r="X1043" s="112"/>
      <c r="Y1043" s="112"/>
      <c r="Z1043" s="112"/>
      <c r="AA1043" s="15"/>
      <c r="AB1043" s="15"/>
      <c r="AC1043" s="15"/>
      <c r="AD1043" s="15"/>
      <c r="AE1043" s="114" t="str">
        <f>IF(NOT(ISBLANK(Audit[[#This Row],[Audit Winning Candidate]])), Audit[[#This Row],[Audit Winning Candidate]]-Audit[[#This Row],[Winning Candidate]], "")</f>
        <v/>
      </c>
      <c r="AF1043" s="18" t="str">
        <f>IF(NOT(ISBLANK(Audit[[#This Row],[Audit Losing Candidate]])), Audit[[#This Row],[Audit Losing Candidate]]-Audit[[#This Row],[Losing Candidate]], "")</f>
        <v/>
      </c>
      <c r="AG1043" s="18" t="str">
        <f>IF(NOT(ISBLANK(Audit[[#This Row],[Audit Candidate 3]])), Audit[[#This Row],[Audit Candidate 3]]-Audit[[#This Row],[Candidate 3]], "")</f>
        <v/>
      </c>
      <c r="AH1043" s="18" t="str">
        <f>IF(NOT(ISBLANK(Audit[[#This Row],[Audit Candidate 4]])),Audit[[#This Row],[Audit Candidate 4]]-Audit[[#This Row],[Candidate 4]], "")</f>
        <v/>
      </c>
      <c r="AI1043" s="18" t="str">
        <f>IF(NOT(ISBLANK(Audit[[#This Row],[Audit Candidate 5]])), Audit[[#This Row],[Audit Candidate 5]]-Audit[[#This Row],[Candidate 5]], "")</f>
        <v/>
      </c>
      <c r="AJ1043" s="18" t="str">
        <f>IF(NOT(ISBLANK(Audit[[#This Row],[Audit Candidate 6]])), Audit[[#This Row],[Audit Candidate 6]]-Audit[[#This Row],[Candidate 6]], "")</f>
        <v/>
      </c>
      <c r="AK1043" s="18" t="str">
        <f>IF(NOT(ISBLANK(Audit[[#This Row],[Audit Candidate 7]])), Audit[[#This Row],[Audit Candidate 7]]-Audit[[#This Row],[Candidate 7]], "")</f>
        <v/>
      </c>
      <c r="AL1043" s="18" t="str">
        <f>IF(NOT(ISBLANK(Audit[[#This Row],[Audit Candidate 8]])), Audit[[#This Row],[Audit Candidate 8]]-Audit[[#This Row],[Candidate 8]], "")</f>
        <v/>
      </c>
      <c r="AM1043" s="18" t="str">
        <f>IF(NOT(ISBLANK(Audit[[#This Row],[Audit Candidate 9]])), Audit[[#This Row],[Audit Candidate 9]]-Audit[[#This Row],[Candidate 9]], "")</f>
        <v/>
      </c>
      <c r="AN1043" s="18" t="str">
        <f>IF(NOT(ISBLANK(Audit[[#This Row],[Audit Candidate 10]])), Audit[[#This Row],[Audit Candidate 10]]-Audit[[#This Row],[Candidate 10]], "")</f>
        <v/>
      </c>
      <c r="AO1043" s="18" t="str">
        <f>IF(NOT(ISBLANK(Audit[[#This Row],[Audit Candidate 11]])), Audit[[#This Row],[Audit Candidate 11]]-Audit[[#This Row],[Candidate 11]], "")</f>
        <v/>
      </c>
      <c r="AP1043" s="18" t="str">
        <f>IF(NOT(ISBLANK(Audit[[#This Row],[Audit Candidate 12]])), Audit[[#This Row],[Audit Candidate 12]]-Audit[[#This Row],[Candidate 12]], "")</f>
        <v/>
      </c>
      <c r="AQ1043" s="18">
        <f>SUMIF(Audit[[#This Row],[Difference Winner]:[Difference Candidate 12]], "&gt;0")</f>
        <v>0</v>
      </c>
      <c r="AR1043" s="18">
        <f>SUM(Audit[[#This Row],[Difference Winner]:[Difference Candidate 12]])</f>
        <v>0</v>
      </c>
      <c r="AS1043" s="18">
        <f>IF(Audit[[#This Row],[Times p Drawn - With Replacement]]&gt;0, IF(Audit[[#This Row],[Canceled Differences]]&lt;0, Audit[[#This Row],[Max Differences]]+ABS(Audit[[#This Row],[Canceled Differences]]), Audit[[#This Row],[Max Differences]]), 0)</f>
        <v>0</v>
      </c>
      <c r="AT1043" s="18">
        <f>'Sampling Data'!AB1043</f>
        <v>0</v>
      </c>
      <c r="AU1043" s="18">
        <f>IF(
      SUM(Audit[[#This Row],[Audit Losing Candidate]:[Audit Candidate 12]])
      &lt;&gt;0,
      (Audit[[#This Row],[Winning Candidate]]-Audit[[#This Row],[Losing Candidate]]-(Audit[[#This Row],[Audit Winning Candidate]]-Audit[[#This Row],[Audit Losing Candidate]]))/(Audit[[#Totals],[Winning Candidate]]-Audit[[#Totals],[Losing Candidate]]),
      0
)</f>
        <v>0</v>
      </c>
      <c r="AV104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8">
        <f>IF(Audit[[#This Row],[Max Relative Error (ep)]] = 0, 0, Audit[[#This Row],[Max Relative Error (ep)]]/Audit[[#This Row],[Error Bound (up) - Max. possible relative overstatement]])</f>
        <v>0</v>
      </c>
      <c r="BH104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3" s="18">
        <f t="shared" si="17"/>
        <v>1</v>
      </c>
      <c r="BJ1043" s="18">
        <f>PRODUCT($BI$5:BI1043)</f>
        <v>0.10664664085196122</v>
      </c>
      <c r="BK1043" s="20">
        <f>1 - Audit[[#This Row],[K-M P Value]]</f>
        <v>0.89335335914803882</v>
      </c>
      <c r="BL1043" s="18" t="str">
        <f>IF(Audit[[#This Row],[K-M P Value]]&gt;1-'General Info'!$B$12,"Continue", "Stop")</f>
        <v>Continue</v>
      </c>
      <c r="BM1043" s="23" t="b">
        <f>IF(Audit[[#This Row],[Status - Continue or stop audit]] = "Continue", TRUE, IF(BL1042 = "Continue", TRUE, FALSE))</f>
        <v>1</v>
      </c>
      <c r="BN1043" s="23"/>
    </row>
    <row r="1044" spans="1:66" ht="15" hidden="1" customHeight="1" x14ac:dyDescent="0.35">
      <c r="A1044" s="18" t="str">
        <f>'Sampling Data'!AI1044</f>
        <v/>
      </c>
      <c r="B1044" s="18" t="str">
        <f>'Sampling Data'!A1044</f>
        <v>7901 LOCK A   (ED)</v>
      </c>
      <c r="C1044" s="18">
        <f>'Sampling Data'!B1044</f>
        <v>31</v>
      </c>
      <c r="D1044" s="18">
        <f>'Sampling Data'!C1044</f>
        <v>6</v>
      </c>
      <c r="E1044" s="19">
        <f>'Sampling Data'!D1044</f>
        <v>0</v>
      </c>
      <c r="F1044" s="19">
        <f>'Sampling Data'!E1044</f>
        <v>0</v>
      </c>
      <c r="G1044" s="19">
        <f>'Sampling Data'!F1044</f>
        <v>0</v>
      </c>
      <c r="H1044" s="19">
        <f>'Sampling Data'!G1044</f>
        <v>0</v>
      </c>
      <c r="I1044" s="19">
        <f>'Sampling Data'!H1044</f>
        <v>0</v>
      </c>
      <c r="J1044" s="19">
        <f>'Sampling Data'!I1044</f>
        <v>0</v>
      </c>
      <c r="K1044" s="19">
        <f>'Sampling Data'!J1044</f>
        <v>0</v>
      </c>
      <c r="L1044" s="19">
        <f>'Sampling Data'!K1044</f>
        <v>0</v>
      </c>
      <c r="M1044" s="19">
        <f>'Sampling Data'!L1044</f>
        <v>0</v>
      </c>
      <c r="N1044" s="19">
        <f>'Sampling Data'!M1044</f>
        <v>0</v>
      </c>
      <c r="O1044" s="18">
        <f>'Sampling Data'!N1044</f>
        <v>0</v>
      </c>
      <c r="P1044" s="18">
        <f>'Sampling Data'!O1044</f>
        <v>0</v>
      </c>
      <c r="Q1044" s="18">
        <f>'Sampling Data'!P1044</f>
        <v>37</v>
      </c>
      <c r="R1044" s="18">
        <f>'Sampling Data'!AJ1044</f>
        <v>0</v>
      </c>
      <c r="S1044" s="112"/>
      <c r="T1044" s="112"/>
      <c r="U1044" s="113"/>
      <c r="V1044" s="113"/>
      <c r="W1044" s="112"/>
      <c r="X1044" s="112"/>
      <c r="Y1044" s="112"/>
      <c r="Z1044" s="112"/>
      <c r="AA1044" s="15"/>
      <c r="AB1044" s="15"/>
      <c r="AC1044" s="15"/>
      <c r="AD1044" s="15"/>
      <c r="AE1044" s="114" t="str">
        <f>IF(NOT(ISBLANK(Audit[[#This Row],[Audit Winning Candidate]])), Audit[[#This Row],[Audit Winning Candidate]]-Audit[[#This Row],[Winning Candidate]], "")</f>
        <v/>
      </c>
      <c r="AF1044" s="18" t="str">
        <f>IF(NOT(ISBLANK(Audit[[#This Row],[Audit Losing Candidate]])), Audit[[#This Row],[Audit Losing Candidate]]-Audit[[#This Row],[Losing Candidate]], "")</f>
        <v/>
      </c>
      <c r="AG1044" s="18" t="str">
        <f>IF(NOT(ISBLANK(Audit[[#This Row],[Audit Candidate 3]])), Audit[[#This Row],[Audit Candidate 3]]-Audit[[#This Row],[Candidate 3]], "")</f>
        <v/>
      </c>
      <c r="AH1044" s="18" t="str">
        <f>IF(NOT(ISBLANK(Audit[[#This Row],[Audit Candidate 4]])),Audit[[#This Row],[Audit Candidate 4]]-Audit[[#This Row],[Candidate 4]], "")</f>
        <v/>
      </c>
      <c r="AI1044" s="18" t="str">
        <f>IF(NOT(ISBLANK(Audit[[#This Row],[Audit Candidate 5]])), Audit[[#This Row],[Audit Candidate 5]]-Audit[[#This Row],[Candidate 5]], "")</f>
        <v/>
      </c>
      <c r="AJ1044" s="18" t="str">
        <f>IF(NOT(ISBLANK(Audit[[#This Row],[Audit Candidate 6]])), Audit[[#This Row],[Audit Candidate 6]]-Audit[[#This Row],[Candidate 6]], "")</f>
        <v/>
      </c>
      <c r="AK1044" s="18" t="str">
        <f>IF(NOT(ISBLANK(Audit[[#This Row],[Audit Candidate 7]])), Audit[[#This Row],[Audit Candidate 7]]-Audit[[#This Row],[Candidate 7]], "")</f>
        <v/>
      </c>
      <c r="AL1044" s="18" t="str">
        <f>IF(NOT(ISBLANK(Audit[[#This Row],[Audit Candidate 8]])), Audit[[#This Row],[Audit Candidate 8]]-Audit[[#This Row],[Candidate 8]], "")</f>
        <v/>
      </c>
      <c r="AM1044" s="18" t="str">
        <f>IF(NOT(ISBLANK(Audit[[#This Row],[Audit Candidate 9]])), Audit[[#This Row],[Audit Candidate 9]]-Audit[[#This Row],[Candidate 9]], "")</f>
        <v/>
      </c>
      <c r="AN1044" s="18" t="str">
        <f>IF(NOT(ISBLANK(Audit[[#This Row],[Audit Candidate 10]])), Audit[[#This Row],[Audit Candidate 10]]-Audit[[#This Row],[Candidate 10]], "")</f>
        <v/>
      </c>
      <c r="AO1044" s="18" t="str">
        <f>IF(NOT(ISBLANK(Audit[[#This Row],[Audit Candidate 11]])), Audit[[#This Row],[Audit Candidate 11]]-Audit[[#This Row],[Candidate 11]], "")</f>
        <v/>
      </c>
      <c r="AP1044" s="18" t="str">
        <f>IF(NOT(ISBLANK(Audit[[#This Row],[Audit Candidate 12]])), Audit[[#This Row],[Audit Candidate 12]]-Audit[[#This Row],[Candidate 12]], "")</f>
        <v/>
      </c>
      <c r="AQ1044" s="18">
        <f>SUMIF(Audit[[#This Row],[Difference Winner]:[Difference Candidate 12]], "&gt;0")</f>
        <v>0</v>
      </c>
      <c r="AR1044" s="18">
        <f>SUM(Audit[[#This Row],[Difference Winner]:[Difference Candidate 12]])</f>
        <v>0</v>
      </c>
      <c r="AS1044" s="18">
        <f>IF(Audit[[#This Row],[Times p Drawn - With Replacement]]&gt;0, IF(Audit[[#This Row],[Canceled Differences]]&lt;0, Audit[[#This Row],[Max Differences]]+ABS(Audit[[#This Row],[Canceled Differences]]), Audit[[#This Row],[Max Differences]]), 0)</f>
        <v>0</v>
      </c>
      <c r="AT1044" s="18">
        <f>'Sampling Data'!AB1044</f>
        <v>1.9474196689386564E-3</v>
      </c>
      <c r="AU1044" s="18">
        <f>IF(
      SUM(Audit[[#This Row],[Audit Losing Candidate]:[Audit Candidate 12]])
      &lt;&gt;0,
      (Audit[[#This Row],[Winning Candidate]]-Audit[[#This Row],[Losing Candidate]]-(Audit[[#This Row],[Audit Winning Candidate]]-Audit[[#This Row],[Audit Losing Candidate]]))/(Audit[[#Totals],[Winning Candidate]]-Audit[[#Totals],[Losing Candidate]]),
      0
)</f>
        <v>0</v>
      </c>
      <c r="AV104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8">
        <f>IF(Audit[[#This Row],[Max Relative Error (ep)]] = 0, 0, Audit[[#This Row],[Max Relative Error (ep)]]/Audit[[#This Row],[Error Bound (up) - Max. possible relative overstatement]])</f>
        <v>0</v>
      </c>
      <c r="BH104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4" s="18">
        <f t="shared" si="17"/>
        <v>1</v>
      </c>
      <c r="BJ1044" s="18">
        <f>PRODUCT($BI$5:BI1044)</f>
        <v>0.10664664085196122</v>
      </c>
      <c r="BK1044" s="20">
        <f>1 - Audit[[#This Row],[K-M P Value]]</f>
        <v>0.89335335914803882</v>
      </c>
      <c r="BL1044" s="18" t="str">
        <f>IF(Audit[[#This Row],[K-M P Value]]&gt;1-'General Info'!$B$12,"Continue", "Stop")</f>
        <v>Continue</v>
      </c>
      <c r="BM1044" s="23" t="b">
        <f>IF(Audit[[#This Row],[Status - Continue or stop audit]] = "Continue", TRUE, IF(BL1043 = "Continue", TRUE, FALSE))</f>
        <v>1</v>
      </c>
      <c r="BN1044" s="23"/>
    </row>
    <row r="1045" spans="1:66" ht="15" hidden="1" customHeight="1" x14ac:dyDescent="0.35">
      <c r="A1045" s="18" t="str">
        <f>'Sampling Data'!AI1045</f>
        <v/>
      </c>
      <c r="B1045" s="18" t="str">
        <f>'Sampling Data'!A1045</f>
        <v>7902 LOCK B   (ED)</v>
      </c>
      <c r="C1045" s="18">
        <f>'Sampling Data'!B1045</f>
        <v>49</v>
      </c>
      <c r="D1045" s="18">
        <f>'Sampling Data'!C1045</f>
        <v>6</v>
      </c>
      <c r="E1045" s="19">
        <f>'Sampling Data'!D1045</f>
        <v>0</v>
      </c>
      <c r="F1045" s="19">
        <f>'Sampling Data'!E1045</f>
        <v>0</v>
      </c>
      <c r="G1045" s="19">
        <f>'Sampling Data'!F1045</f>
        <v>0</v>
      </c>
      <c r="H1045" s="19">
        <f>'Sampling Data'!G1045</f>
        <v>0</v>
      </c>
      <c r="I1045" s="19">
        <f>'Sampling Data'!H1045</f>
        <v>0</v>
      </c>
      <c r="J1045" s="19">
        <f>'Sampling Data'!I1045</f>
        <v>0</v>
      </c>
      <c r="K1045" s="19">
        <f>'Sampling Data'!J1045</f>
        <v>0</v>
      </c>
      <c r="L1045" s="19">
        <f>'Sampling Data'!K1045</f>
        <v>0</v>
      </c>
      <c r="M1045" s="19">
        <f>'Sampling Data'!L1045</f>
        <v>0</v>
      </c>
      <c r="N1045" s="19">
        <f>'Sampling Data'!M1045</f>
        <v>0</v>
      </c>
      <c r="O1045" s="18">
        <f>'Sampling Data'!N1045</f>
        <v>0</v>
      </c>
      <c r="P1045" s="18">
        <f>'Sampling Data'!O1045</f>
        <v>0</v>
      </c>
      <c r="Q1045" s="18">
        <f>'Sampling Data'!P1045</f>
        <v>55</v>
      </c>
      <c r="R1045" s="18">
        <f>'Sampling Data'!AJ1045</f>
        <v>0</v>
      </c>
      <c r="S1045" s="112"/>
      <c r="T1045" s="112"/>
      <c r="U1045" s="113"/>
      <c r="V1045" s="113"/>
      <c r="W1045" s="112"/>
      <c r="X1045" s="112"/>
      <c r="Y1045" s="112"/>
      <c r="Z1045" s="112"/>
      <c r="AA1045" s="15"/>
      <c r="AB1045" s="15"/>
      <c r="AC1045" s="15"/>
      <c r="AD1045" s="15"/>
      <c r="AE1045" s="114" t="str">
        <f>IF(NOT(ISBLANK(Audit[[#This Row],[Audit Winning Candidate]])), Audit[[#This Row],[Audit Winning Candidate]]-Audit[[#This Row],[Winning Candidate]], "")</f>
        <v/>
      </c>
      <c r="AF1045" s="18" t="str">
        <f>IF(NOT(ISBLANK(Audit[[#This Row],[Audit Losing Candidate]])), Audit[[#This Row],[Audit Losing Candidate]]-Audit[[#This Row],[Losing Candidate]], "")</f>
        <v/>
      </c>
      <c r="AG1045" s="18" t="str">
        <f>IF(NOT(ISBLANK(Audit[[#This Row],[Audit Candidate 3]])), Audit[[#This Row],[Audit Candidate 3]]-Audit[[#This Row],[Candidate 3]], "")</f>
        <v/>
      </c>
      <c r="AH1045" s="18" t="str">
        <f>IF(NOT(ISBLANK(Audit[[#This Row],[Audit Candidate 4]])),Audit[[#This Row],[Audit Candidate 4]]-Audit[[#This Row],[Candidate 4]], "")</f>
        <v/>
      </c>
      <c r="AI1045" s="18" t="str">
        <f>IF(NOT(ISBLANK(Audit[[#This Row],[Audit Candidate 5]])), Audit[[#This Row],[Audit Candidate 5]]-Audit[[#This Row],[Candidate 5]], "")</f>
        <v/>
      </c>
      <c r="AJ1045" s="18" t="str">
        <f>IF(NOT(ISBLANK(Audit[[#This Row],[Audit Candidate 6]])), Audit[[#This Row],[Audit Candidate 6]]-Audit[[#This Row],[Candidate 6]], "")</f>
        <v/>
      </c>
      <c r="AK1045" s="18" t="str">
        <f>IF(NOT(ISBLANK(Audit[[#This Row],[Audit Candidate 7]])), Audit[[#This Row],[Audit Candidate 7]]-Audit[[#This Row],[Candidate 7]], "")</f>
        <v/>
      </c>
      <c r="AL1045" s="18" t="str">
        <f>IF(NOT(ISBLANK(Audit[[#This Row],[Audit Candidate 8]])), Audit[[#This Row],[Audit Candidate 8]]-Audit[[#This Row],[Candidate 8]], "")</f>
        <v/>
      </c>
      <c r="AM1045" s="18" t="str">
        <f>IF(NOT(ISBLANK(Audit[[#This Row],[Audit Candidate 9]])), Audit[[#This Row],[Audit Candidate 9]]-Audit[[#This Row],[Candidate 9]], "")</f>
        <v/>
      </c>
      <c r="AN1045" s="18" t="str">
        <f>IF(NOT(ISBLANK(Audit[[#This Row],[Audit Candidate 10]])), Audit[[#This Row],[Audit Candidate 10]]-Audit[[#This Row],[Candidate 10]], "")</f>
        <v/>
      </c>
      <c r="AO1045" s="18" t="str">
        <f>IF(NOT(ISBLANK(Audit[[#This Row],[Audit Candidate 11]])), Audit[[#This Row],[Audit Candidate 11]]-Audit[[#This Row],[Candidate 11]], "")</f>
        <v/>
      </c>
      <c r="AP1045" s="18" t="str">
        <f>IF(NOT(ISBLANK(Audit[[#This Row],[Audit Candidate 12]])), Audit[[#This Row],[Audit Candidate 12]]-Audit[[#This Row],[Candidate 12]], "")</f>
        <v/>
      </c>
      <c r="AQ1045" s="18">
        <f>SUMIF(Audit[[#This Row],[Difference Winner]:[Difference Candidate 12]], "&gt;0")</f>
        <v>0</v>
      </c>
      <c r="AR1045" s="18">
        <f>SUM(Audit[[#This Row],[Difference Winner]:[Difference Candidate 12]])</f>
        <v>0</v>
      </c>
      <c r="AS1045" s="18">
        <f>IF(Audit[[#This Row],[Times p Drawn - With Replacement]]&gt;0, IF(Audit[[#This Row],[Canceled Differences]]&lt;0, Audit[[#This Row],[Max Differences]]+ABS(Audit[[#This Row],[Canceled Differences]]), Audit[[#This Row],[Max Differences]]), 0)</f>
        <v>0</v>
      </c>
      <c r="AT1045" s="18">
        <f>'Sampling Data'!AB1045</f>
        <v>3.0781794767094891E-3</v>
      </c>
      <c r="AU1045" s="18">
        <f>IF(
      SUM(Audit[[#This Row],[Audit Losing Candidate]:[Audit Candidate 12]])
      &lt;&gt;0,
      (Audit[[#This Row],[Winning Candidate]]-Audit[[#This Row],[Losing Candidate]]-(Audit[[#This Row],[Audit Winning Candidate]]-Audit[[#This Row],[Audit Losing Candidate]]))/(Audit[[#Totals],[Winning Candidate]]-Audit[[#Totals],[Losing Candidate]]),
      0
)</f>
        <v>0</v>
      </c>
      <c r="AV104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8">
        <f>IF(Audit[[#This Row],[Max Relative Error (ep)]] = 0, 0, Audit[[#This Row],[Max Relative Error (ep)]]/Audit[[#This Row],[Error Bound (up) - Max. possible relative overstatement]])</f>
        <v>0</v>
      </c>
      <c r="BH104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5" s="18">
        <f t="shared" si="17"/>
        <v>1</v>
      </c>
      <c r="BJ1045" s="18">
        <f>PRODUCT($BI$5:BI1045)</f>
        <v>0.10664664085196122</v>
      </c>
      <c r="BK1045" s="20">
        <f>1 - Audit[[#This Row],[K-M P Value]]</f>
        <v>0.89335335914803882</v>
      </c>
      <c r="BL1045" s="18" t="str">
        <f>IF(Audit[[#This Row],[K-M P Value]]&gt;1-'General Info'!$B$12,"Continue", "Stop")</f>
        <v>Continue</v>
      </c>
      <c r="BM1045" s="23" t="b">
        <f>IF(Audit[[#This Row],[Status - Continue or stop audit]] = "Continue", TRUE, IF(BL1044 = "Continue", TRUE, FALSE))</f>
        <v>1</v>
      </c>
      <c r="BN1045" s="23"/>
    </row>
    <row r="1046" spans="1:66" ht="15" hidden="1" customHeight="1" x14ac:dyDescent="0.35">
      <c r="A1046" s="18" t="str">
        <f>'Sampling Data'!AI1046</f>
        <v/>
      </c>
      <c r="B1046" s="18" t="str">
        <f>'Sampling Data'!A1046</f>
        <v>8001 MARMT A   (ED)</v>
      </c>
      <c r="C1046" s="18">
        <f>'Sampling Data'!B1046</f>
        <v>75</v>
      </c>
      <c r="D1046" s="18">
        <f>'Sampling Data'!C1046</f>
        <v>12</v>
      </c>
      <c r="E1046" s="19">
        <f>'Sampling Data'!D1046</f>
        <v>0</v>
      </c>
      <c r="F1046" s="19">
        <f>'Sampling Data'!E1046</f>
        <v>0</v>
      </c>
      <c r="G1046" s="19">
        <f>'Sampling Data'!F1046</f>
        <v>0</v>
      </c>
      <c r="H1046" s="19">
        <f>'Sampling Data'!G1046</f>
        <v>0</v>
      </c>
      <c r="I1046" s="19">
        <f>'Sampling Data'!H1046</f>
        <v>0</v>
      </c>
      <c r="J1046" s="19">
        <f>'Sampling Data'!I1046</f>
        <v>0</v>
      </c>
      <c r="K1046" s="19">
        <f>'Sampling Data'!J1046</f>
        <v>0</v>
      </c>
      <c r="L1046" s="19">
        <f>'Sampling Data'!K1046</f>
        <v>0</v>
      </c>
      <c r="M1046" s="19">
        <f>'Sampling Data'!L1046</f>
        <v>0</v>
      </c>
      <c r="N1046" s="19">
        <f>'Sampling Data'!M1046</f>
        <v>0</v>
      </c>
      <c r="O1046" s="18">
        <f>'Sampling Data'!N1046</f>
        <v>0</v>
      </c>
      <c r="P1046" s="18">
        <f>'Sampling Data'!O1046</f>
        <v>0</v>
      </c>
      <c r="Q1046" s="18">
        <f>'Sampling Data'!P1046</f>
        <v>87</v>
      </c>
      <c r="R1046" s="18">
        <f>'Sampling Data'!AJ1046</f>
        <v>0</v>
      </c>
      <c r="S1046" s="112"/>
      <c r="T1046" s="112"/>
      <c r="U1046" s="113"/>
      <c r="V1046" s="113"/>
      <c r="W1046" s="112"/>
      <c r="X1046" s="112"/>
      <c r="Y1046" s="112"/>
      <c r="Z1046" s="112"/>
      <c r="AA1046" s="15"/>
      <c r="AB1046" s="15"/>
      <c r="AC1046" s="15"/>
      <c r="AD1046" s="15"/>
      <c r="AE1046" s="114" t="str">
        <f>IF(NOT(ISBLANK(Audit[[#This Row],[Audit Winning Candidate]])), Audit[[#This Row],[Audit Winning Candidate]]-Audit[[#This Row],[Winning Candidate]], "")</f>
        <v/>
      </c>
      <c r="AF1046" s="18" t="str">
        <f>IF(NOT(ISBLANK(Audit[[#This Row],[Audit Losing Candidate]])), Audit[[#This Row],[Audit Losing Candidate]]-Audit[[#This Row],[Losing Candidate]], "")</f>
        <v/>
      </c>
      <c r="AG1046" s="18" t="str">
        <f>IF(NOT(ISBLANK(Audit[[#This Row],[Audit Candidate 3]])), Audit[[#This Row],[Audit Candidate 3]]-Audit[[#This Row],[Candidate 3]], "")</f>
        <v/>
      </c>
      <c r="AH1046" s="18" t="str">
        <f>IF(NOT(ISBLANK(Audit[[#This Row],[Audit Candidate 4]])),Audit[[#This Row],[Audit Candidate 4]]-Audit[[#This Row],[Candidate 4]], "")</f>
        <v/>
      </c>
      <c r="AI1046" s="18" t="str">
        <f>IF(NOT(ISBLANK(Audit[[#This Row],[Audit Candidate 5]])), Audit[[#This Row],[Audit Candidate 5]]-Audit[[#This Row],[Candidate 5]], "")</f>
        <v/>
      </c>
      <c r="AJ1046" s="18" t="str">
        <f>IF(NOT(ISBLANK(Audit[[#This Row],[Audit Candidate 6]])), Audit[[#This Row],[Audit Candidate 6]]-Audit[[#This Row],[Candidate 6]], "")</f>
        <v/>
      </c>
      <c r="AK1046" s="18" t="str">
        <f>IF(NOT(ISBLANK(Audit[[#This Row],[Audit Candidate 7]])), Audit[[#This Row],[Audit Candidate 7]]-Audit[[#This Row],[Candidate 7]], "")</f>
        <v/>
      </c>
      <c r="AL1046" s="18" t="str">
        <f>IF(NOT(ISBLANK(Audit[[#This Row],[Audit Candidate 8]])), Audit[[#This Row],[Audit Candidate 8]]-Audit[[#This Row],[Candidate 8]], "")</f>
        <v/>
      </c>
      <c r="AM1046" s="18" t="str">
        <f>IF(NOT(ISBLANK(Audit[[#This Row],[Audit Candidate 9]])), Audit[[#This Row],[Audit Candidate 9]]-Audit[[#This Row],[Candidate 9]], "")</f>
        <v/>
      </c>
      <c r="AN1046" s="18" t="str">
        <f>IF(NOT(ISBLANK(Audit[[#This Row],[Audit Candidate 10]])), Audit[[#This Row],[Audit Candidate 10]]-Audit[[#This Row],[Candidate 10]], "")</f>
        <v/>
      </c>
      <c r="AO1046" s="18" t="str">
        <f>IF(NOT(ISBLANK(Audit[[#This Row],[Audit Candidate 11]])), Audit[[#This Row],[Audit Candidate 11]]-Audit[[#This Row],[Candidate 11]], "")</f>
        <v/>
      </c>
      <c r="AP1046" s="18" t="str">
        <f>IF(NOT(ISBLANK(Audit[[#This Row],[Audit Candidate 12]])), Audit[[#This Row],[Audit Candidate 12]]-Audit[[#This Row],[Candidate 12]], "")</f>
        <v/>
      </c>
      <c r="AQ1046" s="18">
        <f>SUMIF(Audit[[#This Row],[Difference Winner]:[Difference Candidate 12]], "&gt;0")</f>
        <v>0</v>
      </c>
      <c r="AR1046" s="18">
        <f>SUM(Audit[[#This Row],[Difference Winner]:[Difference Candidate 12]])</f>
        <v>0</v>
      </c>
      <c r="AS1046" s="18">
        <f>IF(Audit[[#This Row],[Times p Drawn - With Replacement]]&gt;0, IF(Audit[[#This Row],[Canceled Differences]]&lt;0, Audit[[#This Row],[Max Differences]]+ABS(Audit[[#This Row],[Canceled Differences]]), Audit[[#This Row],[Max Differences]]), 0)</f>
        <v>0</v>
      </c>
      <c r="AT1046" s="18">
        <f>'Sampling Data'!AB1046</f>
        <v>4.7114991990451363E-3</v>
      </c>
      <c r="AU1046" s="18">
        <f>IF(
      SUM(Audit[[#This Row],[Audit Losing Candidate]:[Audit Candidate 12]])
      &lt;&gt;0,
      (Audit[[#This Row],[Winning Candidate]]-Audit[[#This Row],[Losing Candidate]]-(Audit[[#This Row],[Audit Winning Candidate]]-Audit[[#This Row],[Audit Losing Candidate]]))/(Audit[[#Totals],[Winning Candidate]]-Audit[[#Totals],[Losing Candidate]]),
      0
)</f>
        <v>0</v>
      </c>
      <c r="AV104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8">
        <f>IF(Audit[[#This Row],[Max Relative Error (ep)]] = 0, 0, Audit[[#This Row],[Max Relative Error (ep)]]/Audit[[#This Row],[Error Bound (up) - Max. possible relative overstatement]])</f>
        <v>0</v>
      </c>
      <c r="BH104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6" s="18">
        <f t="shared" si="17"/>
        <v>1</v>
      </c>
      <c r="BJ1046" s="18">
        <f>PRODUCT($BI$5:BI1046)</f>
        <v>0.10664664085196122</v>
      </c>
      <c r="BK1046" s="20">
        <f>1 - Audit[[#This Row],[K-M P Value]]</f>
        <v>0.89335335914803882</v>
      </c>
      <c r="BL1046" s="18" t="str">
        <f>IF(Audit[[#This Row],[K-M P Value]]&gt;1-'General Info'!$B$12,"Continue", "Stop")</f>
        <v>Continue</v>
      </c>
      <c r="BM1046" s="23" t="b">
        <f>IF(Audit[[#This Row],[Status - Continue or stop audit]] = "Continue", TRUE, IF(BL1045 = "Continue", TRUE, FALSE))</f>
        <v>1</v>
      </c>
      <c r="BN1046" s="23"/>
    </row>
    <row r="1047" spans="1:66" ht="15" hidden="1" customHeight="1" x14ac:dyDescent="0.35">
      <c r="A1047" s="18" t="str">
        <f>'Sampling Data'!AI1047</f>
        <v/>
      </c>
      <c r="B1047" s="18" t="str">
        <f>'Sampling Data'!A1047</f>
        <v>8002 MARMT B   (ED)</v>
      </c>
      <c r="C1047" s="18">
        <f>'Sampling Data'!B1047</f>
        <v>60</v>
      </c>
      <c r="D1047" s="18">
        <f>'Sampling Data'!C1047</f>
        <v>18</v>
      </c>
      <c r="E1047" s="19">
        <f>'Sampling Data'!D1047</f>
        <v>0</v>
      </c>
      <c r="F1047" s="19">
        <f>'Sampling Data'!E1047</f>
        <v>0</v>
      </c>
      <c r="G1047" s="19">
        <f>'Sampling Data'!F1047</f>
        <v>0</v>
      </c>
      <c r="H1047" s="19">
        <f>'Sampling Data'!G1047</f>
        <v>0</v>
      </c>
      <c r="I1047" s="19">
        <f>'Sampling Data'!H1047</f>
        <v>0</v>
      </c>
      <c r="J1047" s="19">
        <f>'Sampling Data'!I1047</f>
        <v>0</v>
      </c>
      <c r="K1047" s="19">
        <f>'Sampling Data'!J1047</f>
        <v>0</v>
      </c>
      <c r="L1047" s="19">
        <f>'Sampling Data'!K1047</f>
        <v>0</v>
      </c>
      <c r="M1047" s="19">
        <f>'Sampling Data'!L1047</f>
        <v>0</v>
      </c>
      <c r="N1047" s="19">
        <f>'Sampling Data'!M1047</f>
        <v>0</v>
      </c>
      <c r="O1047" s="18">
        <f>'Sampling Data'!N1047</f>
        <v>0</v>
      </c>
      <c r="P1047" s="18">
        <f>'Sampling Data'!O1047</f>
        <v>1</v>
      </c>
      <c r="Q1047" s="18">
        <f>'Sampling Data'!P1047</f>
        <v>79</v>
      </c>
      <c r="R1047" s="18">
        <f>'Sampling Data'!AJ1047</f>
        <v>0</v>
      </c>
      <c r="S1047" s="112"/>
      <c r="T1047" s="112"/>
      <c r="U1047" s="113"/>
      <c r="V1047" s="113"/>
      <c r="W1047" s="112"/>
      <c r="X1047" s="112"/>
      <c r="Y1047" s="112"/>
      <c r="Z1047" s="112"/>
      <c r="AA1047" s="15"/>
      <c r="AB1047" s="15"/>
      <c r="AC1047" s="15"/>
      <c r="AD1047" s="15"/>
      <c r="AE1047" s="114" t="str">
        <f>IF(NOT(ISBLANK(Audit[[#This Row],[Audit Winning Candidate]])), Audit[[#This Row],[Audit Winning Candidate]]-Audit[[#This Row],[Winning Candidate]], "")</f>
        <v/>
      </c>
      <c r="AF1047" s="18" t="str">
        <f>IF(NOT(ISBLANK(Audit[[#This Row],[Audit Losing Candidate]])), Audit[[#This Row],[Audit Losing Candidate]]-Audit[[#This Row],[Losing Candidate]], "")</f>
        <v/>
      </c>
      <c r="AG1047" s="18" t="str">
        <f>IF(NOT(ISBLANK(Audit[[#This Row],[Audit Candidate 3]])), Audit[[#This Row],[Audit Candidate 3]]-Audit[[#This Row],[Candidate 3]], "")</f>
        <v/>
      </c>
      <c r="AH1047" s="18" t="str">
        <f>IF(NOT(ISBLANK(Audit[[#This Row],[Audit Candidate 4]])),Audit[[#This Row],[Audit Candidate 4]]-Audit[[#This Row],[Candidate 4]], "")</f>
        <v/>
      </c>
      <c r="AI1047" s="18" t="str">
        <f>IF(NOT(ISBLANK(Audit[[#This Row],[Audit Candidate 5]])), Audit[[#This Row],[Audit Candidate 5]]-Audit[[#This Row],[Candidate 5]], "")</f>
        <v/>
      </c>
      <c r="AJ1047" s="18" t="str">
        <f>IF(NOT(ISBLANK(Audit[[#This Row],[Audit Candidate 6]])), Audit[[#This Row],[Audit Candidate 6]]-Audit[[#This Row],[Candidate 6]], "")</f>
        <v/>
      </c>
      <c r="AK1047" s="18" t="str">
        <f>IF(NOT(ISBLANK(Audit[[#This Row],[Audit Candidate 7]])), Audit[[#This Row],[Audit Candidate 7]]-Audit[[#This Row],[Candidate 7]], "")</f>
        <v/>
      </c>
      <c r="AL1047" s="18" t="str">
        <f>IF(NOT(ISBLANK(Audit[[#This Row],[Audit Candidate 8]])), Audit[[#This Row],[Audit Candidate 8]]-Audit[[#This Row],[Candidate 8]], "")</f>
        <v/>
      </c>
      <c r="AM1047" s="18" t="str">
        <f>IF(NOT(ISBLANK(Audit[[#This Row],[Audit Candidate 9]])), Audit[[#This Row],[Audit Candidate 9]]-Audit[[#This Row],[Candidate 9]], "")</f>
        <v/>
      </c>
      <c r="AN1047" s="18" t="str">
        <f>IF(NOT(ISBLANK(Audit[[#This Row],[Audit Candidate 10]])), Audit[[#This Row],[Audit Candidate 10]]-Audit[[#This Row],[Candidate 10]], "")</f>
        <v/>
      </c>
      <c r="AO1047" s="18" t="str">
        <f>IF(NOT(ISBLANK(Audit[[#This Row],[Audit Candidate 11]])), Audit[[#This Row],[Audit Candidate 11]]-Audit[[#This Row],[Candidate 11]], "")</f>
        <v/>
      </c>
      <c r="AP1047" s="18" t="str">
        <f>IF(NOT(ISBLANK(Audit[[#This Row],[Audit Candidate 12]])), Audit[[#This Row],[Audit Candidate 12]]-Audit[[#This Row],[Candidate 12]], "")</f>
        <v/>
      </c>
      <c r="AQ1047" s="18">
        <f>SUMIF(Audit[[#This Row],[Difference Winner]:[Difference Candidate 12]], "&gt;0")</f>
        <v>0</v>
      </c>
      <c r="AR1047" s="18">
        <f>SUM(Audit[[#This Row],[Difference Winner]:[Difference Candidate 12]])</f>
        <v>0</v>
      </c>
      <c r="AS1047" s="18">
        <f>IF(Audit[[#This Row],[Times p Drawn - With Replacement]]&gt;0, IF(Audit[[#This Row],[Canceled Differences]]&lt;0, Audit[[#This Row],[Max Differences]]+ABS(Audit[[#This Row],[Canceled Differences]]), Audit[[#This Row],[Max Differences]]), 0)</f>
        <v>0</v>
      </c>
      <c r="AT1047" s="18">
        <f>'Sampling Data'!AB1047</f>
        <v>3.8006093538964099E-3</v>
      </c>
      <c r="AU1047" s="18">
        <f>IF(
      SUM(Audit[[#This Row],[Audit Losing Candidate]:[Audit Candidate 12]])
      &lt;&gt;0,
      (Audit[[#This Row],[Winning Candidate]]-Audit[[#This Row],[Losing Candidate]]-(Audit[[#This Row],[Audit Winning Candidate]]-Audit[[#This Row],[Audit Losing Candidate]]))/(Audit[[#Totals],[Winning Candidate]]-Audit[[#Totals],[Losing Candidate]]),
      0
)</f>
        <v>0</v>
      </c>
      <c r="AV104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8">
        <f>IF(Audit[[#This Row],[Max Relative Error (ep)]] = 0, 0, Audit[[#This Row],[Max Relative Error (ep)]]/Audit[[#This Row],[Error Bound (up) - Max. possible relative overstatement]])</f>
        <v>0</v>
      </c>
      <c r="BH104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7" s="18">
        <f t="shared" si="17"/>
        <v>1</v>
      </c>
      <c r="BJ1047" s="18">
        <f>PRODUCT($BI$5:BI1047)</f>
        <v>0.10664664085196122</v>
      </c>
      <c r="BK1047" s="20">
        <f>1 - Audit[[#This Row],[K-M P Value]]</f>
        <v>0.89335335914803882</v>
      </c>
      <c r="BL1047" s="18" t="str">
        <f>IF(Audit[[#This Row],[K-M P Value]]&gt;1-'General Info'!$B$12,"Continue", "Stop")</f>
        <v>Continue</v>
      </c>
      <c r="BM1047" s="23" t="b">
        <f>IF(Audit[[#This Row],[Status - Continue or stop audit]] = "Continue", TRUE, IF(BL1046 = "Continue", TRUE, FALSE))</f>
        <v>1</v>
      </c>
      <c r="BN1047" s="23"/>
    </row>
    <row r="1048" spans="1:66" ht="15" hidden="1" customHeight="1" x14ac:dyDescent="0.35">
      <c r="A1048" s="18" t="str">
        <f>'Sampling Data'!AI1048</f>
        <v/>
      </c>
      <c r="B1048" s="18" t="str">
        <f>'Sampling Data'!A1048</f>
        <v>8211 ADDY A   (ED)</v>
      </c>
      <c r="C1048" s="18">
        <f>'Sampling Data'!B1048</f>
        <v>18</v>
      </c>
      <c r="D1048" s="18">
        <f>'Sampling Data'!C1048</f>
        <v>3</v>
      </c>
      <c r="E1048" s="19">
        <f>'Sampling Data'!D1048</f>
        <v>0</v>
      </c>
      <c r="F1048" s="19">
        <f>'Sampling Data'!E1048</f>
        <v>0</v>
      </c>
      <c r="G1048" s="19">
        <f>'Sampling Data'!F1048</f>
        <v>0</v>
      </c>
      <c r="H1048" s="19">
        <f>'Sampling Data'!G1048</f>
        <v>0</v>
      </c>
      <c r="I1048" s="19">
        <f>'Sampling Data'!H1048</f>
        <v>0</v>
      </c>
      <c r="J1048" s="19">
        <f>'Sampling Data'!I1048</f>
        <v>0</v>
      </c>
      <c r="K1048" s="19">
        <f>'Sampling Data'!J1048</f>
        <v>0</v>
      </c>
      <c r="L1048" s="19">
        <f>'Sampling Data'!K1048</f>
        <v>0</v>
      </c>
      <c r="M1048" s="19">
        <f>'Sampling Data'!L1048</f>
        <v>0</v>
      </c>
      <c r="N1048" s="19">
        <f>'Sampling Data'!M1048</f>
        <v>0</v>
      </c>
      <c r="O1048" s="18">
        <f>'Sampling Data'!N1048</f>
        <v>0</v>
      </c>
      <c r="P1048" s="18">
        <f>'Sampling Data'!O1048</f>
        <v>1</v>
      </c>
      <c r="Q1048" s="18">
        <f>'Sampling Data'!P1048</f>
        <v>22</v>
      </c>
      <c r="R1048" s="18">
        <f>'Sampling Data'!AJ1048</f>
        <v>0</v>
      </c>
      <c r="S1048" s="112"/>
      <c r="T1048" s="112"/>
      <c r="U1048" s="113"/>
      <c r="V1048" s="113"/>
      <c r="W1048" s="112"/>
      <c r="X1048" s="112"/>
      <c r="Y1048" s="112"/>
      <c r="Z1048" s="112"/>
      <c r="AA1048" s="15"/>
      <c r="AB1048" s="15"/>
      <c r="AC1048" s="15"/>
      <c r="AD1048" s="15"/>
      <c r="AE1048" s="114" t="str">
        <f>IF(NOT(ISBLANK(Audit[[#This Row],[Audit Winning Candidate]])), Audit[[#This Row],[Audit Winning Candidate]]-Audit[[#This Row],[Winning Candidate]], "")</f>
        <v/>
      </c>
      <c r="AF1048" s="18" t="str">
        <f>IF(NOT(ISBLANK(Audit[[#This Row],[Audit Losing Candidate]])), Audit[[#This Row],[Audit Losing Candidate]]-Audit[[#This Row],[Losing Candidate]], "")</f>
        <v/>
      </c>
      <c r="AG1048" s="18" t="str">
        <f>IF(NOT(ISBLANK(Audit[[#This Row],[Audit Candidate 3]])), Audit[[#This Row],[Audit Candidate 3]]-Audit[[#This Row],[Candidate 3]], "")</f>
        <v/>
      </c>
      <c r="AH1048" s="18" t="str">
        <f>IF(NOT(ISBLANK(Audit[[#This Row],[Audit Candidate 4]])),Audit[[#This Row],[Audit Candidate 4]]-Audit[[#This Row],[Candidate 4]], "")</f>
        <v/>
      </c>
      <c r="AI1048" s="18" t="str">
        <f>IF(NOT(ISBLANK(Audit[[#This Row],[Audit Candidate 5]])), Audit[[#This Row],[Audit Candidate 5]]-Audit[[#This Row],[Candidate 5]], "")</f>
        <v/>
      </c>
      <c r="AJ1048" s="18" t="str">
        <f>IF(NOT(ISBLANK(Audit[[#This Row],[Audit Candidate 6]])), Audit[[#This Row],[Audit Candidate 6]]-Audit[[#This Row],[Candidate 6]], "")</f>
        <v/>
      </c>
      <c r="AK1048" s="18" t="str">
        <f>IF(NOT(ISBLANK(Audit[[#This Row],[Audit Candidate 7]])), Audit[[#This Row],[Audit Candidate 7]]-Audit[[#This Row],[Candidate 7]], "")</f>
        <v/>
      </c>
      <c r="AL1048" s="18" t="str">
        <f>IF(NOT(ISBLANK(Audit[[#This Row],[Audit Candidate 8]])), Audit[[#This Row],[Audit Candidate 8]]-Audit[[#This Row],[Candidate 8]], "")</f>
        <v/>
      </c>
      <c r="AM1048" s="18" t="str">
        <f>IF(NOT(ISBLANK(Audit[[#This Row],[Audit Candidate 9]])), Audit[[#This Row],[Audit Candidate 9]]-Audit[[#This Row],[Candidate 9]], "")</f>
        <v/>
      </c>
      <c r="AN1048" s="18" t="str">
        <f>IF(NOT(ISBLANK(Audit[[#This Row],[Audit Candidate 10]])), Audit[[#This Row],[Audit Candidate 10]]-Audit[[#This Row],[Candidate 10]], "")</f>
        <v/>
      </c>
      <c r="AO1048" s="18" t="str">
        <f>IF(NOT(ISBLANK(Audit[[#This Row],[Audit Candidate 11]])), Audit[[#This Row],[Audit Candidate 11]]-Audit[[#This Row],[Candidate 11]], "")</f>
        <v/>
      </c>
      <c r="AP1048" s="18" t="str">
        <f>IF(NOT(ISBLANK(Audit[[#This Row],[Audit Candidate 12]])), Audit[[#This Row],[Audit Candidate 12]]-Audit[[#This Row],[Candidate 12]], "")</f>
        <v/>
      </c>
      <c r="AQ1048" s="18">
        <f>SUMIF(Audit[[#This Row],[Difference Winner]:[Difference Candidate 12]], "&gt;0")</f>
        <v>0</v>
      </c>
      <c r="AR1048" s="18">
        <f>SUM(Audit[[#This Row],[Difference Winner]:[Difference Candidate 12]])</f>
        <v>0</v>
      </c>
      <c r="AS1048" s="18">
        <f>IF(Audit[[#This Row],[Times p Drawn - With Replacement]]&gt;0, IF(Audit[[#This Row],[Canceled Differences]]&lt;0, Audit[[#This Row],[Max Differences]]+ABS(Audit[[#This Row],[Canceled Differences]]), Audit[[#This Row],[Max Differences]]), 0)</f>
        <v>0</v>
      </c>
      <c r="AT1048" s="18">
        <f>'Sampling Data'!AB1048</f>
        <v>1.1621698024311335E-3</v>
      </c>
      <c r="AU1048" s="18">
        <f>IF(
      SUM(Audit[[#This Row],[Audit Losing Candidate]:[Audit Candidate 12]])
      &lt;&gt;0,
      (Audit[[#This Row],[Winning Candidate]]-Audit[[#This Row],[Losing Candidate]]-(Audit[[#This Row],[Audit Winning Candidate]]-Audit[[#This Row],[Audit Losing Candidate]]))/(Audit[[#Totals],[Winning Candidate]]-Audit[[#Totals],[Losing Candidate]]),
      0
)</f>
        <v>0</v>
      </c>
      <c r="AV104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8">
        <f>IF(Audit[[#This Row],[Max Relative Error (ep)]] = 0, 0, Audit[[#This Row],[Max Relative Error (ep)]]/Audit[[#This Row],[Error Bound (up) - Max. possible relative overstatement]])</f>
        <v>0</v>
      </c>
      <c r="BH104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8" s="18">
        <f t="shared" si="17"/>
        <v>1</v>
      </c>
      <c r="BJ1048" s="18">
        <f>PRODUCT($BI$5:BI1048)</f>
        <v>0.10664664085196122</v>
      </c>
      <c r="BK1048" s="20">
        <f>1 - Audit[[#This Row],[K-M P Value]]</f>
        <v>0.89335335914803882</v>
      </c>
      <c r="BL1048" s="18" t="str">
        <f>IF(Audit[[#This Row],[K-M P Value]]&gt;1-'General Info'!$B$12,"Continue", "Stop")</f>
        <v>Continue</v>
      </c>
      <c r="BM1048" s="23" t="b">
        <f>IF(Audit[[#This Row],[Status - Continue or stop audit]] = "Continue", TRUE, IF(BL1047 = "Continue", TRUE, FALSE))</f>
        <v>1</v>
      </c>
      <c r="BN1048" s="23"/>
    </row>
    <row r="1049" spans="1:66" ht="15" hidden="1" customHeight="1" x14ac:dyDescent="0.35">
      <c r="A1049" s="18" t="str">
        <f>'Sampling Data'!AI1049</f>
        <v/>
      </c>
      <c r="B1049" s="18" t="str">
        <f>'Sampling Data'!A1049</f>
        <v>8221 CLEVE A   (ED)</v>
      </c>
      <c r="C1049" s="18">
        <f>'Sampling Data'!B1049</f>
        <v>54</v>
      </c>
      <c r="D1049" s="18">
        <f>'Sampling Data'!C1049</f>
        <v>14</v>
      </c>
      <c r="E1049" s="19">
        <f>'Sampling Data'!D1049</f>
        <v>0</v>
      </c>
      <c r="F1049" s="19">
        <f>'Sampling Data'!E1049</f>
        <v>0</v>
      </c>
      <c r="G1049" s="19">
        <f>'Sampling Data'!F1049</f>
        <v>0</v>
      </c>
      <c r="H1049" s="19">
        <f>'Sampling Data'!G1049</f>
        <v>0</v>
      </c>
      <c r="I1049" s="19">
        <f>'Sampling Data'!H1049</f>
        <v>0</v>
      </c>
      <c r="J1049" s="19">
        <f>'Sampling Data'!I1049</f>
        <v>0</v>
      </c>
      <c r="K1049" s="19">
        <f>'Sampling Data'!J1049</f>
        <v>0</v>
      </c>
      <c r="L1049" s="19">
        <f>'Sampling Data'!K1049</f>
        <v>0</v>
      </c>
      <c r="M1049" s="19">
        <f>'Sampling Data'!L1049</f>
        <v>0</v>
      </c>
      <c r="N1049" s="19">
        <f>'Sampling Data'!M1049</f>
        <v>0</v>
      </c>
      <c r="O1049" s="18">
        <f>'Sampling Data'!N1049</f>
        <v>0</v>
      </c>
      <c r="P1049" s="18">
        <f>'Sampling Data'!O1049</f>
        <v>0</v>
      </c>
      <c r="Q1049" s="18">
        <f>'Sampling Data'!P1049</f>
        <v>68</v>
      </c>
      <c r="R1049" s="18">
        <f>'Sampling Data'!AJ1049</f>
        <v>0</v>
      </c>
      <c r="S1049" s="112"/>
      <c r="T1049" s="112"/>
      <c r="U1049" s="113"/>
      <c r="V1049" s="113"/>
      <c r="W1049" s="112"/>
      <c r="X1049" s="112"/>
      <c r="Y1049" s="112"/>
      <c r="Z1049" s="112"/>
      <c r="AA1049" s="15"/>
      <c r="AB1049" s="15"/>
      <c r="AC1049" s="15"/>
      <c r="AD1049" s="15"/>
      <c r="AE1049" s="114" t="str">
        <f>IF(NOT(ISBLANK(Audit[[#This Row],[Audit Winning Candidate]])), Audit[[#This Row],[Audit Winning Candidate]]-Audit[[#This Row],[Winning Candidate]], "")</f>
        <v/>
      </c>
      <c r="AF1049" s="18" t="str">
        <f>IF(NOT(ISBLANK(Audit[[#This Row],[Audit Losing Candidate]])), Audit[[#This Row],[Audit Losing Candidate]]-Audit[[#This Row],[Losing Candidate]], "")</f>
        <v/>
      </c>
      <c r="AG1049" s="18" t="str">
        <f>IF(NOT(ISBLANK(Audit[[#This Row],[Audit Candidate 3]])), Audit[[#This Row],[Audit Candidate 3]]-Audit[[#This Row],[Candidate 3]], "")</f>
        <v/>
      </c>
      <c r="AH1049" s="18" t="str">
        <f>IF(NOT(ISBLANK(Audit[[#This Row],[Audit Candidate 4]])),Audit[[#This Row],[Audit Candidate 4]]-Audit[[#This Row],[Candidate 4]], "")</f>
        <v/>
      </c>
      <c r="AI1049" s="18" t="str">
        <f>IF(NOT(ISBLANK(Audit[[#This Row],[Audit Candidate 5]])), Audit[[#This Row],[Audit Candidate 5]]-Audit[[#This Row],[Candidate 5]], "")</f>
        <v/>
      </c>
      <c r="AJ1049" s="18" t="str">
        <f>IF(NOT(ISBLANK(Audit[[#This Row],[Audit Candidate 6]])), Audit[[#This Row],[Audit Candidate 6]]-Audit[[#This Row],[Candidate 6]], "")</f>
        <v/>
      </c>
      <c r="AK1049" s="18" t="str">
        <f>IF(NOT(ISBLANK(Audit[[#This Row],[Audit Candidate 7]])), Audit[[#This Row],[Audit Candidate 7]]-Audit[[#This Row],[Candidate 7]], "")</f>
        <v/>
      </c>
      <c r="AL1049" s="18" t="str">
        <f>IF(NOT(ISBLANK(Audit[[#This Row],[Audit Candidate 8]])), Audit[[#This Row],[Audit Candidate 8]]-Audit[[#This Row],[Candidate 8]], "")</f>
        <v/>
      </c>
      <c r="AM1049" s="18" t="str">
        <f>IF(NOT(ISBLANK(Audit[[#This Row],[Audit Candidate 9]])), Audit[[#This Row],[Audit Candidate 9]]-Audit[[#This Row],[Candidate 9]], "")</f>
        <v/>
      </c>
      <c r="AN1049" s="18" t="str">
        <f>IF(NOT(ISBLANK(Audit[[#This Row],[Audit Candidate 10]])), Audit[[#This Row],[Audit Candidate 10]]-Audit[[#This Row],[Candidate 10]], "")</f>
        <v/>
      </c>
      <c r="AO1049" s="18" t="str">
        <f>IF(NOT(ISBLANK(Audit[[#This Row],[Audit Candidate 11]])), Audit[[#This Row],[Audit Candidate 11]]-Audit[[#This Row],[Candidate 11]], "")</f>
        <v/>
      </c>
      <c r="AP1049" s="18" t="str">
        <f>IF(NOT(ISBLANK(Audit[[#This Row],[Audit Candidate 12]])), Audit[[#This Row],[Audit Candidate 12]]-Audit[[#This Row],[Candidate 12]], "")</f>
        <v/>
      </c>
      <c r="AQ1049" s="18">
        <f>SUMIF(Audit[[#This Row],[Difference Winner]:[Difference Candidate 12]], "&gt;0")</f>
        <v>0</v>
      </c>
      <c r="AR1049" s="18">
        <f>SUM(Audit[[#This Row],[Difference Winner]:[Difference Candidate 12]])</f>
        <v>0</v>
      </c>
      <c r="AS1049" s="18">
        <f>IF(Audit[[#This Row],[Times p Drawn - With Replacement]]&gt;0, IF(Audit[[#This Row],[Canceled Differences]]&lt;0, Audit[[#This Row],[Max Differences]]+ABS(Audit[[#This Row],[Canceled Differences]]), Audit[[#This Row],[Max Differences]]), 0)</f>
        <v>0</v>
      </c>
      <c r="AT1049" s="18">
        <f>'Sampling Data'!AB1049</f>
        <v>3.3922794233124981E-3</v>
      </c>
      <c r="AU1049" s="18">
        <f>IF(
      SUM(Audit[[#This Row],[Audit Losing Candidate]:[Audit Candidate 12]])
      &lt;&gt;0,
      (Audit[[#This Row],[Winning Candidate]]-Audit[[#This Row],[Losing Candidate]]-(Audit[[#This Row],[Audit Winning Candidate]]-Audit[[#This Row],[Audit Losing Candidate]]))/(Audit[[#Totals],[Winning Candidate]]-Audit[[#Totals],[Losing Candidate]]),
      0
)</f>
        <v>0</v>
      </c>
      <c r="AV104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8">
        <f>IF(Audit[[#This Row],[Max Relative Error (ep)]] = 0, 0, Audit[[#This Row],[Max Relative Error (ep)]]/Audit[[#This Row],[Error Bound (up) - Max. possible relative overstatement]])</f>
        <v>0</v>
      </c>
      <c r="BH104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49" s="18">
        <f t="shared" si="17"/>
        <v>1</v>
      </c>
      <c r="BJ1049" s="18">
        <f>PRODUCT($BI$5:BI1049)</f>
        <v>0.10664664085196122</v>
      </c>
      <c r="BK1049" s="20">
        <f>1 - Audit[[#This Row],[K-M P Value]]</f>
        <v>0.89335335914803882</v>
      </c>
      <c r="BL1049" s="18" t="str">
        <f>IF(Audit[[#This Row],[K-M P Value]]&gt;1-'General Info'!$B$12,"Continue", "Stop")</f>
        <v>Continue</v>
      </c>
      <c r="BM1049" s="23" t="b">
        <f>IF(Audit[[#This Row],[Status - Continue or stop audit]] = "Continue", TRUE, IF(BL1048 = "Continue", TRUE, FALSE))</f>
        <v>1</v>
      </c>
      <c r="BN1049" s="23"/>
    </row>
    <row r="1050" spans="1:66" ht="15" hidden="1" customHeight="1" x14ac:dyDescent="0.35">
      <c r="A1050" s="18" t="str">
        <f>'Sampling Data'!AI1050</f>
        <v/>
      </c>
      <c r="B1050" s="18" t="str">
        <f>'Sampling Data'!A1050</f>
        <v>8222 CLEVE B   (ED)</v>
      </c>
      <c r="C1050" s="18">
        <f>'Sampling Data'!B1050</f>
        <v>132</v>
      </c>
      <c r="D1050" s="18">
        <f>'Sampling Data'!C1050</f>
        <v>19</v>
      </c>
      <c r="E1050" s="19">
        <f>'Sampling Data'!D1050</f>
        <v>0</v>
      </c>
      <c r="F1050" s="19">
        <f>'Sampling Data'!E1050</f>
        <v>0</v>
      </c>
      <c r="G1050" s="19">
        <f>'Sampling Data'!F1050</f>
        <v>0</v>
      </c>
      <c r="H1050" s="19">
        <f>'Sampling Data'!G1050</f>
        <v>0</v>
      </c>
      <c r="I1050" s="19">
        <f>'Sampling Data'!H1050</f>
        <v>0</v>
      </c>
      <c r="J1050" s="19">
        <f>'Sampling Data'!I1050</f>
        <v>0</v>
      </c>
      <c r="K1050" s="19">
        <f>'Sampling Data'!J1050</f>
        <v>0</v>
      </c>
      <c r="L1050" s="19">
        <f>'Sampling Data'!K1050</f>
        <v>0</v>
      </c>
      <c r="M1050" s="19">
        <f>'Sampling Data'!L1050</f>
        <v>0</v>
      </c>
      <c r="N1050" s="19">
        <f>'Sampling Data'!M1050</f>
        <v>0</v>
      </c>
      <c r="O1050" s="18">
        <f>'Sampling Data'!N1050</f>
        <v>0</v>
      </c>
      <c r="P1050" s="18">
        <f>'Sampling Data'!O1050</f>
        <v>3</v>
      </c>
      <c r="Q1050" s="18">
        <f>'Sampling Data'!P1050</f>
        <v>154</v>
      </c>
      <c r="R1050" s="18">
        <f>'Sampling Data'!AJ1050</f>
        <v>0</v>
      </c>
      <c r="S1050" s="112"/>
      <c r="T1050" s="112"/>
      <c r="U1050" s="113"/>
      <c r="V1050" s="113"/>
      <c r="W1050" s="112"/>
      <c r="X1050" s="112"/>
      <c r="Y1050" s="112"/>
      <c r="Z1050" s="112"/>
      <c r="AA1050" s="15"/>
      <c r="AB1050" s="15"/>
      <c r="AC1050" s="15"/>
      <c r="AD1050" s="15"/>
      <c r="AE1050" s="114" t="str">
        <f>IF(NOT(ISBLANK(Audit[[#This Row],[Audit Winning Candidate]])), Audit[[#This Row],[Audit Winning Candidate]]-Audit[[#This Row],[Winning Candidate]], "")</f>
        <v/>
      </c>
      <c r="AF1050" s="18" t="str">
        <f>IF(NOT(ISBLANK(Audit[[#This Row],[Audit Losing Candidate]])), Audit[[#This Row],[Audit Losing Candidate]]-Audit[[#This Row],[Losing Candidate]], "")</f>
        <v/>
      </c>
      <c r="AG1050" s="18" t="str">
        <f>IF(NOT(ISBLANK(Audit[[#This Row],[Audit Candidate 3]])), Audit[[#This Row],[Audit Candidate 3]]-Audit[[#This Row],[Candidate 3]], "")</f>
        <v/>
      </c>
      <c r="AH1050" s="18" t="str">
        <f>IF(NOT(ISBLANK(Audit[[#This Row],[Audit Candidate 4]])),Audit[[#This Row],[Audit Candidate 4]]-Audit[[#This Row],[Candidate 4]], "")</f>
        <v/>
      </c>
      <c r="AI1050" s="18" t="str">
        <f>IF(NOT(ISBLANK(Audit[[#This Row],[Audit Candidate 5]])), Audit[[#This Row],[Audit Candidate 5]]-Audit[[#This Row],[Candidate 5]], "")</f>
        <v/>
      </c>
      <c r="AJ1050" s="18" t="str">
        <f>IF(NOT(ISBLANK(Audit[[#This Row],[Audit Candidate 6]])), Audit[[#This Row],[Audit Candidate 6]]-Audit[[#This Row],[Candidate 6]], "")</f>
        <v/>
      </c>
      <c r="AK1050" s="18" t="str">
        <f>IF(NOT(ISBLANK(Audit[[#This Row],[Audit Candidate 7]])), Audit[[#This Row],[Audit Candidate 7]]-Audit[[#This Row],[Candidate 7]], "")</f>
        <v/>
      </c>
      <c r="AL1050" s="18" t="str">
        <f>IF(NOT(ISBLANK(Audit[[#This Row],[Audit Candidate 8]])), Audit[[#This Row],[Audit Candidate 8]]-Audit[[#This Row],[Candidate 8]], "")</f>
        <v/>
      </c>
      <c r="AM1050" s="18" t="str">
        <f>IF(NOT(ISBLANK(Audit[[#This Row],[Audit Candidate 9]])), Audit[[#This Row],[Audit Candidate 9]]-Audit[[#This Row],[Candidate 9]], "")</f>
        <v/>
      </c>
      <c r="AN1050" s="18" t="str">
        <f>IF(NOT(ISBLANK(Audit[[#This Row],[Audit Candidate 10]])), Audit[[#This Row],[Audit Candidate 10]]-Audit[[#This Row],[Candidate 10]], "")</f>
        <v/>
      </c>
      <c r="AO1050" s="18" t="str">
        <f>IF(NOT(ISBLANK(Audit[[#This Row],[Audit Candidate 11]])), Audit[[#This Row],[Audit Candidate 11]]-Audit[[#This Row],[Candidate 11]], "")</f>
        <v/>
      </c>
      <c r="AP1050" s="18" t="str">
        <f>IF(NOT(ISBLANK(Audit[[#This Row],[Audit Candidate 12]])), Audit[[#This Row],[Audit Candidate 12]]-Audit[[#This Row],[Candidate 12]], "")</f>
        <v/>
      </c>
      <c r="AQ1050" s="18">
        <f>SUMIF(Audit[[#This Row],[Difference Winner]:[Difference Candidate 12]], "&gt;0")</f>
        <v>0</v>
      </c>
      <c r="AR1050" s="18">
        <f>SUM(Audit[[#This Row],[Difference Winner]:[Difference Candidate 12]])</f>
        <v>0</v>
      </c>
      <c r="AS1050" s="18">
        <f>IF(Audit[[#This Row],[Times p Drawn - With Replacement]]&gt;0, IF(Audit[[#This Row],[Canceled Differences]]&lt;0, Audit[[#This Row],[Max Differences]]+ABS(Audit[[#This Row],[Canceled Differences]]), Audit[[#This Row],[Max Differences]]), 0)</f>
        <v>0</v>
      </c>
      <c r="AT1050" s="18">
        <f>'Sampling Data'!AB1050</f>
        <v>8.3864685743003427E-3</v>
      </c>
      <c r="AU1050" s="18">
        <f>IF(
      SUM(Audit[[#This Row],[Audit Losing Candidate]:[Audit Candidate 12]])
      &lt;&gt;0,
      (Audit[[#This Row],[Winning Candidate]]-Audit[[#This Row],[Losing Candidate]]-(Audit[[#This Row],[Audit Winning Candidate]]-Audit[[#This Row],[Audit Losing Candidate]]))/(Audit[[#Totals],[Winning Candidate]]-Audit[[#Totals],[Losing Candidate]]),
      0
)</f>
        <v>0</v>
      </c>
      <c r="AV105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8">
        <f>IF(Audit[[#This Row],[Max Relative Error (ep)]] = 0, 0, Audit[[#This Row],[Max Relative Error (ep)]]/Audit[[#This Row],[Error Bound (up) - Max. possible relative overstatement]])</f>
        <v>0</v>
      </c>
      <c r="BH105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0" s="18">
        <f t="shared" si="17"/>
        <v>1</v>
      </c>
      <c r="BJ1050" s="18">
        <f>PRODUCT($BI$5:BI1050)</f>
        <v>0.10664664085196122</v>
      </c>
      <c r="BK1050" s="20">
        <f>1 - Audit[[#This Row],[K-M P Value]]</f>
        <v>0.89335335914803882</v>
      </c>
      <c r="BL1050" s="18" t="str">
        <f>IF(Audit[[#This Row],[K-M P Value]]&gt;1-'General Info'!$B$12,"Continue", "Stop")</f>
        <v>Continue</v>
      </c>
      <c r="BM1050" s="23" t="b">
        <f>IF(Audit[[#This Row],[Status - Continue or stop audit]] = "Continue", TRUE, IF(BL1049 = "Continue", TRUE, FALSE))</f>
        <v>1</v>
      </c>
      <c r="BN1050" s="23"/>
    </row>
    <row r="1051" spans="1:66" ht="15" hidden="1" customHeight="1" x14ac:dyDescent="0.35">
      <c r="A1051" s="18" t="str">
        <f>'Sampling Data'!AI1051</f>
        <v/>
      </c>
      <c r="B1051" s="18" t="str">
        <f>'Sampling Data'!A1051</f>
        <v>8231 NO BEND A   (ED)</v>
      </c>
      <c r="C1051" s="18">
        <f>'Sampling Data'!B1051</f>
        <v>160</v>
      </c>
      <c r="D1051" s="18">
        <f>'Sampling Data'!C1051</f>
        <v>6</v>
      </c>
      <c r="E1051" s="19">
        <f>'Sampling Data'!D1051</f>
        <v>0</v>
      </c>
      <c r="F1051" s="19">
        <f>'Sampling Data'!E1051</f>
        <v>0</v>
      </c>
      <c r="G1051" s="19">
        <f>'Sampling Data'!F1051</f>
        <v>0</v>
      </c>
      <c r="H1051" s="19">
        <f>'Sampling Data'!G1051</f>
        <v>0</v>
      </c>
      <c r="I1051" s="19">
        <f>'Sampling Data'!H1051</f>
        <v>0</v>
      </c>
      <c r="J1051" s="19">
        <f>'Sampling Data'!I1051</f>
        <v>0</v>
      </c>
      <c r="K1051" s="19">
        <f>'Sampling Data'!J1051</f>
        <v>0</v>
      </c>
      <c r="L1051" s="19">
        <f>'Sampling Data'!K1051</f>
        <v>0</v>
      </c>
      <c r="M1051" s="19">
        <f>'Sampling Data'!L1051</f>
        <v>0</v>
      </c>
      <c r="N1051" s="19">
        <f>'Sampling Data'!M1051</f>
        <v>0</v>
      </c>
      <c r="O1051" s="18">
        <f>'Sampling Data'!N1051</f>
        <v>0</v>
      </c>
      <c r="P1051" s="18">
        <f>'Sampling Data'!O1051</f>
        <v>3</v>
      </c>
      <c r="Q1051" s="18">
        <f>'Sampling Data'!P1051</f>
        <v>169</v>
      </c>
      <c r="R1051" s="18">
        <f>'Sampling Data'!AJ1051</f>
        <v>0</v>
      </c>
      <c r="S1051" s="112"/>
      <c r="T1051" s="112"/>
      <c r="U1051" s="113"/>
      <c r="V1051" s="113"/>
      <c r="W1051" s="112"/>
      <c r="X1051" s="112"/>
      <c r="Y1051" s="112"/>
      <c r="Z1051" s="112"/>
      <c r="AA1051" s="15"/>
      <c r="AB1051" s="15"/>
      <c r="AC1051" s="15"/>
      <c r="AD1051" s="15"/>
      <c r="AE1051" s="114" t="str">
        <f>IF(NOT(ISBLANK(Audit[[#This Row],[Audit Winning Candidate]])), Audit[[#This Row],[Audit Winning Candidate]]-Audit[[#This Row],[Winning Candidate]], "")</f>
        <v/>
      </c>
      <c r="AF1051" s="18" t="str">
        <f>IF(NOT(ISBLANK(Audit[[#This Row],[Audit Losing Candidate]])), Audit[[#This Row],[Audit Losing Candidate]]-Audit[[#This Row],[Losing Candidate]], "")</f>
        <v/>
      </c>
      <c r="AG1051" s="18" t="str">
        <f>IF(NOT(ISBLANK(Audit[[#This Row],[Audit Candidate 3]])), Audit[[#This Row],[Audit Candidate 3]]-Audit[[#This Row],[Candidate 3]], "")</f>
        <v/>
      </c>
      <c r="AH1051" s="18" t="str">
        <f>IF(NOT(ISBLANK(Audit[[#This Row],[Audit Candidate 4]])),Audit[[#This Row],[Audit Candidate 4]]-Audit[[#This Row],[Candidate 4]], "")</f>
        <v/>
      </c>
      <c r="AI1051" s="18" t="str">
        <f>IF(NOT(ISBLANK(Audit[[#This Row],[Audit Candidate 5]])), Audit[[#This Row],[Audit Candidate 5]]-Audit[[#This Row],[Candidate 5]], "")</f>
        <v/>
      </c>
      <c r="AJ1051" s="18" t="str">
        <f>IF(NOT(ISBLANK(Audit[[#This Row],[Audit Candidate 6]])), Audit[[#This Row],[Audit Candidate 6]]-Audit[[#This Row],[Candidate 6]], "")</f>
        <v/>
      </c>
      <c r="AK1051" s="18" t="str">
        <f>IF(NOT(ISBLANK(Audit[[#This Row],[Audit Candidate 7]])), Audit[[#This Row],[Audit Candidate 7]]-Audit[[#This Row],[Candidate 7]], "")</f>
        <v/>
      </c>
      <c r="AL1051" s="18" t="str">
        <f>IF(NOT(ISBLANK(Audit[[#This Row],[Audit Candidate 8]])), Audit[[#This Row],[Audit Candidate 8]]-Audit[[#This Row],[Candidate 8]], "")</f>
        <v/>
      </c>
      <c r="AM1051" s="18" t="str">
        <f>IF(NOT(ISBLANK(Audit[[#This Row],[Audit Candidate 9]])), Audit[[#This Row],[Audit Candidate 9]]-Audit[[#This Row],[Candidate 9]], "")</f>
        <v/>
      </c>
      <c r="AN1051" s="18" t="str">
        <f>IF(NOT(ISBLANK(Audit[[#This Row],[Audit Candidate 10]])), Audit[[#This Row],[Audit Candidate 10]]-Audit[[#This Row],[Candidate 10]], "")</f>
        <v/>
      </c>
      <c r="AO1051" s="18" t="str">
        <f>IF(NOT(ISBLANK(Audit[[#This Row],[Audit Candidate 11]])), Audit[[#This Row],[Audit Candidate 11]]-Audit[[#This Row],[Candidate 11]], "")</f>
        <v/>
      </c>
      <c r="AP1051" s="18" t="str">
        <f>IF(NOT(ISBLANK(Audit[[#This Row],[Audit Candidate 12]])), Audit[[#This Row],[Audit Candidate 12]]-Audit[[#This Row],[Candidate 12]], "")</f>
        <v/>
      </c>
      <c r="AQ1051" s="18">
        <f>SUMIF(Audit[[#This Row],[Difference Winner]:[Difference Candidate 12]], "&gt;0")</f>
        <v>0</v>
      </c>
      <c r="AR1051" s="18">
        <f>SUM(Audit[[#This Row],[Difference Winner]:[Difference Candidate 12]])</f>
        <v>0</v>
      </c>
      <c r="AS1051" s="18">
        <f>IF(Audit[[#This Row],[Times p Drawn - With Replacement]]&gt;0, IF(Audit[[#This Row],[Canceled Differences]]&lt;0, Audit[[#This Row],[Max Differences]]+ABS(Audit[[#This Row],[Canceled Differences]]), Audit[[#This Row],[Max Differences]]), 0)</f>
        <v>0</v>
      </c>
      <c r="AT1051" s="18">
        <f>'Sampling Data'!AB1051</f>
        <v>1.0145428275277193E-2</v>
      </c>
      <c r="AU1051" s="18">
        <f>IF(
      SUM(Audit[[#This Row],[Audit Losing Candidate]:[Audit Candidate 12]])
      &lt;&gt;0,
      (Audit[[#This Row],[Winning Candidate]]-Audit[[#This Row],[Losing Candidate]]-(Audit[[#This Row],[Audit Winning Candidate]]-Audit[[#This Row],[Audit Losing Candidate]]))/(Audit[[#Totals],[Winning Candidate]]-Audit[[#Totals],[Losing Candidate]]),
      0
)</f>
        <v>0</v>
      </c>
      <c r="AV105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8">
        <f>IF(Audit[[#This Row],[Max Relative Error (ep)]] = 0, 0, Audit[[#This Row],[Max Relative Error (ep)]]/Audit[[#This Row],[Error Bound (up) - Max. possible relative overstatement]])</f>
        <v>0</v>
      </c>
      <c r="BH105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1" s="18">
        <f t="shared" si="17"/>
        <v>1</v>
      </c>
      <c r="BJ1051" s="18">
        <f>PRODUCT($BI$5:BI1051)</f>
        <v>0.10664664085196122</v>
      </c>
      <c r="BK1051" s="20">
        <f>1 - Audit[[#This Row],[K-M P Value]]</f>
        <v>0.89335335914803882</v>
      </c>
      <c r="BL1051" s="18" t="str">
        <f>IF(Audit[[#This Row],[K-M P Value]]&gt;1-'General Info'!$B$12,"Continue", "Stop")</f>
        <v>Continue</v>
      </c>
      <c r="BM1051" s="23" t="b">
        <f>IF(Audit[[#This Row],[Status - Continue or stop audit]] = "Continue", TRUE, IF(BL1050 = "Continue", TRUE, FALSE))</f>
        <v>1</v>
      </c>
      <c r="BN1051" s="23"/>
    </row>
    <row r="1052" spans="1:66" ht="15" hidden="1" customHeight="1" x14ac:dyDescent="0.35">
      <c r="A1052" s="18" t="str">
        <f>'Sampling Data'!AI1052</f>
        <v/>
      </c>
      <c r="B1052" s="18" t="str">
        <f>'Sampling Data'!A1052</f>
        <v>8301 MIAMI A   (ED)</v>
      </c>
      <c r="C1052" s="18">
        <f>'Sampling Data'!B1052</f>
        <v>202</v>
      </c>
      <c r="D1052" s="18">
        <f>'Sampling Data'!C1052</f>
        <v>26</v>
      </c>
      <c r="E1052" s="19">
        <f>'Sampling Data'!D1052</f>
        <v>0</v>
      </c>
      <c r="F1052" s="19">
        <f>'Sampling Data'!E1052</f>
        <v>0</v>
      </c>
      <c r="G1052" s="19">
        <f>'Sampling Data'!F1052</f>
        <v>0</v>
      </c>
      <c r="H1052" s="19">
        <f>'Sampling Data'!G1052</f>
        <v>0</v>
      </c>
      <c r="I1052" s="19">
        <f>'Sampling Data'!H1052</f>
        <v>0</v>
      </c>
      <c r="J1052" s="19">
        <f>'Sampling Data'!I1052</f>
        <v>0</v>
      </c>
      <c r="K1052" s="19">
        <f>'Sampling Data'!J1052</f>
        <v>0</v>
      </c>
      <c r="L1052" s="19">
        <f>'Sampling Data'!K1052</f>
        <v>0</v>
      </c>
      <c r="M1052" s="19">
        <f>'Sampling Data'!L1052</f>
        <v>0</v>
      </c>
      <c r="N1052" s="19">
        <f>'Sampling Data'!M1052</f>
        <v>0</v>
      </c>
      <c r="O1052" s="18">
        <f>'Sampling Data'!N1052</f>
        <v>1</v>
      </c>
      <c r="P1052" s="18">
        <f>'Sampling Data'!O1052</f>
        <v>5</v>
      </c>
      <c r="Q1052" s="18">
        <f>'Sampling Data'!P1052</f>
        <v>234</v>
      </c>
      <c r="R1052" s="18">
        <f>'Sampling Data'!AJ1052</f>
        <v>0</v>
      </c>
      <c r="S1052" s="112"/>
      <c r="T1052" s="112"/>
      <c r="U1052" s="113"/>
      <c r="V1052" s="113"/>
      <c r="W1052" s="112"/>
      <c r="X1052" s="112"/>
      <c r="Y1052" s="112"/>
      <c r="Z1052" s="112"/>
      <c r="AA1052" s="15"/>
      <c r="AB1052" s="15"/>
      <c r="AC1052" s="15"/>
      <c r="AD1052" s="15"/>
      <c r="AE1052" s="114" t="str">
        <f>IF(NOT(ISBLANK(Audit[[#This Row],[Audit Winning Candidate]])), Audit[[#This Row],[Audit Winning Candidate]]-Audit[[#This Row],[Winning Candidate]], "")</f>
        <v/>
      </c>
      <c r="AF1052" s="18" t="str">
        <f>IF(NOT(ISBLANK(Audit[[#This Row],[Audit Losing Candidate]])), Audit[[#This Row],[Audit Losing Candidate]]-Audit[[#This Row],[Losing Candidate]], "")</f>
        <v/>
      </c>
      <c r="AG1052" s="18" t="str">
        <f>IF(NOT(ISBLANK(Audit[[#This Row],[Audit Candidate 3]])), Audit[[#This Row],[Audit Candidate 3]]-Audit[[#This Row],[Candidate 3]], "")</f>
        <v/>
      </c>
      <c r="AH1052" s="18" t="str">
        <f>IF(NOT(ISBLANK(Audit[[#This Row],[Audit Candidate 4]])),Audit[[#This Row],[Audit Candidate 4]]-Audit[[#This Row],[Candidate 4]], "")</f>
        <v/>
      </c>
      <c r="AI1052" s="18" t="str">
        <f>IF(NOT(ISBLANK(Audit[[#This Row],[Audit Candidate 5]])), Audit[[#This Row],[Audit Candidate 5]]-Audit[[#This Row],[Candidate 5]], "")</f>
        <v/>
      </c>
      <c r="AJ1052" s="18" t="str">
        <f>IF(NOT(ISBLANK(Audit[[#This Row],[Audit Candidate 6]])), Audit[[#This Row],[Audit Candidate 6]]-Audit[[#This Row],[Candidate 6]], "")</f>
        <v/>
      </c>
      <c r="AK1052" s="18" t="str">
        <f>IF(NOT(ISBLANK(Audit[[#This Row],[Audit Candidate 7]])), Audit[[#This Row],[Audit Candidate 7]]-Audit[[#This Row],[Candidate 7]], "")</f>
        <v/>
      </c>
      <c r="AL1052" s="18" t="str">
        <f>IF(NOT(ISBLANK(Audit[[#This Row],[Audit Candidate 8]])), Audit[[#This Row],[Audit Candidate 8]]-Audit[[#This Row],[Candidate 8]], "")</f>
        <v/>
      </c>
      <c r="AM1052" s="18" t="str">
        <f>IF(NOT(ISBLANK(Audit[[#This Row],[Audit Candidate 9]])), Audit[[#This Row],[Audit Candidate 9]]-Audit[[#This Row],[Candidate 9]], "")</f>
        <v/>
      </c>
      <c r="AN1052" s="18" t="str">
        <f>IF(NOT(ISBLANK(Audit[[#This Row],[Audit Candidate 10]])), Audit[[#This Row],[Audit Candidate 10]]-Audit[[#This Row],[Candidate 10]], "")</f>
        <v/>
      </c>
      <c r="AO1052" s="18" t="str">
        <f>IF(NOT(ISBLANK(Audit[[#This Row],[Audit Candidate 11]])), Audit[[#This Row],[Audit Candidate 11]]-Audit[[#This Row],[Candidate 11]], "")</f>
        <v/>
      </c>
      <c r="AP1052" s="18" t="str">
        <f>IF(NOT(ISBLANK(Audit[[#This Row],[Audit Candidate 12]])), Audit[[#This Row],[Audit Candidate 12]]-Audit[[#This Row],[Candidate 12]], "")</f>
        <v/>
      </c>
      <c r="AQ1052" s="18">
        <f>SUMIF(Audit[[#This Row],[Difference Winner]:[Difference Candidate 12]], "&gt;0")</f>
        <v>0</v>
      </c>
      <c r="AR1052" s="18">
        <f>SUM(Audit[[#This Row],[Difference Winner]:[Difference Candidate 12]])</f>
        <v>0</v>
      </c>
      <c r="AS1052" s="18">
        <f>IF(Audit[[#This Row],[Times p Drawn - With Replacement]]&gt;0, IF(Audit[[#This Row],[Canceled Differences]]&lt;0, Audit[[#This Row],[Max Differences]]+ABS(Audit[[#This Row],[Canceled Differences]]), Audit[[#This Row],[Max Differences]]), 0)</f>
        <v>0</v>
      </c>
      <c r="AT1052" s="18">
        <f>'Sampling Data'!AB1052</f>
        <v>1.2878097810723372E-2</v>
      </c>
      <c r="AU1052" s="18">
        <f>IF(
      SUM(Audit[[#This Row],[Audit Losing Candidate]:[Audit Candidate 12]])
      &lt;&gt;0,
      (Audit[[#This Row],[Winning Candidate]]-Audit[[#This Row],[Losing Candidate]]-(Audit[[#This Row],[Audit Winning Candidate]]-Audit[[#This Row],[Audit Losing Candidate]]))/(Audit[[#Totals],[Winning Candidate]]-Audit[[#Totals],[Losing Candidate]]),
      0
)</f>
        <v>0</v>
      </c>
      <c r="AV105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8">
        <f>IF(Audit[[#This Row],[Max Relative Error (ep)]] = 0, 0, Audit[[#This Row],[Max Relative Error (ep)]]/Audit[[#This Row],[Error Bound (up) - Max. possible relative overstatement]])</f>
        <v>0</v>
      </c>
      <c r="BH105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2" s="18">
        <f t="shared" si="17"/>
        <v>1</v>
      </c>
      <c r="BJ1052" s="18">
        <f>PRODUCT($BI$5:BI1052)</f>
        <v>0.10664664085196122</v>
      </c>
      <c r="BK1052" s="20">
        <f>1 - Audit[[#This Row],[K-M P Value]]</f>
        <v>0.89335335914803882</v>
      </c>
      <c r="BL1052" s="18" t="str">
        <f>IF(Audit[[#This Row],[K-M P Value]]&gt;1-'General Info'!$B$12,"Continue", "Stop")</f>
        <v>Continue</v>
      </c>
      <c r="BM1052" s="23" t="b">
        <f>IF(Audit[[#This Row],[Status - Continue or stop audit]] = "Continue", TRUE, IF(BL1051 = "Continue", TRUE, FALSE))</f>
        <v>1</v>
      </c>
      <c r="BN1052" s="23"/>
    </row>
    <row r="1053" spans="1:66" ht="15" hidden="1" customHeight="1" x14ac:dyDescent="0.35">
      <c r="A1053" s="18" t="str">
        <f>'Sampling Data'!AI1053</f>
        <v/>
      </c>
      <c r="B1053" s="18" t="str">
        <f>'Sampling Data'!A1053</f>
        <v>8302 MIAMI B   (ED)</v>
      </c>
      <c r="C1053" s="18">
        <f>'Sampling Data'!B1053</f>
        <v>153</v>
      </c>
      <c r="D1053" s="18">
        <f>'Sampling Data'!C1053</f>
        <v>6</v>
      </c>
      <c r="E1053" s="19">
        <f>'Sampling Data'!D1053</f>
        <v>0</v>
      </c>
      <c r="F1053" s="19">
        <f>'Sampling Data'!E1053</f>
        <v>0</v>
      </c>
      <c r="G1053" s="19">
        <f>'Sampling Data'!F1053</f>
        <v>0</v>
      </c>
      <c r="H1053" s="19">
        <f>'Sampling Data'!G1053</f>
        <v>0</v>
      </c>
      <c r="I1053" s="19">
        <f>'Sampling Data'!H1053</f>
        <v>0</v>
      </c>
      <c r="J1053" s="19">
        <f>'Sampling Data'!I1053</f>
        <v>0</v>
      </c>
      <c r="K1053" s="19">
        <f>'Sampling Data'!J1053</f>
        <v>0</v>
      </c>
      <c r="L1053" s="19">
        <f>'Sampling Data'!K1053</f>
        <v>0</v>
      </c>
      <c r="M1053" s="19">
        <f>'Sampling Data'!L1053</f>
        <v>0</v>
      </c>
      <c r="N1053" s="19">
        <f>'Sampling Data'!M1053</f>
        <v>0</v>
      </c>
      <c r="O1053" s="18">
        <f>'Sampling Data'!N1053</f>
        <v>0</v>
      </c>
      <c r="P1053" s="18">
        <f>'Sampling Data'!O1053</f>
        <v>6</v>
      </c>
      <c r="Q1053" s="18">
        <f>'Sampling Data'!P1053</f>
        <v>165</v>
      </c>
      <c r="R1053" s="18">
        <f>'Sampling Data'!AJ1053</f>
        <v>0</v>
      </c>
      <c r="S1053" s="112"/>
      <c r="T1053" s="112"/>
      <c r="U1053" s="113"/>
      <c r="V1053" s="113"/>
      <c r="W1053" s="112"/>
      <c r="X1053" s="112"/>
      <c r="Y1053" s="112"/>
      <c r="Z1053" s="112"/>
      <c r="AA1053" s="15"/>
      <c r="AB1053" s="15"/>
      <c r="AC1053" s="15"/>
      <c r="AD1053" s="15"/>
      <c r="AE1053" s="114" t="str">
        <f>IF(NOT(ISBLANK(Audit[[#This Row],[Audit Winning Candidate]])), Audit[[#This Row],[Audit Winning Candidate]]-Audit[[#This Row],[Winning Candidate]], "")</f>
        <v/>
      </c>
      <c r="AF1053" s="18" t="str">
        <f>IF(NOT(ISBLANK(Audit[[#This Row],[Audit Losing Candidate]])), Audit[[#This Row],[Audit Losing Candidate]]-Audit[[#This Row],[Losing Candidate]], "")</f>
        <v/>
      </c>
      <c r="AG1053" s="18" t="str">
        <f>IF(NOT(ISBLANK(Audit[[#This Row],[Audit Candidate 3]])), Audit[[#This Row],[Audit Candidate 3]]-Audit[[#This Row],[Candidate 3]], "")</f>
        <v/>
      </c>
      <c r="AH1053" s="18" t="str">
        <f>IF(NOT(ISBLANK(Audit[[#This Row],[Audit Candidate 4]])),Audit[[#This Row],[Audit Candidate 4]]-Audit[[#This Row],[Candidate 4]], "")</f>
        <v/>
      </c>
      <c r="AI1053" s="18" t="str">
        <f>IF(NOT(ISBLANK(Audit[[#This Row],[Audit Candidate 5]])), Audit[[#This Row],[Audit Candidate 5]]-Audit[[#This Row],[Candidate 5]], "")</f>
        <v/>
      </c>
      <c r="AJ1053" s="18" t="str">
        <f>IF(NOT(ISBLANK(Audit[[#This Row],[Audit Candidate 6]])), Audit[[#This Row],[Audit Candidate 6]]-Audit[[#This Row],[Candidate 6]], "")</f>
        <v/>
      </c>
      <c r="AK1053" s="18" t="str">
        <f>IF(NOT(ISBLANK(Audit[[#This Row],[Audit Candidate 7]])), Audit[[#This Row],[Audit Candidate 7]]-Audit[[#This Row],[Candidate 7]], "")</f>
        <v/>
      </c>
      <c r="AL1053" s="18" t="str">
        <f>IF(NOT(ISBLANK(Audit[[#This Row],[Audit Candidate 8]])), Audit[[#This Row],[Audit Candidate 8]]-Audit[[#This Row],[Candidate 8]], "")</f>
        <v/>
      </c>
      <c r="AM1053" s="18" t="str">
        <f>IF(NOT(ISBLANK(Audit[[#This Row],[Audit Candidate 9]])), Audit[[#This Row],[Audit Candidate 9]]-Audit[[#This Row],[Candidate 9]], "")</f>
        <v/>
      </c>
      <c r="AN1053" s="18" t="str">
        <f>IF(NOT(ISBLANK(Audit[[#This Row],[Audit Candidate 10]])), Audit[[#This Row],[Audit Candidate 10]]-Audit[[#This Row],[Candidate 10]], "")</f>
        <v/>
      </c>
      <c r="AO1053" s="18" t="str">
        <f>IF(NOT(ISBLANK(Audit[[#This Row],[Audit Candidate 11]])), Audit[[#This Row],[Audit Candidate 11]]-Audit[[#This Row],[Candidate 11]], "")</f>
        <v/>
      </c>
      <c r="AP1053" s="18" t="str">
        <f>IF(NOT(ISBLANK(Audit[[#This Row],[Audit Candidate 12]])), Audit[[#This Row],[Audit Candidate 12]]-Audit[[#This Row],[Candidate 12]], "")</f>
        <v/>
      </c>
      <c r="AQ1053" s="18">
        <f>SUMIF(Audit[[#This Row],[Difference Winner]:[Difference Candidate 12]], "&gt;0")</f>
        <v>0</v>
      </c>
      <c r="AR1053" s="18">
        <f>SUM(Audit[[#This Row],[Difference Winner]:[Difference Candidate 12]])</f>
        <v>0</v>
      </c>
      <c r="AS1053" s="18">
        <f>IF(Audit[[#This Row],[Times p Drawn - With Replacement]]&gt;0, IF(Audit[[#This Row],[Canceled Differences]]&lt;0, Audit[[#This Row],[Max Differences]]+ABS(Audit[[#This Row],[Canceled Differences]]), Audit[[#This Row],[Max Differences]]), 0)</f>
        <v>0</v>
      </c>
      <c r="AT1053" s="18">
        <f>'Sampling Data'!AB1053</f>
        <v>9.7999183340138837E-3</v>
      </c>
      <c r="AU1053" s="18">
        <f>IF(
      SUM(Audit[[#This Row],[Audit Losing Candidate]:[Audit Candidate 12]])
      &lt;&gt;0,
      (Audit[[#This Row],[Winning Candidate]]-Audit[[#This Row],[Losing Candidate]]-(Audit[[#This Row],[Audit Winning Candidate]]-Audit[[#This Row],[Audit Losing Candidate]]))/(Audit[[#Totals],[Winning Candidate]]-Audit[[#Totals],[Losing Candidate]]),
      0
)</f>
        <v>0</v>
      </c>
      <c r="AV105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8">
        <f>IF(Audit[[#This Row],[Max Relative Error (ep)]] = 0, 0, Audit[[#This Row],[Max Relative Error (ep)]]/Audit[[#This Row],[Error Bound (up) - Max. possible relative overstatement]])</f>
        <v>0</v>
      </c>
      <c r="BH105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3" s="18">
        <f t="shared" si="17"/>
        <v>1</v>
      </c>
      <c r="BJ1053" s="18">
        <f>PRODUCT($BI$5:BI1053)</f>
        <v>0.10664664085196122</v>
      </c>
      <c r="BK1053" s="20">
        <f>1 - Audit[[#This Row],[K-M P Value]]</f>
        <v>0.89335335914803882</v>
      </c>
      <c r="BL1053" s="18" t="str">
        <f>IF(Audit[[#This Row],[K-M P Value]]&gt;1-'General Info'!$B$12,"Continue", "Stop")</f>
        <v>Continue</v>
      </c>
      <c r="BM1053" s="23" t="b">
        <f>IF(Audit[[#This Row],[Status - Continue or stop audit]] = "Continue", TRUE, IF(BL1052 = "Continue", TRUE, FALSE))</f>
        <v>1</v>
      </c>
      <c r="BN1053" s="23"/>
    </row>
    <row r="1054" spans="1:66" ht="15" hidden="1" customHeight="1" x14ac:dyDescent="0.35">
      <c r="A1054" s="18" t="str">
        <f>'Sampling Data'!AI1054</f>
        <v/>
      </c>
      <c r="B1054" s="18" t="str">
        <f>'Sampling Data'!A1054</f>
        <v>8303 MIAMI C   (ED)</v>
      </c>
      <c r="C1054" s="18">
        <f>'Sampling Data'!B1054</f>
        <v>157</v>
      </c>
      <c r="D1054" s="18">
        <f>'Sampling Data'!C1054</f>
        <v>9</v>
      </c>
      <c r="E1054" s="19">
        <f>'Sampling Data'!D1054</f>
        <v>0</v>
      </c>
      <c r="F1054" s="19">
        <f>'Sampling Data'!E1054</f>
        <v>0</v>
      </c>
      <c r="G1054" s="19">
        <f>'Sampling Data'!F1054</f>
        <v>0</v>
      </c>
      <c r="H1054" s="19">
        <f>'Sampling Data'!G1054</f>
        <v>0</v>
      </c>
      <c r="I1054" s="19">
        <f>'Sampling Data'!H1054</f>
        <v>0</v>
      </c>
      <c r="J1054" s="19">
        <f>'Sampling Data'!I1054</f>
        <v>0</v>
      </c>
      <c r="K1054" s="19">
        <f>'Sampling Data'!J1054</f>
        <v>0</v>
      </c>
      <c r="L1054" s="19">
        <f>'Sampling Data'!K1054</f>
        <v>0</v>
      </c>
      <c r="M1054" s="19">
        <f>'Sampling Data'!L1054</f>
        <v>0</v>
      </c>
      <c r="N1054" s="19">
        <f>'Sampling Data'!M1054</f>
        <v>0</v>
      </c>
      <c r="O1054" s="18">
        <f>'Sampling Data'!N1054</f>
        <v>0</v>
      </c>
      <c r="P1054" s="18">
        <f>'Sampling Data'!O1054</f>
        <v>2</v>
      </c>
      <c r="Q1054" s="18">
        <f>'Sampling Data'!P1054</f>
        <v>168</v>
      </c>
      <c r="R1054" s="18">
        <f>'Sampling Data'!AJ1054</f>
        <v>0</v>
      </c>
      <c r="S1054" s="112"/>
      <c r="T1054" s="112"/>
      <c r="U1054" s="113"/>
      <c r="V1054" s="113"/>
      <c r="W1054" s="112"/>
      <c r="X1054" s="112"/>
      <c r="Y1054" s="112"/>
      <c r="Z1054" s="112"/>
      <c r="AA1054" s="15"/>
      <c r="AB1054" s="15"/>
      <c r="AC1054" s="15"/>
      <c r="AD1054" s="15"/>
      <c r="AE1054" s="114" t="str">
        <f>IF(NOT(ISBLANK(Audit[[#This Row],[Audit Winning Candidate]])), Audit[[#This Row],[Audit Winning Candidate]]-Audit[[#This Row],[Winning Candidate]], "")</f>
        <v/>
      </c>
      <c r="AF1054" s="18" t="str">
        <f>IF(NOT(ISBLANK(Audit[[#This Row],[Audit Losing Candidate]])), Audit[[#This Row],[Audit Losing Candidate]]-Audit[[#This Row],[Losing Candidate]], "")</f>
        <v/>
      </c>
      <c r="AG1054" s="18" t="str">
        <f>IF(NOT(ISBLANK(Audit[[#This Row],[Audit Candidate 3]])), Audit[[#This Row],[Audit Candidate 3]]-Audit[[#This Row],[Candidate 3]], "")</f>
        <v/>
      </c>
      <c r="AH1054" s="18" t="str">
        <f>IF(NOT(ISBLANK(Audit[[#This Row],[Audit Candidate 4]])),Audit[[#This Row],[Audit Candidate 4]]-Audit[[#This Row],[Candidate 4]], "")</f>
        <v/>
      </c>
      <c r="AI1054" s="18" t="str">
        <f>IF(NOT(ISBLANK(Audit[[#This Row],[Audit Candidate 5]])), Audit[[#This Row],[Audit Candidate 5]]-Audit[[#This Row],[Candidate 5]], "")</f>
        <v/>
      </c>
      <c r="AJ1054" s="18" t="str">
        <f>IF(NOT(ISBLANK(Audit[[#This Row],[Audit Candidate 6]])), Audit[[#This Row],[Audit Candidate 6]]-Audit[[#This Row],[Candidate 6]], "")</f>
        <v/>
      </c>
      <c r="AK1054" s="18" t="str">
        <f>IF(NOT(ISBLANK(Audit[[#This Row],[Audit Candidate 7]])), Audit[[#This Row],[Audit Candidate 7]]-Audit[[#This Row],[Candidate 7]], "")</f>
        <v/>
      </c>
      <c r="AL1054" s="18" t="str">
        <f>IF(NOT(ISBLANK(Audit[[#This Row],[Audit Candidate 8]])), Audit[[#This Row],[Audit Candidate 8]]-Audit[[#This Row],[Candidate 8]], "")</f>
        <v/>
      </c>
      <c r="AM1054" s="18" t="str">
        <f>IF(NOT(ISBLANK(Audit[[#This Row],[Audit Candidate 9]])), Audit[[#This Row],[Audit Candidate 9]]-Audit[[#This Row],[Candidate 9]], "")</f>
        <v/>
      </c>
      <c r="AN1054" s="18" t="str">
        <f>IF(NOT(ISBLANK(Audit[[#This Row],[Audit Candidate 10]])), Audit[[#This Row],[Audit Candidate 10]]-Audit[[#This Row],[Candidate 10]], "")</f>
        <v/>
      </c>
      <c r="AO1054" s="18" t="str">
        <f>IF(NOT(ISBLANK(Audit[[#This Row],[Audit Candidate 11]])), Audit[[#This Row],[Audit Candidate 11]]-Audit[[#This Row],[Candidate 11]], "")</f>
        <v/>
      </c>
      <c r="AP1054" s="18" t="str">
        <f>IF(NOT(ISBLANK(Audit[[#This Row],[Audit Candidate 12]])), Audit[[#This Row],[Audit Candidate 12]]-Audit[[#This Row],[Candidate 12]], "")</f>
        <v/>
      </c>
      <c r="AQ1054" s="18">
        <f>SUMIF(Audit[[#This Row],[Difference Winner]:[Difference Candidate 12]], "&gt;0")</f>
        <v>0</v>
      </c>
      <c r="AR1054" s="18">
        <f>SUM(Audit[[#This Row],[Difference Winner]:[Difference Candidate 12]])</f>
        <v>0</v>
      </c>
      <c r="AS1054" s="18">
        <f>IF(Audit[[#This Row],[Times p Drawn - With Replacement]]&gt;0, IF(Audit[[#This Row],[Canceled Differences]]&lt;0, Audit[[#This Row],[Max Differences]]+ABS(Audit[[#This Row],[Canceled Differences]]), Audit[[#This Row],[Max Differences]]), 0)</f>
        <v>0</v>
      </c>
      <c r="AT1054" s="18">
        <f>'Sampling Data'!AB1054</f>
        <v>9.9255583126550868E-3</v>
      </c>
      <c r="AU1054" s="18">
        <f>IF(
      SUM(Audit[[#This Row],[Audit Losing Candidate]:[Audit Candidate 12]])
      &lt;&gt;0,
      (Audit[[#This Row],[Winning Candidate]]-Audit[[#This Row],[Losing Candidate]]-(Audit[[#This Row],[Audit Winning Candidate]]-Audit[[#This Row],[Audit Losing Candidate]]))/(Audit[[#Totals],[Winning Candidate]]-Audit[[#Totals],[Losing Candidate]]),
      0
)</f>
        <v>0</v>
      </c>
      <c r="AV105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8">
        <f>IF(Audit[[#This Row],[Max Relative Error (ep)]] = 0, 0, Audit[[#This Row],[Max Relative Error (ep)]]/Audit[[#This Row],[Error Bound (up) - Max. possible relative overstatement]])</f>
        <v>0</v>
      </c>
      <c r="BH105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4" s="18">
        <f t="shared" si="17"/>
        <v>1</v>
      </c>
      <c r="BJ1054" s="18">
        <f>PRODUCT($BI$5:BI1054)</f>
        <v>0.10664664085196122</v>
      </c>
      <c r="BK1054" s="20">
        <f>1 - Audit[[#This Row],[K-M P Value]]</f>
        <v>0.89335335914803882</v>
      </c>
      <c r="BL1054" s="18" t="str">
        <f>IF(Audit[[#This Row],[K-M P Value]]&gt;1-'General Info'!$B$12,"Continue", "Stop")</f>
        <v>Continue</v>
      </c>
      <c r="BM1054" s="23" t="b">
        <f>IF(Audit[[#This Row],[Status - Continue or stop audit]] = "Continue", TRUE, IF(BL1053 = "Continue", TRUE, FALSE))</f>
        <v>1</v>
      </c>
      <c r="BN1054" s="23"/>
    </row>
    <row r="1055" spans="1:66" ht="15" hidden="1" customHeight="1" x14ac:dyDescent="0.35">
      <c r="A1055" s="18" t="str">
        <f>'Sampling Data'!AI1055</f>
        <v/>
      </c>
      <c r="B1055" s="18" t="str">
        <f>'Sampling Data'!A1055</f>
        <v>8304 MIAMI D   (ED)</v>
      </c>
      <c r="C1055" s="18">
        <f>'Sampling Data'!B1055</f>
        <v>192</v>
      </c>
      <c r="D1055" s="18">
        <f>'Sampling Data'!C1055</f>
        <v>16</v>
      </c>
      <c r="E1055" s="19">
        <f>'Sampling Data'!D1055</f>
        <v>0</v>
      </c>
      <c r="F1055" s="19">
        <f>'Sampling Data'!E1055</f>
        <v>0</v>
      </c>
      <c r="G1055" s="19">
        <f>'Sampling Data'!F1055</f>
        <v>0</v>
      </c>
      <c r="H1055" s="19">
        <f>'Sampling Data'!G1055</f>
        <v>0</v>
      </c>
      <c r="I1055" s="19">
        <f>'Sampling Data'!H1055</f>
        <v>0</v>
      </c>
      <c r="J1055" s="19">
        <f>'Sampling Data'!I1055</f>
        <v>0</v>
      </c>
      <c r="K1055" s="19">
        <f>'Sampling Data'!J1055</f>
        <v>0</v>
      </c>
      <c r="L1055" s="19">
        <f>'Sampling Data'!K1055</f>
        <v>0</v>
      </c>
      <c r="M1055" s="19">
        <f>'Sampling Data'!L1055</f>
        <v>0</v>
      </c>
      <c r="N1055" s="19">
        <f>'Sampling Data'!M1055</f>
        <v>0</v>
      </c>
      <c r="O1055" s="18">
        <f>'Sampling Data'!N1055</f>
        <v>0</v>
      </c>
      <c r="P1055" s="18">
        <f>'Sampling Data'!O1055</f>
        <v>2</v>
      </c>
      <c r="Q1055" s="18">
        <f>'Sampling Data'!P1055</f>
        <v>210</v>
      </c>
      <c r="R1055" s="18">
        <f>'Sampling Data'!AJ1055</f>
        <v>0</v>
      </c>
      <c r="S1055" s="112"/>
      <c r="T1055" s="112"/>
      <c r="U1055" s="113"/>
      <c r="V1055" s="113"/>
      <c r="W1055" s="112"/>
      <c r="X1055" s="112"/>
      <c r="Y1055" s="112"/>
      <c r="Z1055" s="112"/>
      <c r="AA1055" s="15"/>
      <c r="AB1055" s="15"/>
      <c r="AC1055" s="15"/>
      <c r="AD1055" s="15"/>
      <c r="AE1055" s="114" t="str">
        <f>IF(NOT(ISBLANK(Audit[[#This Row],[Audit Winning Candidate]])), Audit[[#This Row],[Audit Winning Candidate]]-Audit[[#This Row],[Winning Candidate]], "")</f>
        <v/>
      </c>
      <c r="AF1055" s="18" t="str">
        <f>IF(NOT(ISBLANK(Audit[[#This Row],[Audit Losing Candidate]])), Audit[[#This Row],[Audit Losing Candidate]]-Audit[[#This Row],[Losing Candidate]], "")</f>
        <v/>
      </c>
      <c r="AG1055" s="18" t="str">
        <f>IF(NOT(ISBLANK(Audit[[#This Row],[Audit Candidate 3]])), Audit[[#This Row],[Audit Candidate 3]]-Audit[[#This Row],[Candidate 3]], "")</f>
        <v/>
      </c>
      <c r="AH1055" s="18" t="str">
        <f>IF(NOT(ISBLANK(Audit[[#This Row],[Audit Candidate 4]])),Audit[[#This Row],[Audit Candidate 4]]-Audit[[#This Row],[Candidate 4]], "")</f>
        <v/>
      </c>
      <c r="AI1055" s="18" t="str">
        <f>IF(NOT(ISBLANK(Audit[[#This Row],[Audit Candidate 5]])), Audit[[#This Row],[Audit Candidate 5]]-Audit[[#This Row],[Candidate 5]], "")</f>
        <v/>
      </c>
      <c r="AJ1055" s="18" t="str">
        <f>IF(NOT(ISBLANK(Audit[[#This Row],[Audit Candidate 6]])), Audit[[#This Row],[Audit Candidate 6]]-Audit[[#This Row],[Candidate 6]], "")</f>
        <v/>
      </c>
      <c r="AK1055" s="18" t="str">
        <f>IF(NOT(ISBLANK(Audit[[#This Row],[Audit Candidate 7]])), Audit[[#This Row],[Audit Candidate 7]]-Audit[[#This Row],[Candidate 7]], "")</f>
        <v/>
      </c>
      <c r="AL1055" s="18" t="str">
        <f>IF(NOT(ISBLANK(Audit[[#This Row],[Audit Candidate 8]])), Audit[[#This Row],[Audit Candidate 8]]-Audit[[#This Row],[Candidate 8]], "")</f>
        <v/>
      </c>
      <c r="AM1055" s="18" t="str">
        <f>IF(NOT(ISBLANK(Audit[[#This Row],[Audit Candidate 9]])), Audit[[#This Row],[Audit Candidate 9]]-Audit[[#This Row],[Candidate 9]], "")</f>
        <v/>
      </c>
      <c r="AN1055" s="18" t="str">
        <f>IF(NOT(ISBLANK(Audit[[#This Row],[Audit Candidate 10]])), Audit[[#This Row],[Audit Candidate 10]]-Audit[[#This Row],[Candidate 10]], "")</f>
        <v/>
      </c>
      <c r="AO1055" s="18" t="str">
        <f>IF(NOT(ISBLANK(Audit[[#This Row],[Audit Candidate 11]])), Audit[[#This Row],[Audit Candidate 11]]-Audit[[#This Row],[Candidate 11]], "")</f>
        <v/>
      </c>
      <c r="AP1055" s="18" t="str">
        <f>IF(NOT(ISBLANK(Audit[[#This Row],[Audit Candidate 12]])), Audit[[#This Row],[Audit Candidate 12]]-Audit[[#This Row],[Candidate 12]], "")</f>
        <v/>
      </c>
      <c r="AQ1055" s="18">
        <f>SUMIF(Audit[[#This Row],[Difference Winner]:[Difference Candidate 12]], "&gt;0")</f>
        <v>0</v>
      </c>
      <c r="AR1055" s="18">
        <f>SUM(Audit[[#This Row],[Difference Winner]:[Difference Candidate 12]])</f>
        <v>0</v>
      </c>
      <c r="AS1055" s="18">
        <f>IF(Audit[[#This Row],[Times p Drawn - With Replacement]]&gt;0, IF(Audit[[#This Row],[Canceled Differences]]&lt;0, Audit[[#This Row],[Max Differences]]+ABS(Audit[[#This Row],[Canceled Differences]]), Audit[[#This Row],[Max Differences]]), 0)</f>
        <v>0</v>
      </c>
      <c r="AT1055" s="18">
        <f>'Sampling Data'!AB1055</f>
        <v>1.212425793887615E-2</v>
      </c>
      <c r="AU1055" s="18">
        <f>IF(
      SUM(Audit[[#This Row],[Audit Losing Candidate]:[Audit Candidate 12]])
      &lt;&gt;0,
      (Audit[[#This Row],[Winning Candidate]]-Audit[[#This Row],[Losing Candidate]]-(Audit[[#This Row],[Audit Winning Candidate]]-Audit[[#This Row],[Audit Losing Candidate]]))/(Audit[[#Totals],[Winning Candidate]]-Audit[[#Totals],[Losing Candidate]]),
      0
)</f>
        <v>0</v>
      </c>
      <c r="AV105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8">
        <f>IF(Audit[[#This Row],[Max Relative Error (ep)]] = 0, 0, Audit[[#This Row],[Max Relative Error (ep)]]/Audit[[#This Row],[Error Bound (up) - Max. possible relative overstatement]])</f>
        <v>0</v>
      </c>
      <c r="BH105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5" s="18">
        <f t="shared" si="17"/>
        <v>1</v>
      </c>
      <c r="BJ1055" s="18">
        <f>PRODUCT($BI$5:BI1055)</f>
        <v>0.10664664085196122</v>
      </c>
      <c r="BK1055" s="20">
        <f>1 - Audit[[#This Row],[K-M P Value]]</f>
        <v>0.89335335914803882</v>
      </c>
      <c r="BL1055" s="18" t="str">
        <f>IF(Audit[[#This Row],[K-M P Value]]&gt;1-'General Info'!$B$12,"Continue", "Stop")</f>
        <v>Continue</v>
      </c>
      <c r="BM1055" s="23" t="b">
        <f>IF(Audit[[#This Row],[Status - Continue or stop audit]] = "Continue", TRUE, IF(BL1054 = "Continue", TRUE, FALSE))</f>
        <v>1</v>
      </c>
      <c r="BN1055" s="23"/>
    </row>
    <row r="1056" spans="1:66" ht="15" hidden="1" customHeight="1" x14ac:dyDescent="0.35">
      <c r="A1056" s="18" t="str">
        <f>'Sampling Data'!AI1056</f>
        <v/>
      </c>
      <c r="B1056" s="18" t="str">
        <f>'Sampling Data'!A1056</f>
        <v>8305 MIAMI E   (ED)</v>
      </c>
      <c r="C1056" s="18">
        <f>'Sampling Data'!B1056</f>
        <v>171</v>
      </c>
      <c r="D1056" s="18">
        <f>'Sampling Data'!C1056</f>
        <v>12</v>
      </c>
      <c r="E1056" s="19">
        <f>'Sampling Data'!D1056</f>
        <v>0</v>
      </c>
      <c r="F1056" s="19">
        <f>'Sampling Data'!E1056</f>
        <v>0</v>
      </c>
      <c r="G1056" s="19">
        <f>'Sampling Data'!F1056</f>
        <v>0</v>
      </c>
      <c r="H1056" s="19">
        <f>'Sampling Data'!G1056</f>
        <v>0</v>
      </c>
      <c r="I1056" s="19">
        <f>'Sampling Data'!H1056</f>
        <v>0</v>
      </c>
      <c r="J1056" s="19">
        <f>'Sampling Data'!I1056</f>
        <v>0</v>
      </c>
      <c r="K1056" s="19">
        <f>'Sampling Data'!J1056</f>
        <v>0</v>
      </c>
      <c r="L1056" s="19">
        <f>'Sampling Data'!K1056</f>
        <v>0</v>
      </c>
      <c r="M1056" s="19">
        <f>'Sampling Data'!L1056</f>
        <v>0</v>
      </c>
      <c r="N1056" s="19">
        <f>'Sampling Data'!M1056</f>
        <v>0</v>
      </c>
      <c r="O1056" s="18">
        <f>'Sampling Data'!N1056</f>
        <v>0</v>
      </c>
      <c r="P1056" s="18">
        <f>'Sampling Data'!O1056</f>
        <v>3</v>
      </c>
      <c r="Q1056" s="18">
        <f>'Sampling Data'!P1056</f>
        <v>186</v>
      </c>
      <c r="R1056" s="18">
        <f>'Sampling Data'!AJ1056</f>
        <v>0</v>
      </c>
      <c r="S1056" s="112"/>
      <c r="T1056" s="112"/>
      <c r="U1056" s="113"/>
      <c r="V1056" s="113"/>
      <c r="W1056" s="112"/>
      <c r="X1056" s="112"/>
      <c r="Y1056" s="112"/>
      <c r="Z1056" s="112"/>
      <c r="AA1056" s="15"/>
      <c r="AB1056" s="15"/>
      <c r="AC1056" s="15"/>
      <c r="AD1056" s="15"/>
      <c r="AE1056" s="114" t="str">
        <f>IF(NOT(ISBLANK(Audit[[#This Row],[Audit Winning Candidate]])), Audit[[#This Row],[Audit Winning Candidate]]-Audit[[#This Row],[Winning Candidate]], "")</f>
        <v/>
      </c>
      <c r="AF1056" s="18" t="str">
        <f>IF(NOT(ISBLANK(Audit[[#This Row],[Audit Losing Candidate]])), Audit[[#This Row],[Audit Losing Candidate]]-Audit[[#This Row],[Losing Candidate]], "")</f>
        <v/>
      </c>
      <c r="AG1056" s="18" t="str">
        <f>IF(NOT(ISBLANK(Audit[[#This Row],[Audit Candidate 3]])), Audit[[#This Row],[Audit Candidate 3]]-Audit[[#This Row],[Candidate 3]], "")</f>
        <v/>
      </c>
      <c r="AH1056" s="18" t="str">
        <f>IF(NOT(ISBLANK(Audit[[#This Row],[Audit Candidate 4]])),Audit[[#This Row],[Audit Candidate 4]]-Audit[[#This Row],[Candidate 4]], "")</f>
        <v/>
      </c>
      <c r="AI1056" s="18" t="str">
        <f>IF(NOT(ISBLANK(Audit[[#This Row],[Audit Candidate 5]])), Audit[[#This Row],[Audit Candidate 5]]-Audit[[#This Row],[Candidate 5]], "")</f>
        <v/>
      </c>
      <c r="AJ1056" s="18" t="str">
        <f>IF(NOT(ISBLANK(Audit[[#This Row],[Audit Candidate 6]])), Audit[[#This Row],[Audit Candidate 6]]-Audit[[#This Row],[Candidate 6]], "")</f>
        <v/>
      </c>
      <c r="AK1056" s="18" t="str">
        <f>IF(NOT(ISBLANK(Audit[[#This Row],[Audit Candidate 7]])), Audit[[#This Row],[Audit Candidate 7]]-Audit[[#This Row],[Candidate 7]], "")</f>
        <v/>
      </c>
      <c r="AL1056" s="18" t="str">
        <f>IF(NOT(ISBLANK(Audit[[#This Row],[Audit Candidate 8]])), Audit[[#This Row],[Audit Candidate 8]]-Audit[[#This Row],[Candidate 8]], "")</f>
        <v/>
      </c>
      <c r="AM1056" s="18" t="str">
        <f>IF(NOT(ISBLANK(Audit[[#This Row],[Audit Candidate 9]])), Audit[[#This Row],[Audit Candidate 9]]-Audit[[#This Row],[Candidate 9]], "")</f>
        <v/>
      </c>
      <c r="AN1056" s="18" t="str">
        <f>IF(NOT(ISBLANK(Audit[[#This Row],[Audit Candidate 10]])), Audit[[#This Row],[Audit Candidate 10]]-Audit[[#This Row],[Candidate 10]], "")</f>
        <v/>
      </c>
      <c r="AO1056" s="18" t="str">
        <f>IF(NOT(ISBLANK(Audit[[#This Row],[Audit Candidate 11]])), Audit[[#This Row],[Audit Candidate 11]]-Audit[[#This Row],[Candidate 11]], "")</f>
        <v/>
      </c>
      <c r="AP1056" s="18" t="str">
        <f>IF(NOT(ISBLANK(Audit[[#This Row],[Audit Candidate 12]])), Audit[[#This Row],[Audit Candidate 12]]-Audit[[#This Row],[Candidate 12]], "")</f>
        <v/>
      </c>
      <c r="AQ1056" s="18">
        <f>SUMIF(Audit[[#This Row],[Difference Winner]:[Difference Candidate 12]], "&gt;0")</f>
        <v>0</v>
      </c>
      <c r="AR1056" s="18">
        <f>SUM(Audit[[#This Row],[Difference Winner]:[Difference Candidate 12]])</f>
        <v>0</v>
      </c>
      <c r="AS1056" s="18">
        <f>IF(Audit[[#This Row],[Times p Drawn - With Replacement]]&gt;0, IF(Audit[[#This Row],[Canceled Differences]]&lt;0, Audit[[#This Row],[Max Differences]]+ABS(Audit[[#This Row],[Canceled Differences]]), Audit[[#This Row],[Max Differences]]), 0)</f>
        <v>0</v>
      </c>
      <c r="AT1056" s="18">
        <f>'Sampling Data'!AB1056</f>
        <v>1.0836448157803814E-2</v>
      </c>
      <c r="AU1056" s="18">
        <f>IF(
      SUM(Audit[[#This Row],[Audit Losing Candidate]:[Audit Candidate 12]])
      &lt;&gt;0,
      (Audit[[#This Row],[Winning Candidate]]-Audit[[#This Row],[Losing Candidate]]-(Audit[[#This Row],[Audit Winning Candidate]]-Audit[[#This Row],[Audit Losing Candidate]]))/(Audit[[#Totals],[Winning Candidate]]-Audit[[#Totals],[Losing Candidate]]),
      0
)</f>
        <v>0</v>
      </c>
      <c r="AV105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8">
        <f>IF(Audit[[#This Row],[Max Relative Error (ep)]] = 0, 0, Audit[[#This Row],[Max Relative Error (ep)]]/Audit[[#This Row],[Error Bound (up) - Max. possible relative overstatement]])</f>
        <v>0</v>
      </c>
      <c r="BH105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6" s="18">
        <f t="shared" si="17"/>
        <v>1</v>
      </c>
      <c r="BJ1056" s="18">
        <f>PRODUCT($BI$5:BI1056)</f>
        <v>0.10664664085196122</v>
      </c>
      <c r="BK1056" s="20">
        <f>1 - Audit[[#This Row],[K-M P Value]]</f>
        <v>0.89335335914803882</v>
      </c>
      <c r="BL1056" s="18" t="str">
        <f>IF(Audit[[#This Row],[K-M P Value]]&gt;1-'General Info'!$B$12,"Continue", "Stop")</f>
        <v>Continue</v>
      </c>
      <c r="BM1056" s="23" t="b">
        <f>IF(Audit[[#This Row],[Status - Continue or stop audit]] = "Continue", TRUE, IF(BL1055 = "Continue", TRUE, FALSE))</f>
        <v>1</v>
      </c>
      <c r="BN1056" s="23"/>
    </row>
    <row r="1057" spans="1:66" ht="15" hidden="1" customHeight="1" x14ac:dyDescent="0.35">
      <c r="A1057" s="18" t="str">
        <f>'Sampling Data'!AI1057</f>
        <v/>
      </c>
      <c r="B1057" s="18" t="str">
        <f>'Sampling Data'!A1057</f>
        <v>8306 MIAMI F   (ED)</v>
      </c>
      <c r="C1057" s="18">
        <f>'Sampling Data'!B1057</f>
        <v>92</v>
      </c>
      <c r="D1057" s="18">
        <f>'Sampling Data'!C1057</f>
        <v>12</v>
      </c>
      <c r="E1057" s="19">
        <f>'Sampling Data'!D1057</f>
        <v>0</v>
      </c>
      <c r="F1057" s="19">
        <f>'Sampling Data'!E1057</f>
        <v>0</v>
      </c>
      <c r="G1057" s="19">
        <f>'Sampling Data'!F1057</f>
        <v>0</v>
      </c>
      <c r="H1057" s="19">
        <f>'Sampling Data'!G1057</f>
        <v>0</v>
      </c>
      <c r="I1057" s="19">
        <f>'Sampling Data'!H1057</f>
        <v>0</v>
      </c>
      <c r="J1057" s="19">
        <f>'Sampling Data'!I1057</f>
        <v>0</v>
      </c>
      <c r="K1057" s="19">
        <f>'Sampling Data'!J1057</f>
        <v>0</v>
      </c>
      <c r="L1057" s="19">
        <f>'Sampling Data'!K1057</f>
        <v>0</v>
      </c>
      <c r="M1057" s="19">
        <f>'Sampling Data'!L1057</f>
        <v>0</v>
      </c>
      <c r="N1057" s="19">
        <f>'Sampling Data'!M1057</f>
        <v>0</v>
      </c>
      <c r="O1057" s="18">
        <f>'Sampling Data'!N1057</f>
        <v>0</v>
      </c>
      <c r="P1057" s="18">
        <f>'Sampling Data'!O1057</f>
        <v>6</v>
      </c>
      <c r="Q1057" s="18">
        <f>'Sampling Data'!P1057</f>
        <v>110</v>
      </c>
      <c r="R1057" s="18">
        <f>'Sampling Data'!AJ1057</f>
        <v>0</v>
      </c>
      <c r="S1057" s="112"/>
      <c r="T1057" s="112"/>
      <c r="U1057" s="113"/>
      <c r="V1057" s="113"/>
      <c r="W1057" s="112"/>
      <c r="X1057" s="112"/>
      <c r="Y1057" s="112"/>
      <c r="Z1057" s="112"/>
      <c r="AA1057" s="15"/>
      <c r="AB1057" s="15"/>
      <c r="AC1057" s="15"/>
      <c r="AD1057" s="15"/>
      <c r="AE1057" s="114" t="str">
        <f>IF(NOT(ISBLANK(Audit[[#This Row],[Audit Winning Candidate]])), Audit[[#This Row],[Audit Winning Candidate]]-Audit[[#This Row],[Winning Candidate]], "")</f>
        <v/>
      </c>
      <c r="AF1057" s="18" t="str">
        <f>IF(NOT(ISBLANK(Audit[[#This Row],[Audit Losing Candidate]])), Audit[[#This Row],[Audit Losing Candidate]]-Audit[[#This Row],[Losing Candidate]], "")</f>
        <v/>
      </c>
      <c r="AG1057" s="18" t="str">
        <f>IF(NOT(ISBLANK(Audit[[#This Row],[Audit Candidate 3]])), Audit[[#This Row],[Audit Candidate 3]]-Audit[[#This Row],[Candidate 3]], "")</f>
        <v/>
      </c>
      <c r="AH1057" s="18" t="str">
        <f>IF(NOT(ISBLANK(Audit[[#This Row],[Audit Candidate 4]])),Audit[[#This Row],[Audit Candidate 4]]-Audit[[#This Row],[Candidate 4]], "")</f>
        <v/>
      </c>
      <c r="AI1057" s="18" t="str">
        <f>IF(NOT(ISBLANK(Audit[[#This Row],[Audit Candidate 5]])), Audit[[#This Row],[Audit Candidate 5]]-Audit[[#This Row],[Candidate 5]], "")</f>
        <v/>
      </c>
      <c r="AJ1057" s="18" t="str">
        <f>IF(NOT(ISBLANK(Audit[[#This Row],[Audit Candidate 6]])), Audit[[#This Row],[Audit Candidate 6]]-Audit[[#This Row],[Candidate 6]], "")</f>
        <v/>
      </c>
      <c r="AK1057" s="18" t="str">
        <f>IF(NOT(ISBLANK(Audit[[#This Row],[Audit Candidate 7]])), Audit[[#This Row],[Audit Candidate 7]]-Audit[[#This Row],[Candidate 7]], "")</f>
        <v/>
      </c>
      <c r="AL1057" s="18" t="str">
        <f>IF(NOT(ISBLANK(Audit[[#This Row],[Audit Candidate 8]])), Audit[[#This Row],[Audit Candidate 8]]-Audit[[#This Row],[Candidate 8]], "")</f>
        <v/>
      </c>
      <c r="AM1057" s="18" t="str">
        <f>IF(NOT(ISBLANK(Audit[[#This Row],[Audit Candidate 9]])), Audit[[#This Row],[Audit Candidate 9]]-Audit[[#This Row],[Candidate 9]], "")</f>
        <v/>
      </c>
      <c r="AN1057" s="18" t="str">
        <f>IF(NOT(ISBLANK(Audit[[#This Row],[Audit Candidate 10]])), Audit[[#This Row],[Audit Candidate 10]]-Audit[[#This Row],[Candidate 10]], "")</f>
        <v/>
      </c>
      <c r="AO1057" s="18" t="str">
        <f>IF(NOT(ISBLANK(Audit[[#This Row],[Audit Candidate 11]])), Audit[[#This Row],[Audit Candidate 11]]-Audit[[#This Row],[Candidate 11]], "")</f>
        <v/>
      </c>
      <c r="AP1057" s="18" t="str">
        <f>IF(NOT(ISBLANK(Audit[[#This Row],[Audit Candidate 12]])), Audit[[#This Row],[Audit Candidate 12]]-Audit[[#This Row],[Candidate 12]], "")</f>
        <v/>
      </c>
      <c r="AQ1057" s="18">
        <f>SUMIF(Audit[[#This Row],[Difference Winner]:[Difference Candidate 12]], "&gt;0")</f>
        <v>0</v>
      </c>
      <c r="AR1057" s="18">
        <f>SUM(Audit[[#This Row],[Difference Winner]:[Difference Candidate 12]])</f>
        <v>0</v>
      </c>
      <c r="AS1057" s="18">
        <f>IF(Audit[[#This Row],[Times p Drawn - With Replacement]]&gt;0, IF(Audit[[#This Row],[Canceled Differences]]&lt;0, Audit[[#This Row],[Max Differences]]+ABS(Audit[[#This Row],[Canceled Differences]]), Audit[[#This Row],[Max Differences]]), 0)</f>
        <v>0</v>
      </c>
      <c r="AT1057" s="18">
        <f>'Sampling Data'!AB1057</f>
        <v>5.9678989854571726E-3</v>
      </c>
      <c r="AU1057" s="18">
        <f>IF(
      SUM(Audit[[#This Row],[Audit Losing Candidate]:[Audit Candidate 12]])
      &lt;&gt;0,
      (Audit[[#This Row],[Winning Candidate]]-Audit[[#This Row],[Losing Candidate]]-(Audit[[#This Row],[Audit Winning Candidate]]-Audit[[#This Row],[Audit Losing Candidate]]))/(Audit[[#Totals],[Winning Candidate]]-Audit[[#Totals],[Losing Candidate]]),
      0
)</f>
        <v>0</v>
      </c>
      <c r="AV105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8">
        <f>IF(Audit[[#This Row],[Max Relative Error (ep)]] = 0, 0, Audit[[#This Row],[Max Relative Error (ep)]]/Audit[[#This Row],[Error Bound (up) - Max. possible relative overstatement]])</f>
        <v>0</v>
      </c>
      <c r="BH105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7" s="18">
        <f t="shared" si="17"/>
        <v>1</v>
      </c>
      <c r="BJ1057" s="18">
        <f>PRODUCT($BI$5:BI1057)</f>
        <v>0.10664664085196122</v>
      </c>
      <c r="BK1057" s="20">
        <f>1 - Audit[[#This Row],[K-M P Value]]</f>
        <v>0.89335335914803882</v>
      </c>
      <c r="BL1057" s="18" t="str">
        <f>IF(Audit[[#This Row],[K-M P Value]]&gt;1-'General Info'!$B$12,"Continue", "Stop")</f>
        <v>Continue</v>
      </c>
      <c r="BM1057" s="23" t="b">
        <f>IF(Audit[[#This Row],[Status - Continue or stop audit]] = "Continue", TRUE, IF(BL1056 = "Continue", TRUE, FALSE))</f>
        <v>1</v>
      </c>
      <c r="BN1057" s="23"/>
    </row>
    <row r="1058" spans="1:66" ht="15" hidden="1" customHeight="1" x14ac:dyDescent="0.35">
      <c r="A1058" s="18" t="str">
        <f>'Sampling Data'!AI1058</f>
        <v/>
      </c>
      <c r="B1058" s="18" t="str">
        <f>'Sampling Data'!A1058</f>
        <v>8307 MIAMI G   (ED)</v>
      </c>
      <c r="C1058" s="18">
        <f>'Sampling Data'!B1058</f>
        <v>137</v>
      </c>
      <c r="D1058" s="18">
        <f>'Sampling Data'!C1058</f>
        <v>23</v>
      </c>
      <c r="E1058" s="19">
        <f>'Sampling Data'!D1058</f>
        <v>0</v>
      </c>
      <c r="F1058" s="19">
        <f>'Sampling Data'!E1058</f>
        <v>0</v>
      </c>
      <c r="G1058" s="19">
        <f>'Sampling Data'!F1058</f>
        <v>0</v>
      </c>
      <c r="H1058" s="19">
        <f>'Sampling Data'!G1058</f>
        <v>0</v>
      </c>
      <c r="I1058" s="19">
        <f>'Sampling Data'!H1058</f>
        <v>0</v>
      </c>
      <c r="J1058" s="19">
        <f>'Sampling Data'!I1058</f>
        <v>0</v>
      </c>
      <c r="K1058" s="19">
        <f>'Sampling Data'!J1058</f>
        <v>0</v>
      </c>
      <c r="L1058" s="19">
        <f>'Sampling Data'!K1058</f>
        <v>0</v>
      </c>
      <c r="M1058" s="19">
        <f>'Sampling Data'!L1058</f>
        <v>0</v>
      </c>
      <c r="N1058" s="19">
        <f>'Sampling Data'!M1058</f>
        <v>0</v>
      </c>
      <c r="O1058" s="18">
        <f>'Sampling Data'!N1058</f>
        <v>0</v>
      </c>
      <c r="P1058" s="18">
        <f>'Sampling Data'!O1058</f>
        <v>1</v>
      </c>
      <c r="Q1058" s="18">
        <f>'Sampling Data'!P1058</f>
        <v>161</v>
      </c>
      <c r="R1058" s="18">
        <f>'Sampling Data'!AJ1058</f>
        <v>0</v>
      </c>
      <c r="S1058" s="112"/>
      <c r="T1058" s="112"/>
      <c r="U1058" s="113"/>
      <c r="V1058" s="113"/>
      <c r="W1058" s="112"/>
      <c r="X1058" s="112"/>
      <c r="Y1058" s="112"/>
      <c r="Z1058" s="112"/>
      <c r="AA1058" s="15"/>
      <c r="AB1058" s="15"/>
      <c r="AC1058" s="15"/>
      <c r="AD1058" s="15"/>
      <c r="AE1058" s="114" t="str">
        <f>IF(NOT(ISBLANK(Audit[[#This Row],[Audit Winning Candidate]])), Audit[[#This Row],[Audit Winning Candidate]]-Audit[[#This Row],[Winning Candidate]], "")</f>
        <v/>
      </c>
      <c r="AF1058" s="18" t="str">
        <f>IF(NOT(ISBLANK(Audit[[#This Row],[Audit Losing Candidate]])), Audit[[#This Row],[Audit Losing Candidate]]-Audit[[#This Row],[Losing Candidate]], "")</f>
        <v/>
      </c>
      <c r="AG1058" s="18" t="str">
        <f>IF(NOT(ISBLANK(Audit[[#This Row],[Audit Candidate 3]])), Audit[[#This Row],[Audit Candidate 3]]-Audit[[#This Row],[Candidate 3]], "")</f>
        <v/>
      </c>
      <c r="AH1058" s="18" t="str">
        <f>IF(NOT(ISBLANK(Audit[[#This Row],[Audit Candidate 4]])),Audit[[#This Row],[Audit Candidate 4]]-Audit[[#This Row],[Candidate 4]], "")</f>
        <v/>
      </c>
      <c r="AI1058" s="18" t="str">
        <f>IF(NOT(ISBLANK(Audit[[#This Row],[Audit Candidate 5]])), Audit[[#This Row],[Audit Candidate 5]]-Audit[[#This Row],[Candidate 5]], "")</f>
        <v/>
      </c>
      <c r="AJ1058" s="18" t="str">
        <f>IF(NOT(ISBLANK(Audit[[#This Row],[Audit Candidate 6]])), Audit[[#This Row],[Audit Candidate 6]]-Audit[[#This Row],[Candidate 6]], "")</f>
        <v/>
      </c>
      <c r="AK1058" s="18" t="str">
        <f>IF(NOT(ISBLANK(Audit[[#This Row],[Audit Candidate 7]])), Audit[[#This Row],[Audit Candidate 7]]-Audit[[#This Row],[Candidate 7]], "")</f>
        <v/>
      </c>
      <c r="AL1058" s="18" t="str">
        <f>IF(NOT(ISBLANK(Audit[[#This Row],[Audit Candidate 8]])), Audit[[#This Row],[Audit Candidate 8]]-Audit[[#This Row],[Candidate 8]], "")</f>
        <v/>
      </c>
      <c r="AM1058" s="18" t="str">
        <f>IF(NOT(ISBLANK(Audit[[#This Row],[Audit Candidate 9]])), Audit[[#This Row],[Audit Candidate 9]]-Audit[[#This Row],[Candidate 9]], "")</f>
        <v/>
      </c>
      <c r="AN1058" s="18" t="str">
        <f>IF(NOT(ISBLANK(Audit[[#This Row],[Audit Candidate 10]])), Audit[[#This Row],[Audit Candidate 10]]-Audit[[#This Row],[Candidate 10]], "")</f>
        <v/>
      </c>
      <c r="AO1058" s="18" t="str">
        <f>IF(NOT(ISBLANK(Audit[[#This Row],[Audit Candidate 11]])), Audit[[#This Row],[Audit Candidate 11]]-Audit[[#This Row],[Candidate 11]], "")</f>
        <v/>
      </c>
      <c r="AP1058" s="18" t="str">
        <f>IF(NOT(ISBLANK(Audit[[#This Row],[Audit Candidate 12]])), Audit[[#This Row],[Audit Candidate 12]]-Audit[[#This Row],[Candidate 12]], "")</f>
        <v/>
      </c>
      <c r="AQ1058" s="18">
        <f>SUMIF(Audit[[#This Row],[Difference Winner]:[Difference Candidate 12]], "&gt;0")</f>
        <v>0</v>
      </c>
      <c r="AR1058" s="18">
        <f>SUM(Audit[[#This Row],[Difference Winner]:[Difference Candidate 12]])</f>
        <v>0</v>
      </c>
      <c r="AS1058" s="18">
        <f>IF(Audit[[#This Row],[Times p Drawn - With Replacement]]&gt;0, IF(Audit[[#This Row],[Canceled Differences]]&lt;0, Audit[[#This Row],[Max Differences]]+ABS(Audit[[#This Row],[Canceled Differences]]), Audit[[#This Row],[Max Differences]]), 0)</f>
        <v>0</v>
      </c>
      <c r="AT1058" s="18">
        <f>'Sampling Data'!AB1058</f>
        <v>8.637748531582749E-3</v>
      </c>
      <c r="AU1058" s="18">
        <f>IF(
      SUM(Audit[[#This Row],[Audit Losing Candidate]:[Audit Candidate 12]])
      &lt;&gt;0,
      (Audit[[#This Row],[Winning Candidate]]-Audit[[#This Row],[Losing Candidate]]-(Audit[[#This Row],[Audit Winning Candidate]]-Audit[[#This Row],[Audit Losing Candidate]]))/(Audit[[#Totals],[Winning Candidate]]-Audit[[#Totals],[Losing Candidate]]),
      0
)</f>
        <v>0</v>
      </c>
      <c r="AV105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8">
        <f>IF(Audit[[#This Row],[Max Relative Error (ep)]] = 0, 0, Audit[[#This Row],[Max Relative Error (ep)]]/Audit[[#This Row],[Error Bound (up) - Max. possible relative overstatement]])</f>
        <v>0</v>
      </c>
      <c r="BH105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8" s="18">
        <f t="shared" si="17"/>
        <v>1</v>
      </c>
      <c r="BJ1058" s="18">
        <f>PRODUCT($BI$5:BI1058)</f>
        <v>0.10664664085196122</v>
      </c>
      <c r="BK1058" s="20">
        <f>1 - Audit[[#This Row],[K-M P Value]]</f>
        <v>0.89335335914803882</v>
      </c>
      <c r="BL1058" s="18" t="str">
        <f>IF(Audit[[#This Row],[K-M P Value]]&gt;1-'General Info'!$B$12,"Continue", "Stop")</f>
        <v>Continue</v>
      </c>
      <c r="BM1058" s="23" t="b">
        <f>IF(Audit[[#This Row],[Status - Continue or stop audit]] = "Continue", TRUE, IF(BL1057 = "Continue", TRUE, FALSE))</f>
        <v>1</v>
      </c>
      <c r="BN1058" s="23"/>
    </row>
    <row r="1059" spans="1:66" ht="15" hidden="1" customHeight="1" x14ac:dyDescent="0.35">
      <c r="A1059" s="18" t="str">
        <f>'Sampling Data'!AI1059</f>
        <v/>
      </c>
      <c r="B1059" s="18" t="str">
        <f>'Sampling Data'!A1059</f>
        <v>8308 MIAMI H   (ED)</v>
      </c>
      <c r="C1059" s="18">
        <f>'Sampling Data'!B1059</f>
        <v>59</v>
      </c>
      <c r="D1059" s="18">
        <f>'Sampling Data'!C1059</f>
        <v>4</v>
      </c>
      <c r="E1059" s="19">
        <f>'Sampling Data'!D1059</f>
        <v>0</v>
      </c>
      <c r="F1059" s="19">
        <f>'Sampling Data'!E1059</f>
        <v>0</v>
      </c>
      <c r="G1059" s="19">
        <f>'Sampling Data'!F1059</f>
        <v>0</v>
      </c>
      <c r="H1059" s="19">
        <f>'Sampling Data'!G1059</f>
        <v>0</v>
      </c>
      <c r="I1059" s="19">
        <f>'Sampling Data'!H1059</f>
        <v>0</v>
      </c>
      <c r="J1059" s="19">
        <f>'Sampling Data'!I1059</f>
        <v>0</v>
      </c>
      <c r="K1059" s="19">
        <f>'Sampling Data'!J1059</f>
        <v>0</v>
      </c>
      <c r="L1059" s="19">
        <f>'Sampling Data'!K1059</f>
        <v>0</v>
      </c>
      <c r="M1059" s="19">
        <f>'Sampling Data'!L1059</f>
        <v>0</v>
      </c>
      <c r="N1059" s="19">
        <f>'Sampling Data'!M1059</f>
        <v>0</v>
      </c>
      <c r="O1059" s="18">
        <f>'Sampling Data'!N1059</f>
        <v>0</v>
      </c>
      <c r="P1059" s="18">
        <f>'Sampling Data'!O1059</f>
        <v>1</v>
      </c>
      <c r="Q1059" s="18">
        <f>'Sampling Data'!P1059</f>
        <v>64</v>
      </c>
      <c r="R1059" s="18">
        <f>'Sampling Data'!AJ1059</f>
        <v>0</v>
      </c>
      <c r="S1059" s="112"/>
      <c r="T1059" s="112"/>
      <c r="U1059" s="113"/>
      <c r="V1059" s="113"/>
      <c r="W1059" s="112"/>
      <c r="X1059" s="112"/>
      <c r="Y1059" s="112"/>
      <c r="Z1059" s="112"/>
      <c r="AA1059" s="15"/>
      <c r="AB1059" s="15"/>
      <c r="AC1059" s="15"/>
      <c r="AD1059" s="15"/>
      <c r="AE1059" s="114" t="str">
        <f>IF(NOT(ISBLANK(Audit[[#This Row],[Audit Winning Candidate]])), Audit[[#This Row],[Audit Winning Candidate]]-Audit[[#This Row],[Winning Candidate]], "")</f>
        <v/>
      </c>
      <c r="AF1059" s="18" t="str">
        <f>IF(NOT(ISBLANK(Audit[[#This Row],[Audit Losing Candidate]])), Audit[[#This Row],[Audit Losing Candidate]]-Audit[[#This Row],[Losing Candidate]], "")</f>
        <v/>
      </c>
      <c r="AG1059" s="18" t="str">
        <f>IF(NOT(ISBLANK(Audit[[#This Row],[Audit Candidate 3]])), Audit[[#This Row],[Audit Candidate 3]]-Audit[[#This Row],[Candidate 3]], "")</f>
        <v/>
      </c>
      <c r="AH1059" s="18" t="str">
        <f>IF(NOT(ISBLANK(Audit[[#This Row],[Audit Candidate 4]])),Audit[[#This Row],[Audit Candidate 4]]-Audit[[#This Row],[Candidate 4]], "")</f>
        <v/>
      </c>
      <c r="AI1059" s="18" t="str">
        <f>IF(NOT(ISBLANK(Audit[[#This Row],[Audit Candidate 5]])), Audit[[#This Row],[Audit Candidate 5]]-Audit[[#This Row],[Candidate 5]], "")</f>
        <v/>
      </c>
      <c r="AJ1059" s="18" t="str">
        <f>IF(NOT(ISBLANK(Audit[[#This Row],[Audit Candidate 6]])), Audit[[#This Row],[Audit Candidate 6]]-Audit[[#This Row],[Candidate 6]], "")</f>
        <v/>
      </c>
      <c r="AK1059" s="18" t="str">
        <f>IF(NOT(ISBLANK(Audit[[#This Row],[Audit Candidate 7]])), Audit[[#This Row],[Audit Candidate 7]]-Audit[[#This Row],[Candidate 7]], "")</f>
        <v/>
      </c>
      <c r="AL1059" s="18" t="str">
        <f>IF(NOT(ISBLANK(Audit[[#This Row],[Audit Candidate 8]])), Audit[[#This Row],[Audit Candidate 8]]-Audit[[#This Row],[Candidate 8]], "")</f>
        <v/>
      </c>
      <c r="AM1059" s="18" t="str">
        <f>IF(NOT(ISBLANK(Audit[[#This Row],[Audit Candidate 9]])), Audit[[#This Row],[Audit Candidate 9]]-Audit[[#This Row],[Candidate 9]], "")</f>
        <v/>
      </c>
      <c r="AN1059" s="18" t="str">
        <f>IF(NOT(ISBLANK(Audit[[#This Row],[Audit Candidate 10]])), Audit[[#This Row],[Audit Candidate 10]]-Audit[[#This Row],[Candidate 10]], "")</f>
        <v/>
      </c>
      <c r="AO1059" s="18" t="str">
        <f>IF(NOT(ISBLANK(Audit[[#This Row],[Audit Candidate 11]])), Audit[[#This Row],[Audit Candidate 11]]-Audit[[#This Row],[Candidate 11]], "")</f>
        <v/>
      </c>
      <c r="AP1059" s="18" t="str">
        <f>IF(NOT(ISBLANK(Audit[[#This Row],[Audit Candidate 12]])), Audit[[#This Row],[Audit Candidate 12]]-Audit[[#This Row],[Candidate 12]], "")</f>
        <v/>
      </c>
      <c r="AQ1059" s="18">
        <f>SUMIF(Audit[[#This Row],[Difference Winner]:[Difference Candidate 12]], "&gt;0")</f>
        <v>0</v>
      </c>
      <c r="AR1059" s="18">
        <f>SUM(Audit[[#This Row],[Difference Winner]:[Difference Candidate 12]])</f>
        <v>0</v>
      </c>
      <c r="AS1059" s="18">
        <f>IF(Audit[[#This Row],[Times p Drawn - With Replacement]]&gt;0, IF(Audit[[#This Row],[Canceled Differences]]&lt;0, Audit[[#This Row],[Max Differences]]+ABS(Audit[[#This Row],[Canceled Differences]]), Audit[[#This Row],[Max Differences]]), 0)</f>
        <v>0</v>
      </c>
      <c r="AT1059" s="18">
        <f>'Sampling Data'!AB1059</f>
        <v>3.737789364575808E-3</v>
      </c>
      <c r="AU1059" s="18">
        <f>IF(
      SUM(Audit[[#This Row],[Audit Losing Candidate]:[Audit Candidate 12]])
      &lt;&gt;0,
      (Audit[[#This Row],[Winning Candidate]]-Audit[[#This Row],[Losing Candidate]]-(Audit[[#This Row],[Audit Winning Candidate]]-Audit[[#This Row],[Audit Losing Candidate]]))/(Audit[[#Totals],[Winning Candidate]]-Audit[[#Totals],[Losing Candidate]]),
      0
)</f>
        <v>0</v>
      </c>
      <c r="AV105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8">
        <f>IF(Audit[[#This Row],[Max Relative Error (ep)]] = 0, 0, Audit[[#This Row],[Max Relative Error (ep)]]/Audit[[#This Row],[Error Bound (up) - Max. possible relative overstatement]])</f>
        <v>0</v>
      </c>
      <c r="BH105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59" s="18">
        <f t="shared" si="17"/>
        <v>1</v>
      </c>
      <c r="BJ1059" s="18">
        <f>PRODUCT($BI$5:BI1059)</f>
        <v>0.10664664085196122</v>
      </c>
      <c r="BK1059" s="20">
        <f>1 - Audit[[#This Row],[K-M P Value]]</f>
        <v>0.89335335914803882</v>
      </c>
      <c r="BL1059" s="18" t="str">
        <f>IF(Audit[[#This Row],[K-M P Value]]&gt;1-'General Info'!$B$12,"Continue", "Stop")</f>
        <v>Continue</v>
      </c>
      <c r="BM1059" s="23" t="b">
        <f>IF(Audit[[#This Row],[Status - Continue or stop audit]] = "Continue", TRUE, IF(BL1058 = "Continue", TRUE, FALSE))</f>
        <v>1</v>
      </c>
      <c r="BN1059" s="23"/>
    </row>
    <row r="1060" spans="1:66" ht="15" hidden="1" customHeight="1" x14ac:dyDescent="0.35">
      <c r="A1060" s="18" t="str">
        <f>'Sampling Data'!AI1060</f>
        <v/>
      </c>
      <c r="B1060" s="18" t="str">
        <f>'Sampling Data'!A1060</f>
        <v>8309 MIAMI I   (ED)</v>
      </c>
      <c r="C1060" s="18">
        <f>'Sampling Data'!B1060</f>
        <v>90</v>
      </c>
      <c r="D1060" s="18">
        <f>'Sampling Data'!C1060</f>
        <v>10</v>
      </c>
      <c r="E1060" s="19">
        <f>'Sampling Data'!D1060</f>
        <v>0</v>
      </c>
      <c r="F1060" s="19">
        <f>'Sampling Data'!E1060</f>
        <v>0</v>
      </c>
      <c r="G1060" s="19">
        <f>'Sampling Data'!F1060</f>
        <v>0</v>
      </c>
      <c r="H1060" s="19">
        <f>'Sampling Data'!G1060</f>
        <v>0</v>
      </c>
      <c r="I1060" s="19">
        <f>'Sampling Data'!H1060</f>
        <v>0</v>
      </c>
      <c r="J1060" s="19">
        <f>'Sampling Data'!I1060</f>
        <v>0</v>
      </c>
      <c r="K1060" s="19">
        <f>'Sampling Data'!J1060</f>
        <v>0</v>
      </c>
      <c r="L1060" s="19">
        <f>'Sampling Data'!K1060</f>
        <v>0</v>
      </c>
      <c r="M1060" s="19">
        <f>'Sampling Data'!L1060</f>
        <v>0</v>
      </c>
      <c r="N1060" s="19">
        <f>'Sampling Data'!M1060</f>
        <v>0</v>
      </c>
      <c r="O1060" s="18">
        <f>'Sampling Data'!N1060</f>
        <v>0</v>
      </c>
      <c r="P1060" s="18">
        <f>'Sampling Data'!O1060</f>
        <v>1</v>
      </c>
      <c r="Q1060" s="18">
        <f>'Sampling Data'!P1060</f>
        <v>101</v>
      </c>
      <c r="R1060" s="18">
        <f>'Sampling Data'!AJ1060</f>
        <v>0</v>
      </c>
      <c r="S1060" s="112"/>
      <c r="T1060" s="112"/>
      <c r="U1060" s="113"/>
      <c r="V1060" s="113"/>
      <c r="W1060" s="112"/>
      <c r="X1060" s="112"/>
      <c r="Y1060" s="112"/>
      <c r="Z1060" s="112"/>
      <c r="AA1060" s="15"/>
      <c r="AB1060" s="15"/>
      <c r="AC1060" s="15"/>
      <c r="AD1060" s="15"/>
      <c r="AE1060" s="114" t="str">
        <f>IF(NOT(ISBLANK(Audit[[#This Row],[Audit Winning Candidate]])), Audit[[#This Row],[Audit Winning Candidate]]-Audit[[#This Row],[Winning Candidate]], "")</f>
        <v/>
      </c>
      <c r="AF1060" s="18" t="str">
        <f>IF(NOT(ISBLANK(Audit[[#This Row],[Audit Losing Candidate]])), Audit[[#This Row],[Audit Losing Candidate]]-Audit[[#This Row],[Losing Candidate]], "")</f>
        <v/>
      </c>
      <c r="AG1060" s="18" t="str">
        <f>IF(NOT(ISBLANK(Audit[[#This Row],[Audit Candidate 3]])), Audit[[#This Row],[Audit Candidate 3]]-Audit[[#This Row],[Candidate 3]], "")</f>
        <v/>
      </c>
      <c r="AH1060" s="18" t="str">
        <f>IF(NOT(ISBLANK(Audit[[#This Row],[Audit Candidate 4]])),Audit[[#This Row],[Audit Candidate 4]]-Audit[[#This Row],[Candidate 4]], "")</f>
        <v/>
      </c>
      <c r="AI1060" s="18" t="str">
        <f>IF(NOT(ISBLANK(Audit[[#This Row],[Audit Candidate 5]])), Audit[[#This Row],[Audit Candidate 5]]-Audit[[#This Row],[Candidate 5]], "")</f>
        <v/>
      </c>
      <c r="AJ1060" s="18" t="str">
        <f>IF(NOT(ISBLANK(Audit[[#This Row],[Audit Candidate 6]])), Audit[[#This Row],[Audit Candidate 6]]-Audit[[#This Row],[Candidate 6]], "")</f>
        <v/>
      </c>
      <c r="AK1060" s="18" t="str">
        <f>IF(NOT(ISBLANK(Audit[[#This Row],[Audit Candidate 7]])), Audit[[#This Row],[Audit Candidate 7]]-Audit[[#This Row],[Candidate 7]], "")</f>
        <v/>
      </c>
      <c r="AL1060" s="18" t="str">
        <f>IF(NOT(ISBLANK(Audit[[#This Row],[Audit Candidate 8]])), Audit[[#This Row],[Audit Candidate 8]]-Audit[[#This Row],[Candidate 8]], "")</f>
        <v/>
      </c>
      <c r="AM1060" s="18" t="str">
        <f>IF(NOT(ISBLANK(Audit[[#This Row],[Audit Candidate 9]])), Audit[[#This Row],[Audit Candidate 9]]-Audit[[#This Row],[Candidate 9]], "")</f>
        <v/>
      </c>
      <c r="AN1060" s="18" t="str">
        <f>IF(NOT(ISBLANK(Audit[[#This Row],[Audit Candidate 10]])), Audit[[#This Row],[Audit Candidate 10]]-Audit[[#This Row],[Candidate 10]], "")</f>
        <v/>
      </c>
      <c r="AO1060" s="18" t="str">
        <f>IF(NOT(ISBLANK(Audit[[#This Row],[Audit Candidate 11]])), Audit[[#This Row],[Audit Candidate 11]]-Audit[[#This Row],[Candidate 11]], "")</f>
        <v/>
      </c>
      <c r="AP1060" s="18" t="str">
        <f>IF(NOT(ISBLANK(Audit[[#This Row],[Audit Candidate 12]])), Audit[[#This Row],[Audit Candidate 12]]-Audit[[#This Row],[Candidate 12]], "")</f>
        <v/>
      </c>
      <c r="AQ1060" s="18">
        <f>SUMIF(Audit[[#This Row],[Difference Winner]:[Difference Candidate 12]], "&gt;0")</f>
        <v>0</v>
      </c>
      <c r="AR1060" s="18">
        <f>SUM(Audit[[#This Row],[Difference Winner]:[Difference Candidate 12]])</f>
        <v>0</v>
      </c>
      <c r="AS1060" s="18">
        <f>IF(Audit[[#This Row],[Times p Drawn - With Replacement]]&gt;0, IF(Audit[[#This Row],[Canceled Differences]]&lt;0, Audit[[#This Row],[Max Differences]]+ABS(Audit[[#This Row],[Canceled Differences]]), Audit[[#This Row],[Max Differences]]), 0)</f>
        <v>0</v>
      </c>
      <c r="AT1060" s="18">
        <f>'Sampling Data'!AB1060</f>
        <v>5.6852090335144639E-3</v>
      </c>
      <c r="AU1060" s="18">
        <f>IF(
      SUM(Audit[[#This Row],[Audit Losing Candidate]:[Audit Candidate 12]])
      &lt;&gt;0,
      (Audit[[#This Row],[Winning Candidate]]-Audit[[#This Row],[Losing Candidate]]-(Audit[[#This Row],[Audit Winning Candidate]]-Audit[[#This Row],[Audit Losing Candidate]]))/(Audit[[#Totals],[Winning Candidate]]-Audit[[#Totals],[Losing Candidate]]),
      0
)</f>
        <v>0</v>
      </c>
      <c r="AV106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8">
        <f>IF(Audit[[#This Row],[Max Relative Error (ep)]] = 0, 0, Audit[[#This Row],[Max Relative Error (ep)]]/Audit[[#This Row],[Error Bound (up) - Max. possible relative overstatement]])</f>
        <v>0</v>
      </c>
      <c r="BH106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0" s="18">
        <f t="shared" si="17"/>
        <v>1</v>
      </c>
      <c r="BJ1060" s="18">
        <f>PRODUCT($BI$5:BI1060)</f>
        <v>0.10664664085196122</v>
      </c>
      <c r="BK1060" s="20">
        <f>1 - Audit[[#This Row],[K-M P Value]]</f>
        <v>0.89335335914803882</v>
      </c>
      <c r="BL1060" s="18" t="str">
        <f>IF(Audit[[#This Row],[K-M P Value]]&gt;1-'General Info'!$B$12,"Continue", "Stop")</f>
        <v>Continue</v>
      </c>
      <c r="BM1060" s="23" t="b">
        <f>IF(Audit[[#This Row],[Status - Continue or stop audit]] = "Continue", TRUE, IF(BL1059 = "Continue", TRUE, FALSE))</f>
        <v>1</v>
      </c>
      <c r="BN1060" s="23"/>
    </row>
    <row r="1061" spans="1:66" ht="15" hidden="1" customHeight="1" x14ac:dyDescent="0.35">
      <c r="A1061" s="18" t="str">
        <f>'Sampling Data'!AI1061</f>
        <v/>
      </c>
      <c r="B1061" s="18" t="str">
        <f>'Sampling Data'!A1061</f>
        <v>8401 NEWT A   (ED)</v>
      </c>
      <c r="C1061" s="18">
        <f>'Sampling Data'!B1061</f>
        <v>75</v>
      </c>
      <c r="D1061" s="18">
        <f>'Sampling Data'!C1061</f>
        <v>10</v>
      </c>
      <c r="E1061" s="19">
        <f>'Sampling Data'!D1061</f>
        <v>0</v>
      </c>
      <c r="F1061" s="19">
        <f>'Sampling Data'!E1061</f>
        <v>0</v>
      </c>
      <c r="G1061" s="19">
        <f>'Sampling Data'!F1061</f>
        <v>0</v>
      </c>
      <c r="H1061" s="19">
        <f>'Sampling Data'!G1061</f>
        <v>0</v>
      </c>
      <c r="I1061" s="19">
        <f>'Sampling Data'!H1061</f>
        <v>0</v>
      </c>
      <c r="J1061" s="19">
        <f>'Sampling Data'!I1061</f>
        <v>0</v>
      </c>
      <c r="K1061" s="19">
        <f>'Sampling Data'!J1061</f>
        <v>0</v>
      </c>
      <c r="L1061" s="19">
        <f>'Sampling Data'!K1061</f>
        <v>0</v>
      </c>
      <c r="M1061" s="19">
        <f>'Sampling Data'!L1061</f>
        <v>0</v>
      </c>
      <c r="N1061" s="19">
        <f>'Sampling Data'!M1061</f>
        <v>0</v>
      </c>
      <c r="O1061" s="18">
        <f>'Sampling Data'!N1061</f>
        <v>0</v>
      </c>
      <c r="P1061" s="18">
        <f>'Sampling Data'!O1061</f>
        <v>2</v>
      </c>
      <c r="Q1061" s="18">
        <f>'Sampling Data'!P1061</f>
        <v>87</v>
      </c>
      <c r="R1061" s="18">
        <f>'Sampling Data'!AJ1061</f>
        <v>0</v>
      </c>
      <c r="S1061" s="112"/>
      <c r="T1061" s="112"/>
      <c r="U1061" s="113"/>
      <c r="V1061" s="113"/>
      <c r="W1061" s="112"/>
      <c r="X1061" s="112"/>
      <c r="Y1061" s="112"/>
      <c r="Z1061" s="112"/>
      <c r="AA1061" s="15"/>
      <c r="AB1061" s="15"/>
      <c r="AC1061" s="15"/>
      <c r="AD1061" s="15"/>
      <c r="AE1061" s="114" t="str">
        <f>IF(NOT(ISBLANK(Audit[[#This Row],[Audit Winning Candidate]])), Audit[[#This Row],[Audit Winning Candidate]]-Audit[[#This Row],[Winning Candidate]], "")</f>
        <v/>
      </c>
      <c r="AF1061" s="18" t="str">
        <f>IF(NOT(ISBLANK(Audit[[#This Row],[Audit Losing Candidate]])), Audit[[#This Row],[Audit Losing Candidate]]-Audit[[#This Row],[Losing Candidate]], "")</f>
        <v/>
      </c>
      <c r="AG1061" s="18" t="str">
        <f>IF(NOT(ISBLANK(Audit[[#This Row],[Audit Candidate 3]])), Audit[[#This Row],[Audit Candidate 3]]-Audit[[#This Row],[Candidate 3]], "")</f>
        <v/>
      </c>
      <c r="AH1061" s="18" t="str">
        <f>IF(NOT(ISBLANK(Audit[[#This Row],[Audit Candidate 4]])),Audit[[#This Row],[Audit Candidate 4]]-Audit[[#This Row],[Candidate 4]], "")</f>
        <v/>
      </c>
      <c r="AI1061" s="18" t="str">
        <f>IF(NOT(ISBLANK(Audit[[#This Row],[Audit Candidate 5]])), Audit[[#This Row],[Audit Candidate 5]]-Audit[[#This Row],[Candidate 5]], "")</f>
        <v/>
      </c>
      <c r="AJ1061" s="18" t="str">
        <f>IF(NOT(ISBLANK(Audit[[#This Row],[Audit Candidate 6]])), Audit[[#This Row],[Audit Candidate 6]]-Audit[[#This Row],[Candidate 6]], "")</f>
        <v/>
      </c>
      <c r="AK1061" s="18" t="str">
        <f>IF(NOT(ISBLANK(Audit[[#This Row],[Audit Candidate 7]])), Audit[[#This Row],[Audit Candidate 7]]-Audit[[#This Row],[Candidate 7]], "")</f>
        <v/>
      </c>
      <c r="AL1061" s="18" t="str">
        <f>IF(NOT(ISBLANK(Audit[[#This Row],[Audit Candidate 8]])), Audit[[#This Row],[Audit Candidate 8]]-Audit[[#This Row],[Candidate 8]], "")</f>
        <v/>
      </c>
      <c r="AM1061" s="18" t="str">
        <f>IF(NOT(ISBLANK(Audit[[#This Row],[Audit Candidate 9]])), Audit[[#This Row],[Audit Candidate 9]]-Audit[[#This Row],[Candidate 9]], "")</f>
        <v/>
      </c>
      <c r="AN1061" s="18" t="str">
        <f>IF(NOT(ISBLANK(Audit[[#This Row],[Audit Candidate 10]])), Audit[[#This Row],[Audit Candidate 10]]-Audit[[#This Row],[Candidate 10]], "")</f>
        <v/>
      </c>
      <c r="AO1061" s="18" t="str">
        <f>IF(NOT(ISBLANK(Audit[[#This Row],[Audit Candidate 11]])), Audit[[#This Row],[Audit Candidate 11]]-Audit[[#This Row],[Candidate 11]], "")</f>
        <v/>
      </c>
      <c r="AP1061" s="18" t="str">
        <f>IF(NOT(ISBLANK(Audit[[#This Row],[Audit Candidate 12]])), Audit[[#This Row],[Audit Candidate 12]]-Audit[[#This Row],[Candidate 12]], "")</f>
        <v/>
      </c>
      <c r="AQ1061" s="18">
        <f>SUMIF(Audit[[#This Row],[Difference Winner]:[Difference Candidate 12]], "&gt;0")</f>
        <v>0</v>
      </c>
      <c r="AR1061" s="18">
        <f>SUM(Audit[[#This Row],[Difference Winner]:[Difference Candidate 12]])</f>
        <v>0</v>
      </c>
      <c r="AS1061" s="18">
        <f>IF(Audit[[#This Row],[Times p Drawn - With Replacement]]&gt;0, IF(Audit[[#This Row],[Canceled Differences]]&lt;0, Audit[[#This Row],[Max Differences]]+ABS(Audit[[#This Row],[Canceled Differences]]), Audit[[#This Row],[Max Differences]]), 0)</f>
        <v>0</v>
      </c>
      <c r="AT1061" s="18">
        <f>'Sampling Data'!AB1061</f>
        <v>4.7743191883657379E-3</v>
      </c>
      <c r="AU1061" s="18">
        <f>IF(
      SUM(Audit[[#This Row],[Audit Losing Candidate]:[Audit Candidate 12]])
      &lt;&gt;0,
      (Audit[[#This Row],[Winning Candidate]]-Audit[[#This Row],[Losing Candidate]]-(Audit[[#This Row],[Audit Winning Candidate]]-Audit[[#This Row],[Audit Losing Candidate]]))/(Audit[[#Totals],[Winning Candidate]]-Audit[[#Totals],[Losing Candidate]]),
      0
)</f>
        <v>0</v>
      </c>
      <c r="AV106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8">
        <f>IF(Audit[[#This Row],[Max Relative Error (ep)]] = 0, 0, Audit[[#This Row],[Max Relative Error (ep)]]/Audit[[#This Row],[Error Bound (up) - Max. possible relative overstatement]])</f>
        <v>0</v>
      </c>
      <c r="BH106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1" s="18">
        <f t="shared" si="17"/>
        <v>1</v>
      </c>
      <c r="BJ1061" s="18">
        <f>PRODUCT($BI$5:BI1061)</f>
        <v>0.10664664085196122</v>
      </c>
      <c r="BK1061" s="20">
        <f>1 - Audit[[#This Row],[K-M P Value]]</f>
        <v>0.89335335914803882</v>
      </c>
      <c r="BL1061" s="18" t="str">
        <f>IF(Audit[[#This Row],[K-M P Value]]&gt;1-'General Info'!$B$12,"Continue", "Stop")</f>
        <v>Continue</v>
      </c>
      <c r="BM1061" s="23" t="b">
        <f>IF(Audit[[#This Row],[Status - Continue or stop audit]] = "Continue", TRUE, IF(BL1060 = "Continue", TRUE, FALSE))</f>
        <v>1</v>
      </c>
      <c r="BN1061" s="23"/>
    </row>
    <row r="1062" spans="1:66" ht="15" hidden="1" customHeight="1" x14ac:dyDescent="0.35">
      <c r="A1062" s="18" t="str">
        <f>'Sampling Data'!AI1062</f>
        <v/>
      </c>
      <c r="B1062" s="18" t="str">
        <f>'Sampling Data'!A1062</f>
        <v>8402 NEWT B   (ED)</v>
      </c>
      <c r="C1062" s="18">
        <f>'Sampling Data'!B1062</f>
        <v>92</v>
      </c>
      <c r="D1062" s="18">
        <f>'Sampling Data'!C1062</f>
        <v>7</v>
      </c>
      <c r="E1062" s="19">
        <f>'Sampling Data'!D1062</f>
        <v>0</v>
      </c>
      <c r="F1062" s="19">
        <f>'Sampling Data'!E1062</f>
        <v>0</v>
      </c>
      <c r="G1062" s="19">
        <f>'Sampling Data'!F1062</f>
        <v>0</v>
      </c>
      <c r="H1062" s="19">
        <f>'Sampling Data'!G1062</f>
        <v>0</v>
      </c>
      <c r="I1062" s="19">
        <f>'Sampling Data'!H1062</f>
        <v>0</v>
      </c>
      <c r="J1062" s="19">
        <f>'Sampling Data'!I1062</f>
        <v>0</v>
      </c>
      <c r="K1062" s="19">
        <f>'Sampling Data'!J1062</f>
        <v>0</v>
      </c>
      <c r="L1062" s="19">
        <f>'Sampling Data'!K1062</f>
        <v>0</v>
      </c>
      <c r="M1062" s="19">
        <f>'Sampling Data'!L1062</f>
        <v>0</v>
      </c>
      <c r="N1062" s="19">
        <f>'Sampling Data'!M1062</f>
        <v>0</v>
      </c>
      <c r="O1062" s="18">
        <f>'Sampling Data'!N1062</f>
        <v>0</v>
      </c>
      <c r="P1062" s="18">
        <f>'Sampling Data'!O1062</f>
        <v>1</v>
      </c>
      <c r="Q1062" s="18">
        <f>'Sampling Data'!P1062</f>
        <v>100</v>
      </c>
      <c r="R1062" s="18">
        <f>'Sampling Data'!AJ1062</f>
        <v>0</v>
      </c>
      <c r="S1062" s="112"/>
      <c r="T1062" s="112"/>
      <c r="U1062" s="113"/>
      <c r="V1062" s="113"/>
      <c r="W1062" s="112"/>
      <c r="X1062" s="112"/>
      <c r="Y1062" s="112"/>
      <c r="Z1062" s="112"/>
      <c r="AA1062" s="15"/>
      <c r="AB1062" s="15"/>
      <c r="AC1062" s="15"/>
      <c r="AD1062" s="15"/>
      <c r="AE1062" s="114" t="str">
        <f>IF(NOT(ISBLANK(Audit[[#This Row],[Audit Winning Candidate]])), Audit[[#This Row],[Audit Winning Candidate]]-Audit[[#This Row],[Winning Candidate]], "")</f>
        <v/>
      </c>
      <c r="AF1062" s="18" t="str">
        <f>IF(NOT(ISBLANK(Audit[[#This Row],[Audit Losing Candidate]])), Audit[[#This Row],[Audit Losing Candidate]]-Audit[[#This Row],[Losing Candidate]], "")</f>
        <v/>
      </c>
      <c r="AG1062" s="18" t="str">
        <f>IF(NOT(ISBLANK(Audit[[#This Row],[Audit Candidate 3]])), Audit[[#This Row],[Audit Candidate 3]]-Audit[[#This Row],[Candidate 3]], "")</f>
        <v/>
      </c>
      <c r="AH1062" s="18" t="str">
        <f>IF(NOT(ISBLANK(Audit[[#This Row],[Audit Candidate 4]])),Audit[[#This Row],[Audit Candidate 4]]-Audit[[#This Row],[Candidate 4]], "")</f>
        <v/>
      </c>
      <c r="AI1062" s="18" t="str">
        <f>IF(NOT(ISBLANK(Audit[[#This Row],[Audit Candidate 5]])), Audit[[#This Row],[Audit Candidate 5]]-Audit[[#This Row],[Candidate 5]], "")</f>
        <v/>
      </c>
      <c r="AJ1062" s="18" t="str">
        <f>IF(NOT(ISBLANK(Audit[[#This Row],[Audit Candidate 6]])), Audit[[#This Row],[Audit Candidate 6]]-Audit[[#This Row],[Candidate 6]], "")</f>
        <v/>
      </c>
      <c r="AK1062" s="18" t="str">
        <f>IF(NOT(ISBLANK(Audit[[#This Row],[Audit Candidate 7]])), Audit[[#This Row],[Audit Candidate 7]]-Audit[[#This Row],[Candidate 7]], "")</f>
        <v/>
      </c>
      <c r="AL1062" s="18" t="str">
        <f>IF(NOT(ISBLANK(Audit[[#This Row],[Audit Candidate 8]])), Audit[[#This Row],[Audit Candidate 8]]-Audit[[#This Row],[Candidate 8]], "")</f>
        <v/>
      </c>
      <c r="AM1062" s="18" t="str">
        <f>IF(NOT(ISBLANK(Audit[[#This Row],[Audit Candidate 9]])), Audit[[#This Row],[Audit Candidate 9]]-Audit[[#This Row],[Candidate 9]], "")</f>
        <v/>
      </c>
      <c r="AN1062" s="18" t="str">
        <f>IF(NOT(ISBLANK(Audit[[#This Row],[Audit Candidate 10]])), Audit[[#This Row],[Audit Candidate 10]]-Audit[[#This Row],[Candidate 10]], "")</f>
        <v/>
      </c>
      <c r="AO1062" s="18" t="str">
        <f>IF(NOT(ISBLANK(Audit[[#This Row],[Audit Candidate 11]])), Audit[[#This Row],[Audit Candidate 11]]-Audit[[#This Row],[Candidate 11]], "")</f>
        <v/>
      </c>
      <c r="AP1062" s="18" t="str">
        <f>IF(NOT(ISBLANK(Audit[[#This Row],[Audit Candidate 12]])), Audit[[#This Row],[Audit Candidate 12]]-Audit[[#This Row],[Candidate 12]], "")</f>
        <v/>
      </c>
      <c r="AQ1062" s="18">
        <f>SUMIF(Audit[[#This Row],[Difference Winner]:[Difference Candidate 12]], "&gt;0")</f>
        <v>0</v>
      </c>
      <c r="AR1062" s="18">
        <f>SUM(Audit[[#This Row],[Difference Winner]:[Difference Candidate 12]])</f>
        <v>0</v>
      </c>
      <c r="AS1062" s="18">
        <f>IF(Audit[[#This Row],[Times p Drawn - With Replacement]]&gt;0, IF(Audit[[#This Row],[Canceled Differences]]&lt;0, Audit[[#This Row],[Max Differences]]+ABS(Audit[[#This Row],[Canceled Differences]]), Audit[[#This Row],[Max Differences]]), 0)</f>
        <v>0</v>
      </c>
      <c r="AT1062" s="18">
        <f>'Sampling Data'!AB1062</f>
        <v>5.8108490121556678E-3</v>
      </c>
      <c r="AU1062" s="18">
        <f>IF(
      SUM(Audit[[#This Row],[Audit Losing Candidate]:[Audit Candidate 12]])
      &lt;&gt;0,
      (Audit[[#This Row],[Winning Candidate]]-Audit[[#This Row],[Losing Candidate]]-(Audit[[#This Row],[Audit Winning Candidate]]-Audit[[#This Row],[Audit Losing Candidate]]))/(Audit[[#Totals],[Winning Candidate]]-Audit[[#Totals],[Losing Candidate]]),
      0
)</f>
        <v>0</v>
      </c>
      <c r="AV106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8">
        <f>IF(Audit[[#This Row],[Max Relative Error (ep)]] = 0, 0, Audit[[#This Row],[Max Relative Error (ep)]]/Audit[[#This Row],[Error Bound (up) - Max. possible relative overstatement]])</f>
        <v>0</v>
      </c>
      <c r="BH106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2" s="18">
        <f t="shared" si="17"/>
        <v>1</v>
      </c>
      <c r="BJ1062" s="18">
        <f>PRODUCT($BI$5:BI1062)</f>
        <v>0.10664664085196122</v>
      </c>
      <c r="BK1062" s="20">
        <f>1 - Audit[[#This Row],[K-M P Value]]</f>
        <v>0.89335335914803882</v>
      </c>
      <c r="BL1062" s="18" t="str">
        <f>IF(Audit[[#This Row],[K-M P Value]]&gt;1-'General Info'!$B$12,"Continue", "Stop")</f>
        <v>Continue</v>
      </c>
      <c r="BM1062" s="23" t="b">
        <f>IF(Audit[[#This Row],[Status - Continue or stop audit]] = "Continue", TRUE, IF(BL1061 = "Continue", TRUE, FALSE))</f>
        <v>1</v>
      </c>
      <c r="BN1062" s="23"/>
    </row>
    <row r="1063" spans="1:66" ht="15" hidden="1" customHeight="1" x14ac:dyDescent="0.35">
      <c r="A1063" s="18" t="str">
        <f>'Sampling Data'!AI1063</f>
        <v/>
      </c>
      <c r="B1063" s="18" t="str">
        <f>'Sampling Data'!A1063</f>
        <v>8511 ST BN 1-A   (ED)</v>
      </c>
      <c r="C1063" s="18">
        <f>'Sampling Data'!B1063</f>
        <v>35</v>
      </c>
      <c r="D1063" s="18">
        <f>'Sampling Data'!C1063</f>
        <v>4</v>
      </c>
      <c r="E1063" s="19">
        <f>'Sampling Data'!D1063</f>
        <v>0</v>
      </c>
      <c r="F1063" s="19">
        <f>'Sampling Data'!E1063</f>
        <v>0</v>
      </c>
      <c r="G1063" s="19">
        <f>'Sampling Data'!F1063</f>
        <v>0</v>
      </c>
      <c r="H1063" s="19">
        <f>'Sampling Data'!G1063</f>
        <v>0</v>
      </c>
      <c r="I1063" s="19">
        <f>'Sampling Data'!H1063</f>
        <v>0</v>
      </c>
      <c r="J1063" s="19">
        <f>'Sampling Data'!I1063</f>
        <v>0</v>
      </c>
      <c r="K1063" s="19">
        <f>'Sampling Data'!J1063</f>
        <v>0</v>
      </c>
      <c r="L1063" s="19">
        <f>'Sampling Data'!K1063</f>
        <v>0</v>
      </c>
      <c r="M1063" s="19">
        <f>'Sampling Data'!L1063</f>
        <v>0</v>
      </c>
      <c r="N1063" s="19">
        <f>'Sampling Data'!M1063</f>
        <v>0</v>
      </c>
      <c r="O1063" s="18">
        <f>'Sampling Data'!N1063</f>
        <v>0</v>
      </c>
      <c r="P1063" s="18">
        <f>'Sampling Data'!O1063</f>
        <v>1</v>
      </c>
      <c r="Q1063" s="18">
        <f>'Sampling Data'!P1063</f>
        <v>40</v>
      </c>
      <c r="R1063" s="18">
        <f>'Sampling Data'!AJ1063</f>
        <v>0</v>
      </c>
      <c r="S1063" s="112"/>
      <c r="T1063" s="112"/>
      <c r="U1063" s="113"/>
      <c r="V1063" s="113"/>
      <c r="W1063" s="112"/>
      <c r="X1063" s="112"/>
      <c r="Y1063" s="112"/>
      <c r="Z1063" s="112"/>
      <c r="AA1063" s="15"/>
      <c r="AB1063" s="15"/>
      <c r="AC1063" s="15"/>
      <c r="AD1063" s="15"/>
      <c r="AE1063" s="114" t="str">
        <f>IF(NOT(ISBLANK(Audit[[#This Row],[Audit Winning Candidate]])), Audit[[#This Row],[Audit Winning Candidate]]-Audit[[#This Row],[Winning Candidate]], "")</f>
        <v/>
      </c>
      <c r="AF1063" s="18" t="str">
        <f>IF(NOT(ISBLANK(Audit[[#This Row],[Audit Losing Candidate]])), Audit[[#This Row],[Audit Losing Candidate]]-Audit[[#This Row],[Losing Candidate]], "")</f>
        <v/>
      </c>
      <c r="AG1063" s="18" t="str">
        <f>IF(NOT(ISBLANK(Audit[[#This Row],[Audit Candidate 3]])), Audit[[#This Row],[Audit Candidate 3]]-Audit[[#This Row],[Candidate 3]], "")</f>
        <v/>
      </c>
      <c r="AH1063" s="18" t="str">
        <f>IF(NOT(ISBLANK(Audit[[#This Row],[Audit Candidate 4]])),Audit[[#This Row],[Audit Candidate 4]]-Audit[[#This Row],[Candidate 4]], "")</f>
        <v/>
      </c>
      <c r="AI1063" s="18" t="str">
        <f>IF(NOT(ISBLANK(Audit[[#This Row],[Audit Candidate 5]])), Audit[[#This Row],[Audit Candidate 5]]-Audit[[#This Row],[Candidate 5]], "")</f>
        <v/>
      </c>
      <c r="AJ1063" s="18" t="str">
        <f>IF(NOT(ISBLANK(Audit[[#This Row],[Audit Candidate 6]])), Audit[[#This Row],[Audit Candidate 6]]-Audit[[#This Row],[Candidate 6]], "")</f>
        <v/>
      </c>
      <c r="AK1063" s="18" t="str">
        <f>IF(NOT(ISBLANK(Audit[[#This Row],[Audit Candidate 7]])), Audit[[#This Row],[Audit Candidate 7]]-Audit[[#This Row],[Candidate 7]], "")</f>
        <v/>
      </c>
      <c r="AL1063" s="18" t="str">
        <f>IF(NOT(ISBLANK(Audit[[#This Row],[Audit Candidate 8]])), Audit[[#This Row],[Audit Candidate 8]]-Audit[[#This Row],[Candidate 8]], "")</f>
        <v/>
      </c>
      <c r="AM1063" s="18" t="str">
        <f>IF(NOT(ISBLANK(Audit[[#This Row],[Audit Candidate 9]])), Audit[[#This Row],[Audit Candidate 9]]-Audit[[#This Row],[Candidate 9]], "")</f>
        <v/>
      </c>
      <c r="AN1063" s="18" t="str">
        <f>IF(NOT(ISBLANK(Audit[[#This Row],[Audit Candidate 10]])), Audit[[#This Row],[Audit Candidate 10]]-Audit[[#This Row],[Candidate 10]], "")</f>
        <v/>
      </c>
      <c r="AO1063" s="18" t="str">
        <f>IF(NOT(ISBLANK(Audit[[#This Row],[Audit Candidate 11]])), Audit[[#This Row],[Audit Candidate 11]]-Audit[[#This Row],[Candidate 11]], "")</f>
        <v/>
      </c>
      <c r="AP1063" s="18" t="str">
        <f>IF(NOT(ISBLANK(Audit[[#This Row],[Audit Candidate 12]])), Audit[[#This Row],[Audit Candidate 12]]-Audit[[#This Row],[Candidate 12]], "")</f>
        <v/>
      </c>
      <c r="AQ1063" s="18">
        <f>SUMIF(Audit[[#This Row],[Difference Winner]:[Difference Candidate 12]], "&gt;0")</f>
        <v>0</v>
      </c>
      <c r="AR1063" s="18">
        <f>SUM(Audit[[#This Row],[Difference Winner]:[Difference Candidate 12]])</f>
        <v>0</v>
      </c>
      <c r="AS1063" s="18">
        <f>IF(Audit[[#This Row],[Times p Drawn - With Replacement]]&gt;0, IF(Audit[[#This Row],[Canceled Differences]]&lt;0, Audit[[#This Row],[Max Differences]]+ABS(Audit[[#This Row],[Canceled Differences]]), Audit[[#This Row],[Max Differences]]), 0)</f>
        <v>0</v>
      </c>
      <c r="AT1063" s="18">
        <f>'Sampling Data'!AB1063</f>
        <v>2.2301096208813646E-3</v>
      </c>
      <c r="AU1063" s="18">
        <f>IF(
      SUM(Audit[[#This Row],[Audit Losing Candidate]:[Audit Candidate 12]])
      &lt;&gt;0,
      (Audit[[#This Row],[Winning Candidate]]-Audit[[#This Row],[Losing Candidate]]-(Audit[[#This Row],[Audit Winning Candidate]]-Audit[[#This Row],[Audit Losing Candidate]]))/(Audit[[#Totals],[Winning Candidate]]-Audit[[#Totals],[Losing Candidate]]),
      0
)</f>
        <v>0</v>
      </c>
      <c r="AV106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8">
        <f>IF(Audit[[#This Row],[Max Relative Error (ep)]] = 0, 0, Audit[[#This Row],[Max Relative Error (ep)]]/Audit[[#This Row],[Error Bound (up) - Max. possible relative overstatement]])</f>
        <v>0</v>
      </c>
      <c r="BH106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3" s="18">
        <f t="shared" si="17"/>
        <v>1</v>
      </c>
      <c r="BJ1063" s="18">
        <f>PRODUCT($BI$5:BI1063)</f>
        <v>0.10664664085196122</v>
      </c>
      <c r="BK1063" s="20">
        <f>1 - Audit[[#This Row],[K-M P Value]]</f>
        <v>0.89335335914803882</v>
      </c>
      <c r="BL1063" s="18" t="str">
        <f>IF(Audit[[#This Row],[K-M P Value]]&gt;1-'General Info'!$B$12,"Continue", "Stop")</f>
        <v>Continue</v>
      </c>
      <c r="BM1063" s="23" t="b">
        <f>IF(Audit[[#This Row],[Status - Continue or stop audit]] = "Continue", TRUE, IF(BL1062 = "Continue", TRUE, FALSE))</f>
        <v>1</v>
      </c>
      <c r="BN1063" s="23"/>
    </row>
    <row r="1064" spans="1:66" ht="15" hidden="1" customHeight="1" x14ac:dyDescent="0.35">
      <c r="A1064" s="18" t="str">
        <f>'Sampling Data'!AI1064</f>
        <v/>
      </c>
      <c r="B1064" s="18" t="str">
        <f>'Sampling Data'!A1064</f>
        <v>8521 ST BN 2-A   (ED)</v>
      </c>
      <c r="C1064" s="18">
        <f>'Sampling Data'!B1064</f>
        <v>36</v>
      </c>
      <c r="D1064" s="18">
        <f>'Sampling Data'!C1064</f>
        <v>4</v>
      </c>
      <c r="E1064" s="19">
        <f>'Sampling Data'!D1064</f>
        <v>0</v>
      </c>
      <c r="F1064" s="19">
        <f>'Sampling Data'!E1064</f>
        <v>0</v>
      </c>
      <c r="G1064" s="19">
        <f>'Sampling Data'!F1064</f>
        <v>0</v>
      </c>
      <c r="H1064" s="19">
        <f>'Sampling Data'!G1064</f>
        <v>0</v>
      </c>
      <c r="I1064" s="19">
        <f>'Sampling Data'!H1064</f>
        <v>0</v>
      </c>
      <c r="J1064" s="19">
        <f>'Sampling Data'!I1064</f>
        <v>0</v>
      </c>
      <c r="K1064" s="19">
        <f>'Sampling Data'!J1064</f>
        <v>0</v>
      </c>
      <c r="L1064" s="19">
        <f>'Sampling Data'!K1064</f>
        <v>0</v>
      </c>
      <c r="M1064" s="19">
        <f>'Sampling Data'!L1064</f>
        <v>0</v>
      </c>
      <c r="N1064" s="19">
        <f>'Sampling Data'!M1064</f>
        <v>0</v>
      </c>
      <c r="O1064" s="18">
        <f>'Sampling Data'!N1064</f>
        <v>0</v>
      </c>
      <c r="P1064" s="18">
        <f>'Sampling Data'!O1064</f>
        <v>1</v>
      </c>
      <c r="Q1064" s="18">
        <f>'Sampling Data'!P1064</f>
        <v>41</v>
      </c>
      <c r="R1064" s="18">
        <f>'Sampling Data'!AJ1064</f>
        <v>0</v>
      </c>
      <c r="S1064" s="112"/>
      <c r="T1064" s="112"/>
      <c r="U1064" s="113"/>
      <c r="V1064" s="113"/>
      <c r="W1064" s="112"/>
      <c r="X1064" s="112"/>
      <c r="Y1064" s="112"/>
      <c r="Z1064" s="112"/>
      <c r="AA1064" s="15"/>
      <c r="AB1064" s="15"/>
      <c r="AC1064" s="15"/>
      <c r="AD1064" s="15"/>
      <c r="AE1064" s="114" t="str">
        <f>IF(NOT(ISBLANK(Audit[[#This Row],[Audit Winning Candidate]])), Audit[[#This Row],[Audit Winning Candidate]]-Audit[[#This Row],[Winning Candidate]], "")</f>
        <v/>
      </c>
      <c r="AF1064" s="18" t="str">
        <f>IF(NOT(ISBLANK(Audit[[#This Row],[Audit Losing Candidate]])), Audit[[#This Row],[Audit Losing Candidate]]-Audit[[#This Row],[Losing Candidate]], "")</f>
        <v/>
      </c>
      <c r="AG1064" s="18" t="str">
        <f>IF(NOT(ISBLANK(Audit[[#This Row],[Audit Candidate 3]])), Audit[[#This Row],[Audit Candidate 3]]-Audit[[#This Row],[Candidate 3]], "")</f>
        <v/>
      </c>
      <c r="AH1064" s="18" t="str">
        <f>IF(NOT(ISBLANK(Audit[[#This Row],[Audit Candidate 4]])),Audit[[#This Row],[Audit Candidate 4]]-Audit[[#This Row],[Candidate 4]], "")</f>
        <v/>
      </c>
      <c r="AI1064" s="18" t="str">
        <f>IF(NOT(ISBLANK(Audit[[#This Row],[Audit Candidate 5]])), Audit[[#This Row],[Audit Candidate 5]]-Audit[[#This Row],[Candidate 5]], "")</f>
        <v/>
      </c>
      <c r="AJ1064" s="18" t="str">
        <f>IF(NOT(ISBLANK(Audit[[#This Row],[Audit Candidate 6]])), Audit[[#This Row],[Audit Candidate 6]]-Audit[[#This Row],[Candidate 6]], "")</f>
        <v/>
      </c>
      <c r="AK1064" s="18" t="str">
        <f>IF(NOT(ISBLANK(Audit[[#This Row],[Audit Candidate 7]])), Audit[[#This Row],[Audit Candidate 7]]-Audit[[#This Row],[Candidate 7]], "")</f>
        <v/>
      </c>
      <c r="AL1064" s="18" t="str">
        <f>IF(NOT(ISBLANK(Audit[[#This Row],[Audit Candidate 8]])), Audit[[#This Row],[Audit Candidate 8]]-Audit[[#This Row],[Candidate 8]], "")</f>
        <v/>
      </c>
      <c r="AM1064" s="18" t="str">
        <f>IF(NOT(ISBLANK(Audit[[#This Row],[Audit Candidate 9]])), Audit[[#This Row],[Audit Candidate 9]]-Audit[[#This Row],[Candidate 9]], "")</f>
        <v/>
      </c>
      <c r="AN1064" s="18" t="str">
        <f>IF(NOT(ISBLANK(Audit[[#This Row],[Audit Candidate 10]])), Audit[[#This Row],[Audit Candidate 10]]-Audit[[#This Row],[Candidate 10]], "")</f>
        <v/>
      </c>
      <c r="AO1064" s="18" t="str">
        <f>IF(NOT(ISBLANK(Audit[[#This Row],[Audit Candidate 11]])), Audit[[#This Row],[Audit Candidate 11]]-Audit[[#This Row],[Candidate 11]], "")</f>
        <v/>
      </c>
      <c r="AP1064" s="18" t="str">
        <f>IF(NOT(ISBLANK(Audit[[#This Row],[Audit Candidate 12]])), Audit[[#This Row],[Audit Candidate 12]]-Audit[[#This Row],[Candidate 12]], "")</f>
        <v/>
      </c>
      <c r="AQ1064" s="18">
        <f>SUMIF(Audit[[#This Row],[Difference Winner]:[Difference Candidate 12]], "&gt;0")</f>
        <v>0</v>
      </c>
      <c r="AR1064" s="18">
        <f>SUM(Audit[[#This Row],[Difference Winner]:[Difference Candidate 12]])</f>
        <v>0</v>
      </c>
      <c r="AS1064" s="18">
        <f>IF(Audit[[#This Row],[Times p Drawn - With Replacement]]&gt;0, IF(Audit[[#This Row],[Canceled Differences]]&lt;0, Audit[[#This Row],[Max Differences]]+ABS(Audit[[#This Row],[Canceled Differences]]), Audit[[#This Row],[Max Differences]]), 0)</f>
        <v>0</v>
      </c>
      <c r="AT1064" s="18">
        <f>'Sampling Data'!AB1064</f>
        <v>2.2929296102019662E-3</v>
      </c>
      <c r="AU1064" s="18">
        <f>IF(
      SUM(Audit[[#This Row],[Audit Losing Candidate]:[Audit Candidate 12]])
      &lt;&gt;0,
      (Audit[[#This Row],[Winning Candidate]]-Audit[[#This Row],[Losing Candidate]]-(Audit[[#This Row],[Audit Winning Candidate]]-Audit[[#This Row],[Audit Losing Candidate]]))/(Audit[[#Totals],[Winning Candidate]]-Audit[[#Totals],[Losing Candidate]]),
      0
)</f>
        <v>0</v>
      </c>
      <c r="AV106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8">
        <f>IF(Audit[[#This Row],[Max Relative Error (ep)]] = 0, 0, Audit[[#This Row],[Max Relative Error (ep)]]/Audit[[#This Row],[Error Bound (up) - Max. possible relative overstatement]])</f>
        <v>0</v>
      </c>
      <c r="BH106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4" s="18">
        <f t="shared" si="17"/>
        <v>1</v>
      </c>
      <c r="BJ1064" s="18">
        <f>PRODUCT($BI$5:BI1064)</f>
        <v>0.10664664085196122</v>
      </c>
      <c r="BK1064" s="20">
        <f>1 - Audit[[#This Row],[K-M P Value]]</f>
        <v>0.89335335914803882</v>
      </c>
      <c r="BL1064" s="18" t="str">
        <f>IF(Audit[[#This Row],[K-M P Value]]&gt;1-'General Info'!$B$12,"Continue", "Stop")</f>
        <v>Continue</v>
      </c>
      <c r="BM1064" s="23" t="b">
        <f>IF(Audit[[#This Row],[Status - Continue or stop audit]] = "Continue", TRUE, IF(BL1063 = "Continue", TRUE, FALSE))</f>
        <v>1</v>
      </c>
      <c r="BN1064" s="23"/>
    </row>
    <row r="1065" spans="1:66" ht="15" hidden="1" customHeight="1" x14ac:dyDescent="0.35">
      <c r="A1065" s="18" t="str">
        <f>'Sampling Data'!AI1065</f>
        <v/>
      </c>
      <c r="B1065" s="18" t="str">
        <f>'Sampling Data'!A1065</f>
        <v>8531 ST BN 3-A   (ED)</v>
      </c>
      <c r="C1065" s="18">
        <f>'Sampling Data'!B1065</f>
        <v>32</v>
      </c>
      <c r="D1065" s="18">
        <f>'Sampling Data'!C1065</f>
        <v>1</v>
      </c>
      <c r="E1065" s="19">
        <f>'Sampling Data'!D1065</f>
        <v>0</v>
      </c>
      <c r="F1065" s="19">
        <f>'Sampling Data'!E1065</f>
        <v>0</v>
      </c>
      <c r="G1065" s="19">
        <f>'Sampling Data'!F1065</f>
        <v>0</v>
      </c>
      <c r="H1065" s="19">
        <f>'Sampling Data'!G1065</f>
        <v>0</v>
      </c>
      <c r="I1065" s="19">
        <f>'Sampling Data'!H1065</f>
        <v>0</v>
      </c>
      <c r="J1065" s="19">
        <f>'Sampling Data'!I1065</f>
        <v>0</v>
      </c>
      <c r="K1065" s="19">
        <f>'Sampling Data'!J1065</f>
        <v>0</v>
      </c>
      <c r="L1065" s="19">
        <f>'Sampling Data'!K1065</f>
        <v>0</v>
      </c>
      <c r="M1065" s="19">
        <f>'Sampling Data'!L1065</f>
        <v>0</v>
      </c>
      <c r="N1065" s="19">
        <f>'Sampling Data'!M1065</f>
        <v>0</v>
      </c>
      <c r="O1065" s="18">
        <f>'Sampling Data'!N1065</f>
        <v>0</v>
      </c>
      <c r="P1065" s="18">
        <f>'Sampling Data'!O1065</f>
        <v>0</v>
      </c>
      <c r="Q1065" s="18">
        <f>'Sampling Data'!P1065</f>
        <v>33</v>
      </c>
      <c r="R1065" s="18">
        <f>'Sampling Data'!AJ1065</f>
        <v>0</v>
      </c>
      <c r="S1065" s="112"/>
      <c r="T1065" s="112"/>
      <c r="U1065" s="113"/>
      <c r="V1065" s="113"/>
      <c r="W1065" s="112"/>
      <c r="X1065" s="112"/>
      <c r="Y1065" s="112"/>
      <c r="Z1065" s="112"/>
      <c r="AA1065" s="15"/>
      <c r="AB1065" s="15"/>
      <c r="AC1065" s="15"/>
      <c r="AD1065" s="15"/>
      <c r="AE1065" s="114" t="str">
        <f>IF(NOT(ISBLANK(Audit[[#This Row],[Audit Winning Candidate]])), Audit[[#This Row],[Audit Winning Candidate]]-Audit[[#This Row],[Winning Candidate]], "")</f>
        <v/>
      </c>
      <c r="AF1065" s="18" t="str">
        <f>IF(NOT(ISBLANK(Audit[[#This Row],[Audit Losing Candidate]])), Audit[[#This Row],[Audit Losing Candidate]]-Audit[[#This Row],[Losing Candidate]], "")</f>
        <v/>
      </c>
      <c r="AG1065" s="18" t="str">
        <f>IF(NOT(ISBLANK(Audit[[#This Row],[Audit Candidate 3]])), Audit[[#This Row],[Audit Candidate 3]]-Audit[[#This Row],[Candidate 3]], "")</f>
        <v/>
      </c>
      <c r="AH1065" s="18" t="str">
        <f>IF(NOT(ISBLANK(Audit[[#This Row],[Audit Candidate 4]])),Audit[[#This Row],[Audit Candidate 4]]-Audit[[#This Row],[Candidate 4]], "")</f>
        <v/>
      </c>
      <c r="AI1065" s="18" t="str">
        <f>IF(NOT(ISBLANK(Audit[[#This Row],[Audit Candidate 5]])), Audit[[#This Row],[Audit Candidate 5]]-Audit[[#This Row],[Candidate 5]], "")</f>
        <v/>
      </c>
      <c r="AJ1065" s="18" t="str">
        <f>IF(NOT(ISBLANK(Audit[[#This Row],[Audit Candidate 6]])), Audit[[#This Row],[Audit Candidate 6]]-Audit[[#This Row],[Candidate 6]], "")</f>
        <v/>
      </c>
      <c r="AK1065" s="18" t="str">
        <f>IF(NOT(ISBLANK(Audit[[#This Row],[Audit Candidate 7]])), Audit[[#This Row],[Audit Candidate 7]]-Audit[[#This Row],[Candidate 7]], "")</f>
        <v/>
      </c>
      <c r="AL1065" s="18" t="str">
        <f>IF(NOT(ISBLANK(Audit[[#This Row],[Audit Candidate 8]])), Audit[[#This Row],[Audit Candidate 8]]-Audit[[#This Row],[Candidate 8]], "")</f>
        <v/>
      </c>
      <c r="AM1065" s="18" t="str">
        <f>IF(NOT(ISBLANK(Audit[[#This Row],[Audit Candidate 9]])), Audit[[#This Row],[Audit Candidate 9]]-Audit[[#This Row],[Candidate 9]], "")</f>
        <v/>
      </c>
      <c r="AN1065" s="18" t="str">
        <f>IF(NOT(ISBLANK(Audit[[#This Row],[Audit Candidate 10]])), Audit[[#This Row],[Audit Candidate 10]]-Audit[[#This Row],[Candidate 10]], "")</f>
        <v/>
      </c>
      <c r="AO1065" s="18" t="str">
        <f>IF(NOT(ISBLANK(Audit[[#This Row],[Audit Candidate 11]])), Audit[[#This Row],[Audit Candidate 11]]-Audit[[#This Row],[Candidate 11]], "")</f>
        <v/>
      </c>
      <c r="AP1065" s="18" t="str">
        <f>IF(NOT(ISBLANK(Audit[[#This Row],[Audit Candidate 12]])), Audit[[#This Row],[Audit Candidate 12]]-Audit[[#This Row],[Candidate 12]], "")</f>
        <v/>
      </c>
      <c r="AQ1065" s="18">
        <f>SUMIF(Audit[[#This Row],[Difference Winner]:[Difference Candidate 12]], "&gt;0")</f>
        <v>0</v>
      </c>
      <c r="AR1065" s="18">
        <f>SUM(Audit[[#This Row],[Difference Winner]:[Difference Candidate 12]])</f>
        <v>0</v>
      </c>
      <c r="AS1065" s="18">
        <f>IF(Audit[[#This Row],[Times p Drawn - With Replacement]]&gt;0, IF(Audit[[#This Row],[Canceled Differences]]&lt;0, Audit[[#This Row],[Max Differences]]+ABS(Audit[[#This Row],[Canceled Differences]]), Audit[[#This Row],[Max Differences]]), 0)</f>
        <v>0</v>
      </c>
      <c r="AT1065" s="18">
        <f>'Sampling Data'!AB1065</f>
        <v>2.0102396582592579E-3</v>
      </c>
      <c r="AU1065" s="18">
        <f>IF(
      SUM(Audit[[#This Row],[Audit Losing Candidate]:[Audit Candidate 12]])
      &lt;&gt;0,
      (Audit[[#This Row],[Winning Candidate]]-Audit[[#This Row],[Losing Candidate]]-(Audit[[#This Row],[Audit Winning Candidate]]-Audit[[#This Row],[Audit Losing Candidate]]))/(Audit[[#Totals],[Winning Candidate]]-Audit[[#Totals],[Losing Candidate]]),
      0
)</f>
        <v>0</v>
      </c>
      <c r="AV106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8">
        <f>IF(Audit[[#This Row],[Max Relative Error (ep)]] = 0, 0, Audit[[#This Row],[Max Relative Error (ep)]]/Audit[[#This Row],[Error Bound (up) - Max. possible relative overstatement]])</f>
        <v>0</v>
      </c>
      <c r="BH106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5" s="18">
        <f t="shared" si="17"/>
        <v>1</v>
      </c>
      <c r="BJ1065" s="18">
        <f>PRODUCT($BI$5:BI1065)</f>
        <v>0.10664664085196122</v>
      </c>
      <c r="BK1065" s="20">
        <f>1 - Audit[[#This Row],[K-M P Value]]</f>
        <v>0.89335335914803882</v>
      </c>
      <c r="BL1065" s="18" t="str">
        <f>IF(Audit[[#This Row],[K-M P Value]]&gt;1-'General Info'!$B$12,"Continue", "Stop")</f>
        <v>Continue</v>
      </c>
      <c r="BM1065" s="23" t="b">
        <f>IF(Audit[[#This Row],[Status - Continue or stop audit]] = "Continue", TRUE, IF(BL1064 = "Continue", TRUE, FALSE))</f>
        <v>1</v>
      </c>
      <c r="BN1065" s="23"/>
    </row>
    <row r="1066" spans="1:66" ht="15" hidden="1" customHeight="1" x14ac:dyDescent="0.35">
      <c r="A1066" s="18" t="str">
        <f>'Sampling Data'!AI1066</f>
        <v/>
      </c>
      <c r="B1066" s="18" t="str">
        <f>'Sampling Data'!A1066</f>
        <v>8541 ST BN 4-A   (ED)</v>
      </c>
      <c r="C1066" s="18">
        <f>'Sampling Data'!B1066</f>
        <v>19</v>
      </c>
      <c r="D1066" s="18">
        <f>'Sampling Data'!C1066</f>
        <v>2</v>
      </c>
      <c r="E1066" s="19">
        <f>'Sampling Data'!D1066</f>
        <v>0</v>
      </c>
      <c r="F1066" s="19">
        <f>'Sampling Data'!E1066</f>
        <v>0</v>
      </c>
      <c r="G1066" s="19">
        <f>'Sampling Data'!F1066</f>
        <v>0</v>
      </c>
      <c r="H1066" s="19">
        <f>'Sampling Data'!G1066</f>
        <v>0</v>
      </c>
      <c r="I1066" s="19">
        <f>'Sampling Data'!H1066</f>
        <v>0</v>
      </c>
      <c r="J1066" s="19">
        <f>'Sampling Data'!I1066</f>
        <v>0</v>
      </c>
      <c r="K1066" s="19">
        <f>'Sampling Data'!J1066</f>
        <v>0</v>
      </c>
      <c r="L1066" s="19">
        <f>'Sampling Data'!K1066</f>
        <v>0</v>
      </c>
      <c r="M1066" s="19">
        <f>'Sampling Data'!L1066</f>
        <v>0</v>
      </c>
      <c r="N1066" s="19">
        <f>'Sampling Data'!M1066</f>
        <v>0</v>
      </c>
      <c r="O1066" s="18">
        <f>'Sampling Data'!N1066</f>
        <v>0</v>
      </c>
      <c r="P1066" s="18">
        <f>'Sampling Data'!O1066</f>
        <v>0</v>
      </c>
      <c r="Q1066" s="18">
        <f>'Sampling Data'!P1066</f>
        <v>21</v>
      </c>
      <c r="R1066" s="18">
        <f>'Sampling Data'!AJ1066</f>
        <v>0</v>
      </c>
      <c r="S1066" s="112"/>
      <c r="T1066" s="112"/>
      <c r="U1066" s="113"/>
      <c r="V1066" s="113"/>
      <c r="W1066" s="112"/>
      <c r="X1066" s="112"/>
      <c r="Y1066" s="112"/>
      <c r="Z1066" s="112"/>
      <c r="AA1066" s="15"/>
      <c r="AB1066" s="15"/>
      <c r="AC1066" s="15"/>
      <c r="AD1066" s="15"/>
      <c r="AE1066" s="114" t="str">
        <f>IF(NOT(ISBLANK(Audit[[#This Row],[Audit Winning Candidate]])), Audit[[#This Row],[Audit Winning Candidate]]-Audit[[#This Row],[Winning Candidate]], "")</f>
        <v/>
      </c>
      <c r="AF1066" s="18" t="str">
        <f>IF(NOT(ISBLANK(Audit[[#This Row],[Audit Losing Candidate]])), Audit[[#This Row],[Audit Losing Candidate]]-Audit[[#This Row],[Losing Candidate]], "")</f>
        <v/>
      </c>
      <c r="AG1066" s="18" t="str">
        <f>IF(NOT(ISBLANK(Audit[[#This Row],[Audit Candidate 3]])), Audit[[#This Row],[Audit Candidate 3]]-Audit[[#This Row],[Candidate 3]], "")</f>
        <v/>
      </c>
      <c r="AH1066" s="18" t="str">
        <f>IF(NOT(ISBLANK(Audit[[#This Row],[Audit Candidate 4]])),Audit[[#This Row],[Audit Candidate 4]]-Audit[[#This Row],[Candidate 4]], "")</f>
        <v/>
      </c>
      <c r="AI1066" s="18" t="str">
        <f>IF(NOT(ISBLANK(Audit[[#This Row],[Audit Candidate 5]])), Audit[[#This Row],[Audit Candidate 5]]-Audit[[#This Row],[Candidate 5]], "")</f>
        <v/>
      </c>
      <c r="AJ1066" s="18" t="str">
        <f>IF(NOT(ISBLANK(Audit[[#This Row],[Audit Candidate 6]])), Audit[[#This Row],[Audit Candidate 6]]-Audit[[#This Row],[Candidate 6]], "")</f>
        <v/>
      </c>
      <c r="AK1066" s="18" t="str">
        <f>IF(NOT(ISBLANK(Audit[[#This Row],[Audit Candidate 7]])), Audit[[#This Row],[Audit Candidate 7]]-Audit[[#This Row],[Candidate 7]], "")</f>
        <v/>
      </c>
      <c r="AL1066" s="18" t="str">
        <f>IF(NOT(ISBLANK(Audit[[#This Row],[Audit Candidate 8]])), Audit[[#This Row],[Audit Candidate 8]]-Audit[[#This Row],[Candidate 8]], "")</f>
        <v/>
      </c>
      <c r="AM1066" s="18" t="str">
        <f>IF(NOT(ISBLANK(Audit[[#This Row],[Audit Candidate 9]])), Audit[[#This Row],[Audit Candidate 9]]-Audit[[#This Row],[Candidate 9]], "")</f>
        <v/>
      </c>
      <c r="AN1066" s="18" t="str">
        <f>IF(NOT(ISBLANK(Audit[[#This Row],[Audit Candidate 10]])), Audit[[#This Row],[Audit Candidate 10]]-Audit[[#This Row],[Candidate 10]], "")</f>
        <v/>
      </c>
      <c r="AO1066" s="18" t="str">
        <f>IF(NOT(ISBLANK(Audit[[#This Row],[Audit Candidate 11]])), Audit[[#This Row],[Audit Candidate 11]]-Audit[[#This Row],[Candidate 11]], "")</f>
        <v/>
      </c>
      <c r="AP1066" s="18" t="str">
        <f>IF(NOT(ISBLANK(Audit[[#This Row],[Audit Candidate 12]])), Audit[[#This Row],[Audit Candidate 12]]-Audit[[#This Row],[Candidate 12]], "")</f>
        <v/>
      </c>
      <c r="AQ1066" s="18">
        <f>SUMIF(Audit[[#This Row],[Difference Winner]:[Difference Candidate 12]], "&gt;0")</f>
        <v>0</v>
      </c>
      <c r="AR1066" s="18">
        <f>SUM(Audit[[#This Row],[Difference Winner]:[Difference Candidate 12]])</f>
        <v>0</v>
      </c>
      <c r="AS1066" s="18">
        <f>IF(Audit[[#This Row],[Times p Drawn - With Replacement]]&gt;0, IF(Audit[[#This Row],[Canceled Differences]]&lt;0, Audit[[#This Row],[Max Differences]]+ABS(Audit[[#This Row],[Canceled Differences]]), Audit[[#This Row],[Max Differences]]), 0)</f>
        <v>0</v>
      </c>
      <c r="AT1066" s="18">
        <f>'Sampling Data'!AB1066</f>
        <v>1.1935797970914345E-3</v>
      </c>
      <c r="AU1066" s="18">
        <f>IF(
      SUM(Audit[[#This Row],[Audit Losing Candidate]:[Audit Candidate 12]])
      &lt;&gt;0,
      (Audit[[#This Row],[Winning Candidate]]-Audit[[#This Row],[Losing Candidate]]-(Audit[[#This Row],[Audit Winning Candidate]]-Audit[[#This Row],[Audit Losing Candidate]]))/(Audit[[#Totals],[Winning Candidate]]-Audit[[#Totals],[Losing Candidate]]),
      0
)</f>
        <v>0</v>
      </c>
      <c r="AV106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8">
        <f>IF(Audit[[#This Row],[Max Relative Error (ep)]] = 0, 0, Audit[[#This Row],[Max Relative Error (ep)]]/Audit[[#This Row],[Error Bound (up) - Max. possible relative overstatement]])</f>
        <v>0</v>
      </c>
      <c r="BH106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6" s="18">
        <f t="shared" si="17"/>
        <v>1</v>
      </c>
      <c r="BJ1066" s="18">
        <f>PRODUCT($BI$5:BI1066)</f>
        <v>0.10664664085196122</v>
      </c>
      <c r="BK1066" s="20">
        <f>1 - Audit[[#This Row],[K-M P Value]]</f>
        <v>0.89335335914803882</v>
      </c>
      <c r="BL1066" s="18" t="str">
        <f>IF(Audit[[#This Row],[K-M P Value]]&gt;1-'General Info'!$B$12,"Continue", "Stop")</f>
        <v>Continue</v>
      </c>
      <c r="BM1066" s="23" t="b">
        <f>IF(Audit[[#This Row],[Status - Continue or stop audit]] = "Continue", TRUE, IF(BL1065 = "Continue", TRUE, FALSE))</f>
        <v>1</v>
      </c>
      <c r="BN1066" s="23"/>
    </row>
    <row r="1067" spans="1:66" ht="15" hidden="1" customHeight="1" x14ac:dyDescent="0.35">
      <c r="A1067" s="18" t="str">
        <f>'Sampling Data'!AI1067</f>
        <v/>
      </c>
      <c r="B1067" s="18" t="str">
        <f>'Sampling Data'!A1067</f>
        <v>8601 SILVT A   (ED)</v>
      </c>
      <c r="C1067" s="18">
        <f>'Sampling Data'!B1067</f>
        <v>28</v>
      </c>
      <c r="D1067" s="18">
        <f>'Sampling Data'!C1067</f>
        <v>6</v>
      </c>
      <c r="E1067" s="19">
        <f>'Sampling Data'!D1067</f>
        <v>0</v>
      </c>
      <c r="F1067" s="19">
        <f>'Sampling Data'!E1067</f>
        <v>0</v>
      </c>
      <c r="G1067" s="19">
        <f>'Sampling Data'!F1067</f>
        <v>0</v>
      </c>
      <c r="H1067" s="19">
        <f>'Sampling Data'!G1067</f>
        <v>0</v>
      </c>
      <c r="I1067" s="19">
        <f>'Sampling Data'!H1067</f>
        <v>0</v>
      </c>
      <c r="J1067" s="19">
        <f>'Sampling Data'!I1067</f>
        <v>0</v>
      </c>
      <c r="K1067" s="19">
        <f>'Sampling Data'!J1067</f>
        <v>0</v>
      </c>
      <c r="L1067" s="19">
        <f>'Sampling Data'!K1067</f>
        <v>0</v>
      </c>
      <c r="M1067" s="19">
        <f>'Sampling Data'!L1067</f>
        <v>0</v>
      </c>
      <c r="N1067" s="19">
        <f>'Sampling Data'!M1067</f>
        <v>0</v>
      </c>
      <c r="O1067" s="18">
        <f>'Sampling Data'!N1067</f>
        <v>0</v>
      </c>
      <c r="P1067" s="18">
        <f>'Sampling Data'!O1067</f>
        <v>1</v>
      </c>
      <c r="Q1067" s="18">
        <f>'Sampling Data'!P1067</f>
        <v>35</v>
      </c>
      <c r="R1067" s="18">
        <f>'Sampling Data'!AJ1067</f>
        <v>0</v>
      </c>
      <c r="S1067" s="112"/>
      <c r="T1067" s="112"/>
      <c r="U1067" s="113"/>
      <c r="V1067" s="113"/>
      <c r="W1067" s="112"/>
      <c r="X1067" s="112"/>
      <c r="Y1067" s="112"/>
      <c r="Z1067" s="112"/>
      <c r="AA1067" s="15"/>
      <c r="AB1067" s="15"/>
      <c r="AC1067" s="15"/>
      <c r="AD1067" s="15"/>
      <c r="AE1067" s="114" t="str">
        <f>IF(NOT(ISBLANK(Audit[[#This Row],[Audit Winning Candidate]])), Audit[[#This Row],[Audit Winning Candidate]]-Audit[[#This Row],[Winning Candidate]], "")</f>
        <v/>
      </c>
      <c r="AF1067" s="18" t="str">
        <f>IF(NOT(ISBLANK(Audit[[#This Row],[Audit Losing Candidate]])), Audit[[#This Row],[Audit Losing Candidate]]-Audit[[#This Row],[Losing Candidate]], "")</f>
        <v/>
      </c>
      <c r="AG1067" s="18" t="str">
        <f>IF(NOT(ISBLANK(Audit[[#This Row],[Audit Candidate 3]])), Audit[[#This Row],[Audit Candidate 3]]-Audit[[#This Row],[Candidate 3]], "")</f>
        <v/>
      </c>
      <c r="AH1067" s="18" t="str">
        <f>IF(NOT(ISBLANK(Audit[[#This Row],[Audit Candidate 4]])),Audit[[#This Row],[Audit Candidate 4]]-Audit[[#This Row],[Candidate 4]], "")</f>
        <v/>
      </c>
      <c r="AI1067" s="18" t="str">
        <f>IF(NOT(ISBLANK(Audit[[#This Row],[Audit Candidate 5]])), Audit[[#This Row],[Audit Candidate 5]]-Audit[[#This Row],[Candidate 5]], "")</f>
        <v/>
      </c>
      <c r="AJ1067" s="18" t="str">
        <f>IF(NOT(ISBLANK(Audit[[#This Row],[Audit Candidate 6]])), Audit[[#This Row],[Audit Candidate 6]]-Audit[[#This Row],[Candidate 6]], "")</f>
        <v/>
      </c>
      <c r="AK1067" s="18" t="str">
        <f>IF(NOT(ISBLANK(Audit[[#This Row],[Audit Candidate 7]])), Audit[[#This Row],[Audit Candidate 7]]-Audit[[#This Row],[Candidate 7]], "")</f>
        <v/>
      </c>
      <c r="AL1067" s="18" t="str">
        <f>IF(NOT(ISBLANK(Audit[[#This Row],[Audit Candidate 8]])), Audit[[#This Row],[Audit Candidate 8]]-Audit[[#This Row],[Candidate 8]], "")</f>
        <v/>
      </c>
      <c r="AM1067" s="18" t="str">
        <f>IF(NOT(ISBLANK(Audit[[#This Row],[Audit Candidate 9]])), Audit[[#This Row],[Audit Candidate 9]]-Audit[[#This Row],[Candidate 9]], "")</f>
        <v/>
      </c>
      <c r="AN1067" s="18" t="str">
        <f>IF(NOT(ISBLANK(Audit[[#This Row],[Audit Candidate 10]])), Audit[[#This Row],[Audit Candidate 10]]-Audit[[#This Row],[Candidate 10]], "")</f>
        <v/>
      </c>
      <c r="AO1067" s="18" t="str">
        <f>IF(NOT(ISBLANK(Audit[[#This Row],[Audit Candidate 11]])), Audit[[#This Row],[Audit Candidate 11]]-Audit[[#This Row],[Candidate 11]], "")</f>
        <v/>
      </c>
      <c r="AP1067" s="18" t="str">
        <f>IF(NOT(ISBLANK(Audit[[#This Row],[Audit Candidate 12]])), Audit[[#This Row],[Audit Candidate 12]]-Audit[[#This Row],[Candidate 12]], "")</f>
        <v/>
      </c>
      <c r="AQ1067" s="18">
        <f>SUMIF(Audit[[#This Row],[Difference Winner]:[Difference Candidate 12]], "&gt;0")</f>
        <v>0</v>
      </c>
      <c r="AR1067" s="18">
        <f>SUM(Audit[[#This Row],[Difference Winner]:[Difference Candidate 12]])</f>
        <v>0</v>
      </c>
      <c r="AS1067" s="18">
        <f>IF(Audit[[#This Row],[Times p Drawn - With Replacement]]&gt;0, IF(Audit[[#This Row],[Canceled Differences]]&lt;0, Audit[[#This Row],[Max Differences]]+ABS(Audit[[#This Row],[Canceled Differences]]), Audit[[#This Row],[Max Differences]]), 0)</f>
        <v>0</v>
      </c>
      <c r="AT1067" s="18">
        <f>'Sampling Data'!AB1067</f>
        <v>1.7903696956371518E-3</v>
      </c>
      <c r="AU1067" s="18">
        <f>IF(
      SUM(Audit[[#This Row],[Audit Losing Candidate]:[Audit Candidate 12]])
      &lt;&gt;0,
      (Audit[[#This Row],[Winning Candidate]]-Audit[[#This Row],[Losing Candidate]]-(Audit[[#This Row],[Audit Winning Candidate]]-Audit[[#This Row],[Audit Losing Candidate]]))/(Audit[[#Totals],[Winning Candidate]]-Audit[[#Totals],[Losing Candidate]]),
      0
)</f>
        <v>0</v>
      </c>
      <c r="AV106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8">
        <f>IF(Audit[[#This Row],[Max Relative Error (ep)]] = 0, 0, Audit[[#This Row],[Max Relative Error (ep)]]/Audit[[#This Row],[Error Bound (up) - Max. possible relative overstatement]])</f>
        <v>0</v>
      </c>
      <c r="BH106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7" s="18">
        <f t="shared" si="17"/>
        <v>1</v>
      </c>
      <c r="BJ1067" s="18">
        <f>PRODUCT($BI$5:BI1067)</f>
        <v>0.10664664085196122</v>
      </c>
      <c r="BK1067" s="20">
        <f>1 - Audit[[#This Row],[K-M P Value]]</f>
        <v>0.89335335914803882</v>
      </c>
      <c r="BL1067" s="18" t="str">
        <f>IF(Audit[[#This Row],[K-M P Value]]&gt;1-'General Info'!$B$12,"Continue", "Stop")</f>
        <v>Continue</v>
      </c>
      <c r="BM1067" s="23" t="b">
        <f>IF(Audit[[#This Row],[Status - Continue or stop audit]] = "Continue", TRUE, IF(BL1066 = "Continue", TRUE, FALSE))</f>
        <v>1</v>
      </c>
      <c r="BN1067" s="23"/>
    </row>
    <row r="1068" spans="1:66" ht="15" hidden="1" customHeight="1" x14ac:dyDescent="0.35">
      <c r="A1068" s="18" t="str">
        <f>'Sampling Data'!AI1068</f>
        <v/>
      </c>
      <c r="B1068" s="18" t="str">
        <f>'Sampling Data'!A1068</f>
        <v>8602 SILVT B   (ED)</v>
      </c>
      <c r="C1068" s="18">
        <f>'Sampling Data'!B1068</f>
        <v>11</v>
      </c>
      <c r="D1068" s="18">
        <f>'Sampling Data'!C1068</f>
        <v>0</v>
      </c>
      <c r="E1068" s="19">
        <f>'Sampling Data'!D1068</f>
        <v>0</v>
      </c>
      <c r="F1068" s="19">
        <f>'Sampling Data'!E1068</f>
        <v>0</v>
      </c>
      <c r="G1068" s="19">
        <f>'Sampling Data'!F1068</f>
        <v>0</v>
      </c>
      <c r="H1068" s="19">
        <f>'Sampling Data'!G1068</f>
        <v>0</v>
      </c>
      <c r="I1068" s="19">
        <f>'Sampling Data'!H1068</f>
        <v>0</v>
      </c>
      <c r="J1068" s="19">
        <f>'Sampling Data'!I1068</f>
        <v>0</v>
      </c>
      <c r="K1068" s="19">
        <f>'Sampling Data'!J1068</f>
        <v>0</v>
      </c>
      <c r="L1068" s="19">
        <f>'Sampling Data'!K1068</f>
        <v>0</v>
      </c>
      <c r="M1068" s="19">
        <f>'Sampling Data'!L1068</f>
        <v>0</v>
      </c>
      <c r="N1068" s="19">
        <f>'Sampling Data'!M1068</f>
        <v>0</v>
      </c>
      <c r="O1068" s="18">
        <f>'Sampling Data'!N1068</f>
        <v>0</v>
      </c>
      <c r="P1068" s="18">
        <f>'Sampling Data'!O1068</f>
        <v>1</v>
      </c>
      <c r="Q1068" s="18">
        <f>'Sampling Data'!P1068</f>
        <v>12</v>
      </c>
      <c r="R1068" s="18">
        <f>'Sampling Data'!AJ1068</f>
        <v>0</v>
      </c>
      <c r="S1068" s="112"/>
      <c r="T1068" s="112"/>
      <c r="U1068" s="113"/>
      <c r="V1068" s="113"/>
      <c r="W1068" s="112"/>
      <c r="X1068" s="112"/>
      <c r="Y1068" s="112"/>
      <c r="Z1068" s="112"/>
      <c r="AA1068" s="15"/>
      <c r="AB1068" s="15"/>
      <c r="AC1068" s="15"/>
      <c r="AD1068" s="15"/>
      <c r="AE1068" s="114" t="str">
        <f>IF(NOT(ISBLANK(Audit[[#This Row],[Audit Winning Candidate]])), Audit[[#This Row],[Audit Winning Candidate]]-Audit[[#This Row],[Winning Candidate]], "")</f>
        <v/>
      </c>
      <c r="AF1068" s="18" t="str">
        <f>IF(NOT(ISBLANK(Audit[[#This Row],[Audit Losing Candidate]])), Audit[[#This Row],[Audit Losing Candidate]]-Audit[[#This Row],[Losing Candidate]], "")</f>
        <v/>
      </c>
      <c r="AG1068" s="18" t="str">
        <f>IF(NOT(ISBLANK(Audit[[#This Row],[Audit Candidate 3]])), Audit[[#This Row],[Audit Candidate 3]]-Audit[[#This Row],[Candidate 3]], "")</f>
        <v/>
      </c>
      <c r="AH1068" s="18" t="str">
        <f>IF(NOT(ISBLANK(Audit[[#This Row],[Audit Candidate 4]])),Audit[[#This Row],[Audit Candidate 4]]-Audit[[#This Row],[Candidate 4]], "")</f>
        <v/>
      </c>
      <c r="AI1068" s="18" t="str">
        <f>IF(NOT(ISBLANK(Audit[[#This Row],[Audit Candidate 5]])), Audit[[#This Row],[Audit Candidate 5]]-Audit[[#This Row],[Candidate 5]], "")</f>
        <v/>
      </c>
      <c r="AJ1068" s="18" t="str">
        <f>IF(NOT(ISBLANK(Audit[[#This Row],[Audit Candidate 6]])), Audit[[#This Row],[Audit Candidate 6]]-Audit[[#This Row],[Candidate 6]], "")</f>
        <v/>
      </c>
      <c r="AK1068" s="18" t="str">
        <f>IF(NOT(ISBLANK(Audit[[#This Row],[Audit Candidate 7]])), Audit[[#This Row],[Audit Candidate 7]]-Audit[[#This Row],[Candidate 7]], "")</f>
        <v/>
      </c>
      <c r="AL1068" s="18" t="str">
        <f>IF(NOT(ISBLANK(Audit[[#This Row],[Audit Candidate 8]])), Audit[[#This Row],[Audit Candidate 8]]-Audit[[#This Row],[Candidate 8]], "")</f>
        <v/>
      </c>
      <c r="AM1068" s="18" t="str">
        <f>IF(NOT(ISBLANK(Audit[[#This Row],[Audit Candidate 9]])), Audit[[#This Row],[Audit Candidate 9]]-Audit[[#This Row],[Candidate 9]], "")</f>
        <v/>
      </c>
      <c r="AN1068" s="18" t="str">
        <f>IF(NOT(ISBLANK(Audit[[#This Row],[Audit Candidate 10]])), Audit[[#This Row],[Audit Candidate 10]]-Audit[[#This Row],[Candidate 10]], "")</f>
        <v/>
      </c>
      <c r="AO1068" s="18" t="str">
        <f>IF(NOT(ISBLANK(Audit[[#This Row],[Audit Candidate 11]])), Audit[[#This Row],[Audit Candidate 11]]-Audit[[#This Row],[Candidate 11]], "")</f>
        <v/>
      </c>
      <c r="AP1068" s="18" t="str">
        <f>IF(NOT(ISBLANK(Audit[[#This Row],[Audit Candidate 12]])), Audit[[#This Row],[Audit Candidate 12]]-Audit[[#This Row],[Candidate 12]], "")</f>
        <v/>
      </c>
      <c r="AQ1068" s="18">
        <f>SUMIF(Audit[[#This Row],[Difference Winner]:[Difference Candidate 12]], "&gt;0")</f>
        <v>0</v>
      </c>
      <c r="AR1068" s="18">
        <f>SUM(Audit[[#This Row],[Difference Winner]:[Difference Candidate 12]])</f>
        <v>0</v>
      </c>
      <c r="AS1068" s="18">
        <f>IF(Audit[[#This Row],[Times p Drawn - With Replacement]]&gt;0, IF(Audit[[#This Row],[Canceled Differences]]&lt;0, Audit[[#This Row],[Max Differences]]+ABS(Audit[[#This Row],[Canceled Differences]]), Audit[[#This Row],[Max Differences]]), 0)</f>
        <v>0</v>
      </c>
      <c r="AT1068" s="18">
        <f>'Sampling Data'!AB1068</f>
        <v>7.2242987718692088E-4</v>
      </c>
      <c r="AU1068" s="18">
        <f>IF(
      SUM(Audit[[#This Row],[Audit Losing Candidate]:[Audit Candidate 12]])
      &lt;&gt;0,
      (Audit[[#This Row],[Winning Candidate]]-Audit[[#This Row],[Losing Candidate]]-(Audit[[#This Row],[Audit Winning Candidate]]-Audit[[#This Row],[Audit Losing Candidate]]))/(Audit[[#Totals],[Winning Candidate]]-Audit[[#Totals],[Losing Candidate]]),
      0
)</f>
        <v>0</v>
      </c>
      <c r="AV106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8">
        <f>IF(Audit[[#This Row],[Max Relative Error (ep)]] = 0, 0, Audit[[#This Row],[Max Relative Error (ep)]]/Audit[[#This Row],[Error Bound (up) - Max. possible relative overstatement]])</f>
        <v>0</v>
      </c>
      <c r="BH106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8" s="18">
        <f t="shared" si="17"/>
        <v>1</v>
      </c>
      <c r="BJ1068" s="18">
        <f>PRODUCT($BI$5:BI1068)</f>
        <v>0.10664664085196122</v>
      </c>
      <c r="BK1068" s="20">
        <f>1 - Audit[[#This Row],[K-M P Value]]</f>
        <v>0.89335335914803882</v>
      </c>
      <c r="BL1068" s="18" t="str">
        <f>IF(Audit[[#This Row],[K-M P Value]]&gt;1-'General Info'!$B$12,"Continue", "Stop")</f>
        <v>Continue</v>
      </c>
      <c r="BM1068" s="23" t="b">
        <f>IF(Audit[[#This Row],[Status - Continue or stop audit]] = "Continue", TRUE, IF(BL1067 = "Continue", TRUE, FALSE))</f>
        <v>1</v>
      </c>
      <c r="BN1068" s="23"/>
    </row>
    <row r="1069" spans="1:66" ht="15" hidden="1" customHeight="1" x14ac:dyDescent="0.35">
      <c r="A1069" s="18" t="str">
        <f>'Sampling Data'!AI1069</f>
        <v/>
      </c>
      <c r="B1069" s="18" t="str">
        <f>'Sampling Data'!A1069</f>
        <v>8603 SILVT C   (ED)</v>
      </c>
      <c r="C1069" s="18">
        <f>'Sampling Data'!B1069</f>
        <v>24</v>
      </c>
      <c r="D1069" s="18">
        <f>'Sampling Data'!C1069</f>
        <v>8</v>
      </c>
      <c r="E1069" s="19">
        <f>'Sampling Data'!D1069</f>
        <v>0</v>
      </c>
      <c r="F1069" s="19">
        <f>'Sampling Data'!E1069</f>
        <v>0</v>
      </c>
      <c r="G1069" s="19">
        <f>'Sampling Data'!F1069</f>
        <v>0</v>
      </c>
      <c r="H1069" s="19">
        <f>'Sampling Data'!G1069</f>
        <v>0</v>
      </c>
      <c r="I1069" s="19">
        <f>'Sampling Data'!H1069</f>
        <v>0</v>
      </c>
      <c r="J1069" s="19">
        <f>'Sampling Data'!I1069</f>
        <v>0</v>
      </c>
      <c r="K1069" s="19">
        <f>'Sampling Data'!J1069</f>
        <v>0</v>
      </c>
      <c r="L1069" s="19">
        <f>'Sampling Data'!K1069</f>
        <v>0</v>
      </c>
      <c r="M1069" s="19">
        <f>'Sampling Data'!L1069</f>
        <v>0</v>
      </c>
      <c r="N1069" s="19">
        <f>'Sampling Data'!M1069</f>
        <v>0</v>
      </c>
      <c r="O1069" s="18">
        <f>'Sampling Data'!N1069</f>
        <v>1</v>
      </c>
      <c r="P1069" s="18">
        <f>'Sampling Data'!O1069</f>
        <v>1</v>
      </c>
      <c r="Q1069" s="18">
        <f>'Sampling Data'!P1069</f>
        <v>34</v>
      </c>
      <c r="R1069" s="18">
        <f>'Sampling Data'!AJ1069</f>
        <v>0</v>
      </c>
      <c r="S1069" s="112"/>
      <c r="T1069" s="112"/>
      <c r="U1069" s="113"/>
      <c r="V1069" s="113"/>
      <c r="W1069" s="112"/>
      <c r="X1069" s="112"/>
      <c r="Y1069" s="112"/>
      <c r="Z1069" s="112"/>
      <c r="AA1069" s="15"/>
      <c r="AB1069" s="15"/>
      <c r="AC1069" s="15"/>
      <c r="AD1069" s="15"/>
      <c r="AE1069" s="114" t="str">
        <f>IF(NOT(ISBLANK(Audit[[#This Row],[Audit Winning Candidate]])), Audit[[#This Row],[Audit Winning Candidate]]-Audit[[#This Row],[Winning Candidate]], "")</f>
        <v/>
      </c>
      <c r="AF1069" s="18" t="str">
        <f>IF(NOT(ISBLANK(Audit[[#This Row],[Audit Losing Candidate]])), Audit[[#This Row],[Audit Losing Candidate]]-Audit[[#This Row],[Losing Candidate]], "")</f>
        <v/>
      </c>
      <c r="AG1069" s="18" t="str">
        <f>IF(NOT(ISBLANK(Audit[[#This Row],[Audit Candidate 3]])), Audit[[#This Row],[Audit Candidate 3]]-Audit[[#This Row],[Candidate 3]], "")</f>
        <v/>
      </c>
      <c r="AH1069" s="18" t="str">
        <f>IF(NOT(ISBLANK(Audit[[#This Row],[Audit Candidate 4]])),Audit[[#This Row],[Audit Candidate 4]]-Audit[[#This Row],[Candidate 4]], "")</f>
        <v/>
      </c>
      <c r="AI1069" s="18" t="str">
        <f>IF(NOT(ISBLANK(Audit[[#This Row],[Audit Candidate 5]])), Audit[[#This Row],[Audit Candidate 5]]-Audit[[#This Row],[Candidate 5]], "")</f>
        <v/>
      </c>
      <c r="AJ1069" s="18" t="str">
        <f>IF(NOT(ISBLANK(Audit[[#This Row],[Audit Candidate 6]])), Audit[[#This Row],[Audit Candidate 6]]-Audit[[#This Row],[Candidate 6]], "")</f>
        <v/>
      </c>
      <c r="AK1069" s="18" t="str">
        <f>IF(NOT(ISBLANK(Audit[[#This Row],[Audit Candidate 7]])), Audit[[#This Row],[Audit Candidate 7]]-Audit[[#This Row],[Candidate 7]], "")</f>
        <v/>
      </c>
      <c r="AL1069" s="18" t="str">
        <f>IF(NOT(ISBLANK(Audit[[#This Row],[Audit Candidate 8]])), Audit[[#This Row],[Audit Candidate 8]]-Audit[[#This Row],[Candidate 8]], "")</f>
        <v/>
      </c>
      <c r="AM1069" s="18" t="str">
        <f>IF(NOT(ISBLANK(Audit[[#This Row],[Audit Candidate 9]])), Audit[[#This Row],[Audit Candidate 9]]-Audit[[#This Row],[Candidate 9]], "")</f>
        <v/>
      </c>
      <c r="AN1069" s="18" t="str">
        <f>IF(NOT(ISBLANK(Audit[[#This Row],[Audit Candidate 10]])), Audit[[#This Row],[Audit Candidate 10]]-Audit[[#This Row],[Candidate 10]], "")</f>
        <v/>
      </c>
      <c r="AO1069" s="18" t="str">
        <f>IF(NOT(ISBLANK(Audit[[#This Row],[Audit Candidate 11]])), Audit[[#This Row],[Audit Candidate 11]]-Audit[[#This Row],[Candidate 11]], "")</f>
        <v/>
      </c>
      <c r="AP1069" s="18" t="str">
        <f>IF(NOT(ISBLANK(Audit[[#This Row],[Audit Candidate 12]])), Audit[[#This Row],[Audit Candidate 12]]-Audit[[#This Row],[Candidate 12]], "")</f>
        <v/>
      </c>
      <c r="AQ1069" s="18">
        <f>SUMIF(Audit[[#This Row],[Difference Winner]:[Difference Candidate 12]], "&gt;0")</f>
        <v>0</v>
      </c>
      <c r="AR1069" s="18">
        <f>SUM(Audit[[#This Row],[Difference Winner]:[Difference Candidate 12]])</f>
        <v>0</v>
      </c>
      <c r="AS1069" s="18">
        <f>IF(Audit[[#This Row],[Times p Drawn - With Replacement]]&gt;0, IF(Audit[[#This Row],[Canceled Differences]]&lt;0, Audit[[#This Row],[Max Differences]]+ABS(Audit[[#This Row],[Canceled Differences]]), Audit[[#This Row],[Max Differences]]), 0)</f>
        <v>0</v>
      </c>
      <c r="AT1069" s="18">
        <f>'Sampling Data'!AB1069</f>
        <v>1.5704997330150453E-3</v>
      </c>
      <c r="AU1069" s="18">
        <f>IF(
      SUM(Audit[[#This Row],[Audit Losing Candidate]:[Audit Candidate 12]])
      &lt;&gt;0,
      (Audit[[#This Row],[Winning Candidate]]-Audit[[#This Row],[Losing Candidate]]-(Audit[[#This Row],[Audit Winning Candidate]]-Audit[[#This Row],[Audit Losing Candidate]]))/(Audit[[#Totals],[Winning Candidate]]-Audit[[#Totals],[Losing Candidate]]),
      0
)</f>
        <v>0</v>
      </c>
      <c r="AV106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8">
        <f>IF(Audit[[#This Row],[Max Relative Error (ep)]] = 0, 0, Audit[[#This Row],[Max Relative Error (ep)]]/Audit[[#This Row],[Error Bound (up) - Max. possible relative overstatement]])</f>
        <v>0</v>
      </c>
      <c r="BH106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69" s="18">
        <f t="shared" si="17"/>
        <v>1</v>
      </c>
      <c r="BJ1069" s="18">
        <f>PRODUCT($BI$5:BI1069)</f>
        <v>0.10664664085196122</v>
      </c>
      <c r="BK1069" s="20">
        <f>1 - Audit[[#This Row],[K-M P Value]]</f>
        <v>0.89335335914803882</v>
      </c>
      <c r="BL1069" s="18" t="str">
        <f>IF(Audit[[#This Row],[K-M P Value]]&gt;1-'General Info'!$B$12,"Continue", "Stop")</f>
        <v>Continue</v>
      </c>
      <c r="BM1069" s="23" t="b">
        <f>IF(Audit[[#This Row],[Status - Continue or stop audit]] = "Continue", TRUE, IF(BL1068 = "Continue", TRUE, FALSE))</f>
        <v>1</v>
      </c>
      <c r="BN1069" s="23"/>
    </row>
    <row r="1070" spans="1:66" ht="15" hidden="1" customHeight="1" x14ac:dyDescent="0.35">
      <c r="A1070" s="18" t="str">
        <f>'Sampling Data'!AI1070</f>
        <v/>
      </c>
      <c r="B1070" s="18" t="str">
        <f>'Sampling Data'!A1070</f>
        <v>8701 SPFLD A   (ED)</v>
      </c>
      <c r="C1070" s="18">
        <f>'Sampling Data'!B1070</f>
        <v>4</v>
      </c>
      <c r="D1070" s="18">
        <f>'Sampling Data'!C1070</f>
        <v>1</v>
      </c>
      <c r="E1070" s="19">
        <f>'Sampling Data'!D1070</f>
        <v>0</v>
      </c>
      <c r="F1070" s="19">
        <f>'Sampling Data'!E1070</f>
        <v>0</v>
      </c>
      <c r="G1070" s="19">
        <f>'Sampling Data'!F1070</f>
        <v>0</v>
      </c>
      <c r="H1070" s="19">
        <f>'Sampling Data'!G1070</f>
        <v>0</v>
      </c>
      <c r="I1070" s="19">
        <f>'Sampling Data'!H1070</f>
        <v>0</v>
      </c>
      <c r="J1070" s="19">
        <f>'Sampling Data'!I1070</f>
        <v>0</v>
      </c>
      <c r="K1070" s="19">
        <f>'Sampling Data'!J1070</f>
        <v>0</v>
      </c>
      <c r="L1070" s="19">
        <f>'Sampling Data'!K1070</f>
        <v>0</v>
      </c>
      <c r="M1070" s="19">
        <f>'Sampling Data'!L1070</f>
        <v>0</v>
      </c>
      <c r="N1070" s="19">
        <f>'Sampling Data'!M1070</f>
        <v>0</v>
      </c>
      <c r="O1070" s="18">
        <f>'Sampling Data'!N1070</f>
        <v>0</v>
      </c>
      <c r="P1070" s="18">
        <f>'Sampling Data'!O1070</f>
        <v>0</v>
      </c>
      <c r="Q1070" s="18">
        <f>'Sampling Data'!P1070</f>
        <v>5</v>
      </c>
      <c r="R1070" s="18">
        <f>'Sampling Data'!AJ1070</f>
        <v>0</v>
      </c>
      <c r="S1070" s="112"/>
      <c r="T1070" s="112"/>
      <c r="U1070" s="113"/>
      <c r="V1070" s="113"/>
      <c r="W1070" s="112"/>
      <c r="X1070" s="112"/>
      <c r="Y1070" s="112"/>
      <c r="Z1070" s="112"/>
      <c r="AA1070" s="15"/>
      <c r="AB1070" s="15"/>
      <c r="AC1070" s="15"/>
      <c r="AD1070" s="15"/>
      <c r="AE1070" s="114" t="str">
        <f>IF(NOT(ISBLANK(Audit[[#This Row],[Audit Winning Candidate]])), Audit[[#This Row],[Audit Winning Candidate]]-Audit[[#This Row],[Winning Candidate]], "")</f>
        <v/>
      </c>
      <c r="AF1070" s="18" t="str">
        <f>IF(NOT(ISBLANK(Audit[[#This Row],[Audit Losing Candidate]])), Audit[[#This Row],[Audit Losing Candidate]]-Audit[[#This Row],[Losing Candidate]], "")</f>
        <v/>
      </c>
      <c r="AG1070" s="18" t="str">
        <f>IF(NOT(ISBLANK(Audit[[#This Row],[Audit Candidate 3]])), Audit[[#This Row],[Audit Candidate 3]]-Audit[[#This Row],[Candidate 3]], "")</f>
        <v/>
      </c>
      <c r="AH1070" s="18" t="str">
        <f>IF(NOT(ISBLANK(Audit[[#This Row],[Audit Candidate 4]])),Audit[[#This Row],[Audit Candidate 4]]-Audit[[#This Row],[Candidate 4]], "")</f>
        <v/>
      </c>
      <c r="AI1070" s="18" t="str">
        <f>IF(NOT(ISBLANK(Audit[[#This Row],[Audit Candidate 5]])), Audit[[#This Row],[Audit Candidate 5]]-Audit[[#This Row],[Candidate 5]], "")</f>
        <v/>
      </c>
      <c r="AJ1070" s="18" t="str">
        <f>IF(NOT(ISBLANK(Audit[[#This Row],[Audit Candidate 6]])), Audit[[#This Row],[Audit Candidate 6]]-Audit[[#This Row],[Candidate 6]], "")</f>
        <v/>
      </c>
      <c r="AK1070" s="18" t="str">
        <f>IF(NOT(ISBLANK(Audit[[#This Row],[Audit Candidate 7]])), Audit[[#This Row],[Audit Candidate 7]]-Audit[[#This Row],[Candidate 7]], "")</f>
        <v/>
      </c>
      <c r="AL1070" s="18" t="str">
        <f>IF(NOT(ISBLANK(Audit[[#This Row],[Audit Candidate 8]])), Audit[[#This Row],[Audit Candidate 8]]-Audit[[#This Row],[Candidate 8]], "")</f>
        <v/>
      </c>
      <c r="AM1070" s="18" t="str">
        <f>IF(NOT(ISBLANK(Audit[[#This Row],[Audit Candidate 9]])), Audit[[#This Row],[Audit Candidate 9]]-Audit[[#This Row],[Candidate 9]], "")</f>
        <v/>
      </c>
      <c r="AN1070" s="18" t="str">
        <f>IF(NOT(ISBLANK(Audit[[#This Row],[Audit Candidate 10]])), Audit[[#This Row],[Audit Candidate 10]]-Audit[[#This Row],[Candidate 10]], "")</f>
        <v/>
      </c>
      <c r="AO1070" s="18" t="str">
        <f>IF(NOT(ISBLANK(Audit[[#This Row],[Audit Candidate 11]])), Audit[[#This Row],[Audit Candidate 11]]-Audit[[#This Row],[Candidate 11]], "")</f>
        <v/>
      </c>
      <c r="AP1070" s="18" t="str">
        <f>IF(NOT(ISBLANK(Audit[[#This Row],[Audit Candidate 12]])), Audit[[#This Row],[Audit Candidate 12]]-Audit[[#This Row],[Candidate 12]], "")</f>
        <v/>
      </c>
      <c r="AQ1070" s="18">
        <f>SUMIF(Audit[[#This Row],[Difference Winner]:[Difference Candidate 12]], "&gt;0")</f>
        <v>0</v>
      </c>
      <c r="AR1070" s="18">
        <f>SUM(Audit[[#This Row],[Difference Winner]:[Difference Candidate 12]])</f>
        <v>0</v>
      </c>
      <c r="AS1070" s="18">
        <f>IF(Audit[[#This Row],[Times p Drawn - With Replacement]]&gt;0, IF(Audit[[#This Row],[Canceled Differences]]&lt;0, Audit[[#This Row],[Max Differences]]+ABS(Audit[[#This Row],[Canceled Differences]]), Audit[[#This Row],[Max Differences]]), 0)</f>
        <v>0</v>
      </c>
      <c r="AT1070" s="18">
        <f>'Sampling Data'!AB1070</f>
        <v>2.5127995728240724E-4</v>
      </c>
      <c r="AU1070" s="18">
        <f>IF(
      SUM(Audit[[#This Row],[Audit Losing Candidate]:[Audit Candidate 12]])
      &lt;&gt;0,
      (Audit[[#This Row],[Winning Candidate]]-Audit[[#This Row],[Losing Candidate]]-(Audit[[#This Row],[Audit Winning Candidate]]-Audit[[#This Row],[Audit Losing Candidate]]))/(Audit[[#Totals],[Winning Candidate]]-Audit[[#Totals],[Losing Candidate]]),
      0
)</f>
        <v>0</v>
      </c>
      <c r="AV107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8">
        <f>IF(Audit[[#This Row],[Max Relative Error (ep)]] = 0, 0, Audit[[#This Row],[Max Relative Error (ep)]]/Audit[[#This Row],[Error Bound (up) - Max. possible relative overstatement]])</f>
        <v>0</v>
      </c>
      <c r="BH107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0" s="18">
        <f t="shared" si="17"/>
        <v>1</v>
      </c>
      <c r="BJ1070" s="18">
        <f>PRODUCT($BI$5:BI1070)</f>
        <v>0.10664664085196122</v>
      </c>
      <c r="BK1070" s="20">
        <f>1 - Audit[[#This Row],[K-M P Value]]</f>
        <v>0.89335335914803882</v>
      </c>
      <c r="BL1070" s="18" t="str">
        <f>IF(Audit[[#This Row],[K-M P Value]]&gt;1-'General Info'!$B$12,"Continue", "Stop")</f>
        <v>Continue</v>
      </c>
      <c r="BM1070" s="23" t="b">
        <f>IF(Audit[[#This Row],[Status - Continue or stop audit]] = "Continue", TRUE, IF(BL1069 = "Continue", TRUE, FALSE))</f>
        <v>1</v>
      </c>
      <c r="BN1070" s="23"/>
    </row>
    <row r="1071" spans="1:66" ht="15" hidden="1" customHeight="1" x14ac:dyDescent="0.35">
      <c r="A1071" s="18" t="str">
        <f>'Sampling Data'!AI1071</f>
        <v/>
      </c>
      <c r="B1071" s="18" t="str">
        <f>'Sampling Data'!A1071</f>
        <v>8702 SPFLD B   (ED)</v>
      </c>
      <c r="C1071" s="18">
        <f>'Sampling Data'!B1071</f>
        <v>16</v>
      </c>
      <c r="D1071" s="18">
        <f>'Sampling Data'!C1071</f>
        <v>3</v>
      </c>
      <c r="E1071" s="19">
        <f>'Sampling Data'!D1071</f>
        <v>0</v>
      </c>
      <c r="F1071" s="19">
        <f>'Sampling Data'!E1071</f>
        <v>0</v>
      </c>
      <c r="G1071" s="19">
        <f>'Sampling Data'!F1071</f>
        <v>0</v>
      </c>
      <c r="H1071" s="19">
        <f>'Sampling Data'!G1071</f>
        <v>0</v>
      </c>
      <c r="I1071" s="19">
        <f>'Sampling Data'!H1071</f>
        <v>0</v>
      </c>
      <c r="J1071" s="19">
        <f>'Sampling Data'!I1071</f>
        <v>0</v>
      </c>
      <c r="K1071" s="19">
        <f>'Sampling Data'!J1071</f>
        <v>0</v>
      </c>
      <c r="L1071" s="19">
        <f>'Sampling Data'!K1071</f>
        <v>0</v>
      </c>
      <c r="M1071" s="19">
        <f>'Sampling Data'!L1071</f>
        <v>0</v>
      </c>
      <c r="N1071" s="19">
        <f>'Sampling Data'!M1071</f>
        <v>0</v>
      </c>
      <c r="O1071" s="18">
        <f>'Sampling Data'!N1071</f>
        <v>0</v>
      </c>
      <c r="P1071" s="18">
        <f>'Sampling Data'!O1071</f>
        <v>0</v>
      </c>
      <c r="Q1071" s="18">
        <f>'Sampling Data'!P1071</f>
        <v>19</v>
      </c>
      <c r="R1071" s="18">
        <f>'Sampling Data'!AJ1071</f>
        <v>0</v>
      </c>
      <c r="S1071" s="112"/>
      <c r="T1071" s="112"/>
      <c r="U1071" s="113"/>
      <c r="V1071" s="113"/>
      <c r="W1071" s="112"/>
      <c r="X1071" s="112"/>
      <c r="Y1071" s="112"/>
      <c r="Z1071" s="112"/>
      <c r="AA1071" s="15"/>
      <c r="AB1071" s="15"/>
      <c r="AC1071" s="15"/>
      <c r="AD1071" s="15"/>
      <c r="AE1071" s="114" t="str">
        <f>IF(NOT(ISBLANK(Audit[[#This Row],[Audit Winning Candidate]])), Audit[[#This Row],[Audit Winning Candidate]]-Audit[[#This Row],[Winning Candidate]], "")</f>
        <v/>
      </c>
      <c r="AF1071" s="18" t="str">
        <f>IF(NOT(ISBLANK(Audit[[#This Row],[Audit Losing Candidate]])), Audit[[#This Row],[Audit Losing Candidate]]-Audit[[#This Row],[Losing Candidate]], "")</f>
        <v/>
      </c>
      <c r="AG1071" s="18" t="str">
        <f>IF(NOT(ISBLANK(Audit[[#This Row],[Audit Candidate 3]])), Audit[[#This Row],[Audit Candidate 3]]-Audit[[#This Row],[Candidate 3]], "")</f>
        <v/>
      </c>
      <c r="AH1071" s="18" t="str">
        <f>IF(NOT(ISBLANK(Audit[[#This Row],[Audit Candidate 4]])),Audit[[#This Row],[Audit Candidate 4]]-Audit[[#This Row],[Candidate 4]], "")</f>
        <v/>
      </c>
      <c r="AI1071" s="18" t="str">
        <f>IF(NOT(ISBLANK(Audit[[#This Row],[Audit Candidate 5]])), Audit[[#This Row],[Audit Candidate 5]]-Audit[[#This Row],[Candidate 5]], "")</f>
        <v/>
      </c>
      <c r="AJ1071" s="18" t="str">
        <f>IF(NOT(ISBLANK(Audit[[#This Row],[Audit Candidate 6]])), Audit[[#This Row],[Audit Candidate 6]]-Audit[[#This Row],[Candidate 6]], "")</f>
        <v/>
      </c>
      <c r="AK1071" s="18" t="str">
        <f>IF(NOT(ISBLANK(Audit[[#This Row],[Audit Candidate 7]])), Audit[[#This Row],[Audit Candidate 7]]-Audit[[#This Row],[Candidate 7]], "")</f>
        <v/>
      </c>
      <c r="AL1071" s="18" t="str">
        <f>IF(NOT(ISBLANK(Audit[[#This Row],[Audit Candidate 8]])), Audit[[#This Row],[Audit Candidate 8]]-Audit[[#This Row],[Candidate 8]], "")</f>
        <v/>
      </c>
      <c r="AM1071" s="18" t="str">
        <f>IF(NOT(ISBLANK(Audit[[#This Row],[Audit Candidate 9]])), Audit[[#This Row],[Audit Candidate 9]]-Audit[[#This Row],[Candidate 9]], "")</f>
        <v/>
      </c>
      <c r="AN1071" s="18" t="str">
        <f>IF(NOT(ISBLANK(Audit[[#This Row],[Audit Candidate 10]])), Audit[[#This Row],[Audit Candidate 10]]-Audit[[#This Row],[Candidate 10]], "")</f>
        <v/>
      </c>
      <c r="AO1071" s="18" t="str">
        <f>IF(NOT(ISBLANK(Audit[[#This Row],[Audit Candidate 11]])), Audit[[#This Row],[Audit Candidate 11]]-Audit[[#This Row],[Candidate 11]], "")</f>
        <v/>
      </c>
      <c r="AP1071" s="18" t="str">
        <f>IF(NOT(ISBLANK(Audit[[#This Row],[Audit Candidate 12]])), Audit[[#This Row],[Audit Candidate 12]]-Audit[[#This Row],[Candidate 12]], "")</f>
        <v/>
      </c>
      <c r="AQ1071" s="18">
        <f>SUMIF(Audit[[#This Row],[Difference Winner]:[Difference Candidate 12]], "&gt;0")</f>
        <v>0</v>
      </c>
      <c r="AR1071" s="18">
        <f>SUM(Audit[[#This Row],[Difference Winner]:[Difference Candidate 12]])</f>
        <v>0</v>
      </c>
      <c r="AS1071" s="18">
        <f>IF(Audit[[#This Row],[Times p Drawn - With Replacement]]&gt;0, IF(Audit[[#This Row],[Canceled Differences]]&lt;0, Audit[[#This Row],[Max Differences]]+ABS(Audit[[#This Row],[Canceled Differences]]), Audit[[#This Row],[Max Differences]]), 0)</f>
        <v>0</v>
      </c>
      <c r="AT1071" s="18">
        <f>'Sampling Data'!AB1071</f>
        <v>1.005119829129629E-3</v>
      </c>
      <c r="AU1071" s="18">
        <f>IF(
      SUM(Audit[[#This Row],[Audit Losing Candidate]:[Audit Candidate 12]])
      &lt;&gt;0,
      (Audit[[#This Row],[Winning Candidate]]-Audit[[#This Row],[Losing Candidate]]-(Audit[[#This Row],[Audit Winning Candidate]]-Audit[[#This Row],[Audit Losing Candidate]]))/(Audit[[#Totals],[Winning Candidate]]-Audit[[#Totals],[Losing Candidate]]),
      0
)</f>
        <v>0</v>
      </c>
      <c r="AV107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8">
        <f>IF(Audit[[#This Row],[Max Relative Error (ep)]] = 0, 0, Audit[[#This Row],[Max Relative Error (ep)]]/Audit[[#This Row],[Error Bound (up) - Max. possible relative overstatement]])</f>
        <v>0</v>
      </c>
      <c r="BH107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1" s="18">
        <f t="shared" si="17"/>
        <v>1</v>
      </c>
      <c r="BJ1071" s="18">
        <f>PRODUCT($BI$5:BI1071)</f>
        <v>0.10664664085196122</v>
      </c>
      <c r="BK1071" s="20">
        <f>1 - Audit[[#This Row],[K-M P Value]]</f>
        <v>0.89335335914803882</v>
      </c>
      <c r="BL1071" s="18" t="str">
        <f>IF(Audit[[#This Row],[K-M P Value]]&gt;1-'General Info'!$B$12,"Continue", "Stop")</f>
        <v>Continue</v>
      </c>
      <c r="BM1071" s="23" t="b">
        <f>IF(Audit[[#This Row],[Status - Continue or stop audit]] = "Continue", TRUE, IF(BL1070 = "Continue", TRUE, FALSE))</f>
        <v>1</v>
      </c>
      <c r="BN1071" s="23"/>
    </row>
    <row r="1072" spans="1:66" ht="15" customHeight="1" thickBot="1" x14ac:dyDescent="0.4">
      <c r="A1072" s="18">
        <f>'Sampling Data'!AI1072</f>
        <v>2</v>
      </c>
      <c r="B1072" s="18" t="str">
        <f>'Sampling Data'!A1072</f>
        <v>8703 SPFLD C   (ED)</v>
      </c>
      <c r="C1072" s="18">
        <f>'Sampling Data'!B1072</f>
        <v>64</v>
      </c>
      <c r="D1072" s="18">
        <f>'Sampling Data'!C1072</f>
        <v>5</v>
      </c>
      <c r="E1072" s="19">
        <f>'Sampling Data'!D1072</f>
        <v>0</v>
      </c>
      <c r="F1072" s="19">
        <f>'Sampling Data'!E1072</f>
        <v>0</v>
      </c>
      <c r="G1072" s="19">
        <f>'Sampling Data'!F1072</f>
        <v>0</v>
      </c>
      <c r="H1072" s="19">
        <f>'Sampling Data'!G1072</f>
        <v>0</v>
      </c>
      <c r="I1072" s="19">
        <f>'Sampling Data'!H1072</f>
        <v>0</v>
      </c>
      <c r="J1072" s="19">
        <f>'Sampling Data'!I1072</f>
        <v>0</v>
      </c>
      <c r="K1072" s="19">
        <f>'Sampling Data'!J1072</f>
        <v>0</v>
      </c>
      <c r="L1072" s="19">
        <f>'Sampling Data'!K1072</f>
        <v>0</v>
      </c>
      <c r="M1072" s="19">
        <f>'Sampling Data'!L1072</f>
        <v>0</v>
      </c>
      <c r="N1072" s="19">
        <f>'Sampling Data'!M1072</f>
        <v>0</v>
      </c>
      <c r="O1072" s="18">
        <f>'Sampling Data'!N1072</f>
        <v>0</v>
      </c>
      <c r="P1072" s="18">
        <f>'Sampling Data'!O1072</f>
        <v>1</v>
      </c>
      <c r="Q1072" s="18">
        <f>'Sampling Data'!P1072</f>
        <v>70</v>
      </c>
      <c r="R1072" s="18">
        <f>'Sampling Data'!AJ1072</f>
        <v>1</v>
      </c>
      <c r="S1072" s="112">
        <v>64</v>
      </c>
      <c r="T1072" s="112">
        <v>5</v>
      </c>
      <c r="U1072" s="113"/>
      <c r="V1072" s="113"/>
      <c r="W1072" s="112"/>
      <c r="X1072" s="112"/>
      <c r="Y1072" s="112"/>
      <c r="Z1072" s="112"/>
      <c r="AA1072" s="15"/>
      <c r="AB1072" s="15"/>
      <c r="AC1072" s="15"/>
      <c r="AD1072" s="15"/>
      <c r="AE1072" s="114">
        <f>IF(NOT(ISBLANK(Audit[[#This Row],[Audit Winning Candidate]])), Audit[[#This Row],[Audit Winning Candidate]]-Audit[[#This Row],[Winning Candidate]], "")</f>
        <v>0</v>
      </c>
      <c r="AF1072" s="18">
        <f>IF(NOT(ISBLANK(Audit[[#This Row],[Audit Losing Candidate]])), Audit[[#This Row],[Audit Losing Candidate]]-Audit[[#This Row],[Losing Candidate]], "")</f>
        <v>0</v>
      </c>
      <c r="AG1072" s="18" t="str">
        <f>IF(NOT(ISBLANK(Audit[[#This Row],[Audit Candidate 3]])), Audit[[#This Row],[Audit Candidate 3]]-Audit[[#This Row],[Candidate 3]], "")</f>
        <v/>
      </c>
      <c r="AH1072" s="18" t="str">
        <f>IF(NOT(ISBLANK(Audit[[#This Row],[Audit Candidate 4]])),Audit[[#This Row],[Audit Candidate 4]]-Audit[[#This Row],[Candidate 4]], "")</f>
        <v/>
      </c>
      <c r="AI1072" s="18" t="str">
        <f>IF(NOT(ISBLANK(Audit[[#This Row],[Audit Candidate 5]])), Audit[[#This Row],[Audit Candidate 5]]-Audit[[#This Row],[Candidate 5]], "")</f>
        <v/>
      </c>
      <c r="AJ1072" s="18" t="str">
        <f>IF(NOT(ISBLANK(Audit[[#This Row],[Audit Candidate 6]])), Audit[[#This Row],[Audit Candidate 6]]-Audit[[#This Row],[Candidate 6]], "")</f>
        <v/>
      </c>
      <c r="AK1072" s="18" t="str">
        <f>IF(NOT(ISBLANK(Audit[[#This Row],[Audit Candidate 7]])), Audit[[#This Row],[Audit Candidate 7]]-Audit[[#This Row],[Candidate 7]], "")</f>
        <v/>
      </c>
      <c r="AL1072" s="18" t="str">
        <f>IF(NOT(ISBLANK(Audit[[#This Row],[Audit Candidate 8]])), Audit[[#This Row],[Audit Candidate 8]]-Audit[[#This Row],[Candidate 8]], "")</f>
        <v/>
      </c>
      <c r="AM1072" s="18" t="str">
        <f>IF(NOT(ISBLANK(Audit[[#This Row],[Audit Candidate 9]])), Audit[[#This Row],[Audit Candidate 9]]-Audit[[#This Row],[Candidate 9]], "")</f>
        <v/>
      </c>
      <c r="AN1072" s="18" t="str">
        <f>IF(NOT(ISBLANK(Audit[[#This Row],[Audit Candidate 10]])), Audit[[#This Row],[Audit Candidate 10]]-Audit[[#This Row],[Candidate 10]], "")</f>
        <v/>
      </c>
      <c r="AO1072" s="18" t="str">
        <f>IF(NOT(ISBLANK(Audit[[#This Row],[Audit Candidate 11]])), Audit[[#This Row],[Audit Candidate 11]]-Audit[[#This Row],[Candidate 11]], "")</f>
        <v/>
      </c>
      <c r="AP1072" s="18" t="str">
        <f>IF(NOT(ISBLANK(Audit[[#This Row],[Audit Candidate 12]])), Audit[[#This Row],[Audit Candidate 12]]-Audit[[#This Row],[Candidate 12]], "")</f>
        <v/>
      </c>
      <c r="AQ1072" s="18">
        <f>SUMIF(Audit[[#This Row],[Difference Winner]:[Difference Candidate 12]], "&gt;0")</f>
        <v>0</v>
      </c>
      <c r="AR1072" s="18">
        <f>SUM(Audit[[#This Row],[Difference Winner]:[Difference Candidate 12]])</f>
        <v>0</v>
      </c>
      <c r="AS1072" s="18">
        <f>IF(Audit[[#This Row],[Times p Drawn - With Replacement]]&gt;0, IF(Audit[[#This Row],[Canceled Differences]]&lt;0, Audit[[#This Row],[Max Differences]]+ABS(Audit[[#This Row],[Canceled Differences]]), Audit[[#This Row],[Max Differences]]), 0)</f>
        <v>0</v>
      </c>
      <c r="AT1072" s="18">
        <f>'Sampling Data'!AB1072</f>
        <v>4.0518893111788174E-3</v>
      </c>
      <c r="AU1072" s="18">
        <f>IF(
      SUM(Audit[[#This Row],[Audit Losing Candidate]:[Audit Candidate 12]])
      &lt;&gt;0,
      (Audit[[#This Row],[Winning Candidate]]-Audit[[#This Row],[Losing Candidate]]-(Audit[[#This Row],[Audit Winning Candidate]]-Audit[[#This Row],[Audit Losing Candidate]]))/(Audit[[#Totals],[Winning Candidate]]-Audit[[#Totals],[Losing Candidate]]),
      0
)</f>
        <v>0</v>
      </c>
      <c r="AV107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8">
        <f>IF(Audit[[#This Row],[Max Relative Error (ep)]] = 0, 0, Audit[[#This Row],[Max Relative Error (ep)]]/Audit[[#This Row],[Error Bound (up) - Max. possible relative overstatement]])</f>
        <v>0</v>
      </c>
      <c r="BH107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2" s="18">
        <f t="shared" si="17"/>
        <v>0.57146126097022543</v>
      </c>
      <c r="BJ1072" s="18">
        <f>PRODUCT($BI$5:BI1072)</f>
        <v>6.0944423859500517E-2</v>
      </c>
      <c r="BK1072" s="20">
        <f>1 - Audit[[#This Row],[K-M P Value]]</f>
        <v>0.9390555761404995</v>
      </c>
      <c r="BL1072" s="18" t="str">
        <f>IF(Audit[[#This Row],[K-M P Value]]&gt;1-'General Info'!$B$12,"Continue", "Stop")</f>
        <v>Stop</v>
      </c>
      <c r="BM1072" s="23" t="b">
        <f>IF(Audit[[#This Row],[Status - Continue or stop audit]] = "Continue", TRUE, IF(BL1071 = "Continue", TRUE, FALSE))</f>
        <v>1</v>
      </c>
      <c r="BN1072" s="23"/>
    </row>
    <row r="1073" spans="1:66" ht="15" hidden="1" customHeight="1" x14ac:dyDescent="0.35">
      <c r="A1073" s="18" t="str">
        <f>'Sampling Data'!AI1073</f>
        <v/>
      </c>
      <c r="B1073" s="18" t="str">
        <f>'Sampling Data'!A1073</f>
        <v>8704 SPFLD D   (ED)</v>
      </c>
      <c r="C1073" s="18">
        <f>'Sampling Data'!B1073</f>
        <v>29</v>
      </c>
      <c r="D1073" s="18">
        <f>'Sampling Data'!C1073</f>
        <v>10</v>
      </c>
      <c r="E1073" s="19">
        <f>'Sampling Data'!D1073</f>
        <v>0</v>
      </c>
      <c r="F1073" s="19">
        <f>'Sampling Data'!E1073</f>
        <v>0</v>
      </c>
      <c r="G1073" s="19">
        <f>'Sampling Data'!F1073</f>
        <v>0</v>
      </c>
      <c r="H1073" s="19">
        <f>'Sampling Data'!G1073</f>
        <v>0</v>
      </c>
      <c r="I1073" s="19">
        <f>'Sampling Data'!H1073</f>
        <v>0</v>
      </c>
      <c r="J1073" s="19">
        <f>'Sampling Data'!I1073</f>
        <v>0</v>
      </c>
      <c r="K1073" s="19">
        <f>'Sampling Data'!J1073</f>
        <v>0</v>
      </c>
      <c r="L1073" s="19">
        <f>'Sampling Data'!K1073</f>
        <v>0</v>
      </c>
      <c r="M1073" s="19">
        <f>'Sampling Data'!L1073</f>
        <v>0</v>
      </c>
      <c r="N1073" s="19">
        <f>'Sampling Data'!M1073</f>
        <v>0</v>
      </c>
      <c r="O1073" s="18">
        <f>'Sampling Data'!N1073</f>
        <v>0</v>
      </c>
      <c r="P1073" s="18">
        <f>'Sampling Data'!O1073</f>
        <v>1</v>
      </c>
      <c r="Q1073" s="18">
        <f>'Sampling Data'!P1073</f>
        <v>40</v>
      </c>
      <c r="R1073" s="18">
        <f>'Sampling Data'!AJ1073</f>
        <v>0</v>
      </c>
      <c r="S1073" s="112"/>
      <c r="T1073" s="112"/>
      <c r="U1073" s="113"/>
      <c r="V1073" s="113"/>
      <c r="W1073" s="112"/>
      <c r="X1073" s="112"/>
      <c r="Y1073" s="112"/>
      <c r="Z1073" s="112"/>
      <c r="AA1073" s="15"/>
      <c r="AB1073" s="15"/>
      <c r="AC1073" s="15"/>
      <c r="AD1073" s="15"/>
      <c r="AE1073" s="114" t="str">
        <f>IF(NOT(ISBLANK(Audit[[#This Row],[Audit Winning Candidate]])), Audit[[#This Row],[Audit Winning Candidate]]-Audit[[#This Row],[Winning Candidate]], "")</f>
        <v/>
      </c>
      <c r="AF1073" s="18" t="str">
        <f>IF(NOT(ISBLANK(Audit[[#This Row],[Audit Losing Candidate]])), Audit[[#This Row],[Audit Losing Candidate]]-Audit[[#This Row],[Losing Candidate]], "")</f>
        <v/>
      </c>
      <c r="AG1073" s="18" t="str">
        <f>IF(NOT(ISBLANK(Audit[[#This Row],[Audit Candidate 3]])), Audit[[#This Row],[Audit Candidate 3]]-Audit[[#This Row],[Candidate 3]], "")</f>
        <v/>
      </c>
      <c r="AH1073" s="18" t="str">
        <f>IF(NOT(ISBLANK(Audit[[#This Row],[Audit Candidate 4]])),Audit[[#This Row],[Audit Candidate 4]]-Audit[[#This Row],[Candidate 4]], "")</f>
        <v/>
      </c>
      <c r="AI1073" s="18" t="str">
        <f>IF(NOT(ISBLANK(Audit[[#This Row],[Audit Candidate 5]])), Audit[[#This Row],[Audit Candidate 5]]-Audit[[#This Row],[Candidate 5]], "")</f>
        <v/>
      </c>
      <c r="AJ1073" s="18" t="str">
        <f>IF(NOT(ISBLANK(Audit[[#This Row],[Audit Candidate 6]])), Audit[[#This Row],[Audit Candidate 6]]-Audit[[#This Row],[Candidate 6]], "")</f>
        <v/>
      </c>
      <c r="AK1073" s="18" t="str">
        <f>IF(NOT(ISBLANK(Audit[[#This Row],[Audit Candidate 7]])), Audit[[#This Row],[Audit Candidate 7]]-Audit[[#This Row],[Candidate 7]], "")</f>
        <v/>
      </c>
      <c r="AL1073" s="18" t="str">
        <f>IF(NOT(ISBLANK(Audit[[#This Row],[Audit Candidate 8]])), Audit[[#This Row],[Audit Candidate 8]]-Audit[[#This Row],[Candidate 8]], "")</f>
        <v/>
      </c>
      <c r="AM1073" s="18" t="str">
        <f>IF(NOT(ISBLANK(Audit[[#This Row],[Audit Candidate 9]])), Audit[[#This Row],[Audit Candidate 9]]-Audit[[#This Row],[Candidate 9]], "")</f>
        <v/>
      </c>
      <c r="AN1073" s="18" t="str">
        <f>IF(NOT(ISBLANK(Audit[[#This Row],[Audit Candidate 10]])), Audit[[#This Row],[Audit Candidate 10]]-Audit[[#This Row],[Candidate 10]], "")</f>
        <v/>
      </c>
      <c r="AO1073" s="18" t="str">
        <f>IF(NOT(ISBLANK(Audit[[#This Row],[Audit Candidate 11]])), Audit[[#This Row],[Audit Candidate 11]]-Audit[[#This Row],[Candidate 11]], "")</f>
        <v/>
      </c>
      <c r="AP1073" s="18" t="str">
        <f>IF(NOT(ISBLANK(Audit[[#This Row],[Audit Candidate 12]])), Audit[[#This Row],[Audit Candidate 12]]-Audit[[#This Row],[Candidate 12]], "")</f>
        <v/>
      </c>
      <c r="AQ1073" s="18">
        <f>SUMIF(Audit[[#This Row],[Difference Winner]:[Difference Candidate 12]], "&gt;0")</f>
        <v>0</v>
      </c>
      <c r="AR1073" s="18">
        <f>SUM(Audit[[#This Row],[Difference Winner]:[Difference Candidate 12]])</f>
        <v>0</v>
      </c>
      <c r="AS1073" s="18">
        <f>IF(Audit[[#This Row],[Times p Drawn - With Replacement]]&gt;0, IF(Audit[[#This Row],[Canceled Differences]]&lt;0, Audit[[#This Row],[Max Differences]]+ABS(Audit[[#This Row],[Canceled Differences]]), Audit[[#This Row],[Max Differences]]), 0)</f>
        <v>0</v>
      </c>
      <c r="AT1073" s="18">
        <f>'Sampling Data'!AB1073</f>
        <v>1.8531896849577536E-3</v>
      </c>
      <c r="AU1073" s="18">
        <f>IF(
      SUM(Audit[[#This Row],[Audit Losing Candidate]:[Audit Candidate 12]])
      &lt;&gt;0,
      (Audit[[#This Row],[Winning Candidate]]-Audit[[#This Row],[Losing Candidate]]-(Audit[[#This Row],[Audit Winning Candidate]]-Audit[[#This Row],[Audit Losing Candidate]]))/(Audit[[#Totals],[Winning Candidate]]-Audit[[#Totals],[Losing Candidate]]),
      0
)</f>
        <v>0</v>
      </c>
      <c r="AV107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8">
        <f>IF(Audit[[#This Row],[Max Relative Error (ep)]] = 0, 0, Audit[[#This Row],[Max Relative Error (ep)]]/Audit[[#This Row],[Error Bound (up) - Max. possible relative overstatement]])</f>
        <v>0</v>
      </c>
      <c r="BH107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3" s="18">
        <f t="shared" si="17"/>
        <v>1</v>
      </c>
      <c r="BJ1073" s="18">
        <f>PRODUCT($BI$5:BI1073)</f>
        <v>6.0944423859500517E-2</v>
      </c>
      <c r="BK1073" s="20">
        <f>1 - Audit[[#This Row],[K-M P Value]]</f>
        <v>0.9390555761404995</v>
      </c>
      <c r="BL1073" s="18" t="str">
        <f>IF(Audit[[#This Row],[K-M P Value]]&gt;1-'General Info'!$B$12,"Continue", "Stop")</f>
        <v>Stop</v>
      </c>
      <c r="BM1073" s="23" t="b">
        <f>IF(Audit[[#This Row],[Status - Continue or stop audit]] = "Continue", TRUE, IF(BL1072 = "Continue", TRUE, FALSE))</f>
        <v>0</v>
      </c>
      <c r="BN1073" s="23"/>
    </row>
    <row r="1074" spans="1:66" ht="15" hidden="1" customHeight="1" x14ac:dyDescent="0.35">
      <c r="A1074" s="18" t="str">
        <f>'Sampling Data'!AI1074</f>
        <v/>
      </c>
      <c r="B1074" s="18" t="str">
        <f>'Sampling Data'!A1074</f>
        <v>8705 SPFLD E   (ED)</v>
      </c>
      <c r="C1074" s="18">
        <f>'Sampling Data'!B1074</f>
        <v>18</v>
      </c>
      <c r="D1074" s="18">
        <f>'Sampling Data'!C1074</f>
        <v>0</v>
      </c>
      <c r="E1074" s="19">
        <f>'Sampling Data'!D1074</f>
        <v>0</v>
      </c>
      <c r="F1074" s="19">
        <f>'Sampling Data'!E1074</f>
        <v>0</v>
      </c>
      <c r="G1074" s="19">
        <f>'Sampling Data'!F1074</f>
        <v>0</v>
      </c>
      <c r="H1074" s="19">
        <f>'Sampling Data'!G1074</f>
        <v>0</v>
      </c>
      <c r="I1074" s="19">
        <f>'Sampling Data'!H1074</f>
        <v>0</v>
      </c>
      <c r="J1074" s="19">
        <f>'Sampling Data'!I1074</f>
        <v>0</v>
      </c>
      <c r="K1074" s="19">
        <f>'Sampling Data'!J1074</f>
        <v>0</v>
      </c>
      <c r="L1074" s="19">
        <f>'Sampling Data'!K1074</f>
        <v>0</v>
      </c>
      <c r="M1074" s="19">
        <f>'Sampling Data'!L1074</f>
        <v>0</v>
      </c>
      <c r="N1074" s="19">
        <f>'Sampling Data'!M1074</f>
        <v>0</v>
      </c>
      <c r="O1074" s="18">
        <f>'Sampling Data'!N1074</f>
        <v>0</v>
      </c>
      <c r="P1074" s="18">
        <f>'Sampling Data'!O1074</f>
        <v>0</v>
      </c>
      <c r="Q1074" s="18">
        <f>'Sampling Data'!P1074</f>
        <v>18</v>
      </c>
      <c r="R1074" s="18">
        <f>'Sampling Data'!AJ1074</f>
        <v>0</v>
      </c>
      <c r="S1074" s="112"/>
      <c r="T1074" s="112"/>
      <c r="U1074" s="113"/>
      <c r="V1074" s="113"/>
      <c r="W1074" s="112"/>
      <c r="X1074" s="112"/>
      <c r="Y1074" s="112"/>
      <c r="Z1074" s="112"/>
      <c r="AA1074" s="15"/>
      <c r="AB1074" s="15"/>
      <c r="AC1074" s="15"/>
      <c r="AD1074" s="15"/>
      <c r="AE1074" s="114" t="str">
        <f>IF(NOT(ISBLANK(Audit[[#This Row],[Audit Winning Candidate]])), Audit[[#This Row],[Audit Winning Candidate]]-Audit[[#This Row],[Winning Candidate]], "")</f>
        <v/>
      </c>
      <c r="AF1074" s="18" t="str">
        <f>IF(NOT(ISBLANK(Audit[[#This Row],[Audit Losing Candidate]])), Audit[[#This Row],[Audit Losing Candidate]]-Audit[[#This Row],[Losing Candidate]], "")</f>
        <v/>
      </c>
      <c r="AG1074" s="18" t="str">
        <f>IF(NOT(ISBLANK(Audit[[#This Row],[Audit Candidate 3]])), Audit[[#This Row],[Audit Candidate 3]]-Audit[[#This Row],[Candidate 3]], "")</f>
        <v/>
      </c>
      <c r="AH1074" s="18" t="str">
        <f>IF(NOT(ISBLANK(Audit[[#This Row],[Audit Candidate 4]])),Audit[[#This Row],[Audit Candidate 4]]-Audit[[#This Row],[Candidate 4]], "")</f>
        <v/>
      </c>
      <c r="AI1074" s="18" t="str">
        <f>IF(NOT(ISBLANK(Audit[[#This Row],[Audit Candidate 5]])), Audit[[#This Row],[Audit Candidate 5]]-Audit[[#This Row],[Candidate 5]], "")</f>
        <v/>
      </c>
      <c r="AJ1074" s="18" t="str">
        <f>IF(NOT(ISBLANK(Audit[[#This Row],[Audit Candidate 6]])), Audit[[#This Row],[Audit Candidate 6]]-Audit[[#This Row],[Candidate 6]], "")</f>
        <v/>
      </c>
      <c r="AK1074" s="18" t="str">
        <f>IF(NOT(ISBLANK(Audit[[#This Row],[Audit Candidate 7]])), Audit[[#This Row],[Audit Candidate 7]]-Audit[[#This Row],[Candidate 7]], "")</f>
        <v/>
      </c>
      <c r="AL1074" s="18" t="str">
        <f>IF(NOT(ISBLANK(Audit[[#This Row],[Audit Candidate 8]])), Audit[[#This Row],[Audit Candidate 8]]-Audit[[#This Row],[Candidate 8]], "")</f>
        <v/>
      </c>
      <c r="AM1074" s="18" t="str">
        <f>IF(NOT(ISBLANK(Audit[[#This Row],[Audit Candidate 9]])), Audit[[#This Row],[Audit Candidate 9]]-Audit[[#This Row],[Candidate 9]], "")</f>
        <v/>
      </c>
      <c r="AN1074" s="18" t="str">
        <f>IF(NOT(ISBLANK(Audit[[#This Row],[Audit Candidate 10]])), Audit[[#This Row],[Audit Candidate 10]]-Audit[[#This Row],[Candidate 10]], "")</f>
        <v/>
      </c>
      <c r="AO1074" s="18" t="str">
        <f>IF(NOT(ISBLANK(Audit[[#This Row],[Audit Candidate 11]])), Audit[[#This Row],[Audit Candidate 11]]-Audit[[#This Row],[Candidate 11]], "")</f>
        <v/>
      </c>
      <c r="AP1074" s="18" t="str">
        <f>IF(NOT(ISBLANK(Audit[[#This Row],[Audit Candidate 12]])), Audit[[#This Row],[Audit Candidate 12]]-Audit[[#This Row],[Candidate 12]], "")</f>
        <v/>
      </c>
      <c r="AQ1074" s="18">
        <f>SUMIF(Audit[[#This Row],[Difference Winner]:[Difference Candidate 12]], "&gt;0")</f>
        <v>0</v>
      </c>
      <c r="AR1074" s="18">
        <f>SUM(Audit[[#This Row],[Difference Winner]:[Difference Candidate 12]])</f>
        <v>0</v>
      </c>
      <c r="AS1074" s="18">
        <f>IF(Audit[[#This Row],[Times p Drawn - With Replacement]]&gt;0, IF(Audit[[#This Row],[Canceled Differences]]&lt;0, Audit[[#This Row],[Max Differences]]+ABS(Audit[[#This Row],[Canceled Differences]]), Audit[[#This Row],[Max Differences]]), 0)</f>
        <v>0</v>
      </c>
      <c r="AT1074" s="18">
        <f>'Sampling Data'!AB1074</f>
        <v>1.1307598077708327E-3</v>
      </c>
      <c r="AU1074" s="18">
        <f>IF(
      SUM(Audit[[#This Row],[Audit Losing Candidate]:[Audit Candidate 12]])
      &lt;&gt;0,
      (Audit[[#This Row],[Winning Candidate]]-Audit[[#This Row],[Losing Candidate]]-(Audit[[#This Row],[Audit Winning Candidate]]-Audit[[#This Row],[Audit Losing Candidate]]))/(Audit[[#Totals],[Winning Candidate]]-Audit[[#Totals],[Losing Candidate]]),
      0
)</f>
        <v>0</v>
      </c>
      <c r="AV107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8">
        <f>IF(Audit[[#This Row],[Max Relative Error (ep)]] = 0, 0, Audit[[#This Row],[Max Relative Error (ep)]]/Audit[[#This Row],[Error Bound (up) - Max. possible relative overstatement]])</f>
        <v>0</v>
      </c>
      <c r="BH107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4" s="18">
        <f t="shared" si="17"/>
        <v>1</v>
      </c>
      <c r="BJ1074" s="18">
        <f>PRODUCT($BI$5:BI1074)</f>
        <v>6.0944423859500517E-2</v>
      </c>
      <c r="BK1074" s="20">
        <f>1 - Audit[[#This Row],[K-M P Value]]</f>
        <v>0.9390555761404995</v>
      </c>
      <c r="BL1074" s="18" t="str">
        <f>IF(Audit[[#This Row],[K-M P Value]]&gt;1-'General Info'!$B$12,"Continue", "Stop")</f>
        <v>Stop</v>
      </c>
      <c r="BM1074" s="23" t="b">
        <f>IF(Audit[[#This Row],[Status - Continue or stop audit]] = "Continue", TRUE, IF(BL1073 = "Continue", TRUE, FALSE))</f>
        <v>0</v>
      </c>
      <c r="BN1074" s="23"/>
    </row>
    <row r="1075" spans="1:66" ht="15" hidden="1" customHeight="1" x14ac:dyDescent="0.35">
      <c r="A1075" s="18" t="str">
        <f>'Sampling Data'!AI1075</f>
        <v/>
      </c>
      <c r="B1075" s="18" t="str">
        <f>'Sampling Data'!A1075</f>
        <v>8706 SPFLD F   (ED)</v>
      </c>
      <c r="C1075" s="18">
        <f>'Sampling Data'!B1075</f>
        <v>53</v>
      </c>
      <c r="D1075" s="18">
        <f>'Sampling Data'!C1075</f>
        <v>9</v>
      </c>
      <c r="E1075" s="19">
        <f>'Sampling Data'!D1075</f>
        <v>0</v>
      </c>
      <c r="F1075" s="19">
        <f>'Sampling Data'!E1075</f>
        <v>0</v>
      </c>
      <c r="G1075" s="19">
        <f>'Sampling Data'!F1075</f>
        <v>0</v>
      </c>
      <c r="H1075" s="19">
        <f>'Sampling Data'!G1075</f>
        <v>0</v>
      </c>
      <c r="I1075" s="19">
        <f>'Sampling Data'!H1075</f>
        <v>0</v>
      </c>
      <c r="J1075" s="19">
        <f>'Sampling Data'!I1075</f>
        <v>0</v>
      </c>
      <c r="K1075" s="19">
        <f>'Sampling Data'!J1075</f>
        <v>0</v>
      </c>
      <c r="L1075" s="19">
        <f>'Sampling Data'!K1075</f>
        <v>0</v>
      </c>
      <c r="M1075" s="19">
        <f>'Sampling Data'!L1075</f>
        <v>0</v>
      </c>
      <c r="N1075" s="19">
        <f>'Sampling Data'!M1075</f>
        <v>0</v>
      </c>
      <c r="O1075" s="18">
        <f>'Sampling Data'!N1075</f>
        <v>0</v>
      </c>
      <c r="P1075" s="18">
        <f>'Sampling Data'!O1075</f>
        <v>0</v>
      </c>
      <c r="Q1075" s="18">
        <f>'Sampling Data'!P1075</f>
        <v>62</v>
      </c>
      <c r="R1075" s="18">
        <f>'Sampling Data'!AJ1075</f>
        <v>0</v>
      </c>
      <c r="S1075" s="112"/>
      <c r="T1075" s="112"/>
      <c r="U1075" s="113"/>
      <c r="V1075" s="113"/>
      <c r="W1075" s="112"/>
      <c r="X1075" s="112"/>
      <c r="Y1075" s="112"/>
      <c r="Z1075" s="112"/>
      <c r="AA1075" s="15"/>
      <c r="AB1075" s="15"/>
      <c r="AC1075" s="15"/>
      <c r="AD1075" s="15"/>
      <c r="AE1075" s="114" t="str">
        <f>IF(NOT(ISBLANK(Audit[[#This Row],[Audit Winning Candidate]])), Audit[[#This Row],[Audit Winning Candidate]]-Audit[[#This Row],[Winning Candidate]], "")</f>
        <v/>
      </c>
      <c r="AF1075" s="18" t="str">
        <f>IF(NOT(ISBLANK(Audit[[#This Row],[Audit Losing Candidate]])), Audit[[#This Row],[Audit Losing Candidate]]-Audit[[#This Row],[Losing Candidate]], "")</f>
        <v/>
      </c>
      <c r="AG1075" s="18" t="str">
        <f>IF(NOT(ISBLANK(Audit[[#This Row],[Audit Candidate 3]])), Audit[[#This Row],[Audit Candidate 3]]-Audit[[#This Row],[Candidate 3]], "")</f>
        <v/>
      </c>
      <c r="AH1075" s="18" t="str">
        <f>IF(NOT(ISBLANK(Audit[[#This Row],[Audit Candidate 4]])),Audit[[#This Row],[Audit Candidate 4]]-Audit[[#This Row],[Candidate 4]], "")</f>
        <v/>
      </c>
      <c r="AI1075" s="18" t="str">
        <f>IF(NOT(ISBLANK(Audit[[#This Row],[Audit Candidate 5]])), Audit[[#This Row],[Audit Candidate 5]]-Audit[[#This Row],[Candidate 5]], "")</f>
        <v/>
      </c>
      <c r="AJ1075" s="18" t="str">
        <f>IF(NOT(ISBLANK(Audit[[#This Row],[Audit Candidate 6]])), Audit[[#This Row],[Audit Candidate 6]]-Audit[[#This Row],[Candidate 6]], "")</f>
        <v/>
      </c>
      <c r="AK1075" s="18" t="str">
        <f>IF(NOT(ISBLANK(Audit[[#This Row],[Audit Candidate 7]])), Audit[[#This Row],[Audit Candidate 7]]-Audit[[#This Row],[Candidate 7]], "")</f>
        <v/>
      </c>
      <c r="AL1075" s="18" t="str">
        <f>IF(NOT(ISBLANK(Audit[[#This Row],[Audit Candidate 8]])), Audit[[#This Row],[Audit Candidate 8]]-Audit[[#This Row],[Candidate 8]], "")</f>
        <v/>
      </c>
      <c r="AM1075" s="18" t="str">
        <f>IF(NOT(ISBLANK(Audit[[#This Row],[Audit Candidate 9]])), Audit[[#This Row],[Audit Candidate 9]]-Audit[[#This Row],[Candidate 9]], "")</f>
        <v/>
      </c>
      <c r="AN1075" s="18" t="str">
        <f>IF(NOT(ISBLANK(Audit[[#This Row],[Audit Candidate 10]])), Audit[[#This Row],[Audit Candidate 10]]-Audit[[#This Row],[Candidate 10]], "")</f>
        <v/>
      </c>
      <c r="AO1075" s="18" t="str">
        <f>IF(NOT(ISBLANK(Audit[[#This Row],[Audit Candidate 11]])), Audit[[#This Row],[Audit Candidate 11]]-Audit[[#This Row],[Candidate 11]], "")</f>
        <v/>
      </c>
      <c r="AP1075" s="18" t="str">
        <f>IF(NOT(ISBLANK(Audit[[#This Row],[Audit Candidate 12]])), Audit[[#This Row],[Audit Candidate 12]]-Audit[[#This Row],[Candidate 12]], "")</f>
        <v/>
      </c>
      <c r="AQ1075" s="18">
        <f>SUMIF(Audit[[#This Row],[Difference Winner]:[Difference Candidate 12]], "&gt;0")</f>
        <v>0</v>
      </c>
      <c r="AR1075" s="18">
        <f>SUM(Audit[[#This Row],[Difference Winner]:[Difference Candidate 12]])</f>
        <v>0</v>
      </c>
      <c r="AS1075" s="18">
        <f>IF(Audit[[#This Row],[Times p Drawn - With Replacement]]&gt;0, IF(Audit[[#This Row],[Canceled Differences]]&lt;0, Audit[[#This Row],[Max Differences]]+ABS(Audit[[#This Row],[Canceled Differences]]), Audit[[#This Row],[Max Differences]]), 0)</f>
        <v>0</v>
      </c>
      <c r="AT1075" s="18">
        <f>'Sampling Data'!AB1075</f>
        <v>3.3294594339918961E-3</v>
      </c>
      <c r="AU1075" s="18">
        <f>IF(
      SUM(Audit[[#This Row],[Audit Losing Candidate]:[Audit Candidate 12]])
      &lt;&gt;0,
      (Audit[[#This Row],[Winning Candidate]]-Audit[[#This Row],[Losing Candidate]]-(Audit[[#This Row],[Audit Winning Candidate]]-Audit[[#This Row],[Audit Losing Candidate]]))/(Audit[[#Totals],[Winning Candidate]]-Audit[[#Totals],[Losing Candidate]]),
      0
)</f>
        <v>0</v>
      </c>
      <c r="AV107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8">
        <f>IF(Audit[[#This Row],[Max Relative Error (ep)]] = 0, 0, Audit[[#This Row],[Max Relative Error (ep)]]/Audit[[#This Row],[Error Bound (up) - Max. possible relative overstatement]])</f>
        <v>0</v>
      </c>
      <c r="BH107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5" s="18">
        <f t="shared" si="17"/>
        <v>1</v>
      </c>
      <c r="BJ1075" s="18">
        <f>PRODUCT($BI$5:BI1075)</f>
        <v>6.0944423859500517E-2</v>
      </c>
      <c r="BK1075" s="20">
        <f>1 - Audit[[#This Row],[K-M P Value]]</f>
        <v>0.9390555761404995</v>
      </c>
      <c r="BL1075" s="18" t="str">
        <f>IF(Audit[[#This Row],[K-M P Value]]&gt;1-'General Info'!$B$12,"Continue", "Stop")</f>
        <v>Stop</v>
      </c>
      <c r="BM1075" s="23" t="b">
        <f>IF(Audit[[#This Row],[Status - Continue or stop audit]] = "Continue", TRUE, IF(BL1074 = "Continue", TRUE, FALSE))</f>
        <v>0</v>
      </c>
      <c r="BN1075" s="23"/>
    </row>
    <row r="1076" spans="1:66" ht="15" hidden="1" customHeight="1" x14ac:dyDescent="0.35">
      <c r="A1076" s="18" t="str">
        <f>'Sampling Data'!AI1076</f>
        <v/>
      </c>
      <c r="B1076" s="18" t="str">
        <f>'Sampling Data'!A1076</f>
        <v>8707 SPFLD G   (ED)</v>
      </c>
      <c r="C1076" s="18">
        <f>'Sampling Data'!B1076</f>
        <v>61</v>
      </c>
      <c r="D1076" s="18">
        <f>'Sampling Data'!C1076</f>
        <v>11</v>
      </c>
      <c r="E1076" s="19">
        <f>'Sampling Data'!D1076</f>
        <v>0</v>
      </c>
      <c r="F1076" s="19">
        <f>'Sampling Data'!E1076</f>
        <v>0</v>
      </c>
      <c r="G1076" s="19">
        <f>'Sampling Data'!F1076</f>
        <v>0</v>
      </c>
      <c r="H1076" s="19">
        <f>'Sampling Data'!G1076</f>
        <v>0</v>
      </c>
      <c r="I1076" s="19">
        <f>'Sampling Data'!H1076</f>
        <v>0</v>
      </c>
      <c r="J1076" s="19">
        <f>'Sampling Data'!I1076</f>
        <v>0</v>
      </c>
      <c r="K1076" s="19">
        <f>'Sampling Data'!J1076</f>
        <v>0</v>
      </c>
      <c r="L1076" s="19">
        <f>'Sampling Data'!K1076</f>
        <v>0</v>
      </c>
      <c r="M1076" s="19">
        <f>'Sampling Data'!L1076</f>
        <v>0</v>
      </c>
      <c r="N1076" s="19">
        <f>'Sampling Data'!M1076</f>
        <v>0</v>
      </c>
      <c r="O1076" s="18">
        <f>'Sampling Data'!N1076</f>
        <v>0</v>
      </c>
      <c r="P1076" s="18">
        <f>'Sampling Data'!O1076</f>
        <v>1</v>
      </c>
      <c r="Q1076" s="18">
        <f>'Sampling Data'!P1076</f>
        <v>73</v>
      </c>
      <c r="R1076" s="18">
        <f>'Sampling Data'!AJ1076</f>
        <v>0</v>
      </c>
      <c r="S1076" s="112"/>
      <c r="T1076" s="112"/>
      <c r="U1076" s="113"/>
      <c r="V1076" s="113"/>
      <c r="W1076" s="112"/>
      <c r="X1076" s="112"/>
      <c r="Y1076" s="112"/>
      <c r="Z1076" s="112"/>
      <c r="AA1076" s="15"/>
      <c r="AB1076" s="15"/>
      <c r="AC1076" s="15"/>
      <c r="AD1076" s="15"/>
      <c r="AE1076" s="114" t="str">
        <f>IF(NOT(ISBLANK(Audit[[#This Row],[Audit Winning Candidate]])), Audit[[#This Row],[Audit Winning Candidate]]-Audit[[#This Row],[Winning Candidate]], "")</f>
        <v/>
      </c>
      <c r="AF1076" s="18" t="str">
        <f>IF(NOT(ISBLANK(Audit[[#This Row],[Audit Losing Candidate]])), Audit[[#This Row],[Audit Losing Candidate]]-Audit[[#This Row],[Losing Candidate]], "")</f>
        <v/>
      </c>
      <c r="AG1076" s="18" t="str">
        <f>IF(NOT(ISBLANK(Audit[[#This Row],[Audit Candidate 3]])), Audit[[#This Row],[Audit Candidate 3]]-Audit[[#This Row],[Candidate 3]], "")</f>
        <v/>
      </c>
      <c r="AH1076" s="18" t="str">
        <f>IF(NOT(ISBLANK(Audit[[#This Row],[Audit Candidate 4]])),Audit[[#This Row],[Audit Candidate 4]]-Audit[[#This Row],[Candidate 4]], "")</f>
        <v/>
      </c>
      <c r="AI1076" s="18" t="str">
        <f>IF(NOT(ISBLANK(Audit[[#This Row],[Audit Candidate 5]])), Audit[[#This Row],[Audit Candidate 5]]-Audit[[#This Row],[Candidate 5]], "")</f>
        <v/>
      </c>
      <c r="AJ1076" s="18" t="str">
        <f>IF(NOT(ISBLANK(Audit[[#This Row],[Audit Candidate 6]])), Audit[[#This Row],[Audit Candidate 6]]-Audit[[#This Row],[Candidate 6]], "")</f>
        <v/>
      </c>
      <c r="AK1076" s="18" t="str">
        <f>IF(NOT(ISBLANK(Audit[[#This Row],[Audit Candidate 7]])), Audit[[#This Row],[Audit Candidate 7]]-Audit[[#This Row],[Candidate 7]], "")</f>
        <v/>
      </c>
      <c r="AL1076" s="18" t="str">
        <f>IF(NOT(ISBLANK(Audit[[#This Row],[Audit Candidate 8]])), Audit[[#This Row],[Audit Candidate 8]]-Audit[[#This Row],[Candidate 8]], "")</f>
        <v/>
      </c>
      <c r="AM1076" s="18" t="str">
        <f>IF(NOT(ISBLANK(Audit[[#This Row],[Audit Candidate 9]])), Audit[[#This Row],[Audit Candidate 9]]-Audit[[#This Row],[Candidate 9]], "")</f>
        <v/>
      </c>
      <c r="AN1076" s="18" t="str">
        <f>IF(NOT(ISBLANK(Audit[[#This Row],[Audit Candidate 10]])), Audit[[#This Row],[Audit Candidate 10]]-Audit[[#This Row],[Candidate 10]], "")</f>
        <v/>
      </c>
      <c r="AO1076" s="18" t="str">
        <f>IF(NOT(ISBLANK(Audit[[#This Row],[Audit Candidate 11]])), Audit[[#This Row],[Audit Candidate 11]]-Audit[[#This Row],[Candidate 11]], "")</f>
        <v/>
      </c>
      <c r="AP1076" s="18" t="str">
        <f>IF(NOT(ISBLANK(Audit[[#This Row],[Audit Candidate 12]])), Audit[[#This Row],[Audit Candidate 12]]-Audit[[#This Row],[Candidate 12]], "")</f>
        <v/>
      </c>
      <c r="AQ1076" s="18">
        <f>SUMIF(Audit[[#This Row],[Difference Winner]:[Difference Candidate 12]], "&gt;0")</f>
        <v>0</v>
      </c>
      <c r="AR1076" s="18">
        <f>SUM(Audit[[#This Row],[Difference Winner]:[Difference Candidate 12]])</f>
        <v>0</v>
      </c>
      <c r="AS1076" s="18">
        <f>IF(Audit[[#This Row],[Times p Drawn - With Replacement]]&gt;0, IF(Audit[[#This Row],[Canceled Differences]]&lt;0, Audit[[#This Row],[Max Differences]]+ABS(Audit[[#This Row],[Canceled Differences]]), Audit[[#This Row],[Max Differences]]), 0)</f>
        <v>0</v>
      </c>
      <c r="AT1076" s="18">
        <f>'Sampling Data'!AB1076</f>
        <v>3.8634293432170115E-3</v>
      </c>
      <c r="AU1076" s="18">
        <f>IF(
      SUM(Audit[[#This Row],[Audit Losing Candidate]:[Audit Candidate 12]])
      &lt;&gt;0,
      (Audit[[#This Row],[Winning Candidate]]-Audit[[#This Row],[Losing Candidate]]-(Audit[[#This Row],[Audit Winning Candidate]]-Audit[[#This Row],[Audit Losing Candidate]]))/(Audit[[#Totals],[Winning Candidate]]-Audit[[#Totals],[Losing Candidate]]),
      0
)</f>
        <v>0</v>
      </c>
      <c r="AV107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8">
        <f>IF(Audit[[#This Row],[Max Relative Error (ep)]] = 0, 0, Audit[[#This Row],[Max Relative Error (ep)]]/Audit[[#This Row],[Error Bound (up) - Max. possible relative overstatement]])</f>
        <v>0</v>
      </c>
      <c r="BH107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6" s="18">
        <f t="shared" si="17"/>
        <v>1</v>
      </c>
      <c r="BJ1076" s="18">
        <f>PRODUCT($BI$5:BI1076)</f>
        <v>6.0944423859500517E-2</v>
      </c>
      <c r="BK1076" s="20">
        <f>1 - Audit[[#This Row],[K-M P Value]]</f>
        <v>0.9390555761404995</v>
      </c>
      <c r="BL1076" s="18" t="str">
        <f>IF(Audit[[#This Row],[K-M P Value]]&gt;1-'General Info'!$B$12,"Continue", "Stop")</f>
        <v>Stop</v>
      </c>
      <c r="BM1076" s="23" t="b">
        <f>IF(Audit[[#This Row],[Status - Continue or stop audit]] = "Continue", TRUE, IF(BL1075 = "Continue", TRUE, FALSE))</f>
        <v>0</v>
      </c>
      <c r="BN1076" s="23"/>
    </row>
    <row r="1077" spans="1:66" ht="15" hidden="1" customHeight="1" x14ac:dyDescent="0.35">
      <c r="A1077" s="18" t="str">
        <f>'Sampling Data'!AI1077</f>
        <v/>
      </c>
      <c r="B1077" s="18" t="str">
        <f>'Sampling Data'!A1077</f>
        <v>8708 SPFLD H   (ED)</v>
      </c>
      <c r="C1077" s="18">
        <f>'Sampling Data'!B1077</f>
        <v>108</v>
      </c>
      <c r="D1077" s="18">
        <f>'Sampling Data'!C1077</f>
        <v>12</v>
      </c>
      <c r="E1077" s="19">
        <f>'Sampling Data'!D1077</f>
        <v>0</v>
      </c>
      <c r="F1077" s="19">
        <f>'Sampling Data'!E1077</f>
        <v>0</v>
      </c>
      <c r="G1077" s="19">
        <f>'Sampling Data'!F1077</f>
        <v>0</v>
      </c>
      <c r="H1077" s="19">
        <f>'Sampling Data'!G1077</f>
        <v>0</v>
      </c>
      <c r="I1077" s="19">
        <f>'Sampling Data'!H1077</f>
        <v>0</v>
      </c>
      <c r="J1077" s="19">
        <f>'Sampling Data'!I1077</f>
        <v>0</v>
      </c>
      <c r="K1077" s="19">
        <f>'Sampling Data'!J1077</f>
        <v>0</v>
      </c>
      <c r="L1077" s="19">
        <f>'Sampling Data'!K1077</f>
        <v>0</v>
      </c>
      <c r="M1077" s="19">
        <f>'Sampling Data'!L1077</f>
        <v>0</v>
      </c>
      <c r="N1077" s="19">
        <f>'Sampling Data'!M1077</f>
        <v>0</v>
      </c>
      <c r="O1077" s="18">
        <f>'Sampling Data'!N1077</f>
        <v>0</v>
      </c>
      <c r="P1077" s="18">
        <f>'Sampling Data'!O1077</f>
        <v>4</v>
      </c>
      <c r="Q1077" s="18">
        <f>'Sampling Data'!P1077</f>
        <v>124</v>
      </c>
      <c r="R1077" s="18">
        <f>'Sampling Data'!AJ1077</f>
        <v>0</v>
      </c>
      <c r="S1077" s="112"/>
      <c r="T1077" s="112"/>
      <c r="U1077" s="113"/>
      <c r="V1077" s="113"/>
      <c r="W1077" s="112"/>
      <c r="X1077" s="112"/>
      <c r="Y1077" s="112"/>
      <c r="Z1077" s="112"/>
      <c r="AA1077" s="15"/>
      <c r="AB1077" s="15"/>
      <c r="AC1077" s="15"/>
      <c r="AD1077" s="15"/>
      <c r="AE1077" s="114" t="str">
        <f>IF(NOT(ISBLANK(Audit[[#This Row],[Audit Winning Candidate]])), Audit[[#This Row],[Audit Winning Candidate]]-Audit[[#This Row],[Winning Candidate]], "")</f>
        <v/>
      </c>
      <c r="AF1077" s="18" t="str">
        <f>IF(NOT(ISBLANK(Audit[[#This Row],[Audit Losing Candidate]])), Audit[[#This Row],[Audit Losing Candidate]]-Audit[[#This Row],[Losing Candidate]], "")</f>
        <v/>
      </c>
      <c r="AG1077" s="18" t="str">
        <f>IF(NOT(ISBLANK(Audit[[#This Row],[Audit Candidate 3]])), Audit[[#This Row],[Audit Candidate 3]]-Audit[[#This Row],[Candidate 3]], "")</f>
        <v/>
      </c>
      <c r="AH1077" s="18" t="str">
        <f>IF(NOT(ISBLANK(Audit[[#This Row],[Audit Candidate 4]])),Audit[[#This Row],[Audit Candidate 4]]-Audit[[#This Row],[Candidate 4]], "")</f>
        <v/>
      </c>
      <c r="AI1077" s="18" t="str">
        <f>IF(NOT(ISBLANK(Audit[[#This Row],[Audit Candidate 5]])), Audit[[#This Row],[Audit Candidate 5]]-Audit[[#This Row],[Candidate 5]], "")</f>
        <v/>
      </c>
      <c r="AJ1077" s="18" t="str">
        <f>IF(NOT(ISBLANK(Audit[[#This Row],[Audit Candidate 6]])), Audit[[#This Row],[Audit Candidate 6]]-Audit[[#This Row],[Candidate 6]], "")</f>
        <v/>
      </c>
      <c r="AK1077" s="18" t="str">
        <f>IF(NOT(ISBLANK(Audit[[#This Row],[Audit Candidate 7]])), Audit[[#This Row],[Audit Candidate 7]]-Audit[[#This Row],[Candidate 7]], "")</f>
        <v/>
      </c>
      <c r="AL1077" s="18" t="str">
        <f>IF(NOT(ISBLANK(Audit[[#This Row],[Audit Candidate 8]])), Audit[[#This Row],[Audit Candidate 8]]-Audit[[#This Row],[Candidate 8]], "")</f>
        <v/>
      </c>
      <c r="AM1077" s="18" t="str">
        <f>IF(NOT(ISBLANK(Audit[[#This Row],[Audit Candidate 9]])), Audit[[#This Row],[Audit Candidate 9]]-Audit[[#This Row],[Candidate 9]], "")</f>
        <v/>
      </c>
      <c r="AN1077" s="18" t="str">
        <f>IF(NOT(ISBLANK(Audit[[#This Row],[Audit Candidate 10]])), Audit[[#This Row],[Audit Candidate 10]]-Audit[[#This Row],[Candidate 10]], "")</f>
        <v/>
      </c>
      <c r="AO1077" s="18" t="str">
        <f>IF(NOT(ISBLANK(Audit[[#This Row],[Audit Candidate 11]])), Audit[[#This Row],[Audit Candidate 11]]-Audit[[#This Row],[Candidate 11]], "")</f>
        <v/>
      </c>
      <c r="AP1077" s="18" t="str">
        <f>IF(NOT(ISBLANK(Audit[[#This Row],[Audit Candidate 12]])), Audit[[#This Row],[Audit Candidate 12]]-Audit[[#This Row],[Candidate 12]], "")</f>
        <v/>
      </c>
      <c r="AQ1077" s="18">
        <f>SUMIF(Audit[[#This Row],[Difference Winner]:[Difference Candidate 12]], "&gt;0")</f>
        <v>0</v>
      </c>
      <c r="AR1077" s="18">
        <f>SUM(Audit[[#This Row],[Difference Winner]:[Difference Candidate 12]])</f>
        <v>0</v>
      </c>
      <c r="AS1077" s="18">
        <f>IF(Audit[[#This Row],[Times p Drawn - With Replacement]]&gt;0, IF(Audit[[#This Row],[Canceled Differences]]&lt;0, Audit[[#This Row],[Max Differences]]+ABS(Audit[[#This Row],[Canceled Differences]]), Audit[[#This Row],[Max Differences]]), 0)</f>
        <v>0</v>
      </c>
      <c r="AT1077" s="18">
        <f>'Sampling Data'!AB1077</f>
        <v>6.9101988252661993E-3</v>
      </c>
      <c r="AU1077" s="18">
        <f>IF(
      SUM(Audit[[#This Row],[Audit Losing Candidate]:[Audit Candidate 12]])
      &lt;&gt;0,
      (Audit[[#This Row],[Winning Candidate]]-Audit[[#This Row],[Losing Candidate]]-(Audit[[#This Row],[Audit Winning Candidate]]-Audit[[#This Row],[Audit Losing Candidate]]))/(Audit[[#Totals],[Winning Candidate]]-Audit[[#Totals],[Losing Candidate]]),
      0
)</f>
        <v>0</v>
      </c>
      <c r="AV107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8">
        <f>IF(Audit[[#This Row],[Max Relative Error (ep)]] = 0, 0, Audit[[#This Row],[Max Relative Error (ep)]]/Audit[[#This Row],[Error Bound (up) - Max. possible relative overstatement]])</f>
        <v>0</v>
      </c>
      <c r="BH107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7" s="18">
        <f t="shared" si="17"/>
        <v>1</v>
      </c>
      <c r="BJ1077" s="18">
        <f>PRODUCT($BI$5:BI1077)</f>
        <v>6.0944423859500517E-2</v>
      </c>
      <c r="BK1077" s="20">
        <f>1 - Audit[[#This Row],[K-M P Value]]</f>
        <v>0.9390555761404995</v>
      </c>
      <c r="BL1077" s="18" t="str">
        <f>IF(Audit[[#This Row],[K-M P Value]]&gt;1-'General Info'!$B$12,"Continue", "Stop")</f>
        <v>Stop</v>
      </c>
      <c r="BM1077" s="23" t="b">
        <f>IF(Audit[[#This Row],[Status - Continue or stop audit]] = "Continue", TRUE, IF(BL1076 = "Continue", TRUE, FALSE))</f>
        <v>0</v>
      </c>
      <c r="BN1077" s="23"/>
    </row>
    <row r="1078" spans="1:66" ht="15" hidden="1" customHeight="1" x14ac:dyDescent="0.35">
      <c r="A1078" s="18" t="str">
        <f>'Sampling Data'!AI1078</f>
        <v/>
      </c>
      <c r="B1078" s="18" t="str">
        <f>'Sampling Data'!A1078</f>
        <v>8709 SPFLD I   (ED)</v>
      </c>
      <c r="C1078" s="18">
        <f>'Sampling Data'!B1078</f>
        <v>23</v>
      </c>
      <c r="D1078" s="18">
        <f>'Sampling Data'!C1078</f>
        <v>3</v>
      </c>
      <c r="E1078" s="19">
        <f>'Sampling Data'!D1078</f>
        <v>0</v>
      </c>
      <c r="F1078" s="19">
        <f>'Sampling Data'!E1078</f>
        <v>0</v>
      </c>
      <c r="G1078" s="19">
        <f>'Sampling Data'!F1078</f>
        <v>0</v>
      </c>
      <c r="H1078" s="19">
        <f>'Sampling Data'!G1078</f>
        <v>0</v>
      </c>
      <c r="I1078" s="19">
        <f>'Sampling Data'!H1078</f>
        <v>0</v>
      </c>
      <c r="J1078" s="19">
        <f>'Sampling Data'!I1078</f>
        <v>0</v>
      </c>
      <c r="K1078" s="19">
        <f>'Sampling Data'!J1078</f>
        <v>0</v>
      </c>
      <c r="L1078" s="19">
        <f>'Sampling Data'!K1078</f>
        <v>0</v>
      </c>
      <c r="M1078" s="19">
        <f>'Sampling Data'!L1078</f>
        <v>0</v>
      </c>
      <c r="N1078" s="19">
        <f>'Sampling Data'!M1078</f>
        <v>0</v>
      </c>
      <c r="O1078" s="18">
        <f>'Sampling Data'!N1078</f>
        <v>0</v>
      </c>
      <c r="P1078" s="18">
        <f>'Sampling Data'!O1078</f>
        <v>1</v>
      </c>
      <c r="Q1078" s="18">
        <f>'Sampling Data'!P1078</f>
        <v>27</v>
      </c>
      <c r="R1078" s="18">
        <f>'Sampling Data'!AJ1078</f>
        <v>0</v>
      </c>
      <c r="S1078" s="112"/>
      <c r="T1078" s="112"/>
      <c r="U1078" s="113"/>
      <c r="V1078" s="113"/>
      <c r="W1078" s="112"/>
      <c r="X1078" s="112"/>
      <c r="Y1078" s="112"/>
      <c r="Z1078" s="112"/>
      <c r="AA1078" s="15"/>
      <c r="AB1078" s="15"/>
      <c r="AC1078" s="15"/>
      <c r="AD1078" s="15"/>
      <c r="AE1078" s="114" t="str">
        <f>IF(NOT(ISBLANK(Audit[[#This Row],[Audit Winning Candidate]])), Audit[[#This Row],[Audit Winning Candidate]]-Audit[[#This Row],[Winning Candidate]], "")</f>
        <v/>
      </c>
      <c r="AF1078" s="18" t="str">
        <f>IF(NOT(ISBLANK(Audit[[#This Row],[Audit Losing Candidate]])), Audit[[#This Row],[Audit Losing Candidate]]-Audit[[#This Row],[Losing Candidate]], "")</f>
        <v/>
      </c>
      <c r="AG1078" s="18" t="str">
        <f>IF(NOT(ISBLANK(Audit[[#This Row],[Audit Candidate 3]])), Audit[[#This Row],[Audit Candidate 3]]-Audit[[#This Row],[Candidate 3]], "")</f>
        <v/>
      </c>
      <c r="AH1078" s="18" t="str">
        <f>IF(NOT(ISBLANK(Audit[[#This Row],[Audit Candidate 4]])),Audit[[#This Row],[Audit Candidate 4]]-Audit[[#This Row],[Candidate 4]], "")</f>
        <v/>
      </c>
      <c r="AI1078" s="18" t="str">
        <f>IF(NOT(ISBLANK(Audit[[#This Row],[Audit Candidate 5]])), Audit[[#This Row],[Audit Candidate 5]]-Audit[[#This Row],[Candidate 5]], "")</f>
        <v/>
      </c>
      <c r="AJ1078" s="18" t="str">
        <f>IF(NOT(ISBLANK(Audit[[#This Row],[Audit Candidate 6]])), Audit[[#This Row],[Audit Candidate 6]]-Audit[[#This Row],[Candidate 6]], "")</f>
        <v/>
      </c>
      <c r="AK1078" s="18" t="str">
        <f>IF(NOT(ISBLANK(Audit[[#This Row],[Audit Candidate 7]])), Audit[[#This Row],[Audit Candidate 7]]-Audit[[#This Row],[Candidate 7]], "")</f>
        <v/>
      </c>
      <c r="AL1078" s="18" t="str">
        <f>IF(NOT(ISBLANK(Audit[[#This Row],[Audit Candidate 8]])), Audit[[#This Row],[Audit Candidate 8]]-Audit[[#This Row],[Candidate 8]], "")</f>
        <v/>
      </c>
      <c r="AM1078" s="18" t="str">
        <f>IF(NOT(ISBLANK(Audit[[#This Row],[Audit Candidate 9]])), Audit[[#This Row],[Audit Candidate 9]]-Audit[[#This Row],[Candidate 9]], "")</f>
        <v/>
      </c>
      <c r="AN1078" s="18" t="str">
        <f>IF(NOT(ISBLANK(Audit[[#This Row],[Audit Candidate 10]])), Audit[[#This Row],[Audit Candidate 10]]-Audit[[#This Row],[Candidate 10]], "")</f>
        <v/>
      </c>
      <c r="AO1078" s="18" t="str">
        <f>IF(NOT(ISBLANK(Audit[[#This Row],[Audit Candidate 11]])), Audit[[#This Row],[Audit Candidate 11]]-Audit[[#This Row],[Candidate 11]], "")</f>
        <v/>
      </c>
      <c r="AP1078" s="18" t="str">
        <f>IF(NOT(ISBLANK(Audit[[#This Row],[Audit Candidate 12]])), Audit[[#This Row],[Audit Candidate 12]]-Audit[[#This Row],[Candidate 12]], "")</f>
        <v/>
      </c>
      <c r="AQ1078" s="18">
        <f>SUMIF(Audit[[#This Row],[Difference Winner]:[Difference Candidate 12]], "&gt;0")</f>
        <v>0</v>
      </c>
      <c r="AR1078" s="18">
        <f>SUM(Audit[[#This Row],[Difference Winner]:[Difference Candidate 12]])</f>
        <v>0</v>
      </c>
      <c r="AS1078" s="18">
        <f>IF(Audit[[#This Row],[Times p Drawn - With Replacement]]&gt;0, IF(Audit[[#This Row],[Canceled Differences]]&lt;0, Audit[[#This Row],[Max Differences]]+ABS(Audit[[#This Row],[Canceled Differences]]), Audit[[#This Row],[Max Differences]]), 0)</f>
        <v>0</v>
      </c>
      <c r="AT1078" s="18">
        <f>'Sampling Data'!AB1078</f>
        <v>1.4762697490341428E-3</v>
      </c>
      <c r="AU1078" s="18">
        <f>IF(
      SUM(Audit[[#This Row],[Audit Losing Candidate]:[Audit Candidate 12]])
      &lt;&gt;0,
      (Audit[[#This Row],[Winning Candidate]]-Audit[[#This Row],[Losing Candidate]]-(Audit[[#This Row],[Audit Winning Candidate]]-Audit[[#This Row],[Audit Losing Candidate]]))/(Audit[[#Totals],[Winning Candidate]]-Audit[[#Totals],[Losing Candidate]]),
      0
)</f>
        <v>0</v>
      </c>
      <c r="AV107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8">
        <f>IF(Audit[[#This Row],[Max Relative Error (ep)]] = 0, 0, Audit[[#This Row],[Max Relative Error (ep)]]/Audit[[#This Row],[Error Bound (up) - Max. possible relative overstatement]])</f>
        <v>0</v>
      </c>
      <c r="BH107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8" s="18">
        <f t="shared" si="17"/>
        <v>1</v>
      </c>
      <c r="BJ1078" s="18">
        <f>PRODUCT($BI$5:BI1078)</f>
        <v>6.0944423859500517E-2</v>
      </c>
      <c r="BK1078" s="20">
        <f>1 - Audit[[#This Row],[K-M P Value]]</f>
        <v>0.9390555761404995</v>
      </c>
      <c r="BL1078" s="18" t="str">
        <f>IF(Audit[[#This Row],[K-M P Value]]&gt;1-'General Info'!$B$12,"Continue", "Stop")</f>
        <v>Stop</v>
      </c>
      <c r="BM1078" s="23" t="b">
        <f>IF(Audit[[#This Row],[Status - Continue or stop audit]] = "Continue", TRUE, IF(BL1077 = "Continue", TRUE, FALSE))</f>
        <v>0</v>
      </c>
      <c r="BN1078" s="23"/>
    </row>
    <row r="1079" spans="1:66" ht="15" hidden="1" customHeight="1" x14ac:dyDescent="0.35">
      <c r="A1079" s="18" t="str">
        <f>'Sampling Data'!AI1079</f>
        <v/>
      </c>
      <c r="B1079" s="18" t="str">
        <f>'Sampling Data'!A1079</f>
        <v>8710 SPFLD J   (ED)</v>
      </c>
      <c r="C1079" s="18">
        <f>'Sampling Data'!B1079</f>
        <v>43</v>
      </c>
      <c r="D1079" s="18">
        <f>'Sampling Data'!C1079</f>
        <v>3</v>
      </c>
      <c r="E1079" s="19">
        <f>'Sampling Data'!D1079</f>
        <v>0</v>
      </c>
      <c r="F1079" s="19">
        <f>'Sampling Data'!E1079</f>
        <v>0</v>
      </c>
      <c r="G1079" s="19">
        <f>'Sampling Data'!F1079</f>
        <v>0</v>
      </c>
      <c r="H1079" s="19">
        <f>'Sampling Data'!G1079</f>
        <v>0</v>
      </c>
      <c r="I1079" s="19">
        <f>'Sampling Data'!H1079</f>
        <v>0</v>
      </c>
      <c r="J1079" s="19">
        <f>'Sampling Data'!I1079</f>
        <v>0</v>
      </c>
      <c r="K1079" s="19">
        <f>'Sampling Data'!J1079</f>
        <v>0</v>
      </c>
      <c r="L1079" s="19">
        <f>'Sampling Data'!K1079</f>
        <v>0</v>
      </c>
      <c r="M1079" s="19">
        <f>'Sampling Data'!L1079</f>
        <v>0</v>
      </c>
      <c r="N1079" s="19">
        <f>'Sampling Data'!M1079</f>
        <v>0</v>
      </c>
      <c r="O1079" s="18">
        <f>'Sampling Data'!N1079</f>
        <v>0</v>
      </c>
      <c r="P1079" s="18">
        <f>'Sampling Data'!O1079</f>
        <v>0</v>
      </c>
      <c r="Q1079" s="18">
        <f>'Sampling Data'!P1079</f>
        <v>46</v>
      </c>
      <c r="R1079" s="18">
        <f>'Sampling Data'!AJ1079</f>
        <v>0</v>
      </c>
      <c r="S1079" s="112"/>
      <c r="T1079" s="112"/>
      <c r="U1079" s="113"/>
      <c r="V1079" s="113"/>
      <c r="W1079" s="112"/>
      <c r="X1079" s="112"/>
      <c r="Y1079" s="112"/>
      <c r="Z1079" s="112"/>
      <c r="AA1079" s="15"/>
      <c r="AB1079" s="15"/>
      <c r="AC1079" s="15"/>
      <c r="AD1079" s="15"/>
      <c r="AE1079" s="114" t="str">
        <f>IF(NOT(ISBLANK(Audit[[#This Row],[Audit Winning Candidate]])), Audit[[#This Row],[Audit Winning Candidate]]-Audit[[#This Row],[Winning Candidate]], "")</f>
        <v/>
      </c>
      <c r="AF1079" s="18" t="str">
        <f>IF(NOT(ISBLANK(Audit[[#This Row],[Audit Losing Candidate]])), Audit[[#This Row],[Audit Losing Candidate]]-Audit[[#This Row],[Losing Candidate]], "")</f>
        <v/>
      </c>
      <c r="AG1079" s="18" t="str">
        <f>IF(NOT(ISBLANK(Audit[[#This Row],[Audit Candidate 3]])), Audit[[#This Row],[Audit Candidate 3]]-Audit[[#This Row],[Candidate 3]], "")</f>
        <v/>
      </c>
      <c r="AH1079" s="18" t="str">
        <f>IF(NOT(ISBLANK(Audit[[#This Row],[Audit Candidate 4]])),Audit[[#This Row],[Audit Candidate 4]]-Audit[[#This Row],[Candidate 4]], "")</f>
        <v/>
      </c>
      <c r="AI1079" s="18" t="str">
        <f>IF(NOT(ISBLANK(Audit[[#This Row],[Audit Candidate 5]])), Audit[[#This Row],[Audit Candidate 5]]-Audit[[#This Row],[Candidate 5]], "")</f>
        <v/>
      </c>
      <c r="AJ1079" s="18" t="str">
        <f>IF(NOT(ISBLANK(Audit[[#This Row],[Audit Candidate 6]])), Audit[[#This Row],[Audit Candidate 6]]-Audit[[#This Row],[Candidate 6]], "")</f>
        <v/>
      </c>
      <c r="AK1079" s="18" t="str">
        <f>IF(NOT(ISBLANK(Audit[[#This Row],[Audit Candidate 7]])), Audit[[#This Row],[Audit Candidate 7]]-Audit[[#This Row],[Candidate 7]], "")</f>
        <v/>
      </c>
      <c r="AL1079" s="18" t="str">
        <f>IF(NOT(ISBLANK(Audit[[#This Row],[Audit Candidate 8]])), Audit[[#This Row],[Audit Candidate 8]]-Audit[[#This Row],[Candidate 8]], "")</f>
        <v/>
      </c>
      <c r="AM1079" s="18" t="str">
        <f>IF(NOT(ISBLANK(Audit[[#This Row],[Audit Candidate 9]])), Audit[[#This Row],[Audit Candidate 9]]-Audit[[#This Row],[Candidate 9]], "")</f>
        <v/>
      </c>
      <c r="AN1079" s="18" t="str">
        <f>IF(NOT(ISBLANK(Audit[[#This Row],[Audit Candidate 10]])), Audit[[#This Row],[Audit Candidate 10]]-Audit[[#This Row],[Candidate 10]], "")</f>
        <v/>
      </c>
      <c r="AO1079" s="18" t="str">
        <f>IF(NOT(ISBLANK(Audit[[#This Row],[Audit Candidate 11]])), Audit[[#This Row],[Audit Candidate 11]]-Audit[[#This Row],[Candidate 11]], "")</f>
        <v/>
      </c>
      <c r="AP1079" s="18" t="str">
        <f>IF(NOT(ISBLANK(Audit[[#This Row],[Audit Candidate 12]])), Audit[[#This Row],[Audit Candidate 12]]-Audit[[#This Row],[Candidate 12]], "")</f>
        <v/>
      </c>
      <c r="AQ1079" s="18">
        <f>SUMIF(Audit[[#This Row],[Difference Winner]:[Difference Candidate 12]], "&gt;0")</f>
        <v>0</v>
      </c>
      <c r="AR1079" s="18">
        <f>SUM(Audit[[#This Row],[Difference Winner]:[Difference Candidate 12]])</f>
        <v>0</v>
      </c>
      <c r="AS1079" s="18">
        <f>IF(Audit[[#This Row],[Times p Drawn - With Replacement]]&gt;0, IF(Audit[[#This Row],[Canceled Differences]]&lt;0, Audit[[#This Row],[Max Differences]]+ABS(Audit[[#This Row],[Canceled Differences]]), Audit[[#This Row],[Max Differences]]), 0)</f>
        <v>0</v>
      </c>
      <c r="AT1079" s="18">
        <f>'Sampling Data'!AB1079</f>
        <v>2.701259540785878E-3</v>
      </c>
      <c r="AU1079" s="18">
        <f>IF(
      SUM(Audit[[#This Row],[Audit Losing Candidate]:[Audit Candidate 12]])
      &lt;&gt;0,
      (Audit[[#This Row],[Winning Candidate]]-Audit[[#This Row],[Losing Candidate]]-(Audit[[#This Row],[Audit Winning Candidate]]-Audit[[#This Row],[Audit Losing Candidate]]))/(Audit[[#Totals],[Winning Candidate]]-Audit[[#Totals],[Losing Candidate]]),
      0
)</f>
        <v>0</v>
      </c>
      <c r="AV107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8">
        <f>IF(Audit[[#This Row],[Max Relative Error (ep)]] = 0, 0, Audit[[#This Row],[Max Relative Error (ep)]]/Audit[[#This Row],[Error Bound (up) - Max. possible relative overstatement]])</f>
        <v>0</v>
      </c>
      <c r="BH107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79" s="18">
        <f t="shared" si="17"/>
        <v>1</v>
      </c>
      <c r="BJ1079" s="18">
        <f>PRODUCT($BI$5:BI1079)</f>
        <v>6.0944423859500517E-2</v>
      </c>
      <c r="BK1079" s="20">
        <f>1 - Audit[[#This Row],[K-M P Value]]</f>
        <v>0.9390555761404995</v>
      </c>
      <c r="BL1079" s="18" t="str">
        <f>IF(Audit[[#This Row],[K-M P Value]]&gt;1-'General Info'!$B$12,"Continue", "Stop")</f>
        <v>Stop</v>
      </c>
      <c r="BM1079" s="23" t="b">
        <f>IF(Audit[[#This Row],[Status - Continue or stop audit]] = "Continue", TRUE, IF(BL1078 = "Continue", TRUE, FALSE))</f>
        <v>0</v>
      </c>
      <c r="BN1079" s="23"/>
    </row>
    <row r="1080" spans="1:66" ht="15" hidden="1" customHeight="1" x14ac:dyDescent="0.35">
      <c r="A1080" s="18" t="str">
        <f>'Sampling Data'!AI1080</f>
        <v/>
      </c>
      <c r="B1080" s="18" t="str">
        <f>'Sampling Data'!A1080</f>
        <v>8711 SPFLD K   (ED)</v>
      </c>
      <c r="C1080" s="18">
        <f>'Sampling Data'!B1080</f>
        <v>10</v>
      </c>
      <c r="D1080" s="18">
        <f>'Sampling Data'!C1080</f>
        <v>2</v>
      </c>
      <c r="E1080" s="19">
        <f>'Sampling Data'!D1080</f>
        <v>0</v>
      </c>
      <c r="F1080" s="19">
        <f>'Sampling Data'!E1080</f>
        <v>0</v>
      </c>
      <c r="G1080" s="19">
        <f>'Sampling Data'!F1080</f>
        <v>0</v>
      </c>
      <c r="H1080" s="19">
        <f>'Sampling Data'!G1080</f>
        <v>0</v>
      </c>
      <c r="I1080" s="19">
        <f>'Sampling Data'!H1080</f>
        <v>0</v>
      </c>
      <c r="J1080" s="19">
        <f>'Sampling Data'!I1080</f>
        <v>0</v>
      </c>
      <c r="K1080" s="19">
        <f>'Sampling Data'!J1080</f>
        <v>0</v>
      </c>
      <c r="L1080" s="19">
        <f>'Sampling Data'!K1080</f>
        <v>0</v>
      </c>
      <c r="M1080" s="19">
        <f>'Sampling Data'!L1080</f>
        <v>0</v>
      </c>
      <c r="N1080" s="19">
        <f>'Sampling Data'!M1080</f>
        <v>0</v>
      </c>
      <c r="O1080" s="18">
        <f>'Sampling Data'!N1080</f>
        <v>0</v>
      </c>
      <c r="P1080" s="18">
        <f>'Sampling Data'!O1080</f>
        <v>1</v>
      </c>
      <c r="Q1080" s="18">
        <f>'Sampling Data'!P1080</f>
        <v>13</v>
      </c>
      <c r="R1080" s="18">
        <f>'Sampling Data'!AJ1080</f>
        <v>0</v>
      </c>
      <c r="S1080" s="112"/>
      <c r="T1080" s="112"/>
      <c r="U1080" s="113"/>
      <c r="V1080" s="113"/>
      <c r="W1080" s="112"/>
      <c r="X1080" s="112"/>
      <c r="Y1080" s="112"/>
      <c r="Z1080" s="112"/>
      <c r="AA1080" s="15"/>
      <c r="AB1080" s="15"/>
      <c r="AC1080" s="15"/>
      <c r="AD1080" s="15"/>
      <c r="AE1080" s="114" t="str">
        <f>IF(NOT(ISBLANK(Audit[[#This Row],[Audit Winning Candidate]])), Audit[[#This Row],[Audit Winning Candidate]]-Audit[[#This Row],[Winning Candidate]], "")</f>
        <v/>
      </c>
      <c r="AF1080" s="18" t="str">
        <f>IF(NOT(ISBLANK(Audit[[#This Row],[Audit Losing Candidate]])), Audit[[#This Row],[Audit Losing Candidate]]-Audit[[#This Row],[Losing Candidate]], "")</f>
        <v/>
      </c>
      <c r="AG1080" s="18" t="str">
        <f>IF(NOT(ISBLANK(Audit[[#This Row],[Audit Candidate 3]])), Audit[[#This Row],[Audit Candidate 3]]-Audit[[#This Row],[Candidate 3]], "")</f>
        <v/>
      </c>
      <c r="AH1080" s="18" t="str">
        <f>IF(NOT(ISBLANK(Audit[[#This Row],[Audit Candidate 4]])),Audit[[#This Row],[Audit Candidate 4]]-Audit[[#This Row],[Candidate 4]], "")</f>
        <v/>
      </c>
      <c r="AI1080" s="18" t="str">
        <f>IF(NOT(ISBLANK(Audit[[#This Row],[Audit Candidate 5]])), Audit[[#This Row],[Audit Candidate 5]]-Audit[[#This Row],[Candidate 5]], "")</f>
        <v/>
      </c>
      <c r="AJ1080" s="18" t="str">
        <f>IF(NOT(ISBLANK(Audit[[#This Row],[Audit Candidate 6]])), Audit[[#This Row],[Audit Candidate 6]]-Audit[[#This Row],[Candidate 6]], "")</f>
        <v/>
      </c>
      <c r="AK1080" s="18" t="str">
        <f>IF(NOT(ISBLANK(Audit[[#This Row],[Audit Candidate 7]])), Audit[[#This Row],[Audit Candidate 7]]-Audit[[#This Row],[Candidate 7]], "")</f>
        <v/>
      </c>
      <c r="AL1080" s="18" t="str">
        <f>IF(NOT(ISBLANK(Audit[[#This Row],[Audit Candidate 8]])), Audit[[#This Row],[Audit Candidate 8]]-Audit[[#This Row],[Candidate 8]], "")</f>
        <v/>
      </c>
      <c r="AM1080" s="18" t="str">
        <f>IF(NOT(ISBLANK(Audit[[#This Row],[Audit Candidate 9]])), Audit[[#This Row],[Audit Candidate 9]]-Audit[[#This Row],[Candidate 9]], "")</f>
        <v/>
      </c>
      <c r="AN1080" s="18" t="str">
        <f>IF(NOT(ISBLANK(Audit[[#This Row],[Audit Candidate 10]])), Audit[[#This Row],[Audit Candidate 10]]-Audit[[#This Row],[Candidate 10]], "")</f>
        <v/>
      </c>
      <c r="AO1080" s="18" t="str">
        <f>IF(NOT(ISBLANK(Audit[[#This Row],[Audit Candidate 11]])), Audit[[#This Row],[Audit Candidate 11]]-Audit[[#This Row],[Candidate 11]], "")</f>
        <v/>
      </c>
      <c r="AP1080" s="18" t="str">
        <f>IF(NOT(ISBLANK(Audit[[#This Row],[Audit Candidate 12]])), Audit[[#This Row],[Audit Candidate 12]]-Audit[[#This Row],[Candidate 12]], "")</f>
        <v/>
      </c>
      <c r="AQ1080" s="18">
        <f>SUMIF(Audit[[#This Row],[Difference Winner]:[Difference Candidate 12]], "&gt;0")</f>
        <v>0</v>
      </c>
      <c r="AR1080" s="18">
        <f>SUM(Audit[[#This Row],[Difference Winner]:[Difference Candidate 12]])</f>
        <v>0</v>
      </c>
      <c r="AS1080" s="18">
        <f>IF(Audit[[#This Row],[Times p Drawn - With Replacement]]&gt;0, IF(Audit[[#This Row],[Canceled Differences]]&lt;0, Audit[[#This Row],[Max Differences]]+ABS(Audit[[#This Row],[Canceled Differences]]), Audit[[#This Row],[Max Differences]]), 0)</f>
        <v>0</v>
      </c>
      <c r="AT1080" s="18">
        <f>'Sampling Data'!AB1080</f>
        <v>6.5960988786631911E-4</v>
      </c>
      <c r="AU1080" s="18">
        <f>IF(
      SUM(Audit[[#This Row],[Audit Losing Candidate]:[Audit Candidate 12]])
      &lt;&gt;0,
      (Audit[[#This Row],[Winning Candidate]]-Audit[[#This Row],[Losing Candidate]]-(Audit[[#This Row],[Audit Winning Candidate]]-Audit[[#This Row],[Audit Losing Candidate]]))/(Audit[[#Totals],[Winning Candidate]]-Audit[[#Totals],[Losing Candidate]]),
      0
)</f>
        <v>0</v>
      </c>
      <c r="AV108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8">
        <f>IF(Audit[[#This Row],[Max Relative Error (ep)]] = 0, 0, Audit[[#This Row],[Max Relative Error (ep)]]/Audit[[#This Row],[Error Bound (up) - Max. possible relative overstatement]])</f>
        <v>0</v>
      </c>
      <c r="BH108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0" s="18">
        <f t="shared" si="17"/>
        <v>1</v>
      </c>
      <c r="BJ1080" s="18">
        <f>PRODUCT($BI$5:BI1080)</f>
        <v>6.0944423859500517E-2</v>
      </c>
      <c r="BK1080" s="20">
        <f>1 - Audit[[#This Row],[K-M P Value]]</f>
        <v>0.9390555761404995</v>
      </c>
      <c r="BL1080" s="18" t="str">
        <f>IF(Audit[[#This Row],[K-M P Value]]&gt;1-'General Info'!$B$12,"Continue", "Stop")</f>
        <v>Stop</v>
      </c>
      <c r="BM1080" s="23" t="b">
        <f>IF(Audit[[#This Row],[Status - Continue or stop audit]] = "Continue", TRUE, IF(BL1079 = "Continue", TRUE, FALSE))</f>
        <v>0</v>
      </c>
      <c r="BN1080" s="23"/>
    </row>
    <row r="1081" spans="1:66" ht="15" hidden="1" customHeight="1" x14ac:dyDescent="0.35">
      <c r="A1081" s="18" t="str">
        <f>'Sampling Data'!AI1081</f>
        <v/>
      </c>
      <c r="B1081" s="18" t="str">
        <f>'Sampling Data'!A1081</f>
        <v>8712 SPFLD L   (ED)</v>
      </c>
      <c r="C1081" s="18">
        <f>'Sampling Data'!B1081</f>
        <v>0</v>
      </c>
      <c r="D1081" s="18">
        <f>'Sampling Data'!C1081</f>
        <v>0</v>
      </c>
      <c r="E1081" s="19">
        <f>'Sampling Data'!D1081</f>
        <v>0</v>
      </c>
      <c r="F1081" s="19">
        <f>'Sampling Data'!E1081</f>
        <v>0</v>
      </c>
      <c r="G1081" s="19">
        <f>'Sampling Data'!F1081</f>
        <v>0</v>
      </c>
      <c r="H1081" s="19">
        <f>'Sampling Data'!G1081</f>
        <v>0</v>
      </c>
      <c r="I1081" s="19">
        <f>'Sampling Data'!H1081</f>
        <v>0</v>
      </c>
      <c r="J1081" s="19">
        <f>'Sampling Data'!I1081</f>
        <v>0</v>
      </c>
      <c r="K1081" s="19">
        <f>'Sampling Data'!J1081</f>
        <v>0</v>
      </c>
      <c r="L1081" s="19">
        <f>'Sampling Data'!K1081</f>
        <v>0</v>
      </c>
      <c r="M1081" s="19">
        <f>'Sampling Data'!L1081</f>
        <v>0</v>
      </c>
      <c r="N1081" s="19">
        <f>'Sampling Data'!M1081</f>
        <v>0</v>
      </c>
      <c r="O1081" s="18">
        <f>'Sampling Data'!N1081</f>
        <v>0</v>
      </c>
      <c r="P1081" s="18">
        <f>'Sampling Data'!O1081</f>
        <v>0</v>
      </c>
      <c r="Q1081" s="18">
        <f>'Sampling Data'!P1081</f>
        <v>0</v>
      </c>
      <c r="R1081" s="18">
        <f>'Sampling Data'!AJ1081</f>
        <v>0</v>
      </c>
      <c r="S1081" s="112"/>
      <c r="T1081" s="112"/>
      <c r="U1081" s="113"/>
      <c r="V1081" s="113"/>
      <c r="W1081" s="112"/>
      <c r="X1081" s="112"/>
      <c r="Y1081" s="112"/>
      <c r="Z1081" s="112"/>
      <c r="AA1081" s="15"/>
      <c r="AB1081" s="15"/>
      <c r="AC1081" s="15"/>
      <c r="AD1081" s="15"/>
      <c r="AE1081" s="114" t="str">
        <f>IF(NOT(ISBLANK(Audit[[#This Row],[Audit Winning Candidate]])), Audit[[#This Row],[Audit Winning Candidate]]-Audit[[#This Row],[Winning Candidate]], "")</f>
        <v/>
      </c>
      <c r="AF1081" s="18" t="str">
        <f>IF(NOT(ISBLANK(Audit[[#This Row],[Audit Losing Candidate]])), Audit[[#This Row],[Audit Losing Candidate]]-Audit[[#This Row],[Losing Candidate]], "")</f>
        <v/>
      </c>
      <c r="AG1081" s="18" t="str">
        <f>IF(NOT(ISBLANK(Audit[[#This Row],[Audit Candidate 3]])), Audit[[#This Row],[Audit Candidate 3]]-Audit[[#This Row],[Candidate 3]], "")</f>
        <v/>
      </c>
      <c r="AH1081" s="18" t="str">
        <f>IF(NOT(ISBLANK(Audit[[#This Row],[Audit Candidate 4]])),Audit[[#This Row],[Audit Candidate 4]]-Audit[[#This Row],[Candidate 4]], "")</f>
        <v/>
      </c>
      <c r="AI1081" s="18" t="str">
        <f>IF(NOT(ISBLANK(Audit[[#This Row],[Audit Candidate 5]])), Audit[[#This Row],[Audit Candidate 5]]-Audit[[#This Row],[Candidate 5]], "")</f>
        <v/>
      </c>
      <c r="AJ1081" s="18" t="str">
        <f>IF(NOT(ISBLANK(Audit[[#This Row],[Audit Candidate 6]])), Audit[[#This Row],[Audit Candidate 6]]-Audit[[#This Row],[Candidate 6]], "")</f>
        <v/>
      </c>
      <c r="AK1081" s="18" t="str">
        <f>IF(NOT(ISBLANK(Audit[[#This Row],[Audit Candidate 7]])), Audit[[#This Row],[Audit Candidate 7]]-Audit[[#This Row],[Candidate 7]], "")</f>
        <v/>
      </c>
      <c r="AL1081" s="18" t="str">
        <f>IF(NOT(ISBLANK(Audit[[#This Row],[Audit Candidate 8]])), Audit[[#This Row],[Audit Candidate 8]]-Audit[[#This Row],[Candidate 8]], "")</f>
        <v/>
      </c>
      <c r="AM1081" s="18" t="str">
        <f>IF(NOT(ISBLANK(Audit[[#This Row],[Audit Candidate 9]])), Audit[[#This Row],[Audit Candidate 9]]-Audit[[#This Row],[Candidate 9]], "")</f>
        <v/>
      </c>
      <c r="AN1081" s="18" t="str">
        <f>IF(NOT(ISBLANK(Audit[[#This Row],[Audit Candidate 10]])), Audit[[#This Row],[Audit Candidate 10]]-Audit[[#This Row],[Candidate 10]], "")</f>
        <v/>
      </c>
      <c r="AO1081" s="18" t="str">
        <f>IF(NOT(ISBLANK(Audit[[#This Row],[Audit Candidate 11]])), Audit[[#This Row],[Audit Candidate 11]]-Audit[[#This Row],[Candidate 11]], "")</f>
        <v/>
      </c>
      <c r="AP1081" s="18" t="str">
        <f>IF(NOT(ISBLANK(Audit[[#This Row],[Audit Candidate 12]])), Audit[[#This Row],[Audit Candidate 12]]-Audit[[#This Row],[Candidate 12]], "")</f>
        <v/>
      </c>
      <c r="AQ1081" s="18">
        <f>SUMIF(Audit[[#This Row],[Difference Winner]:[Difference Candidate 12]], "&gt;0")</f>
        <v>0</v>
      </c>
      <c r="AR1081" s="18">
        <f>SUM(Audit[[#This Row],[Difference Winner]:[Difference Candidate 12]])</f>
        <v>0</v>
      </c>
      <c r="AS1081" s="18">
        <f>IF(Audit[[#This Row],[Times p Drawn - With Replacement]]&gt;0, IF(Audit[[#This Row],[Canceled Differences]]&lt;0, Audit[[#This Row],[Max Differences]]+ABS(Audit[[#This Row],[Canceled Differences]]), Audit[[#This Row],[Max Differences]]), 0)</f>
        <v>0</v>
      </c>
      <c r="AT1081" s="18">
        <f>'Sampling Data'!AB1081</f>
        <v>0</v>
      </c>
      <c r="AU1081" s="18">
        <f>IF(
      SUM(Audit[[#This Row],[Audit Losing Candidate]:[Audit Candidate 12]])
      &lt;&gt;0,
      (Audit[[#This Row],[Winning Candidate]]-Audit[[#This Row],[Losing Candidate]]-(Audit[[#This Row],[Audit Winning Candidate]]-Audit[[#This Row],[Audit Losing Candidate]]))/(Audit[[#Totals],[Winning Candidate]]-Audit[[#Totals],[Losing Candidate]]),
      0
)</f>
        <v>0</v>
      </c>
      <c r="AV108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8">
        <f>IF(Audit[[#This Row],[Max Relative Error (ep)]] = 0, 0, Audit[[#This Row],[Max Relative Error (ep)]]/Audit[[#This Row],[Error Bound (up) - Max. possible relative overstatement]])</f>
        <v>0</v>
      </c>
      <c r="BH108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1" s="18">
        <f t="shared" si="17"/>
        <v>1</v>
      </c>
      <c r="BJ1081" s="18">
        <f>PRODUCT($BI$5:BI1081)</f>
        <v>6.0944423859500517E-2</v>
      </c>
      <c r="BK1081" s="20">
        <f>1 - Audit[[#This Row],[K-M P Value]]</f>
        <v>0.9390555761404995</v>
      </c>
      <c r="BL1081" s="18" t="str">
        <f>IF(Audit[[#This Row],[K-M P Value]]&gt;1-'General Info'!$B$12,"Continue", "Stop")</f>
        <v>Stop</v>
      </c>
      <c r="BM1081" s="23" t="b">
        <f>IF(Audit[[#This Row],[Status - Continue or stop audit]] = "Continue", TRUE, IF(BL1080 = "Continue", TRUE, FALSE))</f>
        <v>0</v>
      </c>
      <c r="BN1081" s="23"/>
    </row>
    <row r="1082" spans="1:66" ht="15" hidden="1" customHeight="1" x14ac:dyDescent="0.35">
      <c r="A1082" s="18" t="str">
        <f>'Sampling Data'!AI1082</f>
        <v/>
      </c>
      <c r="B1082" s="18" t="str">
        <f>'Sampling Data'!A1082</f>
        <v>8713 SPFLD M   (ED)</v>
      </c>
      <c r="C1082" s="18">
        <f>'Sampling Data'!B1082</f>
        <v>84</v>
      </c>
      <c r="D1082" s="18">
        <f>'Sampling Data'!C1082</f>
        <v>19</v>
      </c>
      <c r="E1082" s="19">
        <f>'Sampling Data'!D1082</f>
        <v>0</v>
      </c>
      <c r="F1082" s="19">
        <f>'Sampling Data'!E1082</f>
        <v>0</v>
      </c>
      <c r="G1082" s="19">
        <f>'Sampling Data'!F1082</f>
        <v>0</v>
      </c>
      <c r="H1082" s="19">
        <f>'Sampling Data'!G1082</f>
        <v>0</v>
      </c>
      <c r="I1082" s="19">
        <f>'Sampling Data'!H1082</f>
        <v>0</v>
      </c>
      <c r="J1082" s="19">
        <f>'Sampling Data'!I1082</f>
        <v>0</v>
      </c>
      <c r="K1082" s="19">
        <f>'Sampling Data'!J1082</f>
        <v>0</v>
      </c>
      <c r="L1082" s="19">
        <f>'Sampling Data'!K1082</f>
        <v>0</v>
      </c>
      <c r="M1082" s="19">
        <f>'Sampling Data'!L1082</f>
        <v>0</v>
      </c>
      <c r="N1082" s="19">
        <f>'Sampling Data'!M1082</f>
        <v>0</v>
      </c>
      <c r="O1082" s="18">
        <f>'Sampling Data'!N1082</f>
        <v>0</v>
      </c>
      <c r="P1082" s="18">
        <f>'Sampling Data'!O1082</f>
        <v>1</v>
      </c>
      <c r="Q1082" s="18">
        <f>'Sampling Data'!P1082</f>
        <v>104</v>
      </c>
      <c r="R1082" s="18">
        <f>'Sampling Data'!AJ1082</f>
        <v>0</v>
      </c>
      <c r="S1082" s="112"/>
      <c r="T1082" s="112"/>
      <c r="U1082" s="113"/>
      <c r="V1082" s="113"/>
      <c r="W1082" s="112"/>
      <c r="X1082" s="112"/>
      <c r="Y1082" s="112"/>
      <c r="Z1082" s="112"/>
      <c r="AA1082" s="15"/>
      <c r="AB1082" s="15"/>
      <c r="AC1082" s="15"/>
      <c r="AD1082" s="15"/>
      <c r="AE1082" s="114" t="str">
        <f>IF(NOT(ISBLANK(Audit[[#This Row],[Audit Winning Candidate]])), Audit[[#This Row],[Audit Winning Candidate]]-Audit[[#This Row],[Winning Candidate]], "")</f>
        <v/>
      </c>
      <c r="AF1082" s="18" t="str">
        <f>IF(NOT(ISBLANK(Audit[[#This Row],[Audit Losing Candidate]])), Audit[[#This Row],[Audit Losing Candidate]]-Audit[[#This Row],[Losing Candidate]], "")</f>
        <v/>
      </c>
      <c r="AG1082" s="18" t="str">
        <f>IF(NOT(ISBLANK(Audit[[#This Row],[Audit Candidate 3]])), Audit[[#This Row],[Audit Candidate 3]]-Audit[[#This Row],[Candidate 3]], "")</f>
        <v/>
      </c>
      <c r="AH1082" s="18" t="str">
        <f>IF(NOT(ISBLANK(Audit[[#This Row],[Audit Candidate 4]])),Audit[[#This Row],[Audit Candidate 4]]-Audit[[#This Row],[Candidate 4]], "")</f>
        <v/>
      </c>
      <c r="AI1082" s="18" t="str">
        <f>IF(NOT(ISBLANK(Audit[[#This Row],[Audit Candidate 5]])), Audit[[#This Row],[Audit Candidate 5]]-Audit[[#This Row],[Candidate 5]], "")</f>
        <v/>
      </c>
      <c r="AJ1082" s="18" t="str">
        <f>IF(NOT(ISBLANK(Audit[[#This Row],[Audit Candidate 6]])), Audit[[#This Row],[Audit Candidate 6]]-Audit[[#This Row],[Candidate 6]], "")</f>
        <v/>
      </c>
      <c r="AK1082" s="18" t="str">
        <f>IF(NOT(ISBLANK(Audit[[#This Row],[Audit Candidate 7]])), Audit[[#This Row],[Audit Candidate 7]]-Audit[[#This Row],[Candidate 7]], "")</f>
        <v/>
      </c>
      <c r="AL1082" s="18" t="str">
        <f>IF(NOT(ISBLANK(Audit[[#This Row],[Audit Candidate 8]])), Audit[[#This Row],[Audit Candidate 8]]-Audit[[#This Row],[Candidate 8]], "")</f>
        <v/>
      </c>
      <c r="AM1082" s="18" t="str">
        <f>IF(NOT(ISBLANK(Audit[[#This Row],[Audit Candidate 9]])), Audit[[#This Row],[Audit Candidate 9]]-Audit[[#This Row],[Candidate 9]], "")</f>
        <v/>
      </c>
      <c r="AN1082" s="18" t="str">
        <f>IF(NOT(ISBLANK(Audit[[#This Row],[Audit Candidate 10]])), Audit[[#This Row],[Audit Candidate 10]]-Audit[[#This Row],[Candidate 10]], "")</f>
        <v/>
      </c>
      <c r="AO1082" s="18" t="str">
        <f>IF(NOT(ISBLANK(Audit[[#This Row],[Audit Candidate 11]])), Audit[[#This Row],[Audit Candidate 11]]-Audit[[#This Row],[Candidate 11]], "")</f>
        <v/>
      </c>
      <c r="AP1082" s="18" t="str">
        <f>IF(NOT(ISBLANK(Audit[[#This Row],[Audit Candidate 12]])), Audit[[#This Row],[Audit Candidate 12]]-Audit[[#This Row],[Candidate 12]], "")</f>
        <v/>
      </c>
      <c r="AQ1082" s="18">
        <f>SUMIF(Audit[[#This Row],[Difference Winner]:[Difference Candidate 12]], "&gt;0")</f>
        <v>0</v>
      </c>
      <c r="AR1082" s="18">
        <f>SUM(Audit[[#This Row],[Difference Winner]:[Difference Candidate 12]])</f>
        <v>0</v>
      </c>
      <c r="AS1082" s="18">
        <f>IF(Audit[[#This Row],[Times p Drawn - With Replacement]]&gt;0, IF(Audit[[#This Row],[Canceled Differences]]&lt;0, Audit[[#This Row],[Max Differences]]+ABS(Audit[[#This Row],[Canceled Differences]]), Audit[[#This Row],[Max Differences]]), 0)</f>
        <v>0</v>
      </c>
      <c r="AT1082" s="18">
        <f>'Sampling Data'!AB1082</f>
        <v>5.3082890975908537E-3</v>
      </c>
      <c r="AU1082" s="18">
        <f>IF(
      SUM(Audit[[#This Row],[Audit Losing Candidate]:[Audit Candidate 12]])
      &lt;&gt;0,
      (Audit[[#This Row],[Winning Candidate]]-Audit[[#This Row],[Losing Candidate]]-(Audit[[#This Row],[Audit Winning Candidate]]-Audit[[#This Row],[Audit Losing Candidate]]))/(Audit[[#Totals],[Winning Candidate]]-Audit[[#Totals],[Losing Candidate]]),
      0
)</f>
        <v>0</v>
      </c>
      <c r="AV108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8">
        <f>IF(Audit[[#This Row],[Max Relative Error (ep)]] = 0, 0, Audit[[#This Row],[Max Relative Error (ep)]]/Audit[[#This Row],[Error Bound (up) - Max. possible relative overstatement]])</f>
        <v>0</v>
      </c>
      <c r="BH108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2" s="18">
        <f t="shared" si="17"/>
        <v>1</v>
      </c>
      <c r="BJ1082" s="18">
        <f>PRODUCT($BI$5:BI1082)</f>
        <v>6.0944423859500517E-2</v>
      </c>
      <c r="BK1082" s="20">
        <f>1 - Audit[[#This Row],[K-M P Value]]</f>
        <v>0.9390555761404995</v>
      </c>
      <c r="BL1082" s="18" t="str">
        <f>IF(Audit[[#This Row],[K-M P Value]]&gt;1-'General Info'!$B$12,"Continue", "Stop")</f>
        <v>Stop</v>
      </c>
      <c r="BM1082" s="23" t="b">
        <f>IF(Audit[[#This Row],[Status - Continue or stop audit]] = "Continue", TRUE, IF(BL1081 = "Continue", TRUE, FALSE))</f>
        <v>0</v>
      </c>
      <c r="BN1082" s="23"/>
    </row>
    <row r="1083" spans="1:66" ht="15" hidden="1" customHeight="1" x14ac:dyDescent="0.35">
      <c r="A1083" s="18" t="str">
        <f>'Sampling Data'!AI1083</f>
        <v/>
      </c>
      <c r="B1083" s="18" t="str">
        <f>'Sampling Data'!A1083</f>
        <v>8714 SPFLD N   (ED)</v>
      </c>
      <c r="C1083" s="18">
        <f>'Sampling Data'!B1083</f>
        <v>52</v>
      </c>
      <c r="D1083" s="18">
        <f>'Sampling Data'!C1083</f>
        <v>17</v>
      </c>
      <c r="E1083" s="19">
        <f>'Sampling Data'!D1083</f>
        <v>0</v>
      </c>
      <c r="F1083" s="19">
        <f>'Sampling Data'!E1083</f>
        <v>0</v>
      </c>
      <c r="G1083" s="19">
        <f>'Sampling Data'!F1083</f>
        <v>0</v>
      </c>
      <c r="H1083" s="19">
        <f>'Sampling Data'!G1083</f>
        <v>0</v>
      </c>
      <c r="I1083" s="19">
        <f>'Sampling Data'!H1083</f>
        <v>0</v>
      </c>
      <c r="J1083" s="19">
        <f>'Sampling Data'!I1083</f>
        <v>0</v>
      </c>
      <c r="K1083" s="19">
        <f>'Sampling Data'!J1083</f>
        <v>0</v>
      </c>
      <c r="L1083" s="19">
        <f>'Sampling Data'!K1083</f>
        <v>0</v>
      </c>
      <c r="M1083" s="19">
        <f>'Sampling Data'!L1083</f>
        <v>0</v>
      </c>
      <c r="N1083" s="19">
        <f>'Sampling Data'!M1083</f>
        <v>0</v>
      </c>
      <c r="O1083" s="18">
        <f>'Sampling Data'!N1083</f>
        <v>0</v>
      </c>
      <c r="P1083" s="18">
        <f>'Sampling Data'!O1083</f>
        <v>1</v>
      </c>
      <c r="Q1083" s="18">
        <f>'Sampling Data'!P1083</f>
        <v>70</v>
      </c>
      <c r="R1083" s="18">
        <f>'Sampling Data'!AJ1083</f>
        <v>0</v>
      </c>
      <c r="S1083" s="112"/>
      <c r="T1083" s="112"/>
      <c r="U1083" s="113"/>
      <c r="V1083" s="113"/>
      <c r="W1083" s="112"/>
      <c r="X1083" s="112"/>
      <c r="Y1083" s="112"/>
      <c r="Z1083" s="112"/>
      <c r="AA1083" s="15"/>
      <c r="AB1083" s="15"/>
      <c r="AC1083" s="15"/>
      <c r="AD1083" s="15"/>
      <c r="AE1083" s="114" t="str">
        <f>IF(NOT(ISBLANK(Audit[[#This Row],[Audit Winning Candidate]])), Audit[[#This Row],[Audit Winning Candidate]]-Audit[[#This Row],[Winning Candidate]], "")</f>
        <v/>
      </c>
      <c r="AF1083" s="18" t="str">
        <f>IF(NOT(ISBLANK(Audit[[#This Row],[Audit Losing Candidate]])), Audit[[#This Row],[Audit Losing Candidate]]-Audit[[#This Row],[Losing Candidate]], "")</f>
        <v/>
      </c>
      <c r="AG1083" s="18" t="str">
        <f>IF(NOT(ISBLANK(Audit[[#This Row],[Audit Candidate 3]])), Audit[[#This Row],[Audit Candidate 3]]-Audit[[#This Row],[Candidate 3]], "")</f>
        <v/>
      </c>
      <c r="AH1083" s="18" t="str">
        <f>IF(NOT(ISBLANK(Audit[[#This Row],[Audit Candidate 4]])),Audit[[#This Row],[Audit Candidate 4]]-Audit[[#This Row],[Candidate 4]], "")</f>
        <v/>
      </c>
      <c r="AI1083" s="18" t="str">
        <f>IF(NOT(ISBLANK(Audit[[#This Row],[Audit Candidate 5]])), Audit[[#This Row],[Audit Candidate 5]]-Audit[[#This Row],[Candidate 5]], "")</f>
        <v/>
      </c>
      <c r="AJ1083" s="18" t="str">
        <f>IF(NOT(ISBLANK(Audit[[#This Row],[Audit Candidate 6]])), Audit[[#This Row],[Audit Candidate 6]]-Audit[[#This Row],[Candidate 6]], "")</f>
        <v/>
      </c>
      <c r="AK1083" s="18" t="str">
        <f>IF(NOT(ISBLANK(Audit[[#This Row],[Audit Candidate 7]])), Audit[[#This Row],[Audit Candidate 7]]-Audit[[#This Row],[Candidate 7]], "")</f>
        <v/>
      </c>
      <c r="AL1083" s="18" t="str">
        <f>IF(NOT(ISBLANK(Audit[[#This Row],[Audit Candidate 8]])), Audit[[#This Row],[Audit Candidate 8]]-Audit[[#This Row],[Candidate 8]], "")</f>
        <v/>
      </c>
      <c r="AM1083" s="18" t="str">
        <f>IF(NOT(ISBLANK(Audit[[#This Row],[Audit Candidate 9]])), Audit[[#This Row],[Audit Candidate 9]]-Audit[[#This Row],[Candidate 9]], "")</f>
        <v/>
      </c>
      <c r="AN1083" s="18" t="str">
        <f>IF(NOT(ISBLANK(Audit[[#This Row],[Audit Candidate 10]])), Audit[[#This Row],[Audit Candidate 10]]-Audit[[#This Row],[Candidate 10]], "")</f>
        <v/>
      </c>
      <c r="AO1083" s="18" t="str">
        <f>IF(NOT(ISBLANK(Audit[[#This Row],[Audit Candidate 11]])), Audit[[#This Row],[Audit Candidate 11]]-Audit[[#This Row],[Candidate 11]], "")</f>
        <v/>
      </c>
      <c r="AP1083" s="18" t="str">
        <f>IF(NOT(ISBLANK(Audit[[#This Row],[Audit Candidate 12]])), Audit[[#This Row],[Audit Candidate 12]]-Audit[[#This Row],[Candidate 12]], "")</f>
        <v/>
      </c>
      <c r="AQ1083" s="18">
        <f>SUMIF(Audit[[#This Row],[Difference Winner]:[Difference Candidate 12]], "&gt;0")</f>
        <v>0</v>
      </c>
      <c r="AR1083" s="18">
        <f>SUM(Audit[[#This Row],[Difference Winner]:[Difference Candidate 12]])</f>
        <v>0</v>
      </c>
      <c r="AS1083" s="18">
        <f>IF(Audit[[#This Row],[Times p Drawn - With Replacement]]&gt;0, IF(Audit[[#This Row],[Canceled Differences]]&lt;0, Audit[[#This Row],[Max Differences]]+ABS(Audit[[#This Row],[Canceled Differences]]), Audit[[#This Row],[Max Differences]]), 0)</f>
        <v>0</v>
      </c>
      <c r="AT1083" s="18">
        <f>'Sampling Data'!AB1083</f>
        <v>3.2980494393315954E-3</v>
      </c>
      <c r="AU1083" s="18">
        <f>IF(
      SUM(Audit[[#This Row],[Audit Losing Candidate]:[Audit Candidate 12]])
      &lt;&gt;0,
      (Audit[[#This Row],[Winning Candidate]]-Audit[[#This Row],[Losing Candidate]]-(Audit[[#This Row],[Audit Winning Candidate]]-Audit[[#This Row],[Audit Losing Candidate]]))/(Audit[[#Totals],[Winning Candidate]]-Audit[[#Totals],[Losing Candidate]]),
      0
)</f>
        <v>0</v>
      </c>
      <c r="AV108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8">
        <f>IF(Audit[[#This Row],[Max Relative Error (ep)]] = 0, 0, Audit[[#This Row],[Max Relative Error (ep)]]/Audit[[#This Row],[Error Bound (up) - Max. possible relative overstatement]])</f>
        <v>0</v>
      </c>
      <c r="BH108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3" s="18">
        <f t="shared" si="17"/>
        <v>1</v>
      </c>
      <c r="BJ1083" s="18">
        <f>PRODUCT($BI$5:BI1083)</f>
        <v>6.0944423859500517E-2</v>
      </c>
      <c r="BK1083" s="20">
        <f>1 - Audit[[#This Row],[K-M P Value]]</f>
        <v>0.9390555761404995</v>
      </c>
      <c r="BL1083" s="18" t="str">
        <f>IF(Audit[[#This Row],[K-M P Value]]&gt;1-'General Info'!$B$12,"Continue", "Stop")</f>
        <v>Stop</v>
      </c>
      <c r="BM1083" s="23" t="b">
        <f>IF(Audit[[#This Row],[Status - Continue or stop audit]] = "Continue", TRUE, IF(BL1082 = "Continue", TRUE, FALSE))</f>
        <v>0</v>
      </c>
      <c r="BN1083" s="23"/>
    </row>
    <row r="1084" spans="1:66" ht="15" hidden="1" customHeight="1" x14ac:dyDescent="0.35">
      <c r="A1084" s="18" t="str">
        <f>'Sampling Data'!AI1084</f>
        <v/>
      </c>
      <c r="B1084" s="18" t="str">
        <f>'Sampling Data'!A1084</f>
        <v>8715 SPFLD O   (ED)</v>
      </c>
      <c r="C1084" s="18">
        <f>'Sampling Data'!B1084</f>
        <v>23</v>
      </c>
      <c r="D1084" s="18">
        <f>'Sampling Data'!C1084</f>
        <v>3</v>
      </c>
      <c r="E1084" s="19">
        <f>'Sampling Data'!D1084</f>
        <v>0</v>
      </c>
      <c r="F1084" s="19">
        <f>'Sampling Data'!E1084</f>
        <v>0</v>
      </c>
      <c r="G1084" s="19">
        <f>'Sampling Data'!F1084</f>
        <v>0</v>
      </c>
      <c r="H1084" s="19">
        <f>'Sampling Data'!G1084</f>
        <v>0</v>
      </c>
      <c r="I1084" s="19">
        <f>'Sampling Data'!H1084</f>
        <v>0</v>
      </c>
      <c r="J1084" s="19">
        <f>'Sampling Data'!I1084</f>
        <v>0</v>
      </c>
      <c r="K1084" s="19">
        <f>'Sampling Data'!J1084</f>
        <v>0</v>
      </c>
      <c r="L1084" s="19">
        <f>'Sampling Data'!K1084</f>
        <v>0</v>
      </c>
      <c r="M1084" s="19">
        <f>'Sampling Data'!L1084</f>
        <v>0</v>
      </c>
      <c r="N1084" s="19">
        <f>'Sampling Data'!M1084</f>
        <v>0</v>
      </c>
      <c r="O1084" s="18">
        <f>'Sampling Data'!N1084</f>
        <v>0</v>
      </c>
      <c r="P1084" s="18">
        <f>'Sampling Data'!O1084</f>
        <v>0</v>
      </c>
      <c r="Q1084" s="18">
        <f>'Sampling Data'!P1084</f>
        <v>26</v>
      </c>
      <c r="R1084" s="18">
        <f>'Sampling Data'!AJ1084</f>
        <v>0</v>
      </c>
      <c r="S1084" s="112"/>
      <c r="T1084" s="112"/>
      <c r="U1084" s="113"/>
      <c r="V1084" s="113"/>
      <c r="W1084" s="112"/>
      <c r="X1084" s="112"/>
      <c r="Y1084" s="112"/>
      <c r="Z1084" s="112"/>
      <c r="AA1084" s="15"/>
      <c r="AB1084" s="15"/>
      <c r="AC1084" s="15"/>
      <c r="AD1084" s="15"/>
      <c r="AE1084" s="114" t="str">
        <f>IF(NOT(ISBLANK(Audit[[#This Row],[Audit Winning Candidate]])), Audit[[#This Row],[Audit Winning Candidate]]-Audit[[#This Row],[Winning Candidate]], "")</f>
        <v/>
      </c>
      <c r="AF1084" s="18" t="str">
        <f>IF(NOT(ISBLANK(Audit[[#This Row],[Audit Losing Candidate]])), Audit[[#This Row],[Audit Losing Candidate]]-Audit[[#This Row],[Losing Candidate]], "")</f>
        <v/>
      </c>
      <c r="AG1084" s="18" t="str">
        <f>IF(NOT(ISBLANK(Audit[[#This Row],[Audit Candidate 3]])), Audit[[#This Row],[Audit Candidate 3]]-Audit[[#This Row],[Candidate 3]], "")</f>
        <v/>
      </c>
      <c r="AH1084" s="18" t="str">
        <f>IF(NOT(ISBLANK(Audit[[#This Row],[Audit Candidate 4]])),Audit[[#This Row],[Audit Candidate 4]]-Audit[[#This Row],[Candidate 4]], "")</f>
        <v/>
      </c>
      <c r="AI1084" s="18" t="str">
        <f>IF(NOT(ISBLANK(Audit[[#This Row],[Audit Candidate 5]])), Audit[[#This Row],[Audit Candidate 5]]-Audit[[#This Row],[Candidate 5]], "")</f>
        <v/>
      </c>
      <c r="AJ1084" s="18" t="str">
        <f>IF(NOT(ISBLANK(Audit[[#This Row],[Audit Candidate 6]])), Audit[[#This Row],[Audit Candidate 6]]-Audit[[#This Row],[Candidate 6]], "")</f>
        <v/>
      </c>
      <c r="AK1084" s="18" t="str">
        <f>IF(NOT(ISBLANK(Audit[[#This Row],[Audit Candidate 7]])), Audit[[#This Row],[Audit Candidate 7]]-Audit[[#This Row],[Candidate 7]], "")</f>
        <v/>
      </c>
      <c r="AL1084" s="18" t="str">
        <f>IF(NOT(ISBLANK(Audit[[#This Row],[Audit Candidate 8]])), Audit[[#This Row],[Audit Candidate 8]]-Audit[[#This Row],[Candidate 8]], "")</f>
        <v/>
      </c>
      <c r="AM1084" s="18" t="str">
        <f>IF(NOT(ISBLANK(Audit[[#This Row],[Audit Candidate 9]])), Audit[[#This Row],[Audit Candidate 9]]-Audit[[#This Row],[Candidate 9]], "")</f>
        <v/>
      </c>
      <c r="AN1084" s="18" t="str">
        <f>IF(NOT(ISBLANK(Audit[[#This Row],[Audit Candidate 10]])), Audit[[#This Row],[Audit Candidate 10]]-Audit[[#This Row],[Candidate 10]], "")</f>
        <v/>
      </c>
      <c r="AO1084" s="18" t="str">
        <f>IF(NOT(ISBLANK(Audit[[#This Row],[Audit Candidate 11]])), Audit[[#This Row],[Audit Candidate 11]]-Audit[[#This Row],[Candidate 11]], "")</f>
        <v/>
      </c>
      <c r="AP1084" s="18" t="str">
        <f>IF(NOT(ISBLANK(Audit[[#This Row],[Audit Candidate 12]])), Audit[[#This Row],[Audit Candidate 12]]-Audit[[#This Row],[Candidate 12]], "")</f>
        <v/>
      </c>
      <c r="AQ1084" s="18">
        <f>SUMIF(Audit[[#This Row],[Difference Winner]:[Difference Candidate 12]], "&gt;0")</f>
        <v>0</v>
      </c>
      <c r="AR1084" s="18">
        <f>SUM(Audit[[#This Row],[Difference Winner]:[Difference Candidate 12]])</f>
        <v>0</v>
      </c>
      <c r="AS1084" s="18">
        <f>IF(Audit[[#This Row],[Times p Drawn - With Replacement]]&gt;0, IF(Audit[[#This Row],[Canceled Differences]]&lt;0, Audit[[#This Row],[Max Differences]]+ABS(Audit[[#This Row],[Canceled Differences]]), Audit[[#This Row],[Max Differences]]), 0)</f>
        <v>0</v>
      </c>
      <c r="AT1084" s="18">
        <f>'Sampling Data'!AB1084</f>
        <v>1.4448597543738418E-3</v>
      </c>
      <c r="AU1084" s="18">
        <f>IF(
      SUM(Audit[[#This Row],[Audit Losing Candidate]:[Audit Candidate 12]])
      &lt;&gt;0,
      (Audit[[#This Row],[Winning Candidate]]-Audit[[#This Row],[Losing Candidate]]-(Audit[[#This Row],[Audit Winning Candidate]]-Audit[[#This Row],[Audit Losing Candidate]]))/(Audit[[#Totals],[Winning Candidate]]-Audit[[#Totals],[Losing Candidate]]),
      0
)</f>
        <v>0</v>
      </c>
      <c r="AV108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8">
        <f>IF(Audit[[#This Row],[Max Relative Error (ep)]] = 0, 0, Audit[[#This Row],[Max Relative Error (ep)]]/Audit[[#This Row],[Error Bound (up) - Max. possible relative overstatement]])</f>
        <v>0</v>
      </c>
      <c r="BH108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4" s="18">
        <f t="shared" si="17"/>
        <v>1</v>
      </c>
      <c r="BJ1084" s="18">
        <f>PRODUCT($BI$5:BI1084)</f>
        <v>6.0944423859500517E-2</v>
      </c>
      <c r="BK1084" s="20">
        <f>1 - Audit[[#This Row],[K-M P Value]]</f>
        <v>0.9390555761404995</v>
      </c>
      <c r="BL1084" s="18" t="str">
        <f>IF(Audit[[#This Row],[K-M P Value]]&gt;1-'General Info'!$B$12,"Continue", "Stop")</f>
        <v>Stop</v>
      </c>
      <c r="BM1084" s="23" t="b">
        <f>IF(Audit[[#This Row],[Status - Continue or stop audit]] = "Continue", TRUE, IF(BL1083 = "Continue", TRUE, FALSE))</f>
        <v>0</v>
      </c>
      <c r="BN1084" s="23"/>
    </row>
    <row r="1085" spans="1:66" ht="15" hidden="1" customHeight="1" x14ac:dyDescent="0.35">
      <c r="A1085" s="18" t="str">
        <f>'Sampling Data'!AI1085</f>
        <v/>
      </c>
      <c r="B1085" s="18" t="str">
        <f>'Sampling Data'!A1085</f>
        <v>8716 SPFLD P   (ED)</v>
      </c>
      <c r="C1085" s="18">
        <f>'Sampling Data'!B1085</f>
        <v>40</v>
      </c>
      <c r="D1085" s="18">
        <f>'Sampling Data'!C1085</f>
        <v>3</v>
      </c>
      <c r="E1085" s="19">
        <f>'Sampling Data'!D1085</f>
        <v>0</v>
      </c>
      <c r="F1085" s="19">
        <f>'Sampling Data'!E1085</f>
        <v>0</v>
      </c>
      <c r="G1085" s="19">
        <f>'Sampling Data'!F1085</f>
        <v>0</v>
      </c>
      <c r="H1085" s="19">
        <f>'Sampling Data'!G1085</f>
        <v>0</v>
      </c>
      <c r="I1085" s="19">
        <f>'Sampling Data'!H1085</f>
        <v>0</v>
      </c>
      <c r="J1085" s="19">
        <f>'Sampling Data'!I1085</f>
        <v>0</v>
      </c>
      <c r="K1085" s="19">
        <f>'Sampling Data'!J1085</f>
        <v>0</v>
      </c>
      <c r="L1085" s="19">
        <f>'Sampling Data'!K1085</f>
        <v>0</v>
      </c>
      <c r="M1085" s="19">
        <f>'Sampling Data'!L1085</f>
        <v>0</v>
      </c>
      <c r="N1085" s="19">
        <f>'Sampling Data'!M1085</f>
        <v>0</v>
      </c>
      <c r="O1085" s="18">
        <f>'Sampling Data'!N1085</f>
        <v>0</v>
      </c>
      <c r="P1085" s="18">
        <f>'Sampling Data'!O1085</f>
        <v>2</v>
      </c>
      <c r="Q1085" s="18">
        <f>'Sampling Data'!P1085</f>
        <v>45</v>
      </c>
      <c r="R1085" s="18">
        <f>'Sampling Data'!AJ1085</f>
        <v>0</v>
      </c>
      <c r="S1085" s="112"/>
      <c r="T1085" s="112"/>
      <c r="U1085" s="113"/>
      <c r="V1085" s="113"/>
      <c r="W1085" s="112"/>
      <c r="X1085" s="112"/>
      <c r="Y1085" s="112"/>
      <c r="Z1085" s="112"/>
      <c r="AA1085" s="15"/>
      <c r="AB1085" s="15"/>
      <c r="AC1085" s="15"/>
      <c r="AD1085" s="15"/>
      <c r="AE1085" s="114" t="str">
        <f>IF(NOT(ISBLANK(Audit[[#This Row],[Audit Winning Candidate]])), Audit[[#This Row],[Audit Winning Candidate]]-Audit[[#This Row],[Winning Candidate]], "")</f>
        <v/>
      </c>
      <c r="AF1085" s="18" t="str">
        <f>IF(NOT(ISBLANK(Audit[[#This Row],[Audit Losing Candidate]])), Audit[[#This Row],[Audit Losing Candidate]]-Audit[[#This Row],[Losing Candidate]], "")</f>
        <v/>
      </c>
      <c r="AG1085" s="18" t="str">
        <f>IF(NOT(ISBLANK(Audit[[#This Row],[Audit Candidate 3]])), Audit[[#This Row],[Audit Candidate 3]]-Audit[[#This Row],[Candidate 3]], "")</f>
        <v/>
      </c>
      <c r="AH1085" s="18" t="str">
        <f>IF(NOT(ISBLANK(Audit[[#This Row],[Audit Candidate 4]])),Audit[[#This Row],[Audit Candidate 4]]-Audit[[#This Row],[Candidate 4]], "")</f>
        <v/>
      </c>
      <c r="AI1085" s="18" t="str">
        <f>IF(NOT(ISBLANK(Audit[[#This Row],[Audit Candidate 5]])), Audit[[#This Row],[Audit Candidate 5]]-Audit[[#This Row],[Candidate 5]], "")</f>
        <v/>
      </c>
      <c r="AJ1085" s="18" t="str">
        <f>IF(NOT(ISBLANK(Audit[[#This Row],[Audit Candidate 6]])), Audit[[#This Row],[Audit Candidate 6]]-Audit[[#This Row],[Candidate 6]], "")</f>
        <v/>
      </c>
      <c r="AK1085" s="18" t="str">
        <f>IF(NOT(ISBLANK(Audit[[#This Row],[Audit Candidate 7]])), Audit[[#This Row],[Audit Candidate 7]]-Audit[[#This Row],[Candidate 7]], "")</f>
        <v/>
      </c>
      <c r="AL1085" s="18" t="str">
        <f>IF(NOT(ISBLANK(Audit[[#This Row],[Audit Candidate 8]])), Audit[[#This Row],[Audit Candidate 8]]-Audit[[#This Row],[Candidate 8]], "")</f>
        <v/>
      </c>
      <c r="AM1085" s="18" t="str">
        <f>IF(NOT(ISBLANK(Audit[[#This Row],[Audit Candidate 9]])), Audit[[#This Row],[Audit Candidate 9]]-Audit[[#This Row],[Candidate 9]], "")</f>
        <v/>
      </c>
      <c r="AN1085" s="18" t="str">
        <f>IF(NOT(ISBLANK(Audit[[#This Row],[Audit Candidate 10]])), Audit[[#This Row],[Audit Candidate 10]]-Audit[[#This Row],[Candidate 10]], "")</f>
        <v/>
      </c>
      <c r="AO1085" s="18" t="str">
        <f>IF(NOT(ISBLANK(Audit[[#This Row],[Audit Candidate 11]])), Audit[[#This Row],[Audit Candidate 11]]-Audit[[#This Row],[Candidate 11]], "")</f>
        <v/>
      </c>
      <c r="AP1085" s="18" t="str">
        <f>IF(NOT(ISBLANK(Audit[[#This Row],[Audit Candidate 12]])), Audit[[#This Row],[Audit Candidate 12]]-Audit[[#This Row],[Candidate 12]], "")</f>
        <v/>
      </c>
      <c r="AQ1085" s="18">
        <f>SUMIF(Audit[[#This Row],[Difference Winner]:[Difference Candidate 12]], "&gt;0")</f>
        <v>0</v>
      </c>
      <c r="AR1085" s="18">
        <f>SUM(Audit[[#This Row],[Difference Winner]:[Difference Candidate 12]])</f>
        <v>0</v>
      </c>
      <c r="AS1085" s="18">
        <f>IF(Audit[[#This Row],[Times p Drawn - With Replacement]]&gt;0, IF(Audit[[#This Row],[Canceled Differences]]&lt;0, Audit[[#This Row],[Max Differences]]+ABS(Audit[[#This Row],[Canceled Differences]]), Audit[[#This Row],[Max Differences]]), 0)</f>
        <v>0</v>
      </c>
      <c r="AT1085" s="18">
        <f>'Sampling Data'!AB1085</f>
        <v>2.5756195621446745E-3</v>
      </c>
      <c r="AU1085" s="18">
        <f>IF(
      SUM(Audit[[#This Row],[Audit Losing Candidate]:[Audit Candidate 12]])
      &lt;&gt;0,
      (Audit[[#This Row],[Winning Candidate]]-Audit[[#This Row],[Losing Candidate]]-(Audit[[#This Row],[Audit Winning Candidate]]-Audit[[#This Row],[Audit Losing Candidate]]))/(Audit[[#Totals],[Winning Candidate]]-Audit[[#Totals],[Losing Candidate]]),
      0
)</f>
        <v>0</v>
      </c>
      <c r="AV108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8">
        <f>IF(Audit[[#This Row],[Max Relative Error (ep)]] = 0, 0, Audit[[#This Row],[Max Relative Error (ep)]]/Audit[[#This Row],[Error Bound (up) - Max. possible relative overstatement]])</f>
        <v>0</v>
      </c>
      <c r="BH108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5" s="18">
        <f t="shared" si="17"/>
        <v>1</v>
      </c>
      <c r="BJ1085" s="18">
        <f>PRODUCT($BI$5:BI1085)</f>
        <v>6.0944423859500517E-2</v>
      </c>
      <c r="BK1085" s="20">
        <f>1 - Audit[[#This Row],[K-M P Value]]</f>
        <v>0.9390555761404995</v>
      </c>
      <c r="BL1085" s="18" t="str">
        <f>IF(Audit[[#This Row],[K-M P Value]]&gt;1-'General Info'!$B$12,"Continue", "Stop")</f>
        <v>Stop</v>
      </c>
      <c r="BM1085" s="23" t="b">
        <f>IF(Audit[[#This Row],[Status - Continue or stop audit]] = "Continue", TRUE, IF(BL1084 = "Continue", TRUE, FALSE))</f>
        <v>0</v>
      </c>
      <c r="BN1085" s="23"/>
    </row>
    <row r="1086" spans="1:66" ht="15" hidden="1" customHeight="1" x14ac:dyDescent="0.35">
      <c r="A1086" s="18" t="str">
        <f>'Sampling Data'!AI1086</f>
        <v/>
      </c>
      <c r="B1086" s="18" t="str">
        <f>'Sampling Data'!A1086</f>
        <v>8717 SPFLD Q   (ED)</v>
      </c>
      <c r="C1086" s="18">
        <f>'Sampling Data'!B1086</f>
        <v>57</v>
      </c>
      <c r="D1086" s="18">
        <f>'Sampling Data'!C1086</f>
        <v>6</v>
      </c>
      <c r="E1086" s="19">
        <f>'Sampling Data'!D1086</f>
        <v>0</v>
      </c>
      <c r="F1086" s="19">
        <f>'Sampling Data'!E1086</f>
        <v>0</v>
      </c>
      <c r="G1086" s="19">
        <f>'Sampling Data'!F1086</f>
        <v>0</v>
      </c>
      <c r="H1086" s="19">
        <f>'Sampling Data'!G1086</f>
        <v>0</v>
      </c>
      <c r="I1086" s="19">
        <f>'Sampling Data'!H1086</f>
        <v>0</v>
      </c>
      <c r="J1086" s="19">
        <f>'Sampling Data'!I1086</f>
        <v>0</v>
      </c>
      <c r="K1086" s="19">
        <f>'Sampling Data'!J1086</f>
        <v>0</v>
      </c>
      <c r="L1086" s="19">
        <f>'Sampling Data'!K1086</f>
        <v>0</v>
      </c>
      <c r="M1086" s="19">
        <f>'Sampling Data'!L1086</f>
        <v>0</v>
      </c>
      <c r="N1086" s="19">
        <f>'Sampling Data'!M1086</f>
        <v>0</v>
      </c>
      <c r="O1086" s="18">
        <f>'Sampling Data'!N1086</f>
        <v>0</v>
      </c>
      <c r="P1086" s="18">
        <f>'Sampling Data'!O1086</f>
        <v>1</v>
      </c>
      <c r="Q1086" s="18">
        <f>'Sampling Data'!P1086</f>
        <v>64</v>
      </c>
      <c r="R1086" s="18">
        <f>'Sampling Data'!AJ1086</f>
        <v>0</v>
      </c>
      <c r="S1086" s="112"/>
      <c r="T1086" s="112"/>
      <c r="U1086" s="113"/>
      <c r="V1086" s="113"/>
      <c r="W1086" s="112"/>
      <c r="X1086" s="112"/>
      <c r="Y1086" s="112"/>
      <c r="Z1086" s="112"/>
      <c r="AA1086" s="15"/>
      <c r="AB1086" s="15"/>
      <c r="AC1086" s="15"/>
      <c r="AD1086" s="15"/>
      <c r="AE1086" s="114" t="str">
        <f>IF(NOT(ISBLANK(Audit[[#This Row],[Audit Winning Candidate]])), Audit[[#This Row],[Audit Winning Candidate]]-Audit[[#This Row],[Winning Candidate]], "")</f>
        <v/>
      </c>
      <c r="AF1086" s="18" t="str">
        <f>IF(NOT(ISBLANK(Audit[[#This Row],[Audit Losing Candidate]])), Audit[[#This Row],[Audit Losing Candidate]]-Audit[[#This Row],[Losing Candidate]], "")</f>
        <v/>
      </c>
      <c r="AG1086" s="18" t="str">
        <f>IF(NOT(ISBLANK(Audit[[#This Row],[Audit Candidate 3]])), Audit[[#This Row],[Audit Candidate 3]]-Audit[[#This Row],[Candidate 3]], "")</f>
        <v/>
      </c>
      <c r="AH1086" s="18" t="str">
        <f>IF(NOT(ISBLANK(Audit[[#This Row],[Audit Candidate 4]])),Audit[[#This Row],[Audit Candidate 4]]-Audit[[#This Row],[Candidate 4]], "")</f>
        <v/>
      </c>
      <c r="AI1086" s="18" t="str">
        <f>IF(NOT(ISBLANK(Audit[[#This Row],[Audit Candidate 5]])), Audit[[#This Row],[Audit Candidate 5]]-Audit[[#This Row],[Candidate 5]], "")</f>
        <v/>
      </c>
      <c r="AJ1086" s="18" t="str">
        <f>IF(NOT(ISBLANK(Audit[[#This Row],[Audit Candidate 6]])), Audit[[#This Row],[Audit Candidate 6]]-Audit[[#This Row],[Candidate 6]], "")</f>
        <v/>
      </c>
      <c r="AK1086" s="18" t="str">
        <f>IF(NOT(ISBLANK(Audit[[#This Row],[Audit Candidate 7]])), Audit[[#This Row],[Audit Candidate 7]]-Audit[[#This Row],[Candidate 7]], "")</f>
        <v/>
      </c>
      <c r="AL1086" s="18" t="str">
        <f>IF(NOT(ISBLANK(Audit[[#This Row],[Audit Candidate 8]])), Audit[[#This Row],[Audit Candidate 8]]-Audit[[#This Row],[Candidate 8]], "")</f>
        <v/>
      </c>
      <c r="AM1086" s="18" t="str">
        <f>IF(NOT(ISBLANK(Audit[[#This Row],[Audit Candidate 9]])), Audit[[#This Row],[Audit Candidate 9]]-Audit[[#This Row],[Candidate 9]], "")</f>
        <v/>
      </c>
      <c r="AN1086" s="18" t="str">
        <f>IF(NOT(ISBLANK(Audit[[#This Row],[Audit Candidate 10]])), Audit[[#This Row],[Audit Candidate 10]]-Audit[[#This Row],[Candidate 10]], "")</f>
        <v/>
      </c>
      <c r="AO1086" s="18" t="str">
        <f>IF(NOT(ISBLANK(Audit[[#This Row],[Audit Candidate 11]])), Audit[[#This Row],[Audit Candidate 11]]-Audit[[#This Row],[Candidate 11]], "")</f>
        <v/>
      </c>
      <c r="AP1086" s="18" t="str">
        <f>IF(NOT(ISBLANK(Audit[[#This Row],[Audit Candidate 12]])), Audit[[#This Row],[Audit Candidate 12]]-Audit[[#This Row],[Candidate 12]], "")</f>
        <v/>
      </c>
      <c r="AQ1086" s="18">
        <f>SUMIF(Audit[[#This Row],[Difference Winner]:[Difference Candidate 12]], "&gt;0")</f>
        <v>0</v>
      </c>
      <c r="AR1086" s="18">
        <f>SUM(Audit[[#This Row],[Difference Winner]:[Difference Candidate 12]])</f>
        <v>0</v>
      </c>
      <c r="AS1086" s="18">
        <f>IF(Audit[[#This Row],[Times p Drawn - With Replacement]]&gt;0, IF(Audit[[#This Row],[Canceled Differences]]&lt;0, Audit[[#This Row],[Max Differences]]+ABS(Audit[[#This Row],[Canceled Differences]]), Audit[[#This Row],[Max Differences]]), 0)</f>
        <v>0</v>
      </c>
      <c r="AT1086" s="18">
        <f>'Sampling Data'!AB1086</f>
        <v>3.6121493859346044E-3</v>
      </c>
      <c r="AU1086" s="18">
        <f>IF(
      SUM(Audit[[#This Row],[Audit Losing Candidate]:[Audit Candidate 12]])
      &lt;&gt;0,
      (Audit[[#This Row],[Winning Candidate]]-Audit[[#This Row],[Losing Candidate]]-(Audit[[#This Row],[Audit Winning Candidate]]-Audit[[#This Row],[Audit Losing Candidate]]))/(Audit[[#Totals],[Winning Candidate]]-Audit[[#Totals],[Losing Candidate]]),
      0
)</f>
        <v>0</v>
      </c>
      <c r="AV108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8">
        <f>IF(Audit[[#This Row],[Max Relative Error (ep)]] = 0, 0, Audit[[#This Row],[Max Relative Error (ep)]]/Audit[[#This Row],[Error Bound (up) - Max. possible relative overstatement]])</f>
        <v>0</v>
      </c>
      <c r="BH108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6" s="18">
        <f t="shared" si="17"/>
        <v>1</v>
      </c>
      <c r="BJ1086" s="18">
        <f>PRODUCT($BI$5:BI1086)</f>
        <v>6.0944423859500517E-2</v>
      </c>
      <c r="BK1086" s="20">
        <f>1 - Audit[[#This Row],[K-M P Value]]</f>
        <v>0.9390555761404995</v>
      </c>
      <c r="BL1086" s="18" t="str">
        <f>IF(Audit[[#This Row],[K-M P Value]]&gt;1-'General Info'!$B$12,"Continue", "Stop")</f>
        <v>Stop</v>
      </c>
      <c r="BM1086" s="23" t="b">
        <f>IF(Audit[[#This Row],[Status - Continue or stop audit]] = "Continue", TRUE, IF(BL1085 = "Continue", TRUE, FALSE))</f>
        <v>0</v>
      </c>
      <c r="BN1086" s="23"/>
    </row>
    <row r="1087" spans="1:66" ht="15" hidden="1" customHeight="1" x14ac:dyDescent="0.35">
      <c r="A1087" s="18" t="str">
        <f>'Sampling Data'!AI1087</f>
        <v/>
      </c>
      <c r="B1087" s="18" t="str">
        <f>'Sampling Data'!A1087</f>
        <v>8718 SPFLD R   (ED)</v>
      </c>
      <c r="C1087" s="18">
        <f>'Sampling Data'!B1087</f>
        <v>41</v>
      </c>
      <c r="D1087" s="18">
        <f>'Sampling Data'!C1087</f>
        <v>6</v>
      </c>
      <c r="E1087" s="19">
        <f>'Sampling Data'!D1087</f>
        <v>0</v>
      </c>
      <c r="F1087" s="19">
        <f>'Sampling Data'!E1087</f>
        <v>0</v>
      </c>
      <c r="G1087" s="19">
        <f>'Sampling Data'!F1087</f>
        <v>0</v>
      </c>
      <c r="H1087" s="19">
        <f>'Sampling Data'!G1087</f>
        <v>0</v>
      </c>
      <c r="I1087" s="19">
        <f>'Sampling Data'!H1087</f>
        <v>0</v>
      </c>
      <c r="J1087" s="19">
        <f>'Sampling Data'!I1087</f>
        <v>0</v>
      </c>
      <c r="K1087" s="19">
        <f>'Sampling Data'!J1087</f>
        <v>0</v>
      </c>
      <c r="L1087" s="19">
        <f>'Sampling Data'!K1087</f>
        <v>0</v>
      </c>
      <c r="M1087" s="19">
        <f>'Sampling Data'!L1087</f>
        <v>0</v>
      </c>
      <c r="N1087" s="19">
        <f>'Sampling Data'!M1087</f>
        <v>0</v>
      </c>
      <c r="O1087" s="18">
        <f>'Sampling Data'!N1087</f>
        <v>0</v>
      </c>
      <c r="P1087" s="18">
        <f>'Sampling Data'!O1087</f>
        <v>0</v>
      </c>
      <c r="Q1087" s="18">
        <f>'Sampling Data'!P1087</f>
        <v>47</v>
      </c>
      <c r="R1087" s="18">
        <f>'Sampling Data'!AJ1087</f>
        <v>0</v>
      </c>
      <c r="S1087" s="112"/>
      <c r="T1087" s="112"/>
      <c r="U1087" s="113"/>
      <c r="V1087" s="113"/>
      <c r="W1087" s="112"/>
      <c r="X1087" s="112"/>
      <c r="Y1087" s="112"/>
      <c r="Z1087" s="112"/>
      <c r="AA1087" s="15"/>
      <c r="AB1087" s="15"/>
      <c r="AC1087" s="15"/>
      <c r="AD1087" s="15"/>
      <c r="AE1087" s="114" t="str">
        <f>IF(NOT(ISBLANK(Audit[[#This Row],[Audit Winning Candidate]])), Audit[[#This Row],[Audit Winning Candidate]]-Audit[[#This Row],[Winning Candidate]], "")</f>
        <v/>
      </c>
      <c r="AF1087" s="18" t="str">
        <f>IF(NOT(ISBLANK(Audit[[#This Row],[Audit Losing Candidate]])), Audit[[#This Row],[Audit Losing Candidate]]-Audit[[#This Row],[Losing Candidate]], "")</f>
        <v/>
      </c>
      <c r="AG1087" s="18" t="str">
        <f>IF(NOT(ISBLANK(Audit[[#This Row],[Audit Candidate 3]])), Audit[[#This Row],[Audit Candidate 3]]-Audit[[#This Row],[Candidate 3]], "")</f>
        <v/>
      </c>
      <c r="AH1087" s="18" t="str">
        <f>IF(NOT(ISBLANK(Audit[[#This Row],[Audit Candidate 4]])),Audit[[#This Row],[Audit Candidate 4]]-Audit[[#This Row],[Candidate 4]], "")</f>
        <v/>
      </c>
      <c r="AI1087" s="18" t="str">
        <f>IF(NOT(ISBLANK(Audit[[#This Row],[Audit Candidate 5]])), Audit[[#This Row],[Audit Candidate 5]]-Audit[[#This Row],[Candidate 5]], "")</f>
        <v/>
      </c>
      <c r="AJ1087" s="18" t="str">
        <f>IF(NOT(ISBLANK(Audit[[#This Row],[Audit Candidate 6]])), Audit[[#This Row],[Audit Candidate 6]]-Audit[[#This Row],[Candidate 6]], "")</f>
        <v/>
      </c>
      <c r="AK1087" s="18" t="str">
        <f>IF(NOT(ISBLANK(Audit[[#This Row],[Audit Candidate 7]])), Audit[[#This Row],[Audit Candidate 7]]-Audit[[#This Row],[Candidate 7]], "")</f>
        <v/>
      </c>
      <c r="AL1087" s="18" t="str">
        <f>IF(NOT(ISBLANK(Audit[[#This Row],[Audit Candidate 8]])), Audit[[#This Row],[Audit Candidate 8]]-Audit[[#This Row],[Candidate 8]], "")</f>
        <v/>
      </c>
      <c r="AM1087" s="18" t="str">
        <f>IF(NOT(ISBLANK(Audit[[#This Row],[Audit Candidate 9]])), Audit[[#This Row],[Audit Candidate 9]]-Audit[[#This Row],[Candidate 9]], "")</f>
        <v/>
      </c>
      <c r="AN1087" s="18" t="str">
        <f>IF(NOT(ISBLANK(Audit[[#This Row],[Audit Candidate 10]])), Audit[[#This Row],[Audit Candidate 10]]-Audit[[#This Row],[Candidate 10]], "")</f>
        <v/>
      </c>
      <c r="AO1087" s="18" t="str">
        <f>IF(NOT(ISBLANK(Audit[[#This Row],[Audit Candidate 11]])), Audit[[#This Row],[Audit Candidate 11]]-Audit[[#This Row],[Candidate 11]], "")</f>
        <v/>
      </c>
      <c r="AP1087" s="18" t="str">
        <f>IF(NOT(ISBLANK(Audit[[#This Row],[Audit Candidate 12]])), Audit[[#This Row],[Audit Candidate 12]]-Audit[[#This Row],[Candidate 12]], "")</f>
        <v/>
      </c>
      <c r="AQ1087" s="18">
        <f>SUMIF(Audit[[#This Row],[Difference Winner]:[Difference Candidate 12]], "&gt;0")</f>
        <v>0</v>
      </c>
      <c r="AR1087" s="18">
        <f>SUM(Audit[[#This Row],[Difference Winner]:[Difference Candidate 12]])</f>
        <v>0</v>
      </c>
      <c r="AS1087" s="18">
        <f>IF(Audit[[#This Row],[Times p Drawn - With Replacement]]&gt;0, IF(Audit[[#This Row],[Canceled Differences]]&lt;0, Audit[[#This Row],[Max Differences]]+ABS(Audit[[#This Row],[Canceled Differences]]), Audit[[#This Row],[Max Differences]]), 0)</f>
        <v>0</v>
      </c>
      <c r="AT1087" s="18">
        <f>'Sampling Data'!AB1087</f>
        <v>2.5756195621446745E-3</v>
      </c>
      <c r="AU1087" s="18">
        <f>IF(
      SUM(Audit[[#This Row],[Audit Losing Candidate]:[Audit Candidate 12]])
      &lt;&gt;0,
      (Audit[[#This Row],[Winning Candidate]]-Audit[[#This Row],[Losing Candidate]]-(Audit[[#This Row],[Audit Winning Candidate]]-Audit[[#This Row],[Audit Losing Candidate]]))/(Audit[[#Totals],[Winning Candidate]]-Audit[[#Totals],[Losing Candidate]]),
      0
)</f>
        <v>0</v>
      </c>
      <c r="AV108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8">
        <f>IF(Audit[[#This Row],[Max Relative Error (ep)]] = 0, 0, Audit[[#This Row],[Max Relative Error (ep)]]/Audit[[#This Row],[Error Bound (up) - Max. possible relative overstatement]])</f>
        <v>0</v>
      </c>
      <c r="BH108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7" s="18">
        <f t="shared" si="17"/>
        <v>1</v>
      </c>
      <c r="BJ1087" s="18">
        <f>PRODUCT($BI$5:BI1087)</f>
        <v>6.0944423859500517E-2</v>
      </c>
      <c r="BK1087" s="20">
        <f>1 - Audit[[#This Row],[K-M P Value]]</f>
        <v>0.9390555761404995</v>
      </c>
      <c r="BL1087" s="18" t="str">
        <f>IF(Audit[[#This Row],[K-M P Value]]&gt;1-'General Info'!$B$12,"Continue", "Stop")</f>
        <v>Stop</v>
      </c>
      <c r="BM1087" s="23" t="b">
        <f>IF(Audit[[#This Row],[Status - Continue or stop audit]] = "Continue", TRUE, IF(BL1086 = "Continue", TRUE, FALSE))</f>
        <v>0</v>
      </c>
      <c r="BN1087" s="23"/>
    </row>
    <row r="1088" spans="1:66" ht="15" hidden="1" customHeight="1" x14ac:dyDescent="0.35">
      <c r="A1088" s="18" t="str">
        <f>'Sampling Data'!AI1088</f>
        <v/>
      </c>
      <c r="B1088" s="18" t="str">
        <f>'Sampling Data'!A1088</f>
        <v>8719 SPFLD S   (ED)</v>
      </c>
      <c r="C1088" s="18">
        <f>'Sampling Data'!B1088</f>
        <v>64</v>
      </c>
      <c r="D1088" s="18">
        <f>'Sampling Data'!C1088</f>
        <v>12</v>
      </c>
      <c r="E1088" s="19">
        <f>'Sampling Data'!D1088</f>
        <v>0</v>
      </c>
      <c r="F1088" s="19">
        <f>'Sampling Data'!E1088</f>
        <v>0</v>
      </c>
      <c r="G1088" s="19">
        <f>'Sampling Data'!F1088</f>
        <v>0</v>
      </c>
      <c r="H1088" s="19">
        <f>'Sampling Data'!G1088</f>
        <v>0</v>
      </c>
      <c r="I1088" s="19">
        <f>'Sampling Data'!H1088</f>
        <v>0</v>
      </c>
      <c r="J1088" s="19">
        <f>'Sampling Data'!I1088</f>
        <v>0</v>
      </c>
      <c r="K1088" s="19">
        <f>'Sampling Data'!J1088</f>
        <v>0</v>
      </c>
      <c r="L1088" s="19">
        <f>'Sampling Data'!K1088</f>
        <v>0</v>
      </c>
      <c r="M1088" s="19">
        <f>'Sampling Data'!L1088</f>
        <v>0</v>
      </c>
      <c r="N1088" s="19">
        <f>'Sampling Data'!M1088</f>
        <v>0</v>
      </c>
      <c r="O1088" s="18">
        <f>'Sampling Data'!N1088</f>
        <v>0</v>
      </c>
      <c r="P1088" s="18">
        <f>'Sampling Data'!O1088</f>
        <v>1</v>
      </c>
      <c r="Q1088" s="18">
        <f>'Sampling Data'!P1088</f>
        <v>77</v>
      </c>
      <c r="R1088" s="18">
        <f>'Sampling Data'!AJ1088</f>
        <v>0</v>
      </c>
      <c r="S1088" s="112"/>
      <c r="T1088" s="112"/>
      <c r="U1088" s="113"/>
      <c r="V1088" s="113"/>
      <c r="W1088" s="112"/>
      <c r="X1088" s="112"/>
      <c r="Y1088" s="112"/>
      <c r="Z1088" s="112"/>
      <c r="AA1088" s="15"/>
      <c r="AB1088" s="15"/>
      <c r="AC1088" s="15"/>
      <c r="AD1088" s="15"/>
      <c r="AE1088" s="114" t="str">
        <f>IF(NOT(ISBLANK(Audit[[#This Row],[Audit Winning Candidate]])), Audit[[#This Row],[Audit Winning Candidate]]-Audit[[#This Row],[Winning Candidate]], "")</f>
        <v/>
      </c>
      <c r="AF1088" s="18" t="str">
        <f>IF(NOT(ISBLANK(Audit[[#This Row],[Audit Losing Candidate]])), Audit[[#This Row],[Audit Losing Candidate]]-Audit[[#This Row],[Losing Candidate]], "")</f>
        <v/>
      </c>
      <c r="AG1088" s="18" t="str">
        <f>IF(NOT(ISBLANK(Audit[[#This Row],[Audit Candidate 3]])), Audit[[#This Row],[Audit Candidate 3]]-Audit[[#This Row],[Candidate 3]], "")</f>
        <v/>
      </c>
      <c r="AH1088" s="18" t="str">
        <f>IF(NOT(ISBLANK(Audit[[#This Row],[Audit Candidate 4]])),Audit[[#This Row],[Audit Candidate 4]]-Audit[[#This Row],[Candidate 4]], "")</f>
        <v/>
      </c>
      <c r="AI1088" s="18" t="str">
        <f>IF(NOT(ISBLANK(Audit[[#This Row],[Audit Candidate 5]])), Audit[[#This Row],[Audit Candidate 5]]-Audit[[#This Row],[Candidate 5]], "")</f>
        <v/>
      </c>
      <c r="AJ1088" s="18" t="str">
        <f>IF(NOT(ISBLANK(Audit[[#This Row],[Audit Candidate 6]])), Audit[[#This Row],[Audit Candidate 6]]-Audit[[#This Row],[Candidate 6]], "")</f>
        <v/>
      </c>
      <c r="AK1088" s="18" t="str">
        <f>IF(NOT(ISBLANK(Audit[[#This Row],[Audit Candidate 7]])), Audit[[#This Row],[Audit Candidate 7]]-Audit[[#This Row],[Candidate 7]], "")</f>
        <v/>
      </c>
      <c r="AL1088" s="18" t="str">
        <f>IF(NOT(ISBLANK(Audit[[#This Row],[Audit Candidate 8]])), Audit[[#This Row],[Audit Candidate 8]]-Audit[[#This Row],[Candidate 8]], "")</f>
        <v/>
      </c>
      <c r="AM1088" s="18" t="str">
        <f>IF(NOT(ISBLANK(Audit[[#This Row],[Audit Candidate 9]])), Audit[[#This Row],[Audit Candidate 9]]-Audit[[#This Row],[Candidate 9]], "")</f>
        <v/>
      </c>
      <c r="AN1088" s="18" t="str">
        <f>IF(NOT(ISBLANK(Audit[[#This Row],[Audit Candidate 10]])), Audit[[#This Row],[Audit Candidate 10]]-Audit[[#This Row],[Candidate 10]], "")</f>
        <v/>
      </c>
      <c r="AO1088" s="18" t="str">
        <f>IF(NOT(ISBLANK(Audit[[#This Row],[Audit Candidate 11]])), Audit[[#This Row],[Audit Candidate 11]]-Audit[[#This Row],[Candidate 11]], "")</f>
        <v/>
      </c>
      <c r="AP1088" s="18" t="str">
        <f>IF(NOT(ISBLANK(Audit[[#This Row],[Audit Candidate 12]])), Audit[[#This Row],[Audit Candidate 12]]-Audit[[#This Row],[Candidate 12]], "")</f>
        <v/>
      </c>
      <c r="AQ1088" s="18">
        <f>SUMIF(Audit[[#This Row],[Difference Winner]:[Difference Candidate 12]], "&gt;0")</f>
        <v>0</v>
      </c>
      <c r="AR1088" s="18">
        <f>SUM(Audit[[#This Row],[Difference Winner]:[Difference Candidate 12]])</f>
        <v>0</v>
      </c>
      <c r="AS1088" s="18">
        <f>IF(Audit[[#This Row],[Times p Drawn - With Replacement]]&gt;0, IF(Audit[[#This Row],[Canceled Differences]]&lt;0, Audit[[#This Row],[Max Differences]]+ABS(Audit[[#This Row],[Canceled Differences]]), Audit[[#This Row],[Max Differences]]), 0)</f>
        <v>0</v>
      </c>
      <c r="AT1088" s="18">
        <f>'Sampling Data'!AB1088</f>
        <v>4.0518893111788174E-3</v>
      </c>
      <c r="AU1088" s="18">
        <f>IF(
      SUM(Audit[[#This Row],[Audit Losing Candidate]:[Audit Candidate 12]])
      &lt;&gt;0,
      (Audit[[#This Row],[Winning Candidate]]-Audit[[#This Row],[Losing Candidate]]-(Audit[[#This Row],[Audit Winning Candidate]]-Audit[[#This Row],[Audit Losing Candidate]]))/(Audit[[#Totals],[Winning Candidate]]-Audit[[#Totals],[Losing Candidate]]),
      0
)</f>
        <v>0</v>
      </c>
      <c r="AV108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8">
        <f>IF(Audit[[#This Row],[Max Relative Error (ep)]] = 0, 0, Audit[[#This Row],[Max Relative Error (ep)]]/Audit[[#This Row],[Error Bound (up) - Max. possible relative overstatement]])</f>
        <v>0</v>
      </c>
      <c r="BH108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8" s="18">
        <f t="shared" si="17"/>
        <v>1</v>
      </c>
      <c r="BJ1088" s="18">
        <f>PRODUCT($BI$5:BI1088)</f>
        <v>6.0944423859500517E-2</v>
      </c>
      <c r="BK1088" s="20">
        <f>1 - Audit[[#This Row],[K-M P Value]]</f>
        <v>0.9390555761404995</v>
      </c>
      <c r="BL1088" s="18" t="str">
        <f>IF(Audit[[#This Row],[K-M P Value]]&gt;1-'General Info'!$B$12,"Continue", "Stop")</f>
        <v>Stop</v>
      </c>
      <c r="BM1088" s="23" t="b">
        <f>IF(Audit[[#This Row],[Status - Continue or stop audit]] = "Continue", TRUE, IF(BL1087 = "Continue", TRUE, FALSE))</f>
        <v>0</v>
      </c>
      <c r="BN1088" s="23"/>
    </row>
    <row r="1089" spans="1:66" ht="15" hidden="1" customHeight="1" x14ac:dyDescent="0.35">
      <c r="A1089" s="18" t="str">
        <f>'Sampling Data'!AI1089</f>
        <v/>
      </c>
      <c r="B1089" s="18" t="str">
        <f>'Sampling Data'!A1089</f>
        <v>8720 SPFLD T   (ED)</v>
      </c>
      <c r="C1089" s="18">
        <f>'Sampling Data'!B1089</f>
        <v>57</v>
      </c>
      <c r="D1089" s="18">
        <f>'Sampling Data'!C1089</f>
        <v>5</v>
      </c>
      <c r="E1089" s="19">
        <f>'Sampling Data'!D1089</f>
        <v>0</v>
      </c>
      <c r="F1089" s="19">
        <f>'Sampling Data'!E1089</f>
        <v>0</v>
      </c>
      <c r="G1089" s="19">
        <f>'Sampling Data'!F1089</f>
        <v>0</v>
      </c>
      <c r="H1089" s="19">
        <f>'Sampling Data'!G1089</f>
        <v>0</v>
      </c>
      <c r="I1089" s="19">
        <f>'Sampling Data'!H1089</f>
        <v>0</v>
      </c>
      <c r="J1089" s="19">
        <f>'Sampling Data'!I1089</f>
        <v>0</v>
      </c>
      <c r="K1089" s="19">
        <f>'Sampling Data'!J1089</f>
        <v>0</v>
      </c>
      <c r="L1089" s="19">
        <f>'Sampling Data'!K1089</f>
        <v>0</v>
      </c>
      <c r="M1089" s="19">
        <f>'Sampling Data'!L1089</f>
        <v>0</v>
      </c>
      <c r="N1089" s="19">
        <f>'Sampling Data'!M1089</f>
        <v>0</v>
      </c>
      <c r="O1089" s="18">
        <f>'Sampling Data'!N1089</f>
        <v>0</v>
      </c>
      <c r="P1089" s="18">
        <f>'Sampling Data'!O1089</f>
        <v>2</v>
      </c>
      <c r="Q1089" s="18">
        <f>'Sampling Data'!P1089</f>
        <v>64</v>
      </c>
      <c r="R1089" s="18">
        <f>'Sampling Data'!AJ1089</f>
        <v>0</v>
      </c>
      <c r="S1089" s="112"/>
      <c r="T1089" s="112"/>
      <c r="U1089" s="113"/>
      <c r="V1089" s="113"/>
      <c r="W1089" s="112"/>
      <c r="X1089" s="112"/>
      <c r="Y1089" s="112"/>
      <c r="Z1089" s="112"/>
      <c r="AA1089" s="15"/>
      <c r="AB1089" s="15"/>
      <c r="AC1089" s="15"/>
      <c r="AD1089" s="15"/>
      <c r="AE1089" s="114" t="str">
        <f>IF(NOT(ISBLANK(Audit[[#This Row],[Audit Winning Candidate]])), Audit[[#This Row],[Audit Winning Candidate]]-Audit[[#This Row],[Winning Candidate]], "")</f>
        <v/>
      </c>
      <c r="AF1089" s="18" t="str">
        <f>IF(NOT(ISBLANK(Audit[[#This Row],[Audit Losing Candidate]])), Audit[[#This Row],[Audit Losing Candidate]]-Audit[[#This Row],[Losing Candidate]], "")</f>
        <v/>
      </c>
      <c r="AG1089" s="18" t="str">
        <f>IF(NOT(ISBLANK(Audit[[#This Row],[Audit Candidate 3]])), Audit[[#This Row],[Audit Candidate 3]]-Audit[[#This Row],[Candidate 3]], "")</f>
        <v/>
      </c>
      <c r="AH1089" s="18" t="str">
        <f>IF(NOT(ISBLANK(Audit[[#This Row],[Audit Candidate 4]])),Audit[[#This Row],[Audit Candidate 4]]-Audit[[#This Row],[Candidate 4]], "")</f>
        <v/>
      </c>
      <c r="AI1089" s="18" t="str">
        <f>IF(NOT(ISBLANK(Audit[[#This Row],[Audit Candidate 5]])), Audit[[#This Row],[Audit Candidate 5]]-Audit[[#This Row],[Candidate 5]], "")</f>
        <v/>
      </c>
      <c r="AJ1089" s="18" t="str">
        <f>IF(NOT(ISBLANK(Audit[[#This Row],[Audit Candidate 6]])), Audit[[#This Row],[Audit Candidate 6]]-Audit[[#This Row],[Candidate 6]], "")</f>
        <v/>
      </c>
      <c r="AK1089" s="18" t="str">
        <f>IF(NOT(ISBLANK(Audit[[#This Row],[Audit Candidate 7]])), Audit[[#This Row],[Audit Candidate 7]]-Audit[[#This Row],[Candidate 7]], "")</f>
        <v/>
      </c>
      <c r="AL1089" s="18" t="str">
        <f>IF(NOT(ISBLANK(Audit[[#This Row],[Audit Candidate 8]])), Audit[[#This Row],[Audit Candidate 8]]-Audit[[#This Row],[Candidate 8]], "")</f>
        <v/>
      </c>
      <c r="AM1089" s="18" t="str">
        <f>IF(NOT(ISBLANK(Audit[[#This Row],[Audit Candidate 9]])), Audit[[#This Row],[Audit Candidate 9]]-Audit[[#This Row],[Candidate 9]], "")</f>
        <v/>
      </c>
      <c r="AN1089" s="18" t="str">
        <f>IF(NOT(ISBLANK(Audit[[#This Row],[Audit Candidate 10]])), Audit[[#This Row],[Audit Candidate 10]]-Audit[[#This Row],[Candidate 10]], "")</f>
        <v/>
      </c>
      <c r="AO1089" s="18" t="str">
        <f>IF(NOT(ISBLANK(Audit[[#This Row],[Audit Candidate 11]])), Audit[[#This Row],[Audit Candidate 11]]-Audit[[#This Row],[Candidate 11]], "")</f>
        <v/>
      </c>
      <c r="AP1089" s="18" t="str">
        <f>IF(NOT(ISBLANK(Audit[[#This Row],[Audit Candidate 12]])), Audit[[#This Row],[Audit Candidate 12]]-Audit[[#This Row],[Candidate 12]], "")</f>
        <v/>
      </c>
      <c r="AQ1089" s="18">
        <f>SUMIF(Audit[[#This Row],[Difference Winner]:[Difference Candidate 12]], "&gt;0")</f>
        <v>0</v>
      </c>
      <c r="AR1089" s="18">
        <f>SUM(Audit[[#This Row],[Difference Winner]:[Difference Candidate 12]])</f>
        <v>0</v>
      </c>
      <c r="AS1089" s="18">
        <f>IF(Audit[[#This Row],[Times p Drawn - With Replacement]]&gt;0, IF(Audit[[#This Row],[Canceled Differences]]&lt;0, Audit[[#This Row],[Max Differences]]+ABS(Audit[[#This Row],[Canceled Differences]]), Audit[[#This Row],[Max Differences]]), 0)</f>
        <v>0</v>
      </c>
      <c r="AT1089" s="18">
        <f>'Sampling Data'!AB1089</f>
        <v>3.6435593805949052E-3</v>
      </c>
      <c r="AU1089" s="18">
        <f>IF(
      SUM(Audit[[#This Row],[Audit Losing Candidate]:[Audit Candidate 12]])
      &lt;&gt;0,
      (Audit[[#This Row],[Winning Candidate]]-Audit[[#This Row],[Losing Candidate]]-(Audit[[#This Row],[Audit Winning Candidate]]-Audit[[#This Row],[Audit Losing Candidate]]))/(Audit[[#Totals],[Winning Candidate]]-Audit[[#Totals],[Losing Candidate]]),
      0
)</f>
        <v>0</v>
      </c>
      <c r="AV108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8">
        <f>IF(Audit[[#This Row],[Max Relative Error (ep)]] = 0, 0, Audit[[#This Row],[Max Relative Error (ep)]]/Audit[[#This Row],[Error Bound (up) - Max. possible relative overstatement]])</f>
        <v>0</v>
      </c>
      <c r="BH108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89" s="18">
        <f t="shared" si="17"/>
        <v>1</v>
      </c>
      <c r="BJ1089" s="18">
        <f>PRODUCT($BI$5:BI1089)</f>
        <v>6.0944423859500517E-2</v>
      </c>
      <c r="BK1089" s="20">
        <f>1 - Audit[[#This Row],[K-M P Value]]</f>
        <v>0.9390555761404995</v>
      </c>
      <c r="BL1089" s="18" t="str">
        <f>IF(Audit[[#This Row],[K-M P Value]]&gt;1-'General Info'!$B$12,"Continue", "Stop")</f>
        <v>Stop</v>
      </c>
      <c r="BM1089" s="23" t="b">
        <f>IF(Audit[[#This Row],[Status - Continue or stop audit]] = "Continue", TRUE, IF(BL1088 = "Continue", TRUE, FALSE))</f>
        <v>0</v>
      </c>
      <c r="BN1089" s="23"/>
    </row>
    <row r="1090" spans="1:66" ht="15" hidden="1" customHeight="1" x14ac:dyDescent="0.35">
      <c r="A1090" s="18" t="str">
        <f>'Sampling Data'!AI1090</f>
        <v/>
      </c>
      <c r="B1090" s="18" t="str">
        <f>'Sampling Data'!A1090</f>
        <v>8721 SPFLD U   (ED)</v>
      </c>
      <c r="C1090" s="18">
        <f>'Sampling Data'!B1090</f>
        <v>87</v>
      </c>
      <c r="D1090" s="18">
        <f>'Sampling Data'!C1090</f>
        <v>13</v>
      </c>
      <c r="E1090" s="19">
        <f>'Sampling Data'!D1090</f>
        <v>0</v>
      </c>
      <c r="F1090" s="19">
        <f>'Sampling Data'!E1090</f>
        <v>0</v>
      </c>
      <c r="G1090" s="19">
        <f>'Sampling Data'!F1090</f>
        <v>0</v>
      </c>
      <c r="H1090" s="19">
        <f>'Sampling Data'!G1090</f>
        <v>0</v>
      </c>
      <c r="I1090" s="19">
        <f>'Sampling Data'!H1090</f>
        <v>0</v>
      </c>
      <c r="J1090" s="19">
        <f>'Sampling Data'!I1090</f>
        <v>0</v>
      </c>
      <c r="K1090" s="19">
        <f>'Sampling Data'!J1090</f>
        <v>0</v>
      </c>
      <c r="L1090" s="19">
        <f>'Sampling Data'!K1090</f>
        <v>0</v>
      </c>
      <c r="M1090" s="19">
        <f>'Sampling Data'!L1090</f>
        <v>0</v>
      </c>
      <c r="N1090" s="19">
        <f>'Sampling Data'!M1090</f>
        <v>0</v>
      </c>
      <c r="O1090" s="18">
        <f>'Sampling Data'!N1090</f>
        <v>0</v>
      </c>
      <c r="P1090" s="18">
        <f>'Sampling Data'!O1090</f>
        <v>3</v>
      </c>
      <c r="Q1090" s="18">
        <f>'Sampling Data'!P1090</f>
        <v>103</v>
      </c>
      <c r="R1090" s="18">
        <f>'Sampling Data'!AJ1090</f>
        <v>0</v>
      </c>
      <c r="S1090" s="112"/>
      <c r="T1090" s="112"/>
      <c r="U1090" s="113"/>
      <c r="V1090" s="113"/>
      <c r="W1090" s="112"/>
      <c r="X1090" s="112"/>
      <c r="Y1090" s="112"/>
      <c r="Z1090" s="112"/>
      <c r="AA1090" s="15"/>
      <c r="AB1090" s="15"/>
      <c r="AC1090" s="15"/>
      <c r="AD1090" s="15"/>
      <c r="AE1090" s="114" t="str">
        <f>IF(NOT(ISBLANK(Audit[[#This Row],[Audit Winning Candidate]])), Audit[[#This Row],[Audit Winning Candidate]]-Audit[[#This Row],[Winning Candidate]], "")</f>
        <v/>
      </c>
      <c r="AF1090" s="18" t="str">
        <f>IF(NOT(ISBLANK(Audit[[#This Row],[Audit Losing Candidate]])), Audit[[#This Row],[Audit Losing Candidate]]-Audit[[#This Row],[Losing Candidate]], "")</f>
        <v/>
      </c>
      <c r="AG1090" s="18" t="str">
        <f>IF(NOT(ISBLANK(Audit[[#This Row],[Audit Candidate 3]])), Audit[[#This Row],[Audit Candidate 3]]-Audit[[#This Row],[Candidate 3]], "")</f>
        <v/>
      </c>
      <c r="AH1090" s="18" t="str">
        <f>IF(NOT(ISBLANK(Audit[[#This Row],[Audit Candidate 4]])),Audit[[#This Row],[Audit Candidate 4]]-Audit[[#This Row],[Candidate 4]], "")</f>
        <v/>
      </c>
      <c r="AI1090" s="18" t="str">
        <f>IF(NOT(ISBLANK(Audit[[#This Row],[Audit Candidate 5]])), Audit[[#This Row],[Audit Candidate 5]]-Audit[[#This Row],[Candidate 5]], "")</f>
        <v/>
      </c>
      <c r="AJ1090" s="18" t="str">
        <f>IF(NOT(ISBLANK(Audit[[#This Row],[Audit Candidate 6]])), Audit[[#This Row],[Audit Candidate 6]]-Audit[[#This Row],[Candidate 6]], "")</f>
        <v/>
      </c>
      <c r="AK1090" s="18" t="str">
        <f>IF(NOT(ISBLANK(Audit[[#This Row],[Audit Candidate 7]])), Audit[[#This Row],[Audit Candidate 7]]-Audit[[#This Row],[Candidate 7]], "")</f>
        <v/>
      </c>
      <c r="AL1090" s="18" t="str">
        <f>IF(NOT(ISBLANK(Audit[[#This Row],[Audit Candidate 8]])), Audit[[#This Row],[Audit Candidate 8]]-Audit[[#This Row],[Candidate 8]], "")</f>
        <v/>
      </c>
      <c r="AM1090" s="18" t="str">
        <f>IF(NOT(ISBLANK(Audit[[#This Row],[Audit Candidate 9]])), Audit[[#This Row],[Audit Candidate 9]]-Audit[[#This Row],[Candidate 9]], "")</f>
        <v/>
      </c>
      <c r="AN1090" s="18" t="str">
        <f>IF(NOT(ISBLANK(Audit[[#This Row],[Audit Candidate 10]])), Audit[[#This Row],[Audit Candidate 10]]-Audit[[#This Row],[Candidate 10]], "")</f>
        <v/>
      </c>
      <c r="AO1090" s="18" t="str">
        <f>IF(NOT(ISBLANK(Audit[[#This Row],[Audit Candidate 11]])), Audit[[#This Row],[Audit Candidate 11]]-Audit[[#This Row],[Candidate 11]], "")</f>
        <v/>
      </c>
      <c r="AP1090" s="18" t="str">
        <f>IF(NOT(ISBLANK(Audit[[#This Row],[Audit Candidate 12]])), Audit[[#This Row],[Audit Candidate 12]]-Audit[[#This Row],[Candidate 12]], "")</f>
        <v/>
      </c>
      <c r="AQ1090" s="18">
        <f>SUMIF(Audit[[#This Row],[Difference Winner]:[Difference Candidate 12]], "&gt;0")</f>
        <v>0</v>
      </c>
      <c r="AR1090" s="18">
        <f>SUM(Audit[[#This Row],[Difference Winner]:[Difference Candidate 12]])</f>
        <v>0</v>
      </c>
      <c r="AS1090" s="18">
        <f>IF(Audit[[#This Row],[Times p Drawn - With Replacement]]&gt;0, IF(Audit[[#This Row],[Canceled Differences]]&lt;0, Audit[[#This Row],[Max Differences]]+ABS(Audit[[#This Row],[Canceled Differences]]), Audit[[#This Row],[Max Differences]]), 0)</f>
        <v>0</v>
      </c>
      <c r="AT1090" s="18">
        <f>'Sampling Data'!AB1090</f>
        <v>5.5595690548732608E-3</v>
      </c>
      <c r="AU1090" s="18">
        <f>IF(
      SUM(Audit[[#This Row],[Audit Losing Candidate]:[Audit Candidate 12]])
      &lt;&gt;0,
      (Audit[[#This Row],[Winning Candidate]]-Audit[[#This Row],[Losing Candidate]]-(Audit[[#This Row],[Audit Winning Candidate]]-Audit[[#This Row],[Audit Losing Candidate]]))/(Audit[[#Totals],[Winning Candidate]]-Audit[[#Totals],[Losing Candidate]]),
      0
)</f>
        <v>0</v>
      </c>
      <c r="AV109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8">
        <f>IF(Audit[[#This Row],[Max Relative Error (ep)]] = 0, 0, Audit[[#This Row],[Max Relative Error (ep)]]/Audit[[#This Row],[Error Bound (up) - Max. possible relative overstatement]])</f>
        <v>0</v>
      </c>
      <c r="BH109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0" s="18">
        <f t="shared" si="17"/>
        <v>1</v>
      </c>
      <c r="BJ1090" s="18">
        <f>PRODUCT($BI$5:BI1090)</f>
        <v>6.0944423859500517E-2</v>
      </c>
      <c r="BK1090" s="20">
        <f>1 - Audit[[#This Row],[K-M P Value]]</f>
        <v>0.9390555761404995</v>
      </c>
      <c r="BL1090" s="18" t="str">
        <f>IF(Audit[[#This Row],[K-M P Value]]&gt;1-'General Info'!$B$12,"Continue", "Stop")</f>
        <v>Stop</v>
      </c>
      <c r="BM1090" s="23" t="b">
        <f>IF(Audit[[#This Row],[Status - Continue or stop audit]] = "Continue", TRUE, IF(BL1089 = "Continue", TRUE, FALSE))</f>
        <v>0</v>
      </c>
      <c r="BN1090" s="23"/>
    </row>
    <row r="1091" spans="1:66" ht="15" hidden="1" customHeight="1" x14ac:dyDescent="0.35">
      <c r="A1091" s="18" t="str">
        <f>'Sampling Data'!AI1091</f>
        <v/>
      </c>
      <c r="B1091" s="18" t="str">
        <f>'Sampling Data'!A1091</f>
        <v>8722 SPFLD V   (ED)</v>
      </c>
      <c r="C1091" s="18">
        <f>'Sampling Data'!B1091</f>
        <v>100</v>
      </c>
      <c r="D1091" s="18">
        <f>'Sampling Data'!C1091</f>
        <v>13</v>
      </c>
      <c r="E1091" s="19">
        <f>'Sampling Data'!D1091</f>
        <v>0</v>
      </c>
      <c r="F1091" s="19">
        <f>'Sampling Data'!E1091</f>
        <v>0</v>
      </c>
      <c r="G1091" s="19">
        <f>'Sampling Data'!F1091</f>
        <v>0</v>
      </c>
      <c r="H1091" s="19">
        <f>'Sampling Data'!G1091</f>
        <v>0</v>
      </c>
      <c r="I1091" s="19">
        <f>'Sampling Data'!H1091</f>
        <v>0</v>
      </c>
      <c r="J1091" s="19">
        <f>'Sampling Data'!I1091</f>
        <v>0</v>
      </c>
      <c r="K1091" s="19">
        <f>'Sampling Data'!J1091</f>
        <v>0</v>
      </c>
      <c r="L1091" s="19">
        <f>'Sampling Data'!K1091</f>
        <v>0</v>
      </c>
      <c r="M1091" s="19">
        <f>'Sampling Data'!L1091</f>
        <v>0</v>
      </c>
      <c r="N1091" s="19">
        <f>'Sampling Data'!M1091</f>
        <v>0</v>
      </c>
      <c r="O1091" s="18">
        <f>'Sampling Data'!N1091</f>
        <v>0</v>
      </c>
      <c r="P1091" s="18">
        <f>'Sampling Data'!O1091</f>
        <v>1</v>
      </c>
      <c r="Q1091" s="18">
        <f>'Sampling Data'!P1091</f>
        <v>114</v>
      </c>
      <c r="R1091" s="18">
        <f>'Sampling Data'!AJ1091</f>
        <v>0</v>
      </c>
      <c r="S1091" s="112"/>
      <c r="T1091" s="112"/>
      <c r="U1091" s="113"/>
      <c r="V1091" s="113"/>
      <c r="W1091" s="112"/>
      <c r="X1091" s="112"/>
      <c r="Y1091" s="112"/>
      <c r="Z1091" s="112"/>
      <c r="AA1091" s="15"/>
      <c r="AB1091" s="15"/>
      <c r="AC1091" s="15"/>
      <c r="AD1091" s="15"/>
      <c r="AE1091" s="114" t="str">
        <f>IF(NOT(ISBLANK(Audit[[#This Row],[Audit Winning Candidate]])), Audit[[#This Row],[Audit Winning Candidate]]-Audit[[#This Row],[Winning Candidate]], "")</f>
        <v/>
      </c>
      <c r="AF1091" s="18" t="str">
        <f>IF(NOT(ISBLANK(Audit[[#This Row],[Audit Losing Candidate]])), Audit[[#This Row],[Audit Losing Candidate]]-Audit[[#This Row],[Losing Candidate]], "")</f>
        <v/>
      </c>
      <c r="AG1091" s="18" t="str">
        <f>IF(NOT(ISBLANK(Audit[[#This Row],[Audit Candidate 3]])), Audit[[#This Row],[Audit Candidate 3]]-Audit[[#This Row],[Candidate 3]], "")</f>
        <v/>
      </c>
      <c r="AH1091" s="18" t="str">
        <f>IF(NOT(ISBLANK(Audit[[#This Row],[Audit Candidate 4]])),Audit[[#This Row],[Audit Candidate 4]]-Audit[[#This Row],[Candidate 4]], "")</f>
        <v/>
      </c>
      <c r="AI1091" s="18" t="str">
        <f>IF(NOT(ISBLANK(Audit[[#This Row],[Audit Candidate 5]])), Audit[[#This Row],[Audit Candidate 5]]-Audit[[#This Row],[Candidate 5]], "")</f>
        <v/>
      </c>
      <c r="AJ1091" s="18" t="str">
        <f>IF(NOT(ISBLANK(Audit[[#This Row],[Audit Candidate 6]])), Audit[[#This Row],[Audit Candidate 6]]-Audit[[#This Row],[Candidate 6]], "")</f>
        <v/>
      </c>
      <c r="AK1091" s="18" t="str">
        <f>IF(NOT(ISBLANK(Audit[[#This Row],[Audit Candidate 7]])), Audit[[#This Row],[Audit Candidate 7]]-Audit[[#This Row],[Candidate 7]], "")</f>
        <v/>
      </c>
      <c r="AL1091" s="18" t="str">
        <f>IF(NOT(ISBLANK(Audit[[#This Row],[Audit Candidate 8]])), Audit[[#This Row],[Audit Candidate 8]]-Audit[[#This Row],[Candidate 8]], "")</f>
        <v/>
      </c>
      <c r="AM1091" s="18" t="str">
        <f>IF(NOT(ISBLANK(Audit[[#This Row],[Audit Candidate 9]])), Audit[[#This Row],[Audit Candidate 9]]-Audit[[#This Row],[Candidate 9]], "")</f>
        <v/>
      </c>
      <c r="AN1091" s="18" t="str">
        <f>IF(NOT(ISBLANK(Audit[[#This Row],[Audit Candidate 10]])), Audit[[#This Row],[Audit Candidate 10]]-Audit[[#This Row],[Candidate 10]], "")</f>
        <v/>
      </c>
      <c r="AO1091" s="18" t="str">
        <f>IF(NOT(ISBLANK(Audit[[#This Row],[Audit Candidate 11]])), Audit[[#This Row],[Audit Candidate 11]]-Audit[[#This Row],[Candidate 11]], "")</f>
        <v/>
      </c>
      <c r="AP1091" s="18" t="str">
        <f>IF(NOT(ISBLANK(Audit[[#This Row],[Audit Candidate 12]])), Audit[[#This Row],[Audit Candidate 12]]-Audit[[#This Row],[Candidate 12]], "")</f>
        <v/>
      </c>
      <c r="AQ1091" s="18">
        <f>SUMIF(Audit[[#This Row],[Difference Winner]:[Difference Candidate 12]], "&gt;0")</f>
        <v>0</v>
      </c>
      <c r="AR1091" s="18">
        <f>SUM(Audit[[#This Row],[Difference Winner]:[Difference Candidate 12]])</f>
        <v>0</v>
      </c>
      <c r="AS1091" s="18">
        <f>IF(Audit[[#This Row],[Times p Drawn - With Replacement]]&gt;0, IF(Audit[[#This Row],[Canceled Differences]]&lt;0, Audit[[#This Row],[Max Differences]]+ABS(Audit[[#This Row],[Canceled Differences]]), Audit[[#This Row],[Max Differences]]), 0)</f>
        <v>0</v>
      </c>
      <c r="AT1091" s="18">
        <f>'Sampling Data'!AB1091</f>
        <v>6.3134089267204829E-3</v>
      </c>
      <c r="AU1091" s="18">
        <f>IF(
      SUM(Audit[[#This Row],[Audit Losing Candidate]:[Audit Candidate 12]])
      &lt;&gt;0,
      (Audit[[#This Row],[Winning Candidate]]-Audit[[#This Row],[Losing Candidate]]-(Audit[[#This Row],[Audit Winning Candidate]]-Audit[[#This Row],[Audit Losing Candidate]]))/(Audit[[#Totals],[Winning Candidate]]-Audit[[#Totals],[Losing Candidate]]),
      0
)</f>
        <v>0</v>
      </c>
      <c r="AV109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8">
        <f>IF(Audit[[#This Row],[Max Relative Error (ep)]] = 0, 0, Audit[[#This Row],[Max Relative Error (ep)]]/Audit[[#This Row],[Error Bound (up) - Max. possible relative overstatement]])</f>
        <v>0</v>
      </c>
      <c r="BH109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1" s="18">
        <f t="shared" si="17"/>
        <v>1</v>
      </c>
      <c r="BJ1091" s="18">
        <f>PRODUCT($BI$5:BI1091)</f>
        <v>6.0944423859500517E-2</v>
      </c>
      <c r="BK1091" s="20">
        <f>1 - Audit[[#This Row],[K-M P Value]]</f>
        <v>0.9390555761404995</v>
      </c>
      <c r="BL1091" s="18" t="str">
        <f>IF(Audit[[#This Row],[K-M P Value]]&gt;1-'General Info'!$B$12,"Continue", "Stop")</f>
        <v>Stop</v>
      </c>
      <c r="BM1091" s="23" t="b">
        <f>IF(Audit[[#This Row],[Status - Continue or stop audit]] = "Continue", TRUE, IF(BL1090 = "Continue", TRUE, FALSE))</f>
        <v>0</v>
      </c>
      <c r="BN1091" s="23"/>
    </row>
    <row r="1092" spans="1:66" ht="15" hidden="1" customHeight="1" x14ac:dyDescent="0.35">
      <c r="A1092" s="18" t="str">
        <f>'Sampling Data'!AI1092</f>
        <v/>
      </c>
      <c r="B1092" s="18" t="str">
        <f>'Sampling Data'!A1092</f>
        <v>8723 SPFLD W   (ED)</v>
      </c>
      <c r="C1092" s="18">
        <f>'Sampling Data'!B1092</f>
        <v>62</v>
      </c>
      <c r="D1092" s="18">
        <f>'Sampling Data'!C1092</f>
        <v>11</v>
      </c>
      <c r="E1092" s="19">
        <f>'Sampling Data'!D1092</f>
        <v>0</v>
      </c>
      <c r="F1092" s="19">
        <f>'Sampling Data'!E1092</f>
        <v>0</v>
      </c>
      <c r="G1092" s="19">
        <f>'Sampling Data'!F1092</f>
        <v>0</v>
      </c>
      <c r="H1092" s="19">
        <f>'Sampling Data'!G1092</f>
        <v>0</v>
      </c>
      <c r="I1092" s="19">
        <f>'Sampling Data'!H1092</f>
        <v>0</v>
      </c>
      <c r="J1092" s="19">
        <f>'Sampling Data'!I1092</f>
        <v>0</v>
      </c>
      <c r="K1092" s="19">
        <f>'Sampling Data'!J1092</f>
        <v>0</v>
      </c>
      <c r="L1092" s="19">
        <f>'Sampling Data'!K1092</f>
        <v>0</v>
      </c>
      <c r="M1092" s="19">
        <f>'Sampling Data'!L1092</f>
        <v>0</v>
      </c>
      <c r="N1092" s="19">
        <f>'Sampling Data'!M1092</f>
        <v>0</v>
      </c>
      <c r="O1092" s="18">
        <f>'Sampling Data'!N1092</f>
        <v>0</v>
      </c>
      <c r="P1092" s="18">
        <f>'Sampling Data'!O1092</f>
        <v>0</v>
      </c>
      <c r="Q1092" s="18">
        <f>'Sampling Data'!P1092</f>
        <v>73</v>
      </c>
      <c r="R1092" s="18">
        <f>'Sampling Data'!AJ1092</f>
        <v>0</v>
      </c>
      <c r="S1092" s="112"/>
      <c r="T1092" s="112"/>
      <c r="U1092" s="113"/>
      <c r="V1092" s="113"/>
      <c r="W1092" s="112"/>
      <c r="X1092" s="112"/>
      <c r="Y1092" s="112"/>
      <c r="Z1092" s="112"/>
      <c r="AA1092" s="15"/>
      <c r="AB1092" s="15"/>
      <c r="AC1092" s="15"/>
      <c r="AD1092" s="15"/>
      <c r="AE1092" s="114" t="str">
        <f>IF(NOT(ISBLANK(Audit[[#This Row],[Audit Winning Candidate]])), Audit[[#This Row],[Audit Winning Candidate]]-Audit[[#This Row],[Winning Candidate]], "")</f>
        <v/>
      </c>
      <c r="AF1092" s="18" t="str">
        <f>IF(NOT(ISBLANK(Audit[[#This Row],[Audit Losing Candidate]])), Audit[[#This Row],[Audit Losing Candidate]]-Audit[[#This Row],[Losing Candidate]], "")</f>
        <v/>
      </c>
      <c r="AG1092" s="18" t="str">
        <f>IF(NOT(ISBLANK(Audit[[#This Row],[Audit Candidate 3]])), Audit[[#This Row],[Audit Candidate 3]]-Audit[[#This Row],[Candidate 3]], "")</f>
        <v/>
      </c>
      <c r="AH1092" s="18" t="str">
        <f>IF(NOT(ISBLANK(Audit[[#This Row],[Audit Candidate 4]])),Audit[[#This Row],[Audit Candidate 4]]-Audit[[#This Row],[Candidate 4]], "")</f>
        <v/>
      </c>
      <c r="AI1092" s="18" t="str">
        <f>IF(NOT(ISBLANK(Audit[[#This Row],[Audit Candidate 5]])), Audit[[#This Row],[Audit Candidate 5]]-Audit[[#This Row],[Candidate 5]], "")</f>
        <v/>
      </c>
      <c r="AJ1092" s="18" t="str">
        <f>IF(NOT(ISBLANK(Audit[[#This Row],[Audit Candidate 6]])), Audit[[#This Row],[Audit Candidate 6]]-Audit[[#This Row],[Candidate 6]], "")</f>
        <v/>
      </c>
      <c r="AK1092" s="18" t="str">
        <f>IF(NOT(ISBLANK(Audit[[#This Row],[Audit Candidate 7]])), Audit[[#This Row],[Audit Candidate 7]]-Audit[[#This Row],[Candidate 7]], "")</f>
        <v/>
      </c>
      <c r="AL1092" s="18" t="str">
        <f>IF(NOT(ISBLANK(Audit[[#This Row],[Audit Candidate 8]])), Audit[[#This Row],[Audit Candidate 8]]-Audit[[#This Row],[Candidate 8]], "")</f>
        <v/>
      </c>
      <c r="AM1092" s="18" t="str">
        <f>IF(NOT(ISBLANK(Audit[[#This Row],[Audit Candidate 9]])), Audit[[#This Row],[Audit Candidate 9]]-Audit[[#This Row],[Candidate 9]], "")</f>
        <v/>
      </c>
      <c r="AN1092" s="18" t="str">
        <f>IF(NOT(ISBLANK(Audit[[#This Row],[Audit Candidate 10]])), Audit[[#This Row],[Audit Candidate 10]]-Audit[[#This Row],[Candidate 10]], "")</f>
        <v/>
      </c>
      <c r="AO1092" s="18" t="str">
        <f>IF(NOT(ISBLANK(Audit[[#This Row],[Audit Candidate 11]])), Audit[[#This Row],[Audit Candidate 11]]-Audit[[#This Row],[Candidate 11]], "")</f>
        <v/>
      </c>
      <c r="AP1092" s="18" t="str">
        <f>IF(NOT(ISBLANK(Audit[[#This Row],[Audit Candidate 12]])), Audit[[#This Row],[Audit Candidate 12]]-Audit[[#This Row],[Candidate 12]], "")</f>
        <v/>
      </c>
      <c r="AQ1092" s="18">
        <f>SUMIF(Audit[[#This Row],[Difference Winner]:[Difference Candidate 12]], "&gt;0")</f>
        <v>0</v>
      </c>
      <c r="AR1092" s="18">
        <f>SUM(Audit[[#This Row],[Difference Winner]:[Difference Candidate 12]])</f>
        <v>0</v>
      </c>
      <c r="AS1092" s="18">
        <f>IF(Audit[[#This Row],[Times p Drawn - With Replacement]]&gt;0, IF(Audit[[#This Row],[Canceled Differences]]&lt;0, Audit[[#This Row],[Max Differences]]+ABS(Audit[[#This Row],[Canceled Differences]]), Audit[[#This Row],[Max Differences]]), 0)</f>
        <v>0</v>
      </c>
      <c r="AT1092" s="18">
        <f>'Sampling Data'!AB1092</f>
        <v>3.8948393378773127E-3</v>
      </c>
      <c r="AU1092" s="18">
        <f>IF(
      SUM(Audit[[#This Row],[Audit Losing Candidate]:[Audit Candidate 12]])
      &lt;&gt;0,
      (Audit[[#This Row],[Winning Candidate]]-Audit[[#This Row],[Losing Candidate]]-(Audit[[#This Row],[Audit Winning Candidate]]-Audit[[#This Row],[Audit Losing Candidate]]))/(Audit[[#Totals],[Winning Candidate]]-Audit[[#Totals],[Losing Candidate]]),
      0
)</f>
        <v>0</v>
      </c>
      <c r="AV109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8">
        <f>IF(Audit[[#This Row],[Max Relative Error (ep)]] = 0, 0, Audit[[#This Row],[Max Relative Error (ep)]]/Audit[[#This Row],[Error Bound (up) - Max. possible relative overstatement]])</f>
        <v>0</v>
      </c>
      <c r="BH109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2" s="18">
        <f t="shared" si="17"/>
        <v>1</v>
      </c>
      <c r="BJ1092" s="18">
        <f>PRODUCT($BI$5:BI1092)</f>
        <v>6.0944423859500517E-2</v>
      </c>
      <c r="BK1092" s="20">
        <f>1 - Audit[[#This Row],[K-M P Value]]</f>
        <v>0.9390555761404995</v>
      </c>
      <c r="BL1092" s="18" t="str">
        <f>IF(Audit[[#This Row],[K-M P Value]]&gt;1-'General Info'!$B$12,"Continue", "Stop")</f>
        <v>Stop</v>
      </c>
      <c r="BM1092" s="23" t="b">
        <f>IF(Audit[[#This Row],[Status - Continue or stop audit]] = "Continue", TRUE, IF(BL1091 = "Continue", TRUE, FALSE))</f>
        <v>0</v>
      </c>
      <c r="BN1092" s="23"/>
    </row>
    <row r="1093" spans="1:66" ht="15" hidden="1" customHeight="1" x14ac:dyDescent="0.35">
      <c r="A1093" s="18" t="str">
        <f>'Sampling Data'!AI1093</f>
        <v/>
      </c>
      <c r="B1093" s="18" t="str">
        <f>'Sampling Data'!A1093</f>
        <v>8724 SPFLD X   (ED)</v>
      </c>
      <c r="C1093" s="18">
        <f>'Sampling Data'!B1093</f>
        <v>34</v>
      </c>
      <c r="D1093" s="18">
        <f>'Sampling Data'!C1093</f>
        <v>6</v>
      </c>
      <c r="E1093" s="19">
        <f>'Sampling Data'!D1093</f>
        <v>0</v>
      </c>
      <c r="F1093" s="19">
        <f>'Sampling Data'!E1093</f>
        <v>0</v>
      </c>
      <c r="G1093" s="19">
        <f>'Sampling Data'!F1093</f>
        <v>0</v>
      </c>
      <c r="H1093" s="19">
        <f>'Sampling Data'!G1093</f>
        <v>0</v>
      </c>
      <c r="I1093" s="19">
        <f>'Sampling Data'!H1093</f>
        <v>0</v>
      </c>
      <c r="J1093" s="19">
        <f>'Sampling Data'!I1093</f>
        <v>0</v>
      </c>
      <c r="K1093" s="19">
        <f>'Sampling Data'!J1093</f>
        <v>0</v>
      </c>
      <c r="L1093" s="19">
        <f>'Sampling Data'!K1093</f>
        <v>0</v>
      </c>
      <c r="M1093" s="19">
        <f>'Sampling Data'!L1093</f>
        <v>0</v>
      </c>
      <c r="N1093" s="19">
        <f>'Sampling Data'!M1093</f>
        <v>0</v>
      </c>
      <c r="O1093" s="18">
        <f>'Sampling Data'!N1093</f>
        <v>0</v>
      </c>
      <c r="P1093" s="18">
        <f>'Sampling Data'!O1093</f>
        <v>0</v>
      </c>
      <c r="Q1093" s="18">
        <f>'Sampling Data'!P1093</f>
        <v>40</v>
      </c>
      <c r="R1093" s="18">
        <f>'Sampling Data'!AJ1093</f>
        <v>0</v>
      </c>
      <c r="S1093" s="112"/>
      <c r="T1093" s="112"/>
      <c r="U1093" s="113"/>
      <c r="V1093" s="113"/>
      <c r="W1093" s="112"/>
      <c r="X1093" s="112"/>
      <c r="Y1093" s="112"/>
      <c r="Z1093" s="112"/>
      <c r="AA1093" s="15"/>
      <c r="AB1093" s="15"/>
      <c r="AC1093" s="15"/>
      <c r="AD1093" s="15"/>
      <c r="AE1093" s="114" t="str">
        <f>IF(NOT(ISBLANK(Audit[[#This Row],[Audit Winning Candidate]])), Audit[[#This Row],[Audit Winning Candidate]]-Audit[[#This Row],[Winning Candidate]], "")</f>
        <v/>
      </c>
      <c r="AF1093" s="18" t="str">
        <f>IF(NOT(ISBLANK(Audit[[#This Row],[Audit Losing Candidate]])), Audit[[#This Row],[Audit Losing Candidate]]-Audit[[#This Row],[Losing Candidate]], "")</f>
        <v/>
      </c>
      <c r="AG1093" s="18" t="str">
        <f>IF(NOT(ISBLANK(Audit[[#This Row],[Audit Candidate 3]])), Audit[[#This Row],[Audit Candidate 3]]-Audit[[#This Row],[Candidate 3]], "")</f>
        <v/>
      </c>
      <c r="AH1093" s="18" t="str">
        <f>IF(NOT(ISBLANK(Audit[[#This Row],[Audit Candidate 4]])),Audit[[#This Row],[Audit Candidate 4]]-Audit[[#This Row],[Candidate 4]], "")</f>
        <v/>
      </c>
      <c r="AI1093" s="18" t="str">
        <f>IF(NOT(ISBLANK(Audit[[#This Row],[Audit Candidate 5]])), Audit[[#This Row],[Audit Candidate 5]]-Audit[[#This Row],[Candidate 5]], "")</f>
        <v/>
      </c>
      <c r="AJ1093" s="18" t="str">
        <f>IF(NOT(ISBLANK(Audit[[#This Row],[Audit Candidate 6]])), Audit[[#This Row],[Audit Candidate 6]]-Audit[[#This Row],[Candidate 6]], "")</f>
        <v/>
      </c>
      <c r="AK1093" s="18" t="str">
        <f>IF(NOT(ISBLANK(Audit[[#This Row],[Audit Candidate 7]])), Audit[[#This Row],[Audit Candidate 7]]-Audit[[#This Row],[Candidate 7]], "")</f>
        <v/>
      </c>
      <c r="AL1093" s="18" t="str">
        <f>IF(NOT(ISBLANK(Audit[[#This Row],[Audit Candidate 8]])), Audit[[#This Row],[Audit Candidate 8]]-Audit[[#This Row],[Candidate 8]], "")</f>
        <v/>
      </c>
      <c r="AM1093" s="18" t="str">
        <f>IF(NOT(ISBLANK(Audit[[#This Row],[Audit Candidate 9]])), Audit[[#This Row],[Audit Candidate 9]]-Audit[[#This Row],[Candidate 9]], "")</f>
        <v/>
      </c>
      <c r="AN1093" s="18" t="str">
        <f>IF(NOT(ISBLANK(Audit[[#This Row],[Audit Candidate 10]])), Audit[[#This Row],[Audit Candidate 10]]-Audit[[#This Row],[Candidate 10]], "")</f>
        <v/>
      </c>
      <c r="AO1093" s="18" t="str">
        <f>IF(NOT(ISBLANK(Audit[[#This Row],[Audit Candidate 11]])), Audit[[#This Row],[Audit Candidate 11]]-Audit[[#This Row],[Candidate 11]], "")</f>
        <v/>
      </c>
      <c r="AP1093" s="18" t="str">
        <f>IF(NOT(ISBLANK(Audit[[#This Row],[Audit Candidate 12]])), Audit[[#This Row],[Audit Candidate 12]]-Audit[[#This Row],[Candidate 12]], "")</f>
        <v/>
      </c>
      <c r="AQ1093" s="18">
        <f>SUMIF(Audit[[#This Row],[Difference Winner]:[Difference Candidate 12]], "&gt;0")</f>
        <v>0</v>
      </c>
      <c r="AR1093" s="18">
        <f>SUM(Audit[[#This Row],[Difference Winner]:[Difference Candidate 12]])</f>
        <v>0</v>
      </c>
      <c r="AS1093" s="18">
        <f>IF(Audit[[#This Row],[Times p Drawn - With Replacement]]&gt;0, IF(Audit[[#This Row],[Canceled Differences]]&lt;0, Audit[[#This Row],[Max Differences]]+ABS(Audit[[#This Row],[Canceled Differences]]), Audit[[#This Row],[Max Differences]]), 0)</f>
        <v>0</v>
      </c>
      <c r="AT1093" s="18">
        <f>'Sampling Data'!AB1093</f>
        <v>2.1358796369004619E-3</v>
      </c>
      <c r="AU1093" s="18">
        <f>IF(
      SUM(Audit[[#This Row],[Audit Losing Candidate]:[Audit Candidate 12]])
      &lt;&gt;0,
      (Audit[[#This Row],[Winning Candidate]]-Audit[[#This Row],[Losing Candidate]]-(Audit[[#This Row],[Audit Winning Candidate]]-Audit[[#This Row],[Audit Losing Candidate]]))/(Audit[[#Totals],[Winning Candidate]]-Audit[[#Totals],[Losing Candidate]]),
      0
)</f>
        <v>0</v>
      </c>
      <c r="AV109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8">
        <f>IF(Audit[[#This Row],[Max Relative Error (ep)]] = 0, 0, Audit[[#This Row],[Max Relative Error (ep)]]/Audit[[#This Row],[Error Bound (up) - Max. possible relative overstatement]])</f>
        <v>0</v>
      </c>
      <c r="BH109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3" s="18">
        <f t="shared" si="17"/>
        <v>1</v>
      </c>
      <c r="BJ1093" s="18">
        <f>PRODUCT($BI$5:BI1093)</f>
        <v>6.0944423859500517E-2</v>
      </c>
      <c r="BK1093" s="20">
        <f>1 - Audit[[#This Row],[K-M P Value]]</f>
        <v>0.9390555761404995</v>
      </c>
      <c r="BL1093" s="18" t="str">
        <f>IF(Audit[[#This Row],[K-M P Value]]&gt;1-'General Info'!$B$12,"Continue", "Stop")</f>
        <v>Stop</v>
      </c>
      <c r="BM1093" s="23" t="b">
        <f>IF(Audit[[#This Row],[Status - Continue or stop audit]] = "Continue", TRUE, IF(BL1092 = "Continue", TRUE, FALSE))</f>
        <v>0</v>
      </c>
      <c r="BN1093" s="23"/>
    </row>
    <row r="1094" spans="1:66" ht="15" hidden="1" customHeight="1" x14ac:dyDescent="0.35">
      <c r="A1094" s="18" t="str">
        <f>'Sampling Data'!AI1094</f>
        <v/>
      </c>
      <c r="B1094" s="18" t="str">
        <f>'Sampling Data'!A1094</f>
        <v>8725 SPFLD Y   (ED)</v>
      </c>
      <c r="C1094" s="18">
        <f>'Sampling Data'!B1094</f>
        <v>21</v>
      </c>
      <c r="D1094" s="18">
        <f>'Sampling Data'!C1094</f>
        <v>2</v>
      </c>
      <c r="E1094" s="19">
        <f>'Sampling Data'!D1094</f>
        <v>0</v>
      </c>
      <c r="F1094" s="19">
        <f>'Sampling Data'!E1094</f>
        <v>0</v>
      </c>
      <c r="G1094" s="19">
        <f>'Sampling Data'!F1094</f>
        <v>0</v>
      </c>
      <c r="H1094" s="19">
        <f>'Sampling Data'!G1094</f>
        <v>0</v>
      </c>
      <c r="I1094" s="19">
        <f>'Sampling Data'!H1094</f>
        <v>0</v>
      </c>
      <c r="J1094" s="19">
        <f>'Sampling Data'!I1094</f>
        <v>0</v>
      </c>
      <c r="K1094" s="19">
        <f>'Sampling Data'!J1094</f>
        <v>0</v>
      </c>
      <c r="L1094" s="19">
        <f>'Sampling Data'!K1094</f>
        <v>0</v>
      </c>
      <c r="M1094" s="19">
        <f>'Sampling Data'!L1094</f>
        <v>0</v>
      </c>
      <c r="N1094" s="19">
        <f>'Sampling Data'!M1094</f>
        <v>0</v>
      </c>
      <c r="O1094" s="18">
        <f>'Sampling Data'!N1094</f>
        <v>0</v>
      </c>
      <c r="P1094" s="18">
        <f>'Sampling Data'!O1094</f>
        <v>0</v>
      </c>
      <c r="Q1094" s="18">
        <f>'Sampling Data'!P1094</f>
        <v>23</v>
      </c>
      <c r="R1094" s="18">
        <f>'Sampling Data'!AJ1094</f>
        <v>0</v>
      </c>
      <c r="S1094" s="112"/>
      <c r="T1094" s="112"/>
      <c r="U1094" s="113"/>
      <c r="V1094" s="113"/>
      <c r="W1094" s="112"/>
      <c r="X1094" s="112"/>
      <c r="Y1094" s="112"/>
      <c r="Z1094" s="112"/>
      <c r="AA1094" s="15"/>
      <c r="AB1094" s="15"/>
      <c r="AC1094" s="15"/>
      <c r="AD1094" s="15"/>
      <c r="AE1094" s="114" t="str">
        <f>IF(NOT(ISBLANK(Audit[[#This Row],[Audit Winning Candidate]])), Audit[[#This Row],[Audit Winning Candidate]]-Audit[[#This Row],[Winning Candidate]], "")</f>
        <v/>
      </c>
      <c r="AF1094" s="18" t="str">
        <f>IF(NOT(ISBLANK(Audit[[#This Row],[Audit Losing Candidate]])), Audit[[#This Row],[Audit Losing Candidate]]-Audit[[#This Row],[Losing Candidate]], "")</f>
        <v/>
      </c>
      <c r="AG1094" s="18" t="str">
        <f>IF(NOT(ISBLANK(Audit[[#This Row],[Audit Candidate 3]])), Audit[[#This Row],[Audit Candidate 3]]-Audit[[#This Row],[Candidate 3]], "")</f>
        <v/>
      </c>
      <c r="AH1094" s="18" t="str">
        <f>IF(NOT(ISBLANK(Audit[[#This Row],[Audit Candidate 4]])),Audit[[#This Row],[Audit Candidate 4]]-Audit[[#This Row],[Candidate 4]], "")</f>
        <v/>
      </c>
      <c r="AI1094" s="18" t="str">
        <f>IF(NOT(ISBLANK(Audit[[#This Row],[Audit Candidate 5]])), Audit[[#This Row],[Audit Candidate 5]]-Audit[[#This Row],[Candidate 5]], "")</f>
        <v/>
      </c>
      <c r="AJ1094" s="18" t="str">
        <f>IF(NOT(ISBLANK(Audit[[#This Row],[Audit Candidate 6]])), Audit[[#This Row],[Audit Candidate 6]]-Audit[[#This Row],[Candidate 6]], "")</f>
        <v/>
      </c>
      <c r="AK1094" s="18" t="str">
        <f>IF(NOT(ISBLANK(Audit[[#This Row],[Audit Candidate 7]])), Audit[[#This Row],[Audit Candidate 7]]-Audit[[#This Row],[Candidate 7]], "")</f>
        <v/>
      </c>
      <c r="AL1094" s="18" t="str">
        <f>IF(NOT(ISBLANK(Audit[[#This Row],[Audit Candidate 8]])), Audit[[#This Row],[Audit Candidate 8]]-Audit[[#This Row],[Candidate 8]], "")</f>
        <v/>
      </c>
      <c r="AM1094" s="18" t="str">
        <f>IF(NOT(ISBLANK(Audit[[#This Row],[Audit Candidate 9]])), Audit[[#This Row],[Audit Candidate 9]]-Audit[[#This Row],[Candidate 9]], "")</f>
        <v/>
      </c>
      <c r="AN1094" s="18" t="str">
        <f>IF(NOT(ISBLANK(Audit[[#This Row],[Audit Candidate 10]])), Audit[[#This Row],[Audit Candidate 10]]-Audit[[#This Row],[Candidate 10]], "")</f>
        <v/>
      </c>
      <c r="AO1094" s="18" t="str">
        <f>IF(NOT(ISBLANK(Audit[[#This Row],[Audit Candidate 11]])), Audit[[#This Row],[Audit Candidate 11]]-Audit[[#This Row],[Candidate 11]], "")</f>
        <v/>
      </c>
      <c r="AP1094" s="18" t="str">
        <f>IF(NOT(ISBLANK(Audit[[#This Row],[Audit Candidate 12]])), Audit[[#This Row],[Audit Candidate 12]]-Audit[[#This Row],[Candidate 12]], "")</f>
        <v/>
      </c>
      <c r="AQ1094" s="18">
        <f>SUMIF(Audit[[#This Row],[Difference Winner]:[Difference Candidate 12]], "&gt;0")</f>
        <v>0</v>
      </c>
      <c r="AR1094" s="18">
        <f>SUM(Audit[[#This Row],[Difference Winner]:[Difference Candidate 12]])</f>
        <v>0</v>
      </c>
      <c r="AS1094" s="18">
        <f>IF(Audit[[#This Row],[Times p Drawn - With Replacement]]&gt;0, IF(Audit[[#This Row],[Canceled Differences]]&lt;0, Audit[[#This Row],[Max Differences]]+ABS(Audit[[#This Row],[Canceled Differences]]), Audit[[#This Row],[Max Differences]]), 0)</f>
        <v>0</v>
      </c>
      <c r="AT1094" s="18">
        <f>'Sampling Data'!AB1094</f>
        <v>1.3192197757326382E-3</v>
      </c>
      <c r="AU1094" s="18">
        <f>IF(
      SUM(Audit[[#This Row],[Audit Losing Candidate]:[Audit Candidate 12]])
      &lt;&gt;0,
      (Audit[[#This Row],[Winning Candidate]]-Audit[[#This Row],[Losing Candidate]]-(Audit[[#This Row],[Audit Winning Candidate]]-Audit[[#This Row],[Audit Losing Candidate]]))/(Audit[[#Totals],[Winning Candidate]]-Audit[[#Totals],[Losing Candidate]]),
      0
)</f>
        <v>0</v>
      </c>
      <c r="AV109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8">
        <f>IF(Audit[[#This Row],[Max Relative Error (ep)]] = 0, 0, Audit[[#This Row],[Max Relative Error (ep)]]/Audit[[#This Row],[Error Bound (up) - Max. possible relative overstatement]])</f>
        <v>0</v>
      </c>
      <c r="BH109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4" s="18">
        <f t="shared" si="17"/>
        <v>1</v>
      </c>
      <c r="BJ1094" s="18">
        <f>PRODUCT($BI$5:BI1094)</f>
        <v>6.0944423859500517E-2</v>
      </c>
      <c r="BK1094" s="20">
        <f>1 - Audit[[#This Row],[K-M P Value]]</f>
        <v>0.9390555761404995</v>
      </c>
      <c r="BL1094" s="18" t="str">
        <f>IF(Audit[[#This Row],[K-M P Value]]&gt;1-'General Info'!$B$12,"Continue", "Stop")</f>
        <v>Stop</v>
      </c>
      <c r="BM1094" s="23" t="b">
        <f>IF(Audit[[#This Row],[Status - Continue or stop audit]] = "Continue", TRUE, IF(BL1093 = "Continue", TRUE, FALSE))</f>
        <v>0</v>
      </c>
      <c r="BN1094" s="23"/>
    </row>
    <row r="1095" spans="1:66" ht="15" hidden="1" customHeight="1" x14ac:dyDescent="0.35">
      <c r="A1095" s="18" t="str">
        <f>'Sampling Data'!AI1095</f>
        <v/>
      </c>
      <c r="B1095" s="18" t="str">
        <f>'Sampling Data'!A1095</f>
        <v>8726 SPFLD Z   (ED)</v>
      </c>
      <c r="C1095" s="18">
        <f>'Sampling Data'!B1095</f>
        <v>29</v>
      </c>
      <c r="D1095" s="18">
        <f>'Sampling Data'!C1095</f>
        <v>1</v>
      </c>
      <c r="E1095" s="19">
        <f>'Sampling Data'!D1095</f>
        <v>0</v>
      </c>
      <c r="F1095" s="19">
        <f>'Sampling Data'!E1095</f>
        <v>0</v>
      </c>
      <c r="G1095" s="19">
        <f>'Sampling Data'!F1095</f>
        <v>0</v>
      </c>
      <c r="H1095" s="19">
        <f>'Sampling Data'!G1095</f>
        <v>0</v>
      </c>
      <c r="I1095" s="19">
        <f>'Sampling Data'!H1095</f>
        <v>0</v>
      </c>
      <c r="J1095" s="19">
        <f>'Sampling Data'!I1095</f>
        <v>0</v>
      </c>
      <c r="K1095" s="19">
        <f>'Sampling Data'!J1095</f>
        <v>0</v>
      </c>
      <c r="L1095" s="19">
        <f>'Sampling Data'!K1095</f>
        <v>0</v>
      </c>
      <c r="M1095" s="19">
        <f>'Sampling Data'!L1095</f>
        <v>0</v>
      </c>
      <c r="N1095" s="19">
        <f>'Sampling Data'!M1095</f>
        <v>0</v>
      </c>
      <c r="O1095" s="18">
        <f>'Sampling Data'!N1095</f>
        <v>0</v>
      </c>
      <c r="P1095" s="18">
        <f>'Sampling Data'!O1095</f>
        <v>0</v>
      </c>
      <c r="Q1095" s="18">
        <f>'Sampling Data'!P1095</f>
        <v>30</v>
      </c>
      <c r="R1095" s="18">
        <f>'Sampling Data'!AJ1095</f>
        <v>0</v>
      </c>
      <c r="S1095" s="112"/>
      <c r="T1095" s="112"/>
      <c r="U1095" s="113"/>
      <c r="V1095" s="113"/>
      <c r="W1095" s="112"/>
      <c r="X1095" s="112"/>
      <c r="Y1095" s="112"/>
      <c r="Z1095" s="112"/>
      <c r="AA1095" s="15"/>
      <c r="AB1095" s="15"/>
      <c r="AC1095" s="15"/>
      <c r="AD1095" s="15"/>
      <c r="AE1095" s="114" t="str">
        <f>IF(NOT(ISBLANK(Audit[[#This Row],[Audit Winning Candidate]])), Audit[[#This Row],[Audit Winning Candidate]]-Audit[[#This Row],[Winning Candidate]], "")</f>
        <v/>
      </c>
      <c r="AF1095" s="18" t="str">
        <f>IF(NOT(ISBLANK(Audit[[#This Row],[Audit Losing Candidate]])), Audit[[#This Row],[Audit Losing Candidate]]-Audit[[#This Row],[Losing Candidate]], "")</f>
        <v/>
      </c>
      <c r="AG1095" s="18" t="str">
        <f>IF(NOT(ISBLANK(Audit[[#This Row],[Audit Candidate 3]])), Audit[[#This Row],[Audit Candidate 3]]-Audit[[#This Row],[Candidate 3]], "")</f>
        <v/>
      </c>
      <c r="AH1095" s="18" t="str">
        <f>IF(NOT(ISBLANK(Audit[[#This Row],[Audit Candidate 4]])),Audit[[#This Row],[Audit Candidate 4]]-Audit[[#This Row],[Candidate 4]], "")</f>
        <v/>
      </c>
      <c r="AI1095" s="18" t="str">
        <f>IF(NOT(ISBLANK(Audit[[#This Row],[Audit Candidate 5]])), Audit[[#This Row],[Audit Candidate 5]]-Audit[[#This Row],[Candidate 5]], "")</f>
        <v/>
      </c>
      <c r="AJ1095" s="18" t="str">
        <f>IF(NOT(ISBLANK(Audit[[#This Row],[Audit Candidate 6]])), Audit[[#This Row],[Audit Candidate 6]]-Audit[[#This Row],[Candidate 6]], "")</f>
        <v/>
      </c>
      <c r="AK1095" s="18" t="str">
        <f>IF(NOT(ISBLANK(Audit[[#This Row],[Audit Candidate 7]])), Audit[[#This Row],[Audit Candidate 7]]-Audit[[#This Row],[Candidate 7]], "")</f>
        <v/>
      </c>
      <c r="AL1095" s="18" t="str">
        <f>IF(NOT(ISBLANK(Audit[[#This Row],[Audit Candidate 8]])), Audit[[#This Row],[Audit Candidate 8]]-Audit[[#This Row],[Candidate 8]], "")</f>
        <v/>
      </c>
      <c r="AM1095" s="18" t="str">
        <f>IF(NOT(ISBLANK(Audit[[#This Row],[Audit Candidate 9]])), Audit[[#This Row],[Audit Candidate 9]]-Audit[[#This Row],[Candidate 9]], "")</f>
        <v/>
      </c>
      <c r="AN1095" s="18" t="str">
        <f>IF(NOT(ISBLANK(Audit[[#This Row],[Audit Candidate 10]])), Audit[[#This Row],[Audit Candidate 10]]-Audit[[#This Row],[Candidate 10]], "")</f>
        <v/>
      </c>
      <c r="AO1095" s="18" t="str">
        <f>IF(NOT(ISBLANK(Audit[[#This Row],[Audit Candidate 11]])), Audit[[#This Row],[Audit Candidate 11]]-Audit[[#This Row],[Candidate 11]], "")</f>
        <v/>
      </c>
      <c r="AP1095" s="18" t="str">
        <f>IF(NOT(ISBLANK(Audit[[#This Row],[Audit Candidate 12]])), Audit[[#This Row],[Audit Candidate 12]]-Audit[[#This Row],[Candidate 12]], "")</f>
        <v/>
      </c>
      <c r="AQ1095" s="18">
        <f>SUMIF(Audit[[#This Row],[Difference Winner]:[Difference Candidate 12]], "&gt;0")</f>
        <v>0</v>
      </c>
      <c r="AR1095" s="18">
        <f>SUM(Audit[[#This Row],[Difference Winner]:[Difference Candidate 12]])</f>
        <v>0</v>
      </c>
      <c r="AS1095" s="18">
        <f>IF(Audit[[#This Row],[Times p Drawn - With Replacement]]&gt;0, IF(Audit[[#This Row],[Canceled Differences]]&lt;0, Audit[[#This Row],[Max Differences]]+ABS(Audit[[#This Row],[Canceled Differences]]), Audit[[#This Row],[Max Differences]]), 0)</f>
        <v>0</v>
      </c>
      <c r="AT1095" s="18">
        <f>'Sampling Data'!AB1095</f>
        <v>1.8217796902974526E-3</v>
      </c>
      <c r="AU1095" s="18">
        <f>IF(
      SUM(Audit[[#This Row],[Audit Losing Candidate]:[Audit Candidate 12]])
      &lt;&gt;0,
      (Audit[[#This Row],[Winning Candidate]]-Audit[[#This Row],[Losing Candidate]]-(Audit[[#This Row],[Audit Winning Candidate]]-Audit[[#This Row],[Audit Losing Candidate]]))/(Audit[[#Totals],[Winning Candidate]]-Audit[[#Totals],[Losing Candidate]]),
      0
)</f>
        <v>0</v>
      </c>
      <c r="AV109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8">
        <f>IF(Audit[[#This Row],[Max Relative Error (ep)]] = 0, 0, Audit[[#This Row],[Max Relative Error (ep)]]/Audit[[#This Row],[Error Bound (up) - Max. possible relative overstatement]])</f>
        <v>0</v>
      </c>
      <c r="BH109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5" s="18">
        <f t="shared" si="17"/>
        <v>1</v>
      </c>
      <c r="BJ1095" s="18">
        <f>PRODUCT($BI$5:BI1095)</f>
        <v>6.0944423859500517E-2</v>
      </c>
      <c r="BK1095" s="20">
        <f>1 - Audit[[#This Row],[K-M P Value]]</f>
        <v>0.9390555761404995</v>
      </c>
      <c r="BL1095" s="18" t="str">
        <f>IF(Audit[[#This Row],[K-M P Value]]&gt;1-'General Info'!$B$12,"Continue", "Stop")</f>
        <v>Stop</v>
      </c>
      <c r="BM1095" s="23" t="b">
        <f>IF(Audit[[#This Row],[Status - Continue or stop audit]] = "Continue", TRUE, IF(BL1094 = "Continue", TRUE, FALSE))</f>
        <v>0</v>
      </c>
      <c r="BN1095" s="23"/>
    </row>
    <row r="1096" spans="1:66" ht="15" hidden="1" customHeight="1" x14ac:dyDescent="0.35">
      <c r="A1096" s="18" t="str">
        <f>'Sampling Data'!AI1096</f>
        <v/>
      </c>
      <c r="B1096" s="18" t="str">
        <f>'Sampling Data'!A1096</f>
        <v>8727 SPFLD AA   (ED)</v>
      </c>
      <c r="C1096" s="18">
        <f>'Sampling Data'!B1096</f>
        <v>51</v>
      </c>
      <c r="D1096" s="18">
        <f>'Sampling Data'!C1096</f>
        <v>9</v>
      </c>
      <c r="E1096" s="19">
        <f>'Sampling Data'!D1096</f>
        <v>0</v>
      </c>
      <c r="F1096" s="19">
        <f>'Sampling Data'!E1096</f>
        <v>0</v>
      </c>
      <c r="G1096" s="19">
        <f>'Sampling Data'!F1096</f>
        <v>0</v>
      </c>
      <c r="H1096" s="19">
        <f>'Sampling Data'!G1096</f>
        <v>0</v>
      </c>
      <c r="I1096" s="19">
        <f>'Sampling Data'!H1096</f>
        <v>0</v>
      </c>
      <c r="J1096" s="19">
        <f>'Sampling Data'!I1096</f>
        <v>0</v>
      </c>
      <c r="K1096" s="19">
        <f>'Sampling Data'!J1096</f>
        <v>0</v>
      </c>
      <c r="L1096" s="19">
        <f>'Sampling Data'!K1096</f>
        <v>0</v>
      </c>
      <c r="M1096" s="19">
        <f>'Sampling Data'!L1096</f>
        <v>0</v>
      </c>
      <c r="N1096" s="19">
        <f>'Sampling Data'!M1096</f>
        <v>0</v>
      </c>
      <c r="O1096" s="18">
        <f>'Sampling Data'!N1096</f>
        <v>0</v>
      </c>
      <c r="P1096" s="18">
        <f>'Sampling Data'!O1096</f>
        <v>1</v>
      </c>
      <c r="Q1096" s="18">
        <f>'Sampling Data'!P1096</f>
        <v>61</v>
      </c>
      <c r="R1096" s="18">
        <f>'Sampling Data'!AJ1096</f>
        <v>0</v>
      </c>
      <c r="S1096" s="112"/>
      <c r="T1096" s="112"/>
      <c r="U1096" s="113"/>
      <c r="V1096" s="113"/>
      <c r="W1096" s="112"/>
      <c r="X1096" s="112"/>
      <c r="Y1096" s="112"/>
      <c r="Z1096" s="112"/>
      <c r="AA1096" s="15"/>
      <c r="AB1096" s="15"/>
      <c r="AC1096" s="15"/>
      <c r="AD1096" s="15"/>
      <c r="AE1096" s="114" t="str">
        <f>IF(NOT(ISBLANK(Audit[[#This Row],[Audit Winning Candidate]])), Audit[[#This Row],[Audit Winning Candidate]]-Audit[[#This Row],[Winning Candidate]], "")</f>
        <v/>
      </c>
      <c r="AF1096" s="18" t="str">
        <f>IF(NOT(ISBLANK(Audit[[#This Row],[Audit Losing Candidate]])), Audit[[#This Row],[Audit Losing Candidate]]-Audit[[#This Row],[Losing Candidate]], "")</f>
        <v/>
      </c>
      <c r="AG1096" s="18" t="str">
        <f>IF(NOT(ISBLANK(Audit[[#This Row],[Audit Candidate 3]])), Audit[[#This Row],[Audit Candidate 3]]-Audit[[#This Row],[Candidate 3]], "")</f>
        <v/>
      </c>
      <c r="AH1096" s="18" t="str">
        <f>IF(NOT(ISBLANK(Audit[[#This Row],[Audit Candidate 4]])),Audit[[#This Row],[Audit Candidate 4]]-Audit[[#This Row],[Candidate 4]], "")</f>
        <v/>
      </c>
      <c r="AI1096" s="18" t="str">
        <f>IF(NOT(ISBLANK(Audit[[#This Row],[Audit Candidate 5]])), Audit[[#This Row],[Audit Candidate 5]]-Audit[[#This Row],[Candidate 5]], "")</f>
        <v/>
      </c>
      <c r="AJ1096" s="18" t="str">
        <f>IF(NOT(ISBLANK(Audit[[#This Row],[Audit Candidate 6]])), Audit[[#This Row],[Audit Candidate 6]]-Audit[[#This Row],[Candidate 6]], "")</f>
        <v/>
      </c>
      <c r="AK1096" s="18" t="str">
        <f>IF(NOT(ISBLANK(Audit[[#This Row],[Audit Candidate 7]])), Audit[[#This Row],[Audit Candidate 7]]-Audit[[#This Row],[Candidate 7]], "")</f>
        <v/>
      </c>
      <c r="AL1096" s="18" t="str">
        <f>IF(NOT(ISBLANK(Audit[[#This Row],[Audit Candidate 8]])), Audit[[#This Row],[Audit Candidate 8]]-Audit[[#This Row],[Candidate 8]], "")</f>
        <v/>
      </c>
      <c r="AM1096" s="18" t="str">
        <f>IF(NOT(ISBLANK(Audit[[#This Row],[Audit Candidate 9]])), Audit[[#This Row],[Audit Candidate 9]]-Audit[[#This Row],[Candidate 9]], "")</f>
        <v/>
      </c>
      <c r="AN1096" s="18" t="str">
        <f>IF(NOT(ISBLANK(Audit[[#This Row],[Audit Candidate 10]])), Audit[[#This Row],[Audit Candidate 10]]-Audit[[#This Row],[Candidate 10]], "")</f>
        <v/>
      </c>
      <c r="AO1096" s="18" t="str">
        <f>IF(NOT(ISBLANK(Audit[[#This Row],[Audit Candidate 11]])), Audit[[#This Row],[Audit Candidate 11]]-Audit[[#This Row],[Candidate 11]], "")</f>
        <v/>
      </c>
      <c r="AP1096" s="18" t="str">
        <f>IF(NOT(ISBLANK(Audit[[#This Row],[Audit Candidate 12]])), Audit[[#This Row],[Audit Candidate 12]]-Audit[[#This Row],[Candidate 12]], "")</f>
        <v/>
      </c>
      <c r="AQ1096" s="18">
        <f>SUMIF(Audit[[#This Row],[Difference Winner]:[Difference Candidate 12]], "&gt;0")</f>
        <v>0</v>
      </c>
      <c r="AR1096" s="18">
        <f>SUM(Audit[[#This Row],[Difference Winner]:[Difference Candidate 12]])</f>
        <v>0</v>
      </c>
      <c r="AS1096" s="18">
        <f>IF(Audit[[#This Row],[Times p Drawn - With Replacement]]&gt;0, IF(Audit[[#This Row],[Canceled Differences]]&lt;0, Audit[[#This Row],[Max Differences]]+ABS(Audit[[#This Row],[Canceled Differences]]), Audit[[#This Row],[Max Differences]]), 0)</f>
        <v>0</v>
      </c>
      <c r="AT1096" s="18">
        <f>'Sampling Data'!AB1096</f>
        <v>3.2352294500109934E-3</v>
      </c>
      <c r="AU1096" s="18">
        <f>IF(
      SUM(Audit[[#This Row],[Audit Losing Candidate]:[Audit Candidate 12]])
      &lt;&gt;0,
      (Audit[[#This Row],[Winning Candidate]]-Audit[[#This Row],[Losing Candidate]]-(Audit[[#This Row],[Audit Winning Candidate]]-Audit[[#This Row],[Audit Losing Candidate]]))/(Audit[[#Totals],[Winning Candidate]]-Audit[[#Totals],[Losing Candidate]]),
      0
)</f>
        <v>0</v>
      </c>
      <c r="AV109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8">
        <f>IF(Audit[[#This Row],[Max Relative Error (ep)]] = 0, 0, Audit[[#This Row],[Max Relative Error (ep)]]/Audit[[#This Row],[Error Bound (up) - Max. possible relative overstatement]])</f>
        <v>0</v>
      </c>
      <c r="BH109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6" s="18">
        <f t="shared" si="17"/>
        <v>1</v>
      </c>
      <c r="BJ1096" s="18">
        <f>PRODUCT($BI$5:BI1096)</f>
        <v>6.0944423859500517E-2</v>
      </c>
      <c r="BK1096" s="20">
        <f>1 - Audit[[#This Row],[K-M P Value]]</f>
        <v>0.9390555761404995</v>
      </c>
      <c r="BL1096" s="18" t="str">
        <f>IF(Audit[[#This Row],[K-M P Value]]&gt;1-'General Info'!$B$12,"Continue", "Stop")</f>
        <v>Stop</v>
      </c>
      <c r="BM1096" s="23" t="b">
        <f>IF(Audit[[#This Row],[Status - Continue or stop audit]] = "Continue", TRUE, IF(BL1095 = "Continue", TRUE, FALSE))</f>
        <v>0</v>
      </c>
      <c r="BN1096" s="23"/>
    </row>
    <row r="1097" spans="1:66" ht="15" hidden="1" customHeight="1" x14ac:dyDescent="0.35">
      <c r="A1097" s="18" t="str">
        <f>'Sampling Data'!AI1097</f>
        <v/>
      </c>
      <c r="B1097" s="18" t="str">
        <f>'Sampling Data'!A1097</f>
        <v>8728 SPFLD BB   (ED)</v>
      </c>
      <c r="C1097" s="18">
        <f>'Sampling Data'!B1097</f>
        <v>68</v>
      </c>
      <c r="D1097" s="18">
        <f>'Sampling Data'!C1097</f>
        <v>4</v>
      </c>
      <c r="E1097" s="19">
        <f>'Sampling Data'!D1097</f>
        <v>0</v>
      </c>
      <c r="F1097" s="19">
        <f>'Sampling Data'!E1097</f>
        <v>0</v>
      </c>
      <c r="G1097" s="19">
        <f>'Sampling Data'!F1097</f>
        <v>0</v>
      </c>
      <c r="H1097" s="19">
        <f>'Sampling Data'!G1097</f>
        <v>0</v>
      </c>
      <c r="I1097" s="19">
        <f>'Sampling Data'!H1097</f>
        <v>0</v>
      </c>
      <c r="J1097" s="19">
        <f>'Sampling Data'!I1097</f>
        <v>0</v>
      </c>
      <c r="K1097" s="19">
        <f>'Sampling Data'!J1097</f>
        <v>0</v>
      </c>
      <c r="L1097" s="19">
        <f>'Sampling Data'!K1097</f>
        <v>0</v>
      </c>
      <c r="M1097" s="19">
        <f>'Sampling Data'!L1097</f>
        <v>0</v>
      </c>
      <c r="N1097" s="19">
        <f>'Sampling Data'!M1097</f>
        <v>0</v>
      </c>
      <c r="O1097" s="18">
        <f>'Sampling Data'!N1097</f>
        <v>0</v>
      </c>
      <c r="P1097" s="18">
        <f>'Sampling Data'!O1097</f>
        <v>1</v>
      </c>
      <c r="Q1097" s="18">
        <f>'Sampling Data'!P1097</f>
        <v>73</v>
      </c>
      <c r="R1097" s="18">
        <f>'Sampling Data'!AJ1097</f>
        <v>0</v>
      </c>
      <c r="S1097" s="112"/>
      <c r="T1097" s="112"/>
      <c r="U1097" s="113"/>
      <c r="V1097" s="113"/>
      <c r="W1097" s="112"/>
      <c r="X1097" s="112"/>
      <c r="Y1097" s="112"/>
      <c r="Z1097" s="112"/>
      <c r="AA1097" s="15"/>
      <c r="AB1097" s="15"/>
      <c r="AC1097" s="15"/>
      <c r="AD1097" s="15"/>
      <c r="AE1097" s="114" t="str">
        <f>IF(NOT(ISBLANK(Audit[[#This Row],[Audit Winning Candidate]])), Audit[[#This Row],[Audit Winning Candidate]]-Audit[[#This Row],[Winning Candidate]], "")</f>
        <v/>
      </c>
      <c r="AF1097" s="18" t="str">
        <f>IF(NOT(ISBLANK(Audit[[#This Row],[Audit Losing Candidate]])), Audit[[#This Row],[Audit Losing Candidate]]-Audit[[#This Row],[Losing Candidate]], "")</f>
        <v/>
      </c>
      <c r="AG1097" s="18" t="str">
        <f>IF(NOT(ISBLANK(Audit[[#This Row],[Audit Candidate 3]])), Audit[[#This Row],[Audit Candidate 3]]-Audit[[#This Row],[Candidate 3]], "")</f>
        <v/>
      </c>
      <c r="AH1097" s="18" t="str">
        <f>IF(NOT(ISBLANK(Audit[[#This Row],[Audit Candidate 4]])),Audit[[#This Row],[Audit Candidate 4]]-Audit[[#This Row],[Candidate 4]], "")</f>
        <v/>
      </c>
      <c r="AI1097" s="18" t="str">
        <f>IF(NOT(ISBLANK(Audit[[#This Row],[Audit Candidate 5]])), Audit[[#This Row],[Audit Candidate 5]]-Audit[[#This Row],[Candidate 5]], "")</f>
        <v/>
      </c>
      <c r="AJ1097" s="18" t="str">
        <f>IF(NOT(ISBLANK(Audit[[#This Row],[Audit Candidate 6]])), Audit[[#This Row],[Audit Candidate 6]]-Audit[[#This Row],[Candidate 6]], "")</f>
        <v/>
      </c>
      <c r="AK1097" s="18" t="str">
        <f>IF(NOT(ISBLANK(Audit[[#This Row],[Audit Candidate 7]])), Audit[[#This Row],[Audit Candidate 7]]-Audit[[#This Row],[Candidate 7]], "")</f>
        <v/>
      </c>
      <c r="AL1097" s="18" t="str">
        <f>IF(NOT(ISBLANK(Audit[[#This Row],[Audit Candidate 8]])), Audit[[#This Row],[Audit Candidate 8]]-Audit[[#This Row],[Candidate 8]], "")</f>
        <v/>
      </c>
      <c r="AM1097" s="18" t="str">
        <f>IF(NOT(ISBLANK(Audit[[#This Row],[Audit Candidate 9]])), Audit[[#This Row],[Audit Candidate 9]]-Audit[[#This Row],[Candidate 9]], "")</f>
        <v/>
      </c>
      <c r="AN1097" s="18" t="str">
        <f>IF(NOT(ISBLANK(Audit[[#This Row],[Audit Candidate 10]])), Audit[[#This Row],[Audit Candidate 10]]-Audit[[#This Row],[Candidate 10]], "")</f>
        <v/>
      </c>
      <c r="AO1097" s="18" t="str">
        <f>IF(NOT(ISBLANK(Audit[[#This Row],[Audit Candidate 11]])), Audit[[#This Row],[Audit Candidate 11]]-Audit[[#This Row],[Candidate 11]], "")</f>
        <v/>
      </c>
      <c r="AP1097" s="18" t="str">
        <f>IF(NOT(ISBLANK(Audit[[#This Row],[Audit Candidate 12]])), Audit[[#This Row],[Audit Candidate 12]]-Audit[[#This Row],[Candidate 12]], "")</f>
        <v/>
      </c>
      <c r="AQ1097" s="18">
        <f>SUMIF(Audit[[#This Row],[Difference Winner]:[Difference Candidate 12]], "&gt;0")</f>
        <v>0</v>
      </c>
      <c r="AR1097" s="18">
        <f>SUM(Audit[[#This Row],[Difference Winner]:[Difference Candidate 12]])</f>
        <v>0</v>
      </c>
      <c r="AS1097" s="18">
        <f>IF(Audit[[#This Row],[Times p Drawn - With Replacement]]&gt;0, IF(Audit[[#This Row],[Canceled Differences]]&lt;0, Audit[[#This Row],[Max Differences]]+ABS(Audit[[#This Row],[Canceled Differences]]), Audit[[#This Row],[Max Differences]]), 0)</f>
        <v>0</v>
      </c>
      <c r="AT1097" s="18">
        <f>'Sampling Data'!AB1097</f>
        <v>4.3031692684612245E-3</v>
      </c>
      <c r="AU1097" s="18">
        <f>IF(
      SUM(Audit[[#This Row],[Audit Losing Candidate]:[Audit Candidate 12]])
      &lt;&gt;0,
      (Audit[[#This Row],[Winning Candidate]]-Audit[[#This Row],[Losing Candidate]]-(Audit[[#This Row],[Audit Winning Candidate]]-Audit[[#This Row],[Audit Losing Candidate]]))/(Audit[[#Totals],[Winning Candidate]]-Audit[[#Totals],[Losing Candidate]]),
      0
)</f>
        <v>0</v>
      </c>
      <c r="AV109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8">
        <f>IF(Audit[[#This Row],[Max Relative Error (ep)]] = 0, 0, Audit[[#This Row],[Max Relative Error (ep)]]/Audit[[#This Row],[Error Bound (up) - Max. possible relative overstatement]])</f>
        <v>0</v>
      </c>
      <c r="BH109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7" s="18">
        <f t="shared" si="17"/>
        <v>1</v>
      </c>
      <c r="BJ1097" s="18">
        <f>PRODUCT($BI$5:BI1097)</f>
        <v>6.0944423859500517E-2</v>
      </c>
      <c r="BK1097" s="20">
        <f>1 - Audit[[#This Row],[K-M P Value]]</f>
        <v>0.9390555761404995</v>
      </c>
      <c r="BL1097" s="18" t="str">
        <f>IF(Audit[[#This Row],[K-M P Value]]&gt;1-'General Info'!$B$12,"Continue", "Stop")</f>
        <v>Stop</v>
      </c>
      <c r="BM1097" s="23" t="b">
        <f>IF(Audit[[#This Row],[Status - Continue or stop audit]] = "Continue", TRUE, IF(BL1096 = "Continue", TRUE, FALSE))</f>
        <v>0</v>
      </c>
      <c r="BN1097" s="23"/>
    </row>
    <row r="1098" spans="1:66" ht="15" hidden="1" customHeight="1" x14ac:dyDescent="0.35">
      <c r="A1098" s="18" t="str">
        <f>'Sampling Data'!AI1098</f>
        <v/>
      </c>
      <c r="B1098" s="18" t="str">
        <f>'Sampling Data'!A1098</f>
        <v>8901 SYCAM A   (ED)</v>
      </c>
      <c r="C1098" s="18">
        <f>'Sampling Data'!B1098</f>
        <v>3</v>
      </c>
      <c r="D1098" s="18">
        <f>'Sampling Data'!C1098</f>
        <v>0</v>
      </c>
      <c r="E1098" s="19">
        <f>'Sampling Data'!D1098</f>
        <v>0</v>
      </c>
      <c r="F1098" s="19">
        <f>'Sampling Data'!E1098</f>
        <v>0</v>
      </c>
      <c r="G1098" s="19">
        <f>'Sampling Data'!F1098</f>
        <v>0</v>
      </c>
      <c r="H1098" s="19">
        <f>'Sampling Data'!G1098</f>
        <v>0</v>
      </c>
      <c r="I1098" s="19">
        <f>'Sampling Data'!H1098</f>
        <v>0</v>
      </c>
      <c r="J1098" s="19">
        <f>'Sampling Data'!I1098</f>
        <v>0</v>
      </c>
      <c r="K1098" s="19">
        <f>'Sampling Data'!J1098</f>
        <v>0</v>
      </c>
      <c r="L1098" s="19">
        <f>'Sampling Data'!K1098</f>
        <v>0</v>
      </c>
      <c r="M1098" s="19">
        <f>'Sampling Data'!L1098</f>
        <v>0</v>
      </c>
      <c r="N1098" s="19">
        <f>'Sampling Data'!M1098</f>
        <v>0</v>
      </c>
      <c r="O1098" s="18">
        <f>'Sampling Data'!N1098</f>
        <v>0</v>
      </c>
      <c r="P1098" s="18">
        <f>'Sampling Data'!O1098</f>
        <v>0</v>
      </c>
      <c r="Q1098" s="18">
        <f>'Sampling Data'!P1098</f>
        <v>3</v>
      </c>
      <c r="R1098" s="18">
        <f>'Sampling Data'!AJ1098</f>
        <v>0</v>
      </c>
      <c r="S1098" s="112"/>
      <c r="T1098" s="112"/>
      <c r="U1098" s="113"/>
      <c r="V1098" s="113"/>
      <c r="W1098" s="112"/>
      <c r="X1098" s="112"/>
      <c r="Y1098" s="112"/>
      <c r="Z1098" s="112"/>
      <c r="AA1098" s="15"/>
      <c r="AB1098" s="15"/>
      <c r="AC1098" s="15"/>
      <c r="AD1098" s="15"/>
      <c r="AE1098" s="114" t="str">
        <f>IF(NOT(ISBLANK(Audit[[#This Row],[Audit Winning Candidate]])), Audit[[#This Row],[Audit Winning Candidate]]-Audit[[#This Row],[Winning Candidate]], "")</f>
        <v/>
      </c>
      <c r="AF1098" s="18" t="str">
        <f>IF(NOT(ISBLANK(Audit[[#This Row],[Audit Losing Candidate]])), Audit[[#This Row],[Audit Losing Candidate]]-Audit[[#This Row],[Losing Candidate]], "")</f>
        <v/>
      </c>
      <c r="AG1098" s="18" t="str">
        <f>IF(NOT(ISBLANK(Audit[[#This Row],[Audit Candidate 3]])), Audit[[#This Row],[Audit Candidate 3]]-Audit[[#This Row],[Candidate 3]], "")</f>
        <v/>
      </c>
      <c r="AH1098" s="18" t="str">
        <f>IF(NOT(ISBLANK(Audit[[#This Row],[Audit Candidate 4]])),Audit[[#This Row],[Audit Candidate 4]]-Audit[[#This Row],[Candidate 4]], "")</f>
        <v/>
      </c>
      <c r="AI1098" s="18" t="str">
        <f>IF(NOT(ISBLANK(Audit[[#This Row],[Audit Candidate 5]])), Audit[[#This Row],[Audit Candidate 5]]-Audit[[#This Row],[Candidate 5]], "")</f>
        <v/>
      </c>
      <c r="AJ1098" s="18" t="str">
        <f>IF(NOT(ISBLANK(Audit[[#This Row],[Audit Candidate 6]])), Audit[[#This Row],[Audit Candidate 6]]-Audit[[#This Row],[Candidate 6]], "")</f>
        <v/>
      </c>
      <c r="AK1098" s="18" t="str">
        <f>IF(NOT(ISBLANK(Audit[[#This Row],[Audit Candidate 7]])), Audit[[#This Row],[Audit Candidate 7]]-Audit[[#This Row],[Candidate 7]], "")</f>
        <v/>
      </c>
      <c r="AL1098" s="18" t="str">
        <f>IF(NOT(ISBLANK(Audit[[#This Row],[Audit Candidate 8]])), Audit[[#This Row],[Audit Candidate 8]]-Audit[[#This Row],[Candidate 8]], "")</f>
        <v/>
      </c>
      <c r="AM1098" s="18" t="str">
        <f>IF(NOT(ISBLANK(Audit[[#This Row],[Audit Candidate 9]])), Audit[[#This Row],[Audit Candidate 9]]-Audit[[#This Row],[Candidate 9]], "")</f>
        <v/>
      </c>
      <c r="AN1098" s="18" t="str">
        <f>IF(NOT(ISBLANK(Audit[[#This Row],[Audit Candidate 10]])), Audit[[#This Row],[Audit Candidate 10]]-Audit[[#This Row],[Candidate 10]], "")</f>
        <v/>
      </c>
      <c r="AO1098" s="18" t="str">
        <f>IF(NOT(ISBLANK(Audit[[#This Row],[Audit Candidate 11]])), Audit[[#This Row],[Audit Candidate 11]]-Audit[[#This Row],[Candidate 11]], "")</f>
        <v/>
      </c>
      <c r="AP1098" s="18" t="str">
        <f>IF(NOT(ISBLANK(Audit[[#This Row],[Audit Candidate 12]])), Audit[[#This Row],[Audit Candidate 12]]-Audit[[#This Row],[Candidate 12]], "")</f>
        <v/>
      </c>
      <c r="AQ1098" s="18">
        <f>SUMIF(Audit[[#This Row],[Difference Winner]:[Difference Candidate 12]], "&gt;0")</f>
        <v>0</v>
      </c>
      <c r="AR1098" s="18">
        <f>SUM(Audit[[#This Row],[Difference Winner]:[Difference Candidate 12]])</f>
        <v>0</v>
      </c>
      <c r="AS1098" s="18">
        <f>IF(Audit[[#This Row],[Times p Drawn - With Replacement]]&gt;0, IF(Audit[[#This Row],[Canceled Differences]]&lt;0, Audit[[#This Row],[Max Differences]]+ABS(Audit[[#This Row],[Canceled Differences]]), Audit[[#This Row],[Max Differences]]), 0)</f>
        <v>0</v>
      </c>
      <c r="AT1098" s="18">
        <f>'Sampling Data'!AB1098</f>
        <v>1.8845996796180544E-4</v>
      </c>
      <c r="AU1098" s="18">
        <f>IF(
      SUM(Audit[[#This Row],[Audit Losing Candidate]:[Audit Candidate 12]])
      &lt;&gt;0,
      (Audit[[#This Row],[Winning Candidate]]-Audit[[#This Row],[Losing Candidate]]-(Audit[[#This Row],[Audit Winning Candidate]]-Audit[[#This Row],[Audit Losing Candidate]]))/(Audit[[#Totals],[Winning Candidate]]-Audit[[#Totals],[Losing Candidate]]),
      0
)</f>
        <v>0</v>
      </c>
      <c r="AV109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8">
        <f>IF(Audit[[#This Row],[Max Relative Error (ep)]] = 0, 0, Audit[[#This Row],[Max Relative Error (ep)]]/Audit[[#This Row],[Error Bound (up) - Max. possible relative overstatement]])</f>
        <v>0</v>
      </c>
      <c r="BH109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8" s="18">
        <f t="shared" si="17"/>
        <v>1</v>
      </c>
      <c r="BJ1098" s="18">
        <f>PRODUCT($BI$5:BI1098)</f>
        <v>6.0944423859500517E-2</v>
      </c>
      <c r="BK1098" s="20">
        <f>1 - Audit[[#This Row],[K-M P Value]]</f>
        <v>0.9390555761404995</v>
      </c>
      <c r="BL1098" s="18" t="str">
        <f>IF(Audit[[#This Row],[K-M P Value]]&gt;1-'General Info'!$B$12,"Continue", "Stop")</f>
        <v>Stop</v>
      </c>
      <c r="BM1098" s="23" t="b">
        <f>IF(Audit[[#This Row],[Status - Continue or stop audit]] = "Continue", TRUE, IF(BL1097 = "Continue", TRUE, FALSE))</f>
        <v>0</v>
      </c>
      <c r="BN1098" s="23"/>
    </row>
    <row r="1099" spans="1:66" ht="15" hidden="1" customHeight="1" x14ac:dyDescent="0.35">
      <c r="A1099" s="18" t="str">
        <f>'Sampling Data'!AI1099</f>
        <v/>
      </c>
      <c r="B1099" s="18" t="str">
        <f>'Sampling Data'!A1099</f>
        <v>8902 SYCAM B   (ED)</v>
      </c>
      <c r="C1099" s="18">
        <f>'Sampling Data'!B1099</f>
        <v>88</v>
      </c>
      <c r="D1099" s="18">
        <f>'Sampling Data'!C1099</f>
        <v>33</v>
      </c>
      <c r="E1099" s="19">
        <f>'Sampling Data'!D1099</f>
        <v>0</v>
      </c>
      <c r="F1099" s="19">
        <f>'Sampling Data'!E1099</f>
        <v>0</v>
      </c>
      <c r="G1099" s="19">
        <f>'Sampling Data'!F1099</f>
        <v>0</v>
      </c>
      <c r="H1099" s="19">
        <f>'Sampling Data'!G1099</f>
        <v>0</v>
      </c>
      <c r="I1099" s="19">
        <f>'Sampling Data'!H1099</f>
        <v>0</v>
      </c>
      <c r="J1099" s="19">
        <f>'Sampling Data'!I1099</f>
        <v>0</v>
      </c>
      <c r="K1099" s="19">
        <f>'Sampling Data'!J1099</f>
        <v>0</v>
      </c>
      <c r="L1099" s="19">
        <f>'Sampling Data'!K1099</f>
        <v>0</v>
      </c>
      <c r="M1099" s="19">
        <f>'Sampling Data'!L1099</f>
        <v>0</v>
      </c>
      <c r="N1099" s="19">
        <f>'Sampling Data'!M1099</f>
        <v>0</v>
      </c>
      <c r="O1099" s="18">
        <f>'Sampling Data'!N1099</f>
        <v>0</v>
      </c>
      <c r="P1099" s="18">
        <f>'Sampling Data'!O1099</f>
        <v>1</v>
      </c>
      <c r="Q1099" s="18">
        <f>'Sampling Data'!P1099</f>
        <v>122</v>
      </c>
      <c r="R1099" s="18">
        <f>'Sampling Data'!AJ1099</f>
        <v>0</v>
      </c>
      <c r="S1099" s="112"/>
      <c r="T1099" s="112"/>
      <c r="U1099" s="113"/>
      <c r="V1099" s="113"/>
      <c r="W1099" s="112"/>
      <c r="X1099" s="112"/>
      <c r="Y1099" s="112"/>
      <c r="Z1099" s="112"/>
      <c r="AA1099" s="15"/>
      <c r="AB1099" s="15"/>
      <c r="AC1099" s="15"/>
      <c r="AD1099" s="15"/>
      <c r="AE1099" s="114" t="str">
        <f>IF(NOT(ISBLANK(Audit[[#This Row],[Audit Winning Candidate]])), Audit[[#This Row],[Audit Winning Candidate]]-Audit[[#This Row],[Winning Candidate]], "")</f>
        <v/>
      </c>
      <c r="AF1099" s="18" t="str">
        <f>IF(NOT(ISBLANK(Audit[[#This Row],[Audit Losing Candidate]])), Audit[[#This Row],[Audit Losing Candidate]]-Audit[[#This Row],[Losing Candidate]], "")</f>
        <v/>
      </c>
      <c r="AG1099" s="18" t="str">
        <f>IF(NOT(ISBLANK(Audit[[#This Row],[Audit Candidate 3]])), Audit[[#This Row],[Audit Candidate 3]]-Audit[[#This Row],[Candidate 3]], "")</f>
        <v/>
      </c>
      <c r="AH1099" s="18" t="str">
        <f>IF(NOT(ISBLANK(Audit[[#This Row],[Audit Candidate 4]])),Audit[[#This Row],[Audit Candidate 4]]-Audit[[#This Row],[Candidate 4]], "")</f>
        <v/>
      </c>
      <c r="AI1099" s="18" t="str">
        <f>IF(NOT(ISBLANK(Audit[[#This Row],[Audit Candidate 5]])), Audit[[#This Row],[Audit Candidate 5]]-Audit[[#This Row],[Candidate 5]], "")</f>
        <v/>
      </c>
      <c r="AJ1099" s="18" t="str">
        <f>IF(NOT(ISBLANK(Audit[[#This Row],[Audit Candidate 6]])), Audit[[#This Row],[Audit Candidate 6]]-Audit[[#This Row],[Candidate 6]], "")</f>
        <v/>
      </c>
      <c r="AK1099" s="18" t="str">
        <f>IF(NOT(ISBLANK(Audit[[#This Row],[Audit Candidate 7]])), Audit[[#This Row],[Audit Candidate 7]]-Audit[[#This Row],[Candidate 7]], "")</f>
        <v/>
      </c>
      <c r="AL1099" s="18" t="str">
        <f>IF(NOT(ISBLANK(Audit[[#This Row],[Audit Candidate 8]])), Audit[[#This Row],[Audit Candidate 8]]-Audit[[#This Row],[Candidate 8]], "")</f>
        <v/>
      </c>
      <c r="AM1099" s="18" t="str">
        <f>IF(NOT(ISBLANK(Audit[[#This Row],[Audit Candidate 9]])), Audit[[#This Row],[Audit Candidate 9]]-Audit[[#This Row],[Candidate 9]], "")</f>
        <v/>
      </c>
      <c r="AN1099" s="18" t="str">
        <f>IF(NOT(ISBLANK(Audit[[#This Row],[Audit Candidate 10]])), Audit[[#This Row],[Audit Candidate 10]]-Audit[[#This Row],[Candidate 10]], "")</f>
        <v/>
      </c>
      <c r="AO1099" s="18" t="str">
        <f>IF(NOT(ISBLANK(Audit[[#This Row],[Audit Candidate 11]])), Audit[[#This Row],[Audit Candidate 11]]-Audit[[#This Row],[Candidate 11]], "")</f>
        <v/>
      </c>
      <c r="AP1099" s="18" t="str">
        <f>IF(NOT(ISBLANK(Audit[[#This Row],[Audit Candidate 12]])), Audit[[#This Row],[Audit Candidate 12]]-Audit[[#This Row],[Candidate 12]], "")</f>
        <v/>
      </c>
      <c r="AQ1099" s="18">
        <f>SUMIF(Audit[[#This Row],[Difference Winner]:[Difference Candidate 12]], "&gt;0")</f>
        <v>0</v>
      </c>
      <c r="AR1099" s="18">
        <f>SUM(Audit[[#This Row],[Difference Winner]:[Difference Candidate 12]])</f>
        <v>0</v>
      </c>
      <c r="AS1099" s="18">
        <f>IF(Audit[[#This Row],[Times p Drawn - With Replacement]]&gt;0, IF(Audit[[#This Row],[Canceled Differences]]&lt;0, Audit[[#This Row],[Max Differences]]+ABS(Audit[[#This Row],[Canceled Differences]]), Audit[[#This Row],[Max Differences]]), 0)</f>
        <v>0</v>
      </c>
      <c r="AT1099" s="18">
        <f>'Sampling Data'!AB1099</f>
        <v>5.5595690548732608E-3</v>
      </c>
      <c r="AU1099" s="18">
        <f>IF(
      SUM(Audit[[#This Row],[Audit Losing Candidate]:[Audit Candidate 12]])
      &lt;&gt;0,
      (Audit[[#This Row],[Winning Candidate]]-Audit[[#This Row],[Losing Candidate]]-(Audit[[#This Row],[Audit Winning Candidate]]-Audit[[#This Row],[Audit Losing Candidate]]))/(Audit[[#Totals],[Winning Candidate]]-Audit[[#Totals],[Losing Candidate]]),
      0
)</f>
        <v>0</v>
      </c>
      <c r="AV109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8">
        <f>IF(Audit[[#This Row],[Max Relative Error (ep)]] = 0, 0, Audit[[#This Row],[Max Relative Error (ep)]]/Audit[[#This Row],[Error Bound (up) - Max. possible relative overstatement]])</f>
        <v>0</v>
      </c>
      <c r="BH109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099" s="18">
        <f t="shared" si="17"/>
        <v>1</v>
      </c>
      <c r="BJ1099" s="18">
        <f>PRODUCT($BI$5:BI1099)</f>
        <v>6.0944423859500517E-2</v>
      </c>
      <c r="BK1099" s="20">
        <f>1 - Audit[[#This Row],[K-M P Value]]</f>
        <v>0.9390555761404995</v>
      </c>
      <c r="BL1099" s="18" t="str">
        <f>IF(Audit[[#This Row],[K-M P Value]]&gt;1-'General Info'!$B$12,"Continue", "Stop")</f>
        <v>Stop</v>
      </c>
      <c r="BM1099" s="23" t="b">
        <f>IF(Audit[[#This Row],[Status - Continue or stop audit]] = "Continue", TRUE, IF(BL1098 = "Continue", TRUE, FALSE))</f>
        <v>0</v>
      </c>
      <c r="BN1099" s="23"/>
    </row>
    <row r="1100" spans="1:66" ht="15" hidden="1" customHeight="1" x14ac:dyDescent="0.35">
      <c r="A1100" s="18" t="str">
        <f>'Sampling Data'!AI1100</f>
        <v/>
      </c>
      <c r="B1100" s="18" t="str">
        <f>'Sampling Data'!A1100</f>
        <v>8903 SYCAM C   (ED)</v>
      </c>
      <c r="C1100" s="18">
        <f>'Sampling Data'!B1100</f>
        <v>74</v>
      </c>
      <c r="D1100" s="18">
        <f>'Sampling Data'!C1100</f>
        <v>17</v>
      </c>
      <c r="E1100" s="19">
        <f>'Sampling Data'!D1100</f>
        <v>0</v>
      </c>
      <c r="F1100" s="19">
        <f>'Sampling Data'!E1100</f>
        <v>0</v>
      </c>
      <c r="G1100" s="19">
        <f>'Sampling Data'!F1100</f>
        <v>0</v>
      </c>
      <c r="H1100" s="19">
        <f>'Sampling Data'!G1100</f>
        <v>0</v>
      </c>
      <c r="I1100" s="19">
        <f>'Sampling Data'!H1100</f>
        <v>0</v>
      </c>
      <c r="J1100" s="19">
        <f>'Sampling Data'!I1100</f>
        <v>0</v>
      </c>
      <c r="K1100" s="19">
        <f>'Sampling Data'!J1100</f>
        <v>0</v>
      </c>
      <c r="L1100" s="19">
        <f>'Sampling Data'!K1100</f>
        <v>0</v>
      </c>
      <c r="M1100" s="19">
        <f>'Sampling Data'!L1100</f>
        <v>0</v>
      </c>
      <c r="N1100" s="19">
        <f>'Sampling Data'!M1100</f>
        <v>0</v>
      </c>
      <c r="O1100" s="18">
        <f>'Sampling Data'!N1100</f>
        <v>0</v>
      </c>
      <c r="P1100" s="18">
        <f>'Sampling Data'!O1100</f>
        <v>3</v>
      </c>
      <c r="Q1100" s="18">
        <f>'Sampling Data'!P1100</f>
        <v>94</v>
      </c>
      <c r="R1100" s="18">
        <f>'Sampling Data'!AJ1100</f>
        <v>0</v>
      </c>
      <c r="S1100" s="112"/>
      <c r="T1100" s="112"/>
      <c r="U1100" s="113"/>
      <c r="V1100" s="113"/>
      <c r="W1100" s="112"/>
      <c r="X1100" s="112"/>
      <c r="Y1100" s="112"/>
      <c r="Z1100" s="112"/>
      <c r="AA1100" s="15"/>
      <c r="AB1100" s="15"/>
      <c r="AC1100" s="15"/>
      <c r="AD1100" s="15"/>
      <c r="AE1100" s="114" t="str">
        <f>IF(NOT(ISBLANK(Audit[[#This Row],[Audit Winning Candidate]])), Audit[[#This Row],[Audit Winning Candidate]]-Audit[[#This Row],[Winning Candidate]], "")</f>
        <v/>
      </c>
      <c r="AF1100" s="18" t="str">
        <f>IF(NOT(ISBLANK(Audit[[#This Row],[Audit Losing Candidate]])), Audit[[#This Row],[Audit Losing Candidate]]-Audit[[#This Row],[Losing Candidate]], "")</f>
        <v/>
      </c>
      <c r="AG1100" s="18" t="str">
        <f>IF(NOT(ISBLANK(Audit[[#This Row],[Audit Candidate 3]])), Audit[[#This Row],[Audit Candidate 3]]-Audit[[#This Row],[Candidate 3]], "")</f>
        <v/>
      </c>
      <c r="AH1100" s="18" t="str">
        <f>IF(NOT(ISBLANK(Audit[[#This Row],[Audit Candidate 4]])),Audit[[#This Row],[Audit Candidate 4]]-Audit[[#This Row],[Candidate 4]], "")</f>
        <v/>
      </c>
      <c r="AI1100" s="18" t="str">
        <f>IF(NOT(ISBLANK(Audit[[#This Row],[Audit Candidate 5]])), Audit[[#This Row],[Audit Candidate 5]]-Audit[[#This Row],[Candidate 5]], "")</f>
        <v/>
      </c>
      <c r="AJ1100" s="18" t="str">
        <f>IF(NOT(ISBLANK(Audit[[#This Row],[Audit Candidate 6]])), Audit[[#This Row],[Audit Candidate 6]]-Audit[[#This Row],[Candidate 6]], "")</f>
        <v/>
      </c>
      <c r="AK1100" s="18" t="str">
        <f>IF(NOT(ISBLANK(Audit[[#This Row],[Audit Candidate 7]])), Audit[[#This Row],[Audit Candidate 7]]-Audit[[#This Row],[Candidate 7]], "")</f>
        <v/>
      </c>
      <c r="AL1100" s="18" t="str">
        <f>IF(NOT(ISBLANK(Audit[[#This Row],[Audit Candidate 8]])), Audit[[#This Row],[Audit Candidate 8]]-Audit[[#This Row],[Candidate 8]], "")</f>
        <v/>
      </c>
      <c r="AM1100" s="18" t="str">
        <f>IF(NOT(ISBLANK(Audit[[#This Row],[Audit Candidate 9]])), Audit[[#This Row],[Audit Candidate 9]]-Audit[[#This Row],[Candidate 9]], "")</f>
        <v/>
      </c>
      <c r="AN1100" s="18" t="str">
        <f>IF(NOT(ISBLANK(Audit[[#This Row],[Audit Candidate 10]])), Audit[[#This Row],[Audit Candidate 10]]-Audit[[#This Row],[Candidate 10]], "")</f>
        <v/>
      </c>
      <c r="AO1100" s="18" t="str">
        <f>IF(NOT(ISBLANK(Audit[[#This Row],[Audit Candidate 11]])), Audit[[#This Row],[Audit Candidate 11]]-Audit[[#This Row],[Candidate 11]], "")</f>
        <v/>
      </c>
      <c r="AP1100" s="18" t="str">
        <f>IF(NOT(ISBLANK(Audit[[#This Row],[Audit Candidate 12]])), Audit[[#This Row],[Audit Candidate 12]]-Audit[[#This Row],[Candidate 12]], "")</f>
        <v/>
      </c>
      <c r="AQ1100" s="18">
        <f>SUMIF(Audit[[#This Row],[Difference Winner]:[Difference Candidate 12]], "&gt;0")</f>
        <v>0</v>
      </c>
      <c r="AR1100" s="18">
        <f>SUM(Audit[[#This Row],[Difference Winner]:[Difference Candidate 12]])</f>
        <v>0</v>
      </c>
      <c r="AS1100" s="18">
        <f>IF(Audit[[#This Row],[Times p Drawn - With Replacement]]&gt;0, IF(Audit[[#This Row],[Canceled Differences]]&lt;0, Audit[[#This Row],[Max Differences]]+ABS(Audit[[#This Row],[Canceled Differences]]), Audit[[#This Row],[Max Differences]]), 0)</f>
        <v>0</v>
      </c>
      <c r="AT1100" s="18">
        <f>'Sampling Data'!AB1100</f>
        <v>4.7429091937054371E-3</v>
      </c>
      <c r="AU1100" s="18">
        <f>IF(
      SUM(Audit[[#This Row],[Audit Losing Candidate]:[Audit Candidate 12]])
      &lt;&gt;0,
      (Audit[[#This Row],[Winning Candidate]]-Audit[[#This Row],[Losing Candidate]]-(Audit[[#This Row],[Audit Winning Candidate]]-Audit[[#This Row],[Audit Losing Candidate]]))/(Audit[[#Totals],[Winning Candidate]]-Audit[[#Totals],[Losing Candidate]]),
      0
)</f>
        <v>0</v>
      </c>
      <c r="AV110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8">
        <f>IF(Audit[[#This Row],[Max Relative Error (ep)]] = 0, 0, Audit[[#This Row],[Max Relative Error (ep)]]/Audit[[#This Row],[Error Bound (up) - Max. possible relative overstatement]])</f>
        <v>0</v>
      </c>
      <c r="BH110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0" s="18">
        <f t="shared" si="17"/>
        <v>1</v>
      </c>
      <c r="BJ1100" s="18">
        <f>PRODUCT($BI$5:BI1100)</f>
        <v>6.0944423859500517E-2</v>
      </c>
      <c r="BK1100" s="20">
        <f>1 - Audit[[#This Row],[K-M P Value]]</f>
        <v>0.9390555761404995</v>
      </c>
      <c r="BL1100" s="18" t="str">
        <f>IF(Audit[[#This Row],[K-M P Value]]&gt;1-'General Info'!$B$12,"Continue", "Stop")</f>
        <v>Stop</v>
      </c>
      <c r="BM1100" s="23" t="b">
        <f>IF(Audit[[#This Row],[Status - Continue or stop audit]] = "Continue", TRUE, IF(BL1099 = "Continue", TRUE, FALSE))</f>
        <v>0</v>
      </c>
      <c r="BN1100" s="23"/>
    </row>
    <row r="1101" spans="1:66" ht="15" hidden="1" customHeight="1" x14ac:dyDescent="0.35">
      <c r="A1101" s="18" t="str">
        <f>'Sampling Data'!AI1101</f>
        <v/>
      </c>
      <c r="B1101" s="18" t="str">
        <f>'Sampling Data'!A1101</f>
        <v>8904 SYCAM D   (ED)</v>
      </c>
      <c r="C1101" s="18">
        <f>'Sampling Data'!B1101</f>
        <v>68</v>
      </c>
      <c r="D1101" s="18">
        <f>'Sampling Data'!C1101</f>
        <v>8</v>
      </c>
      <c r="E1101" s="19">
        <f>'Sampling Data'!D1101</f>
        <v>0</v>
      </c>
      <c r="F1101" s="19">
        <f>'Sampling Data'!E1101</f>
        <v>0</v>
      </c>
      <c r="G1101" s="19">
        <f>'Sampling Data'!F1101</f>
        <v>0</v>
      </c>
      <c r="H1101" s="19">
        <f>'Sampling Data'!G1101</f>
        <v>0</v>
      </c>
      <c r="I1101" s="19">
        <f>'Sampling Data'!H1101</f>
        <v>0</v>
      </c>
      <c r="J1101" s="19">
        <f>'Sampling Data'!I1101</f>
        <v>0</v>
      </c>
      <c r="K1101" s="19">
        <f>'Sampling Data'!J1101</f>
        <v>0</v>
      </c>
      <c r="L1101" s="19">
        <f>'Sampling Data'!K1101</f>
        <v>0</v>
      </c>
      <c r="M1101" s="19">
        <f>'Sampling Data'!L1101</f>
        <v>0</v>
      </c>
      <c r="N1101" s="19">
        <f>'Sampling Data'!M1101</f>
        <v>0</v>
      </c>
      <c r="O1101" s="18">
        <f>'Sampling Data'!N1101</f>
        <v>0</v>
      </c>
      <c r="P1101" s="18">
        <f>'Sampling Data'!O1101</f>
        <v>3</v>
      </c>
      <c r="Q1101" s="18">
        <f>'Sampling Data'!P1101</f>
        <v>79</v>
      </c>
      <c r="R1101" s="18">
        <f>'Sampling Data'!AJ1101</f>
        <v>0</v>
      </c>
      <c r="S1101" s="112"/>
      <c r="T1101" s="112"/>
      <c r="U1101" s="113"/>
      <c r="V1101" s="113"/>
      <c r="W1101" s="112"/>
      <c r="X1101" s="112"/>
      <c r="Y1101" s="112"/>
      <c r="Z1101" s="112"/>
      <c r="AA1101" s="15"/>
      <c r="AB1101" s="15"/>
      <c r="AC1101" s="15"/>
      <c r="AD1101" s="15"/>
      <c r="AE1101" s="114" t="str">
        <f>IF(NOT(ISBLANK(Audit[[#This Row],[Audit Winning Candidate]])), Audit[[#This Row],[Audit Winning Candidate]]-Audit[[#This Row],[Winning Candidate]], "")</f>
        <v/>
      </c>
      <c r="AF1101" s="18" t="str">
        <f>IF(NOT(ISBLANK(Audit[[#This Row],[Audit Losing Candidate]])), Audit[[#This Row],[Audit Losing Candidate]]-Audit[[#This Row],[Losing Candidate]], "")</f>
        <v/>
      </c>
      <c r="AG1101" s="18" t="str">
        <f>IF(NOT(ISBLANK(Audit[[#This Row],[Audit Candidate 3]])), Audit[[#This Row],[Audit Candidate 3]]-Audit[[#This Row],[Candidate 3]], "")</f>
        <v/>
      </c>
      <c r="AH1101" s="18" t="str">
        <f>IF(NOT(ISBLANK(Audit[[#This Row],[Audit Candidate 4]])),Audit[[#This Row],[Audit Candidate 4]]-Audit[[#This Row],[Candidate 4]], "")</f>
        <v/>
      </c>
      <c r="AI1101" s="18" t="str">
        <f>IF(NOT(ISBLANK(Audit[[#This Row],[Audit Candidate 5]])), Audit[[#This Row],[Audit Candidate 5]]-Audit[[#This Row],[Candidate 5]], "")</f>
        <v/>
      </c>
      <c r="AJ1101" s="18" t="str">
        <f>IF(NOT(ISBLANK(Audit[[#This Row],[Audit Candidate 6]])), Audit[[#This Row],[Audit Candidate 6]]-Audit[[#This Row],[Candidate 6]], "")</f>
        <v/>
      </c>
      <c r="AK1101" s="18" t="str">
        <f>IF(NOT(ISBLANK(Audit[[#This Row],[Audit Candidate 7]])), Audit[[#This Row],[Audit Candidate 7]]-Audit[[#This Row],[Candidate 7]], "")</f>
        <v/>
      </c>
      <c r="AL1101" s="18" t="str">
        <f>IF(NOT(ISBLANK(Audit[[#This Row],[Audit Candidate 8]])), Audit[[#This Row],[Audit Candidate 8]]-Audit[[#This Row],[Candidate 8]], "")</f>
        <v/>
      </c>
      <c r="AM1101" s="18" t="str">
        <f>IF(NOT(ISBLANK(Audit[[#This Row],[Audit Candidate 9]])), Audit[[#This Row],[Audit Candidate 9]]-Audit[[#This Row],[Candidate 9]], "")</f>
        <v/>
      </c>
      <c r="AN1101" s="18" t="str">
        <f>IF(NOT(ISBLANK(Audit[[#This Row],[Audit Candidate 10]])), Audit[[#This Row],[Audit Candidate 10]]-Audit[[#This Row],[Candidate 10]], "")</f>
        <v/>
      </c>
      <c r="AO1101" s="18" t="str">
        <f>IF(NOT(ISBLANK(Audit[[#This Row],[Audit Candidate 11]])), Audit[[#This Row],[Audit Candidate 11]]-Audit[[#This Row],[Candidate 11]], "")</f>
        <v/>
      </c>
      <c r="AP1101" s="18" t="str">
        <f>IF(NOT(ISBLANK(Audit[[#This Row],[Audit Candidate 12]])), Audit[[#This Row],[Audit Candidate 12]]-Audit[[#This Row],[Candidate 12]], "")</f>
        <v/>
      </c>
      <c r="AQ1101" s="18">
        <f>SUMIF(Audit[[#This Row],[Difference Winner]:[Difference Candidate 12]], "&gt;0")</f>
        <v>0</v>
      </c>
      <c r="AR1101" s="18">
        <f>SUM(Audit[[#This Row],[Difference Winner]:[Difference Candidate 12]])</f>
        <v>0</v>
      </c>
      <c r="AS1101" s="18">
        <f>IF(Audit[[#This Row],[Times p Drawn - With Replacement]]&gt;0, IF(Audit[[#This Row],[Canceled Differences]]&lt;0, Audit[[#This Row],[Max Differences]]+ABS(Audit[[#This Row],[Canceled Differences]]), Audit[[#This Row],[Max Differences]]), 0)</f>
        <v>0</v>
      </c>
      <c r="AT1101" s="18">
        <f>'Sampling Data'!AB1101</f>
        <v>4.3659892577818261E-3</v>
      </c>
      <c r="AU1101" s="18">
        <f>IF(
      SUM(Audit[[#This Row],[Audit Losing Candidate]:[Audit Candidate 12]])
      &lt;&gt;0,
      (Audit[[#This Row],[Winning Candidate]]-Audit[[#This Row],[Losing Candidate]]-(Audit[[#This Row],[Audit Winning Candidate]]-Audit[[#This Row],[Audit Losing Candidate]]))/(Audit[[#Totals],[Winning Candidate]]-Audit[[#Totals],[Losing Candidate]]),
      0
)</f>
        <v>0</v>
      </c>
      <c r="AV110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8">
        <f>IF(Audit[[#This Row],[Max Relative Error (ep)]] = 0, 0, Audit[[#This Row],[Max Relative Error (ep)]]/Audit[[#This Row],[Error Bound (up) - Max. possible relative overstatement]])</f>
        <v>0</v>
      </c>
      <c r="BH110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1" s="18">
        <f t="shared" si="17"/>
        <v>1</v>
      </c>
      <c r="BJ1101" s="18">
        <f>PRODUCT($BI$5:BI1101)</f>
        <v>6.0944423859500517E-2</v>
      </c>
      <c r="BK1101" s="20">
        <f>1 - Audit[[#This Row],[K-M P Value]]</f>
        <v>0.9390555761404995</v>
      </c>
      <c r="BL1101" s="18" t="str">
        <f>IF(Audit[[#This Row],[K-M P Value]]&gt;1-'General Info'!$B$12,"Continue", "Stop")</f>
        <v>Stop</v>
      </c>
      <c r="BM1101" s="23" t="b">
        <f>IF(Audit[[#This Row],[Status - Continue or stop audit]] = "Continue", TRUE, IF(BL1100 = "Continue", TRUE, FALSE))</f>
        <v>0</v>
      </c>
      <c r="BN1101" s="23"/>
    </row>
    <row r="1102" spans="1:66" ht="15" hidden="1" customHeight="1" x14ac:dyDescent="0.35">
      <c r="A1102" s="18" t="str">
        <f>'Sampling Data'!AI1102</f>
        <v/>
      </c>
      <c r="B1102" s="18" t="str">
        <f>'Sampling Data'!A1102</f>
        <v>8905 SYCAM E   (ED)</v>
      </c>
      <c r="C1102" s="18">
        <f>'Sampling Data'!B1102</f>
        <v>106</v>
      </c>
      <c r="D1102" s="18">
        <f>'Sampling Data'!C1102</f>
        <v>14</v>
      </c>
      <c r="E1102" s="19">
        <f>'Sampling Data'!D1102</f>
        <v>0</v>
      </c>
      <c r="F1102" s="19">
        <f>'Sampling Data'!E1102</f>
        <v>0</v>
      </c>
      <c r="G1102" s="19">
        <f>'Sampling Data'!F1102</f>
        <v>0</v>
      </c>
      <c r="H1102" s="19">
        <f>'Sampling Data'!G1102</f>
        <v>0</v>
      </c>
      <c r="I1102" s="19">
        <f>'Sampling Data'!H1102</f>
        <v>0</v>
      </c>
      <c r="J1102" s="19">
        <f>'Sampling Data'!I1102</f>
        <v>0</v>
      </c>
      <c r="K1102" s="19">
        <f>'Sampling Data'!J1102</f>
        <v>0</v>
      </c>
      <c r="L1102" s="19">
        <f>'Sampling Data'!K1102</f>
        <v>0</v>
      </c>
      <c r="M1102" s="19">
        <f>'Sampling Data'!L1102</f>
        <v>0</v>
      </c>
      <c r="N1102" s="19">
        <f>'Sampling Data'!M1102</f>
        <v>0</v>
      </c>
      <c r="O1102" s="18">
        <f>'Sampling Data'!N1102</f>
        <v>1</v>
      </c>
      <c r="P1102" s="18">
        <f>'Sampling Data'!O1102</f>
        <v>4</v>
      </c>
      <c r="Q1102" s="18">
        <f>'Sampling Data'!P1102</f>
        <v>125</v>
      </c>
      <c r="R1102" s="18">
        <f>'Sampling Data'!AJ1102</f>
        <v>0</v>
      </c>
      <c r="S1102" s="112"/>
      <c r="T1102" s="112"/>
      <c r="U1102" s="113"/>
      <c r="V1102" s="113"/>
      <c r="W1102" s="112"/>
      <c r="X1102" s="112"/>
      <c r="Y1102" s="112"/>
      <c r="Z1102" s="112"/>
      <c r="AA1102" s="15"/>
      <c r="AB1102" s="15"/>
      <c r="AC1102" s="15"/>
      <c r="AD1102" s="15"/>
      <c r="AE1102" s="114" t="str">
        <f>IF(NOT(ISBLANK(Audit[[#This Row],[Audit Winning Candidate]])), Audit[[#This Row],[Audit Winning Candidate]]-Audit[[#This Row],[Winning Candidate]], "")</f>
        <v/>
      </c>
      <c r="AF1102" s="18" t="str">
        <f>IF(NOT(ISBLANK(Audit[[#This Row],[Audit Losing Candidate]])), Audit[[#This Row],[Audit Losing Candidate]]-Audit[[#This Row],[Losing Candidate]], "")</f>
        <v/>
      </c>
      <c r="AG1102" s="18" t="str">
        <f>IF(NOT(ISBLANK(Audit[[#This Row],[Audit Candidate 3]])), Audit[[#This Row],[Audit Candidate 3]]-Audit[[#This Row],[Candidate 3]], "")</f>
        <v/>
      </c>
      <c r="AH1102" s="18" t="str">
        <f>IF(NOT(ISBLANK(Audit[[#This Row],[Audit Candidate 4]])),Audit[[#This Row],[Audit Candidate 4]]-Audit[[#This Row],[Candidate 4]], "")</f>
        <v/>
      </c>
      <c r="AI1102" s="18" t="str">
        <f>IF(NOT(ISBLANK(Audit[[#This Row],[Audit Candidate 5]])), Audit[[#This Row],[Audit Candidate 5]]-Audit[[#This Row],[Candidate 5]], "")</f>
        <v/>
      </c>
      <c r="AJ1102" s="18" t="str">
        <f>IF(NOT(ISBLANK(Audit[[#This Row],[Audit Candidate 6]])), Audit[[#This Row],[Audit Candidate 6]]-Audit[[#This Row],[Candidate 6]], "")</f>
        <v/>
      </c>
      <c r="AK1102" s="18" t="str">
        <f>IF(NOT(ISBLANK(Audit[[#This Row],[Audit Candidate 7]])), Audit[[#This Row],[Audit Candidate 7]]-Audit[[#This Row],[Candidate 7]], "")</f>
        <v/>
      </c>
      <c r="AL1102" s="18" t="str">
        <f>IF(NOT(ISBLANK(Audit[[#This Row],[Audit Candidate 8]])), Audit[[#This Row],[Audit Candidate 8]]-Audit[[#This Row],[Candidate 8]], "")</f>
        <v/>
      </c>
      <c r="AM1102" s="18" t="str">
        <f>IF(NOT(ISBLANK(Audit[[#This Row],[Audit Candidate 9]])), Audit[[#This Row],[Audit Candidate 9]]-Audit[[#This Row],[Candidate 9]], "")</f>
        <v/>
      </c>
      <c r="AN1102" s="18" t="str">
        <f>IF(NOT(ISBLANK(Audit[[#This Row],[Audit Candidate 10]])), Audit[[#This Row],[Audit Candidate 10]]-Audit[[#This Row],[Candidate 10]], "")</f>
        <v/>
      </c>
      <c r="AO1102" s="18" t="str">
        <f>IF(NOT(ISBLANK(Audit[[#This Row],[Audit Candidate 11]])), Audit[[#This Row],[Audit Candidate 11]]-Audit[[#This Row],[Candidate 11]], "")</f>
        <v/>
      </c>
      <c r="AP1102" s="18" t="str">
        <f>IF(NOT(ISBLANK(Audit[[#This Row],[Audit Candidate 12]])), Audit[[#This Row],[Audit Candidate 12]]-Audit[[#This Row],[Candidate 12]], "")</f>
        <v/>
      </c>
      <c r="AQ1102" s="18">
        <f>SUMIF(Audit[[#This Row],[Difference Winner]:[Difference Candidate 12]], "&gt;0")</f>
        <v>0</v>
      </c>
      <c r="AR1102" s="18">
        <f>SUM(Audit[[#This Row],[Difference Winner]:[Difference Candidate 12]])</f>
        <v>0</v>
      </c>
      <c r="AS1102" s="18">
        <f>IF(Audit[[#This Row],[Times p Drawn - With Replacement]]&gt;0, IF(Audit[[#This Row],[Canceled Differences]]&lt;0, Audit[[#This Row],[Max Differences]]+ABS(Audit[[#This Row],[Canceled Differences]]), Audit[[#This Row],[Max Differences]]), 0)</f>
        <v>0</v>
      </c>
      <c r="AT1102" s="18">
        <f>'Sampling Data'!AB1102</f>
        <v>6.815968841285297E-3</v>
      </c>
      <c r="AU1102" s="18">
        <f>IF(
      SUM(Audit[[#This Row],[Audit Losing Candidate]:[Audit Candidate 12]])
      &lt;&gt;0,
      (Audit[[#This Row],[Winning Candidate]]-Audit[[#This Row],[Losing Candidate]]-(Audit[[#This Row],[Audit Winning Candidate]]-Audit[[#This Row],[Audit Losing Candidate]]))/(Audit[[#Totals],[Winning Candidate]]-Audit[[#Totals],[Losing Candidate]]),
      0
)</f>
        <v>0</v>
      </c>
      <c r="AV110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8">
        <f>IF(Audit[[#This Row],[Max Relative Error (ep)]] = 0, 0, Audit[[#This Row],[Max Relative Error (ep)]]/Audit[[#This Row],[Error Bound (up) - Max. possible relative overstatement]])</f>
        <v>0</v>
      </c>
      <c r="BH110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2" s="18">
        <f t="shared" si="17"/>
        <v>1</v>
      </c>
      <c r="BJ1102" s="18">
        <f>PRODUCT($BI$5:BI1102)</f>
        <v>6.0944423859500517E-2</v>
      </c>
      <c r="BK1102" s="20">
        <f>1 - Audit[[#This Row],[K-M P Value]]</f>
        <v>0.9390555761404995</v>
      </c>
      <c r="BL1102" s="18" t="str">
        <f>IF(Audit[[#This Row],[K-M P Value]]&gt;1-'General Info'!$B$12,"Continue", "Stop")</f>
        <v>Stop</v>
      </c>
      <c r="BM1102" s="23" t="b">
        <f>IF(Audit[[#This Row],[Status - Continue or stop audit]] = "Continue", TRUE, IF(BL1101 = "Continue", TRUE, FALSE))</f>
        <v>0</v>
      </c>
      <c r="BN1102" s="23"/>
    </row>
    <row r="1103" spans="1:66" ht="15" hidden="1" customHeight="1" x14ac:dyDescent="0.35">
      <c r="A1103" s="18" t="str">
        <f>'Sampling Data'!AI1103</f>
        <v/>
      </c>
      <c r="B1103" s="18" t="str">
        <f>'Sampling Data'!A1103</f>
        <v>8906 SYCAM F   (ED)</v>
      </c>
      <c r="C1103" s="18">
        <f>'Sampling Data'!B1103</f>
        <v>65</v>
      </c>
      <c r="D1103" s="18">
        <f>'Sampling Data'!C1103</f>
        <v>7</v>
      </c>
      <c r="E1103" s="19">
        <f>'Sampling Data'!D1103</f>
        <v>0</v>
      </c>
      <c r="F1103" s="19">
        <f>'Sampling Data'!E1103</f>
        <v>0</v>
      </c>
      <c r="G1103" s="19">
        <f>'Sampling Data'!F1103</f>
        <v>0</v>
      </c>
      <c r="H1103" s="19">
        <f>'Sampling Data'!G1103</f>
        <v>0</v>
      </c>
      <c r="I1103" s="19">
        <f>'Sampling Data'!H1103</f>
        <v>0</v>
      </c>
      <c r="J1103" s="19">
        <f>'Sampling Data'!I1103</f>
        <v>0</v>
      </c>
      <c r="K1103" s="19">
        <f>'Sampling Data'!J1103</f>
        <v>0</v>
      </c>
      <c r="L1103" s="19">
        <f>'Sampling Data'!K1103</f>
        <v>0</v>
      </c>
      <c r="M1103" s="19">
        <f>'Sampling Data'!L1103</f>
        <v>0</v>
      </c>
      <c r="N1103" s="19">
        <f>'Sampling Data'!M1103</f>
        <v>0</v>
      </c>
      <c r="O1103" s="18">
        <f>'Sampling Data'!N1103</f>
        <v>0</v>
      </c>
      <c r="P1103" s="18">
        <f>'Sampling Data'!O1103</f>
        <v>1</v>
      </c>
      <c r="Q1103" s="18">
        <f>'Sampling Data'!P1103</f>
        <v>73</v>
      </c>
      <c r="R1103" s="18">
        <f>'Sampling Data'!AJ1103</f>
        <v>0</v>
      </c>
      <c r="S1103" s="112"/>
      <c r="T1103" s="112"/>
      <c r="U1103" s="113"/>
      <c r="V1103" s="113"/>
      <c r="W1103" s="112"/>
      <c r="X1103" s="112"/>
      <c r="Y1103" s="112"/>
      <c r="Z1103" s="112"/>
      <c r="AA1103" s="15"/>
      <c r="AB1103" s="15"/>
      <c r="AC1103" s="15"/>
      <c r="AD1103" s="15"/>
      <c r="AE1103" s="114" t="str">
        <f>IF(NOT(ISBLANK(Audit[[#This Row],[Audit Winning Candidate]])), Audit[[#This Row],[Audit Winning Candidate]]-Audit[[#This Row],[Winning Candidate]], "")</f>
        <v/>
      </c>
      <c r="AF1103" s="18" t="str">
        <f>IF(NOT(ISBLANK(Audit[[#This Row],[Audit Losing Candidate]])), Audit[[#This Row],[Audit Losing Candidate]]-Audit[[#This Row],[Losing Candidate]], "")</f>
        <v/>
      </c>
      <c r="AG1103" s="18" t="str">
        <f>IF(NOT(ISBLANK(Audit[[#This Row],[Audit Candidate 3]])), Audit[[#This Row],[Audit Candidate 3]]-Audit[[#This Row],[Candidate 3]], "")</f>
        <v/>
      </c>
      <c r="AH1103" s="18" t="str">
        <f>IF(NOT(ISBLANK(Audit[[#This Row],[Audit Candidate 4]])),Audit[[#This Row],[Audit Candidate 4]]-Audit[[#This Row],[Candidate 4]], "")</f>
        <v/>
      </c>
      <c r="AI1103" s="18" t="str">
        <f>IF(NOT(ISBLANK(Audit[[#This Row],[Audit Candidate 5]])), Audit[[#This Row],[Audit Candidate 5]]-Audit[[#This Row],[Candidate 5]], "")</f>
        <v/>
      </c>
      <c r="AJ1103" s="18" t="str">
        <f>IF(NOT(ISBLANK(Audit[[#This Row],[Audit Candidate 6]])), Audit[[#This Row],[Audit Candidate 6]]-Audit[[#This Row],[Candidate 6]], "")</f>
        <v/>
      </c>
      <c r="AK1103" s="18" t="str">
        <f>IF(NOT(ISBLANK(Audit[[#This Row],[Audit Candidate 7]])), Audit[[#This Row],[Audit Candidate 7]]-Audit[[#This Row],[Candidate 7]], "")</f>
        <v/>
      </c>
      <c r="AL1103" s="18" t="str">
        <f>IF(NOT(ISBLANK(Audit[[#This Row],[Audit Candidate 8]])), Audit[[#This Row],[Audit Candidate 8]]-Audit[[#This Row],[Candidate 8]], "")</f>
        <v/>
      </c>
      <c r="AM1103" s="18" t="str">
        <f>IF(NOT(ISBLANK(Audit[[#This Row],[Audit Candidate 9]])), Audit[[#This Row],[Audit Candidate 9]]-Audit[[#This Row],[Candidate 9]], "")</f>
        <v/>
      </c>
      <c r="AN1103" s="18" t="str">
        <f>IF(NOT(ISBLANK(Audit[[#This Row],[Audit Candidate 10]])), Audit[[#This Row],[Audit Candidate 10]]-Audit[[#This Row],[Candidate 10]], "")</f>
        <v/>
      </c>
      <c r="AO1103" s="18" t="str">
        <f>IF(NOT(ISBLANK(Audit[[#This Row],[Audit Candidate 11]])), Audit[[#This Row],[Audit Candidate 11]]-Audit[[#This Row],[Candidate 11]], "")</f>
        <v/>
      </c>
      <c r="AP1103" s="18" t="str">
        <f>IF(NOT(ISBLANK(Audit[[#This Row],[Audit Candidate 12]])), Audit[[#This Row],[Audit Candidate 12]]-Audit[[#This Row],[Candidate 12]], "")</f>
        <v/>
      </c>
      <c r="AQ1103" s="18">
        <f>SUMIF(Audit[[#This Row],[Difference Winner]:[Difference Candidate 12]], "&gt;0")</f>
        <v>0</v>
      </c>
      <c r="AR1103" s="18">
        <f>SUM(Audit[[#This Row],[Difference Winner]:[Difference Candidate 12]])</f>
        <v>0</v>
      </c>
      <c r="AS1103" s="18">
        <f>IF(Audit[[#This Row],[Times p Drawn - With Replacement]]&gt;0, IF(Audit[[#This Row],[Canceled Differences]]&lt;0, Audit[[#This Row],[Max Differences]]+ABS(Audit[[#This Row],[Canceled Differences]]), Audit[[#This Row],[Max Differences]]), 0)</f>
        <v>0</v>
      </c>
      <c r="AT1103" s="18">
        <f>'Sampling Data'!AB1103</f>
        <v>4.114709300499419E-3</v>
      </c>
      <c r="AU1103" s="18">
        <f>IF(
      SUM(Audit[[#This Row],[Audit Losing Candidate]:[Audit Candidate 12]])
      &lt;&gt;0,
      (Audit[[#This Row],[Winning Candidate]]-Audit[[#This Row],[Losing Candidate]]-(Audit[[#This Row],[Audit Winning Candidate]]-Audit[[#This Row],[Audit Losing Candidate]]))/(Audit[[#Totals],[Winning Candidate]]-Audit[[#Totals],[Losing Candidate]]),
      0
)</f>
        <v>0</v>
      </c>
      <c r="AV110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8">
        <f>IF(Audit[[#This Row],[Max Relative Error (ep)]] = 0, 0, Audit[[#This Row],[Max Relative Error (ep)]]/Audit[[#This Row],[Error Bound (up) - Max. possible relative overstatement]])</f>
        <v>0</v>
      </c>
      <c r="BH110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3" s="18">
        <f t="shared" ref="BI1103:BI1130" si="18">IF(ISERR(POWER(BH1103,R1103)), 0, POWER(BH1103,R1103))</f>
        <v>1</v>
      </c>
      <c r="BJ1103" s="18">
        <f>PRODUCT($BI$5:BI1103)</f>
        <v>6.0944423859500517E-2</v>
      </c>
      <c r="BK1103" s="20">
        <f>1 - Audit[[#This Row],[K-M P Value]]</f>
        <v>0.9390555761404995</v>
      </c>
      <c r="BL1103" s="18" t="str">
        <f>IF(Audit[[#This Row],[K-M P Value]]&gt;1-'General Info'!$B$12,"Continue", "Stop")</f>
        <v>Stop</v>
      </c>
      <c r="BM1103" s="23" t="b">
        <f>IF(Audit[[#This Row],[Status - Continue or stop audit]] = "Continue", TRUE, IF(BL1102 = "Continue", TRUE, FALSE))</f>
        <v>0</v>
      </c>
      <c r="BN1103" s="23"/>
    </row>
    <row r="1104" spans="1:66" ht="15" hidden="1" customHeight="1" x14ac:dyDescent="0.35">
      <c r="A1104" s="18" t="str">
        <f>'Sampling Data'!AI1104</f>
        <v/>
      </c>
      <c r="B1104" s="18" t="str">
        <f>'Sampling Data'!A1104</f>
        <v>8907 SYCAM G   (ED)</v>
      </c>
      <c r="C1104" s="18">
        <f>'Sampling Data'!B1104</f>
        <v>72</v>
      </c>
      <c r="D1104" s="18">
        <f>'Sampling Data'!C1104</f>
        <v>15</v>
      </c>
      <c r="E1104" s="19">
        <f>'Sampling Data'!D1104</f>
        <v>0</v>
      </c>
      <c r="F1104" s="19">
        <f>'Sampling Data'!E1104</f>
        <v>0</v>
      </c>
      <c r="G1104" s="19">
        <f>'Sampling Data'!F1104</f>
        <v>0</v>
      </c>
      <c r="H1104" s="19">
        <f>'Sampling Data'!G1104</f>
        <v>0</v>
      </c>
      <c r="I1104" s="19">
        <f>'Sampling Data'!H1104</f>
        <v>0</v>
      </c>
      <c r="J1104" s="19">
        <f>'Sampling Data'!I1104</f>
        <v>0</v>
      </c>
      <c r="K1104" s="19">
        <f>'Sampling Data'!J1104</f>
        <v>0</v>
      </c>
      <c r="L1104" s="19">
        <f>'Sampling Data'!K1104</f>
        <v>0</v>
      </c>
      <c r="M1104" s="19">
        <f>'Sampling Data'!L1104</f>
        <v>0</v>
      </c>
      <c r="N1104" s="19">
        <f>'Sampling Data'!M1104</f>
        <v>0</v>
      </c>
      <c r="O1104" s="18">
        <f>'Sampling Data'!N1104</f>
        <v>0</v>
      </c>
      <c r="P1104" s="18">
        <f>'Sampling Data'!O1104</f>
        <v>4</v>
      </c>
      <c r="Q1104" s="18">
        <f>'Sampling Data'!P1104</f>
        <v>91</v>
      </c>
      <c r="R1104" s="18">
        <f>'Sampling Data'!AJ1104</f>
        <v>0</v>
      </c>
      <c r="S1104" s="112"/>
      <c r="T1104" s="112"/>
      <c r="U1104" s="113"/>
      <c r="V1104" s="113"/>
      <c r="W1104" s="112"/>
      <c r="X1104" s="112"/>
      <c r="Y1104" s="112"/>
      <c r="Z1104" s="112"/>
      <c r="AA1104" s="15"/>
      <c r="AB1104" s="15"/>
      <c r="AC1104" s="15"/>
      <c r="AD1104" s="15"/>
      <c r="AE1104" s="114" t="str">
        <f>IF(NOT(ISBLANK(Audit[[#This Row],[Audit Winning Candidate]])), Audit[[#This Row],[Audit Winning Candidate]]-Audit[[#This Row],[Winning Candidate]], "")</f>
        <v/>
      </c>
      <c r="AF1104" s="18" t="str">
        <f>IF(NOT(ISBLANK(Audit[[#This Row],[Audit Losing Candidate]])), Audit[[#This Row],[Audit Losing Candidate]]-Audit[[#This Row],[Losing Candidate]], "")</f>
        <v/>
      </c>
      <c r="AG1104" s="18" t="str">
        <f>IF(NOT(ISBLANK(Audit[[#This Row],[Audit Candidate 3]])), Audit[[#This Row],[Audit Candidate 3]]-Audit[[#This Row],[Candidate 3]], "")</f>
        <v/>
      </c>
      <c r="AH1104" s="18" t="str">
        <f>IF(NOT(ISBLANK(Audit[[#This Row],[Audit Candidate 4]])),Audit[[#This Row],[Audit Candidate 4]]-Audit[[#This Row],[Candidate 4]], "")</f>
        <v/>
      </c>
      <c r="AI1104" s="18" t="str">
        <f>IF(NOT(ISBLANK(Audit[[#This Row],[Audit Candidate 5]])), Audit[[#This Row],[Audit Candidate 5]]-Audit[[#This Row],[Candidate 5]], "")</f>
        <v/>
      </c>
      <c r="AJ1104" s="18" t="str">
        <f>IF(NOT(ISBLANK(Audit[[#This Row],[Audit Candidate 6]])), Audit[[#This Row],[Audit Candidate 6]]-Audit[[#This Row],[Candidate 6]], "")</f>
        <v/>
      </c>
      <c r="AK1104" s="18" t="str">
        <f>IF(NOT(ISBLANK(Audit[[#This Row],[Audit Candidate 7]])), Audit[[#This Row],[Audit Candidate 7]]-Audit[[#This Row],[Candidate 7]], "")</f>
        <v/>
      </c>
      <c r="AL1104" s="18" t="str">
        <f>IF(NOT(ISBLANK(Audit[[#This Row],[Audit Candidate 8]])), Audit[[#This Row],[Audit Candidate 8]]-Audit[[#This Row],[Candidate 8]], "")</f>
        <v/>
      </c>
      <c r="AM1104" s="18" t="str">
        <f>IF(NOT(ISBLANK(Audit[[#This Row],[Audit Candidate 9]])), Audit[[#This Row],[Audit Candidate 9]]-Audit[[#This Row],[Candidate 9]], "")</f>
        <v/>
      </c>
      <c r="AN1104" s="18" t="str">
        <f>IF(NOT(ISBLANK(Audit[[#This Row],[Audit Candidate 10]])), Audit[[#This Row],[Audit Candidate 10]]-Audit[[#This Row],[Candidate 10]], "")</f>
        <v/>
      </c>
      <c r="AO1104" s="18" t="str">
        <f>IF(NOT(ISBLANK(Audit[[#This Row],[Audit Candidate 11]])), Audit[[#This Row],[Audit Candidate 11]]-Audit[[#This Row],[Candidate 11]], "")</f>
        <v/>
      </c>
      <c r="AP1104" s="18" t="str">
        <f>IF(NOT(ISBLANK(Audit[[#This Row],[Audit Candidate 12]])), Audit[[#This Row],[Audit Candidate 12]]-Audit[[#This Row],[Candidate 12]], "")</f>
        <v/>
      </c>
      <c r="AQ1104" s="18">
        <f>SUMIF(Audit[[#This Row],[Difference Winner]:[Difference Candidate 12]], "&gt;0")</f>
        <v>0</v>
      </c>
      <c r="AR1104" s="18">
        <f>SUM(Audit[[#This Row],[Difference Winner]:[Difference Candidate 12]])</f>
        <v>0</v>
      </c>
      <c r="AS1104" s="18">
        <f>IF(Audit[[#This Row],[Times p Drawn - With Replacement]]&gt;0, IF(Audit[[#This Row],[Canceled Differences]]&lt;0, Audit[[#This Row],[Max Differences]]+ABS(Audit[[#This Row],[Canceled Differences]]), Audit[[#This Row],[Max Differences]]), 0)</f>
        <v>0</v>
      </c>
      <c r="AT1104" s="18">
        <f>'Sampling Data'!AB1104</f>
        <v>4.6486792097245339E-3</v>
      </c>
      <c r="AU1104" s="18">
        <f>IF(
      SUM(Audit[[#This Row],[Audit Losing Candidate]:[Audit Candidate 12]])
      &lt;&gt;0,
      (Audit[[#This Row],[Winning Candidate]]-Audit[[#This Row],[Losing Candidate]]-(Audit[[#This Row],[Audit Winning Candidate]]-Audit[[#This Row],[Audit Losing Candidate]]))/(Audit[[#Totals],[Winning Candidate]]-Audit[[#Totals],[Losing Candidate]]),
      0
)</f>
        <v>0</v>
      </c>
      <c r="AV110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8">
        <f>IF(Audit[[#This Row],[Max Relative Error (ep)]] = 0, 0, Audit[[#This Row],[Max Relative Error (ep)]]/Audit[[#This Row],[Error Bound (up) - Max. possible relative overstatement]])</f>
        <v>0</v>
      </c>
      <c r="BH110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4" s="18">
        <f t="shared" si="18"/>
        <v>1</v>
      </c>
      <c r="BJ1104" s="18">
        <f>PRODUCT($BI$5:BI1104)</f>
        <v>6.0944423859500517E-2</v>
      </c>
      <c r="BK1104" s="20">
        <f>1 - Audit[[#This Row],[K-M P Value]]</f>
        <v>0.9390555761404995</v>
      </c>
      <c r="BL1104" s="18" t="str">
        <f>IF(Audit[[#This Row],[K-M P Value]]&gt;1-'General Info'!$B$12,"Continue", "Stop")</f>
        <v>Stop</v>
      </c>
      <c r="BM1104" s="23" t="b">
        <f>IF(Audit[[#This Row],[Status - Continue or stop audit]] = "Continue", TRUE, IF(BL1103 = "Continue", TRUE, FALSE))</f>
        <v>0</v>
      </c>
      <c r="BN1104" s="23"/>
    </row>
    <row r="1105" spans="1:66" ht="15" hidden="1" customHeight="1" x14ac:dyDescent="0.35">
      <c r="A1105" s="18" t="str">
        <f>'Sampling Data'!AI1105</f>
        <v/>
      </c>
      <c r="B1105" s="18" t="str">
        <f>'Sampling Data'!A1105</f>
        <v>8908 SYCAM H   (ED)</v>
      </c>
      <c r="C1105" s="18">
        <f>'Sampling Data'!B1105</f>
        <v>48</v>
      </c>
      <c r="D1105" s="18">
        <f>'Sampling Data'!C1105</f>
        <v>8</v>
      </c>
      <c r="E1105" s="19">
        <f>'Sampling Data'!D1105</f>
        <v>0</v>
      </c>
      <c r="F1105" s="19">
        <f>'Sampling Data'!E1105</f>
        <v>0</v>
      </c>
      <c r="G1105" s="19">
        <f>'Sampling Data'!F1105</f>
        <v>0</v>
      </c>
      <c r="H1105" s="19">
        <f>'Sampling Data'!G1105</f>
        <v>0</v>
      </c>
      <c r="I1105" s="19">
        <f>'Sampling Data'!H1105</f>
        <v>0</v>
      </c>
      <c r="J1105" s="19">
        <f>'Sampling Data'!I1105</f>
        <v>0</v>
      </c>
      <c r="K1105" s="19">
        <f>'Sampling Data'!J1105</f>
        <v>0</v>
      </c>
      <c r="L1105" s="19">
        <f>'Sampling Data'!K1105</f>
        <v>0</v>
      </c>
      <c r="M1105" s="19">
        <f>'Sampling Data'!L1105</f>
        <v>0</v>
      </c>
      <c r="N1105" s="19">
        <f>'Sampling Data'!M1105</f>
        <v>0</v>
      </c>
      <c r="O1105" s="18">
        <f>'Sampling Data'!N1105</f>
        <v>0</v>
      </c>
      <c r="P1105" s="18">
        <f>'Sampling Data'!O1105</f>
        <v>0</v>
      </c>
      <c r="Q1105" s="18">
        <f>'Sampling Data'!P1105</f>
        <v>56</v>
      </c>
      <c r="R1105" s="18">
        <f>'Sampling Data'!AJ1105</f>
        <v>0</v>
      </c>
      <c r="S1105" s="112"/>
      <c r="T1105" s="112"/>
      <c r="U1105" s="113"/>
      <c r="V1105" s="113"/>
      <c r="W1105" s="112"/>
      <c r="X1105" s="112"/>
      <c r="Y1105" s="112"/>
      <c r="Z1105" s="112"/>
      <c r="AA1105" s="15"/>
      <c r="AB1105" s="15"/>
      <c r="AC1105" s="15"/>
      <c r="AD1105" s="15"/>
      <c r="AE1105" s="114" t="str">
        <f>IF(NOT(ISBLANK(Audit[[#This Row],[Audit Winning Candidate]])), Audit[[#This Row],[Audit Winning Candidate]]-Audit[[#This Row],[Winning Candidate]], "")</f>
        <v/>
      </c>
      <c r="AF1105" s="18" t="str">
        <f>IF(NOT(ISBLANK(Audit[[#This Row],[Audit Losing Candidate]])), Audit[[#This Row],[Audit Losing Candidate]]-Audit[[#This Row],[Losing Candidate]], "")</f>
        <v/>
      </c>
      <c r="AG1105" s="18" t="str">
        <f>IF(NOT(ISBLANK(Audit[[#This Row],[Audit Candidate 3]])), Audit[[#This Row],[Audit Candidate 3]]-Audit[[#This Row],[Candidate 3]], "")</f>
        <v/>
      </c>
      <c r="AH1105" s="18" t="str">
        <f>IF(NOT(ISBLANK(Audit[[#This Row],[Audit Candidate 4]])),Audit[[#This Row],[Audit Candidate 4]]-Audit[[#This Row],[Candidate 4]], "")</f>
        <v/>
      </c>
      <c r="AI1105" s="18" t="str">
        <f>IF(NOT(ISBLANK(Audit[[#This Row],[Audit Candidate 5]])), Audit[[#This Row],[Audit Candidate 5]]-Audit[[#This Row],[Candidate 5]], "")</f>
        <v/>
      </c>
      <c r="AJ1105" s="18" t="str">
        <f>IF(NOT(ISBLANK(Audit[[#This Row],[Audit Candidate 6]])), Audit[[#This Row],[Audit Candidate 6]]-Audit[[#This Row],[Candidate 6]], "")</f>
        <v/>
      </c>
      <c r="AK1105" s="18" t="str">
        <f>IF(NOT(ISBLANK(Audit[[#This Row],[Audit Candidate 7]])), Audit[[#This Row],[Audit Candidate 7]]-Audit[[#This Row],[Candidate 7]], "")</f>
        <v/>
      </c>
      <c r="AL1105" s="18" t="str">
        <f>IF(NOT(ISBLANK(Audit[[#This Row],[Audit Candidate 8]])), Audit[[#This Row],[Audit Candidate 8]]-Audit[[#This Row],[Candidate 8]], "")</f>
        <v/>
      </c>
      <c r="AM1105" s="18" t="str">
        <f>IF(NOT(ISBLANK(Audit[[#This Row],[Audit Candidate 9]])), Audit[[#This Row],[Audit Candidate 9]]-Audit[[#This Row],[Candidate 9]], "")</f>
        <v/>
      </c>
      <c r="AN1105" s="18" t="str">
        <f>IF(NOT(ISBLANK(Audit[[#This Row],[Audit Candidate 10]])), Audit[[#This Row],[Audit Candidate 10]]-Audit[[#This Row],[Candidate 10]], "")</f>
        <v/>
      </c>
      <c r="AO1105" s="18" t="str">
        <f>IF(NOT(ISBLANK(Audit[[#This Row],[Audit Candidate 11]])), Audit[[#This Row],[Audit Candidate 11]]-Audit[[#This Row],[Candidate 11]], "")</f>
        <v/>
      </c>
      <c r="AP1105" s="18" t="str">
        <f>IF(NOT(ISBLANK(Audit[[#This Row],[Audit Candidate 12]])), Audit[[#This Row],[Audit Candidate 12]]-Audit[[#This Row],[Candidate 12]], "")</f>
        <v/>
      </c>
      <c r="AQ1105" s="18">
        <f>SUMIF(Audit[[#This Row],[Difference Winner]:[Difference Candidate 12]], "&gt;0")</f>
        <v>0</v>
      </c>
      <c r="AR1105" s="18">
        <f>SUM(Audit[[#This Row],[Difference Winner]:[Difference Candidate 12]])</f>
        <v>0</v>
      </c>
      <c r="AS1105" s="18">
        <f>IF(Audit[[#This Row],[Times p Drawn - With Replacement]]&gt;0, IF(Audit[[#This Row],[Canceled Differences]]&lt;0, Audit[[#This Row],[Max Differences]]+ABS(Audit[[#This Row],[Canceled Differences]]), Audit[[#This Row],[Max Differences]]), 0)</f>
        <v>0</v>
      </c>
      <c r="AT1105" s="18">
        <f>'Sampling Data'!AB1105</f>
        <v>3.0153594873888871E-3</v>
      </c>
      <c r="AU1105" s="18">
        <f>IF(
      SUM(Audit[[#This Row],[Audit Losing Candidate]:[Audit Candidate 12]])
      &lt;&gt;0,
      (Audit[[#This Row],[Winning Candidate]]-Audit[[#This Row],[Losing Candidate]]-(Audit[[#This Row],[Audit Winning Candidate]]-Audit[[#This Row],[Audit Losing Candidate]]))/(Audit[[#Totals],[Winning Candidate]]-Audit[[#Totals],[Losing Candidate]]),
      0
)</f>
        <v>0</v>
      </c>
      <c r="AV110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8">
        <f>IF(Audit[[#This Row],[Max Relative Error (ep)]] = 0, 0, Audit[[#This Row],[Max Relative Error (ep)]]/Audit[[#This Row],[Error Bound (up) - Max. possible relative overstatement]])</f>
        <v>0</v>
      </c>
      <c r="BH110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5" s="18">
        <f t="shared" si="18"/>
        <v>1</v>
      </c>
      <c r="BJ1105" s="18">
        <f>PRODUCT($BI$5:BI1105)</f>
        <v>6.0944423859500517E-2</v>
      </c>
      <c r="BK1105" s="20">
        <f>1 - Audit[[#This Row],[K-M P Value]]</f>
        <v>0.9390555761404995</v>
      </c>
      <c r="BL1105" s="18" t="str">
        <f>IF(Audit[[#This Row],[K-M P Value]]&gt;1-'General Info'!$B$12,"Continue", "Stop")</f>
        <v>Stop</v>
      </c>
      <c r="BM1105" s="23" t="b">
        <f>IF(Audit[[#This Row],[Status - Continue or stop audit]] = "Continue", TRUE, IF(BL1104 = "Continue", TRUE, FALSE))</f>
        <v>0</v>
      </c>
      <c r="BN1105" s="23"/>
    </row>
    <row r="1106" spans="1:66" ht="15" hidden="1" customHeight="1" x14ac:dyDescent="0.35">
      <c r="A1106" s="18" t="str">
        <f>'Sampling Data'!AI1106</f>
        <v/>
      </c>
      <c r="B1106" s="18" t="str">
        <f>'Sampling Data'!A1106</f>
        <v>8909 SYCAM I   (ED)</v>
      </c>
      <c r="C1106" s="18">
        <f>'Sampling Data'!B1106</f>
        <v>140</v>
      </c>
      <c r="D1106" s="18">
        <f>'Sampling Data'!C1106</f>
        <v>23</v>
      </c>
      <c r="E1106" s="19">
        <f>'Sampling Data'!D1106</f>
        <v>0</v>
      </c>
      <c r="F1106" s="19">
        <f>'Sampling Data'!E1106</f>
        <v>0</v>
      </c>
      <c r="G1106" s="19">
        <f>'Sampling Data'!F1106</f>
        <v>0</v>
      </c>
      <c r="H1106" s="19">
        <f>'Sampling Data'!G1106</f>
        <v>0</v>
      </c>
      <c r="I1106" s="19">
        <f>'Sampling Data'!H1106</f>
        <v>0</v>
      </c>
      <c r="J1106" s="19">
        <f>'Sampling Data'!I1106</f>
        <v>0</v>
      </c>
      <c r="K1106" s="19">
        <f>'Sampling Data'!J1106</f>
        <v>0</v>
      </c>
      <c r="L1106" s="19">
        <f>'Sampling Data'!K1106</f>
        <v>0</v>
      </c>
      <c r="M1106" s="19">
        <f>'Sampling Data'!L1106</f>
        <v>0</v>
      </c>
      <c r="N1106" s="19">
        <f>'Sampling Data'!M1106</f>
        <v>0</v>
      </c>
      <c r="O1106" s="18">
        <f>'Sampling Data'!N1106</f>
        <v>0</v>
      </c>
      <c r="P1106" s="18">
        <f>'Sampling Data'!O1106</f>
        <v>2</v>
      </c>
      <c r="Q1106" s="18">
        <f>'Sampling Data'!P1106</f>
        <v>165</v>
      </c>
      <c r="R1106" s="18">
        <f>'Sampling Data'!AJ1106</f>
        <v>0</v>
      </c>
      <c r="S1106" s="112"/>
      <c r="T1106" s="112"/>
      <c r="U1106" s="113"/>
      <c r="V1106" s="113"/>
      <c r="W1106" s="112"/>
      <c r="X1106" s="112"/>
      <c r="Y1106" s="112"/>
      <c r="Z1106" s="112"/>
      <c r="AA1106" s="15"/>
      <c r="AB1106" s="15"/>
      <c r="AC1106" s="15"/>
      <c r="AD1106" s="15"/>
      <c r="AE1106" s="114" t="str">
        <f>IF(NOT(ISBLANK(Audit[[#This Row],[Audit Winning Candidate]])), Audit[[#This Row],[Audit Winning Candidate]]-Audit[[#This Row],[Winning Candidate]], "")</f>
        <v/>
      </c>
      <c r="AF1106" s="18" t="str">
        <f>IF(NOT(ISBLANK(Audit[[#This Row],[Audit Losing Candidate]])), Audit[[#This Row],[Audit Losing Candidate]]-Audit[[#This Row],[Losing Candidate]], "")</f>
        <v/>
      </c>
      <c r="AG1106" s="18" t="str">
        <f>IF(NOT(ISBLANK(Audit[[#This Row],[Audit Candidate 3]])), Audit[[#This Row],[Audit Candidate 3]]-Audit[[#This Row],[Candidate 3]], "")</f>
        <v/>
      </c>
      <c r="AH1106" s="18" t="str">
        <f>IF(NOT(ISBLANK(Audit[[#This Row],[Audit Candidate 4]])),Audit[[#This Row],[Audit Candidate 4]]-Audit[[#This Row],[Candidate 4]], "")</f>
        <v/>
      </c>
      <c r="AI1106" s="18" t="str">
        <f>IF(NOT(ISBLANK(Audit[[#This Row],[Audit Candidate 5]])), Audit[[#This Row],[Audit Candidate 5]]-Audit[[#This Row],[Candidate 5]], "")</f>
        <v/>
      </c>
      <c r="AJ1106" s="18" t="str">
        <f>IF(NOT(ISBLANK(Audit[[#This Row],[Audit Candidate 6]])), Audit[[#This Row],[Audit Candidate 6]]-Audit[[#This Row],[Candidate 6]], "")</f>
        <v/>
      </c>
      <c r="AK1106" s="18" t="str">
        <f>IF(NOT(ISBLANK(Audit[[#This Row],[Audit Candidate 7]])), Audit[[#This Row],[Audit Candidate 7]]-Audit[[#This Row],[Candidate 7]], "")</f>
        <v/>
      </c>
      <c r="AL1106" s="18" t="str">
        <f>IF(NOT(ISBLANK(Audit[[#This Row],[Audit Candidate 8]])), Audit[[#This Row],[Audit Candidate 8]]-Audit[[#This Row],[Candidate 8]], "")</f>
        <v/>
      </c>
      <c r="AM1106" s="18" t="str">
        <f>IF(NOT(ISBLANK(Audit[[#This Row],[Audit Candidate 9]])), Audit[[#This Row],[Audit Candidate 9]]-Audit[[#This Row],[Candidate 9]], "")</f>
        <v/>
      </c>
      <c r="AN1106" s="18" t="str">
        <f>IF(NOT(ISBLANK(Audit[[#This Row],[Audit Candidate 10]])), Audit[[#This Row],[Audit Candidate 10]]-Audit[[#This Row],[Candidate 10]], "")</f>
        <v/>
      </c>
      <c r="AO1106" s="18" t="str">
        <f>IF(NOT(ISBLANK(Audit[[#This Row],[Audit Candidate 11]])), Audit[[#This Row],[Audit Candidate 11]]-Audit[[#This Row],[Candidate 11]], "")</f>
        <v/>
      </c>
      <c r="AP1106" s="18" t="str">
        <f>IF(NOT(ISBLANK(Audit[[#This Row],[Audit Candidate 12]])), Audit[[#This Row],[Audit Candidate 12]]-Audit[[#This Row],[Candidate 12]], "")</f>
        <v/>
      </c>
      <c r="AQ1106" s="18">
        <f>SUMIF(Audit[[#This Row],[Difference Winner]:[Difference Candidate 12]], "&gt;0")</f>
        <v>0</v>
      </c>
      <c r="AR1106" s="18">
        <f>SUM(Audit[[#This Row],[Difference Winner]:[Difference Candidate 12]])</f>
        <v>0</v>
      </c>
      <c r="AS1106" s="18">
        <f>IF(Audit[[#This Row],[Times p Drawn - With Replacement]]&gt;0, IF(Audit[[#This Row],[Canceled Differences]]&lt;0, Audit[[#This Row],[Max Differences]]+ABS(Audit[[#This Row],[Canceled Differences]]), Audit[[#This Row],[Max Differences]]), 0)</f>
        <v>0</v>
      </c>
      <c r="AT1106" s="18">
        <f>'Sampling Data'!AB1106</f>
        <v>8.8576184942048553E-3</v>
      </c>
      <c r="AU1106" s="18">
        <f>IF(
      SUM(Audit[[#This Row],[Audit Losing Candidate]:[Audit Candidate 12]])
      &lt;&gt;0,
      (Audit[[#This Row],[Winning Candidate]]-Audit[[#This Row],[Losing Candidate]]-(Audit[[#This Row],[Audit Winning Candidate]]-Audit[[#This Row],[Audit Losing Candidate]]))/(Audit[[#Totals],[Winning Candidate]]-Audit[[#Totals],[Losing Candidate]]),
      0
)</f>
        <v>0</v>
      </c>
      <c r="AV110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8">
        <f>IF(Audit[[#This Row],[Max Relative Error (ep)]] = 0, 0, Audit[[#This Row],[Max Relative Error (ep)]]/Audit[[#This Row],[Error Bound (up) - Max. possible relative overstatement]])</f>
        <v>0</v>
      </c>
      <c r="BH110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6" s="18">
        <f t="shared" si="18"/>
        <v>1</v>
      </c>
      <c r="BJ1106" s="18">
        <f>PRODUCT($BI$5:BI1106)</f>
        <v>6.0944423859500517E-2</v>
      </c>
      <c r="BK1106" s="20">
        <f>1 - Audit[[#This Row],[K-M P Value]]</f>
        <v>0.9390555761404995</v>
      </c>
      <c r="BL1106" s="18" t="str">
        <f>IF(Audit[[#This Row],[K-M P Value]]&gt;1-'General Info'!$B$12,"Continue", "Stop")</f>
        <v>Stop</v>
      </c>
      <c r="BM1106" s="23" t="b">
        <f>IF(Audit[[#This Row],[Status - Continue or stop audit]] = "Continue", TRUE, IF(BL1105 = "Continue", TRUE, FALSE))</f>
        <v>0</v>
      </c>
      <c r="BN1106" s="23"/>
    </row>
    <row r="1107" spans="1:66" ht="15" hidden="1" customHeight="1" x14ac:dyDescent="0.35">
      <c r="A1107" s="18" t="str">
        <f>'Sampling Data'!AI1107</f>
        <v/>
      </c>
      <c r="B1107" s="18" t="str">
        <f>'Sampling Data'!A1107</f>
        <v>8910 SYCAM J   (ED)</v>
      </c>
      <c r="C1107" s="18">
        <f>'Sampling Data'!B1107</f>
        <v>33</v>
      </c>
      <c r="D1107" s="18">
        <f>'Sampling Data'!C1107</f>
        <v>12</v>
      </c>
      <c r="E1107" s="19">
        <f>'Sampling Data'!D1107</f>
        <v>0</v>
      </c>
      <c r="F1107" s="19">
        <f>'Sampling Data'!E1107</f>
        <v>0</v>
      </c>
      <c r="G1107" s="19">
        <f>'Sampling Data'!F1107</f>
        <v>0</v>
      </c>
      <c r="H1107" s="19">
        <f>'Sampling Data'!G1107</f>
        <v>0</v>
      </c>
      <c r="I1107" s="19">
        <f>'Sampling Data'!H1107</f>
        <v>0</v>
      </c>
      <c r="J1107" s="19">
        <f>'Sampling Data'!I1107</f>
        <v>0</v>
      </c>
      <c r="K1107" s="19">
        <f>'Sampling Data'!J1107</f>
        <v>0</v>
      </c>
      <c r="L1107" s="19">
        <f>'Sampling Data'!K1107</f>
        <v>0</v>
      </c>
      <c r="M1107" s="19">
        <f>'Sampling Data'!L1107</f>
        <v>0</v>
      </c>
      <c r="N1107" s="19">
        <f>'Sampling Data'!M1107</f>
        <v>0</v>
      </c>
      <c r="O1107" s="18">
        <f>'Sampling Data'!N1107</f>
        <v>0</v>
      </c>
      <c r="P1107" s="18">
        <f>'Sampling Data'!O1107</f>
        <v>1</v>
      </c>
      <c r="Q1107" s="18">
        <f>'Sampling Data'!P1107</f>
        <v>46</v>
      </c>
      <c r="R1107" s="18">
        <f>'Sampling Data'!AJ1107</f>
        <v>0</v>
      </c>
      <c r="S1107" s="112"/>
      <c r="T1107" s="112"/>
      <c r="U1107" s="113"/>
      <c r="V1107" s="113"/>
      <c r="W1107" s="112"/>
      <c r="X1107" s="112"/>
      <c r="Y1107" s="112"/>
      <c r="Z1107" s="112"/>
      <c r="AA1107" s="15"/>
      <c r="AB1107" s="15"/>
      <c r="AC1107" s="15"/>
      <c r="AD1107" s="15"/>
      <c r="AE1107" s="114" t="str">
        <f>IF(NOT(ISBLANK(Audit[[#This Row],[Audit Winning Candidate]])), Audit[[#This Row],[Audit Winning Candidate]]-Audit[[#This Row],[Winning Candidate]], "")</f>
        <v/>
      </c>
      <c r="AF1107" s="18" t="str">
        <f>IF(NOT(ISBLANK(Audit[[#This Row],[Audit Losing Candidate]])), Audit[[#This Row],[Audit Losing Candidate]]-Audit[[#This Row],[Losing Candidate]], "")</f>
        <v/>
      </c>
      <c r="AG1107" s="18" t="str">
        <f>IF(NOT(ISBLANK(Audit[[#This Row],[Audit Candidate 3]])), Audit[[#This Row],[Audit Candidate 3]]-Audit[[#This Row],[Candidate 3]], "")</f>
        <v/>
      </c>
      <c r="AH1107" s="18" t="str">
        <f>IF(NOT(ISBLANK(Audit[[#This Row],[Audit Candidate 4]])),Audit[[#This Row],[Audit Candidate 4]]-Audit[[#This Row],[Candidate 4]], "")</f>
        <v/>
      </c>
      <c r="AI1107" s="18" t="str">
        <f>IF(NOT(ISBLANK(Audit[[#This Row],[Audit Candidate 5]])), Audit[[#This Row],[Audit Candidate 5]]-Audit[[#This Row],[Candidate 5]], "")</f>
        <v/>
      </c>
      <c r="AJ1107" s="18" t="str">
        <f>IF(NOT(ISBLANK(Audit[[#This Row],[Audit Candidate 6]])), Audit[[#This Row],[Audit Candidate 6]]-Audit[[#This Row],[Candidate 6]], "")</f>
        <v/>
      </c>
      <c r="AK1107" s="18" t="str">
        <f>IF(NOT(ISBLANK(Audit[[#This Row],[Audit Candidate 7]])), Audit[[#This Row],[Audit Candidate 7]]-Audit[[#This Row],[Candidate 7]], "")</f>
        <v/>
      </c>
      <c r="AL1107" s="18" t="str">
        <f>IF(NOT(ISBLANK(Audit[[#This Row],[Audit Candidate 8]])), Audit[[#This Row],[Audit Candidate 8]]-Audit[[#This Row],[Candidate 8]], "")</f>
        <v/>
      </c>
      <c r="AM1107" s="18" t="str">
        <f>IF(NOT(ISBLANK(Audit[[#This Row],[Audit Candidate 9]])), Audit[[#This Row],[Audit Candidate 9]]-Audit[[#This Row],[Candidate 9]], "")</f>
        <v/>
      </c>
      <c r="AN1107" s="18" t="str">
        <f>IF(NOT(ISBLANK(Audit[[#This Row],[Audit Candidate 10]])), Audit[[#This Row],[Audit Candidate 10]]-Audit[[#This Row],[Candidate 10]], "")</f>
        <v/>
      </c>
      <c r="AO1107" s="18" t="str">
        <f>IF(NOT(ISBLANK(Audit[[#This Row],[Audit Candidate 11]])), Audit[[#This Row],[Audit Candidate 11]]-Audit[[#This Row],[Candidate 11]], "")</f>
        <v/>
      </c>
      <c r="AP1107" s="18" t="str">
        <f>IF(NOT(ISBLANK(Audit[[#This Row],[Audit Candidate 12]])), Audit[[#This Row],[Audit Candidate 12]]-Audit[[#This Row],[Candidate 12]], "")</f>
        <v/>
      </c>
      <c r="AQ1107" s="18">
        <f>SUMIF(Audit[[#This Row],[Difference Winner]:[Difference Candidate 12]], "&gt;0")</f>
        <v>0</v>
      </c>
      <c r="AR1107" s="18">
        <f>SUM(Audit[[#This Row],[Difference Winner]:[Difference Candidate 12]])</f>
        <v>0</v>
      </c>
      <c r="AS1107" s="18">
        <f>IF(Audit[[#This Row],[Times p Drawn - With Replacement]]&gt;0, IF(Audit[[#This Row],[Canceled Differences]]&lt;0, Audit[[#This Row],[Max Differences]]+ABS(Audit[[#This Row],[Canceled Differences]]), Audit[[#This Row],[Max Differences]]), 0)</f>
        <v>0</v>
      </c>
      <c r="AT1107" s="18">
        <f>'Sampling Data'!AB1107</f>
        <v>2.1044696422401607E-3</v>
      </c>
      <c r="AU1107" s="18">
        <f>IF(
      SUM(Audit[[#This Row],[Audit Losing Candidate]:[Audit Candidate 12]])
      &lt;&gt;0,
      (Audit[[#This Row],[Winning Candidate]]-Audit[[#This Row],[Losing Candidate]]-(Audit[[#This Row],[Audit Winning Candidate]]-Audit[[#This Row],[Audit Losing Candidate]]))/(Audit[[#Totals],[Winning Candidate]]-Audit[[#Totals],[Losing Candidate]]),
      0
)</f>
        <v>0</v>
      </c>
      <c r="AV110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8">
        <f>IF(Audit[[#This Row],[Max Relative Error (ep)]] = 0, 0, Audit[[#This Row],[Max Relative Error (ep)]]/Audit[[#This Row],[Error Bound (up) - Max. possible relative overstatement]])</f>
        <v>0</v>
      </c>
      <c r="BH110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7" s="18">
        <f t="shared" si="18"/>
        <v>1</v>
      </c>
      <c r="BJ1107" s="18">
        <f>PRODUCT($BI$5:BI1107)</f>
        <v>6.0944423859500517E-2</v>
      </c>
      <c r="BK1107" s="20">
        <f>1 - Audit[[#This Row],[K-M P Value]]</f>
        <v>0.9390555761404995</v>
      </c>
      <c r="BL1107" s="18" t="str">
        <f>IF(Audit[[#This Row],[K-M P Value]]&gt;1-'General Info'!$B$12,"Continue", "Stop")</f>
        <v>Stop</v>
      </c>
      <c r="BM1107" s="23" t="b">
        <f>IF(Audit[[#This Row],[Status - Continue or stop audit]] = "Continue", TRUE, IF(BL1106 = "Continue", TRUE, FALSE))</f>
        <v>0</v>
      </c>
      <c r="BN1107" s="23"/>
    </row>
    <row r="1108" spans="1:66" ht="15" hidden="1" customHeight="1" x14ac:dyDescent="0.35">
      <c r="A1108" s="18" t="str">
        <f>'Sampling Data'!AI1108</f>
        <v/>
      </c>
      <c r="B1108" s="18" t="str">
        <f>'Sampling Data'!A1108</f>
        <v>8911 SYCAM K   (ED)</v>
      </c>
      <c r="C1108" s="18">
        <f>'Sampling Data'!B1108</f>
        <v>51</v>
      </c>
      <c r="D1108" s="18">
        <f>'Sampling Data'!C1108</f>
        <v>9</v>
      </c>
      <c r="E1108" s="19">
        <f>'Sampling Data'!D1108</f>
        <v>0</v>
      </c>
      <c r="F1108" s="19">
        <f>'Sampling Data'!E1108</f>
        <v>0</v>
      </c>
      <c r="G1108" s="19">
        <f>'Sampling Data'!F1108</f>
        <v>0</v>
      </c>
      <c r="H1108" s="19">
        <f>'Sampling Data'!G1108</f>
        <v>0</v>
      </c>
      <c r="I1108" s="19">
        <f>'Sampling Data'!H1108</f>
        <v>0</v>
      </c>
      <c r="J1108" s="19">
        <f>'Sampling Data'!I1108</f>
        <v>0</v>
      </c>
      <c r="K1108" s="19">
        <f>'Sampling Data'!J1108</f>
        <v>0</v>
      </c>
      <c r="L1108" s="19">
        <f>'Sampling Data'!K1108</f>
        <v>0</v>
      </c>
      <c r="M1108" s="19">
        <f>'Sampling Data'!L1108</f>
        <v>0</v>
      </c>
      <c r="N1108" s="19">
        <f>'Sampling Data'!M1108</f>
        <v>0</v>
      </c>
      <c r="O1108" s="18">
        <f>'Sampling Data'!N1108</f>
        <v>0</v>
      </c>
      <c r="P1108" s="18">
        <f>'Sampling Data'!O1108</f>
        <v>1</v>
      </c>
      <c r="Q1108" s="18">
        <f>'Sampling Data'!P1108</f>
        <v>61</v>
      </c>
      <c r="R1108" s="18">
        <f>'Sampling Data'!AJ1108</f>
        <v>0</v>
      </c>
      <c r="S1108" s="112"/>
      <c r="T1108" s="112"/>
      <c r="U1108" s="113"/>
      <c r="V1108" s="113"/>
      <c r="W1108" s="112"/>
      <c r="X1108" s="112"/>
      <c r="Y1108" s="112"/>
      <c r="Z1108" s="112"/>
      <c r="AA1108" s="15"/>
      <c r="AB1108" s="15"/>
      <c r="AC1108" s="15"/>
      <c r="AD1108" s="15"/>
      <c r="AE1108" s="114" t="str">
        <f>IF(NOT(ISBLANK(Audit[[#This Row],[Audit Winning Candidate]])), Audit[[#This Row],[Audit Winning Candidate]]-Audit[[#This Row],[Winning Candidate]], "")</f>
        <v/>
      </c>
      <c r="AF1108" s="18" t="str">
        <f>IF(NOT(ISBLANK(Audit[[#This Row],[Audit Losing Candidate]])), Audit[[#This Row],[Audit Losing Candidate]]-Audit[[#This Row],[Losing Candidate]], "")</f>
        <v/>
      </c>
      <c r="AG1108" s="18" t="str">
        <f>IF(NOT(ISBLANK(Audit[[#This Row],[Audit Candidate 3]])), Audit[[#This Row],[Audit Candidate 3]]-Audit[[#This Row],[Candidate 3]], "")</f>
        <v/>
      </c>
      <c r="AH1108" s="18" t="str">
        <f>IF(NOT(ISBLANK(Audit[[#This Row],[Audit Candidate 4]])),Audit[[#This Row],[Audit Candidate 4]]-Audit[[#This Row],[Candidate 4]], "")</f>
        <v/>
      </c>
      <c r="AI1108" s="18" t="str">
        <f>IF(NOT(ISBLANK(Audit[[#This Row],[Audit Candidate 5]])), Audit[[#This Row],[Audit Candidate 5]]-Audit[[#This Row],[Candidate 5]], "")</f>
        <v/>
      </c>
      <c r="AJ1108" s="18" t="str">
        <f>IF(NOT(ISBLANK(Audit[[#This Row],[Audit Candidate 6]])), Audit[[#This Row],[Audit Candidate 6]]-Audit[[#This Row],[Candidate 6]], "")</f>
        <v/>
      </c>
      <c r="AK1108" s="18" t="str">
        <f>IF(NOT(ISBLANK(Audit[[#This Row],[Audit Candidate 7]])), Audit[[#This Row],[Audit Candidate 7]]-Audit[[#This Row],[Candidate 7]], "")</f>
        <v/>
      </c>
      <c r="AL1108" s="18" t="str">
        <f>IF(NOT(ISBLANK(Audit[[#This Row],[Audit Candidate 8]])), Audit[[#This Row],[Audit Candidate 8]]-Audit[[#This Row],[Candidate 8]], "")</f>
        <v/>
      </c>
      <c r="AM1108" s="18" t="str">
        <f>IF(NOT(ISBLANK(Audit[[#This Row],[Audit Candidate 9]])), Audit[[#This Row],[Audit Candidate 9]]-Audit[[#This Row],[Candidate 9]], "")</f>
        <v/>
      </c>
      <c r="AN1108" s="18" t="str">
        <f>IF(NOT(ISBLANK(Audit[[#This Row],[Audit Candidate 10]])), Audit[[#This Row],[Audit Candidate 10]]-Audit[[#This Row],[Candidate 10]], "")</f>
        <v/>
      </c>
      <c r="AO1108" s="18" t="str">
        <f>IF(NOT(ISBLANK(Audit[[#This Row],[Audit Candidate 11]])), Audit[[#This Row],[Audit Candidate 11]]-Audit[[#This Row],[Candidate 11]], "")</f>
        <v/>
      </c>
      <c r="AP1108" s="18" t="str">
        <f>IF(NOT(ISBLANK(Audit[[#This Row],[Audit Candidate 12]])), Audit[[#This Row],[Audit Candidate 12]]-Audit[[#This Row],[Candidate 12]], "")</f>
        <v/>
      </c>
      <c r="AQ1108" s="18">
        <f>SUMIF(Audit[[#This Row],[Difference Winner]:[Difference Candidate 12]], "&gt;0")</f>
        <v>0</v>
      </c>
      <c r="AR1108" s="18">
        <f>SUM(Audit[[#This Row],[Difference Winner]:[Difference Candidate 12]])</f>
        <v>0</v>
      </c>
      <c r="AS1108" s="18">
        <f>IF(Audit[[#This Row],[Times p Drawn - With Replacement]]&gt;0, IF(Audit[[#This Row],[Canceled Differences]]&lt;0, Audit[[#This Row],[Max Differences]]+ABS(Audit[[#This Row],[Canceled Differences]]), Audit[[#This Row],[Max Differences]]), 0)</f>
        <v>0</v>
      </c>
      <c r="AT1108" s="18">
        <f>'Sampling Data'!AB1108</f>
        <v>3.2352294500109934E-3</v>
      </c>
      <c r="AU1108" s="18">
        <f>IF(
      SUM(Audit[[#This Row],[Audit Losing Candidate]:[Audit Candidate 12]])
      &lt;&gt;0,
      (Audit[[#This Row],[Winning Candidate]]-Audit[[#This Row],[Losing Candidate]]-(Audit[[#This Row],[Audit Winning Candidate]]-Audit[[#This Row],[Audit Losing Candidate]]))/(Audit[[#Totals],[Winning Candidate]]-Audit[[#Totals],[Losing Candidate]]),
      0
)</f>
        <v>0</v>
      </c>
      <c r="AV110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8">
        <f>IF(Audit[[#This Row],[Max Relative Error (ep)]] = 0, 0, Audit[[#This Row],[Max Relative Error (ep)]]/Audit[[#This Row],[Error Bound (up) - Max. possible relative overstatement]])</f>
        <v>0</v>
      </c>
      <c r="BH110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8" s="18">
        <f t="shared" si="18"/>
        <v>1</v>
      </c>
      <c r="BJ1108" s="18">
        <f>PRODUCT($BI$5:BI1108)</f>
        <v>6.0944423859500517E-2</v>
      </c>
      <c r="BK1108" s="20">
        <f>1 - Audit[[#This Row],[K-M P Value]]</f>
        <v>0.9390555761404995</v>
      </c>
      <c r="BL1108" s="18" t="str">
        <f>IF(Audit[[#This Row],[K-M P Value]]&gt;1-'General Info'!$B$12,"Continue", "Stop")</f>
        <v>Stop</v>
      </c>
      <c r="BM1108" s="23" t="b">
        <f>IF(Audit[[#This Row],[Status - Continue or stop audit]] = "Continue", TRUE, IF(BL1107 = "Continue", TRUE, FALSE))</f>
        <v>0</v>
      </c>
      <c r="BN1108" s="23"/>
    </row>
    <row r="1109" spans="1:66" ht="15" hidden="1" customHeight="1" x14ac:dyDescent="0.35">
      <c r="A1109" s="18" t="str">
        <f>'Sampling Data'!AI1109</f>
        <v/>
      </c>
      <c r="B1109" s="18" t="str">
        <f>'Sampling Data'!A1109</f>
        <v>8912 SYCAM L   (ED)</v>
      </c>
      <c r="C1109" s="18">
        <f>'Sampling Data'!B1109</f>
        <v>98</v>
      </c>
      <c r="D1109" s="18">
        <f>'Sampling Data'!C1109</f>
        <v>5</v>
      </c>
      <c r="E1109" s="19">
        <f>'Sampling Data'!D1109</f>
        <v>0</v>
      </c>
      <c r="F1109" s="19">
        <f>'Sampling Data'!E1109</f>
        <v>0</v>
      </c>
      <c r="G1109" s="19">
        <f>'Sampling Data'!F1109</f>
        <v>0</v>
      </c>
      <c r="H1109" s="19">
        <f>'Sampling Data'!G1109</f>
        <v>0</v>
      </c>
      <c r="I1109" s="19">
        <f>'Sampling Data'!H1109</f>
        <v>0</v>
      </c>
      <c r="J1109" s="19">
        <f>'Sampling Data'!I1109</f>
        <v>0</v>
      </c>
      <c r="K1109" s="19">
        <f>'Sampling Data'!J1109</f>
        <v>0</v>
      </c>
      <c r="L1109" s="19">
        <f>'Sampling Data'!K1109</f>
        <v>0</v>
      </c>
      <c r="M1109" s="19">
        <f>'Sampling Data'!L1109</f>
        <v>0</v>
      </c>
      <c r="N1109" s="19">
        <f>'Sampling Data'!M1109</f>
        <v>0</v>
      </c>
      <c r="O1109" s="18">
        <f>'Sampling Data'!N1109</f>
        <v>0</v>
      </c>
      <c r="P1109" s="18">
        <f>'Sampling Data'!O1109</f>
        <v>0</v>
      </c>
      <c r="Q1109" s="18">
        <f>'Sampling Data'!P1109</f>
        <v>103</v>
      </c>
      <c r="R1109" s="18">
        <f>'Sampling Data'!AJ1109</f>
        <v>0</v>
      </c>
      <c r="S1109" s="112"/>
      <c r="T1109" s="112"/>
      <c r="U1109" s="113"/>
      <c r="V1109" s="113"/>
      <c r="W1109" s="112"/>
      <c r="X1109" s="112"/>
      <c r="Y1109" s="112"/>
      <c r="Z1109" s="112"/>
      <c r="AA1109" s="15"/>
      <c r="AB1109" s="15"/>
      <c r="AC1109" s="15"/>
      <c r="AD1109" s="15"/>
      <c r="AE1109" s="114" t="str">
        <f>IF(NOT(ISBLANK(Audit[[#This Row],[Audit Winning Candidate]])), Audit[[#This Row],[Audit Winning Candidate]]-Audit[[#This Row],[Winning Candidate]], "")</f>
        <v/>
      </c>
      <c r="AF1109" s="18" t="str">
        <f>IF(NOT(ISBLANK(Audit[[#This Row],[Audit Losing Candidate]])), Audit[[#This Row],[Audit Losing Candidate]]-Audit[[#This Row],[Losing Candidate]], "")</f>
        <v/>
      </c>
      <c r="AG1109" s="18" t="str">
        <f>IF(NOT(ISBLANK(Audit[[#This Row],[Audit Candidate 3]])), Audit[[#This Row],[Audit Candidate 3]]-Audit[[#This Row],[Candidate 3]], "")</f>
        <v/>
      </c>
      <c r="AH1109" s="18" t="str">
        <f>IF(NOT(ISBLANK(Audit[[#This Row],[Audit Candidate 4]])),Audit[[#This Row],[Audit Candidate 4]]-Audit[[#This Row],[Candidate 4]], "")</f>
        <v/>
      </c>
      <c r="AI1109" s="18" t="str">
        <f>IF(NOT(ISBLANK(Audit[[#This Row],[Audit Candidate 5]])), Audit[[#This Row],[Audit Candidate 5]]-Audit[[#This Row],[Candidate 5]], "")</f>
        <v/>
      </c>
      <c r="AJ1109" s="18" t="str">
        <f>IF(NOT(ISBLANK(Audit[[#This Row],[Audit Candidate 6]])), Audit[[#This Row],[Audit Candidate 6]]-Audit[[#This Row],[Candidate 6]], "")</f>
        <v/>
      </c>
      <c r="AK1109" s="18" t="str">
        <f>IF(NOT(ISBLANK(Audit[[#This Row],[Audit Candidate 7]])), Audit[[#This Row],[Audit Candidate 7]]-Audit[[#This Row],[Candidate 7]], "")</f>
        <v/>
      </c>
      <c r="AL1109" s="18" t="str">
        <f>IF(NOT(ISBLANK(Audit[[#This Row],[Audit Candidate 8]])), Audit[[#This Row],[Audit Candidate 8]]-Audit[[#This Row],[Candidate 8]], "")</f>
        <v/>
      </c>
      <c r="AM1109" s="18" t="str">
        <f>IF(NOT(ISBLANK(Audit[[#This Row],[Audit Candidate 9]])), Audit[[#This Row],[Audit Candidate 9]]-Audit[[#This Row],[Candidate 9]], "")</f>
        <v/>
      </c>
      <c r="AN1109" s="18" t="str">
        <f>IF(NOT(ISBLANK(Audit[[#This Row],[Audit Candidate 10]])), Audit[[#This Row],[Audit Candidate 10]]-Audit[[#This Row],[Candidate 10]], "")</f>
        <v/>
      </c>
      <c r="AO1109" s="18" t="str">
        <f>IF(NOT(ISBLANK(Audit[[#This Row],[Audit Candidate 11]])), Audit[[#This Row],[Audit Candidate 11]]-Audit[[#This Row],[Candidate 11]], "")</f>
        <v/>
      </c>
      <c r="AP1109" s="18" t="str">
        <f>IF(NOT(ISBLANK(Audit[[#This Row],[Audit Candidate 12]])), Audit[[#This Row],[Audit Candidate 12]]-Audit[[#This Row],[Candidate 12]], "")</f>
        <v/>
      </c>
      <c r="AQ1109" s="18">
        <f>SUMIF(Audit[[#This Row],[Difference Winner]:[Difference Candidate 12]], "&gt;0")</f>
        <v>0</v>
      </c>
      <c r="AR1109" s="18">
        <f>SUM(Audit[[#This Row],[Difference Winner]:[Difference Candidate 12]])</f>
        <v>0</v>
      </c>
      <c r="AS1109" s="18">
        <f>IF(Audit[[#This Row],[Times p Drawn - With Replacement]]&gt;0, IF(Audit[[#This Row],[Canceled Differences]]&lt;0, Audit[[#This Row],[Max Differences]]+ABS(Audit[[#This Row],[Canceled Differences]]), Audit[[#This Row],[Max Differences]]), 0)</f>
        <v>0</v>
      </c>
      <c r="AT1109" s="18">
        <f>'Sampling Data'!AB1109</f>
        <v>6.1563589534189781E-3</v>
      </c>
      <c r="AU1109" s="18">
        <f>IF(
      SUM(Audit[[#This Row],[Audit Losing Candidate]:[Audit Candidate 12]])
      &lt;&gt;0,
      (Audit[[#This Row],[Winning Candidate]]-Audit[[#This Row],[Losing Candidate]]-(Audit[[#This Row],[Audit Winning Candidate]]-Audit[[#This Row],[Audit Losing Candidate]]))/(Audit[[#Totals],[Winning Candidate]]-Audit[[#Totals],[Losing Candidate]]),
      0
)</f>
        <v>0</v>
      </c>
      <c r="AV110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8">
        <f>IF(Audit[[#This Row],[Max Relative Error (ep)]] = 0, 0, Audit[[#This Row],[Max Relative Error (ep)]]/Audit[[#This Row],[Error Bound (up) - Max. possible relative overstatement]])</f>
        <v>0</v>
      </c>
      <c r="BH110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09" s="18">
        <f t="shared" si="18"/>
        <v>1</v>
      </c>
      <c r="BJ1109" s="18">
        <f>PRODUCT($BI$5:BI1109)</f>
        <v>6.0944423859500517E-2</v>
      </c>
      <c r="BK1109" s="20">
        <f>1 - Audit[[#This Row],[K-M P Value]]</f>
        <v>0.9390555761404995</v>
      </c>
      <c r="BL1109" s="18" t="str">
        <f>IF(Audit[[#This Row],[K-M P Value]]&gt;1-'General Info'!$B$12,"Continue", "Stop")</f>
        <v>Stop</v>
      </c>
      <c r="BM1109" s="23" t="b">
        <f>IF(Audit[[#This Row],[Status - Continue or stop audit]] = "Continue", TRUE, IF(BL1108 = "Continue", TRUE, FALSE))</f>
        <v>0</v>
      </c>
      <c r="BN1109" s="23"/>
    </row>
    <row r="1110" spans="1:66" ht="15" hidden="1" customHeight="1" x14ac:dyDescent="0.35">
      <c r="A1110" s="18" t="str">
        <f>'Sampling Data'!AI1110</f>
        <v/>
      </c>
      <c r="B1110" s="18" t="str">
        <f>'Sampling Data'!A1110</f>
        <v>8913 SYCAM M   (ED)</v>
      </c>
      <c r="C1110" s="18">
        <f>'Sampling Data'!B1110</f>
        <v>60</v>
      </c>
      <c r="D1110" s="18">
        <f>'Sampling Data'!C1110</f>
        <v>5</v>
      </c>
      <c r="E1110" s="19">
        <f>'Sampling Data'!D1110</f>
        <v>0</v>
      </c>
      <c r="F1110" s="19">
        <f>'Sampling Data'!E1110</f>
        <v>0</v>
      </c>
      <c r="G1110" s="19">
        <f>'Sampling Data'!F1110</f>
        <v>0</v>
      </c>
      <c r="H1110" s="19">
        <f>'Sampling Data'!G1110</f>
        <v>0</v>
      </c>
      <c r="I1110" s="19">
        <f>'Sampling Data'!H1110</f>
        <v>0</v>
      </c>
      <c r="J1110" s="19">
        <f>'Sampling Data'!I1110</f>
        <v>0</v>
      </c>
      <c r="K1110" s="19">
        <f>'Sampling Data'!J1110</f>
        <v>0</v>
      </c>
      <c r="L1110" s="19">
        <f>'Sampling Data'!K1110</f>
        <v>0</v>
      </c>
      <c r="M1110" s="19">
        <f>'Sampling Data'!L1110</f>
        <v>0</v>
      </c>
      <c r="N1110" s="19">
        <f>'Sampling Data'!M1110</f>
        <v>0</v>
      </c>
      <c r="O1110" s="18">
        <f>'Sampling Data'!N1110</f>
        <v>0</v>
      </c>
      <c r="P1110" s="18">
        <f>'Sampling Data'!O1110</f>
        <v>1</v>
      </c>
      <c r="Q1110" s="18">
        <f>'Sampling Data'!P1110</f>
        <v>66</v>
      </c>
      <c r="R1110" s="18">
        <f>'Sampling Data'!AJ1110</f>
        <v>0</v>
      </c>
      <c r="S1110" s="112"/>
      <c r="T1110" s="112"/>
      <c r="U1110" s="113"/>
      <c r="V1110" s="113"/>
      <c r="W1110" s="112"/>
      <c r="X1110" s="112"/>
      <c r="Y1110" s="112"/>
      <c r="Z1110" s="112"/>
      <c r="AA1110" s="15"/>
      <c r="AB1110" s="15"/>
      <c r="AC1110" s="15"/>
      <c r="AD1110" s="15"/>
      <c r="AE1110" s="114" t="str">
        <f>IF(NOT(ISBLANK(Audit[[#This Row],[Audit Winning Candidate]])), Audit[[#This Row],[Audit Winning Candidate]]-Audit[[#This Row],[Winning Candidate]], "")</f>
        <v/>
      </c>
      <c r="AF1110" s="18" t="str">
        <f>IF(NOT(ISBLANK(Audit[[#This Row],[Audit Losing Candidate]])), Audit[[#This Row],[Audit Losing Candidate]]-Audit[[#This Row],[Losing Candidate]], "")</f>
        <v/>
      </c>
      <c r="AG1110" s="18" t="str">
        <f>IF(NOT(ISBLANK(Audit[[#This Row],[Audit Candidate 3]])), Audit[[#This Row],[Audit Candidate 3]]-Audit[[#This Row],[Candidate 3]], "")</f>
        <v/>
      </c>
      <c r="AH1110" s="18" t="str">
        <f>IF(NOT(ISBLANK(Audit[[#This Row],[Audit Candidate 4]])),Audit[[#This Row],[Audit Candidate 4]]-Audit[[#This Row],[Candidate 4]], "")</f>
        <v/>
      </c>
      <c r="AI1110" s="18" t="str">
        <f>IF(NOT(ISBLANK(Audit[[#This Row],[Audit Candidate 5]])), Audit[[#This Row],[Audit Candidate 5]]-Audit[[#This Row],[Candidate 5]], "")</f>
        <v/>
      </c>
      <c r="AJ1110" s="18" t="str">
        <f>IF(NOT(ISBLANK(Audit[[#This Row],[Audit Candidate 6]])), Audit[[#This Row],[Audit Candidate 6]]-Audit[[#This Row],[Candidate 6]], "")</f>
        <v/>
      </c>
      <c r="AK1110" s="18" t="str">
        <f>IF(NOT(ISBLANK(Audit[[#This Row],[Audit Candidate 7]])), Audit[[#This Row],[Audit Candidate 7]]-Audit[[#This Row],[Candidate 7]], "")</f>
        <v/>
      </c>
      <c r="AL1110" s="18" t="str">
        <f>IF(NOT(ISBLANK(Audit[[#This Row],[Audit Candidate 8]])), Audit[[#This Row],[Audit Candidate 8]]-Audit[[#This Row],[Candidate 8]], "")</f>
        <v/>
      </c>
      <c r="AM1110" s="18" t="str">
        <f>IF(NOT(ISBLANK(Audit[[#This Row],[Audit Candidate 9]])), Audit[[#This Row],[Audit Candidate 9]]-Audit[[#This Row],[Candidate 9]], "")</f>
        <v/>
      </c>
      <c r="AN1110" s="18" t="str">
        <f>IF(NOT(ISBLANK(Audit[[#This Row],[Audit Candidate 10]])), Audit[[#This Row],[Audit Candidate 10]]-Audit[[#This Row],[Candidate 10]], "")</f>
        <v/>
      </c>
      <c r="AO1110" s="18" t="str">
        <f>IF(NOT(ISBLANK(Audit[[#This Row],[Audit Candidate 11]])), Audit[[#This Row],[Audit Candidate 11]]-Audit[[#This Row],[Candidate 11]], "")</f>
        <v/>
      </c>
      <c r="AP1110" s="18" t="str">
        <f>IF(NOT(ISBLANK(Audit[[#This Row],[Audit Candidate 12]])), Audit[[#This Row],[Audit Candidate 12]]-Audit[[#This Row],[Candidate 12]], "")</f>
        <v/>
      </c>
      <c r="AQ1110" s="18">
        <f>SUMIF(Audit[[#This Row],[Difference Winner]:[Difference Candidate 12]], "&gt;0")</f>
        <v>0</v>
      </c>
      <c r="AR1110" s="18">
        <f>SUM(Audit[[#This Row],[Difference Winner]:[Difference Candidate 12]])</f>
        <v>0</v>
      </c>
      <c r="AS1110" s="18">
        <f>IF(Audit[[#This Row],[Times p Drawn - With Replacement]]&gt;0, IF(Audit[[#This Row],[Canceled Differences]]&lt;0, Audit[[#This Row],[Max Differences]]+ABS(Audit[[#This Row],[Canceled Differences]]), Audit[[#This Row],[Max Differences]]), 0)</f>
        <v>0</v>
      </c>
      <c r="AT1110" s="18">
        <f>'Sampling Data'!AB1110</f>
        <v>3.8006093538964099E-3</v>
      </c>
      <c r="AU1110" s="18">
        <f>IF(
      SUM(Audit[[#This Row],[Audit Losing Candidate]:[Audit Candidate 12]])
      &lt;&gt;0,
      (Audit[[#This Row],[Winning Candidate]]-Audit[[#This Row],[Losing Candidate]]-(Audit[[#This Row],[Audit Winning Candidate]]-Audit[[#This Row],[Audit Losing Candidate]]))/(Audit[[#Totals],[Winning Candidate]]-Audit[[#Totals],[Losing Candidate]]),
      0
)</f>
        <v>0</v>
      </c>
      <c r="AV11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8">
        <f>IF(Audit[[#This Row],[Max Relative Error (ep)]] = 0, 0, Audit[[#This Row],[Max Relative Error (ep)]]/Audit[[#This Row],[Error Bound (up) - Max. possible relative overstatement]])</f>
        <v>0</v>
      </c>
      <c r="BH11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0" s="18">
        <f t="shared" si="18"/>
        <v>1</v>
      </c>
      <c r="BJ1110" s="18">
        <f>PRODUCT($BI$5:BI1110)</f>
        <v>6.0944423859500517E-2</v>
      </c>
      <c r="BK1110" s="20">
        <f>1 - Audit[[#This Row],[K-M P Value]]</f>
        <v>0.9390555761404995</v>
      </c>
      <c r="BL1110" s="18" t="str">
        <f>IF(Audit[[#This Row],[K-M P Value]]&gt;1-'General Info'!$B$12,"Continue", "Stop")</f>
        <v>Stop</v>
      </c>
      <c r="BM1110" s="23" t="b">
        <f>IF(Audit[[#This Row],[Status - Continue or stop audit]] = "Continue", TRUE, IF(BL1109 = "Continue", TRUE, FALSE))</f>
        <v>0</v>
      </c>
      <c r="BN1110" s="23"/>
    </row>
    <row r="1111" spans="1:66" ht="15" hidden="1" customHeight="1" x14ac:dyDescent="0.35">
      <c r="A1111" s="18" t="str">
        <f>'Sampling Data'!AI1111</f>
        <v/>
      </c>
      <c r="B1111" s="18" t="str">
        <f>'Sampling Data'!A1111</f>
        <v>8914 SYCAM N   (ED)</v>
      </c>
      <c r="C1111" s="18">
        <f>'Sampling Data'!B1111</f>
        <v>93</v>
      </c>
      <c r="D1111" s="18">
        <f>'Sampling Data'!C1111</f>
        <v>9</v>
      </c>
      <c r="E1111" s="19">
        <f>'Sampling Data'!D1111</f>
        <v>0</v>
      </c>
      <c r="F1111" s="19">
        <f>'Sampling Data'!E1111</f>
        <v>0</v>
      </c>
      <c r="G1111" s="19">
        <f>'Sampling Data'!F1111</f>
        <v>0</v>
      </c>
      <c r="H1111" s="19">
        <f>'Sampling Data'!G1111</f>
        <v>0</v>
      </c>
      <c r="I1111" s="19">
        <f>'Sampling Data'!H1111</f>
        <v>0</v>
      </c>
      <c r="J1111" s="19">
        <f>'Sampling Data'!I1111</f>
        <v>0</v>
      </c>
      <c r="K1111" s="19">
        <f>'Sampling Data'!J1111</f>
        <v>0</v>
      </c>
      <c r="L1111" s="19">
        <f>'Sampling Data'!K1111</f>
        <v>0</v>
      </c>
      <c r="M1111" s="19">
        <f>'Sampling Data'!L1111</f>
        <v>0</v>
      </c>
      <c r="N1111" s="19">
        <f>'Sampling Data'!M1111</f>
        <v>0</v>
      </c>
      <c r="O1111" s="18">
        <f>'Sampling Data'!N1111</f>
        <v>1</v>
      </c>
      <c r="P1111" s="18">
        <f>'Sampling Data'!O1111</f>
        <v>2</v>
      </c>
      <c r="Q1111" s="18">
        <f>'Sampling Data'!P1111</f>
        <v>105</v>
      </c>
      <c r="R1111" s="18">
        <f>'Sampling Data'!AJ1111</f>
        <v>0</v>
      </c>
      <c r="S1111" s="112"/>
      <c r="T1111" s="112"/>
      <c r="U1111" s="113"/>
      <c r="V1111" s="113"/>
      <c r="W1111" s="112"/>
      <c r="X1111" s="112"/>
      <c r="Y1111" s="112"/>
      <c r="Z1111" s="112"/>
      <c r="AA1111" s="15"/>
      <c r="AB1111" s="15"/>
      <c r="AC1111" s="15"/>
      <c r="AD1111" s="15"/>
      <c r="AE1111" s="114" t="str">
        <f>IF(NOT(ISBLANK(Audit[[#This Row],[Audit Winning Candidate]])), Audit[[#This Row],[Audit Winning Candidate]]-Audit[[#This Row],[Winning Candidate]], "")</f>
        <v/>
      </c>
      <c r="AF1111" s="18" t="str">
        <f>IF(NOT(ISBLANK(Audit[[#This Row],[Audit Losing Candidate]])), Audit[[#This Row],[Audit Losing Candidate]]-Audit[[#This Row],[Losing Candidate]], "")</f>
        <v/>
      </c>
      <c r="AG1111" s="18" t="str">
        <f>IF(NOT(ISBLANK(Audit[[#This Row],[Audit Candidate 3]])), Audit[[#This Row],[Audit Candidate 3]]-Audit[[#This Row],[Candidate 3]], "")</f>
        <v/>
      </c>
      <c r="AH1111" s="18" t="str">
        <f>IF(NOT(ISBLANK(Audit[[#This Row],[Audit Candidate 4]])),Audit[[#This Row],[Audit Candidate 4]]-Audit[[#This Row],[Candidate 4]], "")</f>
        <v/>
      </c>
      <c r="AI1111" s="18" t="str">
        <f>IF(NOT(ISBLANK(Audit[[#This Row],[Audit Candidate 5]])), Audit[[#This Row],[Audit Candidate 5]]-Audit[[#This Row],[Candidate 5]], "")</f>
        <v/>
      </c>
      <c r="AJ1111" s="18" t="str">
        <f>IF(NOT(ISBLANK(Audit[[#This Row],[Audit Candidate 6]])), Audit[[#This Row],[Audit Candidate 6]]-Audit[[#This Row],[Candidate 6]], "")</f>
        <v/>
      </c>
      <c r="AK1111" s="18" t="str">
        <f>IF(NOT(ISBLANK(Audit[[#This Row],[Audit Candidate 7]])), Audit[[#This Row],[Audit Candidate 7]]-Audit[[#This Row],[Candidate 7]], "")</f>
        <v/>
      </c>
      <c r="AL1111" s="18" t="str">
        <f>IF(NOT(ISBLANK(Audit[[#This Row],[Audit Candidate 8]])), Audit[[#This Row],[Audit Candidate 8]]-Audit[[#This Row],[Candidate 8]], "")</f>
        <v/>
      </c>
      <c r="AM1111" s="18" t="str">
        <f>IF(NOT(ISBLANK(Audit[[#This Row],[Audit Candidate 9]])), Audit[[#This Row],[Audit Candidate 9]]-Audit[[#This Row],[Candidate 9]], "")</f>
        <v/>
      </c>
      <c r="AN1111" s="18" t="str">
        <f>IF(NOT(ISBLANK(Audit[[#This Row],[Audit Candidate 10]])), Audit[[#This Row],[Audit Candidate 10]]-Audit[[#This Row],[Candidate 10]], "")</f>
        <v/>
      </c>
      <c r="AO1111" s="18" t="str">
        <f>IF(NOT(ISBLANK(Audit[[#This Row],[Audit Candidate 11]])), Audit[[#This Row],[Audit Candidate 11]]-Audit[[#This Row],[Candidate 11]], "")</f>
        <v/>
      </c>
      <c r="AP1111" s="18" t="str">
        <f>IF(NOT(ISBLANK(Audit[[#This Row],[Audit Candidate 12]])), Audit[[#This Row],[Audit Candidate 12]]-Audit[[#This Row],[Candidate 12]], "")</f>
        <v/>
      </c>
      <c r="AQ1111" s="18">
        <f>SUMIF(Audit[[#This Row],[Difference Winner]:[Difference Candidate 12]], "&gt;0")</f>
        <v>0</v>
      </c>
      <c r="AR1111" s="18">
        <f>SUM(Audit[[#This Row],[Difference Winner]:[Difference Candidate 12]])</f>
        <v>0</v>
      </c>
      <c r="AS1111" s="18">
        <f>IF(Audit[[#This Row],[Times p Drawn - With Replacement]]&gt;0, IF(Audit[[#This Row],[Canceled Differences]]&lt;0, Audit[[#This Row],[Max Differences]]+ABS(Audit[[#This Row],[Canceled Differences]]), Audit[[#This Row],[Max Differences]]), 0)</f>
        <v>0</v>
      </c>
      <c r="AT1111" s="18">
        <f>'Sampling Data'!AB1111</f>
        <v>5.9364889907968718E-3</v>
      </c>
      <c r="AU1111" s="18">
        <f>IF(
      SUM(Audit[[#This Row],[Audit Losing Candidate]:[Audit Candidate 12]])
      &lt;&gt;0,
      (Audit[[#This Row],[Winning Candidate]]-Audit[[#This Row],[Losing Candidate]]-(Audit[[#This Row],[Audit Winning Candidate]]-Audit[[#This Row],[Audit Losing Candidate]]))/(Audit[[#Totals],[Winning Candidate]]-Audit[[#Totals],[Losing Candidate]]),
      0
)</f>
        <v>0</v>
      </c>
      <c r="AV111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8">
        <f>IF(Audit[[#This Row],[Max Relative Error (ep)]] = 0, 0, Audit[[#This Row],[Max Relative Error (ep)]]/Audit[[#This Row],[Error Bound (up) - Max. possible relative overstatement]])</f>
        <v>0</v>
      </c>
      <c r="BH111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1" s="18">
        <f t="shared" si="18"/>
        <v>1</v>
      </c>
      <c r="BJ1111" s="18">
        <f>PRODUCT($BI$5:BI1111)</f>
        <v>6.0944423859500517E-2</v>
      </c>
      <c r="BK1111" s="20">
        <f>1 - Audit[[#This Row],[K-M P Value]]</f>
        <v>0.9390555761404995</v>
      </c>
      <c r="BL1111" s="18" t="str">
        <f>IF(Audit[[#This Row],[K-M P Value]]&gt;1-'General Info'!$B$12,"Continue", "Stop")</f>
        <v>Stop</v>
      </c>
      <c r="BM1111" s="23" t="b">
        <f>IF(Audit[[#This Row],[Status - Continue or stop audit]] = "Continue", TRUE, IF(BL1110 = "Continue", TRUE, FALSE))</f>
        <v>0</v>
      </c>
      <c r="BN1111" s="23"/>
    </row>
    <row r="1112" spans="1:66" ht="15" hidden="1" customHeight="1" x14ac:dyDescent="0.35">
      <c r="A1112" s="18" t="str">
        <f>'Sampling Data'!AI1112</f>
        <v/>
      </c>
      <c r="B1112" s="18" t="str">
        <f>'Sampling Data'!A1112</f>
        <v>9101 SYMM A   (ED)</v>
      </c>
      <c r="C1112" s="18">
        <f>'Sampling Data'!B1112</f>
        <v>27</v>
      </c>
      <c r="D1112" s="18">
        <f>'Sampling Data'!C1112</f>
        <v>6</v>
      </c>
      <c r="E1112" s="19">
        <f>'Sampling Data'!D1112</f>
        <v>0</v>
      </c>
      <c r="F1112" s="19">
        <f>'Sampling Data'!E1112</f>
        <v>0</v>
      </c>
      <c r="G1112" s="19">
        <f>'Sampling Data'!F1112</f>
        <v>0</v>
      </c>
      <c r="H1112" s="19">
        <f>'Sampling Data'!G1112</f>
        <v>0</v>
      </c>
      <c r="I1112" s="19">
        <f>'Sampling Data'!H1112</f>
        <v>0</v>
      </c>
      <c r="J1112" s="19">
        <f>'Sampling Data'!I1112</f>
        <v>0</v>
      </c>
      <c r="K1112" s="19">
        <f>'Sampling Data'!J1112</f>
        <v>0</v>
      </c>
      <c r="L1112" s="19">
        <f>'Sampling Data'!K1112</f>
        <v>0</v>
      </c>
      <c r="M1112" s="19">
        <f>'Sampling Data'!L1112</f>
        <v>0</v>
      </c>
      <c r="N1112" s="19">
        <f>'Sampling Data'!M1112</f>
        <v>0</v>
      </c>
      <c r="O1112" s="18">
        <f>'Sampling Data'!N1112</f>
        <v>0</v>
      </c>
      <c r="P1112" s="18">
        <f>'Sampling Data'!O1112</f>
        <v>0</v>
      </c>
      <c r="Q1112" s="18">
        <f>'Sampling Data'!P1112</f>
        <v>33</v>
      </c>
      <c r="R1112" s="18">
        <f>'Sampling Data'!AJ1112</f>
        <v>0</v>
      </c>
      <c r="S1112" s="112"/>
      <c r="T1112" s="112"/>
      <c r="U1112" s="113"/>
      <c r="V1112" s="113"/>
      <c r="W1112" s="112"/>
      <c r="X1112" s="112"/>
      <c r="Y1112" s="112"/>
      <c r="Z1112" s="112"/>
      <c r="AA1112" s="15"/>
      <c r="AB1112" s="15"/>
      <c r="AC1112" s="15"/>
      <c r="AD1112" s="15"/>
      <c r="AE1112" s="114" t="str">
        <f>IF(NOT(ISBLANK(Audit[[#This Row],[Audit Winning Candidate]])), Audit[[#This Row],[Audit Winning Candidate]]-Audit[[#This Row],[Winning Candidate]], "")</f>
        <v/>
      </c>
      <c r="AF1112" s="18" t="str">
        <f>IF(NOT(ISBLANK(Audit[[#This Row],[Audit Losing Candidate]])), Audit[[#This Row],[Audit Losing Candidate]]-Audit[[#This Row],[Losing Candidate]], "")</f>
        <v/>
      </c>
      <c r="AG1112" s="18" t="str">
        <f>IF(NOT(ISBLANK(Audit[[#This Row],[Audit Candidate 3]])), Audit[[#This Row],[Audit Candidate 3]]-Audit[[#This Row],[Candidate 3]], "")</f>
        <v/>
      </c>
      <c r="AH1112" s="18" t="str">
        <f>IF(NOT(ISBLANK(Audit[[#This Row],[Audit Candidate 4]])),Audit[[#This Row],[Audit Candidate 4]]-Audit[[#This Row],[Candidate 4]], "")</f>
        <v/>
      </c>
      <c r="AI1112" s="18" t="str">
        <f>IF(NOT(ISBLANK(Audit[[#This Row],[Audit Candidate 5]])), Audit[[#This Row],[Audit Candidate 5]]-Audit[[#This Row],[Candidate 5]], "")</f>
        <v/>
      </c>
      <c r="AJ1112" s="18" t="str">
        <f>IF(NOT(ISBLANK(Audit[[#This Row],[Audit Candidate 6]])), Audit[[#This Row],[Audit Candidate 6]]-Audit[[#This Row],[Candidate 6]], "")</f>
        <v/>
      </c>
      <c r="AK1112" s="18" t="str">
        <f>IF(NOT(ISBLANK(Audit[[#This Row],[Audit Candidate 7]])), Audit[[#This Row],[Audit Candidate 7]]-Audit[[#This Row],[Candidate 7]], "")</f>
        <v/>
      </c>
      <c r="AL1112" s="18" t="str">
        <f>IF(NOT(ISBLANK(Audit[[#This Row],[Audit Candidate 8]])), Audit[[#This Row],[Audit Candidate 8]]-Audit[[#This Row],[Candidate 8]], "")</f>
        <v/>
      </c>
      <c r="AM1112" s="18" t="str">
        <f>IF(NOT(ISBLANK(Audit[[#This Row],[Audit Candidate 9]])), Audit[[#This Row],[Audit Candidate 9]]-Audit[[#This Row],[Candidate 9]], "")</f>
        <v/>
      </c>
      <c r="AN1112" s="18" t="str">
        <f>IF(NOT(ISBLANK(Audit[[#This Row],[Audit Candidate 10]])), Audit[[#This Row],[Audit Candidate 10]]-Audit[[#This Row],[Candidate 10]], "")</f>
        <v/>
      </c>
      <c r="AO1112" s="18" t="str">
        <f>IF(NOT(ISBLANK(Audit[[#This Row],[Audit Candidate 11]])), Audit[[#This Row],[Audit Candidate 11]]-Audit[[#This Row],[Candidate 11]], "")</f>
        <v/>
      </c>
      <c r="AP1112" s="18" t="str">
        <f>IF(NOT(ISBLANK(Audit[[#This Row],[Audit Candidate 12]])), Audit[[#This Row],[Audit Candidate 12]]-Audit[[#This Row],[Candidate 12]], "")</f>
        <v/>
      </c>
      <c r="AQ1112" s="18">
        <f>SUMIF(Audit[[#This Row],[Difference Winner]:[Difference Candidate 12]], "&gt;0")</f>
        <v>0</v>
      </c>
      <c r="AR1112" s="18">
        <f>SUM(Audit[[#This Row],[Difference Winner]:[Difference Candidate 12]])</f>
        <v>0</v>
      </c>
      <c r="AS1112" s="18">
        <f>IF(Audit[[#This Row],[Times p Drawn - With Replacement]]&gt;0, IF(Audit[[#This Row],[Canceled Differences]]&lt;0, Audit[[#This Row],[Max Differences]]+ABS(Audit[[#This Row],[Canceled Differences]]), Audit[[#This Row],[Max Differences]]), 0)</f>
        <v>0</v>
      </c>
      <c r="AT1112" s="18">
        <f>'Sampling Data'!AB1112</f>
        <v>1.6961397116562491E-3</v>
      </c>
      <c r="AU1112" s="18">
        <f>IF(
      SUM(Audit[[#This Row],[Audit Losing Candidate]:[Audit Candidate 12]])
      &lt;&gt;0,
      (Audit[[#This Row],[Winning Candidate]]-Audit[[#This Row],[Losing Candidate]]-(Audit[[#This Row],[Audit Winning Candidate]]-Audit[[#This Row],[Audit Losing Candidate]]))/(Audit[[#Totals],[Winning Candidate]]-Audit[[#Totals],[Losing Candidate]]),
      0
)</f>
        <v>0</v>
      </c>
      <c r="AV11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8">
        <f>IF(Audit[[#This Row],[Max Relative Error (ep)]] = 0, 0, Audit[[#This Row],[Max Relative Error (ep)]]/Audit[[#This Row],[Error Bound (up) - Max. possible relative overstatement]])</f>
        <v>0</v>
      </c>
      <c r="BH11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2" s="18">
        <f t="shared" si="18"/>
        <v>1</v>
      </c>
      <c r="BJ1112" s="18">
        <f>PRODUCT($BI$5:BI1112)</f>
        <v>6.0944423859500517E-2</v>
      </c>
      <c r="BK1112" s="20">
        <f>1 - Audit[[#This Row],[K-M P Value]]</f>
        <v>0.9390555761404995</v>
      </c>
      <c r="BL1112" s="18" t="str">
        <f>IF(Audit[[#This Row],[K-M P Value]]&gt;1-'General Info'!$B$12,"Continue", "Stop")</f>
        <v>Stop</v>
      </c>
      <c r="BM1112" s="23" t="b">
        <f>IF(Audit[[#This Row],[Status - Continue or stop audit]] = "Continue", TRUE, IF(BL1111 = "Continue", TRUE, FALSE))</f>
        <v>0</v>
      </c>
      <c r="BN1112" s="23"/>
    </row>
    <row r="1113" spans="1:66" ht="15" hidden="1" customHeight="1" x14ac:dyDescent="0.35">
      <c r="A1113" s="18" t="str">
        <f>'Sampling Data'!AI1113</f>
        <v/>
      </c>
      <c r="B1113" s="18" t="str">
        <f>'Sampling Data'!A1113</f>
        <v>9102 SYMM B   (ED)</v>
      </c>
      <c r="C1113" s="18">
        <f>'Sampling Data'!B1113</f>
        <v>76</v>
      </c>
      <c r="D1113" s="18">
        <f>'Sampling Data'!C1113</f>
        <v>11</v>
      </c>
      <c r="E1113" s="19">
        <f>'Sampling Data'!D1113</f>
        <v>0</v>
      </c>
      <c r="F1113" s="19">
        <f>'Sampling Data'!E1113</f>
        <v>0</v>
      </c>
      <c r="G1113" s="19">
        <f>'Sampling Data'!F1113</f>
        <v>0</v>
      </c>
      <c r="H1113" s="19">
        <f>'Sampling Data'!G1113</f>
        <v>0</v>
      </c>
      <c r="I1113" s="19">
        <f>'Sampling Data'!H1113</f>
        <v>0</v>
      </c>
      <c r="J1113" s="19">
        <f>'Sampling Data'!I1113</f>
        <v>0</v>
      </c>
      <c r="K1113" s="19">
        <f>'Sampling Data'!J1113</f>
        <v>0</v>
      </c>
      <c r="L1113" s="19">
        <f>'Sampling Data'!K1113</f>
        <v>0</v>
      </c>
      <c r="M1113" s="19">
        <f>'Sampling Data'!L1113</f>
        <v>0</v>
      </c>
      <c r="N1113" s="19">
        <f>'Sampling Data'!M1113</f>
        <v>0</v>
      </c>
      <c r="O1113" s="18">
        <f>'Sampling Data'!N1113</f>
        <v>0</v>
      </c>
      <c r="P1113" s="18">
        <f>'Sampling Data'!O1113</f>
        <v>1</v>
      </c>
      <c r="Q1113" s="18">
        <f>'Sampling Data'!P1113</f>
        <v>88</v>
      </c>
      <c r="R1113" s="18">
        <f>'Sampling Data'!AJ1113</f>
        <v>0</v>
      </c>
      <c r="S1113" s="112"/>
      <c r="T1113" s="112"/>
      <c r="U1113" s="113"/>
      <c r="V1113" s="113"/>
      <c r="W1113" s="112"/>
      <c r="X1113" s="112"/>
      <c r="Y1113" s="112"/>
      <c r="Z1113" s="112"/>
      <c r="AA1113" s="15"/>
      <c r="AB1113" s="15"/>
      <c r="AC1113" s="15"/>
      <c r="AD1113" s="15"/>
      <c r="AE1113" s="114" t="str">
        <f>IF(NOT(ISBLANK(Audit[[#This Row],[Audit Winning Candidate]])), Audit[[#This Row],[Audit Winning Candidate]]-Audit[[#This Row],[Winning Candidate]], "")</f>
        <v/>
      </c>
      <c r="AF1113" s="18" t="str">
        <f>IF(NOT(ISBLANK(Audit[[#This Row],[Audit Losing Candidate]])), Audit[[#This Row],[Audit Losing Candidate]]-Audit[[#This Row],[Losing Candidate]], "")</f>
        <v/>
      </c>
      <c r="AG1113" s="18" t="str">
        <f>IF(NOT(ISBLANK(Audit[[#This Row],[Audit Candidate 3]])), Audit[[#This Row],[Audit Candidate 3]]-Audit[[#This Row],[Candidate 3]], "")</f>
        <v/>
      </c>
      <c r="AH1113" s="18" t="str">
        <f>IF(NOT(ISBLANK(Audit[[#This Row],[Audit Candidate 4]])),Audit[[#This Row],[Audit Candidate 4]]-Audit[[#This Row],[Candidate 4]], "")</f>
        <v/>
      </c>
      <c r="AI1113" s="18" t="str">
        <f>IF(NOT(ISBLANK(Audit[[#This Row],[Audit Candidate 5]])), Audit[[#This Row],[Audit Candidate 5]]-Audit[[#This Row],[Candidate 5]], "")</f>
        <v/>
      </c>
      <c r="AJ1113" s="18" t="str">
        <f>IF(NOT(ISBLANK(Audit[[#This Row],[Audit Candidate 6]])), Audit[[#This Row],[Audit Candidate 6]]-Audit[[#This Row],[Candidate 6]], "")</f>
        <v/>
      </c>
      <c r="AK1113" s="18" t="str">
        <f>IF(NOT(ISBLANK(Audit[[#This Row],[Audit Candidate 7]])), Audit[[#This Row],[Audit Candidate 7]]-Audit[[#This Row],[Candidate 7]], "")</f>
        <v/>
      </c>
      <c r="AL1113" s="18" t="str">
        <f>IF(NOT(ISBLANK(Audit[[#This Row],[Audit Candidate 8]])), Audit[[#This Row],[Audit Candidate 8]]-Audit[[#This Row],[Candidate 8]], "")</f>
        <v/>
      </c>
      <c r="AM1113" s="18" t="str">
        <f>IF(NOT(ISBLANK(Audit[[#This Row],[Audit Candidate 9]])), Audit[[#This Row],[Audit Candidate 9]]-Audit[[#This Row],[Candidate 9]], "")</f>
        <v/>
      </c>
      <c r="AN1113" s="18" t="str">
        <f>IF(NOT(ISBLANK(Audit[[#This Row],[Audit Candidate 10]])), Audit[[#This Row],[Audit Candidate 10]]-Audit[[#This Row],[Candidate 10]], "")</f>
        <v/>
      </c>
      <c r="AO1113" s="18" t="str">
        <f>IF(NOT(ISBLANK(Audit[[#This Row],[Audit Candidate 11]])), Audit[[#This Row],[Audit Candidate 11]]-Audit[[#This Row],[Candidate 11]], "")</f>
        <v/>
      </c>
      <c r="AP1113" s="18" t="str">
        <f>IF(NOT(ISBLANK(Audit[[#This Row],[Audit Candidate 12]])), Audit[[#This Row],[Audit Candidate 12]]-Audit[[#This Row],[Candidate 12]], "")</f>
        <v/>
      </c>
      <c r="AQ1113" s="18">
        <f>SUMIF(Audit[[#This Row],[Difference Winner]:[Difference Candidate 12]], "&gt;0")</f>
        <v>0</v>
      </c>
      <c r="AR1113" s="18">
        <f>SUM(Audit[[#This Row],[Difference Winner]:[Difference Candidate 12]])</f>
        <v>0</v>
      </c>
      <c r="AS1113" s="18">
        <f>IF(Audit[[#This Row],[Times p Drawn - With Replacement]]&gt;0, IF(Audit[[#This Row],[Canceled Differences]]&lt;0, Audit[[#This Row],[Max Differences]]+ABS(Audit[[#This Row],[Canceled Differences]]), Audit[[#This Row],[Max Differences]]), 0)</f>
        <v>0</v>
      </c>
      <c r="AT1113" s="18">
        <f>'Sampling Data'!AB1113</f>
        <v>4.8057291830260387E-3</v>
      </c>
      <c r="AU1113" s="18">
        <f>IF(
      SUM(Audit[[#This Row],[Audit Losing Candidate]:[Audit Candidate 12]])
      &lt;&gt;0,
      (Audit[[#This Row],[Winning Candidate]]-Audit[[#This Row],[Losing Candidate]]-(Audit[[#This Row],[Audit Winning Candidate]]-Audit[[#This Row],[Audit Losing Candidate]]))/(Audit[[#Totals],[Winning Candidate]]-Audit[[#Totals],[Losing Candidate]]),
      0
)</f>
        <v>0</v>
      </c>
      <c r="AV111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8">
        <f>IF(Audit[[#This Row],[Max Relative Error (ep)]] = 0, 0, Audit[[#This Row],[Max Relative Error (ep)]]/Audit[[#This Row],[Error Bound (up) - Max. possible relative overstatement]])</f>
        <v>0</v>
      </c>
      <c r="BH111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3" s="18">
        <f t="shared" si="18"/>
        <v>1</v>
      </c>
      <c r="BJ1113" s="18">
        <f>PRODUCT($BI$5:BI1113)</f>
        <v>6.0944423859500517E-2</v>
      </c>
      <c r="BK1113" s="20">
        <f>1 - Audit[[#This Row],[K-M P Value]]</f>
        <v>0.9390555761404995</v>
      </c>
      <c r="BL1113" s="18" t="str">
        <f>IF(Audit[[#This Row],[K-M P Value]]&gt;1-'General Info'!$B$12,"Continue", "Stop")</f>
        <v>Stop</v>
      </c>
      <c r="BM1113" s="23" t="b">
        <f>IF(Audit[[#This Row],[Status - Continue or stop audit]] = "Continue", TRUE, IF(BL1112 = "Continue", TRUE, FALSE))</f>
        <v>0</v>
      </c>
      <c r="BN1113" s="23"/>
    </row>
    <row r="1114" spans="1:66" ht="15" hidden="1" customHeight="1" x14ac:dyDescent="0.35">
      <c r="A1114" s="18" t="str">
        <f>'Sampling Data'!AI1114</f>
        <v/>
      </c>
      <c r="B1114" s="18" t="str">
        <f>'Sampling Data'!A1114</f>
        <v>9103 SYMM C   (ED)</v>
      </c>
      <c r="C1114" s="18">
        <f>'Sampling Data'!B1114</f>
        <v>109</v>
      </c>
      <c r="D1114" s="18">
        <f>'Sampling Data'!C1114</f>
        <v>17</v>
      </c>
      <c r="E1114" s="19">
        <f>'Sampling Data'!D1114</f>
        <v>0</v>
      </c>
      <c r="F1114" s="19">
        <f>'Sampling Data'!E1114</f>
        <v>0</v>
      </c>
      <c r="G1114" s="19">
        <f>'Sampling Data'!F1114</f>
        <v>0</v>
      </c>
      <c r="H1114" s="19">
        <f>'Sampling Data'!G1114</f>
        <v>0</v>
      </c>
      <c r="I1114" s="19">
        <f>'Sampling Data'!H1114</f>
        <v>0</v>
      </c>
      <c r="J1114" s="19">
        <f>'Sampling Data'!I1114</f>
        <v>0</v>
      </c>
      <c r="K1114" s="19">
        <f>'Sampling Data'!J1114</f>
        <v>0</v>
      </c>
      <c r="L1114" s="19">
        <f>'Sampling Data'!K1114</f>
        <v>0</v>
      </c>
      <c r="M1114" s="19">
        <f>'Sampling Data'!L1114</f>
        <v>0</v>
      </c>
      <c r="N1114" s="19">
        <f>'Sampling Data'!M1114</f>
        <v>0</v>
      </c>
      <c r="O1114" s="18">
        <f>'Sampling Data'!N1114</f>
        <v>0</v>
      </c>
      <c r="P1114" s="18">
        <f>'Sampling Data'!O1114</f>
        <v>1</v>
      </c>
      <c r="Q1114" s="18">
        <f>'Sampling Data'!P1114</f>
        <v>127</v>
      </c>
      <c r="R1114" s="18">
        <f>'Sampling Data'!AJ1114</f>
        <v>0</v>
      </c>
      <c r="S1114" s="112"/>
      <c r="T1114" s="112"/>
      <c r="U1114" s="113"/>
      <c r="V1114" s="113"/>
      <c r="W1114" s="112"/>
      <c r="X1114" s="112"/>
      <c r="Y1114" s="112"/>
      <c r="Z1114" s="112"/>
      <c r="AA1114" s="15"/>
      <c r="AB1114" s="15"/>
      <c r="AC1114" s="15"/>
      <c r="AD1114" s="15"/>
      <c r="AE1114" s="114" t="str">
        <f>IF(NOT(ISBLANK(Audit[[#This Row],[Audit Winning Candidate]])), Audit[[#This Row],[Audit Winning Candidate]]-Audit[[#This Row],[Winning Candidate]], "")</f>
        <v/>
      </c>
      <c r="AF1114" s="18" t="str">
        <f>IF(NOT(ISBLANK(Audit[[#This Row],[Audit Losing Candidate]])), Audit[[#This Row],[Audit Losing Candidate]]-Audit[[#This Row],[Losing Candidate]], "")</f>
        <v/>
      </c>
      <c r="AG1114" s="18" t="str">
        <f>IF(NOT(ISBLANK(Audit[[#This Row],[Audit Candidate 3]])), Audit[[#This Row],[Audit Candidate 3]]-Audit[[#This Row],[Candidate 3]], "")</f>
        <v/>
      </c>
      <c r="AH1114" s="18" t="str">
        <f>IF(NOT(ISBLANK(Audit[[#This Row],[Audit Candidate 4]])),Audit[[#This Row],[Audit Candidate 4]]-Audit[[#This Row],[Candidate 4]], "")</f>
        <v/>
      </c>
      <c r="AI1114" s="18" t="str">
        <f>IF(NOT(ISBLANK(Audit[[#This Row],[Audit Candidate 5]])), Audit[[#This Row],[Audit Candidate 5]]-Audit[[#This Row],[Candidate 5]], "")</f>
        <v/>
      </c>
      <c r="AJ1114" s="18" t="str">
        <f>IF(NOT(ISBLANK(Audit[[#This Row],[Audit Candidate 6]])), Audit[[#This Row],[Audit Candidate 6]]-Audit[[#This Row],[Candidate 6]], "")</f>
        <v/>
      </c>
      <c r="AK1114" s="18" t="str">
        <f>IF(NOT(ISBLANK(Audit[[#This Row],[Audit Candidate 7]])), Audit[[#This Row],[Audit Candidate 7]]-Audit[[#This Row],[Candidate 7]], "")</f>
        <v/>
      </c>
      <c r="AL1114" s="18" t="str">
        <f>IF(NOT(ISBLANK(Audit[[#This Row],[Audit Candidate 8]])), Audit[[#This Row],[Audit Candidate 8]]-Audit[[#This Row],[Candidate 8]], "")</f>
        <v/>
      </c>
      <c r="AM1114" s="18" t="str">
        <f>IF(NOT(ISBLANK(Audit[[#This Row],[Audit Candidate 9]])), Audit[[#This Row],[Audit Candidate 9]]-Audit[[#This Row],[Candidate 9]], "")</f>
        <v/>
      </c>
      <c r="AN1114" s="18" t="str">
        <f>IF(NOT(ISBLANK(Audit[[#This Row],[Audit Candidate 10]])), Audit[[#This Row],[Audit Candidate 10]]-Audit[[#This Row],[Candidate 10]], "")</f>
        <v/>
      </c>
      <c r="AO1114" s="18" t="str">
        <f>IF(NOT(ISBLANK(Audit[[#This Row],[Audit Candidate 11]])), Audit[[#This Row],[Audit Candidate 11]]-Audit[[#This Row],[Candidate 11]], "")</f>
        <v/>
      </c>
      <c r="AP1114" s="18" t="str">
        <f>IF(NOT(ISBLANK(Audit[[#This Row],[Audit Candidate 12]])), Audit[[#This Row],[Audit Candidate 12]]-Audit[[#This Row],[Candidate 12]], "")</f>
        <v/>
      </c>
      <c r="AQ1114" s="18">
        <f>SUMIF(Audit[[#This Row],[Difference Winner]:[Difference Candidate 12]], "&gt;0")</f>
        <v>0</v>
      </c>
      <c r="AR1114" s="18">
        <f>SUM(Audit[[#This Row],[Difference Winner]:[Difference Candidate 12]])</f>
        <v>0</v>
      </c>
      <c r="AS1114" s="18">
        <f>IF(Audit[[#This Row],[Times p Drawn - With Replacement]]&gt;0, IF(Audit[[#This Row],[Canceled Differences]]&lt;0, Audit[[#This Row],[Max Differences]]+ABS(Audit[[#This Row],[Canceled Differences]]), Audit[[#This Row],[Max Differences]]), 0)</f>
        <v>0</v>
      </c>
      <c r="AT1114" s="18">
        <f>'Sampling Data'!AB1114</f>
        <v>6.8787888306058986E-3</v>
      </c>
      <c r="AU1114" s="18">
        <f>IF(
      SUM(Audit[[#This Row],[Audit Losing Candidate]:[Audit Candidate 12]])
      &lt;&gt;0,
      (Audit[[#This Row],[Winning Candidate]]-Audit[[#This Row],[Losing Candidate]]-(Audit[[#This Row],[Audit Winning Candidate]]-Audit[[#This Row],[Audit Losing Candidate]]))/(Audit[[#Totals],[Winning Candidate]]-Audit[[#Totals],[Losing Candidate]]),
      0
)</f>
        <v>0</v>
      </c>
      <c r="AV11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8">
        <f>IF(Audit[[#This Row],[Max Relative Error (ep)]] = 0, 0, Audit[[#This Row],[Max Relative Error (ep)]]/Audit[[#This Row],[Error Bound (up) - Max. possible relative overstatement]])</f>
        <v>0</v>
      </c>
      <c r="BH11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4" s="18">
        <f t="shared" si="18"/>
        <v>1</v>
      </c>
      <c r="BJ1114" s="18">
        <f>PRODUCT($BI$5:BI1114)</f>
        <v>6.0944423859500517E-2</v>
      </c>
      <c r="BK1114" s="20">
        <f>1 - Audit[[#This Row],[K-M P Value]]</f>
        <v>0.9390555761404995</v>
      </c>
      <c r="BL1114" s="18" t="str">
        <f>IF(Audit[[#This Row],[K-M P Value]]&gt;1-'General Info'!$B$12,"Continue", "Stop")</f>
        <v>Stop</v>
      </c>
      <c r="BM1114" s="23" t="b">
        <f>IF(Audit[[#This Row],[Status - Continue or stop audit]] = "Continue", TRUE, IF(BL1113 = "Continue", TRUE, FALSE))</f>
        <v>0</v>
      </c>
      <c r="BN1114" s="23"/>
    </row>
    <row r="1115" spans="1:66" ht="15" hidden="1" customHeight="1" x14ac:dyDescent="0.35">
      <c r="A1115" s="18" t="str">
        <f>'Sampling Data'!AI1115</f>
        <v/>
      </c>
      <c r="B1115" s="18" t="str">
        <f>'Sampling Data'!A1115</f>
        <v>9104 SYMM D   (ED)</v>
      </c>
      <c r="C1115" s="18">
        <f>'Sampling Data'!B1115</f>
        <v>67</v>
      </c>
      <c r="D1115" s="18">
        <f>'Sampling Data'!C1115</f>
        <v>9</v>
      </c>
      <c r="E1115" s="19">
        <f>'Sampling Data'!D1115</f>
        <v>0</v>
      </c>
      <c r="F1115" s="19">
        <f>'Sampling Data'!E1115</f>
        <v>0</v>
      </c>
      <c r="G1115" s="19">
        <f>'Sampling Data'!F1115</f>
        <v>0</v>
      </c>
      <c r="H1115" s="19">
        <f>'Sampling Data'!G1115</f>
        <v>0</v>
      </c>
      <c r="I1115" s="19">
        <f>'Sampling Data'!H1115</f>
        <v>0</v>
      </c>
      <c r="J1115" s="19">
        <f>'Sampling Data'!I1115</f>
        <v>0</v>
      </c>
      <c r="K1115" s="19">
        <f>'Sampling Data'!J1115</f>
        <v>0</v>
      </c>
      <c r="L1115" s="19">
        <f>'Sampling Data'!K1115</f>
        <v>0</v>
      </c>
      <c r="M1115" s="19">
        <f>'Sampling Data'!L1115</f>
        <v>0</v>
      </c>
      <c r="N1115" s="19">
        <f>'Sampling Data'!M1115</f>
        <v>0</v>
      </c>
      <c r="O1115" s="18">
        <f>'Sampling Data'!N1115</f>
        <v>0</v>
      </c>
      <c r="P1115" s="18">
        <f>'Sampling Data'!O1115</f>
        <v>3</v>
      </c>
      <c r="Q1115" s="18">
        <f>'Sampling Data'!P1115</f>
        <v>79</v>
      </c>
      <c r="R1115" s="18">
        <f>'Sampling Data'!AJ1115</f>
        <v>0</v>
      </c>
      <c r="S1115" s="112"/>
      <c r="T1115" s="112"/>
      <c r="U1115" s="113"/>
      <c r="V1115" s="113"/>
      <c r="W1115" s="112"/>
      <c r="X1115" s="112"/>
      <c r="Y1115" s="112"/>
      <c r="Z1115" s="112"/>
      <c r="AA1115" s="15"/>
      <c r="AB1115" s="15"/>
      <c r="AC1115" s="15"/>
      <c r="AD1115" s="15"/>
      <c r="AE1115" s="114" t="str">
        <f>IF(NOT(ISBLANK(Audit[[#This Row],[Audit Winning Candidate]])), Audit[[#This Row],[Audit Winning Candidate]]-Audit[[#This Row],[Winning Candidate]], "")</f>
        <v/>
      </c>
      <c r="AF1115" s="18" t="str">
        <f>IF(NOT(ISBLANK(Audit[[#This Row],[Audit Losing Candidate]])), Audit[[#This Row],[Audit Losing Candidate]]-Audit[[#This Row],[Losing Candidate]], "")</f>
        <v/>
      </c>
      <c r="AG1115" s="18" t="str">
        <f>IF(NOT(ISBLANK(Audit[[#This Row],[Audit Candidate 3]])), Audit[[#This Row],[Audit Candidate 3]]-Audit[[#This Row],[Candidate 3]], "")</f>
        <v/>
      </c>
      <c r="AH1115" s="18" t="str">
        <f>IF(NOT(ISBLANK(Audit[[#This Row],[Audit Candidate 4]])),Audit[[#This Row],[Audit Candidate 4]]-Audit[[#This Row],[Candidate 4]], "")</f>
        <v/>
      </c>
      <c r="AI1115" s="18" t="str">
        <f>IF(NOT(ISBLANK(Audit[[#This Row],[Audit Candidate 5]])), Audit[[#This Row],[Audit Candidate 5]]-Audit[[#This Row],[Candidate 5]], "")</f>
        <v/>
      </c>
      <c r="AJ1115" s="18" t="str">
        <f>IF(NOT(ISBLANK(Audit[[#This Row],[Audit Candidate 6]])), Audit[[#This Row],[Audit Candidate 6]]-Audit[[#This Row],[Candidate 6]], "")</f>
        <v/>
      </c>
      <c r="AK1115" s="18" t="str">
        <f>IF(NOT(ISBLANK(Audit[[#This Row],[Audit Candidate 7]])), Audit[[#This Row],[Audit Candidate 7]]-Audit[[#This Row],[Candidate 7]], "")</f>
        <v/>
      </c>
      <c r="AL1115" s="18" t="str">
        <f>IF(NOT(ISBLANK(Audit[[#This Row],[Audit Candidate 8]])), Audit[[#This Row],[Audit Candidate 8]]-Audit[[#This Row],[Candidate 8]], "")</f>
        <v/>
      </c>
      <c r="AM1115" s="18" t="str">
        <f>IF(NOT(ISBLANK(Audit[[#This Row],[Audit Candidate 9]])), Audit[[#This Row],[Audit Candidate 9]]-Audit[[#This Row],[Candidate 9]], "")</f>
        <v/>
      </c>
      <c r="AN1115" s="18" t="str">
        <f>IF(NOT(ISBLANK(Audit[[#This Row],[Audit Candidate 10]])), Audit[[#This Row],[Audit Candidate 10]]-Audit[[#This Row],[Candidate 10]], "")</f>
        <v/>
      </c>
      <c r="AO1115" s="18" t="str">
        <f>IF(NOT(ISBLANK(Audit[[#This Row],[Audit Candidate 11]])), Audit[[#This Row],[Audit Candidate 11]]-Audit[[#This Row],[Candidate 11]], "")</f>
        <v/>
      </c>
      <c r="AP1115" s="18" t="str">
        <f>IF(NOT(ISBLANK(Audit[[#This Row],[Audit Candidate 12]])), Audit[[#This Row],[Audit Candidate 12]]-Audit[[#This Row],[Candidate 12]], "")</f>
        <v/>
      </c>
      <c r="AQ1115" s="18">
        <f>SUMIF(Audit[[#This Row],[Difference Winner]:[Difference Candidate 12]], "&gt;0")</f>
        <v>0</v>
      </c>
      <c r="AR1115" s="18">
        <f>SUM(Audit[[#This Row],[Difference Winner]:[Difference Candidate 12]])</f>
        <v>0</v>
      </c>
      <c r="AS1115" s="18">
        <f>IF(Audit[[#This Row],[Times p Drawn - With Replacement]]&gt;0, IF(Audit[[#This Row],[Canceled Differences]]&lt;0, Audit[[#This Row],[Max Differences]]+ABS(Audit[[#This Row],[Canceled Differences]]), Audit[[#This Row],[Max Differences]]), 0)</f>
        <v>0</v>
      </c>
      <c r="AT1115" s="18">
        <f>'Sampling Data'!AB1115</f>
        <v>4.3031692684612245E-3</v>
      </c>
      <c r="AU1115" s="18">
        <f>IF(
      SUM(Audit[[#This Row],[Audit Losing Candidate]:[Audit Candidate 12]])
      &lt;&gt;0,
      (Audit[[#This Row],[Winning Candidate]]-Audit[[#This Row],[Losing Candidate]]-(Audit[[#This Row],[Audit Winning Candidate]]-Audit[[#This Row],[Audit Losing Candidate]]))/(Audit[[#Totals],[Winning Candidate]]-Audit[[#Totals],[Losing Candidate]]),
      0
)</f>
        <v>0</v>
      </c>
      <c r="AV111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8">
        <f>IF(Audit[[#This Row],[Max Relative Error (ep)]] = 0, 0, Audit[[#This Row],[Max Relative Error (ep)]]/Audit[[#This Row],[Error Bound (up) - Max. possible relative overstatement]])</f>
        <v>0</v>
      </c>
      <c r="BH111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5" s="18">
        <f t="shared" si="18"/>
        <v>1</v>
      </c>
      <c r="BJ1115" s="18">
        <f>PRODUCT($BI$5:BI1115)</f>
        <v>6.0944423859500517E-2</v>
      </c>
      <c r="BK1115" s="20">
        <f>1 - Audit[[#This Row],[K-M P Value]]</f>
        <v>0.9390555761404995</v>
      </c>
      <c r="BL1115" s="18" t="str">
        <f>IF(Audit[[#This Row],[K-M P Value]]&gt;1-'General Info'!$B$12,"Continue", "Stop")</f>
        <v>Stop</v>
      </c>
      <c r="BM1115" s="23" t="b">
        <f>IF(Audit[[#This Row],[Status - Continue or stop audit]] = "Continue", TRUE, IF(BL1114 = "Continue", TRUE, FALSE))</f>
        <v>0</v>
      </c>
      <c r="BN1115" s="23"/>
    </row>
    <row r="1116" spans="1:66" ht="15" hidden="1" customHeight="1" x14ac:dyDescent="0.35">
      <c r="A1116" s="18" t="str">
        <f>'Sampling Data'!AI1116</f>
        <v/>
      </c>
      <c r="B1116" s="18" t="str">
        <f>'Sampling Data'!A1116</f>
        <v>9105 SYMM E   (ED)</v>
      </c>
      <c r="C1116" s="18">
        <f>'Sampling Data'!B1116</f>
        <v>83</v>
      </c>
      <c r="D1116" s="18">
        <f>'Sampling Data'!C1116</f>
        <v>17</v>
      </c>
      <c r="E1116" s="19">
        <f>'Sampling Data'!D1116</f>
        <v>0</v>
      </c>
      <c r="F1116" s="19">
        <f>'Sampling Data'!E1116</f>
        <v>0</v>
      </c>
      <c r="G1116" s="19">
        <f>'Sampling Data'!F1116</f>
        <v>0</v>
      </c>
      <c r="H1116" s="19">
        <f>'Sampling Data'!G1116</f>
        <v>0</v>
      </c>
      <c r="I1116" s="19">
        <f>'Sampling Data'!H1116</f>
        <v>0</v>
      </c>
      <c r="J1116" s="19">
        <f>'Sampling Data'!I1116</f>
        <v>0</v>
      </c>
      <c r="K1116" s="19">
        <f>'Sampling Data'!J1116</f>
        <v>0</v>
      </c>
      <c r="L1116" s="19">
        <f>'Sampling Data'!K1116</f>
        <v>0</v>
      </c>
      <c r="M1116" s="19">
        <f>'Sampling Data'!L1116</f>
        <v>0</v>
      </c>
      <c r="N1116" s="19">
        <f>'Sampling Data'!M1116</f>
        <v>0</v>
      </c>
      <c r="O1116" s="18">
        <f>'Sampling Data'!N1116</f>
        <v>0</v>
      </c>
      <c r="P1116" s="18">
        <f>'Sampling Data'!O1116</f>
        <v>0</v>
      </c>
      <c r="Q1116" s="18">
        <f>'Sampling Data'!P1116</f>
        <v>100</v>
      </c>
      <c r="R1116" s="18">
        <f>'Sampling Data'!AJ1116</f>
        <v>0</v>
      </c>
      <c r="S1116" s="112"/>
      <c r="T1116" s="112"/>
      <c r="U1116" s="113"/>
      <c r="V1116" s="113"/>
      <c r="W1116" s="112"/>
      <c r="X1116" s="112"/>
      <c r="Y1116" s="112"/>
      <c r="Z1116" s="112"/>
      <c r="AA1116" s="15"/>
      <c r="AB1116" s="15"/>
      <c r="AC1116" s="15"/>
      <c r="AD1116" s="15"/>
      <c r="AE1116" s="114" t="str">
        <f>IF(NOT(ISBLANK(Audit[[#This Row],[Audit Winning Candidate]])), Audit[[#This Row],[Audit Winning Candidate]]-Audit[[#This Row],[Winning Candidate]], "")</f>
        <v/>
      </c>
      <c r="AF1116" s="18" t="str">
        <f>IF(NOT(ISBLANK(Audit[[#This Row],[Audit Losing Candidate]])), Audit[[#This Row],[Audit Losing Candidate]]-Audit[[#This Row],[Losing Candidate]], "")</f>
        <v/>
      </c>
      <c r="AG1116" s="18" t="str">
        <f>IF(NOT(ISBLANK(Audit[[#This Row],[Audit Candidate 3]])), Audit[[#This Row],[Audit Candidate 3]]-Audit[[#This Row],[Candidate 3]], "")</f>
        <v/>
      </c>
      <c r="AH1116" s="18" t="str">
        <f>IF(NOT(ISBLANK(Audit[[#This Row],[Audit Candidate 4]])),Audit[[#This Row],[Audit Candidate 4]]-Audit[[#This Row],[Candidate 4]], "")</f>
        <v/>
      </c>
      <c r="AI1116" s="18" t="str">
        <f>IF(NOT(ISBLANK(Audit[[#This Row],[Audit Candidate 5]])), Audit[[#This Row],[Audit Candidate 5]]-Audit[[#This Row],[Candidate 5]], "")</f>
        <v/>
      </c>
      <c r="AJ1116" s="18" t="str">
        <f>IF(NOT(ISBLANK(Audit[[#This Row],[Audit Candidate 6]])), Audit[[#This Row],[Audit Candidate 6]]-Audit[[#This Row],[Candidate 6]], "")</f>
        <v/>
      </c>
      <c r="AK1116" s="18" t="str">
        <f>IF(NOT(ISBLANK(Audit[[#This Row],[Audit Candidate 7]])), Audit[[#This Row],[Audit Candidate 7]]-Audit[[#This Row],[Candidate 7]], "")</f>
        <v/>
      </c>
      <c r="AL1116" s="18" t="str">
        <f>IF(NOT(ISBLANK(Audit[[#This Row],[Audit Candidate 8]])), Audit[[#This Row],[Audit Candidate 8]]-Audit[[#This Row],[Candidate 8]], "")</f>
        <v/>
      </c>
      <c r="AM1116" s="18" t="str">
        <f>IF(NOT(ISBLANK(Audit[[#This Row],[Audit Candidate 9]])), Audit[[#This Row],[Audit Candidate 9]]-Audit[[#This Row],[Candidate 9]], "")</f>
        <v/>
      </c>
      <c r="AN1116" s="18" t="str">
        <f>IF(NOT(ISBLANK(Audit[[#This Row],[Audit Candidate 10]])), Audit[[#This Row],[Audit Candidate 10]]-Audit[[#This Row],[Candidate 10]], "")</f>
        <v/>
      </c>
      <c r="AO1116" s="18" t="str">
        <f>IF(NOT(ISBLANK(Audit[[#This Row],[Audit Candidate 11]])), Audit[[#This Row],[Audit Candidate 11]]-Audit[[#This Row],[Candidate 11]], "")</f>
        <v/>
      </c>
      <c r="AP1116" s="18" t="str">
        <f>IF(NOT(ISBLANK(Audit[[#This Row],[Audit Candidate 12]])), Audit[[#This Row],[Audit Candidate 12]]-Audit[[#This Row],[Candidate 12]], "")</f>
        <v/>
      </c>
      <c r="AQ1116" s="18">
        <f>SUMIF(Audit[[#This Row],[Difference Winner]:[Difference Candidate 12]], "&gt;0")</f>
        <v>0</v>
      </c>
      <c r="AR1116" s="18">
        <f>SUM(Audit[[#This Row],[Difference Winner]:[Difference Candidate 12]])</f>
        <v>0</v>
      </c>
      <c r="AS1116" s="18">
        <f>IF(Audit[[#This Row],[Times p Drawn - With Replacement]]&gt;0, IF(Audit[[#This Row],[Canceled Differences]]&lt;0, Audit[[#This Row],[Max Differences]]+ABS(Audit[[#This Row],[Canceled Differences]]), Audit[[#This Row],[Max Differences]]), 0)</f>
        <v>0</v>
      </c>
      <c r="AT1116" s="18">
        <f>'Sampling Data'!AB1116</f>
        <v>5.2140591136099505E-3</v>
      </c>
      <c r="AU1116" s="18">
        <f>IF(
      SUM(Audit[[#This Row],[Audit Losing Candidate]:[Audit Candidate 12]])
      &lt;&gt;0,
      (Audit[[#This Row],[Winning Candidate]]-Audit[[#This Row],[Losing Candidate]]-(Audit[[#This Row],[Audit Winning Candidate]]-Audit[[#This Row],[Audit Losing Candidate]]))/(Audit[[#Totals],[Winning Candidate]]-Audit[[#Totals],[Losing Candidate]]),
      0
)</f>
        <v>0</v>
      </c>
      <c r="AV111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8">
        <f>IF(Audit[[#This Row],[Max Relative Error (ep)]] = 0, 0, Audit[[#This Row],[Max Relative Error (ep)]]/Audit[[#This Row],[Error Bound (up) - Max. possible relative overstatement]])</f>
        <v>0</v>
      </c>
      <c r="BH111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6" s="18">
        <f t="shared" si="18"/>
        <v>1</v>
      </c>
      <c r="BJ1116" s="18">
        <f>PRODUCT($BI$5:BI1116)</f>
        <v>6.0944423859500517E-2</v>
      </c>
      <c r="BK1116" s="20">
        <f>1 - Audit[[#This Row],[K-M P Value]]</f>
        <v>0.9390555761404995</v>
      </c>
      <c r="BL1116" s="18" t="str">
        <f>IF(Audit[[#This Row],[K-M P Value]]&gt;1-'General Info'!$B$12,"Continue", "Stop")</f>
        <v>Stop</v>
      </c>
      <c r="BM1116" s="23" t="b">
        <f>IF(Audit[[#This Row],[Status - Continue or stop audit]] = "Continue", TRUE, IF(BL1115 = "Continue", TRUE, FALSE))</f>
        <v>0</v>
      </c>
      <c r="BN1116" s="23"/>
    </row>
    <row r="1117" spans="1:66" ht="15" hidden="1" customHeight="1" x14ac:dyDescent="0.35">
      <c r="A1117" s="18" t="str">
        <f>'Sampling Data'!AI1117</f>
        <v/>
      </c>
      <c r="B1117" s="18" t="str">
        <f>'Sampling Data'!A1117</f>
        <v>9106 SYMM F   (ED)</v>
      </c>
      <c r="C1117" s="18">
        <f>'Sampling Data'!B1117</f>
        <v>63</v>
      </c>
      <c r="D1117" s="18">
        <f>'Sampling Data'!C1117</f>
        <v>5</v>
      </c>
      <c r="E1117" s="19">
        <f>'Sampling Data'!D1117</f>
        <v>0</v>
      </c>
      <c r="F1117" s="19">
        <f>'Sampling Data'!E1117</f>
        <v>0</v>
      </c>
      <c r="G1117" s="19">
        <f>'Sampling Data'!F1117</f>
        <v>0</v>
      </c>
      <c r="H1117" s="19">
        <f>'Sampling Data'!G1117</f>
        <v>0</v>
      </c>
      <c r="I1117" s="19">
        <f>'Sampling Data'!H1117</f>
        <v>0</v>
      </c>
      <c r="J1117" s="19">
        <f>'Sampling Data'!I1117</f>
        <v>0</v>
      </c>
      <c r="K1117" s="19">
        <f>'Sampling Data'!J1117</f>
        <v>0</v>
      </c>
      <c r="L1117" s="19">
        <f>'Sampling Data'!K1117</f>
        <v>0</v>
      </c>
      <c r="M1117" s="19">
        <f>'Sampling Data'!L1117</f>
        <v>0</v>
      </c>
      <c r="N1117" s="19">
        <f>'Sampling Data'!M1117</f>
        <v>0</v>
      </c>
      <c r="O1117" s="18">
        <f>'Sampling Data'!N1117</f>
        <v>0</v>
      </c>
      <c r="P1117" s="18">
        <f>'Sampling Data'!O1117</f>
        <v>1</v>
      </c>
      <c r="Q1117" s="18">
        <f>'Sampling Data'!P1117</f>
        <v>69</v>
      </c>
      <c r="R1117" s="18">
        <f>'Sampling Data'!AJ1117</f>
        <v>0</v>
      </c>
      <c r="S1117" s="112"/>
      <c r="T1117" s="112"/>
      <c r="U1117" s="113"/>
      <c r="V1117" s="113"/>
      <c r="W1117" s="112"/>
      <c r="X1117" s="112"/>
      <c r="Y1117" s="112"/>
      <c r="Z1117" s="112"/>
      <c r="AA1117" s="15"/>
      <c r="AB1117" s="15"/>
      <c r="AC1117" s="15"/>
      <c r="AD1117" s="15"/>
      <c r="AE1117" s="114" t="str">
        <f>IF(NOT(ISBLANK(Audit[[#This Row],[Audit Winning Candidate]])), Audit[[#This Row],[Audit Winning Candidate]]-Audit[[#This Row],[Winning Candidate]], "")</f>
        <v/>
      </c>
      <c r="AF1117" s="18" t="str">
        <f>IF(NOT(ISBLANK(Audit[[#This Row],[Audit Losing Candidate]])), Audit[[#This Row],[Audit Losing Candidate]]-Audit[[#This Row],[Losing Candidate]], "")</f>
        <v/>
      </c>
      <c r="AG1117" s="18" t="str">
        <f>IF(NOT(ISBLANK(Audit[[#This Row],[Audit Candidate 3]])), Audit[[#This Row],[Audit Candidate 3]]-Audit[[#This Row],[Candidate 3]], "")</f>
        <v/>
      </c>
      <c r="AH1117" s="18" t="str">
        <f>IF(NOT(ISBLANK(Audit[[#This Row],[Audit Candidate 4]])),Audit[[#This Row],[Audit Candidate 4]]-Audit[[#This Row],[Candidate 4]], "")</f>
        <v/>
      </c>
      <c r="AI1117" s="18" t="str">
        <f>IF(NOT(ISBLANK(Audit[[#This Row],[Audit Candidate 5]])), Audit[[#This Row],[Audit Candidate 5]]-Audit[[#This Row],[Candidate 5]], "")</f>
        <v/>
      </c>
      <c r="AJ1117" s="18" t="str">
        <f>IF(NOT(ISBLANK(Audit[[#This Row],[Audit Candidate 6]])), Audit[[#This Row],[Audit Candidate 6]]-Audit[[#This Row],[Candidate 6]], "")</f>
        <v/>
      </c>
      <c r="AK1117" s="18" t="str">
        <f>IF(NOT(ISBLANK(Audit[[#This Row],[Audit Candidate 7]])), Audit[[#This Row],[Audit Candidate 7]]-Audit[[#This Row],[Candidate 7]], "")</f>
        <v/>
      </c>
      <c r="AL1117" s="18" t="str">
        <f>IF(NOT(ISBLANK(Audit[[#This Row],[Audit Candidate 8]])), Audit[[#This Row],[Audit Candidate 8]]-Audit[[#This Row],[Candidate 8]], "")</f>
        <v/>
      </c>
      <c r="AM1117" s="18" t="str">
        <f>IF(NOT(ISBLANK(Audit[[#This Row],[Audit Candidate 9]])), Audit[[#This Row],[Audit Candidate 9]]-Audit[[#This Row],[Candidate 9]], "")</f>
        <v/>
      </c>
      <c r="AN1117" s="18" t="str">
        <f>IF(NOT(ISBLANK(Audit[[#This Row],[Audit Candidate 10]])), Audit[[#This Row],[Audit Candidate 10]]-Audit[[#This Row],[Candidate 10]], "")</f>
        <v/>
      </c>
      <c r="AO1117" s="18" t="str">
        <f>IF(NOT(ISBLANK(Audit[[#This Row],[Audit Candidate 11]])), Audit[[#This Row],[Audit Candidate 11]]-Audit[[#This Row],[Candidate 11]], "")</f>
        <v/>
      </c>
      <c r="AP1117" s="18" t="str">
        <f>IF(NOT(ISBLANK(Audit[[#This Row],[Audit Candidate 12]])), Audit[[#This Row],[Audit Candidate 12]]-Audit[[#This Row],[Candidate 12]], "")</f>
        <v/>
      </c>
      <c r="AQ1117" s="18">
        <f>SUMIF(Audit[[#This Row],[Difference Winner]:[Difference Candidate 12]], "&gt;0")</f>
        <v>0</v>
      </c>
      <c r="AR1117" s="18">
        <f>SUM(Audit[[#This Row],[Difference Winner]:[Difference Candidate 12]])</f>
        <v>0</v>
      </c>
      <c r="AS1117" s="18">
        <f>IF(Audit[[#This Row],[Times p Drawn - With Replacement]]&gt;0, IF(Audit[[#This Row],[Canceled Differences]]&lt;0, Audit[[#This Row],[Max Differences]]+ABS(Audit[[#This Row],[Canceled Differences]]), Audit[[#This Row],[Max Differences]]), 0)</f>
        <v>0</v>
      </c>
      <c r="AT1117" s="18">
        <f>'Sampling Data'!AB1117</f>
        <v>3.989069321858215E-3</v>
      </c>
      <c r="AU1117" s="18">
        <f>IF(
      SUM(Audit[[#This Row],[Audit Losing Candidate]:[Audit Candidate 12]])
      &lt;&gt;0,
      (Audit[[#This Row],[Winning Candidate]]-Audit[[#This Row],[Losing Candidate]]-(Audit[[#This Row],[Audit Winning Candidate]]-Audit[[#This Row],[Audit Losing Candidate]]))/(Audit[[#Totals],[Winning Candidate]]-Audit[[#Totals],[Losing Candidate]]),
      0
)</f>
        <v>0</v>
      </c>
      <c r="AV111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8">
        <f>IF(Audit[[#This Row],[Max Relative Error (ep)]] = 0, 0, Audit[[#This Row],[Max Relative Error (ep)]]/Audit[[#This Row],[Error Bound (up) - Max. possible relative overstatement]])</f>
        <v>0</v>
      </c>
      <c r="BH111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7" s="18">
        <f t="shared" si="18"/>
        <v>1</v>
      </c>
      <c r="BJ1117" s="18">
        <f>PRODUCT($BI$5:BI1117)</f>
        <v>6.0944423859500517E-2</v>
      </c>
      <c r="BK1117" s="20">
        <f>1 - Audit[[#This Row],[K-M P Value]]</f>
        <v>0.9390555761404995</v>
      </c>
      <c r="BL1117" s="18" t="str">
        <f>IF(Audit[[#This Row],[K-M P Value]]&gt;1-'General Info'!$B$12,"Continue", "Stop")</f>
        <v>Stop</v>
      </c>
      <c r="BM1117" s="23" t="b">
        <f>IF(Audit[[#This Row],[Status - Continue or stop audit]] = "Continue", TRUE, IF(BL1116 = "Continue", TRUE, FALSE))</f>
        <v>0</v>
      </c>
      <c r="BN1117" s="23"/>
    </row>
    <row r="1118" spans="1:66" ht="15" hidden="1" customHeight="1" x14ac:dyDescent="0.35">
      <c r="A1118" s="18" t="str">
        <f>'Sampling Data'!AI1118</f>
        <v/>
      </c>
      <c r="B1118" s="18" t="str">
        <f>'Sampling Data'!A1118</f>
        <v>9107 SYMM G   (ED)</v>
      </c>
      <c r="C1118" s="18">
        <f>'Sampling Data'!B1118</f>
        <v>53</v>
      </c>
      <c r="D1118" s="18">
        <f>'Sampling Data'!C1118</f>
        <v>7</v>
      </c>
      <c r="E1118" s="19">
        <f>'Sampling Data'!D1118</f>
        <v>0</v>
      </c>
      <c r="F1118" s="19">
        <f>'Sampling Data'!E1118</f>
        <v>0</v>
      </c>
      <c r="G1118" s="19">
        <f>'Sampling Data'!F1118</f>
        <v>0</v>
      </c>
      <c r="H1118" s="19">
        <f>'Sampling Data'!G1118</f>
        <v>0</v>
      </c>
      <c r="I1118" s="19">
        <f>'Sampling Data'!H1118</f>
        <v>0</v>
      </c>
      <c r="J1118" s="19">
        <f>'Sampling Data'!I1118</f>
        <v>0</v>
      </c>
      <c r="K1118" s="19">
        <f>'Sampling Data'!J1118</f>
        <v>0</v>
      </c>
      <c r="L1118" s="19">
        <f>'Sampling Data'!K1118</f>
        <v>0</v>
      </c>
      <c r="M1118" s="19">
        <f>'Sampling Data'!L1118</f>
        <v>0</v>
      </c>
      <c r="N1118" s="19">
        <f>'Sampling Data'!M1118</f>
        <v>0</v>
      </c>
      <c r="O1118" s="18">
        <f>'Sampling Data'!N1118</f>
        <v>0</v>
      </c>
      <c r="P1118" s="18">
        <f>'Sampling Data'!O1118</f>
        <v>2</v>
      </c>
      <c r="Q1118" s="18">
        <f>'Sampling Data'!P1118</f>
        <v>62</v>
      </c>
      <c r="R1118" s="18">
        <f>'Sampling Data'!AJ1118</f>
        <v>0</v>
      </c>
      <c r="S1118" s="112"/>
      <c r="T1118" s="112"/>
      <c r="U1118" s="113"/>
      <c r="V1118" s="113"/>
      <c r="W1118" s="112"/>
      <c r="X1118" s="112"/>
      <c r="Y1118" s="112"/>
      <c r="Z1118" s="112"/>
      <c r="AA1118" s="15"/>
      <c r="AB1118" s="15"/>
      <c r="AC1118" s="15"/>
      <c r="AD1118" s="15"/>
      <c r="AE1118" s="114" t="str">
        <f>IF(NOT(ISBLANK(Audit[[#This Row],[Audit Winning Candidate]])), Audit[[#This Row],[Audit Winning Candidate]]-Audit[[#This Row],[Winning Candidate]], "")</f>
        <v/>
      </c>
      <c r="AF1118" s="18" t="str">
        <f>IF(NOT(ISBLANK(Audit[[#This Row],[Audit Losing Candidate]])), Audit[[#This Row],[Audit Losing Candidate]]-Audit[[#This Row],[Losing Candidate]], "")</f>
        <v/>
      </c>
      <c r="AG1118" s="18" t="str">
        <f>IF(NOT(ISBLANK(Audit[[#This Row],[Audit Candidate 3]])), Audit[[#This Row],[Audit Candidate 3]]-Audit[[#This Row],[Candidate 3]], "")</f>
        <v/>
      </c>
      <c r="AH1118" s="18" t="str">
        <f>IF(NOT(ISBLANK(Audit[[#This Row],[Audit Candidate 4]])),Audit[[#This Row],[Audit Candidate 4]]-Audit[[#This Row],[Candidate 4]], "")</f>
        <v/>
      </c>
      <c r="AI1118" s="18" t="str">
        <f>IF(NOT(ISBLANK(Audit[[#This Row],[Audit Candidate 5]])), Audit[[#This Row],[Audit Candidate 5]]-Audit[[#This Row],[Candidate 5]], "")</f>
        <v/>
      </c>
      <c r="AJ1118" s="18" t="str">
        <f>IF(NOT(ISBLANK(Audit[[#This Row],[Audit Candidate 6]])), Audit[[#This Row],[Audit Candidate 6]]-Audit[[#This Row],[Candidate 6]], "")</f>
        <v/>
      </c>
      <c r="AK1118" s="18" t="str">
        <f>IF(NOT(ISBLANK(Audit[[#This Row],[Audit Candidate 7]])), Audit[[#This Row],[Audit Candidate 7]]-Audit[[#This Row],[Candidate 7]], "")</f>
        <v/>
      </c>
      <c r="AL1118" s="18" t="str">
        <f>IF(NOT(ISBLANK(Audit[[#This Row],[Audit Candidate 8]])), Audit[[#This Row],[Audit Candidate 8]]-Audit[[#This Row],[Candidate 8]], "")</f>
        <v/>
      </c>
      <c r="AM1118" s="18" t="str">
        <f>IF(NOT(ISBLANK(Audit[[#This Row],[Audit Candidate 9]])), Audit[[#This Row],[Audit Candidate 9]]-Audit[[#This Row],[Candidate 9]], "")</f>
        <v/>
      </c>
      <c r="AN1118" s="18" t="str">
        <f>IF(NOT(ISBLANK(Audit[[#This Row],[Audit Candidate 10]])), Audit[[#This Row],[Audit Candidate 10]]-Audit[[#This Row],[Candidate 10]], "")</f>
        <v/>
      </c>
      <c r="AO1118" s="18" t="str">
        <f>IF(NOT(ISBLANK(Audit[[#This Row],[Audit Candidate 11]])), Audit[[#This Row],[Audit Candidate 11]]-Audit[[#This Row],[Candidate 11]], "")</f>
        <v/>
      </c>
      <c r="AP1118" s="18" t="str">
        <f>IF(NOT(ISBLANK(Audit[[#This Row],[Audit Candidate 12]])), Audit[[#This Row],[Audit Candidate 12]]-Audit[[#This Row],[Candidate 12]], "")</f>
        <v/>
      </c>
      <c r="AQ1118" s="18">
        <f>SUMIF(Audit[[#This Row],[Difference Winner]:[Difference Candidate 12]], "&gt;0")</f>
        <v>0</v>
      </c>
      <c r="AR1118" s="18">
        <f>SUM(Audit[[#This Row],[Difference Winner]:[Difference Candidate 12]])</f>
        <v>0</v>
      </c>
      <c r="AS1118" s="18">
        <f>IF(Audit[[#This Row],[Times p Drawn - With Replacement]]&gt;0, IF(Audit[[#This Row],[Canceled Differences]]&lt;0, Audit[[#This Row],[Max Differences]]+ABS(Audit[[#This Row],[Canceled Differences]]), Audit[[#This Row],[Max Differences]]), 0)</f>
        <v>0</v>
      </c>
      <c r="AT1118" s="18">
        <f>'Sampling Data'!AB1118</f>
        <v>3.3922794233124981E-3</v>
      </c>
      <c r="AU1118" s="18">
        <f>IF(
      SUM(Audit[[#This Row],[Audit Losing Candidate]:[Audit Candidate 12]])
      &lt;&gt;0,
      (Audit[[#This Row],[Winning Candidate]]-Audit[[#This Row],[Losing Candidate]]-(Audit[[#This Row],[Audit Winning Candidate]]-Audit[[#This Row],[Audit Losing Candidate]]))/(Audit[[#Totals],[Winning Candidate]]-Audit[[#Totals],[Losing Candidate]]),
      0
)</f>
        <v>0</v>
      </c>
      <c r="AV111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8">
        <f>IF(Audit[[#This Row],[Max Relative Error (ep)]] = 0, 0, Audit[[#This Row],[Max Relative Error (ep)]]/Audit[[#This Row],[Error Bound (up) - Max. possible relative overstatement]])</f>
        <v>0</v>
      </c>
      <c r="BH111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8" s="18">
        <f t="shared" si="18"/>
        <v>1</v>
      </c>
      <c r="BJ1118" s="18">
        <f>PRODUCT($BI$5:BI1118)</f>
        <v>6.0944423859500517E-2</v>
      </c>
      <c r="BK1118" s="20">
        <f>1 - Audit[[#This Row],[K-M P Value]]</f>
        <v>0.9390555761404995</v>
      </c>
      <c r="BL1118" s="18" t="str">
        <f>IF(Audit[[#This Row],[K-M P Value]]&gt;1-'General Info'!$B$12,"Continue", "Stop")</f>
        <v>Stop</v>
      </c>
      <c r="BM1118" s="23" t="b">
        <f>IF(Audit[[#This Row],[Status - Continue or stop audit]] = "Continue", TRUE, IF(BL1117 = "Continue", TRUE, FALSE))</f>
        <v>0</v>
      </c>
      <c r="BN1118" s="23"/>
    </row>
    <row r="1119" spans="1:66" ht="15" hidden="1" customHeight="1" x14ac:dyDescent="0.35">
      <c r="A1119" s="18" t="str">
        <f>'Sampling Data'!AI1119</f>
        <v/>
      </c>
      <c r="B1119" s="18" t="str">
        <f>'Sampling Data'!A1119</f>
        <v>9108 SYMM H   (ED)</v>
      </c>
      <c r="C1119" s="18">
        <f>'Sampling Data'!B1119</f>
        <v>46</v>
      </c>
      <c r="D1119" s="18">
        <f>'Sampling Data'!C1119</f>
        <v>6</v>
      </c>
      <c r="E1119" s="19">
        <f>'Sampling Data'!D1119</f>
        <v>0</v>
      </c>
      <c r="F1119" s="19">
        <f>'Sampling Data'!E1119</f>
        <v>0</v>
      </c>
      <c r="G1119" s="19">
        <f>'Sampling Data'!F1119</f>
        <v>0</v>
      </c>
      <c r="H1119" s="19">
        <f>'Sampling Data'!G1119</f>
        <v>0</v>
      </c>
      <c r="I1119" s="19">
        <f>'Sampling Data'!H1119</f>
        <v>0</v>
      </c>
      <c r="J1119" s="19">
        <f>'Sampling Data'!I1119</f>
        <v>0</v>
      </c>
      <c r="K1119" s="19">
        <f>'Sampling Data'!J1119</f>
        <v>0</v>
      </c>
      <c r="L1119" s="19">
        <f>'Sampling Data'!K1119</f>
        <v>0</v>
      </c>
      <c r="M1119" s="19">
        <f>'Sampling Data'!L1119</f>
        <v>0</v>
      </c>
      <c r="N1119" s="19">
        <f>'Sampling Data'!M1119</f>
        <v>0</v>
      </c>
      <c r="O1119" s="18">
        <f>'Sampling Data'!N1119</f>
        <v>0</v>
      </c>
      <c r="P1119" s="18">
        <f>'Sampling Data'!O1119</f>
        <v>1</v>
      </c>
      <c r="Q1119" s="18">
        <f>'Sampling Data'!P1119</f>
        <v>53</v>
      </c>
      <c r="R1119" s="18">
        <f>'Sampling Data'!AJ1119</f>
        <v>0</v>
      </c>
      <c r="S1119" s="112"/>
      <c r="T1119" s="112"/>
      <c r="U1119" s="113"/>
      <c r="V1119" s="113"/>
      <c r="W1119" s="112"/>
      <c r="X1119" s="112"/>
      <c r="Y1119" s="112"/>
      <c r="Z1119" s="112"/>
      <c r="AA1119" s="15"/>
      <c r="AB1119" s="15"/>
      <c r="AC1119" s="15"/>
      <c r="AD1119" s="15"/>
      <c r="AE1119" s="114" t="str">
        <f>IF(NOT(ISBLANK(Audit[[#This Row],[Audit Winning Candidate]])), Audit[[#This Row],[Audit Winning Candidate]]-Audit[[#This Row],[Winning Candidate]], "")</f>
        <v/>
      </c>
      <c r="AF1119" s="18" t="str">
        <f>IF(NOT(ISBLANK(Audit[[#This Row],[Audit Losing Candidate]])), Audit[[#This Row],[Audit Losing Candidate]]-Audit[[#This Row],[Losing Candidate]], "")</f>
        <v/>
      </c>
      <c r="AG1119" s="18" t="str">
        <f>IF(NOT(ISBLANK(Audit[[#This Row],[Audit Candidate 3]])), Audit[[#This Row],[Audit Candidate 3]]-Audit[[#This Row],[Candidate 3]], "")</f>
        <v/>
      </c>
      <c r="AH1119" s="18" t="str">
        <f>IF(NOT(ISBLANK(Audit[[#This Row],[Audit Candidate 4]])),Audit[[#This Row],[Audit Candidate 4]]-Audit[[#This Row],[Candidate 4]], "")</f>
        <v/>
      </c>
      <c r="AI1119" s="18" t="str">
        <f>IF(NOT(ISBLANK(Audit[[#This Row],[Audit Candidate 5]])), Audit[[#This Row],[Audit Candidate 5]]-Audit[[#This Row],[Candidate 5]], "")</f>
        <v/>
      </c>
      <c r="AJ1119" s="18" t="str">
        <f>IF(NOT(ISBLANK(Audit[[#This Row],[Audit Candidate 6]])), Audit[[#This Row],[Audit Candidate 6]]-Audit[[#This Row],[Candidate 6]], "")</f>
        <v/>
      </c>
      <c r="AK1119" s="18" t="str">
        <f>IF(NOT(ISBLANK(Audit[[#This Row],[Audit Candidate 7]])), Audit[[#This Row],[Audit Candidate 7]]-Audit[[#This Row],[Candidate 7]], "")</f>
        <v/>
      </c>
      <c r="AL1119" s="18" t="str">
        <f>IF(NOT(ISBLANK(Audit[[#This Row],[Audit Candidate 8]])), Audit[[#This Row],[Audit Candidate 8]]-Audit[[#This Row],[Candidate 8]], "")</f>
        <v/>
      </c>
      <c r="AM1119" s="18" t="str">
        <f>IF(NOT(ISBLANK(Audit[[#This Row],[Audit Candidate 9]])), Audit[[#This Row],[Audit Candidate 9]]-Audit[[#This Row],[Candidate 9]], "")</f>
        <v/>
      </c>
      <c r="AN1119" s="18" t="str">
        <f>IF(NOT(ISBLANK(Audit[[#This Row],[Audit Candidate 10]])), Audit[[#This Row],[Audit Candidate 10]]-Audit[[#This Row],[Candidate 10]], "")</f>
        <v/>
      </c>
      <c r="AO1119" s="18" t="str">
        <f>IF(NOT(ISBLANK(Audit[[#This Row],[Audit Candidate 11]])), Audit[[#This Row],[Audit Candidate 11]]-Audit[[#This Row],[Candidate 11]], "")</f>
        <v/>
      </c>
      <c r="AP1119" s="18" t="str">
        <f>IF(NOT(ISBLANK(Audit[[#This Row],[Audit Candidate 12]])), Audit[[#This Row],[Audit Candidate 12]]-Audit[[#This Row],[Candidate 12]], "")</f>
        <v/>
      </c>
      <c r="AQ1119" s="18">
        <f>SUMIF(Audit[[#This Row],[Difference Winner]:[Difference Candidate 12]], "&gt;0")</f>
        <v>0</v>
      </c>
      <c r="AR1119" s="18">
        <f>SUM(Audit[[#This Row],[Difference Winner]:[Difference Candidate 12]])</f>
        <v>0</v>
      </c>
      <c r="AS1119" s="18">
        <f>IF(Audit[[#This Row],[Times p Drawn - With Replacement]]&gt;0, IF(Audit[[#This Row],[Canceled Differences]]&lt;0, Audit[[#This Row],[Max Differences]]+ABS(Audit[[#This Row],[Canceled Differences]]), Audit[[#This Row],[Max Differences]]), 0)</f>
        <v>0</v>
      </c>
      <c r="AT1119" s="18">
        <f>'Sampling Data'!AB1119</f>
        <v>2.9211295034079843E-3</v>
      </c>
      <c r="AU1119" s="18">
        <f>IF(
      SUM(Audit[[#This Row],[Audit Losing Candidate]:[Audit Candidate 12]])
      &lt;&gt;0,
      (Audit[[#This Row],[Winning Candidate]]-Audit[[#This Row],[Losing Candidate]]-(Audit[[#This Row],[Audit Winning Candidate]]-Audit[[#This Row],[Audit Losing Candidate]]))/(Audit[[#Totals],[Winning Candidate]]-Audit[[#Totals],[Losing Candidate]]),
      0
)</f>
        <v>0</v>
      </c>
      <c r="AV111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8">
        <f>IF(Audit[[#This Row],[Max Relative Error (ep)]] = 0, 0, Audit[[#This Row],[Max Relative Error (ep)]]/Audit[[#This Row],[Error Bound (up) - Max. possible relative overstatement]])</f>
        <v>0</v>
      </c>
      <c r="BH111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19" s="18">
        <f t="shared" si="18"/>
        <v>1</v>
      </c>
      <c r="BJ1119" s="18">
        <f>PRODUCT($BI$5:BI1119)</f>
        <v>6.0944423859500517E-2</v>
      </c>
      <c r="BK1119" s="20">
        <f>1 - Audit[[#This Row],[K-M P Value]]</f>
        <v>0.9390555761404995</v>
      </c>
      <c r="BL1119" s="18" t="str">
        <f>IF(Audit[[#This Row],[K-M P Value]]&gt;1-'General Info'!$B$12,"Continue", "Stop")</f>
        <v>Stop</v>
      </c>
      <c r="BM1119" s="23" t="b">
        <f>IF(Audit[[#This Row],[Status - Continue or stop audit]] = "Continue", TRUE, IF(BL1118 = "Continue", TRUE, FALSE))</f>
        <v>0</v>
      </c>
      <c r="BN1119" s="23"/>
    </row>
    <row r="1120" spans="1:66" ht="15" hidden="1" customHeight="1" x14ac:dyDescent="0.35">
      <c r="A1120" s="18" t="str">
        <f>'Sampling Data'!AI1120</f>
        <v/>
      </c>
      <c r="B1120" s="18" t="str">
        <f>'Sampling Data'!A1120</f>
        <v>9109 SYMM I   (ED)</v>
      </c>
      <c r="C1120" s="18">
        <f>'Sampling Data'!B1120</f>
        <v>44</v>
      </c>
      <c r="D1120" s="18">
        <f>'Sampling Data'!C1120</f>
        <v>3</v>
      </c>
      <c r="E1120" s="19">
        <f>'Sampling Data'!D1120</f>
        <v>0</v>
      </c>
      <c r="F1120" s="19">
        <f>'Sampling Data'!E1120</f>
        <v>0</v>
      </c>
      <c r="G1120" s="19">
        <f>'Sampling Data'!F1120</f>
        <v>0</v>
      </c>
      <c r="H1120" s="19">
        <f>'Sampling Data'!G1120</f>
        <v>0</v>
      </c>
      <c r="I1120" s="19">
        <f>'Sampling Data'!H1120</f>
        <v>0</v>
      </c>
      <c r="J1120" s="19">
        <f>'Sampling Data'!I1120</f>
        <v>0</v>
      </c>
      <c r="K1120" s="19">
        <f>'Sampling Data'!J1120</f>
        <v>0</v>
      </c>
      <c r="L1120" s="19">
        <f>'Sampling Data'!K1120</f>
        <v>0</v>
      </c>
      <c r="M1120" s="19">
        <f>'Sampling Data'!L1120</f>
        <v>0</v>
      </c>
      <c r="N1120" s="19">
        <f>'Sampling Data'!M1120</f>
        <v>0</v>
      </c>
      <c r="O1120" s="18">
        <f>'Sampling Data'!N1120</f>
        <v>1</v>
      </c>
      <c r="P1120" s="18">
        <f>'Sampling Data'!O1120</f>
        <v>0</v>
      </c>
      <c r="Q1120" s="18">
        <f>'Sampling Data'!P1120</f>
        <v>48</v>
      </c>
      <c r="R1120" s="18">
        <f>'Sampling Data'!AJ1120</f>
        <v>0</v>
      </c>
      <c r="S1120" s="112"/>
      <c r="T1120" s="112"/>
      <c r="U1120" s="113"/>
      <c r="V1120" s="113"/>
      <c r="W1120" s="112"/>
      <c r="X1120" s="112"/>
      <c r="Y1120" s="112"/>
      <c r="Z1120" s="112"/>
      <c r="AA1120" s="15"/>
      <c r="AB1120" s="15"/>
      <c r="AC1120" s="15"/>
      <c r="AD1120" s="15"/>
      <c r="AE1120" s="114" t="str">
        <f>IF(NOT(ISBLANK(Audit[[#This Row],[Audit Winning Candidate]])), Audit[[#This Row],[Audit Winning Candidate]]-Audit[[#This Row],[Winning Candidate]], "")</f>
        <v/>
      </c>
      <c r="AF1120" s="18" t="str">
        <f>IF(NOT(ISBLANK(Audit[[#This Row],[Audit Losing Candidate]])), Audit[[#This Row],[Audit Losing Candidate]]-Audit[[#This Row],[Losing Candidate]], "")</f>
        <v/>
      </c>
      <c r="AG1120" s="18" t="str">
        <f>IF(NOT(ISBLANK(Audit[[#This Row],[Audit Candidate 3]])), Audit[[#This Row],[Audit Candidate 3]]-Audit[[#This Row],[Candidate 3]], "")</f>
        <v/>
      </c>
      <c r="AH1120" s="18" t="str">
        <f>IF(NOT(ISBLANK(Audit[[#This Row],[Audit Candidate 4]])),Audit[[#This Row],[Audit Candidate 4]]-Audit[[#This Row],[Candidate 4]], "")</f>
        <v/>
      </c>
      <c r="AI1120" s="18" t="str">
        <f>IF(NOT(ISBLANK(Audit[[#This Row],[Audit Candidate 5]])), Audit[[#This Row],[Audit Candidate 5]]-Audit[[#This Row],[Candidate 5]], "")</f>
        <v/>
      </c>
      <c r="AJ1120" s="18" t="str">
        <f>IF(NOT(ISBLANK(Audit[[#This Row],[Audit Candidate 6]])), Audit[[#This Row],[Audit Candidate 6]]-Audit[[#This Row],[Candidate 6]], "")</f>
        <v/>
      </c>
      <c r="AK1120" s="18" t="str">
        <f>IF(NOT(ISBLANK(Audit[[#This Row],[Audit Candidate 7]])), Audit[[#This Row],[Audit Candidate 7]]-Audit[[#This Row],[Candidate 7]], "")</f>
        <v/>
      </c>
      <c r="AL1120" s="18" t="str">
        <f>IF(NOT(ISBLANK(Audit[[#This Row],[Audit Candidate 8]])), Audit[[#This Row],[Audit Candidate 8]]-Audit[[#This Row],[Candidate 8]], "")</f>
        <v/>
      </c>
      <c r="AM1120" s="18" t="str">
        <f>IF(NOT(ISBLANK(Audit[[#This Row],[Audit Candidate 9]])), Audit[[#This Row],[Audit Candidate 9]]-Audit[[#This Row],[Candidate 9]], "")</f>
        <v/>
      </c>
      <c r="AN1120" s="18" t="str">
        <f>IF(NOT(ISBLANK(Audit[[#This Row],[Audit Candidate 10]])), Audit[[#This Row],[Audit Candidate 10]]-Audit[[#This Row],[Candidate 10]], "")</f>
        <v/>
      </c>
      <c r="AO1120" s="18" t="str">
        <f>IF(NOT(ISBLANK(Audit[[#This Row],[Audit Candidate 11]])), Audit[[#This Row],[Audit Candidate 11]]-Audit[[#This Row],[Candidate 11]], "")</f>
        <v/>
      </c>
      <c r="AP1120" s="18" t="str">
        <f>IF(NOT(ISBLANK(Audit[[#This Row],[Audit Candidate 12]])), Audit[[#This Row],[Audit Candidate 12]]-Audit[[#This Row],[Candidate 12]], "")</f>
        <v/>
      </c>
      <c r="AQ1120" s="18">
        <f>SUMIF(Audit[[#This Row],[Difference Winner]:[Difference Candidate 12]], "&gt;0")</f>
        <v>0</v>
      </c>
      <c r="AR1120" s="18">
        <f>SUM(Audit[[#This Row],[Difference Winner]:[Difference Candidate 12]])</f>
        <v>0</v>
      </c>
      <c r="AS1120" s="18">
        <f>IF(Audit[[#This Row],[Times p Drawn - With Replacement]]&gt;0, IF(Audit[[#This Row],[Canceled Differences]]&lt;0, Audit[[#This Row],[Max Differences]]+ABS(Audit[[#This Row],[Canceled Differences]]), Audit[[#This Row],[Max Differences]]), 0)</f>
        <v>0</v>
      </c>
      <c r="AT1120" s="18">
        <f>'Sampling Data'!AB1120</f>
        <v>2.7954895247667808E-3</v>
      </c>
      <c r="AU1120" s="18">
        <f>IF(
      SUM(Audit[[#This Row],[Audit Losing Candidate]:[Audit Candidate 12]])
      &lt;&gt;0,
      (Audit[[#This Row],[Winning Candidate]]-Audit[[#This Row],[Losing Candidate]]-(Audit[[#This Row],[Audit Winning Candidate]]-Audit[[#This Row],[Audit Losing Candidate]]))/(Audit[[#Totals],[Winning Candidate]]-Audit[[#Totals],[Losing Candidate]]),
      0
)</f>
        <v>0</v>
      </c>
      <c r="AV112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8">
        <f>IF(Audit[[#This Row],[Max Relative Error (ep)]] = 0, 0, Audit[[#This Row],[Max Relative Error (ep)]]/Audit[[#This Row],[Error Bound (up) - Max. possible relative overstatement]])</f>
        <v>0</v>
      </c>
      <c r="BH112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0" s="18">
        <f t="shared" si="18"/>
        <v>1</v>
      </c>
      <c r="BJ1120" s="18">
        <f>PRODUCT($BI$5:BI1120)</f>
        <v>6.0944423859500517E-2</v>
      </c>
      <c r="BK1120" s="20">
        <f>1 - Audit[[#This Row],[K-M P Value]]</f>
        <v>0.9390555761404995</v>
      </c>
      <c r="BL1120" s="18" t="str">
        <f>IF(Audit[[#This Row],[K-M P Value]]&gt;1-'General Info'!$B$12,"Continue", "Stop")</f>
        <v>Stop</v>
      </c>
      <c r="BM1120" s="23" t="b">
        <f>IF(Audit[[#This Row],[Status - Continue or stop audit]] = "Continue", TRUE, IF(BL1119 = "Continue", TRUE, FALSE))</f>
        <v>0</v>
      </c>
      <c r="BN1120" s="23"/>
    </row>
    <row r="1121" spans="1:66" ht="15" hidden="1" customHeight="1" x14ac:dyDescent="0.35">
      <c r="A1121" s="18" t="str">
        <f>'Sampling Data'!AI1121</f>
        <v/>
      </c>
      <c r="B1121" s="18" t="str">
        <f>'Sampling Data'!A1121</f>
        <v>9110 SYMM J   (ED)</v>
      </c>
      <c r="C1121" s="18">
        <f>'Sampling Data'!B1121</f>
        <v>82</v>
      </c>
      <c r="D1121" s="18">
        <f>'Sampling Data'!C1121</f>
        <v>14</v>
      </c>
      <c r="E1121" s="19">
        <f>'Sampling Data'!D1121</f>
        <v>0</v>
      </c>
      <c r="F1121" s="19">
        <f>'Sampling Data'!E1121</f>
        <v>0</v>
      </c>
      <c r="G1121" s="19">
        <f>'Sampling Data'!F1121</f>
        <v>0</v>
      </c>
      <c r="H1121" s="19">
        <f>'Sampling Data'!G1121</f>
        <v>0</v>
      </c>
      <c r="I1121" s="19">
        <f>'Sampling Data'!H1121</f>
        <v>0</v>
      </c>
      <c r="J1121" s="19">
        <f>'Sampling Data'!I1121</f>
        <v>0</v>
      </c>
      <c r="K1121" s="19">
        <f>'Sampling Data'!J1121</f>
        <v>0</v>
      </c>
      <c r="L1121" s="19">
        <f>'Sampling Data'!K1121</f>
        <v>0</v>
      </c>
      <c r="M1121" s="19">
        <f>'Sampling Data'!L1121</f>
        <v>0</v>
      </c>
      <c r="N1121" s="19">
        <f>'Sampling Data'!M1121</f>
        <v>0</v>
      </c>
      <c r="O1121" s="18">
        <f>'Sampling Data'!N1121</f>
        <v>0</v>
      </c>
      <c r="P1121" s="18">
        <f>'Sampling Data'!O1121</f>
        <v>3</v>
      </c>
      <c r="Q1121" s="18">
        <f>'Sampling Data'!P1121</f>
        <v>99</v>
      </c>
      <c r="R1121" s="18">
        <f>'Sampling Data'!AJ1121</f>
        <v>0</v>
      </c>
      <c r="S1121" s="112"/>
      <c r="T1121" s="112"/>
      <c r="U1121" s="113"/>
      <c r="V1121" s="113"/>
      <c r="W1121" s="112"/>
      <c r="X1121" s="112"/>
      <c r="Y1121" s="112"/>
      <c r="Z1121" s="112"/>
      <c r="AA1121" s="15"/>
      <c r="AB1121" s="15"/>
      <c r="AC1121" s="15"/>
      <c r="AD1121" s="15"/>
      <c r="AE1121" s="114" t="str">
        <f>IF(NOT(ISBLANK(Audit[[#This Row],[Audit Winning Candidate]])), Audit[[#This Row],[Audit Winning Candidate]]-Audit[[#This Row],[Winning Candidate]], "")</f>
        <v/>
      </c>
      <c r="AF1121" s="18" t="str">
        <f>IF(NOT(ISBLANK(Audit[[#This Row],[Audit Losing Candidate]])), Audit[[#This Row],[Audit Losing Candidate]]-Audit[[#This Row],[Losing Candidate]], "")</f>
        <v/>
      </c>
      <c r="AG1121" s="18" t="str">
        <f>IF(NOT(ISBLANK(Audit[[#This Row],[Audit Candidate 3]])), Audit[[#This Row],[Audit Candidate 3]]-Audit[[#This Row],[Candidate 3]], "")</f>
        <v/>
      </c>
      <c r="AH1121" s="18" t="str">
        <f>IF(NOT(ISBLANK(Audit[[#This Row],[Audit Candidate 4]])),Audit[[#This Row],[Audit Candidate 4]]-Audit[[#This Row],[Candidate 4]], "")</f>
        <v/>
      </c>
      <c r="AI1121" s="18" t="str">
        <f>IF(NOT(ISBLANK(Audit[[#This Row],[Audit Candidate 5]])), Audit[[#This Row],[Audit Candidate 5]]-Audit[[#This Row],[Candidate 5]], "")</f>
        <v/>
      </c>
      <c r="AJ1121" s="18" t="str">
        <f>IF(NOT(ISBLANK(Audit[[#This Row],[Audit Candidate 6]])), Audit[[#This Row],[Audit Candidate 6]]-Audit[[#This Row],[Candidate 6]], "")</f>
        <v/>
      </c>
      <c r="AK1121" s="18" t="str">
        <f>IF(NOT(ISBLANK(Audit[[#This Row],[Audit Candidate 7]])), Audit[[#This Row],[Audit Candidate 7]]-Audit[[#This Row],[Candidate 7]], "")</f>
        <v/>
      </c>
      <c r="AL1121" s="18" t="str">
        <f>IF(NOT(ISBLANK(Audit[[#This Row],[Audit Candidate 8]])), Audit[[#This Row],[Audit Candidate 8]]-Audit[[#This Row],[Candidate 8]], "")</f>
        <v/>
      </c>
      <c r="AM1121" s="18" t="str">
        <f>IF(NOT(ISBLANK(Audit[[#This Row],[Audit Candidate 9]])), Audit[[#This Row],[Audit Candidate 9]]-Audit[[#This Row],[Candidate 9]], "")</f>
        <v/>
      </c>
      <c r="AN1121" s="18" t="str">
        <f>IF(NOT(ISBLANK(Audit[[#This Row],[Audit Candidate 10]])), Audit[[#This Row],[Audit Candidate 10]]-Audit[[#This Row],[Candidate 10]], "")</f>
        <v/>
      </c>
      <c r="AO1121" s="18" t="str">
        <f>IF(NOT(ISBLANK(Audit[[#This Row],[Audit Candidate 11]])), Audit[[#This Row],[Audit Candidate 11]]-Audit[[#This Row],[Candidate 11]], "")</f>
        <v/>
      </c>
      <c r="AP1121" s="18" t="str">
        <f>IF(NOT(ISBLANK(Audit[[#This Row],[Audit Candidate 12]])), Audit[[#This Row],[Audit Candidate 12]]-Audit[[#This Row],[Candidate 12]], "")</f>
        <v/>
      </c>
      <c r="AQ1121" s="18">
        <f>SUMIF(Audit[[#This Row],[Difference Winner]:[Difference Candidate 12]], "&gt;0")</f>
        <v>0</v>
      </c>
      <c r="AR1121" s="18">
        <f>SUM(Audit[[#This Row],[Difference Winner]:[Difference Candidate 12]])</f>
        <v>0</v>
      </c>
      <c r="AS1121" s="18">
        <f>IF(Audit[[#This Row],[Times p Drawn - With Replacement]]&gt;0, IF(Audit[[#This Row],[Canceled Differences]]&lt;0, Audit[[#This Row],[Max Differences]]+ABS(Audit[[#This Row],[Canceled Differences]]), Audit[[#This Row],[Max Differences]]), 0)</f>
        <v>0</v>
      </c>
      <c r="AT1121" s="18">
        <f>'Sampling Data'!AB1121</f>
        <v>5.2454691082702513E-3</v>
      </c>
      <c r="AU1121" s="18">
        <f>IF(
      SUM(Audit[[#This Row],[Audit Losing Candidate]:[Audit Candidate 12]])
      &lt;&gt;0,
      (Audit[[#This Row],[Winning Candidate]]-Audit[[#This Row],[Losing Candidate]]-(Audit[[#This Row],[Audit Winning Candidate]]-Audit[[#This Row],[Audit Losing Candidate]]))/(Audit[[#Totals],[Winning Candidate]]-Audit[[#Totals],[Losing Candidate]]),
      0
)</f>
        <v>0</v>
      </c>
      <c r="AV1121"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8">
        <f>IF(Audit[[#This Row],[Max Relative Error (ep)]] = 0, 0, Audit[[#This Row],[Max Relative Error (ep)]]/Audit[[#This Row],[Error Bound (up) - Max. possible relative overstatement]])</f>
        <v>0</v>
      </c>
      <c r="BH1121"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1" s="18">
        <f t="shared" si="18"/>
        <v>1</v>
      </c>
      <c r="BJ1121" s="18">
        <f>PRODUCT($BI$5:BI1121)</f>
        <v>6.0944423859500517E-2</v>
      </c>
      <c r="BK1121" s="20">
        <f>1 - Audit[[#This Row],[K-M P Value]]</f>
        <v>0.9390555761404995</v>
      </c>
      <c r="BL1121" s="18" t="str">
        <f>IF(Audit[[#This Row],[K-M P Value]]&gt;1-'General Info'!$B$12,"Continue", "Stop")</f>
        <v>Stop</v>
      </c>
      <c r="BM1121" s="23" t="b">
        <f>IF(Audit[[#This Row],[Status - Continue or stop audit]] = "Continue", TRUE, IF(BL1120 = "Continue", TRUE, FALSE))</f>
        <v>0</v>
      </c>
      <c r="BN1121" s="23"/>
    </row>
    <row r="1122" spans="1:66" ht="15" hidden="1" customHeight="1" x14ac:dyDescent="0.35">
      <c r="A1122" s="18" t="str">
        <f>'Sampling Data'!AI1122</f>
        <v/>
      </c>
      <c r="B1122" s="18" t="str">
        <f>'Sampling Data'!A1122</f>
        <v>9111 SYMM K   (ED)</v>
      </c>
      <c r="C1122" s="18">
        <f>'Sampling Data'!B1122</f>
        <v>39</v>
      </c>
      <c r="D1122" s="18">
        <f>'Sampling Data'!C1122</f>
        <v>1</v>
      </c>
      <c r="E1122" s="19">
        <f>'Sampling Data'!D1122</f>
        <v>0</v>
      </c>
      <c r="F1122" s="19">
        <f>'Sampling Data'!E1122</f>
        <v>0</v>
      </c>
      <c r="G1122" s="19">
        <f>'Sampling Data'!F1122</f>
        <v>0</v>
      </c>
      <c r="H1122" s="19">
        <f>'Sampling Data'!G1122</f>
        <v>0</v>
      </c>
      <c r="I1122" s="19">
        <f>'Sampling Data'!H1122</f>
        <v>0</v>
      </c>
      <c r="J1122" s="19">
        <f>'Sampling Data'!I1122</f>
        <v>0</v>
      </c>
      <c r="K1122" s="19">
        <f>'Sampling Data'!J1122</f>
        <v>0</v>
      </c>
      <c r="L1122" s="19">
        <f>'Sampling Data'!K1122</f>
        <v>0</v>
      </c>
      <c r="M1122" s="19">
        <f>'Sampling Data'!L1122</f>
        <v>0</v>
      </c>
      <c r="N1122" s="19">
        <f>'Sampling Data'!M1122</f>
        <v>0</v>
      </c>
      <c r="O1122" s="18">
        <f>'Sampling Data'!N1122</f>
        <v>0</v>
      </c>
      <c r="P1122" s="18">
        <f>'Sampling Data'!O1122</f>
        <v>0</v>
      </c>
      <c r="Q1122" s="18">
        <f>'Sampling Data'!P1122</f>
        <v>40</v>
      </c>
      <c r="R1122" s="18">
        <f>'Sampling Data'!AJ1122</f>
        <v>0</v>
      </c>
      <c r="S1122" s="112"/>
      <c r="T1122" s="112"/>
      <c r="U1122" s="113"/>
      <c r="V1122" s="113"/>
      <c r="W1122" s="112"/>
      <c r="X1122" s="112"/>
      <c r="Y1122" s="112"/>
      <c r="Z1122" s="112"/>
      <c r="AA1122" s="15"/>
      <c r="AB1122" s="15"/>
      <c r="AC1122" s="15"/>
      <c r="AD1122" s="15"/>
      <c r="AE1122" s="114" t="str">
        <f>IF(NOT(ISBLANK(Audit[[#This Row],[Audit Winning Candidate]])), Audit[[#This Row],[Audit Winning Candidate]]-Audit[[#This Row],[Winning Candidate]], "")</f>
        <v/>
      </c>
      <c r="AF1122" s="18" t="str">
        <f>IF(NOT(ISBLANK(Audit[[#This Row],[Audit Losing Candidate]])), Audit[[#This Row],[Audit Losing Candidate]]-Audit[[#This Row],[Losing Candidate]], "")</f>
        <v/>
      </c>
      <c r="AG1122" s="18" t="str">
        <f>IF(NOT(ISBLANK(Audit[[#This Row],[Audit Candidate 3]])), Audit[[#This Row],[Audit Candidate 3]]-Audit[[#This Row],[Candidate 3]], "")</f>
        <v/>
      </c>
      <c r="AH1122" s="18" t="str">
        <f>IF(NOT(ISBLANK(Audit[[#This Row],[Audit Candidate 4]])),Audit[[#This Row],[Audit Candidate 4]]-Audit[[#This Row],[Candidate 4]], "")</f>
        <v/>
      </c>
      <c r="AI1122" s="18" t="str">
        <f>IF(NOT(ISBLANK(Audit[[#This Row],[Audit Candidate 5]])), Audit[[#This Row],[Audit Candidate 5]]-Audit[[#This Row],[Candidate 5]], "")</f>
        <v/>
      </c>
      <c r="AJ1122" s="18" t="str">
        <f>IF(NOT(ISBLANK(Audit[[#This Row],[Audit Candidate 6]])), Audit[[#This Row],[Audit Candidate 6]]-Audit[[#This Row],[Candidate 6]], "")</f>
        <v/>
      </c>
      <c r="AK1122" s="18" t="str">
        <f>IF(NOT(ISBLANK(Audit[[#This Row],[Audit Candidate 7]])), Audit[[#This Row],[Audit Candidate 7]]-Audit[[#This Row],[Candidate 7]], "")</f>
        <v/>
      </c>
      <c r="AL1122" s="18" t="str">
        <f>IF(NOT(ISBLANK(Audit[[#This Row],[Audit Candidate 8]])), Audit[[#This Row],[Audit Candidate 8]]-Audit[[#This Row],[Candidate 8]], "")</f>
        <v/>
      </c>
      <c r="AM1122" s="18" t="str">
        <f>IF(NOT(ISBLANK(Audit[[#This Row],[Audit Candidate 9]])), Audit[[#This Row],[Audit Candidate 9]]-Audit[[#This Row],[Candidate 9]], "")</f>
        <v/>
      </c>
      <c r="AN1122" s="18" t="str">
        <f>IF(NOT(ISBLANK(Audit[[#This Row],[Audit Candidate 10]])), Audit[[#This Row],[Audit Candidate 10]]-Audit[[#This Row],[Candidate 10]], "")</f>
        <v/>
      </c>
      <c r="AO1122" s="18" t="str">
        <f>IF(NOT(ISBLANK(Audit[[#This Row],[Audit Candidate 11]])), Audit[[#This Row],[Audit Candidate 11]]-Audit[[#This Row],[Candidate 11]], "")</f>
        <v/>
      </c>
      <c r="AP1122" s="18" t="str">
        <f>IF(NOT(ISBLANK(Audit[[#This Row],[Audit Candidate 12]])), Audit[[#This Row],[Audit Candidate 12]]-Audit[[#This Row],[Candidate 12]], "")</f>
        <v/>
      </c>
      <c r="AQ1122" s="18">
        <f>SUMIF(Audit[[#This Row],[Difference Winner]:[Difference Candidate 12]], "&gt;0")</f>
        <v>0</v>
      </c>
      <c r="AR1122" s="18">
        <f>SUM(Audit[[#This Row],[Difference Winner]:[Difference Candidate 12]])</f>
        <v>0</v>
      </c>
      <c r="AS1122" s="18">
        <f>IF(Audit[[#This Row],[Times p Drawn - With Replacement]]&gt;0, IF(Audit[[#This Row],[Canceled Differences]]&lt;0, Audit[[#This Row],[Max Differences]]+ABS(Audit[[#This Row],[Canceled Differences]]), Audit[[#This Row],[Max Differences]]), 0)</f>
        <v>0</v>
      </c>
      <c r="AT1122" s="18">
        <f>'Sampling Data'!AB1122</f>
        <v>2.4499795835034709E-3</v>
      </c>
      <c r="AU1122" s="18">
        <f>IF(
      SUM(Audit[[#This Row],[Audit Losing Candidate]:[Audit Candidate 12]])
      &lt;&gt;0,
      (Audit[[#This Row],[Winning Candidate]]-Audit[[#This Row],[Losing Candidate]]-(Audit[[#This Row],[Audit Winning Candidate]]-Audit[[#This Row],[Audit Losing Candidate]]))/(Audit[[#Totals],[Winning Candidate]]-Audit[[#Totals],[Losing Candidate]]),
      0
)</f>
        <v>0</v>
      </c>
      <c r="AV112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8">
        <f>IF(Audit[[#This Row],[Max Relative Error (ep)]] = 0, 0, Audit[[#This Row],[Max Relative Error (ep)]]/Audit[[#This Row],[Error Bound (up) - Max. possible relative overstatement]])</f>
        <v>0</v>
      </c>
      <c r="BH112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2" s="18">
        <f t="shared" si="18"/>
        <v>1</v>
      </c>
      <c r="BJ1122" s="18">
        <f>PRODUCT($BI$5:BI1122)</f>
        <v>6.0944423859500517E-2</v>
      </c>
      <c r="BK1122" s="20">
        <f>1 - Audit[[#This Row],[K-M P Value]]</f>
        <v>0.9390555761404995</v>
      </c>
      <c r="BL1122" s="18" t="str">
        <f>IF(Audit[[#This Row],[K-M P Value]]&gt;1-'General Info'!$B$12,"Continue", "Stop")</f>
        <v>Stop</v>
      </c>
      <c r="BM1122" s="23" t="b">
        <f>IF(Audit[[#This Row],[Status - Continue or stop audit]] = "Continue", TRUE, IF(BL1121 = "Continue", TRUE, FALSE))</f>
        <v>0</v>
      </c>
      <c r="BN1122" s="23"/>
    </row>
    <row r="1123" spans="1:66" ht="15" hidden="1" customHeight="1" x14ac:dyDescent="0.35">
      <c r="A1123" s="18" t="str">
        <f>'Sampling Data'!AI1123</f>
        <v/>
      </c>
      <c r="B1123" s="18" t="str">
        <f>'Sampling Data'!A1123</f>
        <v>9112 SYMM L   (ED)</v>
      </c>
      <c r="C1123" s="18">
        <f>'Sampling Data'!B1123</f>
        <v>107</v>
      </c>
      <c r="D1123" s="18">
        <f>'Sampling Data'!C1123</f>
        <v>6</v>
      </c>
      <c r="E1123" s="19">
        <f>'Sampling Data'!D1123</f>
        <v>0</v>
      </c>
      <c r="F1123" s="19">
        <f>'Sampling Data'!E1123</f>
        <v>0</v>
      </c>
      <c r="G1123" s="19">
        <f>'Sampling Data'!F1123</f>
        <v>0</v>
      </c>
      <c r="H1123" s="19">
        <f>'Sampling Data'!G1123</f>
        <v>0</v>
      </c>
      <c r="I1123" s="19">
        <f>'Sampling Data'!H1123</f>
        <v>0</v>
      </c>
      <c r="J1123" s="19">
        <f>'Sampling Data'!I1123</f>
        <v>0</v>
      </c>
      <c r="K1123" s="19">
        <f>'Sampling Data'!J1123</f>
        <v>0</v>
      </c>
      <c r="L1123" s="19">
        <f>'Sampling Data'!K1123</f>
        <v>0</v>
      </c>
      <c r="M1123" s="19">
        <f>'Sampling Data'!L1123</f>
        <v>0</v>
      </c>
      <c r="N1123" s="19">
        <f>'Sampling Data'!M1123</f>
        <v>0</v>
      </c>
      <c r="O1123" s="18">
        <f>'Sampling Data'!N1123</f>
        <v>0</v>
      </c>
      <c r="P1123" s="18">
        <f>'Sampling Data'!O1123</f>
        <v>4</v>
      </c>
      <c r="Q1123" s="18">
        <f>'Sampling Data'!P1123</f>
        <v>117</v>
      </c>
      <c r="R1123" s="18">
        <f>'Sampling Data'!AJ1123</f>
        <v>0</v>
      </c>
      <c r="S1123" s="112"/>
      <c r="T1123" s="112"/>
      <c r="U1123" s="113"/>
      <c r="V1123" s="113"/>
      <c r="W1123" s="112"/>
      <c r="X1123" s="112"/>
      <c r="Y1123" s="112"/>
      <c r="Z1123" s="112"/>
      <c r="AA1123" s="15"/>
      <c r="AB1123" s="15"/>
      <c r="AC1123" s="15"/>
      <c r="AD1123" s="15"/>
      <c r="AE1123" s="114" t="str">
        <f>IF(NOT(ISBLANK(Audit[[#This Row],[Audit Winning Candidate]])), Audit[[#This Row],[Audit Winning Candidate]]-Audit[[#This Row],[Winning Candidate]], "")</f>
        <v/>
      </c>
      <c r="AF1123" s="18" t="str">
        <f>IF(NOT(ISBLANK(Audit[[#This Row],[Audit Losing Candidate]])), Audit[[#This Row],[Audit Losing Candidate]]-Audit[[#This Row],[Losing Candidate]], "")</f>
        <v/>
      </c>
      <c r="AG1123" s="18" t="str">
        <f>IF(NOT(ISBLANK(Audit[[#This Row],[Audit Candidate 3]])), Audit[[#This Row],[Audit Candidate 3]]-Audit[[#This Row],[Candidate 3]], "")</f>
        <v/>
      </c>
      <c r="AH1123" s="18" t="str">
        <f>IF(NOT(ISBLANK(Audit[[#This Row],[Audit Candidate 4]])),Audit[[#This Row],[Audit Candidate 4]]-Audit[[#This Row],[Candidate 4]], "")</f>
        <v/>
      </c>
      <c r="AI1123" s="18" t="str">
        <f>IF(NOT(ISBLANK(Audit[[#This Row],[Audit Candidate 5]])), Audit[[#This Row],[Audit Candidate 5]]-Audit[[#This Row],[Candidate 5]], "")</f>
        <v/>
      </c>
      <c r="AJ1123" s="18" t="str">
        <f>IF(NOT(ISBLANK(Audit[[#This Row],[Audit Candidate 6]])), Audit[[#This Row],[Audit Candidate 6]]-Audit[[#This Row],[Candidate 6]], "")</f>
        <v/>
      </c>
      <c r="AK1123" s="18" t="str">
        <f>IF(NOT(ISBLANK(Audit[[#This Row],[Audit Candidate 7]])), Audit[[#This Row],[Audit Candidate 7]]-Audit[[#This Row],[Candidate 7]], "")</f>
        <v/>
      </c>
      <c r="AL1123" s="18" t="str">
        <f>IF(NOT(ISBLANK(Audit[[#This Row],[Audit Candidate 8]])), Audit[[#This Row],[Audit Candidate 8]]-Audit[[#This Row],[Candidate 8]], "")</f>
        <v/>
      </c>
      <c r="AM1123" s="18" t="str">
        <f>IF(NOT(ISBLANK(Audit[[#This Row],[Audit Candidate 9]])), Audit[[#This Row],[Audit Candidate 9]]-Audit[[#This Row],[Candidate 9]], "")</f>
        <v/>
      </c>
      <c r="AN1123" s="18" t="str">
        <f>IF(NOT(ISBLANK(Audit[[#This Row],[Audit Candidate 10]])), Audit[[#This Row],[Audit Candidate 10]]-Audit[[#This Row],[Candidate 10]], "")</f>
        <v/>
      </c>
      <c r="AO1123" s="18" t="str">
        <f>IF(NOT(ISBLANK(Audit[[#This Row],[Audit Candidate 11]])), Audit[[#This Row],[Audit Candidate 11]]-Audit[[#This Row],[Candidate 11]], "")</f>
        <v/>
      </c>
      <c r="AP1123" s="18" t="str">
        <f>IF(NOT(ISBLANK(Audit[[#This Row],[Audit Candidate 12]])), Audit[[#This Row],[Audit Candidate 12]]-Audit[[#This Row],[Candidate 12]], "")</f>
        <v/>
      </c>
      <c r="AQ1123" s="18">
        <f>SUMIF(Audit[[#This Row],[Difference Winner]:[Difference Candidate 12]], "&gt;0")</f>
        <v>0</v>
      </c>
      <c r="AR1123" s="18">
        <f>SUM(Audit[[#This Row],[Difference Winner]:[Difference Candidate 12]])</f>
        <v>0</v>
      </c>
      <c r="AS1123" s="18">
        <f>IF(Audit[[#This Row],[Times p Drawn - With Replacement]]&gt;0, IF(Audit[[#This Row],[Canceled Differences]]&lt;0, Audit[[#This Row],[Max Differences]]+ABS(Audit[[#This Row],[Canceled Differences]]), Audit[[#This Row],[Max Differences]]), 0)</f>
        <v>0</v>
      </c>
      <c r="AT1123" s="18">
        <f>'Sampling Data'!AB1123</f>
        <v>6.8473788359455978E-3</v>
      </c>
      <c r="AU1123" s="18">
        <f>IF(
      SUM(Audit[[#This Row],[Audit Losing Candidate]:[Audit Candidate 12]])
      &lt;&gt;0,
      (Audit[[#This Row],[Winning Candidate]]-Audit[[#This Row],[Losing Candidate]]-(Audit[[#This Row],[Audit Winning Candidate]]-Audit[[#This Row],[Audit Losing Candidate]]))/(Audit[[#Totals],[Winning Candidate]]-Audit[[#Totals],[Losing Candidate]]),
      0
)</f>
        <v>0</v>
      </c>
      <c r="AV1123"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8">
        <f>IF(Audit[[#This Row],[Max Relative Error (ep)]] = 0, 0, Audit[[#This Row],[Max Relative Error (ep)]]/Audit[[#This Row],[Error Bound (up) - Max. possible relative overstatement]])</f>
        <v>0</v>
      </c>
      <c r="BH1123"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3" s="18">
        <f t="shared" si="18"/>
        <v>1</v>
      </c>
      <c r="BJ1123" s="18">
        <f>PRODUCT($BI$5:BI1123)</f>
        <v>6.0944423859500517E-2</v>
      </c>
      <c r="BK1123" s="20">
        <f>1 - Audit[[#This Row],[K-M P Value]]</f>
        <v>0.9390555761404995</v>
      </c>
      <c r="BL1123" s="18" t="str">
        <f>IF(Audit[[#This Row],[K-M P Value]]&gt;1-'General Info'!$B$12,"Continue", "Stop")</f>
        <v>Stop</v>
      </c>
      <c r="BM1123" s="23" t="b">
        <f>IF(Audit[[#This Row],[Status - Continue or stop audit]] = "Continue", TRUE, IF(BL1122 = "Continue", TRUE, FALSE))</f>
        <v>0</v>
      </c>
      <c r="BN1123" s="23"/>
    </row>
    <row r="1124" spans="1:66" ht="15" hidden="1" customHeight="1" x14ac:dyDescent="0.35">
      <c r="A1124" s="18" t="str">
        <f>'Sampling Data'!AI1124</f>
        <v/>
      </c>
      <c r="B1124" s="18" t="str">
        <f>'Sampling Data'!A1124</f>
        <v>9301 TER PK A   (ED)</v>
      </c>
      <c r="C1124" s="18">
        <f>'Sampling Data'!B1124</f>
        <v>67</v>
      </c>
      <c r="D1124" s="18">
        <f>'Sampling Data'!C1124</f>
        <v>8</v>
      </c>
      <c r="E1124" s="19">
        <f>'Sampling Data'!D1124</f>
        <v>0</v>
      </c>
      <c r="F1124" s="19">
        <f>'Sampling Data'!E1124</f>
        <v>0</v>
      </c>
      <c r="G1124" s="19">
        <f>'Sampling Data'!F1124</f>
        <v>0</v>
      </c>
      <c r="H1124" s="19">
        <f>'Sampling Data'!G1124</f>
        <v>0</v>
      </c>
      <c r="I1124" s="19">
        <f>'Sampling Data'!H1124</f>
        <v>0</v>
      </c>
      <c r="J1124" s="19">
        <f>'Sampling Data'!I1124</f>
        <v>0</v>
      </c>
      <c r="K1124" s="19">
        <f>'Sampling Data'!J1124</f>
        <v>0</v>
      </c>
      <c r="L1124" s="19">
        <f>'Sampling Data'!K1124</f>
        <v>0</v>
      </c>
      <c r="M1124" s="19">
        <f>'Sampling Data'!L1124</f>
        <v>0</v>
      </c>
      <c r="N1124" s="19">
        <f>'Sampling Data'!M1124</f>
        <v>0</v>
      </c>
      <c r="O1124" s="18">
        <f>'Sampling Data'!N1124</f>
        <v>0</v>
      </c>
      <c r="P1124" s="18">
        <f>'Sampling Data'!O1124</f>
        <v>3</v>
      </c>
      <c r="Q1124" s="18">
        <f>'Sampling Data'!P1124</f>
        <v>78</v>
      </c>
      <c r="R1124" s="18">
        <f>'Sampling Data'!AJ1124</f>
        <v>0</v>
      </c>
      <c r="S1124" s="112"/>
      <c r="T1124" s="112"/>
      <c r="U1124" s="113"/>
      <c r="V1124" s="113"/>
      <c r="W1124" s="112"/>
      <c r="X1124" s="112"/>
      <c r="Y1124" s="112"/>
      <c r="Z1124" s="112"/>
      <c r="AA1124" s="15"/>
      <c r="AB1124" s="15"/>
      <c r="AC1124" s="15"/>
      <c r="AD1124" s="15"/>
      <c r="AE1124" s="114" t="str">
        <f>IF(NOT(ISBLANK(Audit[[#This Row],[Audit Winning Candidate]])), Audit[[#This Row],[Audit Winning Candidate]]-Audit[[#This Row],[Winning Candidate]], "")</f>
        <v/>
      </c>
      <c r="AF1124" s="18" t="str">
        <f>IF(NOT(ISBLANK(Audit[[#This Row],[Audit Losing Candidate]])), Audit[[#This Row],[Audit Losing Candidate]]-Audit[[#This Row],[Losing Candidate]], "")</f>
        <v/>
      </c>
      <c r="AG1124" s="18" t="str">
        <f>IF(NOT(ISBLANK(Audit[[#This Row],[Audit Candidate 3]])), Audit[[#This Row],[Audit Candidate 3]]-Audit[[#This Row],[Candidate 3]], "")</f>
        <v/>
      </c>
      <c r="AH1124" s="18" t="str">
        <f>IF(NOT(ISBLANK(Audit[[#This Row],[Audit Candidate 4]])),Audit[[#This Row],[Audit Candidate 4]]-Audit[[#This Row],[Candidate 4]], "")</f>
        <v/>
      </c>
      <c r="AI1124" s="18" t="str">
        <f>IF(NOT(ISBLANK(Audit[[#This Row],[Audit Candidate 5]])), Audit[[#This Row],[Audit Candidate 5]]-Audit[[#This Row],[Candidate 5]], "")</f>
        <v/>
      </c>
      <c r="AJ1124" s="18" t="str">
        <f>IF(NOT(ISBLANK(Audit[[#This Row],[Audit Candidate 6]])), Audit[[#This Row],[Audit Candidate 6]]-Audit[[#This Row],[Candidate 6]], "")</f>
        <v/>
      </c>
      <c r="AK1124" s="18" t="str">
        <f>IF(NOT(ISBLANK(Audit[[#This Row],[Audit Candidate 7]])), Audit[[#This Row],[Audit Candidate 7]]-Audit[[#This Row],[Candidate 7]], "")</f>
        <v/>
      </c>
      <c r="AL1124" s="18" t="str">
        <f>IF(NOT(ISBLANK(Audit[[#This Row],[Audit Candidate 8]])), Audit[[#This Row],[Audit Candidate 8]]-Audit[[#This Row],[Candidate 8]], "")</f>
        <v/>
      </c>
      <c r="AM1124" s="18" t="str">
        <f>IF(NOT(ISBLANK(Audit[[#This Row],[Audit Candidate 9]])), Audit[[#This Row],[Audit Candidate 9]]-Audit[[#This Row],[Candidate 9]], "")</f>
        <v/>
      </c>
      <c r="AN1124" s="18" t="str">
        <f>IF(NOT(ISBLANK(Audit[[#This Row],[Audit Candidate 10]])), Audit[[#This Row],[Audit Candidate 10]]-Audit[[#This Row],[Candidate 10]], "")</f>
        <v/>
      </c>
      <c r="AO1124" s="18" t="str">
        <f>IF(NOT(ISBLANK(Audit[[#This Row],[Audit Candidate 11]])), Audit[[#This Row],[Audit Candidate 11]]-Audit[[#This Row],[Candidate 11]], "")</f>
        <v/>
      </c>
      <c r="AP1124" s="18" t="str">
        <f>IF(NOT(ISBLANK(Audit[[#This Row],[Audit Candidate 12]])), Audit[[#This Row],[Audit Candidate 12]]-Audit[[#This Row],[Candidate 12]], "")</f>
        <v/>
      </c>
      <c r="AQ1124" s="18">
        <f>SUMIF(Audit[[#This Row],[Difference Winner]:[Difference Candidate 12]], "&gt;0")</f>
        <v>0</v>
      </c>
      <c r="AR1124" s="18">
        <f>SUM(Audit[[#This Row],[Difference Winner]:[Difference Candidate 12]])</f>
        <v>0</v>
      </c>
      <c r="AS1124" s="18">
        <f>IF(Audit[[#This Row],[Times p Drawn - With Replacement]]&gt;0, IF(Audit[[#This Row],[Canceled Differences]]&lt;0, Audit[[#This Row],[Max Differences]]+ABS(Audit[[#This Row],[Canceled Differences]]), Audit[[#This Row],[Max Differences]]), 0)</f>
        <v>0</v>
      </c>
      <c r="AT1124" s="18">
        <f>'Sampling Data'!AB1124</f>
        <v>4.3031692684612245E-3</v>
      </c>
      <c r="AU1124" s="18">
        <f>IF(
      SUM(Audit[[#This Row],[Audit Losing Candidate]:[Audit Candidate 12]])
      &lt;&gt;0,
      (Audit[[#This Row],[Winning Candidate]]-Audit[[#This Row],[Losing Candidate]]-(Audit[[#This Row],[Audit Winning Candidate]]-Audit[[#This Row],[Audit Losing Candidate]]))/(Audit[[#Totals],[Winning Candidate]]-Audit[[#Totals],[Losing Candidate]]),
      0
)</f>
        <v>0</v>
      </c>
      <c r="AV112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8">
        <f>IF(Audit[[#This Row],[Max Relative Error (ep)]] = 0, 0, Audit[[#This Row],[Max Relative Error (ep)]]/Audit[[#This Row],[Error Bound (up) - Max. possible relative overstatement]])</f>
        <v>0</v>
      </c>
      <c r="BH112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4" s="18">
        <f t="shared" si="18"/>
        <v>1</v>
      </c>
      <c r="BJ1124" s="18">
        <f>PRODUCT($BI$5:BI1124)</f>
        <v>6.0944423859500517E-2</v>
      </c>
      <c r="BK1124" s="20">
        <f>1 - Audit[[#This Row],[K-M P Value]]</f>
        <v>0.9390555761404995</v>
      </c>
      <c r="BL1124" s="18" t="str">
        <f>IF(Audit[[#This Row],[K-M P Value]]&gt;1-'General Info'!$B$12,"Continue", "Stop")</f>
        <v>Stop</v>
      </c>
      <c r="BM1124" s="23" t="b">
        <f>IF(Audit[[#This Row],[Status - Continue or stop audit]] = "Continue", TRUE, IF(BL1123 = "Continue", TRUE, FALSE))</f>
        <v>0</v>
      </c>
      <c r="BN1124" s="23"/>
    </row>
    <row r="1125" spans="1:66" ht="15" hidden="1" customHeight="1" x14ac:dyDescent="0.35">
      <c r="A1125" s="18" t="str">
        <f>'Sampling Data'!AI1125</f>
        <v/>
      </c>
      <c r="B1125" s="18" t="str">
        <f>'Sampling Data'!A1125</f>
        <v>9302 TER PK B   (ED)</v>
      </c>
      <c r="C1125" s="18">
        <f>'Sampling Data'!B1125</f>
        <v>32</v>
      </c>
      <c r="D1125" s="18">
        <f>'Sampling Data'!C1125</f>
        <v>8</v>
      </c>
      <c r="E1125" s="19">
        <f>'Sampling Data'!D1125</f>
        <v>0</v>
      </c>
      <c r="F1125" s="19">
        <f>'Sampling Data'!E1125</f>
        <v>0</v>
      </c>
      <c r="G1125" s="19">
        <f>'Sampling Data'!F1125</f>
        <v>0</v>
      </c>
      <c r="H1125" s="19">
        <f>'Sampling Data'!G1125</f>
        <v>0</v>
      </c>
      <c r="I1125" s="19">
        <f>'Sampling Data'!H1125</f>
        <v>0</v>
      </c>
      <c r="J1125" s="19">
        <f>'Sampling Data'!I1125</f>
        <v>0</v>
      </c>
      <c r="K1125" s="19">
        <f>'Sampling Data'!J1125</f>
        <v>0</v>
      </c>
      <c r="L1125" s="19">
        <f>'Sampling Data'!K1125</f>
        <v>0</v>
      </c>
      <c r="M1125" s="19">
        <f>'Sampling Data'!L1125</f>
        <v>0</v>
      </c>
      <c r="N1125" s="19">
        <f>'Sampling Data'!M1125</f>
        <v>0</v>
      </c>
      <c r="O1125" s="18">
        <f>'Sampling Data'!N1125</f>
        <v>0</v>
      </c>
      <c r="P1125" s="18">
        <f>'Sampling Data'!O1125</f>
        <v>2</v>
      </c>
      <c r="Q1125" s="18">
        <f>'Sampling Data'!P1125</f>
        <v>42</v>
      </c>
      <c r="R1125" s="18">
        <f>'Sampling Data'!AJ1125</f>
        <v>0</v>
      </c>
      <c r="S1125" s="112"/>
      <c r="T1125" s="112"/>
      <c r="U1125" s="113"/>
      <c r="V1125" s="113"/>
      <c r="W1125" s="112"/>
      <c r="X1125" s="112"/>
      <c r="Y1125" s="112"/>
      <c r="Z1125" s="112"/>
      <c r="AA1125" s="15"/>
      <c r="AB1125" s="15"/>
      <c r="AC1125" s="15"/>
      <c r="AD1125" s="15"/>
      <c r="AE1125" s="114" t="str">
        <f>IF(NOT(ISBLANK(Audit[[#This Row],[Audit Winning Candidate]])), Audit[[#This Row],[Audit Winning Candidate]]-Audit[[#This Row],[Winning Candidate]], "")</f>
        <v/>
      </c>
      <c r="AF1125" s="18" t="str">
        <f>IF(NOT(ISBLANK(Audit[[#This Row],[Audit Losing Candidate]])), Audit[[#This Row],[Audit Losing Candidate]]-Audit[[#This Row],[Losing Candidate]], "")</f>
        <v/>
      </c>
      <c r="AG1125" s="18" t="str">
        <f>IF(NOT(ISBLANK(Audit[[#This Row],[Audit Candidate 3]])), Audit[[#This Row],[Audit Candidate 3]]-Audit[[#This Row],[Candidate 3]], "")</f>
        <v/>
      </c>
      <c r="AH1125" s="18" t="str">
        <f>IF(NOT(ISBLANK(Audit[[#This Row],[Audit Candidate 4]])),Audit[[#This Row],[Audit Candidate 4]]-Audit[[#This Row],[Candidate 4]], "")</f>
        <v/>
      </c>
      <c r="AI1125" s="18" t="str">
        <f>IF(NOT(ISBLANK(Audit[[#This Row],[Audit Candidate 5]])), Audit[[#This Row],[Audit Candidate 5]]-Audit[[#This Row],[Candidate 5]], "")</f>
        <v/>
      </c>
      <c r="AJ1125" s="18" t="str">
        <f>IF(NOT(ISBLANK(Audit[[#This Row],[Audit Candidate 6]])), Audit[[#This Row],[Audit Candidate 6]]-Audit[[#This Row],[Candidate 6]], "")</f>
        <v/>
      </c>
      <c r="AK1125" s="18" t="str">
        <f>IF(NOT(ISBLANK(Audit[[#This Row],[Audit Candidate 7]])), Audit[[#This Row],[Audit Candidate 7]]-Audit[[#This Row],[Candidate 7]], "")</f>
        <v/>
      </c>
      <c r="AL1125" s="18" t="str">
        <f>IF(NOT(ISBLANK(Audit[[#This Row],[Audit Candidate 8]])), Audit[[#This Row],[Audit Candidate 8]]-Audit[[#This Row],[Candidate 8]], "")</f>
        <v/>
      </c>
      <c r="AM1125" s="18" t="str">
        <f>IF(NOT(ISBLANK(Audit[[#This Row],[Audit Candidate 9]])), Audit[[#This Row],[Audit Candidate 9]]-Audit[[#This Row],[Candidate 9]], "")</f>
        <v/>
      </c>
      <c r="AN1125" s="18" t="str">
        <f>IF(NOT(ISBLANK(Audit[[#This Row],[Audit Candidate 10]])), Audit[[#This Row],[Audit Candidate 10]]-Audit[[#This Row],[Candidate 10]], "")</f>
        <v/>
      </c>
      <c r="AO1125" s="18" t="str">
        <f>IF(NOT(ISBLANK(Audit[[#This Row],[Audit Candidate 11]])), Audit[[#This Row],[Audit Candidate 11]]-Audit[[#This Row],[Candidate 11]], "")</f>
        <v/>
      </c>
      <c r="AP1125" s="18" t="str">
        <f>IF(NOT(ISBLANK(Audit[[#This Row],[Audit Candidate 12]])), Audit[[#This Row],[Audit Candidate 12]]-Audit[[#This Row],[Candidate 12]], "")</f>
        <v/>
      </c>
      <c r="AQ1125" s="18">
        <f>SUMIF(Audit[[#This Row],[Difference Winner]:[Difference Candidate 12]], "&gt;0")</f>
        <v>0</v>
      </c>
      <c r="AR1125" s="18">
        <f>SUM(Audit[[#This Row],[Difference Winner]:[Difference Candidate 12]])</f>
        <v>0</v>
      </c>
      <c r="AS1125" s="18">
        <f>IF(Audit[[#This Row],[Times p Drawn - With Replacement]]&gt;0, IF(Audit[[#This Row],[Canceled Differences]]&lt;0, Audit[[#This Row],[Max Differences]]+ABS(Audit[[#This Row],[Canceled Differences]]), Audit[[#This Row],[Max Differences]]), 0)</f>
        <v>0</v>
      </c>
      <c r="AT1125" s="18">
        <f>'Sampling Data'!AB1125</f>
        <v>2.0730596475798599E-3</v>
      </c>
      <c r="AU1125" s="18">
        <f>IF(
      SUM(Audit[[#This Row],[Audit Losing Candidate]:[Audit Candidate 12]])
      &lt;&gt;0,
      (Audit[[#This Row],[Winning Candidate]]-Audit[[#This Row],[Losing Candidate]]-(Audit[[#This Row],[Audit Winning Candidate]]-Audit[[#This Row],[Audit Losing Candidate]]))/(Audit[[#Totals],[Winning Candidate]]-Audit[[#Totals],[Losing Candidate]]),
      0
)</f>
        <v>0</v>
      </c>
      <c r="AV1125"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8">
        <f>IF(Audit[[#This Row],[Max Relative Error (ep)]] = 0, 0, Audit[[#This Row],[Max Relative Error (ep)]]/Audit[[#This Row],[Error Bound (up) - Max. possible relative overstatement]])</f>
        <v>0</v>
      </c>
      <c r="BH1125"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5" s="18">
        <f t="shared" si="18"/>
        <v>1</v>
      </c>
      <c r="BJ1125" s="18">
        <f>PRODUCT($BI$5:BI1125)</f>
        <v>6.0944423859500517E-2</v>
      </c>
      <c r="BK1125" s="20">
        <f>1 - Audit[[#This Row],[K-M P Value]]</f>
        <v>0.9390555761404995</v>
      </c>
      <c r="BL1125" s="18" t="str">
        <f>IF(Audit[[#This Row],[K-M P Value]]&gt;1-'General Info'!$B$12,"Continue", "Stop")</f>
        <v>Stop</v>
      </c>
      <c r="BM1125" s="23" t="b">
        <f>IF(Audit[[#This Row],[Status - Continue or stop audit]] = "Continue", TRUE, IF(BL1124 = "Continue", TRUE, FALSE))</f>
        <v>0</v>
      </c>
      <c r="BN1125" s="23"/>
    </row>
    <row r="1126" spans="1:66" ht="15" hidden="1" customHeight="1" x14ac:dyDescent="0.35">
      <c r="A1126" s="18" t="str">
        <f>'Sampling Data'!AI1126</f>
        <v/>
      </c>
      <c r="B1126" s="18" t="str">
        <f>'Sampling Data'!A1126</f>
        <v>9501 WHWTR A   (ED)</v>
      </c>
      <c r="C1126" s="18">
        <f>'Sampling Data'!B1126</f>
        <v>185</v>
      </c>
      <c r="D1126" s="18">
        <f>'Sampling Data'!C1126</f>
        <v>29</v>
      </c>
      <c r="E1126" s="19">
        <f>'Sampling Data'!D1126</f>
        <v>0</v>
      </c>
      <c r="F1126" s="19">
        <f>'Sampling Data'!E1126</f>
        <v>0</v>
      </c>
      <c r="G1126" s="19">
        <f>'Sampling Data'!F1126</f>
        <v>0</v>
      </c>
      <c r="H1126" s="19">
        <f>'Sampling Data'!G1126</f>
        <v>0</v>
      </c>
      <c r="I1126" s="19">
        <f>'Sampling Data'!H1126</f>
        <v>0</v>
      </c>
      <c r="J1126" s="19">
        <f>'Sampling Data'!I1126</f>
        <v>0</v>
      </c>
      <c r="K1126" s="19">
        <f>'Sampling Data'!J1126</f>
        <v>0</v>
      </c>
      <c r="L1126" s="19">
        <f>'Sampling Data'!K1126</f>
        <v>0</v>
      </c>
      <c r="M1126" s="19">
        <f>'Sampling Data'!L1126</f>
        <v>0</v>
      </c>
      <c r="N1126" s="19">
        <f>'Sampling Data'!M1126</f>
        <v>0</v>
      </c>
      <c r="O1126" s="18">
        <f>'Sampling Data'!N1126</f>
        <v>0</v>
      </c>
      <c r="P1126" s="18">
        <f>'Sampling Data'!O1126</f>
        <v>9</v>
      </c>
      <c r="Q1126" s="18">
        <f>'Sampling Data'!P1126</f>
        <v>223</v>
      </c>
      <c r="R1126" s="18">
        <f>'Sampling Data'!AJ1126</f>
        <v>0</v>
      </c>
      <c r="S1126" s="112"/>
      <c r="T1126" s="112"/>
      <c r="U1126" s="113"/>
      <c r="V1126" s="113"/>
      <c r="W1126" s="112"/>
      <c r="X1126" s="112"/>
      <c r="Y1126" s="112"/>
      <c r="Z1126" s="112"/>
      <c r="AA1126" s="15"/>
      <c r="AB1126" s="15"/>
      <c r="AC1126" s="15"/>
      <c r="AD1126" s="15"/>
      <c r="AE1126" s="114" t="str">
        <f>IF(NOT(ISBLANK(Audit[[#This Row],[Audit Winning Candidate]])), Audit[[#This Row],[Audit Winning Candidate]]-Audit[[#This Row],[Winning Candidate]], "")</f>
        <v/>
      </c>
      <c r="AF1126" s="18" t="str">
        <f>IF(NOT(ISBLANK(Audit[[#This Row],[Audit Losing Candidate]])), Audit[[#This Row],[Audit Losing Candidate]]-Audit[[#This Row],[Losing Candidate]], "")</f>
        <v/>
      </c>
      <c r="AG1126" s="18" t="str">
        <f>IF(NOT(ISBLANK(Audit[[#This Row],[Audit Candidate 3]])), Audit[[#This Row],[Audit Candidate 3]]-Audit[[#This Row],[Candidate 3]], "")</f>
        <v/>
      </c>
      <c r="AH1126" s="18" t="str">
        <f>IF(NOT(ISBLANK(Audit[[#This Row],[Audit Candidate 4]])),Audit[[#This Row],[Audit Candidate 4]]-Audit[[#This Row],[Candidate 4]], "")</f>
        <v/>
      </c>
      <c r="AI1126" s="18" t="str">
        <f>IF(NOT(ISBLANK(Audit[[#This Row],[Audit Candidate 5]])), Audit[[#This Row],[Audit Candidate 5]]-Audit[[#This Row],[Candidate 5]], "")</f>
        <v/>
      </c>
      <c r="AJ1126" s="18" t="str">
        <f>IF(NOT(ISBLANK(Audit[[#This Row],[Audit Candidate 6]])), Audit[[#This Row],[Audit Candidate 6]]-Audit[[#This Row],[Candidate 6]], "")</f>
        <v/>
      </c>
      <c r="AK1126" s="18" t="str">
        <f>IF(NOT(ISBLANK(Audit[[#This Row],[Audit Candidate 7]])), Audit[[#This Row],[Audit Candidate 7]]-Audit[[#This Row],[Candidate 7]], "")</f>
        <v/>
      </c>
      <c r="AL1126" s="18" t="str">
        <f>IF(NOT(ISBLANK(Audit[[#This Row],[Audit Candidate 8]])), Audit[[#This Row],[Audit Candidate 8]]-Audit[[#This Row],[Candidate 8]], "")</f>
        <v/>
      </c>
      <c r="AM1126" s="18" t="str">
        <f>IF(NOT(ISBLANK(Audit[[#This Row],[Audit Candidate 9]])), Audit[[#This Row],[Audit Candidate 9]]-Audit[[#This Row],[Candidate 9]], "")</f>
        <v/>
      </c>
      <c r="AN1126" s="18" t="str">
        <f>IF(NOT(ISBLANK(Audit[[#This Row],[Audit Candidate 10]])), Audit[[#This Row],[Audit Candidate 10]]-Audit[[#This Row],[Candidate 10]], "")</f>
        <v/>
      </c>
      <c r="AO1126" s="18" t="str">
        <f>IF(NOT(ISBLANK(Audit[[#This Row],[Audit Candidate 11]])), Audit[[#This Row],[Audit Candidate 11]]-Audit[[#This Row],[Candidate 11]], "")</f>
        <v/>
      </c>
      <c r="AP1126" s="18" t="str">
        <f>IF(NOT(ISBLANK(Audit[[#This Row],[Audit Candidate 12]])), Audit[[#This Row],[Audit Candidate 12]]-Audit[[#This Row],[Candidate 12]], "")</f>
        <v/>
      </c>
      <c r="AQ1126" s="18">
        <f>SUMIF(Audit[[#This Row],[Difference Winner]:[Difference Candidate 12]], "&gt;0")</f>
        <v>0</v>
      </c>
      <c r="AR1126" s="18">
        <f>SUM(Audit[[#This Row],[Difference Winner]:[Difference Candidate 12]])</f>
        <v>0</v>
      </c>
      <c r="AS1126" s="18">
        <f>IF(Audit[[#This Row],[Times p Drawn - With Replacement]]&gt;0, IF(Audit[[#This Row],[Canceled Differences]]&lt;0, Audit[[#This Row],[Max Differences]]+ABS(Audit[[#This Row],[Canceled Differences]]), Audit[[#This Row],[Max Differences]]), 0)</f>
        <v>0</v>
      </c>
      <c r="AT1126" s="18">
        <f>'Sampling Data'!AB1126</f>
        <v>1.1904387976254044E-2</v>
      </c>
      <c r="AU1126" s="18">
        <f>IF(
      SUM(Audit[[#This Row],[Audit Losing Candidate]:[Audit Candidate 12]])
      &lt;&gt;0,
      (Audit[[#This Row],[Winning Candidate]]-Audit[[#This Row],[Losing Candidate]]-(Audit[[#This Row],[Audit Winning Candidate]]-Audit[[#This Row],[Audit Losing Candidate]]))/(Audit[[#Totals],[Winning Candidate]]-Audit[[#Totals],[Losing Candidate]]),
      0
)</f>
        <v>0</v>
      </c>
      <c r="AV112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8">
        <f>IF(Audit[[#This Row],[Max Relative Error (ep)]] = 0, 0, Audit[[#This Row],[Max Relative Error (ep)]]/Audit[[#This Row],[Error Bound (up) - Max. possible relative overstatement]])</f>
        <v>0</v>
      </c>
      <c r="BH112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6" s="18">
        <f t="shared" si="18"/>
        <v>1</v>
      </c>
      <c r="BJ1126" s="18">
        <f>PRODUCT($BI$5:BI1126)</f>
        <v>6.0944423859500517E-2</v>
      </c>
      <c r="BK1126" s="20">
        <f>1 - Audit[[#This Row],[K-M P Value]]</f>
        <v>0.9390555761404995</v>
      </c>
      <c r="BL1126" s="18" t="str">
        <f>IF(Audit[[#This Row],[K-M P Value]]&gt;1-'General Info'!$B$12,"Continue", "Stop")</f>
        <v>Stop</v>
      </c>
      <c r="BM1126" s="23" t="b">
        <f>IF(Audit[[#This Row],[Status - Continue or stop audit]] = "Continue", TRUE, IF(BL1125 = "Continue", TRUE, FALSE))</f>
        <v>0</v>
      </c>
      <c r="BN1126" s="23"/>
    </row>
    <row r="1127" spans="1:66" ht="15" hidden="1" customHeight="1" x14ac:dyDescent="0.35">
      <c r="A1127" s="18" t="str">
        <f>'Sampling Data'!AI1127</f>
        <v/>
      </c>
      <c r="B1127" s="18" t="str">
        <f>'Sampling Data'!A1127</f>
        <v>9502 WHWTR B   (ED)</v>
      </c>
      <c r="C1127" s="18">
        <f>'Sampling Data'!B1127</f>
        <v>180</v>
      </c>
      <c r="D1127" s="18">
        <f>'Sampling Data'!C1127</f>
        <v>23</v>
      </c>
      <c r="E1127" s="19">
        <f>'Sampling Data'!D1127</f>
        <v>0</v>
      </c>
      <c r="F1127" s="19">
        <f>'Sampling Data'!E1127</f>
        <v>0</v>
      </c>
      <c r="G1127" s="19">
        <f>'Sampling Data'!F1127</f>
        <v>0</v>
      </c>
      <c r="H1127" s="19">
        <f>'Sampling Data'!G1127</f>
        <v>0</v>
      </c>
      <c r="I1127" s="19">
        <f>'Sampling Data'!H1127</f>
        <v>0</v>
      </c>
      <c r="J1127" s="19">
        <f>'Sampling Data'!I1127</f>
        <v>0</v>
      </c>
      <c r="K1127" s="19">
        <f>'Sampling Data'!J1127</f>
        <v>0</v>
      </c>
      <c r="L1127" s="19">
        <f>'Sampling Data'!K1127</f>
        <v>0</v>
      </c>
      <c r="M1127" s="19">
        <f>'Sampling Data'!L1127</f>
        <v>0</v>
      </c>
      <c r="N1127" s="19">
        <f>'Sampling Data'!M1127</f>
        <v>0</v>
      </c>
      <c r="O1127" s="18">
        <f>'Sampling Data'!N1127</f>
        <v>0</v>
      </c>
      <c r="P1127" s="18">
        <f>'Sampling Data'!O1127</f>
        <v>17</v>
      </c>
      <c r="Q1127" s="18">
        <f>'Sampling Data'!P1127</f>
        <v>220</v>
      </c>
      <c r="R1127" s="18">
        <f>'Sampling Data'!AJ1127</f>
        <v>0</v>
      </c>
      <c r="S1127" s="112"/>
      <c r="T1127" s="112"/>
      <c r="U1127" s="113"/>
      <c r="V1127" s="113"/>
      <c r="W1127" s="112"/>
      <c r="X1127" s="112"/>
      <c r="Y1127" s="112"/>
      <c r="Z1127" s="112"/>
      <c r="AA1127" s="15"/>
      <c r="AB1127" s="15"/>
      <c r="AC1127" s="15"/>
      <c r="AD1127" s="15"/>
      <c r="AE1127" s="114" t="str">
        <f>IF(NOT(ISBLANK(Audit[[#This Row],[Audit Winning Candidate]])), Audit[[#This Row],[Audit Winning Candidate]]-Audit[[#This Row],[Winning Candidate]], "")</f>
        <v/>
      </c>
      <c r="AF1127" s="18" t="str">
        <f>IF(NOT(ISBLANK(Audit[[#This Row],[Audit Losing Candidate]])), Audit[[#This Row],[Audit Losing Candidate]]-Audit[[#This Row],[Losing Candidate]], "")</f>
        <v/>
      </c>
      <c r="AG1127" s="18" t="str">
        <f>IF(NOT(ISBLANK(Audit[[#This Row],[Audit Candidate 3]])), Audit[[#This Row],[Audit Candidate 3]]-Audit[[#This Row],[Candidate 3]], "")</f>
        <v/>
      </c>
      <c r="AH1127" s="18" t="str">
        <f>IF(NOT(ISBLANK(Audit[[#This Row],[Audit Candidate 4]])),Audit[[#This Row],[Audit Candidate 4]]-Audit[[#This Row],[Candidate 4]], "")</f>
        <v/>
      </c>
      <c r="AI1127" s="18" t="str">
        <f>IF(NOT(ISBLANK(Audit[[#This Row],[Audit Candidate 5]])), Audit[[#This Row],[Audit Candidate 5]]-Audit[[#This Row],[Candidate 5]], "")</f>
        <v/>
      </c>
      <c r="AJ1127" s="18" t="str">
        <f>IF(NOT(ISBLANK(Audit[[#This Row],[Audit Candidate 6]])), Audit[[#This Row],[Audit Candidate 6]]-Audit[[#This Row],[Candidate 6]], "")</f>
        <v/>
      </c>
      <c r="AK1127" s="18" t="str">
        <f>IF(NOT(ISBLANK(Audit[[#This Row],[Audit Candidate 7]])), Audit[[#This Row],[Audit Candidate 7]]-Audit[[#This Row],[Candidate 7]], "")</f>
        <v/>
      </c>
      <c r="AL1127" s="18" t="str">
        <f>IF(NOT(ISBLANK(Audit[[#This Row],[Audit Candidate 8]])), Audit[[#This Row],[Audit Candidate 8]]-Audit[[#This Row],[Candidate 8]], "")</f>
        <v/>
      </c>
      <c r="AM1127" s="18" t="str">
        <f>IF(NOT(ISBLANK(Audit[[#This Row],[Audit Candidate 9]])), Audit[[#This Row],[Audit Candidate 9]]-Audit[[#This Row],[Candidate 9]], "")</f>
        <v/>
      </c>
      <c r="AN1127" s="18" t="str">
        <f>IF(NOT(ISBLANK(Audit[[#This Row],[Audit Candidate 10]])), Audit[[#This Row],[Audit Candidate 10]]-Audit[[#This Row],[Candidate 10]], "")</f>
        <v/>
      </c>
      <c r="AO1127" s="18" t="str">
        <f>IF(NOT(ISBLANK(Audit[[#This Row],[Audit Candidate 11]])), Audit[[#This Row],[Audit Candidate 11]]-Audit[[#This Row],[Candidate 11]], "")</f>
        <v/>
      </c>
      <c r="AP1127" s="18" t="str">
        <f>IF(NOT(ISBLANK(Audit[[#This Row],[Audit Candidate 12]])), Audit[[#This Row],[Audit Candidate 12]]-Audit[[#This Row],[Candidate 12]], "")</f>
        <v/>
      </c>
      <c r="AQ1127" s="18">
        <f>SUMIF(Audit[[#This Row],[Difference Winner]:[Difference Candidate 12]], "&gt;0")</f>
        <v>0</v>
      </c>
      <c r="AR1127" s="18">
        <f>SUM(Audit[[#This Row],[Difference Winner]:[Difference Candidate 12]])</f>
        <v>0</v>
      </c>
      <c r="AS1127" s="18">
        <f>IF(Audit[[#This Row],[Times p Drawn - With Replacement]]&gt;0, IF(Audit[[#This Row],[Canceled Differences]]&lt;0, Audit[[#This Row],[Max Differences]]+ABS(Audit[[#This Row],[Canceled Differences]]), Audit[[#This Row],[Max Differences]]), 0)</f>
        <v>0</v>
      </c>
      <c r="AT1127" s="18">
        <f>'Sampling Data'!AB1127</f>
        <v>1.1841567986933442E-2</v>
      </c>
      <c r="AU1127" s="18">
        <f>IF(
      SUM(Audit[[#This Row],[Audit Losing Candidate]:[Audit Candidate 12]])
      &lt;&gt;0,
      (Audit[[#This Row],[Winning Candidate]]-Audit[[#This Row],[Losing Candidate]]-(Audit[[#This Row],[Audit Winning Candidate]]-Audit[[#This Row],[Audit Losing Candidate]]))/(Audit[[#Totals],[Winning Candidate]]-Audit[[#Totals],[Losing Candidate]]),
      0
)</f>
        <v>0</v>
      </c>
      <c r="AV1127"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8">
        <f>IF(Audit[[#This Row],[Max Relative Error (ep)]] = 0, 0, Audit[[#This Row],[Max Relative Error (ep)]]/Audit[[#This Row],[Error Bound (up) - Max. possible relative overstatement]])</f>
        <v>0</v>
      </c>
      <c r="BH1127"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7" s="18">
        <f t="shared" si="18"/>
        <v>1</v>
      </c>
      <c r="BJ1127" s="18">
        <f>PRODUCT($BI$5:BI1127)</f>
        <v>6.0944423859500517E-2</v>
      </c>
      <c r="BK1127" s="20">
        <f>1 - Audit[[#This Row],[K-M P Value]]</f>
        <v>0.9390555761404995</v>
      </c>
      <c r="BL1127" s="18" t="str">
        <f>IF(Audit[[#This Row],[K-M P Value]]&gt;1-'General Info'!$B$12,"Continue", "Stop")</f>
        <v>Stop</v>
      </c>
      <c r="BM1127" s="23" t="b">
        <f>IF(Audit[[#This Row],[Status - Continue or stop audit]] = "Continue", TRUE, IF(BL1126 = "Continue", TRUE, FALSE))</f>
        <v>0</v>
      </c>
      <c r="BN1127" s="23"/>
    </row>
    <row r="1128" spans="1:66" ht="15" hidden="1" customHeight="1" x14ac:dyDescent="0.35">
      <c r="A1128" s="18" t="str">
        <f>'Sampling Data'!AI1128</f>
        <v/>
      </c>
      <c r="B1128" s="18" t="str">
        <f>'Sampling Data'!A1128</f>
        <v>9503 WHWTR C   (ED)</v>
      </c>
      <c r="C1128" s="18">
        <f>'Sampling Data'!B1128</f>
        <v>97</v>
      </c>
      <c r="D1128" s="18">
        <f>'Sampling Data'!C1128</f>
        <v>18</v>
      </c>
      <c r="E1128" s="19">
        <f>'Sampling Data'!D1128</f>
        <v>0</v>
      </c>
      <c r="F1128" s="19">
        <f>'Sampling Data'!E1128</f>
        <v>0</v>
      </c>
      <c r="G1128" s="19">
        <f>'Sampling Data'!F1128</f>
        <v>0</v>
      </c>
      <c r="H1128" s="19">
        <f>'Sampling Data'!G1128</f>
        <v>0</v>
      </c>
      <c r="I1128" s="19">
        <f>'Sampling Data'!H1128</f>
        <v>0</v>
      </c>
      <c r="J1128" s="19">
        <f>'Sampling Data'!I1128</f>
        <v>0</v>
      </c>
      <c r="K1128" s="19">
        <f>'Sampling Data'!J1128</f>
        <v>0</v>
      </c>
      <c r="L1128" s="19">
        <f>'Sampling Data'!K1128</f>
        <v>0</v>
      </c>
      <c r="M1128" s="19">
        <f>'Sampling Data'!L1128</f>
        <v>0</v>
      </c>
      <c r="N1128" s="19">
        <f>'Sampling Data'!M1128</f>
        <v>0</v>
      </c>
      <c r="O1128" s="18">
        <f>'Sampling Data'!N1128</f>
        <v>0</v>
      </c>
      <c r="P1128" s="18">
        <f>'Sampling Data'!O1128</f>
        <v>3</v>
      </c>
      <c r="Q1128" s="18">
        <f>'Sampling Data'!P1128</f>
        <v>118</v>
      </c>
      <c r="R1128" s="18">
        <f>'Sampling Data'!AJ1128</f>
        <v>0</v>
      </c>
      <c r="S1128" s="112"/>
      <c r="T1128" s="112"/>
      <c r="U1128" s="113"/>
      <c r="V1128" s="113"/>
      <c r="W1128" s="112"/>
      <c r="X1128" s="112"/>
      <c r="Y1128" s="112"/>
      <c r="Z1128" s="112"/>
      <c r="AA1128" s="15"/>
      <c r="AB1128" s="15"/>
      <c r="AC1128" s="15"/>
      <c r="AD1128" s="15"/>
      <c r="AE1128" s="114" t="str">
        <f>IF(NOT(ISBLANK(Audit[[#This Row],[Audit Winning Candidate]])), Audit[[#This Row],[Audit Winning Candidate]]-Audit[[#This Row],[Winning Candidate]], "")</f>
        <v/>
      </c>
      <c r="AF1128" s="18" t="str">
        <f>IF(NOT(ISBLANK(Audit[[#This Row],[Audit Losing Candidate]])), Audit[[#This Row],[Audit Losing Candidate]]-Audit[[#This Row],[Losing Candidate]], "")</f>
        <v/>
      </c>
      <c r="AG1128" s="18" t="str">
        <f>IF(NOT(ISBLANK(Audit[[#This Row],[Audit Candidate 3]])), Audit[[#This Row],[Audit Candidate 3]]-Audit[[#This Row],[Candidate 3]], "")</f>
        <v/>
      </c>
      <c r="AH1128" s="18" t="str">
        <f>IF(NOT(ISBLANK(Audit[[#This Row],[Audit Candidate 4]])),Audit[[#This Row],[Audit Candidate 4]]-Audit[[#This Row],[Candidate 4]], "")</f>
        <v/>
      </c>
      <c r="AI1128" s="18" t="str">
        <f>IF(NOT(ISBLANK(Audit[[#This Row],[Audit Candidate 5]])), Audit[[#This Row],[Audit Candidate 5]]-Audit[[#This Row],[Candidate 5]], "")</f>
        <v/>
      </c>
      <c r="AJ1128" s="18" t="str">
        <f>IF(NOT(ISBLANK(Audit[[#This Row],[Audit Candidate 6]])), Audit[[#This Row],[Audit Candidate 6]]-Audit[[#This Row],[Candidate 6]], "")</f>
        <v/>
      </c>
      <c r="AK1128" s="18" t="str">
        <f>IF(NOT(ISBLANK(Audit[[#This Row],[Audit Candidate 7]])), Audit[[#This Row],[Audit Candidate 7]]-Audit[[#This Row],[Candidate 7]], "")</f>
        <v/>
      </c>
      <c r="AL1128" s="18" t="str">
        <f>IF(NOT(ISBLANK(Audit[[#This Row],[Audit Candidate 8]])), Audit[[#This Row],[Audit Candidate 8]]-Audit[[#This Row],[Candidate 8]], "")</f>
        <v/>
      </c>
      <c r="AM1128" s="18" t="str">
        <f>IF(NOT(ISBLANK(Audit[[#This Row],[Audit Candidate 9]])), Audit[[#This Row],[Audit Candidate 9]]-Audit[[#This Row],[Candidate 9]], "")</f>
        <v/>
      </c>
      <c r="AN1128" s="18" t="str">
        <f>IF(NOT(ISBLANK(Audit[[#This Row],[Audit Candidate 10]])), Audit[[#This Row],[Audit Candidate 10]]-Audit[[#This Row],[Candidate 10]], "")</f>
        <v/>
      </c>
      <c r="AO1128" s="18" t="str">
        <f>IF(NOT(ISBLANK(Audit[[#This Row],[Audit Candidate 11]])), Audit[[#This Row],[Audit Candidate 11]]-Audit[[#This Row],[Candidate 11]], "")</f>
        <v/>
      </c>
      <c r="AP1128" s="18" t="str">
        <f>IF(NOT(ISBLANK(Audit[[#This Row],[Audit Candidate 12]])), Audit[[#This Row],[Audit Candidate 12]]-Audit[[#This Row],[Candidate 12]], "")</f>
        <v/>
      </c>
      <c r="AQ1128" s="18">
        <f>SUMIF(Audit[[#This Row],[Difference Winner]:[Difference Candidate 12]], "&gt;0")</f>
        <v>0</v>
      </c>
      <c r="AR1128" s="18">
        <f>SUM(Audit[[#This Row],[Difference Winner]:[Difference Candidate 12]])</f>
        <v>0</v>
      </c>
      <c r="AS1128" s="18">
        <f>IF(Audit[[#This Row],[Times p Drawn - With Replacement]]&gt;0, IF(Audit[[#This Row],[Canceled Differences]]&lt;0, Audit[[#This Row],[Max Differences]]+ABS(Audit[[#This Row],[Canceled Differences]]), Audit[[#This Row],[Max Differences]]), 0)</f>
        <v>0</v>
      </c>
      <c r="AT1128" s="18">
        <f>'Sampling Data'!AB1128</f>
        <v>6.1877689480792789E-3</v>
      </c>
      <c r="AU1128" s="18">
        <f>IF(
      SUM(Audit[[#This Row],[Audit Losing Candidate]:[Audit Candidate 12]])
      &lt;&gt;0,
      (Audit[[#This Row],[Winning Candidate]]-Audit[[#This Row],[Losing Candidate]]-(Audit[[#This Row],[Audit Winning Candidate]]-Audit[[#This Row],[Audit Losing Candidate]]))/(Audit[[#Totals],[Winning Candidate]]-Audit[[#Totals],[Losing Candidate]]),
      0
)</f>
        <v>0</v>
      </c>
      <c r="AV112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8">
        <f>IF(Audit[[#This Row],[Max Relative Error (ep)]] = 0, 0, Audit[[#This Row],[Max Relative Error (ep)]]/Audit[[#This Row],[Error Bound (up) - Max. possible relative overstatement]])</f>
        <v>0</v>
      </c>
      <c r="BH112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8" s="18">
        <f t="shared" si="18"/>
        <v>1</v>
      </c>
      <c r="BJ1128" s="18">
        <f>PRODUCT($BI$5:BI1128)</f>
        <v>6.0944423859500517E-2</v>
      </c>
      <c r="BK1128" s="20">
        <f>1 - Audit[[#This Row],[K-M P Value]]</f>
        <v>0.9390555761404995</v>
      </c>
      <c r="BL1128" s="18" t="str">
        <f>IF(Audit[[#This Row],[K-M P Value]]&gt;1-'General Info'!$B$12,"Continue", "Stop")</f>
        <v>Stop</v>
      </c>
      <c r="BM1128" s="23" t="b">
        <f>IF(Audit[[#This Row],[Status - Continue or stop audit]] = "Continue", TRUE, IF(BL1127 = "Continue", TRUE, FALSE))</f>
        <v>0</v>
      </c>
      <c r="BN1128" s="23"/>
    </row>
    <row r="1129" spans="1:66" ht="15" hidden="1" customHeight="1" x14ac:dyDescent="0.35">
      <c r="A1129" s="18" t="str">
        <f>'Sampling Data'!AI1129</f>
        <v/>
      </c>
      <c r="B1129" s="18" t="str">
        <f>'Sampling Data'!A1129</f>
        <v>9701 WOOD A   (ED)</v>
      </c>
      <c r="C1129" s="18">
        <f>'Sampling Data'!B1129</f>
        <v>16</v>
      </c>
      <c r="D1129" s="18">
        <f>'Sampling Data'!C1129</f>
        <v>7</v>
      </c>
      <c r="E1129" s="19">
        <f>'Sampling Data'!D1129</f>
        <v>0</v>
      </c>
      <c r="F1129" s="19">
        <f>'Sampling Data'!E1129</f>
        <v>0</v>
      </c>
      <c r="G1129" s="19">
        <f>'Sampling Data'!F1129</f>
        <v>0</v>
      </c>
      <c r="H1129" s="19">
        <f>'Sampling Data'!G1129</f>
        <v>0</v>
      </c>
      <c r="I1129" s="19">
        <f>'Sampling Data'!H1129</f>
        <v>0</v>
      </c>
      <c r="J1129" s="19">
        <f>'Sampling Data'!I1129</f>
        <v>0</v>
      </c>
      <c r="K1129" s="19">
        <f>'Sampling Data'!J1129</f>
        <v>0</v>
      </c>
      <c r="L1129" s="19">
        <f>'Sampling Data'!K1129</f>
        <v>0</v>
      </c>
      <c r="M1129" s="19">
        <f>'Sampling Data'!L1129</f>
        <v>0</v>
      </c>
      <c r="N1129" s="19">
        <f>'Sampling Data'!M1129</f>
        <v>0</v>
      </c>
      <c r="O1129" s="18">
        <f>'Sampling Data'!N1129</f>
        <v>0</v>
      </c>
      <c r="P1129" s="18">
        <f>'Sampling Data'!O1129</f>
        <v>1</v>
      </c>
      <c r="Q1129" s="18">
        <f>'Sampling Data'!P1129</f>
        <v>24</v>
      </c>
      <c r="R1129" s="18">
        <f>'Sampling Data'!AJ1129</f>
        <v>0</v>
      </c>
      <c r="S1129" s="112"/>
      <c r="T1129" s="112"/>
      <c r="U1129" s="113"/>
      <c r="V1129" s="113"/>
      <c r="W1129" s="112"/>
      <c r="X1129" s="112"/>
      <c r="Y1129" s="112"/>
      <c r="Z1129" s="112"/>
      <c r="AA1129" s="15"/>
      <c r="AB1129" s="15"/>
      <c r="AC1129" s="15"/>
      <c r="AD1129" s="15"/>
      <c r="AE1129" s="114" t="str">
        <f>IF(NOT(ISBLANK(Audit[[#This Row],[Audit Winning Candidate]])), Audit[[#This Row],[Audit Winning Candidate]]-Audit[[#This Row],[Winning Candidate]], "")</f>
        <v/>
      </c>
      <c r="AF1129" s="18" t="str">
        <f>IF(NOT(ISBLANK(Audit[[#This Row],[Audit Losing Candidate]])), Audit[[#This Row],[Audit Losing Candidate]]-Audit[[#This Row],[Losing Candidate]], "")</f>
        <v/>
      </c>
      <c r="AG1129" s="18" t="str">
        <f>IF(NOT(ISBLANK(Audit[[#This Row],[Audit Candidate 3]])), Audit[[#This Row],[Audit Candidate 3]]-Audit[[#This Row],[Candidate 3]], "")</f>
        <v/>
      </c>
      <c r="AH1129" s="18" t="str">
        <f>IF(NOT(ISBLANK(Audit[[#This Row],[Audit Candidate 4]])),Audit[[#This Row],[Audit Candidate 4]]-Audit[[#This Row],[Candidate 4]], "")</f>
        <v/>
      </c>
      <c r="AI1129" s="18" t="str">
        <f>IF(NOT(ISBLANK(Audit[[#This Row],[Audit Candidate 5]])), Audit[[#This Row],[Audit Candidate 5]]-Audit[[#This Row],[Candidate 5]], "")</f>
        <v/>
      </c>
      <c r="AJ1129" s="18" t="str">
        <f>IF(NOT(ISBLANK(Audit[[#This Row],[Audit Candidate 6]])), Audit[[#This Row],[Audit Candidate 6]]-Audit[[#This Row],[Candidate 6]], "")</f>
        <v/>
      </c>
      <c r="AK1129" s="18" t="str">
        <f>IF(NOT(ISBLANK(Audit[[#This Row],[Audit Candidate 7]])), Audit[[#This Row],[Audit Candidate 7]]-Audit[[#This Row],[Candidate 7]], "")</f>
        <v/>
      </c>
      <c r="AL1129" s="18" t="str">
        <f>IF(NOT(ISBLANK(Audit[[#This Row],[Audit Candidate 8]])), Audit[[#This Row],[Audit Candidate 8]]-Audit[[#This Row],[Candidate 8]], "")</f>
        <v/>
      </c>
      <c r="AM1129" s="18" t="str">
        <f>IF(NOT(ISBLANK(Audit[[#This Row],[Audit Candidate 9]])), Audit[[#This Row],[Audit Candidate 9]]-Audit[[#This Row],[Candidate 9]], "")</f>
        <v/>
      </c>
      <c r="AN1129" s="18" t="str">
        <f>IF(NOT(ISBLANK(Audit[[#This Row],[Audit Candidate 10]])), Audit[[#This Row],[Audit Candidate 10]]-Audit[[#This Row],[Candidate 10]], "")</f>
        <v/>
      </c>
      <c r="AO1129" s="18" t="str">
        <f>IF(NOT(ISBLANK(Audit[[#This Row],[Audit Candidate 11]])), Audit[[#This Row],[Audit Candidate 11]]-Audit[[#This Row],[Candidate 11]], "")</f>
        <v/>
      </c>
      <c r="AP1129" s="18" t="str">
        <f>IF(NOT(ISBLANK(Audit[[#This Row],[Audit Candidate 12]])), Audit[[#This Row],[Audit Candidate 12]]-Audit[[#This Row],[Candidate 12]], "")</f>
        <v/>
      </c>
      <c r="AQ1129" s="18">
        <f>SUMIF(Audit[[#This Row],[Difference Winner]:[Difference Candidate 12]], "&gt;0")</f>
        <v>0</v>
      </c>
      <c r="AR1129" s="18">
        <f>SUM(Audit[[#This Row],[Difference Winner]:[Difference Candidate 12]])</f>
        <v>0</v>
      </c>
      <c r="AS1129" s="18">
        <f>IF(Audit[[#This Row],[Times p Drawn - With Replacement]]&gt;0, IF(Audit[[#This Row],[Canceled Differences]]&lt;0, Audit[[#This Row],[Max Differences]]+ABS(Audit[[#This Row],[Canceled Differences]]), Audit[[#This Row],[Max Differences]]), 0)</f>
        <v>0</v>
      </c>
      <c r="AT1129" s="18">
        <f>'Sampling Data'!AB1129</f>
        <v>1.0365298237899299E-3</v>
      </c>
      <c r="AU1129" s="18">
        <f>IF(
      SUM(Audit[[#This Row],[Audit Losing Candidate]:[Audit Candidate 12]])
      &lt;&gt;0,
      (Audit[[#This Row],[Winning Candidate]]-Audit[[#This Row],[Losing Candidate]]-(Audit[[#This Row],[Audit Winning Candidate]]-Audit[[#This Row],[Audit Losing Candidate]]))/(Audit[[#Totals],[Winning Candidate]]-Audit[[#Totals],[Losing Candidate]]),
      0
)</f>
        <v>0</v>
      </c>
      <c r="AV1129"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9"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9"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9"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9"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9"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9"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9"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9"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9"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9"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9" s="18">
        <f>IF(Audit[[#This Row],[Max Relative Error (ep)]] = 0, 0, Audit[[#This Row],[Max Relative Error (ep)]]/Audit[[#This Row],[Error Bound (up) - Max. possible relative overstatement]])</f>
        <v>0</v>
      </c>
      <c r="BH1129"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29" s="18">
        <f t="shared" si="18"/>
        <v>1</v>
      </c>
      <c r="BJ1129" s="18">
        <f>PRODUCT($BI$5:BI1129)</f>
        <v>6.0944423859500517E-2</v>
      </c>
      <c r="BK1129" s="20">
        <f>1 - Audit[[#This Row],[K-M P Value]]</f>
        <v>0.9390555761404995</v>
      </c>
      <c r="BL1129" s="18" t="str">
        <f>IF(Audit[[#This Row],[K-M P Value]]&gt;1-'General Info'!$B$12,"Continue", "Stop")</f>
        <v>Stop</v>
      </c>
      <c r="BM1129" s="23" t="b">
        <f>IF(Audit[[#This Row],[Status - Continue or stop audit]] = "Continue", TRUE, IF(BL1128 = "Continue", TRUE, FALSE))</f>
        <v>0</v>
      </c>
      <c r="BN1129" s="23"/>
    </row>
    <row r="1130" spans="1:66" ht="15" hidden="1" customHeight="1" thickBot="1" x14ac:dyDescent="0.4">
      <c r="A1130" s="18" t="str">
        <f>'Sampling Data'!AI1130</f>
        <v/>
      </c>
      <c r="B1130" s="18" t="str">
        <f>'Sampling Data'!A1130</f>
        <v>9702 WOOD B   (ED)</v>
      </c>
      <c r="C1130" s="18">
        <f>'Sampling Data'!B1130</f>
        <v>3</v>
      </c>
      <c r="D1130" s="18">
        <f>'Sampling Data'!C1130</f>
        <v>2</v>
      </c>
      <c r="E1130" s="19">
        <f>'Sampling Data'!D1130</f>
        <v>0</v>
      </c>
      <c r="F1130" s="19">
        <f>'Sampling Data'!E1130</f>
        <v>0</v>
      </c>
      <c r="G1130" s="19">
        <f>'Sampling Data'!F1130</f>
        <v>0</v>
      </c>
      <c r="H1130" s="19">
        <f>'Sampling Data'!G1130</f>
        <v>0</v>
      </c>
      <c r="I1130" s="19">
        <f>'Sampling Data'!H1130</f>
        <v>0</v>
      </c>
      <c r="J1130" s="19">
        <f>'Sampling Data'!I1130</f>
        <v>0</v>
      </c>
      <c r="K1130" s="19">
        <f>'Sampling Data'!J1130</f>
        <v>0</v>
      </c>
      <c r="L1130" s="19">
        <f>'Sampling Data'!K1130</f>
        <v>0</v>
      </c>
      <c r="M1130" s="19">
        <f>'Sampling Data'!L1130</f>
        <v>0</v>
      </c>
      <c r="N1130" s="19">
        <f>'Sampling Data'!M1130</f>
        <v>0</v>
      </c>
      <c r="O1130" s="18">
        <f>'Sampling Data'!N1130</f>
        <v>0</v>
      </c>
      <c r="P1130" s="18">
        <f>'Sampling Data'!O1130</f>
        <v>0</v>
      </c>
      <c r="Q1130" s="18">
        <f>'Sampling Data'!P1130</f>
        <v>5</v>
      </c>
      <c r="R1130" s="18">
        <f>'Sampling Data'!AJ1130</f>
        <v>0</v>
      </c>
      <c r="S1130" s="112"/>
      <c r="T1130" s="112"/>
      <c r="U1130" s="113"/>
      <c r="V1130" s="113"/>
      <c r="W1130" s="112"/>
      <c r="X1130" s="112"/>
      <c r="Y1130" s="112"/>
      <c r="Z1130" s="112"/>
      <c r="AA1130" s="15"/>
      <c r="AB1130" s="15"/>
      <c r="AC1130" s="15"/>
      <c r="AD1130" s="15"/>
      <c r="AE1130" s="114" t="str">
        <f>IF(NOT(ISBLANK(Audit[[#This Row],[Audit Winning Candidate]])), Audit[[#This Row],[Audit Winning Candidate]]-Audit[[#This Row],[Winning Candidate]], "")</f>
        <v/>
      </c>
      <c r="AF1130" s="18" t="str">
        <f>IF(NOT(ISBLANK(Audit[[#This Row],[Audit Losing Candidate]])), Audit[[#This Row],[Audit Losing Candidate]]-Audit[[#This Row],[Losing Candidate]], "")</f>
        <v/>
      </c>
      <c r="AG1130" s="18" t="str">
        <f>IF(NOT(ISBLANK(Audit[[#This Row],[Audit Candidate 3]])), Audit[[#This Row],[Audit Candidate 3]]-Audit[[#This Row],[Candidate 3]], "")</f>
        <v/>
      </c>
      <c r="AH1130" s="18" t="str">
        <f>IF(NOT(ISBLANK(Audit[[#This Row],[Audit Candidate 4]])),Audit[[#This Row],[Audit Candidate 4]]-Audit[[#This Row],[Candidate 4]], "")</f>
        <v/>
      </c>
      <c r="AI1130" s="18" t="str">
        <f>IF(NOT(ISBLANK(Audit[[#This Row],[Audit Candidate 5]])), Audit[[#This Row],[Audit Candidate 5]]-Audit[[#This Row],[Candidate 5]], "")</f>
        <v/>
      </c>
      <c r="AJ1130" s="18" t="str">
        <f>IF(NOT(ISBLANK(Audit[[#This Row],[Audit Candidate 6]])), Audit[[#This Row],[Audit Candidate 6]]-Audit[[#This Row],[Candidate 6]], "")</f>
        <v/>
      </c>
      <c r="AK1130" s="18" t="str">
        <f>IF(NOT(ISBLANK(Audit[[#This Row],[Audit Candidate 7]])), Audit[[#This Row],[Audit Candidate 7]]-Audit[[#This Row],[Candidate 7]], "")</f>
        <v/>
      </c>
      <c r="AL1130" s="18" t="str">
        <f>IF(NOT(ISBLANK(Audit[[#This Row],[Audit Candidate 8]])), Audit[[#This Row],[Audit Candidate 8]]-Audit[[#This Row],[Candidate 8]], "")</f>
        <v/>
      </c>
      <c r="AM1130" s="18" t="str">
        <f>IF(NOT(ISBLANK(Audit[[#This Row],[Audit Candidate 9]])), Audit[[#This Row],[Audit Candidate 9]]-Audit[[#This Row],[Candidate 9]], "")</f>
        <v/>
      </c>
      <c r="AN1130" s="18" t="str">
        <f>IF(NOT(ISBLANK(Audit[[#This Row],[Audit Candidate 10]])), Audit[[#This Row],[Audit Candidate 10]]-Audit[[#This Row],[Candidate 10]], "")</f>
        <v/>
      </c>
      <c r="AO1130" s="18" t="str">
        <f>IF(NOT(ISBLANK(Audit[[#This Row],[Audit Candidate 11]])), Audit[[#This Row],[Audit Candidate 11]]-Audit[[#This Row],[Candidate 11]], "")</f>
        <v/>
      </c>
      <c r="AP1130" s="18" t="str">
        <f>IF(NOT(ISBLANK(Audit[[#This Row],[Audit Candidate 12]])), Audit[[#This Row],[Audit Candidate 12]]-Audit[[#This Row],[Candidate 12]], "")</f>
        <v/>
      </c>
      <c r="AQ1130" s="18">
        <f>SUMIF(Audit[[#This Row],[Difference Winner]:[Difference Candidate 12]], "&gt;0")</f>
        <v>0</v>
      </c>
      <c r="AR1130" s="18">
        <f>SUM(Audit[[#This Row],[Difference Winner]:[Difference Candidate 12]])</f>
        <v>0</v>
      </c>
      <c r="AS1130" s="18">
        <f>IF(Audit[[#This Row],[Times p Drawn - With Replacement]]&gt;0, IF(Audit[[#This Row],[Canceled Differences]]&lt;0, Audit[[#This Row],[Max Differences]]+ABS(Audit[[#This Row],[Canceled Differences]]), Audit[[#This Row],[Max Differences]]), 0)</f>
        <v>0</v>
      </c>
      <c r="AT1130" s="18">
        <f>'Sampling Data'!AB1130</f>
        <v>1.8845996796180544E-4</v>
      </c>
      <c r="AU1130" s="18">
        <f>IF(
      SUM(Audit[[#This Row],[Audit Losing Candidate]:[Audit Candidate 12]])
      &lt;&gt;0,
      (Audit[[#This Row],[Winning Candidate]]-Audit[[#This Row],[Losing Candidate]]-(Audit[[#This Row],[Audit Winning Candidate]]-Audit[[#This Row],[Audit Losing Candidate]]))/(Audit[[#Totals],[Winning Candidate]]-Audit[[#Totals],[Losing Candidate]]),
      0
)</f>
        <v>0</v>
      </c>
      <c r="AV113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0" s="18">
        <f>IF(Audit[[#This Row],[Max Relative Error (ep)]] = 0, 0, Audit[[#This Row],[Max Relative Error (ep)]]/Audit[[#This Row],[Error Bound (up) - Max. possible relative overstatement]])</f>
        <v>0</v>
      </c>
      <c r="BH113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0.57146126097022543</v>
      </c>
      <c r="BI1130" s="18">
        <f t="shared" si="18"/>
        <v>1</v>
      </c>
      <c r="BJ1130" s="18">
        <f>PRODUCT($BI$5:BI1130)</f>
        <v>6.0944423859500517E-2</v>
      </c>
      <c r="BK1130" s="22">
        <f>1 - Audit[[#This Row],[K-M P Value]]</f>
        <v>0.9390555761404995</v>
      </c>
      <c r="BL1130" s="18" t="str">
        <f>IF(Audit[[#This Row],[K-M P Value]]&gt;1-'General Info'!$B$12,"Continue", "Stop")</f>
        <v>Stop</v>
      </c>
      <c r="BM1130" s="21" t="b">
        <f>IF(Audit[[#This Row],[Status - Continue or stop audit]] = "Continue", TRUE, IF(BL1129 = "Continue", TRUE, FALSE))</f>
        <v>0</v>
      </c>
      <c r="BN1130" s="21"/>
    </row>
    <row r="1131" spans="1:66" ht="15" customHeight="1" thickTop="1" x14ac:dyDescent="0.35">
      <c r="A1131" s="107" t="s">
        <v>0</v>
      </c>
      <c r="B1131" s="108">
        <f>SUBTOTAL(103,Audit[Precinct (p) - Batched by Type])</f>
        <v>5</v>
      </c>
      <c r="C1131" s="109">
        <f>SUM(Audit[Winning Candidate])</f>
        <v>36628</v>
      </c>
      <c r="D1131" s="109">
        <f>SUM(Audit[Losing Candidate])</f>
        <v>4791</v>
      </c>
      <c r="E1131" s="109">
        <f>SUM(Audit[Candidate 3])</f>
        <v>0</v>
      </c>
      <c r="F1131" s="109">
        <f>SUM(Audit[Candidate 4])</f>
        <v>0</v>
      </c>
      <c r="G1131" s="109">
        <f>SUM(Audit[Candidate 5])</f>
        <v>0</v>
      </c>
      <c r="H1131" s="109">
        <f>SUM(Audit[Candidate 6])</f>
        <v>0</v>
      </c>
      <c r="I1131" s="109">
        <f>SUM(Audit[Candidate 7])</f>
        <v>0</v>
      </c>
      <c r="J1131" s="109">
        <f>SUM(Audit[Candidate 8])</f>
        <v>0</v>
      </c>
      <c r="K1131" s="109">
        <f>SUM(Audit[Candidate 9])</f>
        <v>0</v>
      </c>
      <c r="L1131" s="109">
        <f>SUM(Audit[Candidate 10])</f>
        <v>0</v>
      </c>
      <c r="M1131" s="109">
        <f>SUM(Audit[Candidate 11])</f>
        <v>0</v>
      </c>
      <c r="N1131" s="109">
        <f>SUM(Audit[Candidate 12])</f>
        <v>0</v>
      </c>
      <c r="O1131" s="109">
        <f>SUM(Audit[Over Votes])</f>
        <v>29</v>
      </c>
      <c r="P1131" s="109">
        <f>SUM(Audit[Under Votes])</f>
        <v>1007</v>
      </c>
      <c r="Q1131" s="109">
        <f>SUM(Audit[Total])</f>
        <v>42455</v>
      </c>
      <c r="R1131" s="109">
        <f>SUM(Audit[Times p Drawn - With Replacement])</f>
        <v>5</v>
      </c>
      <c r="S1131" s="109">
        <f>SUM(Audit[Audit Winning Candidate])</f>
        <v>574</v>
      </c>
      <c r="T1131" s="109">
        <f>SUM(Audit[Audit Losing Candidate])</f>
        <v>61</v>
      </c>
      <c r="U1131" s="109">
        <f>SUM(Audit[Audit Candidate 3])</f>
        <v>0</v>
      </c>
      <c r="V1131" s="109">
        <f>SUM(Audit[Audit Candidate 4])</f>
        <v>0</v>
      </c>
      <c r="W1131" s="109">
        <f>SUM(Audit[Audit Candidate 5])</f>
        <v>0</v>
      </c>
      <c r="X1131" s="109">
        <f>SUM(Audit[Audit Candidate 6])</f>
        <v>0</v>
      </c>
      <c r="Y1131" s="109">
        <f>SUM(Audit[Audit Candidate 7])</f>
        <v>0</v>
      </c>
      <c r="Z1131" s="109">
        <f>SUM(Audit[Audit Candidate 8])</f>
        <v>0</v>
      </c>
      <c r="AA1131" s="109">
        <f>SUM(Audit[Audit Candidate 9])</f>
        <v>0</v>
      </c>
      <c r="AB1131" s="109">
        <f>SUM(Audit[Audit Candidate 10])</f>
        <v>0</v>
      </c>
      <c r="AC1131" s="109">
        <f>SUM(Audit[Audit Candidate 11])</f>
        <v>0</v>
      </c>
      <c r="AD1131" s="109">
        <f>SUM(Audit[Audit Candidate 12])</f>
        <v>0</v>
      </c>
      <c r="AE1131" s="109">
        <f>SUM(Audit[Difference Winner])</f>
        <v>0</v>
      </c>
      <c r="AF1131" s="109">
        <f>SUM(Audit[Difference Loser])</f>
        <v>0</v>
      </c>
      <c r="AG1131" s="109">
        <f>SUM(Audit[Difference Candidate 3])</f>
        <v>0</v>
      </c>
      <c r="AH1131" s="109">
        <f>SUM(Audit[Difference Candidate 4])</f>
        <v>0</v>
      </c>
      <c r="AI1131" s="109">
        <f>SUM(Audit[Difference Candidate 5])</f>
        <v>0</v>
      </c>
      <c r="AJ1131" s="109">
        <f>SUM(Audit[Difference Candidate 6])</f>
        <v>0</v>
      </c>
      <c r="AK1131" s="109">
        <f>SUM(Audit[Difference Candidate 7])</f>
        <v>0</v>
      </c>
      <c r="AL1131" s="109">
        <f>SUM(Audit[Difference Candidate 8])</f>
        <v>0</v>
      </c>
      <c r="AM1131" s="109">
        <f>SUM(Audit[Difference Candidate 9])</f>
        <v>0</v>
      </c>
      <c r="AN1131" s="109">
        <f>SUM(Audit[Difference Candidate 10])</f>
        <v>0</v>
      </c>
      <c r="AO1131" s="109">
        <f>SUM(Audit[Difference Candidate 11])</f>
        <v>0</v>
      </c>
      <c r="AP1131" s="109">
        <f>SUM(Audit[Difference Candidate 12])</f>
        <v>0</v>
      </c>
      <c r="AQ1131" s="109">
        <f>SUM(Audit[Max Differences])</f>
        <v>0</v>
      </c>
      <c r="AR1131" s="109">
        <f>SUM(Audit[Canceled Differences])</f>
        <v>0</v>
      </c>
      <c r="AS1131" s="109">
        <f>SUM(Audit[Total Differences])</f>
        <v>0</v>
      </c>
      <c r="AT1131" s="109">
        <f>SUM(Audit[Error Bound (up) - Max. possible relative overstatement])</f>
        <v>2.3335113233030742</v>
      </c>
      <c r="AU1131" s="109">
        <f>SUM(Audit[Relative Error (ep) - Error Rate as a proportion of the margin of victory for Winning Candidate])</f>
        <v>0</v>
      </c>
      <c r="AV1131" s="109">
        <f>SUM(Audit[Relative Error (ep) - Error Rate as a proportion of the margin of victory for  Candidate 3])</f>
        <v>0</v>
      </c>
      <c r="AW1131" s="109">
        <f>SUM(Audit[Relative Error (ep) - Error Rate as a proportion of the margin of victory for  Candidate 4])</f>
        <v>0</v>
      </c>
      <c r="AX1131" s="109">
        <f>SUM(Audit[Relative Error (ep) - Error Rate as a proportion of the margin of victory for  Candidate 5])</f>
        <v>0</v>
      </c>
      <c r="AY1131" s="109">
        <f>SUM(Audit[Relative Error (ep) - Error Rate as a proportion of the margin of victory for  Candidate 6])</f>
        <v>0</v>
      </c>
      <c r="AZ1131" s="109">
        <f>SUM(Audit[Relative Error (ep) - Error Rate as a proportion of the margin of victory for  Candidate 7])</f>
        <v>0</v>
      </c>
      <c r="BA1131" s="109">
        <f>SUM(Audit[Relative Error (ep) - Error Rate as a proportion of the margin of victory for  Candidate 8])</f>
        <v>0</v>
      </c>
      <c r="BB1131" s="109">
        <f>SUM(Audit[Relative Error (ep) - Error Rate as a proportion of the margin of victory for  Candidate 9])</f>
        <v>0</v>
      </c>
      <c r="BC1131" s="109">
        <f>SUM(Audit[Relative Error (ep) - Error Rate as a proportion of the margin of victory for  Candidate 10])</f>
        <v>0</v>
      </c>
      <c r="BD1131" s="109">
        <f>SUM(Audit[Relative Error (ep) - Error Rate as a proportion of the margin of victory for  Candidate 11])</f>
        <v>0</v>
      </c>
      <c r="BE1131" s="109">
        <f>SUM(Audit[Relative Error (ep) - Error Rate as a proportion of the margin of victory for  Candidate 12])</f>
        <v>0</v>
      </c>
      <c r="BF1131" s="109">
        <f>SUM(Audit[Max Relative Error (ep)])</f>
        <v>0</v>
      </c>
      <c r="BG1131" s="109">
        <f>SUM(Audit[Taint (t) - Error rate as a proportion of the max possible relative overstatement])</f>
        <v>0</v>
      </c>
      <c r="BH1131" s="109">
        <f>SUM(Audit[KM Factor])</f>
        <v>643.46537985247232</v>
      </c>
      <c r="BI1131" s="109">
        <f>SUM(Audit[Net KM Factor - KM Factor taking into account pcts audited multiple times])</f>
        <v>1123.8573063048509</v>
      </c>
      <c r="BJ1131" s="109">
        <f>SUM(Audit[K-M P Value])</f>
        <v>485.08756557199655</v>
      </c>
      <c r="BK1131" s="110">
        <f>SUBTOTAL(104,Audit[Confidence Level])</f>
        <v>0.9390555761404995</v>
      </c>
      <c r="BL1131" s="111"/>
      <c r="BM1131" s="108">
        <f>SUBTOTAL(103,Audit[Process Batch])</f>
        <v>5</v>
      </c>
      <c r="BN1131" s="108"/>
    </row>
  </sheetData>
  <mergeCells count="4">
    <mergeCell ref="A2:R2"/>
    <mergeCell ref="AE2:BM2"/>
    <mergeCell ref="A1:BN1"/>
    <mergeCell ref="S2:Z2"/>
  </mergeCells>
  <conditionalFormatting sqref="BL5:BL1130">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31"/>
  <sheetViews>
    <sheetView zoomScale="80" zoomScaleNormal="80" workbookViewId="0">
      <pane ySplit="4" topLeftCell="A5" activePane="bottomLeft" state="frozen"/>
      <selection pane="bottomLeft" activeCell="A3" sqref="A3"/>
    </sheetView>
  </sheetViews>
  <sheetFormatPr defaultRowHeight="15" customHeight="1" x14ac:dyDescent="0.35"/>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18" t="str">
        <f ca="1">MID(CELL("filename",$A$4), FIND("]", CELL("filename",$A$4)) + 1, 255)</f>
        <v>Sampling Data</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30"/>
    </row>
    <row r="2" spans="1:36" s="1" customFormat="1" ht="15" customHeight="1" x14ac:dyDescent="0.35">
      <c r="A2" s="120" t="s">
        <v>99</v>
      </c>
      <c r="B2" s="121"/>
      <c r="C2" s="121"/>
      <c r="D2" s="121"/>
      <c r="E2" s="121"/>
      <c r="F2" s="121"/>
      <c r="G2" s="121"/>
      <c r="H2" s="121"/>
      <c r="I2" s="121"/>
      <c r="J2" s="121"/>
      <c r="K2" s="121"/>
      <c r="L2" s="121"/>
      <c r="M2" s="121"/>
      <c r="N2" s="121"/>
      <c r="O2" s="122"/>
      <c r="P2" s="115" t="s">
        <v>100</v>
      </c>
      <c r="Q2" s="116"/>
      <c r="R2" s="116"/>
      <c r="S2" s="116"/>
      <c r="T2" s="116"/>
      <c r="U2" s="116"/>
      <c r="V2" s="116"/>
      <c r="W2" s="116"/>
      <c r="X2" s="116"/>
      <c r="Y2" s="116"/>
      <c r="Z2" s="116"/>
      <c r="AA2" s="116"/>
      <c r="AB2" s="116"/>
      <c r="AC2" s="116"/>
      <c r="AD2" s="116"/>
      <c r="AE2" s="116"/>
      <c r="AF2" s="116"/>
      <c r="AG2" s="116"/>
      <c r="AH2" s="116"/>
      <c r="AI2" s="116"/>
      <c r="AJ2" s="117"/>
    </row>
    <row r="3" spans="1:36" ht="84.75" customHeight="1" x14ac:dyDescent="0.35">
      <c r="A3" s="29" t="s">
        <v>95</v>
      </c>
      <c r="B3" s="29" t="str">
        <f>IF(ISBLANK('General Info'!$B$27), "UNDEFINED", 'General Info'!$B$27 &amp; "
(Declared Winner)")</f>
        <v>Vivek Ramaswamy
(Declared Winner)</v>
      </c>
      <c r="C3" s="29" t="str">
        <f>IF(ISBLANK('General Info'!$B$28),"UNDEFINED",'General Info'!$B$28&amp;"
(Declared Loser)")</f>
        <v>Casey Putsch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Casey Putsch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91</v>
      </c>
      <c r="AC3" s="34" t="s">
        <v>60</v>
      </c>
      <c r="AD3" s="34" t="s">
        <v>5</v>
      </c>
      <c r="AE3" s="34" t="s">
        <v>55</v>
      </c>
      <c r="AF3" s="34" t="s">
        <v>31</v>
      </c>
      <c r="AG3" s="34" t="s">
        <v>32</v>
      </c>
      <c r="AH3" s="34" t="s">
        <v>30</v>
      </c>
      <c r="AI3" s="34" t="s">
        <v>94</v>
      </c>
      <c r="AJ3" s="34" t="s">
        <v>61</v>
      </c>
    </row>
    <row r="4" spans="1:36" s="1" customFormat="1" ht="18" customHeight="1" x14ac:dyDescent="0.35">
      <c r="A4" s="30" t="s">
        <v>96</v>
      </c>
      <c r="B4" s="30" t="s">
        <v>48</v>
      </c>
      <c r="C4" s="30" t="s">
        <v>62</v>
      </c>
      <c r="D4" s="30" t="s">
        <v>63</v>
      </c>
      <c r="E4" s="30" t="s">
        <v>64</v>
      </c>
      <c r="F4" s="30" t="s">
        <v>53</v>
      </c>
      <c r="G4" s="30" t="s">
        <v>54</v>
      </c>
      <c r="H4" s="30" t="s">
        <v>168</v>
      </c>
      <c r="I4" s="30" t="s">
        <v>167</v>
      </c>
      <c r="J4" s="30" t="s">
        <v>189</v>
      </c>
      <c r="K4" s="30" t="s">
        <v>190</v>
      </c>
      <c r="L4" s="30" t="s">
        <v>191</v>
      </c>
      <c r="M4" s="30" t="s">
        <v>192</v>
      </c>
      <c r="N4" s="30" t="s">
        <v>6</v>
      </c>
      <c r="O4" s="32" t="s">
        <v>7</v>
      </c>
      <c r="P4" s="35" t="s">
        <v>0</v>
      </c>
      <c r="Q4" s="35" t="s">
        <v>86</v>
      </c>
      <c r="R4" s="35" t="s">
        <v>87</v>
      </c>
      <c r="S4" s="35" t="s">
        <v>88</v>
      </c>
      <c r="T4" s="35" t="s">
        <v>89</v>
      </c>
      <c r="U4" s="35" t="s">
        <v>90</v>
      </c>
      <c r="V4" s="35" t="s">
        <v>174</v>
      </c>
      <c r="W4" s="35" t="s">
        <v>173</v>
      </c>
      <c r="X4" s="35" t="s">
        <v>193</v>
      </c>
      <c r="Y4" s="35" t="s">
        <v>194</v>
      </c>
      <c r="Z4" s="35" t="s">
        <v>195</v>
      </c>
      <c r="AA4" s="35" t="s">
        <v>196</v>
      </c>
      <c r="AB4" s="35" t="s">
        <v>92</v>
      </c>
      <c r="AC4" s="35" t="s">
        <v>58</v>
      </c>
      <c r="AD4" s="35" t="s">
        <v>5</v>
      </c>
      <c r="AE4" s="35" t="s">
        <v>55</v>
      </c>
      <c r="AF4" s="35" t="s">
        <v>31</v>
      </c>
      <c r="AG4" s="35" t="s">
        <v>32</v>
      </c>
      <c r="AH4" s="35" t="s">
        <v>30</v>
      </c>
      <c r="AI4" s="35" t="s">
        <v>97</v>
      </c>
      <c r="AJ4" s="35" t="s">
        <v>59</v>
      </c>
    </row>
    <row r="5" spans="1:36" ht="14.5" x14ac:dyDescent="0.35">
      <c r="A5" t="s">
        <v>217</v>
      </c>
      <c r="B5">
        <v>2</v>
      </c>
      <c r="C5">
        <v>0</v>
      </c>
      <c r="N5">
        <v>0</v>
      </c>
      <c r="O5">
        <v>0</v>
      </c>
      <c r="P5" s="17">
        <f>SUM(SamplingData[[#This Row],[Winning Candidate]:[Under Votes]])</f>
        <v>2</v>
      </c>
      <c r="Q5" s="18">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1.2563997864120362E-4</v>
      </c>
      <c r="AC5" s="18">
        <f>IF(SamplingData[[#This Row],[Max Error Bound (up)]] = 0,0,SamplingData[[#This Row],[Max Error Bound (up)]]/SamplingData[[#Totals],[Max Error Bound (up)]])</f>
        <v>5.3841598018629206E-5</v>
      </c>
      <c r="AD5" s="18">
        <f>SUM($AC$5:AC5)</f>
        <v>5.3841598018629206E-5</v>
      </c>
      <c r="AE5" s="18" t="str">
        <f t="array" ref="AE5">IF(SamplingData[[#This Row],[up/U Selection Probability]] = 0, "Zero", TEXT(SamplingData[[#This Row],[Lower Range]], REPT("0",LEN('General Info'!$B$42))) &amp; " - " &amp; TEXT(SamplingData[[#This Row],[Upper Range]], REPT("0",LEN('General Info'!$B$42))))</f>
        <v>00000 - 00004</v>
      </c>
      <c r="AF5" s="18">
        <f>SamplingData[[#This Row],[Upper Range]]-SamplingData[[#This Row],[Span]]</f>
        <v>0</v>
      </c>
      <c r="AG5" s="18">
        <f>IF(ISNUMBER('General Info'!$B$42), ((SamplingData[[#This Row],[up/U Selection Probability]]) * 'General Info'!$B$44) - 1, 0)</f>
        <v>4.3841598018629204</v>
      </c>
      <c r="AH5" s="18">
        <f>IF(ISNUMBER('General Info'!$B$42), (SamplingData[[#This Row],[Running (cumulative) sum]] * ('General Info'!$B$42 -'General Info'!$B$43 + 1)) + 'General Info'!$B$43 - 1, 0)</f>
        <v>4.3841598018629204</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x14ac:dyDescent="0.35">
      <c r="A6" t="s">
        <v>218</v>
      </c>
      <c r="B6">
        <v>16</v>
      </c>
      <c r="C6">
        <v>2</v>
      </c>
      <c r="N6">
        <v>0</v>
      </c>
      <c r="O6">
        <v>1</v>
      </c>
      <c r="P6" s="17">
        <f>SUM(SamplingData[[#This Row],[Winning Candidate]:[Under Votes]])</f>
        <v>19</v>
      </c>
      <c r="Q6" s="18">
        <f>IF(AND(SamplingData[[#This Row],[Total]]&lt;&gt; 0, NOT(ISBLANK(SamplingData[[#This Row],[Losing Candidate]]))),(SamplingData[[#This Row],[Total]]+SamplingData[[#This Row],[Winning Candidate]]-SamplingData[[#This Row],[Losing Candidate]])/(SamplingData[[#Totals],[Winning Candidate]]-SamplingData[[#Totals],[Losing Candidate]]), 0)</f>
        <v>1.0365298237899299E-3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1.0365298237899299E-3</v>
      </c>
      <c r="AC6" s="18">
        <f>IF(SamplingData[[#This Row],[Max Error Bound (up)]] = 0,0,SamplingData[[#This Row],[Max Error Bound (up)]]/SamplingData[[#Totals],[Max Error Bound (up)]])</f>
        <v>4.44193183653691E-4</v>
      </c>
      <c r="AD6" s="18">
        <f>SUM($AC$5:AC6)</f>
        <v>4.9803478167232025E-4</v>
      </c>
      <c r="AE6" s="18" t="str">
        <f t="array" ref="AE6">IF(SamplingData[[#This Row],[up/U Selection Probability]] = 0, "Zero", TEXT(SamplingData[[#This Row],[Lower Range]], REPT("0",LEN('General Info'!$B$42))) &amp; " - " &amp; TEXT(SamplingData[[#This Row],[Upper Range]], REPT("0",LEN('General Info'!$B$42))))</f>
        <v>00005 - 00049</v>
      </c>
      <c r="AF6" s="18">
        <f>SamplingData[[#This Row],[Upper Range]]-SamplingData[[#This Row],[Span]]</f>
        <v>5.3841598018629213</v>
      </c>
      <c r="AG6" s="18">
        <f>IF(ISNUMBER('General Info'!$B$42), ((SamplingData[[#This Row],[up/U Selection Probability]]) * 'General Info'!$B$44) - 1, 0)</f>
        <v>43.419318365369101</v>
      </c>
      <c r="AH6" s="18">
        <f>IF(ISNUMBER('General Info'!$B$42), (SamplingData[[#This Row],[Running (cumulative) sum]] * ('General Info'!$B$42 -'General Info'!$B$43 + 1)) + 'General Info'!$B$43 - 1, 0)</f>
        <v>48.803478167232022</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x14ac:dyDescent="0.35">
      <c r="A7" t="s">
        <v>219</v>
      </c>
      <c r="B7">
        <v>8</v>
      </c>
      <c r="C7">
        <v>0</v>
      </c>
      <c r="N7">
        <v>0</v>
      </c>
      <c r="O7">
        <v>0</v>
      </c>
      <c r="P7" s="17">
        <f>SUM(SamplingData[[#This Row],[Winning Candidate]:[Under Votes]])</f>
        <v>8</v>
      </c>
      <c r="Q7" s="18">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5.0255991456481448E-4</v>
      </c>
      <c r="AC7" s="18">
        <f>IF(SamplingData[[#This Row],[Max Error Bound (up)]] = 0,0,SamplingData[[#This Row],[Max Error Bound (up)]]/SamplingData[[#Totals],[Max Error Bound (up)]])</f>
        <v>2.1536639207451683E-4</v>
      </c>
      <c r="AD7" s="18">
        <f>SUM($AC$5:AC7)</f>
        <v>7.1340117374683702E-4</v>
      </c>
      <c r="AE7" s="18" t="str">
        <f t="array" ref="AE7">IF(SamplingData[[#This Row],[up/U Selection Probability]] = 0, "Zero", TEXT(SamplingData[[#This Row],[Lower Range]], REPT("0",LEN('General Info'!$B$42))) &amp; " - " &amp; TEXT(SamplingData[[#This Row],[Upper Range]], REPT("0",LEN('General Info'!$B$42))))</f>
        <v>00050 - 00070</v>
      </c>
      <c r="AF7" s="18">
        <f>SamplingData[[#This Row],[Upper Range]]-SamplingData[[#This Row],[Span]]</f>
        <v>49.803478167232015</v>
      </c>
      <c r="AG7" s="18">
        <f>IF(ISNUMBER('General Info'!$B$42), ((SamplingData[[#This Row],[up/U Selection Probability]]) * 'General Info'!$B$44) - 1, 0)</f>
        <v>20.536639207451682</v>
      </c>
      <c r="AH7" s="18">
        <f>IF(ISNUMBER('General Info'!$B$42), (SamplingData[[#This Row],[Running (cumulative) sum]] * ('General Info'!$B$42 -'General Info'!$B$43 + 1)) + 'General Info'!$B$43 - 1, 0)</f>
        <v>70.3401173746837</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x14ac:dyDescent="0.35">
      <c r="A8" t="s">
        <v>220</v>
      </c>
      <c r="B8">
        <v>7</v>
      </c>
      <c r="C8">
        <v>1</v>
      </c>
      <c r="N8">
        <v>0</v>
      </c>
      <c r="O8">
        <v>0</v>
      </c>
      <c r="P8" s="17">
        <f>SUM(SamplingData[[#This Row],[Winning Candidate]:[Under Votes]])</f>
        <v>8</v>
      </c>
      <c r="Q8" s="18">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4.3973992524421271E-4</v>
      </c>
      <c r="AC8" s="18">
        <f>IF(SamplingData[[#This Row],[Max Error Bound (up)]] = 0,0,SamplingData[[#This Row],[Max Error Bound (up)]]/SamplingData[[#Totals],[Max Error Bound (up)]])</f>
        <v>1.8844559306520223E-4</v>
      </c>
      <c r="AD8" s="18">
        <f>SUM($AC$5:AC8)</f>
        <v>9.018467668120392E-4</v>
      </c>
      <c r="AE8" s="18" t="str">
        <f t="array" ref="AE8">IF(SamplingData[[#This Row],[up/U Selection Probability]] = 0, "Zero", TEXT(SamplingData[[#This Row],[Lower Range]], REPT("0",LEN('General Info'!$B$42))) &amp; " - " &amp; TEXT(SamplingData[[#This Row],[Upper Range]], REPT("0",LEN('General Info'!$B$42))))</f>
        <v>00071 - 00089</v>
      </c>
      <c r="AF8" s="18">
        <f>SamplingData[[#This Row],[Upper Range]]-SamplingData[[#This Row],[Span]]</f>
        <v>71.3401173746837</v>
      </c>
      <c r="AG8" s="18">
        <f>IF(ISNUMBER('General Info'!$B$42), ((SamplingData[[#This Row],[up/U Selection Probability]]) * 'General Info'!$B$44) - 1, 0)</f>
        <v>17.844559306520225</v>
      </c>
      <c r="AH8" s="18">
        <f>IF(ISNUMBER('General Info'!$B$42), (SamplingData[[#This Row],[Running (cumulative) sum]] * ('General Info'!$B$42 -'General Info'!$B$43 + 1)) + 'General Info'!$B$43 - 1, 0)</f>
        <v>89.184676681203925</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x14ac:dyDescent="0.35">
      <c r="A9" t="s">
        <v>221</v>
      </c>
      <c r="B9">
        <v>7</v>
      </c>
      <c r="C9">
        <v>1</v>
      </c>
      <c r="N9">
        <v>0</v>
      </c>
      <c r="O9">
        <v>0</v>
      </c>
      <c r="P9" s="17">
        <f>SUM(SamplingData[[#This Row],[Winning Candidate]:[Under Votes]])</f>
        <v>8</v>
      </c>
      <c r="Q9" s="18">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4.3973992524421271E-4</v>
      </c>
      <c r="AC9" s="18">
        <f>IF(SamplingData[[#This Row],[Max Error Bound (up)]] = 0,0,SamplingData[[#This Row],[Max Error Bound (up)]]/SamplingData[[#Totals],[Max Error Bound (up)]])</f>
        <v>1.8844559306520223E-4</v>
      </c>
      <c r="AD9" s="18">
        <f>SUM($AC$5:AC9)</f>
        <v>1.0902923598772414E-3</v>
      </c>
      <c r="AE9" s="18" t="str">
        <f t="array" ref="AE9">IF(SamplingData[[#This Row],[up/U Selection Probability]] = 0, "Zero", TEXT(SamplingData[[#This Row],[Lower Range]], REPT("0",LEN('General Info'!$B$42))) &amp; " - " &amp; TEXT(SamplingData[[#This Row],[Upper Range]], REPT("0",LEN('General Info'!$B$42))))</f>
        <v>00090 - 00108</v>
      </c>
      <c r="AF9" s="18">
        <f>SamplingData[[#This Row],[Upper Range]]-SamplingData[[#This Row],[Span]]</f>
        <v>90.184676681203911</v>
      </c>
      <c r="AG9" s="18">
        <f>IF(ISNUMBER('General Info'!$B$42), ((SamplingData[[#This Row],[up/U Selection Probability]]) * 'General Info'!$B$44) - 1, 0)</f>
        <v>17.844559306520225</v>
      </c>
      <c r="AH9" s="18">
        <f>IF(ISNUMBER('General Info'!$B$42), (SamplingData[[#This Row],[Running (cumulative) sum]] * ('General Info'!$B$42 -'General Info'!$B$43 + 1)) + 'General Info'!$B$43 - 1, 0)</f>
        <v>108.02923598772414</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x14ac:dyDescent="0.35">
      <c r="A10" t="s">
        <v>222</v>
      </c>
      <c r="B10">
        <v>14</v>
      </c>
      <c r="C10">
        <v>2</v>
      </c>
      <c r="N10">
        <v>0</v>
      </c>
      <c r="O10">
        <v>0</v>
      </c>
      <c r="P10" s="17">
        <f>SUM(SamplingData[[#This Row],[Winning Candidate]:[Under Votes]])</f>
        <v>16</v>
      </c>
      <c r="Q10" s="18">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8.7947985048842541E-4</v>
      </c>
      <c r="AC10" s="18">
        <f>IF(SamplingData[[#This Row],[Max Error Bound (up)]] = 0,0,SamplingData[[#This Row],[Max Error Bound (up)]]/SamplingData[[#Totals],[Max Error Bound (up)]])</f>
        <v>3.7689118613040446E-4</v>
      </c>
      <c r="AD10" s="18">
        <f>SUM($AC$5:AC10)</f>
        <v>1.4671835460076457E-3</v>
      </c>
      <c r="AE10" s="18" t="str">
        <f t="array" ref="AE10">IF(SamplingData[[#This Row],[up/U Selection Probability]] = 0, "Zero", TEXT(SamplingData[[#This Row],[Lower Range]], REPT("0",LEN('General Info'!$B$42))) &amp; " - " &amp; TEXT(SamplingData[[#This Row],[Upper Range]], REPT("0",LEN('General Info'!$B$42))))</f>
        <v>00109 - 00146</v>
      </c>
      <c r="AF10" s="18">
        <f>SamplingData[[#This Row],[Upper Range]]-SamplingData[[#This Row],[Span]]</f>
        <v>109.02923598772412</v>
      </c>
      <c r="AG10" s="18">
        <f>IF(ISNUMBER('General Info'!$B$42), ((SamplingData[[#This Row],[up/U Selection Probability]]) * 'General Info'!$B$44) - 1, 0)</f>
        <v>36.689118613040449</v>
      </c>
      <c r="AH10" s="18">
        <f>IF(ISNUMBER('General Info'!$B$42), (SamplingData[[#This Row],[Running (cumulative) sum]] * ('General Info'!$B$42 -'General Info'!$B$43 + 1)) + 'General Info'!$B$43 - 1, 0)</f>
        <v>145.71835460076457</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x14ac:dyDescent="0.35">
      <c r="A11" t="s">
        <v>223</v>
      </c>
      <c r="B11">
        <v>6</v>
      </c>
      <c r="C11">
        <v>1</v>
      </c>
      <c r="N11">
        <v>0</v>
      </c>
      <c r="O11">
        <v>0</v>
      </c>
      <c r="P11" s="17">
        <f>SUM(SamplingData[[#This Row],[Winning Candidate]:[Under Votes]])</f>
        <v>7</v>
      </c>
      <c r="Q11" s="18">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3.7691993592361088E-4</v>
      </c>
      <c r="AC11" s="18">
        <f>IF(SamplingData[[#This Row],[Max Error Bound (up)]] = 0,0,SamplingData[[#This Row],[Max Error Bound (up)]]/SamplingData[[#Totals],[Max Error Bound (up)]])</f>
        <v>1.6152479405588763E-4</v>
      </c>
      <c r="AD11" s="18">
        <f>SUM($AC$5:AC11)</f>
        <v>1.6287083400635333E-3</v>
      </c>
      <c r="AE11" s="18" t="str">
        <f t="array" ref="AE11">IF(SamplingData[[#This Row],[up/U Selection Probability]] = 0, "Zero", TEXT(SamplingData[[#This Row],[Lower Range]], REPT("0",LEN('General Info'!$B$42))) &amp; " - " &amp; TEXT(SamplingData[[#This Row],[Upper Range]], REPT("0",LEN('General Info'!$B$42))))</f>
        <v>00147 - 00162</v>
      </c>
      <c r="AF11" s="18">
        <f>SamplingData[[#This Row],[Upper Range]]-SamplingData[[#This Row],[Span]]</f>
        <v>146.71835460076457</v>
      </c>
      <c r="AG11" s="18">
        <f>IF(ISNUMBER('General Info'!$B$42), ((SamplingData[[#This Row],[up/U Selection Probability]]) * 'General Info'!$B$44) - 1, 0)</f>
        <v>15.152479405588764</v>
      </c>
      <c r="AH11" s="18">
        <f>IF(ISNUMBER('General Info'!$B$42), (SamplingData[[#This Row],[Running (cumulative) sum]] * ('General Info'!$B$42 -'General Info'!$B$43 + 1)) + 'General Info'!$B$43 - 1, 0)</f>
        <v>161.87083400635333</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x14ac:dyDescent="0.35">
      <c r="A12" t="s">
        <v>224</v>
      </c>
      <c r="B12">
        <v>4</v>
      </c>
      <c r="C12">
        <v>0</v>
      </c>
      <c r="N12">
        <v>0</v>
      </c>
      <c r="O12">
        <v>0</v>
      </c>
      <c r="P12" s="17">
        <f>SUM(SamplingData[[#This Row],[Winning Candidate]:[Under Votes]])</f>
        <v>4</v>
      </c>
      <c r="Q12" s="18">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2.5127995728240724E-4</v>
      </c>
      <c r="AC12" s="18">
        <f>IF(SamplingData[[#This Row],[Max Error Bound (up)]] = 0,0,SamplingData[[#This Row],[Max Error Bound (up)]]/SamplingData[[#Totals],[Max Error Bound (up)]])</f>
        <v>1.0768319603725841E-4</v>
      </c>
      <c r="AD12" s="18">
        <f>SUM($AC$5:AC12)</f>
        <v>1.7363915361007917E-3</v>
      </c>
      <c r="AE12" s="18" t="str">
        <f t="array" ref="AE12">IF(SamplingData[[#This Row],[up/U Selection Probability]] = 0, "Zero", TEXT(SamplingData[[#This Row],[Lower Range]], REPT("0",LEN('General Info'!$B$42))) &amp; " - " &amp; TEXT(SamplingData[[#This Row],[Upper Range]], REPT("0",LEN('General Info'!$B$42))))</f>
        <v>00163 - 00173</v>
      </c>
      <c r="AF12" s="18">
        <f>SamplingData[[#This Row],[Upper Range]]-SamplingData[[#This Row],[Span]]</f>
        <v>162.87083400635333</v>
      </c>
      <c r="AG12" s="18">
        <f>IF(ISNUMBER('General Info'!$B$42), ((SamplingData[[#This Row],[up/U Selection Probability]]) * 'General Info'!$B$44) - 1, 0)</f>
        <v>9.7683196037258408</v>
      </c>
      <c r="AH12" s="18">
        <f>IF(ISNUMBER('General Info'!$B$42), (SamplingData[[#This Row],[Running (cumulative) sum]] * ('General Info'!$B$42 -'General Info'!$B$43 + 1)) + 'General Info'!$B$43 - 1, 0)</f>
        <v>172.63915361007918</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x14ac:dyDescent="0.35">
      <c r="A13" t="s">
        <v>225</v>
      </c>
      <c r="B13">
        <v>7</v>
      </c>
      <c r="C13">
        <v>0</v>
      </c>
      <c r="N13">
        <v>0</v>
      </c>
      <c r="O13">
        <v>0</v>
      </c>
      <c r="P13" s="17">
        <f>SUM(SamplingData[[#This Row],[Winning Candidate]:[Under Votes]])</f>
        <v>7</v>
      </c>
      <c r="Q13" s="18">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4.3973992524421271E-4</v>
      </c>
      <c r="AC13" s="18">
        <f>IF(SamplingData[[#This Row],[Max Error Bound (up)]] = 0,0,SamplingData[[#This Row],[Max Error Bound (up)]]/SamplingData[[#Totals],[Max Error Bound (up)]])</f>
        <v>1.8844559306520223E-4</v>
      </c>
      <c r="AD13" s="18">
        <f>SUM($AC$5:AC13)</f>
        <v>1.9248371291659939E-3</v>
      </c>
      <c r="AE13" s="18" t="str">
        <f t="array" ref="AE13">IF(SamplingData[[#This Row],[up/U Selection Probability]] = 0, "Zero", TEXT(SamplingData[[#This Row],[Lower Range]], REPT("0",LEN('General Info'!$B$42))) &amp; " - " &amp; TEXT(SamplingData[[#This Row],[Upper Range]], REPT("0",LEN('General Info'!$B$42))))</f>
        <v>00174 - 00191</v>
      </c>
      <c r="AF13" s="18">
        <f>SamplingData[[#This Row],[Upper Range]]-SamplingData[[#This Row],[Span]]</f>
        <v>173.63915361007918</v>
      </c>
      <c r="AG13" s="18">
        <f>IF(ISNUMBER('General Info'!$B$42), ((SamplingData[[#This Row],[up/U Selection Probability]]) * 'General Info'!$B$44) - 1, 0)</f>
        <v>17.844559306520225</v>
      </c>
      <c r="AH13" s="18">
        <f>IF(ISNUMBER('General Info'!$B$42), (SamplingData[[#This Row],[Running (cumulative) sum]] * ('General Info'!$B$42 -'General Info'!$B$43 + 1)) + 'General Info'!$B$43 - 1, 0)</f>
        <v>191.48371291659939</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x14ac:dyDescent="0.35">
      <c r="A14" t="s">
        <v>226</v>
      </c>
      <c r="B14">
        <v>6</v>
      </c>
      <c r="C14">
        <v>0</v>
      </c>
      <c r="N14">
        <v>0</v>
      </c>
      <c r="O14">
        <v>1</v>
      </c>
      <c r="P14" s="17">
        <f>SUM(SamplingData[[#This Row],[Winning Candidate]:[Under Votes]])</f>
        <v>7</v>
      </c>
      <c r="Q14" s="18">
        <f>IF(AND(SamplingData[[#This Row],[Total]]&lt;&gt; 0, NOT(ISBLANK(SamplingData[[#This Row],[Losing Candidate]]))),(SamplingData[[#This Row],[Total]]+SamplingData[[#This Row],[Winning Candidate]]-SamplingData[[#This Row],[Losing Candidate]])/(SamplingData[[#Totals],[Winning Candidate]]-SamplingData[[#Totals],[Losing Candidate]]), 0)</f>
        <v>4.0832993058391182E-4</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4.0832993058391182E-4</v>
      </c>
      <c r="AC14" s="18">
        <f>IF(SamplingData[[#This Row],[Max Error Bound (up)]] = 0,0,SamplingData[[#This Row],[Max Error Bound (up)]]/SamplingData[[#Totals],[Max Error Bound (up)]])</f>
        <v>1.7498519356054496E-4</v>
      </c>
      <c r="AD14" s="18">
        <f>SUM($AC$5:AC14)</f>
        <v>2.099822322726539E-3</v>
      </c>
      <c r="AE14" s="18" t="str">
        <f t="array" ref="AE14">IF(SamplingData[[#This Row],[up/U Selection Probability]] = 0, "Zero", TEXT(SamplingData[[#This Row],[Lower Range]], REPT("0",LEN('General Info'!$B$42))) &amp; " - " &amp; TEXT(SamplingData[[#This Row],[Upper Range]], REPT("0",LEN('General Info'!$B$42))))</f>
        <v>00192 - 00209</v>
      </c>
      <c r="AF14" s="18">
        <f>SamplingData[[#This Row],[Upper Range]]-SamplingData[[#This Row],[Span]]</f>
        <v>192.48371291659942</v>
      </c>
      <c r="AG14" s="18">
        <f>IF(ISNUMBER('General Info'!$B$42), ((SamplingData[[#This Row],[up/U Selection Probability]]) * 'General Info'!$B$44) - 1, 0)</f>
        <v>16.498519356054494</v>
      </c>
      <c r="AH14" s="18">
        <f>IF(ISNUMBER('General Info'!$B$42), (SamplingData[[#This Row],[Running (cumulative) sum]] * ('General Info'!$B$42 -'General Info'!$B$43 + 1)) + 'General Info'!$B$43 - 1, 0)</f>
        <v>208.9822322726539</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x14ac:dyDescent="0.35">
      <c r="A15" s="98" t="s">
        <v>227</v>
      </c>
      <c r="B15" s="98">
        <v>7</v>
      </c>
      <c r="C15" s="98">
        <v>0</v>
      </c>
      <c r="D15" s="93"/>
      <c r="E15" s="93"/>
      <c r="F15" s="93"/>
      <c r="G15" s="97"/>
      <c r="H15" s="97"/>
      <c r="I15" s="93"/>
      <c r="J15" s="93"/>
      <c r="K15" s="93"/>
      <c r="L15" s="93"/>
      <c r="M15" s="93"/>
      <c r="N15" s="98">
        <v>0</v>
      </c>
      <c r="O15" s="98">
        <v>0</v>
      </c>
      <c r="P15" s="94">
        <f>SUM(SamplingData[[#This Row],[Winning Candidate]:[Under Votes]])</f>
        <v>7</v>
      </c>
      <c r="Q15" s="95">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4.3973992524421271E-4</v>
      </c>
      <c r="AC15" s="95">
        <f>IF(SamplingData[[#This Row],[Max Error Bound (up)]] = 0,0,SamplingData[[#This Row],[Max Error Bound (up)]]/SamplingData[[#Totals],[Max Error Bound (up)]])</f>
        <v>1.8844559306520223E-4</v>
      </c>
      <c r="AD15" s="18">
        <f>SUM($AC$5:AC15)</f>
        <v>2.2882679157917411E-3</v>
      </c>
      <c r="AE15" s="95" t="str">
        <f t="array" ref="AE15">IF(SamplingData[[#This Row],[up/U Selection Probability]] = 0, "Zero", TEXT(SamplingData[[#This Row],[Lower Range]], REPT("0",LEN('General Info'!$B$42))) &amp; " - " &amp; TEXT(SamplingData[[#This Row],[Upper Range]], REPT("0",LEN('General Info'!$B$42))))</f>
        <v>00210 - 00228</v>
      </c>
      <c r="AF15" s="95">
        <f>SamplingData[[#This Row],[Upper Range]]-SamplingData[[#This Row],[Span]]</f>
        <v>209.9822322726539</v>
      </c>
      <c r="AG15" s="95">
        <f>IF(ISNUMBER('General Info'!$B$42), ((SamplingData[[#This Row],[up/U Selection Probability]]) * 'General Info'!$B$44) - 1, 0)</f>
        <v>17.844559306520225</v>
      </c>
      <c r="AH15" s="95">
        <f>IF(ISNUMBER('General Info'!$B$42), (SamplingData[[#This Row],[Running (cumulative) sum]] * ('General Info'!$B$42 -'General Info'!$B$43 + 1)) + 'General Info'!$B$43 - 1, 0)</f>
        <v>227.82679157917411</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x14ac:dyDescent="0.35">
      <c r="A16" s="98" t="s">
        <v>228</v>
      </c>
      <c r="B16" s="98">
        <v>5</v>
      </c>
      <c r="C16" s="98">
        <v>1</v>
      </c>
      <c r="D16" s="93"/>
      <c r="E16" s="93"/>
      <c r="F16" s="93"/>
      <c r="G16" s="97"/>
      <c r="H16" s="97"/>
      <c r="I16" s="93"/>
      <c r="J16" s="93"/>
      <c r="K16" s="93"/>
      <c r="L16" s="93"/>
      <c r="M16" s="93"/>
      <c r="N16" s="98">
        <v>0</v>
      </c>
      <c r="O16" s="98">
        <v>0</v>
      </c>
      <c r="P16" s="94">
        <f>SUM(SamplingData[[#This Row],[Winning Candidate]:[Under Votes]])</f>
        <v>6</v>
      </c>
      <c r="Q16" s="95">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3.1409994660300906E-4</v>
      </c>
      <c r="AC16" s="95">
        <f>IF(SamplingData[[#This Row],[Max Error Bound (up)]] = 0,0,SamplingData[[#This Row],[Max Error Bound (up)]]/SamplingData[[#Totals],[Max Error Bound (up)]])</f>
        <v>1.3460399504657304E-4</v>
      </c>
      <c r="AD16" s="18">
        <f>SUM($AC$5:AC16)</f>
        <v>2.4228719108383141E-3</v>
      </c>
      <c r="AE16" s="95" t="str">
        <f t="array" ref="AE16">IF(SamplingData[[#This Row],[up/U Selection Probability]] = 0, "Zero", TEXT(SamplingData[[#This Row],[Lower Range]], REPT("0",LEN('General Info'!$B$42))) &amp; " - " &amp; TEXT(SamplingData[[#This Row],[Upper Range]], REPT("0",LEN('General Info'!$B$42))))</f>
        <v>00229 - 00241</v>
      </c>
      <c r="AF16" s="95">
        <f>SamplingData[[#This Row],[Upper Range]]-SamplingData[[#This Row],[Span]]</f>
        <v>228.82679157917408</v>
      </c>
      <c r="AG16" s="95">
        <f>IF(ISNUMBER('General Info'!$B$42), ((SamplingData[[#This Row],[up/U Selection Probability]]) * 'General Info'!$B$44) - 1, 0)</f>
        <v>12.460399504657303</v>
      </c>
      <c r="AH16" s="95">
        <f>IF(ISNUMBER('General Info'!$B$42), (SamplingData[[#This Row],[Running (cumulative) sum]] * ('General Info'!$B$42 -'General Info'!$B$43 + 1)) + 'General Info'!$B$43 - 1, 0)</f>
        <v>241.2871910838314</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x14ac:dyDescent="0.35">
      <c r="A17" s="98" t="s">
        <v>229</v>
      </c>
      <c r="B17" s="98">
        <v>12</v>
      </c>
      <c r="C17" s="98">
        <v>2</v>
      </c>
      <c r="D17" s="93"/>
      <c r="E17" s="93"/>
      <c r="F17" s="93"/>
      <c r="G17" s="97"/>
      <c r="H17" s="97"/>
      <c r="I17" s="93"/>
      <c r="J17" s="93"/>
      <c r="K17" s="93"/>
      <c r="L17" s="93"/>
      <c r="M17" s="93"/>
      <c r="N17" s="98">
        <v>0</v>
      </c>
      <c r="O17" s="98">
        <v>0</v>
      </c>
      <c r="P17" s="94">
        <f>SUM(SamplingData[[#This Row],[Winning Candidate]:[Under Votes]])</f>
        <v>14</v>
      </c>
      <c r="Q17" s="95">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7.5383987184722177E-4</v>
      </c>
      <c r="AC17" s="95">
        <f>IF(SamplingData[[#This Row],[Max Error Bound (up)]] = 0,0,SamplingData[[#This Row],[Max Error Bound (up)]]/SamplingData[[#Totals],[Max Error Bound (up)]])</f>
        <v>3.2304958811177527E-4</v>
      </c>
      <c r="AD17" s="18">
        <f>SUM($AC$5:AC17)</f>
        <v>2.7459214989500893E-3</v>
      </c>
      <c r="AE17" s="95" t="str">
        <f t="array" ref="AE17">IF(SamplingData[[#This Row],[up/U Selection Probability]] = 0, "Zero", TEXT(SamplingData[[#This Row],[Lower Range]], REPT("0",LEN('General Info'!$B$42))) &amp; " - " &amp; TEXT(SamplingData[[#This Row],[Upper Range]], REPT("0",LEN('General Info'!$B$42))))</f>
        <v>00242 - 00274</v>
      </c>
      <c r="AF17" s="95">
        <f>SamplingData[[#This Row],[Upper Range]]-SamplingData[[#This Row],[Span]]</f>
        <v>242.28719108383137</v>
      </c>
      <c r="AG17" s="95">
        <f>IF(ISNUMBER('General Info'!$B$42), ((SamplingData[[#This Row],[up/U Selection Probability]]) * 'General Info'!$B$44) - 1, 0)</f>
        <v>31.304958811177528</v>
      </c>
      <c r="AH17" s="95">
        <f>IF(ISNUMBER('General Info'!$B$42), (SamplingData[[#This Row],[Running (cumulative) sum]] * ('General Info'!$B$42 -'General Info'!$B$43 + 1)) + 'General Info'!$B$43 - 1, 0)</f>
        <v>273.5921498950089</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x14ac:dyDescent="0.35">
      <c r="A18" s="98" t="s">
        <v>230</v>
      </c>
      <c r="B18" s="98">
        <v>12</v>
      </c>
      <c r="C18" s="98">
        <v>1</v>
      </c>
      <c r="D18" s="93"/>
      <c r="E18" s="93"/>
      <c r="F18" s="93"/>
      <c r="G18" s="97"/>
      <c r="H18" s="97"/>
      <c r="I18" s="93"/>
      <c r="J18" s="93"/>
      <c r="K18" s="93"/>
      <c r="L18" s="93"/>
      <c r="M18" s="93"/>
      <c r="N18" s="98">
        <v>0</v>
      </c>
      <c r="O18" s="98">
        <v>0</v>
      </c>
      <c r="P18" s="94">
        <f>SUM(SamplingData[[#This Row],[Winning Candidate]:[Under Votes]])</f>
        <v>13</v>
      </c>
      <c r="Q18" s="95">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7.5383987184722177E-4</v>
      </c>
      <c r="AC18" s="95">
        <f>IF(SamplingData[[#This Row],[Max Error Bound (up)]] = 0,0,SamplingData[[#This Row],[Max Error Bound (up)]]/SamplingData[[#Totals],[Max Error Bound (up)]])</f>
        <v>3.2304958811177527E-4</v>
      </c>
      <c r="AD18" s="18">
        <f>SUM($AC$5:AC18)</f>
        <v>3.0689710870618644E-3</v>
      </c>
      <c r="AE18" s="95" t="str">
        <f t="array" ref="AE18">IF(SamplingData[[#This Row],[up/U Selection Probability]] = 0, "Zero", TEXT(SamplingData[[#This Row],[Lower Range]], REPT("0",LEN('General Info'!$B$42))) &amp; " - " &amp; TEXT(SamplingData[[#This Row],[Upper Range]], REPT("0",LEN('General Info'!$B$42))))</f>
        <v>00275 - 00306</v>
      </c>
      <c r="AF18" s="95">
        <f>SamplingData[[#This Row],[Upper Range]]-SamplingData[[#This Row],[Span]]</f>
        <v>274.5921498950089</v>
      </c>
      <c r="AG18" s="95">
        <f>IF(ISNUMBER('General Info'!$B$42), ((SamplingData[[#This Row],[up/U Selection Probability]]) * 'General Info'!$B$44) - 1, 0)</f>
        <v>31.304958811177528</v>
      </c>
      <c r="AH18" s="95">
        <f>IF(ISNUMBER('General Info'!$B$42), (SamplingData[[#This Row],[Running (cumulative) sum]] * ('General Info'!$B$42 -'General Info'!$B$43 + 1)) + 'General Info'!$B$43 - 1, 0)</f>
        <v>305.89710870618643</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x14ac:dyDescent="0.35">
      <c r="A19" s="98" t="s">
        <v>231</v>
      </c>
      <c r="B19" s="98">
        <v>26</v>
      </c>
      <c r="C19" s="98">
        <v>2</v>
      </c>
      <c r="D19" s="93"/>
      <c r="E19" s="93"/>
      <c r="F19" s="93"/>
      <c r="G19" s="97"/>
      <c r="H19" s="97"/>
      <c r="I19" s="93"/>
      <c r="J19" s="93"/>
      <c r="K19" s="93"/>
      <c r="L19" s="93"/>
      <c r="M19" s="93"/>
      <c r="N19" s="98">
        <v>0</v>
      </c>
      <c r="O19" s="98">
        <v>1</v>
      </c>
      <c r="P19" s="94">
        <f>SUM(SamplingData[[#This Row],[Winning Candidate]:[Under Votes]])</f>
        <v>29</v>
      </c>
      <c r="Q19" s="95">
        <f>IF(AND(SamplingData[[#This Row],[Total]]&lt;&gt; 0, NOT(ISBLANK(SamplingData[[#This Row],[Losing Candidate]]))),(SamplingData[[#This Row],[Total]]+SamplingData[[#This Row],[Winning Candidate]]-SamplingData[[#This Row],[Losing Candidate]])/(SamplingData[[#Totals],[Winning Candidate]]-SamplingData[[#Totals],[Losing Candidate]]), 0)</f>
        <v>1.6647297169959481E-3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1.6647297169959481E-3</v>
      </c>
      <c r="AC19" s="95">
        <f>IF(SamplingData[[#This Row],[Max Error Bound (up)]] = 0,0,SamplingData[[#This Row],[Max Error Bound (up)]]/SamplingData[[#Totals],[Max Error Bound (up)]])</f>
        <v>7.1340117374683702E-4</v>
      </c>
      <c r="AD19" s="18">
        <f>SUM($AC$5:AC19)</f>
        <v>3.7823722608087014E-3</v>
      </c>
      <c r="AE19" s="95" t="str">
        <f t="array" ref="AE19">IF(SamplingData[[#This Row],[up/U Selection Probability]] = 0, "Zero", TEXT(SamplingData[[#This Row],[Lower Range]], REPT("0",LEN('General Info'!$B$42))) &amp; " - " &amp; TEXT(SamplingData[[#This Row],[Upper Range]], REPT("0",LEN('General Info'!$B$42))))</f>
        <v>00307 - 00377</v>
      </c>
      <c r="AF19" s="95">
        <f>SamplingData[[#This Row],[Upper Range]]-SamplingData[[#This Row],[Span]]</f>
        <v>306.89710870618643</v>
      </c>
      <c r="AG19" s="95">
        <f>IF(ISNUMBER('General Info'!$B$42), ((SamplingData[[#This Row],[up/U Selection Probability]]) * 'General Info'!$B$44) - 1, 0)</f>
        <v>70.3401173746837</v>
      </c>
      <c r="AH19" s="95">
        <f>IF(ISNUMBER('General Info'!$B$42), (SamplingData[[#This Row],[Running (cumulative) sum]] * ('General Info'!$B$42 -'General Info'!$B$43 + 1)) + 'General Info'!$B$43 - 1, 0)</f>
        <v>377.23722608087013</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x14ac:dyDescent="0.35">
      <c r="A20" s="98" t="s">
        <v>232</v>
      </c>
      <c r="B20" s="98">
        <v>3</v>
      </c>
      <c r="C20" s="98">
        <v>0</v>
      </c>
      <c r="D20" s="93"/>
      <c r="E20" s="93"/>
      <c r="F20" s="93"/>
      <c r="G20" s="97"/>
      <c r="H20" s="97"/>
      <c r="I20" s="93"/>
      <c r="J20" s="93"/>
      <c r="K20" s="93"/>
      <c r="L20" s="93"/>
      <c r="M20" s="93"/>
      <c r="N20" s="98">
        <v>0</v>
      </c>
      <c r="O20" s="98">
        <v>0</v>
      </c>
      <c r="P20" s="94">
        <f>SUM(SamplingData[[#This Row],[Winning Candidate]:[Under Votes]])</f>
        <v>3</v>
      </c>
      <c r="Q20" s="95">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1.8845996796180544E-4</v>
      </c>
      <c r="AC20" s="95">
        <f>IF(SamplingData[[#This Row],[Max Error Bound (up)]] = 0,0,SamplingData[[#This Row],[Max Error Bound (up)]]/SamplingData[[#Totals],[Max Error Bound (up)]])</f>
        <v>8.0762397027943816E-5</v>
      </c>
      <c r="AD20" s="18">
        <f>SUM($AC$5:AC20)</f>
        <v>3.8631346578366452E-3</v>
      </c>
      <c r="AE20" s="95" t="str">
        <f t="array" ref="AE20">IF(SamplingData[[#This Row],[up/U Selection Probability]] = 0, "Zero", TEXT(SamplingData[[#This Row],[Lower Range]], REPT("0",LEN('General Info'!$B$42))) &amp; " - " &amp; TEXT(SamplingData[[#This Row],[Upper Range]], REPT("0",LEN('General Info'!$B$42))))</f>
        <v>00378 - 00385</v>
      </c>
      <c r="AF20" s="95">
        <f>SamplingData[[#This Row],[Upper Range]]-SamplingData[[#This Row],[Span]]</f>
        <v>378.23722608087013</v>
      </c>
      <c r="AG20" s="95">
        <f>IF(ISNUMBER('General Info'!$B$42), ((SamplingData[[#This Row],[up/U Selection Probability]]) * 'General Info'!$B$44) - 1, 0)</f>
        <v>7.076239702794382</v>
      </c>
      <c r="AH20" s="95">
        <f>IF(ISNUMBER('General Info'!$B$42), (SamplingData[[#This Row],[Running (cumulative) sum]] * ('General Info'!$B$42 -'General Info'!$B$43 + 1)) + 'General Info'!$B$43 - 1, 0)</f>
        <v>385.31346578366453</v>
      </c>
      <c r="AI20" s="95" t="str">
        <f>IF(ISERROR(MATCH(SamplingData[[#This Row],[Batch by Type (p)]],SelectedPrecincts[Batch Name], 0)), "", INDEX(SelectedPrecincts[Draw], MATCH(SamplingData[[#This Row],[Batch by Type (p)]],SelectedPrecincts[Batch Name], 0)))</f>
        <v/>
      </c>
      <c r="AJ20" s="96">
        <f>IF(COUNTIF(SelectedPrecincts[Batch Name],SamplingData[[#This Row],[Batch by Type (p)]]) &lt;&gt; 0, COUNTIF(SelectedPrecincts[Batch Name],SamplingData[[#This Row],[Batch by Type (p)]]), 0)</f>
        <v>0</v>
      </c>
    </row>
    <row r="21" spans="1:36" ht="15" customHeight="1" x14ac:dyDescent="0.35">
      <c r="A21" s="98" t="s">
        <v>233</v>
      </c>
      <c r="B21" s="98">
        <v>6</v>
      </c>
      <c r="C21" s="98">
        <v>1</v>
      </c>
      <c r="D21" s="93"/>
      <c r="E21" s="93"/>
      <c r="F21" s="93"/>
      <c r="G21" s="97"/>
      <c r="H21" s="97"/>
      <c r="I21" s="93"/>
      <c r="J21" s="93"/>
      <c r="K21" s="93"/>
      <c r="L21" s="93"/>
      <c r="M21" s="93"/>
      <c r="N21" s="98">
        <v>0</v>
      </c>
      <c r="O21" s="98">
        <v>0</v>
      </c>
      <c r="P21" s="94">
        <f>SUM(SamplingData[[#This Row],[Winning Candidate]:[Under Votes]])</f>
        <v>7</v>
      </c>
      <c r="Q21" s="95">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3.7691993592361088E-4</v>
      </c>
      <c r="AC21" s="95">
        <f>IF(SamplingData[[#This Row],[Max Error Bound (up)]] = 0,0,SamplingData[[#This Row],[Max Error Bound (up)]]/SamplingData[[#Totals],[Max Error Bound (up)]])</f>
        <v>1.6152479405588763E-4</v>
      </c>
      <c r="AD21" s="18">
        <f>SUM($AC$5:AC21)</f>
        <v>4.0246594518925328E-3</v>
      </c>
      <c r="AE21" s="95" t="str">
        <f t="array" ref="AE21">IF(SamplingData[[#This Row],[up/U Selection Probability]] = 0, "Zero", TEXT(SamplingData[[#This Row],[Lower Range]], REPT("0",LEN('General Info'!$B$42))) &amp; " - " &amp; TEXT(SamplingData[[#This Row],[Upper Range]], REPT("0",LEN('General Info'!$B$42))))</f>
        <v>00386 - 00401</v>
      </c>
      <c r="AF21" s="95">
        <f>SamplingData[[#This Row],[Upper Range]]-SamplingData[[#This Row],[Span]]</f>
        <v>386.31346578366447</v>
      </c>
      <c r="AG21" s="95">
        <f>IF(ISNUMBER('General Info'!$B$42), ((SamplingData[[#This Row],[up/U Selection Probability]]) * 'General Info'!$B$44) - 1, 0)</f>
        <v>15.152479405588764</v>
      </c>
      <c r="AH21" s="95">
        <f>IF(ISNUMBER('General Info'!$B$42), (SamplingData[[#This Row],[Running (cumulative) sum]] * ('General Info'!$B$42 -'General Info'!$B$43 + 1)) + 'General Info'!$B$43 - 1, 0)</f>
        <v>401.46594518925326</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x14ac:dyDescent="0.35">
      <c r="A22" s="98" t="s">
        <v>234</v>
      </c>
      <c r="B22" s="98">
        <v>31</v>
      </c>
      <c r="C22" s="98">
        <v>3</v>
      </c>
      <c r="D22" s="93"/>
      <c r="E22" s="93"/>
      <c r="F22" s="93"/>
      <c r="G22" s="97"/>
      <c r="H22" s="97"/>
      <c r="I22" s="93"/>
      <c r="J22" s="93"/>
      <c r="K22" s="93"/>
      <c r="L22" s="93"/>
      <c r="M22" s="93"/>
      <c r="N22" s="98">
        <v>0</v>
      </c>
      <c r="O22" s="98">
        <v>3</v>
      </c>
      <c r="P22" s="94">
        <f>SUM(SamplingData[[#This Row],[Winning Candidate]:[Under Votes]])</f>
        <v>37</v>
      </c>
      <c r="Q22" s="95">
        <f>IF(AND(SamplingData[[#This Row],[Total]]&lt;&gt; 0, NOT(ISBLANK(SamplingData[[#This Row],[Losing Candidate]]))),(SamplingData[[#This Row],[Total]]+SamplingData[[#This Row],[Winning Candidate]]-SamplingData[[#This Row],[Losing Candidate]])/(SamplingData[[#Totals],[Winning Candidate]]-SamplingData[[#Totals],[Losing Candidate]]), 0)</f>
        <v>2.0416496529195591E-3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2.0416496529195591E-3</v>
      </c>
      <c r="AC22" s="95">
        <f>IF(SamplingData[[#This Row],[Max Error Bound (up)]] = 0,0,SamplingData[[#This Row],[Max Error Bound (up)]]/SamplingData[[#Totals],[Max Error Bound (up)]])</f>
        <v>8.7492596780272471E-4</v>
      </c>
      <c r="AD22" s="18">
        <f>SUM($AC$5:AC22)</f>
        <v>4.8995854196952574E-3</v>
      </c>
      <c r="AE22" s="95" t="str">
        <f t="array" ref="AE22">IF(SamplingData[[#This Row],[up/U Selection Probability]] = 0, "Zero", TEXT(SamplingData[[#This Row],[Lower Range]], REPT("0",LEN('General Info'!$B$42))) &amp; " - " &amp; TEXT(SamplingData[[#This Row],[Upper Range]], REPT("0",LEN('General Info'!$B$42))))</f>
        <v>00402 - 00489</v>
      </c>
      <c r="AF22" s="95">
        <f>SamplingData[[#This Row],[Upper Range]]-SamplingData[[#This Row],[Span]]</f>
        <v>402.46594518925326</v>
      </c>
      <c r="AG22" s="95">
        <f>IF(ISNUMBER('General Info'!$B$42), ((SamplingData[[#This Row],[up/U Selection Probability]]) * 'General Info'!$B$44) - 1, 0)</f>
        <v>86.492596780272464</v>
      </c>
      <c r="AH22" s="95">
        <f>IF(ISNUMBER('General Info'!$B$42), (SamplingData[[#This Row],[Running (cumulative) sum]] * ('General Info'!$B$42 -'General Info'!$B$43 + 1)) + 'General Info'!$B$43 - 1, 0)</f>
        <v>488.95854196952575</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x14ac:dyDescent="0.35">
      <c r="A23" s="98" t="s">
        <v>235</v>
      </c>
      <c r="B23" s="98">
        <v>6</v>
      </c>
      <c r="C23" s="98">
        <v>0</v>
      </c>
      <c r="D23" s="93"/>
      <c r="E23" s="93"/>
      <c r="F23" s="93"/>
      <c r="G23" s="97"/>
      <c r="H23" s="97"/>
      <c r="I23" s="93"/>
      <c r="J23" s="93"/>
      <c r="K23" s="93"/>
      <c r="L23" s="93"/>
      <c r="M23" s="93"/>
      <c r="N23" s="98">
        <v>0</v>
      </c>
      <c r="O23" s="98">
        <v>1</v>
      </c>
      <c r="P23" s="94">
        <f>SUM(SamplingData[[#This Row],[Winning Candidate]:[Under Votes]])</f>
        <v>7</v>
      </c>
      <c r="Q23" s="95">
        <f>IF(AND(SamplingData[[#This Row],[Total]]&lt;&gt; 0, NOT(ISBLANK(SamplingData[[#This Row],[Losing Candidate]]))),(SamplingData[[#This Row],[Total]]+SamplingData[[#This Row],[Winning Candidate]]-SamplingData[[#This Row],[Losing Candidate]])/(SamplingData[[#Totals],[Winning Candidate]]-SamplingData[[#Totals],[Losing Candidate]]), 0)</f>
        <v>4.0832993058391182E-4</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4.0832993058391182E-4</v>
      </c>
      <c r="AC23" s="95">
        <f>IF(SamplingData[[#This Row],[Max Error Bound (up)]] = 0,0,SamplingData[[#This Row],[Max Error Bound (up)]]/SamplingData[[#Totals],[Max Error Bound (up)]])</f>
        <v>1.7498519356054496E-4</v>
      </c>
      <c r="AD23" s="18">
        <f>SUM($AC$5:AC23)</f>
        <v>5.0745706132558025E-3</v>
      </c>
      <c r="AE23" s="95" t="str">
        <f t="array" ref="AE23">IF(SamplingData[[#This Row],[up/U Selection Probability]] = 0, "Zero", TEXT(SamplingData[[#This Row],[Lower Range]], REPT("0",LEN('General Info'!$B$42))) &amp; " - " &amp; TEXT(SamplingData[[#This Row],[Upper Range]], REPT("0",LEN('General Info'!$B$42))))</f>
        <v>00490 - 00506</v>
      </c>
      <c r="AF23" s="95">
        <f>SamplingData[[#This Row],[Upper Range]]-SamplingData[[#This Row],[Span]]</f>
        <v>489.95854196952575</v>
      </c>
      <c r="AG23" s="95">
        <f>IF(ISNUMBER('General Info'!$B$42), ((SamplingData[[#This Row],[up/U Selection Probability]]) * 'General Info'!$B$44) - 1, 0)</f>
        <v>16.498519356054494</v>
      </c>
      <c r="AH23" s="95">
        <f>IF(ISNUMBER('General Info'!$B$42), (SamplingData[[#This Row],[Running (cumulative) sum]] * ('General Info'!$B$42 -'General Info'!$B$43 + 1)) + 'General Info'!$B$43 - 1, 0)</f>
        <v>506.45706132558024</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x14ac:dyDescent="0.35">
      <c r="A24" s="98" t="s">
        <v>236</v>
      </c>
      <c r="B24" s="98">
        <v>40</v>
      </c>
      <c r="C24" s="98">
        <v>5</v>
      </c>
      <c r="D24" s="93"/>
      <c r="E24" s="93"/>
      <c r="F24" s="93"/>
      <c r="G24" s="97"/>
      <c r="H24" s="97"/>
      <c r="I24" s="93"/>
      <c r="J24" s="93"/>
      <c r="K24" s="93"/>
      <c r="L24" s="93"/>
      <c r="M24" s="93"/>
      <c r="N24" s="98">
        <v>0</v>
      </c>
      <c r="O24" s="98">
        <v>1</v>
      </c>
      <c r="P24" s="94">
        <f>SUM(SamplingData[[#This Row],[Winning Candidate]:[Under Votes]])</f>
        <v>46</v>
      </c>
      <c r="Q24" s="95">
        <f>IF(AND(SamplingData[[#This Row],[Total]]&lt;&gt; 0, NOT(ISBLANK(SamplingData[[#This Row],[Losing Candidate]]))),(SamplingData[[#This Row],[Total]]+SamplingData[[#This Row],[Winning Candidate]]-SamplingData[[#This Row],[Losing Candidate]])/(SamplingData[[#Totals],[Winning Candidate]]-SamplingData[[#Totals],[Losing Candidate]]), 0)</f>
        <v>2.5442095674843737E-3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2.5442095674843737E-3</v>
      </c>
      <c r="AC24" s="95">
        <f>IF(SamplingData[[#This Row],[Max Error Bound (up)]] = 0,0,SamplingData[[#This Row],[Max Error Bound (up)]]/SamplingData[[#Totals],[Max Error Bound (up)]])</f>
        <v>1.0902923598772416E-3</v>
      </c>
      <c r="AD24" s="18">
        <f>SUM($AC$5:AC24)</f>
        <v>6.1648629731330439E-3</v>
      </c>
      <c r="AE24" s="95" t="str">
        <f t="array" ref="AE24">IF(SamplingData[[#This Row],[up/U Selection Probability]] = 0, "Zero", TEXT(SamplingData[[#This Row],[Lower Range]], REPT("0",LEN('General Info'!$B$42))) &amp; " - " &amp; TEXT(SamplingData[[#This Row],[Upper Range]], REPT("0",LEN('General Info'!$B$42))))</f>
        <v>00507 - 00615</v>
      </c>
      <c r="AF24" s="95">
        <f>SamplingData[[#This Row],[Upper Range]]-SamplingData[[#This Row],[Span]]</f>
        <v>507.45706132558018</v>
      </c>
      <c r="AG24" s="95">
        <f>IF(ISNUMBER('General Info'!$B$42), ((SamplingData[[#This Row],[up/U Selection Probability]]) * 'General Info'!$B$44) - 1, 0)</f>
        <v>108.02923598772416</v>
      </c>
      <c r="AH24" s="95">
        <f>IF(ISNUMBER('General Info'!$B$42), (SamplingData[[#This Row],[Running (cumulative) sum]] * ('General Info'!$B$42 -'General Info'!$B$43 + 1)) + 'General Info'!$B$43 - 1, 0)</f>
        <v>615.48629731330436</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x14ac:dyDescent="0.35">
      <c r="A25" s="98" t="s">
        <v>237</v>
      </c>
      <c r="B25" s="98">
        <v>4</v>
      </c>
      <c r="C25" s="98">
        <v>3</v>
      </c>
      <c r="D25" s="93"/>
      <c r="E25" s="93"/>
      <c r="F25" s="93"/>
      <c r="G25" s="97"/>
      <c r="H25" s="97"/>
      <c r="I25" s="93"/>
      <c r="J25" s="93"/>
      <c r="K25" s="93"/>
      <c r="L25" s="93"/>
      <c r="M25" s="93"/>
      <c r="N25" s="98">
        <v>0</v>
      </c>
      <c r="O25" s="98">
        <v>0</v>
      </c>
      <c r="P25" s="94">
        <f>SUM(SamplingData[[#This Row],[Winning Candidate]:[Under Votes]])</f>
        <v>7</v>
      </c>
      <c r="Q25" s="95">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2.5127995728240724E-4</v>
      </c>
      <c r="AC25" s="95">
        <f>IF(SamplingData[[#This Row],[Max Error Bound (up)]] = 0,0,SamplingData[[#This Row],[Max Error Bound (up)]]/SamplingData[[#Totals],[Max Error Bound (up)]])</f>
        <v>1.0768319603725841E-4</v>
      </c>
      <c r="AD25" s="18">
        <f>SUM($AC$5:AC25)</f>
        <v>6.2725461691703023E-3</v>
      </c>
      <c r="AE25" s="95" t="str">
        <f t="array" ref="AE25">IF(SamplingData[[#This Row],[up/U Selection Probability]] = 0, "Zero", TEXT(SamplingData[[#This Row],[Lower Range]], REPT("0",LEN('General Info'!$B$42))) &amp; " - " &amp; TEXT(SamplingData[[#This Row],[Upper Range]], REPT("0",LEN('General Info'!$B$42))))</f>
        <v>00616 - 00626</v>
      </c>
      <c r="AF25" s="95">
        <f>SamplingData[[#This Row],[Upper Range]]-SamplingData[[#This Row],[Span]]</f>
        <v>616.48629731330448</v>
      </c>
      <c r="AG25" s="95">
        <f>IF(ISNUMBER('General Info'!$B$42), ((SamplingData[[#This Row],[up/U Selection Probability]]) * 'General Info'!$B$44) - 1, 0)</f>
        <v>9.7683196037258408</v>
      </c>
      <c r="AH25" s="95">
        <f>IF(ISNUMBER('General Info'!$B$42), (SamplingData[[#This Row],[Running (cumulative) sum]] * ('General Info'!$B$42 -'General Info'!$B$43 + 1)) + 'General Info'!$B$43 - 1, 0)</f>
        <v>626.25461691703026</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x14ac:dyDescent="0.35">
      <c r="A26" s="98" t="s">
        <v>238</v>
      </c>
      <c r="B26" s="98">
        <v>5</v>
      </c>
      <c r="C26" s="98">
        <v>0</v>
      </c>
      <c r="D26" s="93"/>
      <c r="E26" s="93"/>
      <c r="F26" s="93"/>
      <c r="G26" s="97"/>
      <c r="H26" s="97"/>
      <c r="I26" s="93"/>
      <c r="J26" s="93"/>
      <c r="K26" s="93"/>
      <c r="L26" s="93"/>
      <c r="M26" s="93"/>
      <c r="N26" s="98">
        <v>0</v>
      </c>
      <c r="O26" s="98">
        <v>1</v>
      </c>
      <c r="P26" s="94">
        <f>SUM(SamplingData[[#This Row],[Winning Candidate]:[Under Votes]])</f>
        <v>6</v>
      </c>
      <c r="Q26" s="95">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3.4550994126331E-4</v>
      </c>
      <c r="AC26" s="95">
        <f>IF(SamplingData[[#This Row],[Max Error Bound (up)]] = 0,0,SamplingData[[#This Row],[Max Error Bound (up)]]/SamplingData[[#Totals],[Max Error Bound (up)]])</f>
        <v>1.4806439455123033E-4</v>
      </c>
      <c r="AD26" s="18">
        <f>SUM($AC$5:AC26)</f>
        <v>6.4206105637215323E-3</v>
      </c>
      <c r="AE26" s="95" t="str">
        <f t="array" ref="AE26">IF(SamplingData[[#This Row],[up/U Selection Probability]] = 0, "Zero", TEXT(SamplingData[[#This Row],[Lower Range]], REPT("0",LEN('General Info'!$B$42))) &amp; " - " &amp; TEXT(SamplingData[[#This Row],[Upper Range]], REPT("0",LEN('General Info'!$B$42))))</f>
        <v>00627 - 00641</v>
      </c>
      <c r="AF26" s="95">
        <f>SamplingData[[#This Row],[Upper Range]]-SamplingData[[#This Row],[Span]]</f>
        <v>627.25461691703015</v>
      </c>
      <c r="AG26" s="95">
        <f>IF(ISNUMBER('General Info'!$B$42), ((SamplingData[[#This Row],[up/U Selection Probability]]) * 'General Info'!$B$44) - 1, 0)</f>
        <v>13.806439455123034</v>
      </c>
      <c r="AH26" s="95">
        <f>IF(ISNUMBER('General Info'!$B$42), (SamplingData[[#This Row],[Running (cumulative) sum]] * ('General Info'!$B$42 -'General Info'!$B$43 + 1)) + 'General Info'!$B$43 - 1, 0)</f>
        <v>641.06105637215319</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x14ac:dyDescent="0.35">
      <c r="A27" s="98" t="s">
        <v>239</v>
      </c>
      <c r="B27" s="98">
        <v>6</v>
      </c>
      <c r="C27" s="98">
        <v>2</v>
      </c>
      <c r="D27" s="93"/>
      <c r="E27" s="93"/>
      <c r="F27" s="93"/>
      <c r="G27" s="97"/>
      <c r="H27" s="97"/>
      <c r="I27" s="93"/>
      <c r="J27" s="93"/>
      <c r="K27" s="93"/>
      <c r="L27" s="93"/>
      <c r="M27" s="93"/>
      <c r="N27" s="98">
        <v>0</v>
      </c>
      <c r="O27" s="98">
        <v>0</v>
      </c>
      <c r="P27" s="94">
        <f>SUM(SamplingData[[#This Row],[Winning Candidate]:[Under Votes]])</f>
        <v>8</v>
      </c>
      <c r="Q27" s="95">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3.7691993592361088E-4</v>
      </c>
      <c r="AC27" s="95">
        <f>IF(SamplingData[[#This Row],[Max Error Bound (up)]] = 0,0,SamplingData[[#This Row],[Max Error Bound (up)]]/SamplingData[[#Totals],[Max Error Bound (up)]])</f>
        <v>1.6152479405588763E-4</v>
      </c>
      <c r="AD27" s="18">
        <f>SUM($AC$5:AC27)</f>
        <v>6.5821353577774199E-3</v>
      </c>
      <c r="AE27" s="95" t="str">
        <f t="array" ref="AE27">IF(SamplingData[[#This Row],[up/U Selection Probability]] = 0, "Zero", TEXT(SamplingData[[#This Row],[Lower Range]], REPT("0",LEN('General Info'!$B$42))) &amp; " - " &amp; TEXT(SamplingData[[#This Row],[Upper Range]], REPT("0",LEN('General Info'!$B$42))))</f>
        <v>00642 - 00657</v>
      </c>
      <c r="AF27" s="95">
        <f>SamplingData[[#This Row],[Upper Range]]-SamplingData[[#This Row],[Span]]</f>
        <v>642.06105637215319</v>
      </c>
      <c r="AG27" s="95">
        <f>IF(ISNUMBER('General Info'!$B$42), ((SamplingData[[#This Row],[up/U Selection Probability]]) * 'General Info'!$B$44) - 1, 0)</f>
        <v>15.152479405588764</v>
      </c>
      <c r="AH27" s="95">
        <f>IF(ISNUMBER('General Info'!$B$42), (SamplingData[[#This Row],[Running (cumulative) sum]] * ('General Info'!$B$42 -'General Info'!$B$43 + 1)) + 'General Info'!$B$43 - 1, 0)</f>
        <v>657.21353577774198</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x14ac:dyDescent="0.35">
      <c r="A28" s="98" t="s">
        <v>240</v>
      </c>
      <c r="B28" s="98">
        <v>7</v>
      </c>
      <c r="C28" s="98">
        <v>1</v>
      </c>
      <c r="D28" s="93"/>
      <c r="E28" s="93"/>
      <c r="F28" s="93"/>
      <c r="G28" s="97"/>
      <c r="H28" s="97"/>
      <c r="I28" s="93"/>
      <c r="J28" s="93"/>
      <c r="K28" s="93"/>
      <c r="L28" s="93"/>
      <c r="M28" s="93"/>
      <c r="N28" s="98">
        <v>0</v>
      </c>
      <c r="O28" s="98">
        <v>0</v>
      </c>
      <c r="P28" s="94">
        <f>SUM(SamplingData[[#This Row],[Winning Candidate]:[Under Votes]])</f>
        <v>8</v>
      </c>
      <c r="Q28" s="95">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4.3973992524421271E-4</v>
      </c>
      <c r="AC28" s="95">
        <f>IF(SamplingData[[#This Row],[Max Error Bound (up)]] = 0,0,SamplingData[[#This Row],[Max Error Bound (up)]]/SamplingData[[#Totals],[Max Error Bound (up)]])</f>
        <v>1.8844559306520223E-4</v>
      </c>
      <c r="AD28" s="18">
        <f>SUM($AC$5:AC28)</f>
        <v>6.7705809508426225E-3</v>
      </c>
      <c r="AE28" s="95" t="str">
        <f t="array" ref="AE28">IF(SamplingData[[#This Row],[up/U Selection Probability]] = 0, "Zero", TEXT(SamplingData[[#This Row],[Lower Range]], REPT("0",LEN('General Info'!$B$42))) &amp; " - " &amp; TEXT(SamplingData[[#This Row],[Upper Range]], REPT("0",LEN('General Info'!$B$42))))</f>
        <v>00658 - 00676</v>
      </c>
      <c r="AF28" s="95">
        <f>SamplingData[[#This Row],[Upper Range]]-SamplingData[[#This Row],[Span]]</f>
        <v>658.21353577774209</v>
      </c>
      <c r="AG28" s="95">
        <f>IF(ISNUMBER('General Info'!$B$42), ((SamplingData[[#This Row],[up/U Selection Probability]]) * 'General Info'!$B$44) - 1, 0)</f>
        <v>17.844559306520225</v>
      </c>
      <c r="AH28" s="95">
        <f>IF(ISNUMBER('General Info'!$B$42), (SamplingData[[#This Row],[Running (cumulative) sum]] * ('General Info'!$B$42 -'General Info'!$B$43 + 1)) + 'General Info'!$B$43 - 1, 0)</f>
        <v>676.05809508426228</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x14ac:dyDescent="0.35">
      <c r="A29" s="98" t="s">
        <v>241</v>
      </c>
      <c r="B29" s="98">
        <v>0</v>
      </c>
      <c r="C29" s="98">
        <v>0</v>
      </c>
      <c r="D29" s="93"/>
      <c r="E29" s="93"/>
      <c r="F29" s="93"/>
      <c r="G29" s="97"/>
      <c r="H29" s="97"/>
      <c r="I29" s="93"/>
      <c r="J29" s="93"/>
      <c r="K29" s="93"/>
      <c r="L29" s="93"/>
      <c r="M29" s="93"/>
      <c r="N29" s="98">
        <v>0</v>
      </c>
      <c r="O29" s="98">
        <v>0</v>
      </c>
      <c r="P29" s="94">
        <f>SUM(SamplingData[[#This Row],[Winning Candidate]:[Under Votes]])</f>
        <v>0</v>
      </c>
      <c r="Q29" s="95">
        <f>IF(AND(SamplingData[[#This Row],[Total]]&lt;&gt; 0, NOT(ISBLANK(SamplingData[[#This Row],[Losing Candidate]]))),(SamplingData[[#This Row],[Total]]+SamplingData[[#This Row],[Winning Candidate]]-SamplingData[[#This Row],[Losing Candidate]])/(SamplingData[[#Totals],[Winning Candidate]]-SamplingData[[#Totals],[Losing Candidate]]), 0)</f>
        <v>0</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0</v>
      </c>
      <c r="AC29" s="95">
        <f>IF(SamplingData[[#This Row],[Max Error Bound (up)]] = 0,0,SamplingData[[#This Row],[Max Error Bound (up)]]/SamplingData[[#Totals],[Max Error Bound (up)]])</f>
        <v>0</v>
      </c>
      <c r="AD29" s="18">
        <f>SUM($AC$5:AC29)</f>
        <v>6.7705809508426225E-3</v>
      </c>
      <c r="AE29" s="95" t="str">
        <f t="array" ref="AE29">IF(SamplingData[[#This Row],[up/U Selection Probability]] = 0, "Zero", TEXT(SamplingData[[#This Row],[Lower Range]], REPT("0",LEN('General Info'!$B$42))) &amp; " - " &amp; TEXT(SamplingData[[#This Row],[Upper Range]], REPT("0",LEN('General Info'!$B$42))))</f>
        <v>Zero</v>
      </c>
      <c r="AF29" s="95">
        <f>SamplingData[[#This Row],[Upper Range]]-SamplingData[[#This Row],[Span]]</f>
        <v>677.05809508426228</v>
      </c>
      <c r="AG29" s="95">
        <f>IF(ISNUMBER('General Info'!$B$42), ((SamplingData[[#This Row],[up/U Selection Probability]]) * 'General Info'!$B$44) - 1, 0)</f>
        <v>-1</v>
      </c>
      <c r="AH29" s="95">
        <f>IF(ISNUMBER('General Info'!$B$42), (SamplingData[[#This Row],[Running (cumulative) sum]] * ('General Info'!$B$42 -'General Info'!$B$43 + 1)) + 'General Info'!$B$43 - 1, 0)</f>
        <v>676.05809508426228</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x14ac:dyDescent="0.35">
      <c r="A30" s="98" t="s">
        <v>242</v>
      </c>
      <c r="B30" s="98">
        <v>5</v>
      </c>
      <c r="C30" s="98">
        <v>1</v>
      </c>
      <c r="D30" s="93"/>
      <c r="E30" s="93"/>
      <c r="F30" s="93"/>
      <c r="G30" s="97"/>
      <c r="H30" s="97"/>
      <c r="I30" s="93"/>
      <c r="J30" s="93"/>
      <c r="K30" s="93"/>
      <c r="L30" s="93"/>
      <c r="M30" s="93"/>
      <c r="N30" s="98">
        <v>0</v>
      </c>
      <c r="O30" s="98">
        <v>0</v>
      </c>
      <c r="P30" s="94">
        <f>SUM(SamplingData[[#This Row],[Winning Candidate]:[Under Votes]])</f>
        <v>6</v>
      </c>
      <c r="Q30" s="95">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3.1409994660300906E-4</v>
      </c>
      <c r="AC30" s="95">
        <f>IF(SamplingData[[#This Row],[Max Error Bound (up)]] = 0,0,SamplingData[[#This Row],[Max Error Bound (up)]]/SamplingData[[#Totals],[Max Error Bound (up)]])</f>
        <v>1.3460399504657304E-4</v>
      </c>
      <c r="AD30" s="18">
        <f>SUM($AC$5:AC30)</f>
        <v>6.9051849458891959E-3</v>
      </c>
      <c r="AE30" s="95" t="str">
        <f t="array" ref="AE30">IF(SamplingData[[#This Row],[up/U Selection Probability]] = 0, "Zero", TEXT(SamplingData[[#This Row],[Lower Range]], REPT("0",LEN('General Info'!$B$42))) &amp; " - " &amp; TEXT(SamplingData[[#This Row],[Upper Range]], REPT("0",LEN('General Info'!$B$42))))</f>
        <v>00677 - 00690</v>
      </c>
      <c r="AF30" s="95">
        <f>SamplingData[[#This Row],[Upper Range]]-SamplingData[[#This Row],[Span]]</f>
        <v>677.05809508426228</v>
      </c>
      <c r="AG30" s="95">
        <f>IF(ISNUMBER('General Info'!$B$42), ((SamplingData[[#This Row],[up/U Selection Probability]]) * 'General Info'!$B$44) - 1, 0)</f>
        <v>12.460399504657303</v>
      </c>
      <c r="AH30" s="95">
        <f>IF(ISNUMBER('General Info'!$B$42), (SamplingData[[#This Row],[Running (cumulative) sum]] * ('General Info'!$B$42 -'General Info'!$B$43 + 1)) + 'General Info'!$B$43 - 1, 0)</f>
        <v>689.51849458891957</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x14ac:dyDescent="0.35">
      <c r="A31" s="98" t="s">
        <v>243</v>
      </c>
      <c r="B31" s="98">
        <v>22</v>
      </c>
      <c r="C31" s="98">
        <v>1</v>
      </c>
      <c r="D31" s="93"/>
      <c r="E31" s="93"/>
      <c r="F31" s="93"/>
      <c r="G31" s="97"/>
      <c r="H31" s="97"/>
      <c r="I31" s="93"/>
      <c r="J31" s="93"/>
      <c r="K31" s="93"/>
      <c r="L31" s="93"/>
      <c r="M31" s="93"/>
      <c r="N31" s="98">
        <v>0</v>
      </c>
      <c r="O31" s="98">
        <v>0</v>
      </c>
      <c r="P31" s="94">
        <f>SUM(SamplingData[[#This Row],[Winning Candidate]:[Under Votes]])</f>
        <v>23</v>
      </c>
      <c r="Q31" s="95">
        <f>IF(AND(SamplingData[[#This Row],[Total]]&lt;&gt; 0, NOT(ISBLANK(SamplingData[[#This Row],[Losing Candidate]]))),(SamplingData[[#This Row],[Total]]+SamplingData[[#This Row],[Winning Candidate]]-SamplingData[[#This Row],[Losing Candidate]])/(SamplingData[[#Totals],[Winning Candidate]]-SamplingData[[#Totals],[Losing Candidate]]), 0)</f>
        <v>1.38203976505324E-3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1.38203976505324E-3</v>
      </c>
      <c r="AC31" s="95">
        <f>IF(SamplingData[[#This Row],[Max Error Bound (up)]] = 0,0,SamplingData[[#This Row],[Max Error Bound (up)]]/SamplingData[[#Totals],[Max Error Bound (up)]])</f>
        <v>5.9225757820492134E-4</v>
      </c>
      <c r="AD31" s="18">
        <f>SUM($AC$5:AC31)</f>
        <v>7.4974425240941171E-3</v>
      </c>
      <c r="AE31" s="95" t="str">
        <f t="array" ref="AE31">IF(SamplingData[[#This Row],[up/U Selection Probability]] = 0, "Zero", TEXT(SamplingData[[#This Row],[Lower Range]], REPT("0",LEN('General Info'!$B$42))) &amp; " - " &amp; TEXT(SamplingData[[#This Row],[Upper Range]], REPT("0",LEN('General Info'!$B$42))))</f>
        <v>00691 - 00749</v>
      </c>
      <c r="AF31" s="95">
        <f>SamplingData[[#This Row],[Upper Range]]-SamplingData[[#This Row],[Span]]</f>
        <v>690.51849458891957</v>
      </c>
      <c r="AG31" s="95">
        <f>IF(ISNUMBER('General Info'!$B$42), ((SamplingData[[#This Row],[up/U Selection Probability]]) * 'General Info'!$B$44) - 1, 0)</f>
        <v>58.225757820492134</v>
      </c>
      <c r="AH31" s="95">
        <f>IF(ISNUMBER('General Info'!$B$42), (SamplingData[[#This Row],[Running (cumulative) sum]] * ('General Info'!$B$42 -'General Info'!$B$43 + 1)) + 'General Info'!$B$43 - 1, 0)</f>
        <v>748.74425240941173</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x14ac:dyDescent="0.35">
      <c r="A32" s="98" t="s">
        <v>244</v>
      </c>
      <c r="B32" s="98">
        <v>2</v>
      </c>
      <c r="C32" s="98">
        <v>0</v>
      </c>
      <c r="D32" s="93"/>
      <c r="E32" s="93"/>
      <c r="F32" s="93"/>
      <c r="G32" s="97"/>
      <c r="H32" s="97"/>
      <c r="I32" s="93"/>
      <c r="J32" s="93"/>
      <c r="K32" s="93"/>
      <c r="L32" s="93"/>
      <c r="M32" s="93"/>
      <c r="N32" s="98">
        <v>0</v>
      </c>
      <c r="O32" s="98">
        <v>0</v>
      </c>
      <c r="P32" s="94">
        <f>SUM(SamplingData[[#This Row],[Winning Candidate]:[Under Votes]])</f>
        <v>2</v>
      </c>
      <c r="Q32" s="95">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1.2563997864120362E-4</v>
      </c>
      <c r="AC32" s="95">
        <f>IF(SamplingData[[#This Row],[Max Error Bound (up)]] = 0,0,SamplingData[[#This Row],[Max Error Bound (up)]]/SamplingData[[#Totals],[Max Error Bound (up)]])</f>
        <v>5.3841598018629206E-5</v>
      </c>
      <c r="AD32" s="18">
        <f>SUM($AC$5:AC32)</f>
        <v>7.5512841221127463E-3</v>
      </c>
      <c r="AE32" s="95" t="str">
        <f t="array" ref="AE32">IF(SamplingData[[#This Row],[up/U Selection Probability]] = 0, "Zero", TEXT(SamplingData[[#This Row],[Lower Range]], REPT("0",LEN('General Info'!$B$42))) &amp; " - " &amp; TEXT(SamplingData[[#This Row],[Upper Range]], REPT("0",LEN('General Info'!$B$42))))</f>
        <v>00750 - 00754</v>
      </c>
      <c r="AF32" s="95">
        <f>SamplingData[[#This Row],[Upper Range]]-SamplingData[[#This Row],[Span]]</f>
        <v>749.74425240941173</v>
      </c>
      <c r="AG32" s="95">
        <f>IF(ISNUMBER('General Info'!$B$42), ((SamplingData[[#This Row],[up/U Selection Probability]]) * 'General Info'!$B$44) - 1, 0)</f>
        <v>4.3841598018629204</v>
      </c>
      <c r="AH32" s="95">
        <f>IF(ISNUMBER('General Info'!$B$42), (SamplingData[[#This Row],[Running (cumulative) sum]] * ('General Info'!$B$42 -'General Info'!$B$43 + 1)) + 'General Info'!$B$43 - 1, 0)</f>
        <v>754.12841221127462</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x14ac:dyDescent="0.35">
      <c r="A33" s="98" t="s">
        <v>245</v>
      </c>
      <c r="B33" s="98">
        <v>0</v>
      </c>
      <c r="C33" s="98">
        <v>1</v>
      </c>
      <c r="D33" s="93"/>
      <c r="E33" s="93"/>
      <c r="F33" s="93"/>
      <c r="G33" s="97"/>
      <c r="H33" s="97"/>
      <c r="I33" s="93"/>
      <c r="J33" s="93"/>
      <c r="K33" s="93"/>
      <c r="L33" s="93"/>
      <c r="M33" s="93"/>
      <c r="N33" s="98">
        <v>0</v>
      </c>
      <c r="O33" s="98">
        <v>0</v>
      </c>
      <c r="P33" s="99">
        <f>SUM(SamplingData[[#This Row],[Winning Candidate]:[Under Votes]])</f>
        <v>1</v>
      </c>
      <c r="Q33" s="100">
        <f>IF(AND(SamplingData[[#This Row],[Total]]&lt;&gt; 0, NOT(ISBLANK(SamplingData[[#This Row],[Losing Candidate]]))),(SamplingData[[#This Row],[Total]]+SamplingData[[#This Row],[Winning Candidate]]-SamplingData[[#This Row],[Losing Candidate]])/(SamplingData[[#Totals],[Winning Candidate]]-SamplingData[[#Totals],[Losing Candidate]]), 0)</f>
        <v>0</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0</v>
      </c>
      <c r="AC33" s="100">
        <f>IF(SamplingData[[#This Row],[Max Error Bound (up)]] = 0,0,SamplingData[[#This Row],[Max Error Bound (up)]]/SamplingData[[#Totals],[Max Error Bound (up)]])</f>
        <v>0</v>
      </c>
      <c r="AD33" s="18">
        <f>SUM($AC$5:AC33)</f>
        <v>7.5512841221127463E-3</v>
      </c>
      <c r="AE33" s="100" t="str">
        <f t="array" ref="AE33">IF(SamplingData[[#This Row],[up/U Selection Probability]] = 0, "Zero", TEXT(SamplingData[[#This Row],[Lower Range]], REPT("0",LEN('General Info'!$B$42))) &amp; " - " &amp; TEXT(SamplingData[[#This Row],[Upper Range]], REPT("0",LEN('General Info'!$B$42))))</f>
        <v>Zero</v>
      </c>
      <c r="AF33" s="100">
        <f>SamplingData[[#This Row],[Upper Range]]-SamplingData[[#This Row],[Span]]</f>
        <v>755.12841221127462</v>
      </c>
      <c r="AG33" s="100">
        <f>IF(ISNUMBER('General Info'!$B$42), ((SamplingData[[#This Row],[up/U Selection Probability]]) * 'General Info'!$B$44) - 1, 0)</f>
        <v>-1</v>
      </c>
      <c r="AH33" s="100">
        <f>IF(ISNUMBER('General Info'!$B$42), (SamplingData[[#This Row],[Running (cumulative) sum]] * ('General Info'!$B$42 -'General Info'!$B$43 + 1)) + 'General Info'!$B$43 - 1, 0)</f>
        <v>754.12841221127462</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x14ac:dyDescent="0.35">
      <c r="A34" s="98" t="s">
        <v>246</v>
      </c>
      <c r="B34" s="98">
        <v>14</v>
      </c>
      <c r="C34" s="98">
        <v>0</v>
      </c>
      <c r="D34" s="93"/>
      <c r="E34" s="93"/>
      <c r="F34" s="93"/>
      <c r="G34" s="97"/>
      <c r="H34" s="97"/>
      <c r="I34" s="93"/>
      <c r="J34" s="93"/>
      <c r="K34" s="93"/>
      <c r="L34" s="93"/>
      <c r="M34" s="93"/>
      <c r="N34" s="98">
        <v>0</v>
      </c>
      <c r="O34" s="98">
        <v>0</v>
      </c>
      <c r="P34" s="99">
        <f>SUM(SamplingData[[#This Row],[Winning Candidate]:[Under Votes]])</f>
        <v>14</v>
      </c>
      <c r="Q34"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8.7947985048842541E-4</v>
      </c>
      <c r="AC34" s="100">
        <f>IF(SamplingData[[#This Row],[Max Error Bound (up)]] = 0,0,SamplingData[[#This Row],[Max Error Bound (up)]]/SamplingData[[#Totals],[Max Error Bound (up)]])</f>
        <v>3.7689118613040446E-4</v>
      </c>
      <c r="AD34" s="18">
        <f>SUM($AC$5:AC34)</f>
        <v>7.9281753082431506E-3</v>
      </c>
      <c r="AE34" s="100" t="str">
        <f t="array" ref="AE34">IF(SamplingData[[#This Row],[up/U Selection Probability]] = 0, "Zero", TEXT(SamplingData[[#This Row],[Lower Range]], REPT("0",LEN('General Info'!$B$42))) &amp; " - " &amp; TEXT(SamplingData[[#This Row],[Upper Range]], REPT("0",LEN('General Info'!$B$42))))</f>
        <v>00755 - 00792</v>
      </c>
      <c r="AF34" s="100">
        <f>SamplingData[[#This Row],[Upper Range]]-SamplingData[[#This Row],[Span]]</f>
        <v>755.12841221127462</v>
      </c>
      <c r="AG34" s="100">
        <f>IF(ISNUMBER('General Info'!$B$42), ((SamplingData[[#This Row],[up/U Selection Probability]]) * 'General Info'!$B$44) - 1, 0)</f>
        <v>36.689118613040449</v>
      </c>
      <c r="AH34" s="100">
        <f>IF(ISNUMBER('General Info'!$B$42), (SamplingData[[#This Row],[Running (cumulative) sum]] * ('General Info'!$B$42 -'General Info'!$B$43 + 1)) + 'General Info'!$B$43 - 1, 0)</f>
        <v>791.8175308243151</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x14ac:dyDescent="0.35">
      <c r="A35" s="98" t="s">
        <v>247</v>
      </c>
      <c r="B35" s="98">
        <v>6</v>
      </c>
      <c r="C35" s="98">
        <v>1</v>
      </c>
      <c r="D35" s="93"/>
      <c r="E35" s="93"/>
      <c r="F35" s="93"/>
      <c r="G35" s="97"/>
      <c r="H35" s="97"/>
      <c r="I35" s="93"/>
      <c r="J35" s="93"/>
      <c r="K35" s="93"/>
      <c r="L35" s="93"/>
      <c r="M35" s="93"/>
      <c r="N35" s="98">
        <v>0</v>
      </c>
      <c r="O35" s="98">
        <v>0</v>
      </c>
      <c r="P35" s="99">
        <f>SUM(SamplingData[[#This Row],[Winning Candidate]:[Under Votes]])</f>
        <v>7</v>
      </c>
      <c r="Q35"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3.7691993592361088E-4</v>
      </c>
      <c r="AC35" s="100">
        <f>IF(SamplingData[[#This Row],[Max Error Bound (up)]] = 0,0,SamplingData[[#This Row],[Max Error Bound (up)]]/SamplingData[[#Totals],[Max Error Bound (up)]])</f>
        <v>1.6152479405588763E-4</v>
      </c>
      <c r="AD35" s="18">
        <f>SUM($AC$5:AC35)</f>
        <v>8.089700102299039E-3</v>
      </c>
      <c r="AE35" s="100" t="str">
        <f t="array" ref="AE35">IF(SamplingData[[#This Row],[up/U Selection Probability]] = 0, "Zero", TEXT(SamplingData[[#This Row],[Lower Range]], REPT("0",LEN('General Info'!$B$42))) &amp; " - " &amp; TEXT(SamplingData[[#This Row],[Upper Range]], REPT("0",LEN('General Info'!$B$42))))</f>
        <v>00793 - 00808</v>
      </c>
      <c r="AF35" s="100">
        <f>SamplingData[[#This Row],[Upper Range]]-SamplingData[[#This Row],[Span]]</f>
        <v>792.8175308243151</v>
      </c>
      <c r="AG35" s="100">
        <f>IF(ISNUMBER('General Info'!$B$42), ((SamplingData[[#This Row],[up/U Selection Probability]]) * 'General Info'!$B$44) - 1, 0)</f>
        <v>15.152479405588764</v>
      </c>
      <c r="AH35" s="100">
        <f>IF(ISNUMBER('General Info'!$B$42), (SamplingData[[#This Row],[Running (cumulative) sum]] * ('General Info'!$B$42 -'General Info'!$B$43 + 1)) + 'General Info'!$B$43 - 1, 0)</f>
        <v>807.97001022990389</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x14ac:dyDescent="0.35">
      <c r="A36" s="98" t="s">
        <v>248</v>
      </c>
      <c r="B36" s="98">
        <v>10</v>
      </c>
      <c r="C36" s="98">
        <v>1</v>
      </c>
      <c r="D36" s="93"/>
      <c r="E36" s="93"/>
      <c r="F36" s="93"/>
      <c r="G36" s="97"/>
      <c r="H36" s="97"/>
      <c r="I36" s="93"/>
      <c r="J36" s="93"/>
      <c r="K36" s="93"/>
      <c r="L36" s="93"/>
      <c r="M36" s="93"/>
      <c r="N36" s="98">
        <v>0</v>
      </c>
      <c r="O36" s="98">
        <v>0</v>
      </c>
      <c r="P36" s="99">
        <f>SUM(SamplingData[[#This Row],[Winning Candidate]:[Under Votes]])</f>
        <v>11</v>
      </c>
      <c r="Q36"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6.2819989320601812E-4</v>
      </c>
      <c r="AC36" s="100">
        <f>IF(SamplingData[[#This Row],[Max Error Bound (up)]] = 0,0,SamplingData[[#This Row],[Max Error Bound (up)]]/SamplingData[[#Totals],[Max Error Bound (up)]])</f>
        <v>2.6920799009314607E-4</v>
      </c>
      <c r="AD36">
        <f>SUM($AC$5:AC1130)</f>
        <v>1.0000000000000009</v>
      </c>
      <c r="AE36" s="100" t="str">
        <f t="array" ref="AE36">IF(SamplingData[[#This Row],[up/U Selection Probability]] = 0, "Zero", TEXT(SamplingData[[#This Row],[Lower Range]], REPT("0",LEN('General Info'!$B$42))) &amp; " - " &amp; TEXT(SamplingData[[#This Row],[Upper Range]], REPT("0",LEN('General Info'!$B$42))))</f>
        <v>99973 - 99999</v>
      </c>
      <c r="AF36" s="100">
        <f>SamplingData[[#This Row],[Upper Range]]-SamplingData[[#This Row],[Span]]</f>
        <v>99973.079200990775</v>
      </c>
      <c r="AG36" s="100">
        <f>IF(ISNUMBER('General Info'!$B$42), ((SamplingData[[#This Row],[up/U Selection Probability]]) * 'General Info'!$B$44) - 1, 0)</f>
        <v>25.920799009314607</v>
      </c>
      <c r="AH36" s="100">
        <f>IF(ISNUMBER('General Info'!$B$42), (SamplingData[[#This Row],[Running (cumulative) sum]] * ('General Info'!$B$42 -'General Info'!$B$43 + 1)) + 'General Info'!$B$43 - 1, 0)</f>
        <v>99999.000000000087</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x14ac:dyDescent="0.35">
      <c r="A37" s="98" t="s">
        <v>249</v>
      </c>
      <c r="B37" s="98">
        <v>6</v>
      </c>
      <c r="C37" s="98">
        <v>0</v>
      </c>
      <c r="D37" s="93"/>
      <c r="E37" s="93"/>
      <c r="F37" s="93"/>
      <c r="G37" s="97"/>
      <c r="H37" s="97"/>
      <c r="I37" s="93"/>
      <c r="J37" s="93"/>
      <c r="K37" s="93"/>
      <c r="L37" s="93"/>
      <c r="M37" s="93"/>
      <c r="N37" s="98">
        <v>0</v>
      </c>
      <c r="O37" s="98">
        <v>0</v>
      </c>
      <c r="P37" s="99">
        <f>SUM(SamplingData[[#This Row],[Winning Candidate]:[Under Votes]])</f>
        <v>6</v>
      </c>
      <c r="Q37"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37" s="100">
        <f>IF(AND(SamplingData[[#This Row],[Total]]&lt;&gt; 0, NOT(ISBLANK(SamplingData[[#This Row],[Candidate 3]]))),(SamplingData[[#This Row],[Total]]+SamplingData[[#This Row],[Winning Candidate]]-SamplingData[[#This Row],[Candidate 3]])/(SamplingData[[#Totals],[Winning Candidate]]-SamplingData[[#Totals],[Candidate 3]]), 0)</f>
        <v>0</v>
      </c>
      <c r="S37" s="100">
        <f>IF(AND(SamplingData[[#This Row],[Total]]&lt;&gt; 0, NOT(ISBLANK(SamplingData[[#This Row],[Candidate 4]]))),(SamplingData[[#This Row],[Total]]+SamplingData[[#This Row],[Winning Candidate]]-SamplingData[[#This Row],[Candidate 4]])/(SamplingData[[#Totals],[Winning Candidate]]-SamplingData[[#Totals],[Candidate 4]]), 0)</f>
        <v>0</v>
      </c>
      <c r="T37" s="100">
        <f>IF(AND(SamplingData[[#This Row],[Total]]&lt;&gt; 0, NOT(ISBLANK(SamplingData[[#This Row],[Candidate 5]]))),(SamplingData[[#This Row],[Total]]+SamplingData[[#This Row],[Winning Candidate]]-SamplingData[[#This Row],[Candidate 5]])/(SamplingData[[#Totals],[Winning Candidate]]-SamplingData[[#Totals],[Candidate 5]]), 0)</f>
        <v>0</v>
      </c>
      <c r="U37" s="100">
        <f>IF(AND(SamplingData[[#This Row],[Total]]&lt;&gt; 0, NOT(ISBLANK(SamplingData[[#This Row],[Candidate 6]]))),(SamplingData[[#This Row],[Total]]+SamplingData[[#This Row],[Losing Candidate]]-SamplingData[[#This Row],[Candidate 6]])/(SamplingData[[#Totals],[Winning Candidate]]-SamplingData[[#Totals],[Candidate 6]]), 0)</f>
        <v>0</v>
      </c>
      <c r="V37" s="100">
        <f>IF(AND(SamplingData[[#This Row],[Total]]&lt;&gt; 0, NOT(ISBLANK(SamplingData[[#This Row],[Candidate 7]]))),(SamplingData[[#This Row],[Total]]+SamplingData[[#This Row],[Winning Candidate]]-SamplingData[[#This Row],[Candidate 7]])/(SamplingData[[#Totals],[Winning Candidate]]-SamplingData[[#Totals],[Candidate 7]]), 0)</f>
        <v>0</v>
      </c>
      <c r="W37" s="100">
        <f>IF(AND(SamplingData[[#This Row],[Total]]&lt;&gt; 0, NOT(ISBLANK(SamplingData[[#This Row],[Candidate 8]]))),(SamplingData[[#This Row],[Total]]+SamplingData[[#This Row],[Winning Candidate]]-SamplingData[[#This Row],[Candidate 8]])/(SamplingData[[#Totals],[Winning Candidate]]-SamplingData[[#Totals],[Candidate 8]]), 0)</f>
        <v>0</v>
      </c>
      <c r="X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00">
        <f>MAX(SamplingData[[#This Row],[Error Bound (up) - Max. possible relative overstatement - Losing Candidate]:[Error Bound (up) - Max. possible relative overstatement - Candidate 12]])</f>
        <v>3.7691993592361088E-4</v>
      </c>
      <c r="AC37" s="100">
        <f>IF(SamplingData[[#This Row],[Max Error Bound (up)]] = 0,0,SamplingData[[#This Row],[Max Error Bound (up)]]/SamplingData[[#Totals],[Max Error Bound (up)]])</f>
        <v>1.6152479405588763E-4</v>
      </c>
      <c r="AD37" s="104">
        <f>SUM($AC$5:AC37)</f>
        <v>8.5204328864480743E-3</v>
      </c>
      <c r="AE37" s="100" t="str" cm="1">
        <f t="array" ref="AE37">IF(SamplingData[[#This Row],[up/U Selection Probability]] = 0, "Zero", TEXT(SamplingData[[#This Row],[Lower Range]], REPT("0",LEN('General Info'!$B$42))) &amp; " - " &amp; TEXT(SamplingData[[#This Row],[Upper Range]], REPT("0",LEN('General Info'!$B$42))))</f>
        <v>00836 - 00851</v>
      </c>
      <c r="AF37" s="100">
        <f>SamplingData[[#This Row],[Upper Range]]-SamplingData[[#This Row],[Span]]</f>
        <v>835.89080923921858</v>
      </c>
      <c r="AG37" s="100">
        <f>IF(ISNUMBER('General Info'!$B$42), ((SamplingData[[#This Row],[up/U Selection Probability]]) * 'General Info'!$B$44) - 1, 0)</f>
        <v>15.152479405588764</v>
      </c>
      <c r="AH37" s="100">
        <f>IF(ISNUMBER('General Info'!$B$42), (SamplingData[[#This Row],[Running (cumulative) sum]] * ('General Info'!$B$42 -'General Info'!$B$43 + 1)) + 'General Info'!$B$43 - 1, 0)</f>
        <v>851.04328864480738</v>
      </c>
      <c r="AI37" s="100" t="str">
        <f>IF(ISERROR(MATCH(SamplingData[[#This Row],[Batch by Type (p)]],SelectedPrecincts[Batch Name], 0)), "", INDEX(SelectedPrecincts[Draw], MATCH(SamplingData[[#This Row],[Batch by Type (p)]],SelectedPrecincts[Batch Name], 0)))</f>
        <v/>
      </c>
      <c r="AJ37" s="101">
        <f>IF(COUNTIF(SelectedPrecincts[Batch Name],SamplingData[[#This Row],[Batch by Type (p)]]) &lt;&gt; 0, COUNTIF(SelectedPrecincts[Batch Name],SamplingData[[#This Row],[Batch by Type (p)]]), 0)</f>
        <v>0</v>
      </c>
    </row>
    <row r="38" spans="1:36" ht="15" customHeight="1" x14ac:dyDescent="0.35">
      <c r="A38" s="98" t="s">
        <v>250</v>
      </c>
      <c r="B38" s="98">
        <v>11</v>
      </c>
      <c r="C38" s="98">
        <v>0</v>
      </c>
      <c r="D38" s="93"/>
      <c r="E38" s="93"/>
      <c r="F38" s="93"/>
      <c r="G38" s="97"/>
      <c r="H38" s="97"/>
      <c r="I38" s="93"/>
      <c r="J38" s="93"/>
      <c r="K38" s="93"/>
      <c r="L38" s="93"/>
      <c r="M38" s="93"/>
      <c r="N38" s="98">
        <v>0</v>
      </c>
      <c r="O38" s="98">
        <v>0</v>
      </c>
      <c r="P38" s="99">
        <f>SUM(SamplingData[[#This Row],[Winning Candidate]:[Under Votes]])</f>
        <v>11</v>
      </c>
      <c r="Q38"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38" s="100">
        <f>IF(AND(SamplingData[[#This Row],[Total]]&lt;&gt; 0, NOT(ISBLANK(SamplingData[[#This Row],[Candidate 3]]))),(SamplingData[[#This Row],[Total]]+SamplingData[[#This Row],[Winning Candidate]]-SamplingData[[#This Row],[Candidate 3]])/(SamplingData[[#Totals],[Winning Candidate]]-SamplingData[[#Totals],[Candidate 3]]), 0)</f>
        <v>0</v>
      </c>
      <c r="S38" s="100">
        <f>IF(AND(SamplingData[[#This Row],[Total]]&lt;&gt; 0, NOT(ISBLANK(SamplingData[[#This Row],[Candidate 4]]))),(SamplingData[[#This Row],[Total]]+SamplingData[[#This Row],[Winning Candidate]]-SamplingData[[#This Row],[Candidate 4]])/(SamplingData[[#Totals],[Winning Candidate]]-SamplingData[[#Totals],[Candidate 4]]), 0)</f>
        <v>0</v>
      </c>
      <c r="T38" s="100">
        <f>IF(AND(SamplingData[[#This Row],[Total]]&lt;&gt; 0, NOT(ISBLANK(SamplingData[[#This Row],[Candidate 5]]))),(SamplingData[[#This Row],[Total]]+SamplingData[[#This Row],[Winning Candidate]]-SamplingData[[#This Row],[Candidate 5]])/(SamplingData[[#Totals],[Winning Candidate]]-SamplingData[[#Totals],[Candidate 5]]), 0)</f>
        <v>0</v>
      </c>
      <c r="U38" s="100">
        <f>IF(AND(SamplingData[[#This Row],[Total]]&lt;&gt; 0, NOT(ISBLANK(SamplingData[[#This Row],[Candidate 6]]))),(SamplingData[[#This Row],[Total]]+SamplingData[[#This Row],[Losing Candidate]]-SamplingData[[#This Row],[Candidate 6]])/(SamplingData[[#Totals],[Winning Candidate]]-SamplingData[[#Totals],[Candidate 6]]), 0)</f>
        <v>0</v>
      </c>
      <c r="V38" s="100">
        <f>IF(AND(SamplingData[[#This Row],[Total]]&lt;&gt; 0, NOT(ISBLANK(SamplingData[[#This Row],[Candidate 7]]))),(SamplingData[[#This Row],[Total]]+SamplingData[[#This Row],[Winning Candidate]]-SamplingData[[#This Row],[Candidate 7]])/(SamplingData[[#Totals],[Winning Candidate]]-SamplingData[[#Totals],[Candidate 7]]), 0)</f>
        <v>0</v>
      </c>
      <c r="W38" s="100">
        <f>IF(AND(SamplingData[[#This Row],[Total]]&lt;&gt; 0, NOT(ISBLANK(SamplingData[[#This Row],[Candidate 8]]))),(SamplingData[[#This Row],[Total]]+SamplingData[[#This Row],[Winning Candidate]]-SamplingData[[#This Row],[Candidate 8]])/(SamplingData[[#Totals],[Winning Candidate]]-SamplingData[[#Totals],[Candidate 8]]), 0)</f>
        <v>0</v>
      </c>
      <c r="X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00">
        <f>MAX(SamplingData[[#This Row],[Error Bound (up) - Max. possible relative overstatement - Losing Candidate]:[Error Bound (up) - Max. possible relative overstatement - Candidate 12]])</f>
        <v>6.9101988252662E-4</v>
      </c>
      <c r="AC38" s="100">
        <f>IF(SamplingData[[#This Row],[Max Error Bound (up)]] = 0,0,SamplingData[[#This Row],[Max Error Bound (up)]]/SamplingData[[#Totals],[Max Error Bound (up)]])</f>
        <v>2.9612878910246067E-4</v>
      </c>
      <c r="AD38" s="104">
        <f>SUM($AC$5:AC38)</f>
        <v>8.8165616755505345E-3</v>
      </c>
      <c r="AE38" s="100" t="str" cm="1">
        <f t="array" ref="AE38">IF(SamplingData[[#This Row],[up/U Selection Probability]] = 0, "Zero", TEXT(SamplingData[[#This Row],[Lower Range]], REPT("0",LEN('General Info'!$B$42))) &amp; " - " &amp; TEXT(SamplingData[[#This Row],[Upper Range]], REPT("0",LEN('General Info'!$B$42))))</f>
        <v>00852 - 00881</v>
      </c>
      <c r="AF38" s="100">
        <f>SamplingData[[#This Row],[Upper Range]]-SamplingData[[#This Row],[Span]]</f>
        <v>852.04328864480738</v>
      </c>
      <c r="AG38" s="100">
        <f>IF(ISNUMBER('General Info'!$B$42), ((SamplingData[[#This Row],[up/U Selection Probability]]) * 'General Info'!$B$44) - 1, 0)</f>
        <v>28.612878910246067</v>
      </c>
      <c r="AH38" s="100">
        <f>IF(ISNUMBER('General Info'!$B$42), (SamplingData[[#This Row],[Running (cumulative) sum]] * ('General Info'!$B$42 -'General Info'!$B$43 + 1)) + 'General Info'!$B$43 - 1, 0)</f>
        <v>880.65616755505346</v>
      </c>
      <c r="AI38" s="100" t="str">
        <f>IF(ISERROR(MATCH(SamplingData[[#This Row],[Batch by Type (p)]],SelectedPrecincts[Batch Name], 0)), "", INDEX(SelectedPrecincts[Draw], MATCH(SamplingData[[#This Row],[Batch by Type (p)]],SelectedPrecincts[Batch Name], 0)))</f>
        <v/>
      </c>
      <c r="AJ38" s="101">
        <f>IF(COUNTIF(SelectedPrecincts[Batch Name],SamplingData[[#This Row],[Batch by Type (p)]]) &lt;&gt; 0, COUNTIF(SelectedPrecincts[Batch Name],SamplingData[[#This Row],[Batch by Type (p)]]), 0)</f>
        <v>0</v>
      </c>
    </row>
    <row r="39" spans="1:36" ht="15" customHeight="1" x14ac:dyDescent="0.35">
      <c r="A39" s="98" t="s">
        <v>251</v>
      </c>
      <c r="B39" s="98">
        <v>7</v>
      </c>
      <c r="C39" s="98">
        <v>2</v>
      </c>
      <c r="D39" s="93"/>
      <c r="E39" s="93"/>
      <c r="F39" s="93"/>
      <c r="G39" s="97"/>
      <c r="H39" s="97"/>
      <c r="I39" s="93"/>
      <c r="J39" s="93"/>
      <c r="K39" s="93"/>
      <c r="L39" s="93"/>
      <c r="M39" s="93"/>
      <c r="N39" s="98">
        <v>0</v>
      </c>
      <c r="O39" s="98">
        <v>2</v>
      </c>
      <c r="P39" s="99">
        <f>SUM(SamplingData[[#This Row],[Winning Candidate]:[Under Votes]])</f>
        <v>11</v>
      </c>
      <c r="Q39"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39" s="100">
        <f>IF(AND(SamplingData[[#This Row],[Total]]&lt;&gt; 0, NOT(ISBLANK(SamplingData[[#This Row],[Candidate 3]]))),(SamplingData[[#This Row],[Total]]+SamplingData[[#This Row],[Winning Candidate]]-SamplingData[[#This Row],[Candidate 3]])/(SamplingData[[#Totals],[Winning Candidate]]-SamplingData[[#Totals],[Candidate 3]]), 0)</f>
        <v>0</v>
      </c>
      <c r="S39" s="100">
        <f>IF(AND(SamplingData[[#This Row],[Total]]&lt;&gt; 0, NOT(ISBLANK(SamplingData[[#This Row],[Candidate 4]]))),(SamplingData[[#This Row],[Total]]+SamplingData[[#This Row],[Winning Candidate]]-SamplingData[[#This Row],[Candidate 4]])/(SamplingData[[#Totals],[Winning Candidate]]-SamplingData[[#Totals],[Candidate 4]]), 0)</f>
        <v>0</v>
      </c>
      <c r="T39" s="100">
        <f>IF(AND(SamplingData[[#This Row],[Total]]&lt;&gt; 0, NOT(ISBLANK(SamplingData[[#This Row],[Candidate 5]]))),(SamplingData[[#This Row],[Total]]+SamplingData[[#This Row],[Winning Candidate]]-SamplingData[[#This Row],[Candidate 5]])/(SamplingData[[#Totals],[Winning Candidate]]-SamplingData[[#Totals],[Candidate 5]]), 0)</f>
        <v>0</v>
      </c>
      <c r="U39" s="100">
        <f>IF(AND(SamplingData[[#This Row],[Total]]&lt;&gt; 0, NOT(ISBLANK(SamplingData[[#This Row],[Candidate 6]]))),(SamplingData[[#This Row],[Total]]+SamplingData[[#This Row],[Losing Candidate]]-SamplingData[[#This Row],[Candidate 6]])/(SamplingData[[#Totals],[Winning Candidate]]-SamplingData[[#Totals],[Candidate 6]]), 0)</f>
        <v>0</v>
      </c>
      <c r="V39" s="100">
        <f>IF(AND(SamplingData[[#This Row],[Total]]&lt;&gt; 0, NOT(ISBLANK(SamplingData[[#This Row],[Candidate 7]]))),(SamplingData[[#This Row],[Total]]+SamplingData[[#This Row],[Winning Candidate]]-SamplingData[[#This Row],[Candidate 7]])/(SamplingData[[#Totals],[Winning Candidate]]-SamplingData[[#Totals],[Candidate 7]]), 0)</f>
        <v>0</v>
      </c>
      <c r="W39" s="100">
        <f>IF(AND(SamplingData[[#This Row],[Total]]&lt;&gt; 0, NOT(ISBLANK(SamplingData[[#This Row],[Candidate 8]]))),(SamplingData[[#This Row],[Total]]+SamplingData[[#This Row],[Winning Candidate]]-SamplingData[[#This Row],[Candidate 8]])/(SamplingData[[#Totals],[Winning Candidate]]-SamplingData[[#Totals],[Candidate 8]]), 0)</f>
        <v>0</v>
      </c>
      <c r="X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00">
        <f>MAX(SamplingData[[#This Row],[Error Bound (up) - Max. possible relative overstatement - Losing Candidate]:[Error Bound (up) - Max. possible relative overstatement - Candidate 12]])</f>
        <v>5.0255991456481448E-4</v>
      </c>
      <c r="AC39" s="100">
        <f>IF(SamplingData[[#This Row],[Max Error Bound (up)]] = 0,0,SamplingData[[#This Row],[Max Error Bound (up)]]/SamplingData[[#Totals],[Max Error Bound (up)]])</f>
        <v>2.1536639207451683E-4</v>
      </c>
      <c r="AD39" s="104">
        <f>SUM($AC$5:AC39)</f>
        <v>9.0319280676250512E-3</v>
      </c>
      <c r="AE39" s="100" t="str" cm="1">
        <f t="array" ref="AE39">IF(SamplingData[[#This Row],[up/U Selection Probability]] = 0, "Zero", TEXT(SamplingData[[#This Row],[Lower Range]], REPT("0",LEN('General Info'!$B$42))) &amp; " - " &amp; TEXT(SamplingData[[#This Row],[Upper Range]], REPT("0",LEN('General Info'!$B$42))))</f>
        <v>00882 - 00902</v>
      </c>
      <c r="AF39" s="100">
        <f>SamplingData[[#This Row],[Upper Range]]-SamplingData[[#This Row],[Span]]</f>
        <v>881.65616755505346</v>
      </c>
      <c r="AG39" s="100">
        <f>IF(ISNUMBER('General Info'!$B$42), ((SamplingData[[#This Row],[up/U Selection Probability]]) * 'General Info'!$B$44) - 1, 0)</f>
        <v>20.536639207451682</v>
      </c>
      <c r="AH39" s="100">
        <f>IF(ISNUMBER('General Info'!$B$42), (SamplingData[[#This Row],[Running (cumulative) sum]] * ('General Info'!$B$42 -'General Info'!$B$43 + 1)) + 'General Info'!$B$43 - 1, 0)</f>
        <v>902.19280676250514</v>
      </c>
      <c r="AI39" s="100" t="str">
        <f>IF(ISERROR(MATCH(SamplingData[[#This Row],[Batch by Type (p)]],SelectedPrecincts[Batch Name], 0)), "", INDEX(SelectedPrecincts[Draw], MATCH(SamplingData[[#This Row],[Batch by Type (p)]],SelectedPrecincts[Batch Name], 0)))</f>
        <v/>
      </c>
      <c r="AJ39" s="101">
        <f>IF(COUNTIF(SelectedPrecincts[Batch Name],SamplingData[[#This Row],[Batch by Type (p)]]) &lt;&gt; 0, COUNTIF(SelectedPrecincts[Batch Name],SamplingData[[#This Row],[Batch by Type (p)]]), 0)</f>
        <v>0</v>
      </c>
    </row>
    <row r="40" spans="1:36" ht="15" customHeight="1" x14ac:dyDescent="0.35">
      <c r="A40" s="98" t="s">
        <v>252</v>
      </c>
      <c r="B40" s="98">
        <v>18</v>
      </c>
      <c r="C40" s="98">
        <v>2</v>
      </c>
      <c r="D40" s="93"/>
      <c r="E40" s="93"/>
      <c r="F40" s="93"/>
      <c r="G40" s="97"/>
      <c r="H40" s="97"/>
      <c r="I40" s="93"/>
      <c r="J40" s="93"/>
      <c r="K40" s="93"/>
      <c r="L40" s="93"/>
      <c r="M40" s="93"/>
      <c r="N40" s="98">
        <v>0</v>
      </c>
      <c r="O40" s="98">
        <v>0</v>
      </c>
      <c r="P40" s="99">
        <f>SUM(SamplingData[[#This Row],[Winning Candidate]:[Under Votes]])</f>
        <v>20</v>
      </c>
      <c r="Q40"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40" s="100">
        <f>IF(AND(SamplingData[[#This Row],[Total]]&lt;&gt; 0, NOT(ISBLANK(SamplingData[[#This Row],[Candidate 3]]))),(SamplingData[[#This Row],[Total]]+SamplingData[[#This Row],[Winning Candidate]]-SamplingData[[#This Row],[Candidate 3]])/(SamplingData[[#Totals],[Winning Candidate]]-SamplingData[[#Totals],[Candidate 3]]), 0)</f>
        <v>0</v>
      </c>
      <c r="S40" s="100">
        <f>IF(AND(SamplingData[[#This Row],[Total]]&lt;&gt; 0, NOT(ISBLANK(SamplingData[[#This Row],[Candidate 4]]))),(SamplingData[[#This Row],[Total]]+SamplingData[[#This Row],[Winning Candidate]]-SamplingData[[#This Row],[Candidate 4]])/(SamplingData[[#Totals],[Winning Candidate]]-SamplingData[[#Totals],[Candidate 4]]), 0)</f>
        <v>0</v>
      </c>
      <c r="T40" s="100">
        <f>IF(AND(SamplingData[[#This Row],[Total]]&lt;&gt; 0, NOT(ISBLANK(SamplingData[[#This Row],[Candidate 5]]))),(SamplingData[[#This Row],[Total]]+SamplingData[[#This Row],[Winning Candidate]]-SamplingData[[#This Row],[Candidate 5]])/(SamplingData[[#Totals],[Winning Candidate]]-SamplingData[[#Totals],[Candidate 5]]), 0)</f>
        <v>0</v>
      </c>
      <c r="U40" s="100">
        <f>IF(AND(SamplingData[[#This Row],[Total]]&lt;&gt; 0, NOT(ISBLANK(SamplingData[[#This Row],[Candidate 6]]))),(SamplingData[[#This Row],[Total]]+SamplingData[[#This Row],[Losing Candidate]]-SamplingData[[#This Row],[Candidate 6]])/(SamplingData[[#Totals],[Winning Candidate]]-SamplingData[[#Totals],[Candidate 6]]), 0)</f>
        <v>0</v>
      </c>
      <c r="V40" s="100">
        <f>IF(AND(SamplingData[[#This Row],[Total]]&lt;&gt; 0, NOT(ISBLANK(SamplingData[[#This Row],[Candidate 7]]))),(SamplingData[[#This Row],[Total]]+SamplingData[[#This Row],[Winning Candidate]]-SamplingData[[#This Row],[Candidate 7]])/(SamplingData[[#Totals],[Winning Candidate]]-SamplingData[[#Totals],[Candidate 7]]), 0)</f>
        <v>0</v>
      </c>
      <c r="W40" s="100">
        <f>IF(AND(SamplingData[[#This Row],[Total]]&lt;&gt; 0, NOT(ISBLANK(SamplingData[[#This Row],[Candidate 8]]))),(SamplingData[[#This Row],[Total]]+SamplingData[[#This Row],[Winning Candidate]]-SamplingData[[#This Row],[Candidate 8]])/(SamplingData[[#Totals],[Winning Candidate]]-SamplingData[[#Totals],[Candidate 8]]), 0)</f>
        <v>0</v>
      </c>
      <c r="X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00">
        <f>MAX(SamplingData[[#This Row],[Error Bound (up) - Max. possible relative overstatement - Losing Candidate]:[Error Bound (up) - Max. possible relative overstatement - Candidate 12]])</f>
        <v>1.1307598077708327E-3</v>
      </c>
      <c r="AC40" s="100">
        <f>IF(SamplingData[[#This Row],[Max Error Bound (up)]] = 0,0,SamplingData[[#This Row],[Max Error Bound (up)]]/SamplingData[[#Totals],[Max Error Bound (up)]])</f>
        <v>4.845743821676629E-4</v>
      </c>
      <c r="AD40" s="104">
        <f>SUM($AC$5:AC40)</f>
        <v>9.5165024497927148E-3</v>
      </c>
      <c r="AE40" s="100" t="str" cm="1">
        <f t="array" ref="AE40">IF(SamplingData[[#This Row],[up/U Selection Probability]] = 0, "Zero", TEXT(SamplingData[[#This Row],[Lower Range]], REPT("0",LEN('General Info'!$B$42))) &amp; " - " &amp; TEXT(SamplingData[[#This Row],[Upper Range]], REPT("0",LEN('General Info'!$B$42))))</f>
        <v>00903 - 00951</v>
      </c>
      <c r="AF40" s="100">
        <f>SamplingData[[#This Row],[Upper Range]]-SamplingData[[#This Row],[Span]]</f>
        <v>903.19280676250526</v>
      </c>
      <c r="AG40" s="100">
        <f>IF(ISNUMBER('General Info'!$B$42), ((SamplingData[[#This Row],[up/U Selection Probability]]) * 'General Info'!$B$44) - 1, 0)</f>
        <v>47.457438216766292</v>
      </c>
      <c r="AH40" s="100">
        <f>IF(ISNUMBER('General Info'!$B$42), (SamplingData[[#This Row],[Running (cumulative) sum]] * ('General Info'!$B$42 -'General Info'!$B$43 + 1)) + 'General Info'!$B$43 - 1, 0)</f>
        <v>950.65024497927152</v>
      </c>
      <c r="AI40" s="100" t="str">
        <f>IF(ISERROR(MATCH(SamplingData[[#This Row],[Batch by Type (p)]],SelectedPrecincts[Batch Name], 0)), "", INDEX(SelectedPrecincts[Draw], MATCH(SamplingData[[#This Row],[Batch by Type (p)]],SelectedPrecincts[Batch Name], 0)))</f>
        <v/>
      </c>
      <c r="AJ40" s="101">
        <f>IF(COUNTIF(SelectedPrecincts[Batch Name],SamplingData[[#This Row],[Batch by Type (p)]]) &lt;&gt; 0, COUNTIF(SelectedPrecincts[Batch Name],SamplingData[[#This Row],[Batch by Type (p)]]), 0)</f>
        <v>0</v>
      </c>
    </row>
    <row r="41" spans="1:36" ht="15" customHeight="1" x14ac:dyDescent="0.35">
      <c r="A41" s="98" t="s">
        <v>253</v>
      </c>
      <c r="B41" s="98">
        <v>10</v>
      </c>
      <c r="C41" s="98">
        <v>1</v>
      </c>
      <c r="D41" s="93"/>
      <c r="E41" s="93"/>
      <c r="F41" s="93"/>
      <c r="G41" s="97"/>
      <c r="H41" s="97"/>
      <c r="I41" s="93"/>
      <c r="J41" s="93"/>
      <c r="K41" s="93"/>
      <c r="L41" s="93"/>
      <c r="M41" s="93"/>
      <c r="N41" s="98">
        <v>0</v>
      </c>
      <c r="O41" s="98">
        <v>0</v>
      </c>
      <c r="P41" s="99">
        <f>SUM(SamplingData[[#This Row],[Winning Candidate]:[Under Votes]])</f>
        <v>11</v>
      </c>
      <c r="Q41"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41" s="100">
        <f>IF(AND(SamplingData[[#This Row],[Total]]&lt;&gt; 0, NOT(ISBLANK(SamplingData[[#This Row],[Candidate 3]]))),(SamplingData[[#This Row],[Total]]+SamplingData[[#This Row],[Winning Candidate]]-SamplingData[[#This Row],[Candidate 3]])/(SamplingData[[#Totals],[Winning Candidate]]-SamplingData[[#Totals],[Candidate 3]]), 0)</f>
        <v>0</v>
      </c>
      <c r="S41" s="100">
        <f>IF(AND(SamplingData[[#This Row],[Total]]&lt;&gt; 0, NOT(ISBLANK(SamplingData[[#This Row],[Candidate 4]]))),(SamplingData[[#This Row],[Total]]+SamplingData[[#This Row],[Winning Candidate]]-SamplingData[[#This Row],[Candidate 4]])/(SamplingData[[#Totals],[Winning Candidate]]-SamplingData[[#Totals],[Candidate 4]]), 0)</f>
        <v>0</v>
      </c>
      <c r="T41" s="100">
        <f>IF(AND(SamplingData[[#This Row],[Total]]&lt;&gt; 0, NOT(ISBLANK(SamplingData[[#This Row],[Candidate 5]]))),(SamplingData[[#This Row],[Total]]+SamplingData[[#This Row],[Winning Candidate]]-SamplingData[[#This Row],[Candidate 5]])/(SamplingData[[#Totals],[Winning Candidate]]-SamplingData[[#Totals],[Candidate 5]]), 0)</f>
        <v>0</v>
      </c>
      <c r="U41" s="100">
        <f>IF(AND(SamplingData[[#This Row],[Total]]&lt;&gt; 0, NOT(ISBLANK(SamplingData[[#This Row],[Candidate 6]]))),(SamplingData[[#This Row],[Total]]+SamplingData[[#This Row],[Losing Candidate]]-SamplingData[[#This Row],[Candidate 6]])/(SamplingData[[#Totals],[Winning Candidate]]-SamplingData[[#Totals],[Candidate 6]]), 0)</f>
        <v>0</v>
      </c>
      <c r="V41" s="100">
        <f>IF(AND(SamplingData[[#This Row],[Total]]&lt;&gt; 0, NOT(ISBLANK(SamplingData[[#This Row],[Candidate 7]]))),(SamplingData[[#This Row],[Total]]+SamplingData[[#This Row],[Winning Candidate]]-SamplingData[[#This Row],[Candidate 7]])/(SamplingData[[#Totals],[Winning Candidate]]-SamplingData[[#Totals],[Candidate 7]]), 0)</f>
        <v>0</v>
      </c>
      <c r="W41" s="100">
        <f>IF(AND(SamplingData[[#This Row],[Total]]&lt;&gt; 0, NOT(ISBLANK(SamplingData[[#This Row],[Candidate 8]]))),(SamplingData[[#This Row],[Total]]+SamplingData[[#This Row],[Winning Candidate]]-SamplingData[[#This Row],[Candidate 8]])/(SamplingData[[#Totals],[Winning Candidate]]-SamplingData[[#Totals],[Candidate 8]]), 0)</f>
        <v>0</v>
      </c>
      <c r="X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00">
        <f>MAX(SamplingData[[#This Row],[Error Bound (up) - Max. possible relative overstatement - Losing Candidate]:[Error Bound (up) - Max. possible relative overstatement - Candidate 12]])</f>
        <v>6.2819989320601812E-4</v>
      </c>
      <c r="AC41" s="100">
        <f>IF(SamplingData[[#This Row],[Max Error Bound (up)]] = 0,0,SamplingData[[#This Row],[Max Error Bound (up)]]/SamplingData[[#Totals],[Max Error Bound (up)]])</f>
        <v>2.6920799009314607E-4</v>
      </c>
      <c r="AD41" s="104">
        <f>SUM($AC$5:AC41)</f>
        <v>9.7857104398858617E-3</v>
      </c>
      <c r="AE41" s="100" t="str" cm="1">
        <f t="array" ref="AE41">IF(SamplingData[[#This Row],[up/U Selection Probability]] = 0, "Zero", TEXT(SamplingData[[#This Row],[Lower Range]], REPT("0",LEN('General Info'!$B$42))) &amp; " - " &amp; TEXT(SamplingData[[#This Row],[Upper Range]], REPT("0",LEN('General Info'!$B$42))))</f>
        <v>00952 - 00978</v>
      </c>
      <c r="AF41" s="100">
        <f>SamplingData[[#This Row],[Upper Range]]-SamplingData[[#This Row],[Span]]</f>
        <v>951.65024497927163</v>
      </c>
      <c r="AG41" s="100">
        <f>IF(ISNUMBER('General Info'!$B$42), ((SamplingData[[#This Row],[up/U Selection Probability]]) * 'General Info'!$B$44) - 1, 0)</f>
        <v>25.920799009314607</v>
      </c>
      <c r="AH41" s="100">
        <f>IF(ISNUMBER('General Info'!$B$42), (SamplingData[[#This Row],[Running (cumulative) sum]] * ('General Info'!$B$42 -'General Info'!$B$43 + 1)) + 'General Info'!$B$43 - 1, 0)</f>
        <v>977.57104398858621</v>
      </c>
      <c r="AI41" s="100" t="str">
        <f>IF(ISERROR(MATCH(SamplingData[[#This Row],[Batch by Type (p)]],SelectedPrecincts[Batch Name], 0)), "", INDEX(SelectedPrecincts[Draw], MATCH(SamplingData[[#This Row],[Batch by Type (p)]],SelectedPrecincts[Batch Name], 0)))</f>
        <v/>
      </c>
      <c r="AJ41" s="101">
        <f>IF(COUNTIF(SelectedPrecincts[Batch Name],SamplingData[[#This Row],[Batch by Type (p)]]) &lt;&gt; 0, COUNTIF(SelectedPrecincts[Batch Name],SamplingData[[#This Row],[Batch by Type (p)]]), 0)</f>
        <v>0</v>
      </c>
    </row>
    <row r="42" spans="1:36" ht="15" customHeight="1" x14ac:dyDescent="0.35">
      <c r="A42" s="98" t="s">
        <v>254</v>
      </c>
      <c r="B42" s="98">
        <v>24</v>
      </c>
      <c r="C42" s="98">
        <v>2</v>
      </c>
      <c r="D42" s="93"/>
      <c r="E42" s="93"/>
      <c r="F42" s="93"/>
      <c r="G42" s="97"/>
      <c r="H42" s="97"/>
      <c r="I42" s="93"/>
      <c r="J42" s="93"/>
      <c r="K42" s="93"/>
      <c r="L42" s="93"/>
      <c r="M42" s="93"/>
      <c r="N42" s="98">
        <v>0</v>
      </c>
      <c r="O42" s="98">
        <v>1</v>
      </c>
      <c r="P42" s="99">
        <f>SUM(SamplingData[[#This Row],[Winning Candidate]:[Under Votes]])</f>
        <v>27</v>
      </c>
      <c r="Q42" s="100">
        <f>IF(AND(SamplingData[[#This Row],[Total]]&lt;&gt; 0, NOT(ISBLANK(SamplingData[[#This Row],[Losing Candidate]]))),(SamplingData[[#This Row],[Total]]+SamplingData[[#This Row],[Winning Candidate]]-SamplingData[[#This Row],[Losing Candidate]])/(SamplingData[[#Totals],[Winning Candidate]]-SamplingData[[#Totals],[Losing Candidate]]), 0)</f>
        <v>1.5390897383547445E-3</v>
      </c>
      <c r="R42" s="100">
        <f>IF(AND(SamplingData[[#This Row],[Total]]&lt;&gt; 0, NOT(ISBLANK(SamplingData[[#This Row],[Candidate 3]]))),(SamplingData[[#This Row],[Total]]+SamplingData[[#This Row],[Winning Candidate]]-SamplingData[[#This Row],[Candidate 3]])/(SamplingData[[#Totals],[Winning Candidate]]-SamplingData[[#Totals],[Candidate 3]]), 0)</f>
        <v>0</v>
      </c>
      <c r="S42" s="100">
        <f>IF(AND(SamplingData[[#This Row],[Total]]&lt;&gt; 0, NOT(ISBLANK(SamplingData[[#This Row],[Candidate 4]]))),(SamplingData[[#This Row],[Total]]+SamplingData[[#This Row],[Winning Candidate]]-SamplingData[[#This Row],[Candidate 4]])/(SamplingData[[#Totals],[Winning Candidate]]-SamplingData[[#Totals],[Candidate 4]]), 0)</f>
        <v>0</v>
      </c>
      <c r="T42" s="100">
        <f>IF(AND(SamplingData[[#This Row],[Total]]&lt;&gt; 0, NOT(ISBLANK(SamplingData[[#This Row],[Candidate 5]]))),(SamplingData[[#This Row],[Total]]+SamplingData[[#This Row],[Winning Candidate]]-SamplingData[[#This Row],[Candidate 5]])/(SamplingData[[#Totals],[Winning Candidate]]-SamplingData[[#Totals],[Candidate 5]]), 0)</f>
        <v>0</v>
      </c>
      <c r="U42" s="100">
        <f>IF(AND(SamplingData[[#This Row],[Total]]&lt;&gt; 0, NOT(ISBLANK(SamplingData[[#This Row],[Candidate 6]]))),(SamplingData[[#This Row],[Total]]+SamplingData[[#This Row],[Losing Candidate]]-SamplingData[[#This Row],[Candidate 6]])/(SamplingData[[#Totals],[Winning Candidate]]-SamplingData[[#Totals],[Candidate 6]]), 0)</f>
        <v>0</v>
      </c>
      <c r="V42" s="100">
        <f>IF(AND(SamplingData[[#This Row],[Total]]&lt;&gt; 0, NOT(ISBLANK(SamplingData[[#This Row],[Candidate 7]]))),(SamplingData[[#This Row],[Total]]+SamplingData[[#This Row],[Winning Candidate]]-SamplingData[[#This Row],[Candidate 7]])/(SamplingData[[#Totals],[Winning Candidate]]-SamplingData[[#Totals],[Candidate 7]]), 0)</f>
        <v>0</v>
      </c>
      <c r="W42" s="100">
        <f>IF(AND(SamplingData[[#This Row],[Total]]&lt;&gt; 0, NOT(ISBLANK(SamplingData[[#This Row],[Candidate 8]]))),(SamplingData[[#This Row],[Total]]+SamplingData[[#This Row],[Winning Candidate]]-SamplingData[[#This Row],[Candidate 8]])/(SamplingData[[#Totals],[Winning Candidate]]-SamplingData[[#Totals],[Candidate 8]]), 0)</f>
        <v>0</v>
      </c>
      <c r="X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00">
        <f>MAX(SamplingData[[#This Row],[Error Bound (up) - Max. possible relative overstatement - Losing Candidate]:[Error Bound (up) - Max. possible relative overstatement - Candidate 12]])</f>
        <v>1.5390897383547445E-3</v>
      </c>
      <c r="AC42" s="100">
        <f>IF(SamplingData[[#This Row],[Max Error Bound (up)]] = 0,0,SamplingData[[#This Row],[Max Error Bound (up)]]/SamplingData[[#Totals],[Max Error Bound (up)]])</f>
        <v>6.5955957572820783E-4</v>
      </c>
      <c r="AD42" s="104">
        <f>SUM($AC$5:AC42)</f>
        <v>1.0445270015614069E-2</v>
      </c>
      <c r="AE42" s="100" t="str" cm="1">
        <f t="array" ref="AE42">IF(SamplingData[[#This Row],[up/U Selection Probability]] = 0, "Zero", TEXT(SamplingData[[#This Row],[Lower Range]], REPT("0",LEN('General Info'!$B$42))) &amp; " - " &amp; TEXT(SamplingData[[#This Row],[Upper Range]], REPT("0",LEN('General Info'!$B$42))))</f>
        <v>00979 - 01044</v>
      </c>
      <c r="AF42" s="100">
        <f>SamplingData[[#This Row],[Upper Range]]-SamplingData[[#This Row],[Span]]</f>
        <v>978.5710439885861</v>
      </c>
      <c r="AG42" s="100">
        <f>IF(ISNUMBER('General Info'!$B$42), ((SamplingData[[#This Row],[up/U Selection Probability]]) * 'General Info'!$B$44) - 1, 0)</f>
        <v>64.955957572820779</v>
      </c>
      <c r="AH42" s="100">
        <f>IF(ISNUMBER('General Info'!$B$42), (SamplingData[[#This Row],[Running (cumulative) sum]] * ('General Info'!$B$42 -'General Info'!$B$43 + 1)) + 'General Info'!$B$43 - 1, 0)</f>
        <v>1043.5270015614069</v>
      </c>
      <c r="AI42" s="100" t="str">
        <f>IF(ISERROR(MATCH(SamplingData[[#This Row],[Batch by Type (p)]],SelectedPrecincts[Batch Name], 0)), "", INDEX(SelectedPrecincts[Draw], MATCH(SamplingData[[#This Row],[Batch by Type (p)]],SelectedPrecincts[Batch Name], 0)))</f>
        <v/>
      </c>
      <c r="AJ42" s="101">
        <f>IF(COUNTIF(SelectedPrecincts[Batch Name],SamplingData[[#This Row],[Batch by Type (p)]]) &lt;&gt; 0, COUNTIF(SelectedPrecincts[Batch Name],SamplingData[[#This Row],[Batch by Type (p)]]), 0)</f>
        <v>0</v>
      </c>
    </row>
    <row r="43" spans="1:36" ht="15" customHeight="1" x14ac:dyDescent="0.35">
      <c r="A43" s="98" t="s">
        <v>255</v>
      </c>
      <c r="B43" s="98">
        <v>9</v>
      </c>
      <c r="C43" s="98">
        <v>4</v>
      </c>
      <c r="D43" s="93"/>
      <c r="E43" s="93"/>
      <c r="F43" s="93"/>
      <c r="G43" s="97"/>
      <c r="H43" s="97"/>
      <c r="I43" s="93"/>
      <c r="J43" s="93"/>
      <c r="K43" s="93"/>
      <c r="L43" s="93"/>
      <c r="M43" s="93"/>
      <c r="N43" s="98">
        <v>0</v>
      </c>
      <c r="O43" s="98">
        <v>0</v>
      </c>
      <c r="P43" s="99">
        <f>SUM(SamplingData[[#This Row],[Winning Candidate]:[Under Votes]])</f>
        <v>13</v>
      </c>
      <c r="Q43"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43" s="100">
        <f>IF(AND(SamplingData[[#This Row],[Total]]&lt;&gt; 0, NOT(ISBLANK(SamplingData[[#This Row],[Candidate 3]]))),(SamplingData[[#This Row],[Total]]+SamplingData[[#This Row],[Winning Candidate]]-SamplingData[[#This Row],[Candidate 3]])/(SamplingData[[#Totals],[Winning Candidate]]-SamplingData[[#Totals],[Candidate 3]]), 0)</f>
        <v>0</v>
      </c>
      <c r="S43" s="100">
        <f>IF(AND(SamplingData[[#This Row],[Total]]&lt;&gt; 0, NOT(ISBLANK(SamplingData[[#This Row],[Candidate 4]]))),(SamplingData[[#This Row],[Total]]+SamplingData[[#This Row],[Winning Candidate]]-SamplingData[[#This Row],[Candidate 4]])/(SamplingData[[#Totals],[Winning Candidate]]-SamplingData[[#Totals],[Candidate 4]]), 0)</f>
        <v>0</v>
      </c>
      <c r="T43" s="100">
        <f>IF(AND(SamplingData[[#This Row],[Total]]&lt;&gt; 0, NOT(ISBLANK(SamplingData[[#This Row],[Candidate 5]]))),(SamplingData[[#This Row],[Total]]+SamplingData[[#This Row],[Winning Candidate]]-SamplingData[[#This Row],[Candidate 5]])/(SamplingData[[#Totals],[Winning Candidate]]-SamplingData[[#Totals],[Candidate 5]]), 0)</f>
        <v>0</v>
      </c>
      <c r="U43" s="100">
        <f>IF(AND(SamplingData[[#This Row],[Total]]&lt;&gt; 0, NOT(ISBLANK(SamplingData[[#This Row],[Candidate 6]]))),(SamplingData[[#This Row],[Total]]+SamplingData[[#This Row],[Losing Candidate]]-SamplingData[[#This Row],[Candidate 6]])/(SamplingData[[#Totals],[Winning Candidate]]-SamplingData[[#Totals],[Candidate 6]]), 0)</f>
        <v>0</v>
      </c>
      <c r="V43" s="100">
        <f>IF(AND(SamplingData[[#This Row],[Total]]&lt;&gt; 0, NOT(ISBLANK(SamplingData[[#This Row],[Candidate 7]]))),(SamplingData[[#This Row],[Total]]+SamplingData[[#This Row],[Winning Candidate]]-SamplingData[[#This Row],[Candidate 7]])/(SamplingData[[#Totals],[Winning Candidate]]-SamplingData[[#Totals],[Candidate 7]]), 0)</f>
        <v>0</v>
      </c>
      <c r="W43" s="100">
        <f>IF(AND(SamplingData[[#This Row],[Total]]&lt;&gt; 0, NOT(ISBLANK(SamplingData[[#This Row],[Candidate 8]]))),(SamplingData[[#This Row],[Total]]+SamplingData[[#This Row],[Winning Candidate]]-SamplingData[[#This Row],[Candidate 8]])/(SamplingData[[#Totals],[Winning Candidate]]-SamplingData[[#Totals],[Candidate 8]]), 0)</f>
        <v>0</v>
      </c>
      <c r="X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00">
        <f>MAX(SamplingData[[#This Row],[Error Bound (up) - Max. possible relative overstatement - Losing Candidate]:[Error Bound (up) - Max. possible relative overstatement - Candidate 12]])</f>
        <v>5.6537990388541635E-4</v>
      </c>
      <c r="AC43" s="100">
        <f>IF(SamplingData[[#This Row],[Max Error Bound (up)]] = 0,0,SamplingData[[#This Row],[Max Error Bound (up)]]/SamplingData[[#Totals],[Max Error Bound (up)]])</f>
        <v>2.4228719108383145E-4</v>
      </c>
      <c r="AD43" s="104">
        <f>SUM($AC$5:AC43)</f>
        <v>1.06875572066979E-2</v>
      </c>
      <c r="AE43" s="100" t="str" cm="1">
        <f t="array" ref="AE43">IF(SamplingData[[#This Row],[up/U Selection Probability]] = 0, "Zero", TEXT(SamplingData[[#This Row],[Lower Range]], REPT("0",LEN('General Info'!$B$42))) &amp; " - " &amp; TEXT(SamplingData[[#This Row],[Upper Range]], REPT("0",LEN('General Info'!$B$42))))</f>
        <v>01045 - 01068</v>
      </c>
      <c r="AF43" s="100">
        <f>SamplingData[[#This Row],[Upper Range]]-SamplingData[[#This Row],[Span]]</f>
        <v>1044.5270015614069</v>
      </c>
      <c r="AG43" s="100">
        <f>IF(ISNUMBER('General Info'!$B$42), ((SamplingData[[#This Row],[up/U Selection Probability]]) * 'General Info'!$B$44) - 1, 0)</f>
        <v>23.228719108383146</v>
      </c>
      <c r="AH43" s="100">
        <f>IF(ISNUMBER('General Info'!$B$42), (SamplingData[[#This Row],[Running (cumulative) sum]] * ('General Info'!$B$42 -'General Info'!$B$43 + 1)) + 'General Info'!$B$43 - 1, 0)</f>
        <v>1067.75572066979</v>
      </c>
      <c r="AI43" s="100" t="str">
        <f>IF(ISERROR(MATCH(SamplingData[[#This Row],[Batch by Type (p)]],SelectedPrecincts[Batch Name], 0)), "", INDEX(SelectedPrecincts[Draw], MATCH(SamplingData[[#This Row],[Batch by Type (p)]],SelectedPrecincts[Batch Name], 0)))</f>
        <v/>
      </c>
      <c r="AJ43" s="101">
        <f>IF(COUNTIF(SelectedPrecincts[Batch Name],SamplingData[[#This Row],[Batch by Type (p)]]) &lt;&gt; 0, COUNTIF(SelectedPrecincts[Batch Name],SamplingData[[#This Row],[Batch by Type (p)]]), 0)</f>
        <v>0</v>
      </c>
    </row>
    <row r="44" spans="1:36" ht="15" customHeight="1" x14ac:dyDescent="0.35">
      <c r="A44" s="98" t="s">
        <v>256</v>
      </c>
      <c r="B44" s="98">
        <v>24</v>
      </c>
      <c r="C44" s="98">
        <v>0</v>
      </c>
      <c r="D44" s="93"/>
      <c r="E44" s="93"/>
      <c r="F44" s="93"/>
      <c r="G44" s="97"/>
      <c r="H44" s="97"/>
      <c r="I44" s="93"/>
      <c r="J44" s="93"/>
      <c r="K44" s="93"/>
      <c r="L44" s="93"/>
      <c r="M44" s="93"/>
      <c r="N44" s="98">
        <v>0</v>
      </c>
      <c r="O44" s="98">
        <v>2</v>
      </c>
      <c r="P44" s="99">
        <f>SUM(SamplingData[[#This Row],[Winning Candidate]:[Under Votes]])</f>
        <v>26</v>
      </c>
      <c r="Q44" s="100">
        <f>IF(AND(SamplingData[[#This Row],[Total]]&lt;&gt; 0, NOT(ISBLANK(SamplingData[[#This Row],[Losing Candidate]]))),(SamplingData[[#This Row],[Total]]+SamplingData[[#This Row],[Winning Candidate]]-SamplingData[[#This Row],[Losing Candidate]])/(SamplingData[[#Totals],[Winning Candidate]]-SamplingData[[#Totals],[Losing Candidate]]), 0)</f>
        <v>1.5704997330150453E-3</v>
      </c>
      <c r="R44" s="100">
        <f>IF(AND(SamplingData[[#This Row],[Total]]&lt;&gt; 0, NOT(ISBLANK(SamplingData[[#This Row],[Candidate 3]]))),(SamplingData[[#This Row],[Total]]+SamplingData[[#This Row],[Winning Candidate]]-SamplingData[[#This Row],[Candidate 3]])/(SamplingData[[#Totals],[Winning Candidate]]-SamplingData[[#Totals],[Candidate 3]]), 0)</f>
        <v>0</v>
      </c>
      <c r="S44" s="100">
        <f>IF(AND(SamplingData[[#This Row],[Total]]&lt;&gt; 0, NOT(ISBLANK(SamplingData[[#This Row],[Candidate 4]]))),(SamplingData[[#This Row],[Total]]+SamplingData[[#This Row],[Winning Candidate]]-SamplingData[[#This Row],[Candidate 4]])/(SamplingData[[#Totals],[Winning Candidate]]-SamplingData[[#Totals],[Candidate 4]]), 0)</f>
        <v>0</v>
      </c>
      <c r="T44" s="100">
        <f>IF(AND(SamplingData[[#This Row],[Total]]&lt;&gt; 0, NOT(ISBLANK(SamplingData[[#This Row],[Candidate 5]]))),(SamplingData[[#This Row],[Total]]+SamplingData[[#This Row],[Winning Candidate]]-SamplingData[[#This Row],[Candidate 5]])/(SamplingData[[#Totals],[Winning Candidate]]-SamplingData[[#Totals],[Candidate 5]]), 0)</f>
        <v>0</v>
      </c>
      <c r="U44" s="100">
        <f>IF(AND(SamplingData[[#This Row],[Total]]&lt;&gt; 0, NOT(ISBLANK(SamplingData[[#This Row],[Candidate 6]]))),(SamplingData[[#This Row],[Total]]+SamplingData[[#This Row],[Losing Candidate]]-SamplingData[[#This Row],[Candidate 6]])/(SamplingData[[#Totals],[Winning Candidate]]-SamplingData[[#Totals],[Candidate 6]]), 0)</f>
        <v>0</v>
      </c>
      <c r="V44" s="100">
        <f>IF(AND(SamplingData[[#This Row],[Total]]&lt;&gt; 0, NOT(ISBLANK(SamplingData[[#This Row],[Candidate 7]]))),(SamplingData[[#This Row],[Total]]+SamplingData[[#This Row],[Winning Candidate]]-SamplingData[[#This Row],[Candidate 7]])/(SamplingData[[#Totals],[Winning Candidate]]-SamplingData[[#Totals],[Candidate 7]]), 0)</f>
        <v>0</v>
      </c>
      <c r="W44" s="100">
        <f>IF(AND(SamplingData[[#This Row],[Total]]&lt;&gt; 0, NOT(ISBLANK(SamplingData[[#This Row],[Candidate 8]]))),(SamplingData[[#This Row],[Total]]+SamplingData[[#This Row],[Winning Candidate]]-SamplingData[[#This Row],[Candidate 8]])/(SamplingData[[#Totals],[Winning Candidate]]-SamplingData[[#Totals],[Candidate 8]]), 0)</f>
        <v>0</v>
      </c>
      <c r="X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00">
        <f>MAX(SamplingData[[#This Row],[Error Bound (up) - Max. possible relative overstatement - Losing Candidate]:[Error Bound (up) - Max. possible relative overstatement - Candidate 12]])</f>
        <v>1.5704997330150453E-3</v>
      </c>
      <c r="AC44" s="100">
        <f>IF(SamplingData[[#This Row],[Max Error Bound (up)]] = 0,0,SamplingData[[#This Row],[Max Error Bound (up)]]/SamplingData[[#Totals],[Max Error Bound (up)]])</f>
        <v>6.7301997523286513E-4</v>
      </c>
      <c r="AD44" s="104">
        <f>SUM($AC$5:AC44)</f>
        <v>1.1360577181930766E-2</v>
      </c>
      <c r="AE44" s="100" t="str" cm="1">
        <f t="array" ref="AE44">IF(SamplingData[[#This Row],[up/U Selection Probability]] = 0, "Zero", TEXT(SamplingData[[#This Row],[Lower Range]], REPT("0",LEN('General Info'!$B$42))) &amp; " - " &amp; TEXT(SamplingData[[#This Row],[Upper Range]], REPT("0",LEN('General Info'!$B$42))))</f>
        <v>01069 - 01135</v>
      </c>
      <c r="AF44" s="100">
        <f>SamplingData[[#This Row],[Upper Range]]-SamplingData[[#This Row],[Span]]</f>
        <v>1068.7557206697902</v>
      </c>
      <c r="AG44" s="100">
        <f>IF(ISNUMBER('General Info'!$B$42), ((SamplingData[[#This Row],[up/U Selection Probability]]) * 'General Info'!$B$44) - 1, 0)</f>
        <v>66.301997523286516</v>
      </c>
      <c r="AH44" s="100">
        <f>IF(ISNUMBER('General Info'!$B$42), (SamplingData[[#This Row],[Running (cumulative) sum]] * ('General Info'!$B$42 -'General Info'!$B$43 + 1)) + 'General Info'!$B$43 - 1, 0)</f>
        <v>1135.0577181930767</v>
      </c>
      <c r="AI44" s="100" t="str">
        <f>IF(ISERROR(MATCH(SamplingData[[#This Row],[Batch by Type (p)]],SelectedPrecincts[Batch Name], 0)), "", INDEX(SelectedPrecincts[Draw], MATCH(SamplingData[[#This Row],[Batch by Type (p)]],SelectedPrecincts[Batch Name], 0)))</f>
        <v/>
      </c>
      <c r="AJ44" s="101">
        <f>IF(COUNTIF(SelectedPrecincts[Batch Name],SamplingData[[#This Row],[Batch by Type (p)]]) &lt;&gt; 0, COUNTIF(SelectedPrecincts[Batch Name],SamplingData[[#This Row],[Batch by Type (p)]]), 0)</f>
        <v>0</v>
      </c>
    </row>
    <row r="45" spans="1:36" ht="15" customHeight="1" x14ac:dyDescent="0.35">
      <c r="A45" s="98" t="s">
        <v>257</v>
      </c>
      <c r="B45" s="98">
        <v>17</v>
      </c>
      <c r="C45" s="98">
        <v>1</v>
      </c>
      <c r="D45" s="93"/>
      <c r="E45" s="93"/>
      <c r="F45" s="93"/>
      <c r="G45" s="97"/>
      <c r="H45" s="97"/>
      <c r="I45" s="93"/>
      <c r="J45" s="93"/>
      <c r="K45" s="93"/>
      <c r="L45" s="93"/>
      <c r="M45" s="93"/>
      <c r="N45" s="98">
        <v>0</v>
      </c>
      <c r="O45" s="98">
        <v>3</v>
      </c>
      <c r="P45" s="99">
        <f>SUM(SamplingData[[#This Row],[Winning Candidate]:[Under Votes]])</f>
        <v>21</v>
      </c>
      <c r="Q45"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45" s="100">
        <f>IF(AND(SamplingData[[#This Row],[Total]]&lt;&gt; 0, NOT(ISBLANK(SamplingData[[#This Row],[Candidate 3]]))),(SamplingData[[#This Row],[Total]]+SamplingData[[#This Row],[Winning Candidate]]-SamplingData[[#This Row],[Candidate 3]])/(SamplingData[[#Totals],[Winning Candidate]]-SamplingData[[#Totals],[Candidate 3]]), 0)</f>
        <v>0</v>
      </c>
      <c r="S45" s="100">
        <f>IF(AND(SamplingData[[#This Row],[Total]]&lt;&gt; 0, NOT(ISBLANK(SamplingData[[#This Row],[Candidate 4]]))),(SamplingData[[#This Row],[Total]]+SamplingData[[#This Row],[Winning Candidate]]-SamplingData[[#This Row],[Candidate 4]])/(SamplingData[[#Totals],[Winning Candidate]]-SamplingData[[#Totals],[Candidate 4]]), 0)</f>
        <v>0</v>
      </c>
      <c r="T45" s="100">
        <f>IF(AND(SamplingData[[#This Row],[Total]]&lt;&gt; 0, NOT(ISBLANK(SamplingData[[#This Row],[Candidate 5]]))),(SamplingData[[#This Row],[Total]]+SamplingData[[#This Row],[Winning Candidate]]-SamplingData[[#This Row],[Candidate 5]])/(SamplingData[[#Totals],[Winning Candidate]]-SamplingData[[#Totals],[Candidate 5]]), 0)</f>
        <v>0</v>
      </c>
      <c r="U45" s="100">
        <f>IF(AND(SamplingData[[#This Row],[Total]]&lt;&gt; 0, NOT(ISBLANK(SamplingData[[#This Row],[Candidate 6]]))),(SamplingData[[#This Row],[Total]]+SamplingData[[#This Row],[Losing Candidate]]-SamplingData[[#This Row],[Candidate 6]])/(SamplingData[[#Totals],[Winning Candidate]]-SamplingData[[#Totals],[Candidate 6]]), 0)</f>
        <v>0</v>
      </c>
      <c r="V45" s="100">
        <f>IF(AND(SamplingData[[#This Row],[Total]]&lt;&gt; 0, NOT(ISBLANK(SamplingData[[#This Row],[Candidate 7]]))),(SamplingData[[#This Row],[Total]]+SamplingData[[#This Row],[Winning Candidate]]-SamplingData[[#This Row],[Candidate 7]])/(SamplingData[[#Totals],[Winning Candidate]]-SamplingData[[#Totals],[Candidate 7]]), 0)</f>
        <v>0</v>
      </c>
      <c r="W45" s="100">
        <f>IF(AND(SamplingData[[#This Row],[Total]]&lt;&gt; 0, NOT(ISBLANK(SamplingData[[#This Row],[Candidate 8]]))),(SamplingData[[#This Row],[Total]]+SamplingData[[#This Row],[Winning Candidate]]-SamplingData[[#This Row],[Candidate 8]])/(SamplingData[[#Totals],[Winning Candidate]]-SamplingData[[#Totals],[Candidate 8]]), 0)</f>
        <v>0</v>
      </c>
      <c r="X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00">
        <f>MAX(SamplingData[[#This Row],[Error Bound (up) - Max. possible relative overstatement - Losing Candidate]:[Error Bound (up) - Max. possible relative overstatement - Candidate 12]])</f>
        <v>1.1621698024311335E-3</v>
      </c>
      <c r="AC45" s="100">
        <f>IF(SamplingData[[#This Row],[Max Error Bound (up)]] = 0,0,SamplingData[[#This Row],[Max Error Bound (up)]]/SamplingData[[#Totals],[Max Error Bound (up)]])</f>
        <v>4.9803478167232014E-4</v>
      </c>
      <c r="AD45" s="104">
        <f>SUM($AC$5:AC45)</f>
        <v>1.1858611963603086E-2</v>
      </c>
      <c r="AE45" s="100" t="str" cm="1">
        <f t="array" ref="AE45">IF(SamplingData[[#This Row],[up/U Selection Probability]] = 0, "Zero", TEXT(SamplingData[[#This Row],[Lower Range]], REPT("0",LEN('General Info'!$B$42))) &amp; " - " &amp; TEXT(SamplingData[[#This Row],[Upper Range]], REPT("0",LEN('General Info'!$B$42))))</f>
        <v>01136 - 01185</v>
      </c>
      <c r="AF45" s="100">
        <f>SamplingData[[#This Row],[Upper Range]]-SamplingData[[#This Row],[Span]]</f>
        <v>1136.0577181930767</v>
      </c>
      <c r="AG45" s="100">
        <f>IF(ISNUMBER('General Info'!$B$42), ((SamplingData[[#This Row],[up/U Selection Probability]]) * 'General Info'!$B$44) - 1, 0)</f>
        <v>48.803478167232015</v>
      </c>
      <c r="AH45" s="100">
        <f>IF(ISNUMBER('General Info'!$B$42), (SamplingData[[#This Row],[Running (cumulative) sum]] * ('General Info'!$B$42 -'General Info'!$B$43 + 1)) + 'General Info'!$B$43 - 1, 0)</f>
        <v>1184.8611963603087</v>
      </c>
      <c r="AI45" s="100" t="str">
        <f>IF(ISERROR(MATCH(SamplingData[[#This Row],[Batch by Type (p)]],SelectedPrecincts[Batch Name], 0)), "", INDEX(SelectedPrecincts[Draw], MATCH(SamplingData[[#This Row],[Batch by Type (p)]],SelectedPrecincts[Batch Name], 0)))</f>
        <v/>
      </c>
      <c r="AJ45" s="101">
        <f>IF(COUNTIF(SelectedPrecincts[Batch Name],SamplingData[[#This Row],[Batch by Type (p)]]) &lt;&gt; 0, COUNTIF(SelectedPrecincts[Batch Name],SamplingData[[#This Row],[Batch by Type (p)]]), 0)</f>
        <v>0</v>
      </c>
    </row>
    <row r="46" spans="1:36" ht="15" customHeight="1" x14ac:dyDescent="0.35">
      <c r="A46" s="98" t="s">
        <v>258</v>
      </c>
      <c r="B46" s="98">
        <v>12</v>
      </c>
      <c r="C46" s="98">
        <v>1</v>
      </c>
      <c r="D46" s="93"/>
      <c r="E46" s="93"/>
      <c r="F46" s="93"/>
      <c r="G46" s="97"/>
      <c r="H46" s="97"/>
      <c r="I46" s="93"/>
      <c r="J46" s="93"/>
      <c r="K46" s="93"/>
      <c r="L46" s="93"/>
      <c r="M46" s="93"/>
      <c r="N46" s="98">
        <v>0</v>
      </c>
      <c r="O46" s="98">
        <v>0</v>
      </c>
      <c r="P46" s="99">
        <f>SUM(SamplingData[[#This Row],[Winning Candidate]:[Under Votes]])</f>
        <v>13</v>
      </c>
      <c r="Q46"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46" s="100">
        <f>IF(AND(SamplingData[[#This Row],[Total]]&lt;&gt; 0, NOT(ISBLANK(SamplingData[[#This Row],[Candidate 3]]))),(SamplingData[[#This Row],[Total]]+SamplingData[[#This Row],[Winning Candidate]]-SamplingData[[#This Row],[Candidate 3]])/(SamplingData[[#Totals],[Winning Candidate]]-SamplingData[[#Totals],[Candidate 3]]), 0)</f>
        <v>0</v>
      </c>
      <c r="S46" s="100">
        <f>IF(AND(SamplingData[[#This Row],[Total]]&lt;&gt; 0, NOT(ISBLANK(SamplingData[[#This Row],[Candidate 4]]))),(SamplingData[[#This Row],[Total]]+SamplingData[[#This Row],[Winning Candidate]]-SamplingData[[#This Row],[Candidate 4]])/(SamplingData[[#Totals],[Winning Candidate]]-SamplingData[[#Totals],[Candidate 4]]), 0)</f>
        <v>0</v>
      </c>
      <c r="T46" s="100">
        <f>IF(AND(SamplingData[[#This Row],[Total]]&lt;&gt; 0, NOT(ISBLANK(SamplingData[[#This Row],[Candidate 5]]))),(SamplingData[[#This Row],[Total]]+SamplingData[[#This Row],[Winning Candidate]]-SamplingData[[#This Row],[Candidate 5]])/(SamplingData[[#Totals],[Winning Candidate]]-SamplingData[[#Totals],[Candidate 5]]), 0)</f>
        <v>0</v>
      </c>
      <c r="U46" s="100">
        <f>IF(AND(SamplingData[[#This Row],[Total]]&lt;&gt; 0, NOT(ISBLANK(SamplingData[[#This Row],[Candidate 6]]))),(SamplingData[[#This Row],[Total]]+SamplingData[[#This Row],[Losing Candidate]]-SamplingData[[#This Row],[Candidate 6]])/(SamplingData[[#Totals],[Winning Candidate]]-SamplingData[[#Totals],[Candidate 6]]), 0)</f>
        <v>0</v>
      </c>
      <c r="V46" s="100">
        <f>IF(AND(SamplingData[[#This Row],[Total]]&lt;&gt; 0, NOT(ISBLANK(SamplingData[[#This Row],[Candidate 7]]))),(SamplingData[[#This Row],[Total]]+SamplingData[[#This Row],[Winning Candidate]]-SamplingData[[#This Row],[Candidate 7]])/(SamplingData[[#Totals],[Winning Candidate]]-SamplingData[[#Totals],[Candidate 7]]), 0)</f>
        <v>0</v>
      </c>
      <c r="W46" s="100">
        <f>IF(AND(SamplingData[[#This Row],[Total]]&lt;&gt; 0, NOT(ISBLANK(SamplingData[[#This Row],[Candidate 8]]))),(SamplingData[[#This Row],[Total]]+SamplingData[[#This Row],[Winning Candidate]]-SamplingData[[#This Row],[Candidate 8]])/(SamplingData[[#Totals],[Winning Candidate]]-SamplingData[[#Totals],[Candidate 8]]), 0)</f>
        <v>0</v>
      </c>
      <c r="X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00">
        <f>MAX(SamplingData[[#This Row],[Error Bound (up) - Max. possible relative overstatement - Losing Candidate]:[Error Bound (up) - Max. possible relative overstatement - Candidate 12]])</f>
        <v>7.5383987184722177E-4</v>
      </c>
      <c r="AC46" s="100">
        <f>IF(SamplingData[[#This Row],[Max Error Bound (up)]] = 0,0,SamplingData[[#This Row],[Max Error Bound (up)]]/SamplingData[[#Totals],[Max Error Bound (up)]])</f>
        <v>3.2304958811177527E-4</v>
      </c>
      <c r="AD46" s="104">
        <f>SUM($AC$5:AC46)</f>
        <v>1.2181661551714861E-2</v>
      </c>
      <c r="AE46" s="100" t="str" cm="1">
        <f t="array" ref="AE46">IF(SamplingData[[#This Row],[up/U Selection Probability]] = 0, "Zero", TEXT(SamplingData[[#This Row],[Lower Range]], REPT("0",LEN('General Info'!$B$42))) &amp; " - " &amp; TEXT(SamplingData[[#This Row],[Upper Range]], REPT("0",LEN('General Info'!$B$42))))</f>
        <v>01186 - 01217</v>
      </c>
      <c r="AF46" s="100">
        <f>SamplingData[[#This Row],[Upper Range]]-SamplingData[[#This Row],[Span]]</f>
        <v>1185.8611963603084</v>
      </c>
      <c r="AG46" s="100">
        <f>IF(ISNUMBER('General Info'!$B$42), ((SamplingData[[#This Row],[up/U Selection Probability]]) * 'General Info'!$B$44) - 1, 0)</f>
        <v>31.304958811177528</v>
      </c>
      <c r="AH46" s="100">
        <f>IF(ISNUMBER('General Info'!$B$42), (SamplingData[[#This Row],[Running (cumulative) sum]] * ('General Info'!$B$42 -'General Info'!$B$43 + 1)) + 'General Info'!$B$43 - 1, 0)</f>
        <v>1217.166155171486</v>
      </c>
      <c r="AI46" s="100" t="str">
        <f>IF(ISERROR(MATCH(SamplingData[[#This Row],[Batch by Type (p)]],SelectedPrecincts[Batch Name], 0)), "", INDEX(SelectedPrecincts[Draw], MATCH(SamplingData[[#This Row],[Batch by Type (p)]],SelectedPrecincts[Batch Name], 0)))</f>
        <v/>
      </c>
      <c r="AJ46" s="101">
        <f>IF(COUNTIF(SelectedPrecincts[Batch Name],SamplingData[[#This Row],[Batch by Type (p)]]) &lt;&gt; 0, COUNTIF(SelectedPrecincts[Batch Name],SamplingData[[#This Row],[Batch by Type (p)]]), 0)</f>
        <v>0</v>
      </c>
    </row>
    <row r="47" spans="1:36" ht="15" customHeight="1" x14ac:dyDescent="0.35">
      <c r="A47" s="98" t="s">
        <v>259</v>
      </c>
      <c r="B47" s="98">
        <v>12</v>
      </c>
      <c r="C47" s="98">
        <v>1</v>
      </c>
      <c r="D47" s="93"/>
      <c r="E47" s="93"/>
      <c r="F47" s="93"/>
      <c r="G47" s="97"/>
      <c r="H47" s="97"/>
      <c r="I47" s="93"/>
      <c r="J47" s="93"/>
      <c r="K47" s="93"/>
      <c r="L47" s="93"/>
      <c r="M47" s="93"/>
      <c r="N47" s="98">
        <v>0</v>
      </c>
      <c r="O47" s="98">
        <v>0</v>
      </c>
      <c r="P47" s="99">
        <f>SUM(SamplingData[[#This Row],[Winning Candidate]:[Under Votes]])</f>
        <v>13</v>
      </c>
      <c r="Q47"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47" s="100">
        <f>IF(AND(SamplingData[[#This Row],[Total]]&lt;&gt; 0, NOT(ISBLANK(SamplingData[[#This Row],[Candidate 3]]))),(SamplingData[[#This Row],[Total]]+SamplingData[[#This Row],[Winning Candidate]]-SamplingData[[#This Row],[Candidate 3]])/(SamplingData[[#Totals],[Winning Candidate]]-SamplingData[[#Totals],[Candidate 3]]), 0)</f>
        <v>0</v>
      </c>
      <c r="S47" s="100">
        <f>IF(AND(SamplingData[[#This Row],[Total]]&lt;&gt; 0, NOT(ISBLANK(SamplingData[[#This Row],[Candidate 4]]))),(SamplingData[[#This Row],[Total]]+SamplingData[[#This Row],[Winning Candidate]]-SamplingData[[#This Row],[Candidate 4]])/(SamplingData[[#Totals],[Winning Candidate]]-SamplingData[[#Totals],[Candidate 4]]), 0)</f>
        <v>0</v>
      </c>
      <c r="T47" s="100">
        <f>IF(AND(SamplingData[[#This Row],[Total]]&lt;&gt; 0, NOT(ISBLANK(SamplingData[[#This Row],[Candidate 5]]))),(SamplingData[[#This Row],[Total]]+SamplingData[[#This Row],[Winning Candidate]]-SamplingData[[#This Row],[Candidate 5]])/(SamplingData[[#Totals],[Winning Candidate]]-SamplingData[[#Totals],[Candidate 5]]), 0)</f>
        <v>0</v>
      </c>
      <c r="U47" s="100">
        <f>IF(AND(SamplingData[[#This Row],[Total]]&lt;&gt; 0, NOT(ISBLANK(SamplingData[[#This Row],[Candidate 6]]))),(SamplingData[[#This Row],[Total]]+SamplingData[[#This Row],[Losing Candidate]]-SamplingData[[#This Row],[Candidate 6]])/(SamplingData[[#Totals],[Winning Candidate]]-SamplingData[[#Totals],[Candidate 6]]), 0)</f>
        <v>0</v>
      </c>
      <c r="V47" s="100">
        <f>IF(AND(SamplingData[[#This Row],[Total]]&lt;&gt; 0, NOT(ISBLANK(SamplingData[[#This Row],[Candidate 7]]))),(SamplingData[[#This Row],[Total]]+SamplingData[[#This Row],[Winning Candidate]]-SamplingData[[#This Row],[Candidate 7]])/(SamplingData[[#Totals],[Winning Candidate]]-SamplingData[[#Totals],[Candidate 7]]), 0)</f>
        <v>0</v>
      </c>
      <c r="W47" s="100">
        <f>IF(AND(SamplingData[[#This Row],[Total]]&lt;&gt; 0, NOT(ISBLANK(SamplingData[[#This Row],[Candidate 8]]))),(SamplingData[[#This Row],[Total]]+SamplingData[[#This Row],[Winning Candidate]]-SamplingData[[#This Row],[Candidate 8]])/(SamplingData[[#Totals],[Winning Candidate]]-SamplingData[[#Totals],[Candidate 8]]), 0)</f>
        <v>0</v>
      </c>
      <c r="X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00">
        <f>MAX(SamplingData[[#This Row],[Error Bound (up) - Max. possible relative overstatement - Losing Candidate]:[Error Bound (up) - Max. possible relative overstatement - Candidate 12]])</f>
        <v>7.5383987184722177E-4</v>
      </c>
      <c r="AC47" s="100">
        <f>IF(SamplingData[[#This Row],[Max Error Bound (up)]] = 0,0,SamplingData[[#This Row],[Max Error Bound (up)]]/SamplingData[[#Totals],[Max Error Bound (up)]])</f>
        <v>3.2304958811177527E-4</v>
      </c>
      <c r="AD47" s="104">
        <f>SUM($AC$5:AC47)</f>
        <v>1.2504711139826636E-2</v>
      </c>
      <c r="AE47" s="100" t="str" cm="1">
        <f t="array" ref="AE47">IF(SamplingData[[#This Row],[up/U Selection Probability]] = 0, "Zero", TEXT(SamplingData[[#This Row],[Lower Range]], REPT("0",LEN('General Info'!$B$42))) &amp; " - " &amp; TEXT(SamplingData[[#This Row],[Upper Range]], REPT("0",LEN('General Info'!$B$42))))</f>
        <v>01218 - 01249</v>
      </c>
      <c r="AF47" s="100">
        <f>SamplingData[[#This Row],[Upper Range]]-SamplingData[[#This Row],[Span]]</f>
        <v>1218.166155171486</v>
      </c>
      <c r="AG47" s="100">
        <f>IF(ISNUMBER('General Info'!$B$42), ((SamplingData[[#This Row],[up/U Selection Probability]]) * 'General Info'!$B$44) - 1, 0)</f>
        <v>31.304958811177528</v>
      </c>
      <c r="AH47" s="100">
        <f>IF(ISNUMBER('General Info'!$B$42), (SamplingData[[#This Row],[Running (cumulative) sum]] * ('General Info'!$B$42 -'General Info'!$B$43 + 1)) + 'General Info'!$B$43 - 1, 0)</f>
        <v>1249.4711139826636</v>
      </c>
      <c r="AI47" s="100" t="str">
        <f>IF(ISERROR(MATCH(SamplingData[[#This Row],[Batch by Type (p)]],SelectedPrecincts[Batch Name], 0)), "", INDEX(SelectedPrecincts[Draw], MATCH(SamplingData[[#This Row],[Batch by Type (p)]],SelectedPrecincts[Batch Name], 0)))</f>
        <v/>
      </c>
      <c r="AJ47" s="101">
        <f>IF(COUNTIF(SelectedPrecincts[Batch Name],SamplingData[[#This Row],[Batch by Type (p)]]) &lt;&gt; 0, COUNTIF(SelectedPrecincts[Batch Name],SamplingData[[#This Row],[Batch by Type (p)]]), 0)</f>
        <v>0</v>
      </c>
    </row>
    <row r="48" spans="1:36" ht="15" customHeight="1" x14ac:dyDescent="0.35">
      <c r="A48" s="98" t="s">
        <v>260</v>
      </c>
      <c r="B48" s="98">
        <v>28</v>
      </c>
      <c r="C48" s="98">
        <v>2</v>
      </c>
      <c r="D48" s="93"/>
      <c r="E48" s="93"/>
      <c r="F48" s="93"/>
      <c r="G48" s="97"/>
      <c r="H48" s="97"/>
      <c r="I48" s="93"/>
      <c r="J48" s="93"/>
      <c r="K48" s="93"/>
      <c r="L48" s="93"/>
      <c r="M48" s="93"/>
      <c r="N48" s="98">
        <v>0</v>
      </c>
      <c r="O48" s="98">
        <v>3</v>
      </c>
      <c r="P48" s="99">
        <f>SUM(SamplingData[[#This Row],[Winning Candidate]:[Under Votes]])</f>
        <v>33</v>
      </c>
      <c r="Q48" s="100">
        <f>IF(AND(SamplingData[[#This Row],[Total]]&lt;&gt; 0, NOT(ISBLANK(SamplingData[[#This Row],[Losing Candidate]]))),(SamplingData[[#This Row],[Total]]+SamplingData[[#This Row],[Winning Candidate]]-SamplingData[[#This Row],[Losing Candidate]])/(SamplingData[[#Totals],[Winning Candidate]]-SamplingData[[#Totals],[Losing Candidate]]), 0)</f>
        <v>1.8531896849577536E-3</v>
      </c>
      <c r="R48" s="100">
        <f>IF(AND(SamplingData[[#This Row],[Total]]&lt;&gt; 0, NOT(ISBLANK(SamplingData[[#This Row],[Candidate 3]]))),(SamplingData[[#This Row],[Total]]+SamplingData[[#This Row],[Winning Candidate]]-SamplingData[[#This Row],[Candidate 3]])/(SamplingData[[#Totals],[Winning Candidate]]-SamplingData[[#Totals],[Candidate 3]]), 0)</f>
        <v>0</v>
      </c>
      <c r="S48" s="100">
        <f>IF(AND(SamplingData[[#This Row],[Total]]&lt;&gt; 0, NOT(ISBLANK(SamplingData[[#This Row],[Candidate 4]]))),(SamplingData[[#This Row],[Total]]+SamplingData[[#This Row],[Winning Candidate]]-SamplingData[[#This Row],[Candidate 4]])/(SamplingData[[#Totals],[Winning Candidate]]-SamplingData[[#Totals],[Candidate 4]]), 0)</f>
        <v>0</v>
      </c>
      <c r="T48" s="100">
        <f>IF(AND(SamplingData[[#This Row],[Total]]&lt;&gt; 0, NOT(ISBLANK(SamplingData[[#This Row],[Candidate 5]]))),(SamplingData[[#This Row],[Total]]+SamplingData[[#This Row],[Winning Candidate]]-SamplingData[[#This Row],[Candidate 5]])/(SamplingData[[#Totals],[Winning Candidate]]-SamplingData[[#Totals],[Candidate 5]]), 0)</f>
        <v>0</v>
      </c>
      <c r="U48" s="100">
        <f>IF(AND(SamplingData[[#This Row],[Total]]&lt;&gt; 0, NOT(ISBLANK(SamplingData[[#This Row],[Candidate 6]]))),(SamplingData[[#This Row],[Total]]+SamplingData[[#This Row],[Losing Candidate]]-SamplingData[[#This Row],[Candidate 6]])/(SamplingData[[#Totals],[Winning Candidate]]-SamplingData[[#Totals],[Candidate 6]]), 0)</f>
        <v>0</v>
      </c>
      <c r="V48" s="100">
        <f>IF(AND(SamplingData[[#This Row],[Total]]&lt;&gt; 0, NOT(ISBLANK(SamplingData[[#This Row],[Candidate 7]]))),(SamplingData[[#This Row],[Total]]+SamplingData[[#This Row],[Winning Candidate]]-SamplingData[[#This Row],[Candidate 7]])/(SamplingData[[#Totals],[Winning Candidate]]-SamplingData[[#Totals],[Candidate 7]]), 0)</f>
        <v>0</v>
      </c>
      <c r="W48" s="100">
        <f>IF(AND(SamplingData[[#This Row],[Total]]&lt;&gt; 0, NOT(ISBLANK(SamplingData[[#This Row],[Candidate 8]]))),(SamplingData[[#This Row],[Total]]+SamplingData[[#This Row],[Winning Candidate]]-SamplingData[[#This Row],[Candidate 8]])/(SamplingData[[#Totals],[Winning Candidate]]-SamplingData[[#Totals],[Candidate 8]]), 0)</f>
        <v>0</v>
      </c>
      <c r="X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00">
        <f>MAX(SamplingData[[#This Row],[Error Bound (up) - Max. possible relative overstatement - Losing Candidate]:[Error Bound (up) - Max. possible relative overstatement - Candidate 12]])</f>
        <v>1.8531896849577536E-3</v>
      </c>
      <c r="AC48" s="100">
        <f>IF(SamplingData[[#This Row],[Max Error Bound (up)]] = 0,0,SamplingData[[#This Row],[Max Error Bound (up)]]/SamplingData[[#Totals],[Max Error Bound (up)]])</f>
        <v>7.9416357077478092E-4</v>
      </c>
      <c r="AD48" s="104">
        <f>SUM($AC$5:AC48)</f>
        <v>1.3298874710601417E-2</v>
      </c>
      <c r="AE48" s="100" t="str" cm="1">
        <f t="array" ref="AE48">IF(SamplingData[[#This Row],[up/U Selection Probability]] = 0, "Zero", TEXT(SamplingData[[#This Row],[Lower Range]], REPT("0",LEN('General Info'!$B$42))) &amp; " - " &amp; TEXT(SamplingData[[#This Row],[Upper Range]], REPT("0",LEN('General Info'!$B$42))))</f>
        <v>01250 - 01329</v>
      </c>
      <c r="AF48" s="100">
        <f>SamplingData[[#This Row],[Upper Range]]-SamplingData[[#This Row],[Span]]</f>
        <v>1250.4711139826636</v>
      </c>
      <c r="AG48" s="100">
        <f>IF(ISNUMBER('General Info'!$B$42), ((SamplingData[[#This Row],[up/U Selection Probability]]) * 'General Info'!$B$44) - 1, 0)</f>
        <v>78.416357077478096</v>
      </c>
      <c r="AH48" s="100">
        <f>IF(ISNUMBER('General Info'!$B$42), (SamplingData[[#This Row],[Running (cumulative) sum]] * ('General Info'!$B$42 -'General Info'!$B$43 + 1)) + 'General Info'!$B$43 - 1, 0)</f>
        <v>1328.8874710601417</v>
      </c>
      <c r="AI48" s="100" t="str">
        <f>IF(ISERROR(MATCH(SamplingData[[#This Row],[Batch by Type (p)]],SelectedPrecincts[Batch Name], 0)), "", INDEX(SelectedPrecincts[Draw], MATCH(SamplingData[[#This Row],[Batch by Type (p)]],SelectedPrecincts[Batch Name], 0)))</f>
        <v/>
      </c>
      <c r="AJ48" s="101">
        <f>IF(COUNTIF(SelectedPrecincts[Batch Name],SamplingData[[#This Row],[Batch by Type (p)]]) &lt;&gt; 0, COUNTIF(SelectedPrecincts[Batch Name],SamplingData[[#This Row],[Batch by Type (p)]]), 0)</f>
        <v>0</v>
      </c>
    </row>
    <row r="49" spans="1:36" ht="15" customHeight="1" x14ac:dyDescent="0.35">
      <c r="A49" s="98" t="s">
        <v>261</v>
      </c>
      <c r="B49" s="98">
        <v>3</v>
      </c>
      <c r="C49" s="98">
        <v>1</v>
      </c>
      <c r="D49" s="93"/>
      <c r="E49" s="93"/>
      <c r="F49" s="93"/>
      <c r="G49" s="97"/>
      <c r="H49" s="97"/>
      <c r="I49" s="93"/>
      <c r="J49" s="93"/>
      <c r="K49" s="93"/>
      <c r="L49" s="93"/>
      <c r="M49" s="93"/>
      <c r="N49" s="98">
        <v>0</v>
      </c>
      <c r="O49" s="98">
        <v>0</v>
      </c>
      <c r="P49" s="99">
        <f>SUM(SamplingData[[#This Row],[Winning Candidate]:[Under Votes]])</f>
        <v>4</v>
      </c>
      <c r="Q4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9" s="100">
        <f>IF(AND(SamplingData[[#This Row],[Total]]&lt;&gt; 0, NOT(ISBLANK(SamplingData[[#This Row],[Candidate 3]]))),(SamplingData[[#This Row],[Total]]+SamplingData[[#This Row],[Winning Candidate]]-SamplingData[[#This Row],[Candidate 3]])/(SamplingData[[#Totals],[Winning Candidate]]-SamplingData[[#Totals],[Candidate 3]]), 0)</f>
        <v>0</v>
      </c>
      <c r="S49" s="100">
        <f>IF(AND(SamplingData[[#This Row],[Total]]&lt;&gt; 0, NOT(ISBLANK(SamplingData[[#This Row],[Candidate 4]]))),(SamplingData[[#This Row],[Total]]+SamplingData[[#This Row],[Winning Candidate]]-SamplingData[[#This Row],[Candidate 4]])/(SamplingData[[#Totals],[Winning Candidate]]-SamplingData[[#Totals],[Candidate 4]]), 0)</f>
        <v>0</v>
      </c>
      <c r="T49" s="100">
        <f>IF(AND(SamplingData[[#This Row],[Total]]&lt;&gt; 0, NOT(ISBLANK(SamplingData[[#This Row],[Candidate 5]]))),(SamplingData[[#This Row],[Total]]+SamplingData[[#This Row],[Winning Candidate]]-SamplingData[[#This Row],[Candidate 5]])/(SamplingData[[#Totals],[Winning Candidate]]-SamplingData[[#Totals],[Candidate 5]]), 0)</f>
        <v>0</v>
      </c>
      <c r="U49" s="100">
        <f>IF(AND(SamplingData[[#This Row],[Total]]&lt;&gt; 0, NOT(ISBLANK(SamplingData[[#This Row],[Candidate 6]]))),(SamplingData[[#This Row],[Total]]+SamplingData[[#This Row],[Losing Candidate]]-SamplingData[[#This Row],[Candidate 6]])/(SamplingData[[#Totals],[Winning Candidate]]-SamplingData[[#Totals],[Candidate 6]]), 0)</f>
        <v>0</v>
      </c>
      <c r="V49" s="100">
        <f>IF(AND(SamplingData[[#This Row],[Total]]&lt;&gt; 0, NOT(ISBLANK(SamplingData[[#This Row],[Candidate 7]]))),(SamplingData[[#This Row],[Total]]+SamplingData[[#This Row],[Winning Candidate]]-SamplingData[[#This Row],[Candidate 7]])/(SamplingData[[#Totals],[Winning Candidate]]-SamplingData[[#Totals],[Candidate 7]]), 0)</f>
        <v>0</v>
      </c>
      <c r="W49" s="100">
        <f>IF(AND(SamplingData[[#This Row],[Total]]&lt;&gt; 0, NOT(ISBLANK(SamplingData[[#This Row],[Candidate 8]]))),(SamplingData[[#This Row],[Total]]+SamplingData[[#This Row],[Winning Candidate]]-SamplingData[[#This Row],[Candidate 8]])/(SamplingData[[#Totals],[Winning Candidate]]-SamplingData[[#Totals],[Candidate 8]]), 0)</f>
        <v>0</v>
      </c>
      <c r="X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00">
        <f>MAX(SamplingData[[#This Row],[Error Bound (up) - Max. possible relative overstatement - Losing Candidate]:[Error Bound (up) - Max. possible relative overstatement - Candidate 12]])</f>
        <v>1.8845996796180544E-4</v>
      </c>
      <c r="AC49" s="100">
        <f>IF(SamplingData[[#This Row],[Max Error Bound (up)]] = 0,0,SamplingData[[#This Row],[Max Error Bound (up)]]/SamplingData[[#Totals],[Max Error Bound (up)]])</f>
        <v>8.0762397027943816E-5</v>
      </c>
      <c r="AD49" s="104">
        <f>SUM($AC$5:AC49)</f>
        <v>1.337963710762936E-2</v>
      </c>
      <c r="AE49" s="100" t="str" cm="1">
        <f t="array" ref="AE49">IF(SamplingData[[#This Row],[up/U Selection Probability]] = 0, "Zero", TEXT(SamplingData[[#This Row],[Lower Range]], REPT("0",LEN('General Info'!$B$42))) &amp; " - " &amp; TEXT(SamplingData[[#This Row],[Upper Range]], REPT("0",LEN('General Info'!$B$42))))</f>
        <v>01330 - 01337</v>
      </c>
      <c r="AF49" s="100">
        <f>SamplingData[[#This Row],[Upper Range]]-SamplingData[[#This Row],[Span]]</f>
        <v>1329.8874710601417</v>
      </c>
      <c r="AG49" s="100">
        <f>IF(ISNUMBER('General Info'!$B$42), ((SamplingData[[#This Row],[up/U Selection Probability]]) * 'General Info'!$B$44) - 1, 0)</f>
        <v>7.076239702794382</v>
      </c>
      <c r="AH49" s="100">
        <f>IF(ISNUMBER('General Info'!$B$42), (SamplingData[[#This Row],[Running (cumulative) sum]] * ('General Info'!$B$42 -'General Info'!$B$43 + 1)) + 'General Info'!$B$43 - 1, 0)</f>
        <v>1336.963710762936</v>
      </c>
      <c r="AI49" s="100" t="str">
        <f>IF(ISERROR(MATCH(SamplingData[[#This Row],[Batch by Type (p)]],SelectedPrecincts[Batch Name], 0)), "", INDEX(SelectedPrecincts[Draw], MATCH(SamplingData[[#This Row],[Batch by Type (p)]],SelectedPrecincts[Batch Name], 0)))</f>
        <v/>
      </c>
      <c r="AJ49" s="101">
        <f>IF(COUNTIF(SelectedPrecincts[Batch Name],SamplingData[[#This Row],[Batch by Type (p)]]) &lt;&gt; 0, COUNTIF(SelectedPrecincts[Batch Name],SamplingData[[#This Row],[Batch by Type (p)]]), 0)</f>
        <v>0</v>
      </c>
    </row>
    <row r="50" spans="1:36" ht="15" customHeight="1" x14ac:dyDescent="0.35">
      <c r="A50" s="98" t="s">
        <v>262</v>
      </c>
      <c r="B50" s="98">
        <v>23</v>
      </c>
      <c r="C50" s="98">
        <v>1</v>
      </c>
      <c r="D50" s="93"/>
      <c r="E50" s="93"/>
      <c r="F50" s="93"/>
      <c r="G50" s="97"/>
      <c r="H50" s="97"/>
      <c r="I50" s="93"/>
      <c r="J50" s="93"/>
      <c r="K50" s="93"/>
      <c r="L50" s="93"/>
      <c r="M50" s="93"/>
      <c r="N50" s="98">
        <v>0</v>
      </c>
      <c r="O50" s="98">
        <v>0</v>
      </c>
      <c r="P50" s="99">
        <f>SUM(SamplingData[[#This Row],[Winning Candidate]:[Under Votes]])</f>
        <v>24</v>
      </c>
      <c r="Q50" s="100">
        <f>IF(AND(SamplingData[[#This Row],[Total]]&lt;&gt; 0, NOT(ISBLANK(SamplingData[[#This Row],[Losing Candidate]]))),(SamplingData[[#This Row],[Total]]+SamplingData[[#This Row],[Winning Candidate]]-SamplingData[[#This Row],[Losing Candidate]])/(SamplingData[[#Totals],[Winning Candidate]]-SamplingData[[#Totals],[Losing Candidate]]), 0)</f>
        <v>1.4448597543738418E-3</v>
      </c>
      <c r="R50" s="100">
        <f>IF(AND(SamplingData[[#This Row],[Total]]&lt;&gt; 0, NOT(ISBLANK(SamplingData[[#This Row],[Candidate 3]]))),(SamplingData[[#This Row],[Total]]+SamplingData[[#This Row],[Winning Candidate]]-SamplingData[[#This Row],[Candidate 3]])/(SamplingData[[#Totals],[Winning Candidate]]-SamplingData[[#Totals],[Candidate 3]]), 0)</f>
        <v>0</v>
      </c>
      <c r="S50" s="100">
        <f>IF(AND(SamplingData[[#This Row],[Total]]&lt;&gt; 0, NOT(ISBLANK(SamplingData[[#This Row],[Candidate 4]]))),(SamplingData[[#This Row],[Total]]+SamplingData[[#This Row],[Winning Candidate]]-SamplingData[[#This Row],[Candidate 4]])/(SamplingData[[#Totals],[Winning Candidate]]-SamplingData[[#Totals],[Candidate 4]]), 0)</f>
        <v>0</v>
      </c>
      <c r="T50" s="100">
        <f>IF(AND(SamplingData[[#This Row],[Total]]&lt;&gt; 0, NOT(ISBLANK(SamplingData[[#This Row],[Candidate 5]]))),(SamplingData[[#This Row],[Total]]+SamplingData[[#This Row],[Winning Candidate]]-SamplingData[[#This Row],[Candidate 5]])/(SamplingData[[#Totals],[Winning Candidate]]-SamplingData[[#Totals],[Candidate 5]]), 0)</f>
        <v>0</v>
      </c>
      <c r="U50" s="100">
        <f>IF(AND(SamplingData[[#This Row],[Total]]&lt;&gt; 0, NOT(ISBLANK(SamplingData[[#This Row],[Candidate 6]]))),(SamplingData[[#This Row],[Total]]+SamplingData[[#This Row],[Losing Candidate]]-SamplingData[[#This Row],[Candidate 6]])/(SamplingData[[#Totals],[Winning Candidate]]-SamplingData[[#Totals],[Candidate 6]]), 0)</f>
        <v>0</v>
      </c>
      <c r="V50" s="100">
        <f>IF(AND(SamplingData[[#This Row],[Total]]&lt;&gt; 0, NOT(ISBLANK(SamplingData[[#This Row],[Candidate 7]]))),(SamplingData[[#This Row],[Total]]+SamplingData[[#This Row],[Winning Candidate]]-SamplingData[[#This Row],[Candidate 7]])/(SamplingData[[#Totals],[Winning Candidate]]-SamplingData[[#Totals],[Candidate 7]]), 0)</f>
        <v>0</v>
      </c>
      <c r="W50" s="100">
        <f>IF(AND(SamplingData[[#This Row],[Total]]&lt;&gt; 0, NOT(ISBLANK(SamplingData[[#This Row],[Candidate 8]]))),(SamplingData[[#This Row],[Total]]+SamplingData[[#This Row],[Winning Candidate]]-SamplingData[[#This Row],[Candidate 8]])/(SamplingData[[#Totals],[Winning Candidate]]-SamplingData[[#Totals],[Candidate 8]]), 0)</f>
        <v>0</v>
      </c>
      <c r="X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00">
        <f>MAX(SamplingData[[#This Row],[Error Bound (up) - Max. possible relative overstatement - Losing Candidate]:[Error Bound (up) - Max. possible relative overstatement - Candidate 12]])</f>
        <v>1.4448597543738418E-3</v>
      </c>
      <c r="AC50" s="100">
        <f>IF(SamplingData[[#This Row],[Max Error Bound (up)]] = 0,0,SamplingData[[#This Row],[Max Error Bound (up)]]/SamplingData[[#Totals],[Max Error Bound (up)]])</f>
        <v>6.1917837721423593E-4</v>
      </c>
      <c r="AD50" s="104">
        <f>SUM($AC$5:AC50)</f>
        <v>1.3998815484843595E-2</v>
      </c>
      <c r="AE50" s="100" t="str" cm="1">
        <f t="array" ref="AE50">IF(SamplingData[[#This Row],[up/U Selection Probability]] = 0, "Zero", TEXT(SamplingData[[#This Row],[Lower Range]], REPT("0",LEN('General Info'!$B$42))) &amp; " - " &amp; TEXT(SamplingData[[#This Row],[Upper Range]], REPT("0",LEN('General Info'!$B$42))))</f>
        <v>01338 - 01399</v>
      </c>
      <c r="AF50" s="100">
        <f>SamplingData[[#This Row],[Upper Range]]-SamplingData[[#This Row],[Span]]</f>
        <v>1337.9637107629358</v>
      </c>
      <c r="AG50" s="100">
        <f>IF(ISNUMBER('General Info'!$B$42), ((SamplingData[[#This Row],[up/U Selection Probability]]) * 'General Info'!$B$44) - 1, 0)</f>
        <v>60.917837721423595</v>
      </c>
      <c r="AH50" s="100">
        <f>IF(ISNUMBER('General Info'!$B$42), (SamplingData[[#This Row],[Running (cumulative) sum]] * ('General Info'!$B$42 -'General Info'!$B$43 + 1)) + 'General Info'!$B$43 - 1, 0)</f>
        <v>1398.8815484843594</v>
      </c>
      <c r="AI50" s="100" t="str">
        <f>IF(ISERROR(MATCH(SamplingData[[#This Row],[Batch by Type (p)]],SelectedPrecincts[Batch Name], 0)), "", INDEX(SelectedPrecincts[Draw], MATCH(SamplingData[[#This Row],[Batch by Type (p)]],SelectedPrecincts[Batch Name], 0)))</f>
        <v/>
      </c>
      <c r="AJ50" s="101">
        <f>IF(COUNTIF(SelectedPrecincts[Batch Name],SamplingData[[#This Row],[Batch by Type (p)]]) &lt;&gt; 0, COUNTIF(SelectedPrecincts[Batch Name],SamplingData[[#This Row],[Batch by Type (p)]]), 0)</f>
        <v>0</v>
      </c>
    </row>
    <row r="51" spans="1:36" ht="15" customHeight="1" x14ac:dyDescent="0.35">
      <c r="A51" s="98" t="s">
        <v>263</v>
      </c>
      <c r="B51" s="98">
        <v>7</v>
      </c>
      <c r="C51" s="98">
        <v>1</v>
      </c>
      <c r="D51" s="93"/>
      <c r="E51" s="93"/>
      <c r="F51" s="93"/>
      <c r="G51" s="97"/>
      <c r="H51" s="97"/>
      <c r="I51" s="93"/>
      <c r="J51" s="93"/>
      <c r="K51" s="93"/>
      <c r="L51" s="93"/>
      <c r="M51" s="93"/>
      <c r="N51" s="98">
        <v>0</v>
      </c>
      <c r="O51" s="98">
        <v>0</v>
      </c>
      <c r="P51" s="99">
        <f>SUM(SamplingData[[#This Row],[Winning Candidate]:[Under Votes]])</f>
        <v>8</v>
      </c>
      <c r="Q51"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51" s="100">
        <f>IF(AND(SamplingData[[#This Row],[Total]]&lt;&gt; 0, NOT(ISBLANK(SamplingData[[#This Row],[Candidate 3]]))),(SamplingData[[#This Row],[Total]]+SamplingData[[#This Row],[Winning Candidate]]-SamplingData[[#This Row],[Candidate 3]])/(SamplingData[[#Totals],[Winning Candidate]]-SamplingData[[#Totals],[Candidate 3]]), 0)</f>
        <v>0</v>
      </c>
      <c r="S51" s="100">
        <f>IF(AND(SamplingData[[#This Row],[Total]]&lt;&gt; 0, NOT(ISBLANK(SamplingData[[#This Row],[Candidate 4]]))),(SamplingData[[#This Row],[Total]]+SamplingData[[#This Row],[Winning Candidate]]-SamplingData[[#This Row],[Candidate 4]])/(SamplingData[[#Totals],[Winning Candidate]]-SamplingData[[#Totals],[Candidate 4]]), 0)</f>
        <v>0</v>
      </c>
      <c r="T51" s="100">
        <f>IF(AND(SamplingData[[#This Row],[Total]]&lt;&gt; 0, NOT(ISBLANK(SamplingData[[#This Row],[Candidate 5]]))),(SamplingData[[#This Row],[Total]]+SamplingData[[#This Row],[Winning Candidate]]-SamplingData[[#This Row],[Candidate 5]])/(SamplingData[[#Totals],[Winning Candidate]]-SamplingData[[#Totals],[Candidate 5]]), 0)</f>
        <v>0</v>
      </c>
      <c r="U51" s="100">
        <f>IF(AND(SamplingData[[#This Row],[Total]]&lt;&gt; 0, NOT(ISBLANK(SamplingData[[#This Row],[Candidate 6]]))),(SamplingData[[#This Row],[Total]]+SamplingData[[#This Row],[Losing Candidate]]-SamplingData[[#This Row],[Candidate 6]])/(SamplingData[[#Totals],[Winning Candidate]]-SamplingData[[#Totals],[Candidate 6]]), 0)</f>
        <v>0</v>
      </c>
      <c r="V51" s="100">
        <f>IF(AND(SamplingData[[#This Row],[Total]]&lt;&gt; 0, NOT(ISBLANK(SamplingData[[#This Row],[Candidate 7]]))),(SamplingData[[#This Row],[Total]]+SamplingData[[#This Row],[Winning Candidate]]-SamplingData[[#This Row],[Candidate 7]])/(SamplingData[[#Totals],[Winning Candidate]]-SamplingData[[#Totals],[Candidate 7]]), 0)</f>
        <v>0</v>
      </c>
      <c r="W51" s="100">
        <f>IF(AND(SamplingData[[#This Row],[Total]]&lt;&gt; 0, NOT(ISBLANK(SamplingData[[#This Row],[Candidate 8]]))),(SamplingData[[#This Row],[Total]]+SamplingData[[#This Row],[Winning Candidate]]-SamplingData[[#This Row],[Candidate 8]])/(SamplingData[[#Totals],[Winning Candidate]]-SamplingData[[#Totals],[Candidate 8]]), 0)</f>
        <v>0</v>
      </c>
      <c r="X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00">
        <f>MAX(SamplingData[[#This Row],[Error Bound (up) - Max. possible relative overstatement - Losing Candidate]:[Error Bound (up) - Max. possible relative overstatement - Candidate 12]])</f>
        <v>4.3973992524421271E-4</v>
      </c>
      <c r="AC51" s="100">
        <f>IF(SamplingData[[#This Row],[Max Error Bound (up)]] = 0,0,SamplingData[[#This Row],[Max Error Bound (up)]]/SamplingData[[#Totals],[Max Error Bound (up)]])</f>
        <v>1.8844559306520223E-4</v>
      </c>
      <c r="AD51" s="104">
        <f>SUM($AC$5:AC51)</f>
        <v>1.4187261077908797E-2</v>
      </c>
      <c r="AE51" s="100" t="str" cm="1">
        <f t="array" ref="AE51">IF(SamplingData[[#This Row],[up/U Selection Probability]] = 0, "Zero", TEXT(SamplingData[[#This Row],[Lower Range]], REPT("0",LEN('General Info'!$B$42))) &amp; " - " &amp; TEXT(SamplingData[[#This Row],[Upper Range]], REPT("0",LEN('General Info'!$B$42))))</f>
        <v>01400 - 01418</v>
      </c>
      <c r="AF51" s="100">
        <f>SamplingData[[#This Row],[Upper Range]]-SamplingData[[#This Row],[Span]]</f>
        <v>1399.8815484843594</v>
      </c>
      <c r="AG51" s="100">
        <f>IF(ISNUMBER('General Info'!$B$42), ((SamplingData[[#This Row],[up/U Selection Probability]]) * 'General Info'!$B$44) - 1, 0)</f>
        <v>17.844559306520225</v>
      </c>
      <c r="AH51" s="100">
        <f>IF(ISNUMBER('General Info'!$B$42), (SamplingData[[#This Row],[Running (cumulative) sum]] * ('General Info'!$B$42 -'General Info'!$B$43 + 1)) + 'General Info'!$B$43 - 1, 0)</f>
        <v>1417.7261077908797</v>
      </c>
      <c r="AI51" s="100" t="str">
        <f>IF(ISERROR(MATCH(SamplingData[[#This Row],[Batch by Type (p)]],SelectedPrecincts[Batch Name], 0)), "", INDEX(SelectedPrecincts[Draw], MATCH(SamplingData[[#This Row],[Batch by Type (p)]],SelectedPrecincts[Batch Name], 0)))</f>
        <v/>
      </c>
      <c r="AJ51" s="101">
        <f>IF(COUNTIF(SelectedPrecincts[Batch Name],SamplingData[[#This Row],[Batch by Type (p)]]) &lt;&gt; 0, COUNTIF(SelectedPrecincts[Batch Name],SamplingData[[#This Row],[Batch by Type (p)]]), 0)</f>
        <v>0</v>
      </c>
    </row>
    <row r="52" spans="1:36" ht="15" customHeight="1" x14ac:dyDescent="0.35">
      <c r="A52" s="98" t="s">
        <v>264</v>
      </c>
      <c r="B52" s="98">
        <v>4</v>
      </c>
      <c r="C52" s="98">
        <v>1</v>
      </c>
      <c r="D52" s="93"/>
      <c r="E52" s="93"/>
      <c r="F52" s="93"/>
      <c r="G52" s="97"/>
      <c r="H52" s="97"/>
      <c r="I52" s="93"/>
      <c r="J52" s="93"/>
      <c r="K52" s="93"/>
      <c r="L52" s="93"/>
      <c r="M52" s="93"/>
      <c r="N52" s="98">
        <v>0</v>
      </c>
      <c r="O52" s="98">
        <v>2</v>
      </c>
      <c r="P52" s="99">
        <f>SUM(SamplingData[[#This Row],[Winning Candidate]:[Under Votes]])</f>
        <v>7</v>
      </c>
      <c r="Q52"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52" s="100">
        <f>IF(AND(SamplingData[[#This Row],[Total]]&lt;&gt; 0, NOT(ISBLANK(SamplingData[[#This Row],[Candidate 3]]))),(SamplingData[[#This Row],[Total]]+SamplingData[[#This Row],[Winning Candidate]]-SamplingData[[#This Row],[Candidate 3]])/(SamplingData[[#Totals],[Winning Candidate]]-SamplingData[[#Totals],[Candidate 3]]), 0)</f>
        <v>0</v>
      </c>
      <c r="S52" s="100">
        <f>IF(AND(SamplingData[[#This Row],[Total]]&lt;&gt; 0, NOT(ISBLANK(SamplingData[[#This Row],[Candidate 4]]))),(SamplingData[[#This Row],[Total]]+SamplingData[[#This Row],[Winning Candidate]]-SamplingData[[#This Row],[Candidate 4]])/(SamplingData[[#Totals],[Winning Candidate]]-SamplingData[[#Totals],[Candidate 4]]), 0)</f>
        <v>0</v>
      </c>
      <c r="T52" s="100">
        <f>IF(AND(SamplingData[[#This Row],[Total]]&lt;&gt; 0, NOT(ISBLANK(SamplingData[[#This Row],[Candidate 5]]))),(SamplingData[[#This Row],[Total]]+SamplingData[[#This Row],[Winning Candidate]]-SamplingData[[#This Row],[Candidate 5]])/(SamplingData[[#Totals],[Winning Candidate]]-SamplingData[[#Totals],[Candidate 5]]), 0)</f>
        <v>0</v>
      </c>
      <c r="U52" s="100">
        <f>IF(AND(SamplingData[[#This Row],[Total]]&lt;&gt; 0, NOT(ISBLANK(SamplingData[[#This Row],[Candidate 6]]))),(SamplingData[[#This Row],[Total]]+SamplingData[[#This Row],[Losing Candidate]]-SamplingData[[#This Row],[Candidate 6]])/(SamplingData[[#Totals],[Winning Candidate]]-SamplingData[[#Totals],[Candidate 6]]), 0)</f>
        <v>0</v>
      </c>
      <c r="V52" s="100">
        <f>IF(AND(SamplingData[[#This Row],[Total]]&lt;&gt; 0, NOT(ISBLANK(SamplingData[[#This Row],[Candidate 7]]))),(SamplingData[[#This Row],[Total]]+SamplingData[[#This Row],[Winning Candidate]]-SamplingData[[#This Row],[Candidate 7]])/(SamplingData[[#Totals],[Winning Candidate]]-SamplingData[[#Totals],[Candidate 7]]), 0)</f>
        <v>0</v>
      </c>
      <c r="W52" s="100">
        <f>IF(AND(SamplingData[[#This Row],[Total]]&lt;&gt; 0, NOT(ISBLANK(SamplingData[[#This Row],[Candidate 8]]))),(SamplingData[[#This Row],[Total]]+SamplingData[[#This Row],[Winning Candidate]]-SamplingData[[#This Row],[Candidate 8]])/(SamplingData[[#Totals],[Winning Candidate]]-SamplingData[[#Totals],[Candidate 8]]), 0)</f>
        <v>0</v>
      </c>
      <c r="X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00">
        <f>MAX(SamplingData[[#This Row],[Error Bound (up) - Max. possible relative overstatement - Losing Candidate]:[Error Bound (up) - Max. possible relative overstatement - Candidate 12]])</f>
        <v>3.1409994660300906E-4</v>
      </c>
      <c r="AC52" s="100">
        <f>IF(SamplingData[[#This Row],[Max Error Bound (up)]] = 0,0,SamplingData[[#This Row],[Max Error Bound (up)]]/SamplingData[[#Totals],[Max Error Bound (up)]])</f>
        <v>1.3460399504657304E-4</v>
      </c>
      <c r="AD52" s="104">
        <f>SUM($AC$5:AC52)</f>
        <v>1.4321865072955371E-2</v>
      </c>
      <c r="AE52" s="100" t="str" cm="1">
        <f t="array" ref="AE52">IF(SamplingData[[#This Row],[up/U Selection Probability]] = 0, "Zero", TEXT(SamplingData[[#This Row],[Lower Range]], REPT("0",LEN('General Info'!$B$42))) &amp; " - " &amp; TEXT(SamplingData[[#This Row],[Upper Range]], REPT("0",LEN('General Info'!$B$42))))</f>
        <v>01419 - 01431</v>
      </c>
      <c r="AF52" s="100">
        <f>SamplingData[[#This Row],[Upper Range]]-SamplingData[[#This Row],[Span]]</f>
        <v>1418.7261077908797</v>
      </c>
      <c r="AG52" s="100">
        <f>IF(ISNUMBER('General Info'!$B$42), ((SamplingData[[#This Row],[up/U Selection Probability]]) * 'General Info'!$B$44) - 1, 0)</f>
        <v>12.460399504657303</v>
      </c>
      <c r="AH52" s="100">
        <f>IF(ISNUMBER('General Info'!$B$42), (SamplingData[[#This Row],[Running (cumulative) sum]] * ('General Info'!$B$42 -'General Info'!$B$43 + 1)) + 'General Info'!$B$43 - 1, 0)</f>
        <v>1431.186507295537</v>
      </c>
      <c r="AI52" s="100" t="str">
        <f>IF(ISERROR(MATCH(SamplingData[[#This Row],[Batch by Type (p)]],SelectedPrecincts[Batch Name], 0)), "", INDEX(SelectedPrecincts[Draw], MATCH(SamplingData[[#This Row],[Batch by Type (p)]],SelectedPrecincts[Batch Name], 0)))</f>
        <v/>
      </c>
      <c r="AJ52" s="101">
        <f>IF(COUNTIF(SelectedPrecincts[Batch Name],SamplingData[[#This Row],[Batch by Type (p)]]) &lt;&gt; 0, COUNTIF(SelectedPrecincts[Batch Name],SamplingData[[#This Row],[Batch by Type (p)]]), 0)</f>
        <v>0</v>
      </c>
    </row>
    <row r="53" spans="1:36" ht="15" customHeight="1" x14ac:dyDescent="0.35">
      <c r="A53" s="98" t="s">
        <v>265</v>
      </c>
      <c r="B53" s="98">
        <v>2</v>
      </c>
      <c r="C53" s="98">
        <v>0</v>
      </c>
      <c r="D53" s="93"/>
      <c r="E53" s="93"/>
      <c r="F53" s="93"/>
      <c r="G53" s="97"/>
      <c r="H53" s="97"/>
      <c r="I53" s="93"/>
      <c r="J53" s="93"/>
      <c r="K53" s="93"/>
      <c r="L53" s="93"/>
      <c r="M53" s="93"/>
      <c r="N53" s="98">
        <v>0</v>
      </c>
      <c r="O53" s="98">
        <v>0</v>
      </c>
      <c r="P53" s="99">
        <f>SUM(SamplingData[[#This Row],[Winning Candidate]:[Under Votes]])</f>
        <v>2</v>
      </c>
      <c r="Q5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3" s="100">
        <f>IF(AND(SamplingData[[#This Row],[Total]]&lt;&gt; 0, NOT(ISBLANK(SamplingData[[#This Row],[Candidate 3]]))),(SamplingData[[#This Row],[Total]]+SamplingData[[#This Row],[Winning Candidate]]-SamplingData[[#This Row],[Candidate 3]])/(SamplingData[[#Totals],[Winning Candidate]]-SamplingData[[#Totals],[Candidate 3]]), 0)</f>
        <v>0</v>
      </c>
      <c r="S53" s="100">
        <f>IF(AND(SamplingData[[#This Row],[Total]]&lt;&gt; 0, NOT(ISBLANK(SamplingData[[#This Row],[Candidate 4]]))),(SamplingData[[#This Row],[Total]]+SamplingData[[#This Row],[Winning Candidate]]-SamplingData[[#This Row],[Candidate 4]])/(SamplingData[[#Totals],[Winning Candidate]]-SamplingData[[#Totals],[Candidate 4]]), 0)</f>
        <v>0</v>
      </c>
      <c r="T53" s="100">
        <f>IF(AND(SamplingData[[#This Row],[Total]]&lt;&gt; 0, NOT(ISBLANK(SamplingData[[#This Row],[Candidate 5]]))),(SamplingData[[#This Row],[Total]]+SamplingData[[#This Row],[Winning Candidate]]-SamplingData[[#This Row],[Candidate 5]])/(SamplingData[[#Totals],[Winning Candidate]]-SamplingData[[#Totals],[Candidate 5]]), 0)</f>
        <v>0</v>
      </c>
      <c r="U53" s="100">
        <f>IF(AND(SamplingData[[#This Row],[Total]]&lt;&gt; 0, NOT(ISBLANK(SamplingData[[#This Row],[Candidate 6]]))),(SamplingData[[#This Row],[Total]]+SamplingData[[#This Row],[Losing Candidate]]-SamplingData[[#This Row],[Candidate 6]])/(SamplingData[[#Totals],[Winning Candidate]]-SamplingData[[#Totals],[Candidate 6]]), 0)</f>
        <v>0</v>
      </c>
      <c r="V53" s="100">
        <f>IF(AND(SamplingData[[#This Row],[Total]]&lt;&gt; 0, NOT(ISBLANK(SamplingData[[#This Row],[Candidate 7]]))),(SamplingData[[#This Row],[Total]]+SamplingData[[#This Row],[Winning Candidate]]-SamplingData[[#This Row],[Candidate 7]])/(SamplingData[[#Totals],[Winning Candidate]]-SamplingData[[#Totals],[Candidate 7]]), 0)</f>
        <v>0</v>
      </c>
      <c r="W53" s="100">
        <f>IF(AND(SamplingData[[#This Row],[Total]]&lt;&gt; 0, NOT(ISBLANK(SamplingData[[#This Row],[Candidate 8]]))),(SamplingData[[#This Row],[Total]]+SamplingData[[#This Row],[Winning Candidate]]-SamplingData[[#This Row],[Candidate 8]])/(SamplingData[[#Totals],[Winning Candidate]]-SamplingData[[#Totals],[Candidate 8]]), 0)</f>
        <v>0</v>
      </c>
      <c r="X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00">
        <f>MAX(SamplingData[[#This Row],[Error Bound (up) - Max. possible relative overstatement - Losing Candidate]:[Error Bound (up) - Max. possible relative overstatement - Candidate 12]])</f>
        <v>1.2563997864120362E-4</v>
      </c>
      <c r="AC53" s="100">
        <f>IF(SamplingData[[#This Row],[Max Error Bound (up)]] = 0,0,SamplingData[[#This Row],[Max Error Bound (up)]]/SamplingData[[#Totals],[Max Error Bound (up)]])</f>
        <v>5.3841598018629206E-5</v>
      </c>
      <c r="AD53" s="104">
        <f>SUM($AC$5:AC53)</f>
        <v>1.4375706670974001E-2</v>
      </c>
      <c r="AE53" s="100" t="str" cm="1">
        <f t="array" ref="AE53">IF(SamplingData[[#This Row],[up/U Selection Probability]] = 0, "Zero", TEXT(SamplingData[[#This Row],[Lower Range]], REPT("0",LEN('General Info'!$B$42))) &amp; " - " &amp; TEXT(SamplingData[[#This Row],[Upper Range]], REPT("0",LEN('General Info'!$B$42))))</f>
        <v>01432 - 01437</v>
      </c>
      <c r="AF53" s="100">
        <f>SamplingData[[#This Row],[Upper Range]]-SamplingData[[#This Row],[Span]]</f>
        <v>1432.186507295537</v>
      </c>
      <c r="AG53" s="100">
        <f>IF(ISNUMBER('General Info'!$B$42), ((SamplingData[[#This Row],[up/U Selection Probability]]) * 'General Info'!$B$44) - 1, 0)</f>
        <v>4.3841598018629204</v>
      </c>
      <c r="AH53" s="100">
        <f>IF(ISNUMBER('General Info'!$B$42), (SamplingData[[#This Row],[Running (cumulative) sum]] * ('General Info'!$B$42 -'General Info'!$B$43 + 1)) + 'General Info'!$B$43 - 1, 0)</f>
        <v>1436.5706670974</v>
      </c>
      <c r="AI53" s="100" t="str">
        <f>IF(ISERROR(MATCH(SamplingData[[#This Row],[Batch by Type (p)]],SelectedPrecincts[Batch Name], 0)), "", INDEX(SelectedPrecincts[Draw], MATCH(SamplingData[[#This Row],[Batch by Type (p)]],SelectedPrecincts[Batch Name], 0)))</f>
        <v/>
      </c>
      <c r="AJ53" s="101">
        <f>IF(COUNTIF(SelectedPrecincts[Batch Name],SamplingData[[#This Row],[Batch by Type (p)]]) &lt;&gt; 0, COUNTIF(SelectedPrecincts[Batch Name],SamplingData[[#This Row],[Batch by Type (p)]]), 0)</f>
        <v>0</v>
      </c>
    </row>
    <row r="54" spans="1:36" ht="15" customHeight="1" x14ac:dyDescent="0.35">
      <c r="A54" s="98" t="s">
        <v>266</v>
      </c>
      <c r="B54" s="98">
        <v>1</v>
      </c>
      <c r="C54" s="98">
        <v>0</v>
      </c>
      <c r="D54" s="93"/>
      <c r="E54" s="93"/>
      <c r="F54" s="93"/>
      <c r="G54" s="97"/>
      <c r="H54" s="97"/>
      <c r="I54" s="93"/>
      <c r="J54" s="93"/>
      <c r="K54" s="93"/>
      <c r="L54" s="93"/>
      <c r="M54" s="93"/>
      <c r="N54" s="98">
        <v>0</v>
      </c>
      <c r="O54" s="98">
        <v>0</v>
      </c>
      <c r="P54" s="99">
        <f>SUM(SamplingData[[#This Row],[Winning Candidate]:[Under Votes]])</f>
        <v>1</v>
      </c>
      <c r="Q54"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54" s="100">
        <f>IF(AND(SamplingData[[#This Row],[Total]]&lt;&gt; 0, NOT(ISBLANK(SamplingData[[#This Row],[Candidate 3]]))),(SamplingData[[#This Row],[Total]]+SamplingData[[#This Row],[Winning Candidate]]-SamplingData[[#This Row],[Candidate 3]])/(SamplingData[[#Totals],[Winning Candidate]]-SamplingData[[#Totals],[Candidate 3]]), 0)</f>
        <v>0</v>
      </c>
      <c r="S54" s="100">
        <f>IF(AND(SamplingData[[#This Row],[Total]]&lt;&gt; 0, NOT(ISBLANK(SamplingData[[#This Row],[Candidate 4]]))),(SamplingData[[#This Row],[Total]]+SamplingData[[#This Row],[Winning Candidate]]-SamplingData[[#This Row],[Candidate 4]])/(SamplingData[[#Totals],[Winning Candidate]]-SamplingData[[#Totals],[Candidate 4]]), 0)</f>
        <v>0</v>
      </c>
      <c r="T54" s="100">
        <f>IF(AND(SamplingData[[#This Row],[Total]]&lt;&gt; 0, NOT(ISBLANK(SamplingData[[#This Row],[Candidate 5]]))),(SamplingData[[#This Row],[Total]]+SamplingData[[#This Row],[Winning Candidate]]-SamplingData[[#This Row],[Candidate 5]])/(SamplingData[[#Totals],[Winning Candidate]]-SamplingData[[#Totals],[Candidate 5]]), 0)</f>
        <v>0</v>
      </c>
      <c r="U54" s="100">
        <f>IF(AND(SamplingData[[#This Row],[Total]]&lt;&gt; 0, NOT(ISBLANK(SamplingData[[#This Row],[Candidate 6]]))),(SamplingData[[#This Row],[Total]]+SamplingData[[#This Row],[Losing Candidate]]-SamplingData[[#This Row],[Candidate 6]])/(SamplingData[[#Totals],[Winning Candidate]]-SamplingData[[#Totals],[Candidate 6]]), 0)</f>
        <v>0</v>
      </c>
      <c r="V54" s="100">
        <f>IF(AND(SamplingData[[#This Row],[Total]]&lt;&gt; 0, NOT(ISBLANK(SamplingData[[#This Row],[Candidate 7]]))),(SamplingData[[#This Row],[Total]]+SamplingData[[#This Row],[Winning Candidate]]-SamplingData[[#This Row],[Candidate 7]])/(SamplingData[[#Totals],[Winning Candidate]]-SamplingData[[#Totals],[Candidate 7]]), 0)</f>
        <v>0</v>
      </c>
      <c r="W54" s="100">
        <f>IF(AND(SamplingData[[#This Row],[Total]]&lt;&gt; 0, NOT(ISBLANK(SamplingData[[#This Row],[Candidate 8]]))),(SamplingData[[#This Row],[Total]]+SamplingData[[#This Row],[Winning Candidate]]-SamplingData[[#This Row],[Candidate 8]])/(SamplingData[[#Totals],[Winning Candidate]]-SamplingData[[#Totals],[Candidate 8]]), 0)</f>
        <v>0</v>
      </c>
      <c r="X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00">
        <f>MAX(SamplingData[[#This Row],[Error Bound (up) - Max. possible relative overstatement - Losing Candidate]:[Error Bound (up) - Max. possible relative overstatement - Candidate 12]])</f>
        <v>6.2819989320601809E-5</v>
      </c>
      <c r="AC54" s="100">
        <f>IF(SamplingData[[#This Row],[Max Error Bound (up)]] = 0,0,SamplingData[[#This Row],[Max Error Bound (up)]]/SamplingData[[#Totals],[Max Error Bound (up)]])</f>
        <v>2.6920799009314603E-5</v>
      </c>
      <c r="AD54" s="104">
        <f>SUM($AC$5:AC54)</f>
        <v>1.4402627469983316E-2</v>
      </c>
      <c r="AE54" s="100" t="str" cm="1">
        <f t="array" ref="AE54">IF(SamplingData[[#This Row],[up/U Selection Probability]] = 0, "Zero", TEXT(SamplingData[[#This Row],[Lower Range]], REPT("0",LEN('General Info'!$B$42))) &amp; " - " &amp; TEXT(SamplingData[[#This Row],[Upper Range]], REPT("0",LEN('General Info'!$B$42))))</f>
        <v>01438 - 01439</v>
      </c>
      <c r="AF54" s="100">
        <f>SamplingData[[#This Row],[Upper Range]]-SamplingData[[#This Row],[Span]]</f>
        <v>1437.5706670974</v>
      </c>
      <c r="AG54" s="100">
        <f>IF(ISNUMBER('General Info'!$B$42), ((SamplingData[[#This Row],[up/U Selection Probability]]) * 'General Info'!$B$44) - 1, 0)</f>
        <v>1.6920799009314602</v>
      </c>
      <c r="AH54" s="100">
        <f>IF(ISNUMBER('General Info'!$B$42), (SamplingData[[#This Row],[Running (cumulative) sum]] * ('General Info'!$B$42 -'General Info'!$B$43 + 1)) + 'General Info'!$B$43 - 1, 0)</f>
        <v>1439.2627469983315</v>
      </c>
      <c r="AI54" s="100" t="str">
        <f>IF(ISERROR(MATCH(SamplingData[[#This Row],[Batch by Type (p)]],SelectedPrecincts[Batch Name], 0)), "", INDEX(SelectedPrecincts[Draw], MATCH(SamplingData[[#This Row],[Batch by Type (p)]],SelectedPrecincts[Batch Name], 0)))</f>
        <v/>
      </c>
      <c r="AJ54" s="101">
        <f>IF(COUNTIF(SelectedPrecincts[Batch Name],SamplingData[[#This Row],[Batch by Type (p)]]) &lt;&gt; 0, COUNTIF(SelectedPrecincts[Batch Name],SamplingData[[#This Row],[Batch by Type (p)]]), 0)</f>
        <v>0</v>
      </c>
    </row>
    <row r="55" spans="1:36" ht="15" customHeight="1" x14ac:dyDescent="0.35">
      <c r="A55" s="98" t="s">
        <v>267</v>
      </c>
      <c r="B55" s="98">
        <v>3</v>
      </c>
      <c r="C55" s="98">
        <v>2</v>
      </c>
      <c r="D55" s="93"/>
      <c r="E55" s="93"/>
      <c r="F55" s="93"/>
      <c r="G55" s="97"/>
      <c r="H55" s="97"/>
      <c r="I55" s="93"/>
      <c r="J55" s="93"/>
      <c r="K55" s="93"/>
      <c r="L55" s="93"/>
      <c r="M55" s="93"/>
      <c r="N55" s="98">
        <v>0</v>
      </c>
      <c r="O55" s="98">
        <v>0</v>
      </c>
      <c r="P55" s="99">
        <f>SUM(SamplingData[[#This Row],[Winning Candidate]:[Under Votes]])</f>
        <v>5</v>
      </c>
      <c r="Q55"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55" s="100">
        <f>IF(AND(SamplingData[[#This Row],[Total]]&lt;&gt; 0, NOT(ISBLANK(SamplingData[[#This Row],[Candidate 3]]))),(SamplingData[[#This Row],[Total]]+SamplingData[[#This Row],[Winning Candidate]]-SamplingData[[#This Row],[Candidate 3]])/(SamplingData[[#Totals],[Winning Candidate]]-SamplingData[[#Totals],[Candidate 3]]), 0)</f>
        <v>0</v>
      </c>
      <c r="S55" s="100">
        <f>IF(AND(SamplingData[[#This Row],[Total]]&lt;&gt; 0, NOT(ISBLANK(SamplingData[[#This Row],[Candidate 4]]))),(SamplingData[[#This Row],[Total]]+SamplingData[[#This Row],[Winning Candidate]]-SamplingData[[#This Row],[Candidate 4]])/(SamplingData[[#Totals],[Winning Candidate]]-SamplingData[[#Totals],[Candidate 4]]), 0)</f>
        <v>0</v>
      </c>
      <c r="T55" s="100">
        <f>IF(AND(SamplingData[[#This Row],[Total]]&lt;&gt; 0, NOT(ISBLANK(SamplingData[[#This Row],[Candidate 5]]))),(SamplingData[[#This Row],[Total]]+SamplingData[[#This Row],[Winning Candidate]]-SamplingData[[#This Row],[Candidate 5]])/(SamplingData[[#Totals],[Winning Candidate]]-SamplingData[[#Totals],[Candidate 5]]), 0)</f>
        <v>0</v>
      </c>
      <c r="U55" s="100">
        <f>IF(AND(SamplingData[[#This Row],[Total]]&lt;&gt; 0, NOT(ISBLANK(SamplingData[[#This Row],[Candidate 6]]))),(SamplingData[[#This Row],[Total]]+SamplingData[[#This Row],[Losing Candidate]]-SamplingData[[#This Row],[Candidate 6]])/(SamplingData[[#Totals],[Winning Candidate]]-SamplingData[[#Totals],[Candidate 6]]), 0)</f>
        <v>0</v>
      </c>
      <c r="V55" s="100">
        <f>IF(AND(SamplingData[[#This Row],[Total]]&lt;&gt; 0, NOT(ISBLANK(SamplingData[[#This Row],[Candidate 7]]))),(SamplingData[[#This Row],[Total]]+SamplingData[[#This Row],[Winning Candidate]]-SamplingData[[#This Row],[Candidate 7]])/(SamplingData[[#Totals],[Winning Candidate]]-SamplingData[[#Totals],[Candidate 7]]), 0)</f>
        <v>0</v>
      </c>
      <c r="W55" s="100">
        <f>IF(AND(SamplingData[[#This Row],[Total]]&lt;&gt; 0, NOT(ISBLANK(SamplingData[[#This Row],[Candidate 8]]))),(SamplingData[[#This Row],[Total]]+SamplingData[[#This Row],[Winning Candidate]]-SamplingData[[#This Row],[Candidate 8]])/(SamplingData[[#Totals],[Winning Candidate]]-SamplingData[[#Totals],[Candidate 8]]), 0)</f>
        <v>0</v>
      </c>
      <c r="X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00">
        <f>MAX(SamplingData[[#This Row],[Error Bound (up) - Max. possible relative overstatement - Losing Candidate]:[Error Bound (up) - Max. possible relative overstatement - Candidate 12]])</f>
        <v>1.8845996796180544E-4</v>
      </c>
      <c r="AC55" s="100">
        <f>IF(SamplingData[[#This Row],[Max Error Bound (up)]] = 0,0,SamplingData[[#This Row],[Max Error Bound (up)]]/SamplingData[[#Totals],[Max Error Bound (up)]])</f>
        <v>8.0762397027943816E-5</v>
      </c>
      <c r="AD55" s="104">
        <f>SUM($AC$5:AC55)</f>
        <v>1.4483389867011259E-2</v>
      </c>
      <c r="AE55" s="100" t="str" cm="1">
        <f t="array" ref="AE55">IF(SamplingData[[#This Row],[up/U Selection Probability]] = 0, "Zero", TEXT(SamplingData[[#This Row],[Lower Range]], REPT("0",LEN('General Info'!$B$42))) &amp; " - " &amp; TEXT(SamplingData[[#This Row],[Upper Range]], REPT("0",LEN('General Info'!$B$42))))</f>
        <v>01440 - 01447</v>
      </c>
      <c r="AF55" s="100">
        <f>SamplingData[[#This Row],[Upper Range]]-SamplingData[[#This Row],[Span]]</f>
        <v>1440.2627469983315</v>
      </c>
      <c r="AG55" s="100">
        <f>IF(ISNUMBER('General Info'!$B$42), ((SamplingData[[#This Row],[up/U Selection Probability]]) * 'General Info'!$B$44) - 1, 0)</f>
        <v>7.076239702794382</v>
      </c>
      <c r="AH55" s="100">
        <f>IF(ISNUMBER('General Info'!$B$42), (SamplingData[[#This Row],[Running (cumulative) sum]] * ('General Info'!$B$42 -'General Info'!$B$43 + 1)) + 'General Info'!$B$43 - 1, 0)</f>
        <v>1447.3389867011258</v>
      </c>
      <c r="AI55" s="100" t="str">
        <f>IF(ISERROR(MATCH(SamplingData[[#This Row],[Batch by Type (p)]],SelectedPrecincts[Batch Name], 0)), "", INDEX(SelectedPrecincts[Draw], MATCH(SamplingData[[#This Row],[Batch by Type (p)]],SelectedPrecincts[Batch Name], 0)))</f>
        <v/>
      </c>
      <c r="AJ55" s="101">
        <f>IF(COUNTIF(SelectedPrecincts[Batch Name],SamplingData[[#This Row],[Batch by Type (p)]]) &lt;&gt; 0, COUNTIF(SelectedPrecincts[Batch Name],SamplingData[[#This Row],[Batch by Type (p)]]), 0)</f>
        <v>0</v>
      </c>
    </row>
    <row r="56" spans="1:36" ht="15" customHeight="1" x14ac:dyDescent="0.35">
      <c r="A56" s="98" t="s">
        <v>268</v>
      </c>
      <c r="B56" s="98">
        <v>5</v>
      </c>
      <c r="C56" s="98">
        <v>1</v>
      </c>
      <c r="D56" s="93"/>
      <c r="E56" s="93"/>
      <c r="F56" s="93"/>
      <c r="G56" s="97"/>
      <c r="H56" s="97"/>
      <c r="I56" s="93"/>
      <c r="J56" s="93"/>
      <c r="K56" s="93"/>
      <c r="L56" s="93"/>
      <c r="M56" s="93"/>
      <c r="N56" s="98">
        <v>0</v>
      </c>
      <c r="O56" s="98">
        <v>0</v>
      </c>
      <c r="P56" s="99">
        <f>SUM(SamplingData[[#This Row],[Winning Candidate]:[Under Votes]])</f>
        <v>6</v>
      </c>
      <c r="Q56"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56" s="100">
        <f>IF(AND(SamplingData[[#This Row],[Total]]&lt;&gt; 0, NOT(ISBLANK(SamplingData[[#This Row],[Candidate 3]]))),(SamplingData[[#This Row],[Total]]+SamplingData[[#This Row],[Winning Candidate]]-SamplingData[[#This Row],[Candidate 3]])/(SamplingData[[#Totals],[Winning Candidate]]-SamplingData[[#Totals],[Candidate 3]]), 0)</f>
        <v>0</v>
      </c>
      <c r="S56" s="100">
        <f>IF(AND(SamplingData[[#This Row],[Total]]&lt;&gt; 0, NOT(ISBLANK(SamplingData[[#This Row],[Candidate 4]]))),(SamplingData[[#This Row],[Total]]+SamplingData[[#This Row],[Winning Candidate]]-SamplingData[[#This Row],[Candidate 4]])/(SamplingData[[#Totals],[Winning Candidate]]-SamplingData[[#Totals],[Candidate 4]]), 0)</f>
        <v>0</v>
      </c>
      <c r="T56" s="100">
        <f>IF(AND(SamplingData[[#This Row],[Total]]&lt;&gt; 0, NOT(ISBLANK(SamplingData[[#This Row],[Candidate 5]]))),(SamplingData[[#This Row],[Total]]+SamplingData[[#This Row],[Winning Candidate]]-SamplingData[[#This Row],[Candidate 5]])/(SamplingData[[#Totals],[Winning Candidate]]-SamplingData[[#Totals],[Candidate 5]]), 0)</f>
        <v>0</v>
      </c>
      <c r="U56" s="100">
        <f>IF(AND(SamplingData[[#This Row],[Total]]&lt;&gt; 0, NOT(ISBLANK(SamplingData[[#This Row],[Candidate 6]]))),(SamplingData[[#This Row],[Total]]+SamplingData[[#This Row],[Losing Candidate]]-SamplingData[[#This Row],[Candidate 6]])/(SamplingData[[#Totals],[Winning Candidate]]-SamplingData[[#Totals],[Candidate 6]]), 0)</f>
        <v>0</v>
      </c>
      <c r="V56" s="100">
        <f>IF(AND(SamplingData[[#This Row],[Total]]&lt;&gt; 0, NOT(ISBLANK(SamplingData[[#This Row],[Candidate 7]]))),(SamplingData[[#This Row],[Total]]+SamplingData[[#This Row],[Winning Candidate]]-SamplingData[[#This Row],[Candidate 7]])/(SamplingData[[#Totals],[Winning Candidate]]-SamplingData[[#Totals],[Candidate 7]]), 0)</f>
        <v>0</v>
      </c>
      <c r="W56" s="100">
        <f>IF(AND(SamplingData[[#This Row],[Total]]&lt;&gt; 0, NOT(ISBLANK(SamplingData[[#This Row],[Candidate 8]]))),(SamplingData[[#This Row],[Total]]+SamplingData[[#This Row],[Winning Candidate]]-SamplingData[[#This Row],[Candidate 8]])/(SamplingData[[#Totals],[Winning Candidate]]-SamplingData[[#Totals],[Candidate 8]]), 0)</f>
        <v>0</v>
      </c>
      <c r="X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00">
        <f>MAX(SamplingData[[#This Row],[Error Bound (up) - Max. possible relative overstatement - Losing Candidate]:[Error Bound (up) - Max. possible relative overstatement - Candidate 12]])</f>
        <v>3.1409994660300906E-4</v>
      </c>
      <c r="AC56" s="100">
        <f>IF(SamplingData[[#This Row],[Max Error Bound (up)]] = 0,0,SamplingData[[#This Row],[Max Error Bound (up)]]/SamplingData[[#Totals],[Max Error Bound (up)]])</f>
        <v>1.3460399504657304E-4</v>
      </c>
      <c r="AD56" s="104">
        <f>SUM($AC$5:AC56)</f>
        <v>1.4617993862057832E-2</v>
      </c>
      <c r="AE56" s="100" t="str" cm="1">
        <f t="array" ref="AE56">IF(SamplingData[[#This Row],[up/U Selection Probability]] = 0, "Zero", TEXT(SamplingData[[#This Row],[Lower Range]], REPT("0",LEN('General Info'!$B$42))) &amp; " - " &amp; TEXT(SamplingData[[#This Row],[Upper Range]], REPT("0",LEN('General Info'!$B$42))))</f>
        <v>01448 - 01461</v>
      </c>
      <c r="AF56" s="100">
        <f>SamplingData[[#This Row],[Upper Range]]-SamplingData[[#This Row],[Span]]</f>
        <v>1448.338986701126</v>
      </c>
      <c r="AG56" s="100">
        <f>IF(ISNUMBER('General Info'!$B$42), ((SamplingData[[#This Row],[up/U Selection Probability]]) * 'General Info'!$B$44) - 1, 0)</f>
        <v>12.460399504657303</v>
      </c>
      <c r="AH56" s="100">
        <f>IF(ISNUMBER('General Info'!$B$42), (SamplingData[[#This Row],[Running (cumulative) sum]] * ('General Info'!$B$42 -'General Info'!$B$43 + 1)) + 'General Info'!$B$43 - 1, 0)</f>
        <v>1460.7993862057833</v>
      </c>
      <c r="AI56" s="100" t="str">
        <f>IF(ISERROR(MATCH(SamplingData[[#This Row],[Batch by Type (p)]],SelectedPrecincts[Batch Name], 0)), "", INDEX(SelectedPrecincts[Draw], MATCH(SamplingData[[#This Row],[Batch by Type (p)]],SelectedPrecincts[Batch Name], 0)))</f>
        <v/>
      </c>
      <c r="AJ56" s="101">
        <f>IF(COUNTIF(SelectedPrecincts[Batch Name],SamplingData[[#This Row],[Batch by Type (p)]]) &lt;&gt; 0, COUNTIF(SelectedPrecincts[Batch Name],SamplingData[[#This Row],[Batch by Type (p)]]), 0)</f>
        <v>0</v>
      </c>
    </row>
    <row r="57" spans="1:36" ht="15" customHeight="1" x14ac:dyDescent="0.35">
      <c r="A57" s="98" t="s">
        <v>269</v>
      </c>
      <c r="B57" s="98">
        <v>1</v>
      </c>
      <c r="C57" s="98">
        <v>0</v>
      </c>
      <c r="D57" s="93"/>
      <c r="E57" s="93"/>
      <c r="F57" s="93"/>
      <c r="G57" s="97"/>
      <c r="H57" s="97"/>
      <c r="I57" s="93"/>
      <c r="J57" s="93"/>
      <c r="K57" s="93"/>
      <c r="L57" s="93"/>
      <c r="M57" s="93"/>
      <c r="N57" s="98">
        <v>0</v>
      </c>
      <c r="O57" s="98">
        <v>0</v>
      </c>
      <c r="P57" s="99">
        <f>SUM(SamplingData[[#This Row],[Winning Candidate]:[Under Votes]])</f>
        <v>1</v>
      </c>
      <c r="Q57"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57" s="100">
        <f>IF(AND(SamplingData[[#This Row],[Total]]&lt;&gt; 0, NOT(ISBLANK(SamplingData[[#This Row],[Candidate 3]]))),(SamplingData[[#This Row],[Total]]+SamplingData[[#This Row],[Winning Candidate]]-SamplingData[[#This Row],[Candidate 3]])/(SamplingData[[#Totals],[Winning Candidate]]-SamplingData[[#Totals],[Candidate 3]]), 0)</f>
        <v>0</v>
      </c>
      <c r="S57" s="100">
        <f>IF(AND(SamplingData[[#This Row],[Total]]&lt;&gt; 0, NOT(ISBLANK(SamplingData[[#This Row],[Candidate 4]]))),(SamplingData[[#This Row],[Total]]+SamplingData[[#This Row],[Winning Candidate]]-SamplingData[[#This Row],[Candidate 4]])/(SamplingData[[#Totals],[Winning Candidate]]-SamplingData[[#Totals],[Candidate 4]]), 0)</f>
        <v>0</v>
      </c>
      <c r="T57" s="100">
        <f>IF(AND(SamplingData[[#This Row],[Total]]&lt;&gt; 0, NOT(ISBLANK(SamplingData[[#This Row],[Candidate 5]]))),(SamplingData[[#This Row],[Total]]+SamplingData[[#This Row],[Winning Candidate]]-SamplingData[[#This Row],[Candidate 5]])/(SamplingData[[#Totals],[Winning Candidate]]-SamplingData[[#Totals],[Candidate 5]]), 0)</f>
        <v>0</v>
      </c>
      <c r="U57" s="100">
        <f>IF(AND(SamplingData[[#This Row],[Total]]&lt;&gt; 0, NOT(ISBLANK(SamplingData[[#This Row],[Candidate 6]]))),(SamplingData[[#This Row],[Total]]+SamplingData[[#This Row],[Losing Candidate]]-SamplingData[[#This Row],[Candidate 6]])/(SamplingData[[#Totals],[Winning Candidate]]-SamplingData[[#Totals],[Candidate 6]]), 0)</f>
        <v>0</v>
      </c>
      <c r="V57" s="100">
        <f>IF(AND(SamplingData[[#This Row],[Total]]&lt;&gt; 0, NOT(ISBLANK(SamplingData[[#This Row],[Candidate 7]]))),(SamplingData[[#This Row],[Total]]+SamplingData[[#This Row],[Winning Candidate]]-SamplingData[[#This Row],[Candidate 7]])/(SamplingData[[#Totals],[Winning Candidate]]-SamplingData[[#Totals],[Candidate 7]]), 0)</f>
        <v>0</v>
      </c>
      <c r="W57" s="100">
        <f>IF(AND(SamplingData[[#This Row],[Total]]&lt;&gt; 0, NOT(ISBLANK(SamplingData[[#This Row],[Candidate 8]]))),(SamplingData[[#This Row],[Total]]+SamplingData[[#This Row],[Winning Candidate]]-SamplingData[[#This Row],[Candidate 8]])/(SamplingData[[#Totals],[Winning Candidate]]-SamplingData[[#Totals],[Candidate 8]]), 0)</f>
        <v>0</v>
      </c>
      <c r="X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00">
        <f>MAX(SamplingData[[#This Row],[Error Bound (up) - Max. possible relative overstatement - Losing Candidate]:[Error Bound (up) - Max. possible relative overstatement - Candidate 12]])</f>
        <v>6.2819989320601809E-5</v>
      </c>
      <c r="AC57" s="100">
        <f>IF(SamplingData[[#This Row],[Max Error Bound (up)]] = 0,0,SamplingData[[#This Row],[Max Error Bound (up)]]/SamplingData[[#Totals],[Max Error Bound (up)]])</f>
        <v>2.6920799009314603E-5</v>
      </c>
      <c r="AD57" s="104">
        <f>SUM($AC$5:AC57)</f>
        <v>1.4644914661067147E-2</v>
      </c>
      <c r="AE57" s="100" t="str" cm="1">
        <f t="array" ref="AE57">IF(SamplingData[[#This Row],[up/U Selection Probability]] = 0, "Zero", TEXT(SamplingData[[#This Row],[Lower Range]], REPT("0",LEN('General Info'!$B$42))) &amp; " - " &amp; TEXT(SamplingData[[#This Row],[Upper Range]], REPT("0",LEN('General Info'!$B$42))))</f>
        <v>01462 - 01463</v>
      </c>
      <c r="AF57" s="100">
        <f>SamplingData[[#This Row],[Upper Range]]-SamplingData[[#This Row],[Span]]</f>
        <v>1461.7993862057833</v>
      </c>
      <c r="AG57" s="100">
        <f>IF(ISNUMBER('General Info'!$B$42), ((SamplingData[[#This Row],[up/U Selection Probability]]) * 'General Info'!$B$44) - 1, 0)</f>
        <v>1.6920799009314602</v>
      </c>
      <c r="AH57" s="100">
        <f>IF(ISNUMBER('General Info'!$B$42), (SamplingData[[#This Row],[Running (cumulative) sum]] * ('General Info'!$B$42 -'General Info'!$B$43 + 1)) + 'General Info'!$B$43 - 1, 0)</f>
        <v>1463.4914661067148</v>
      </c>
      <c r="AI57" s="100" t="str">
        <f>IF(ISERROR(MATCH(SamplingData[[#This Row],[Batch by Type (p)]],SelectedPrecincts[Batch Name], 0)), "", INDEX(SelectedPrecincts[Draw], MATCH(SamplingData[[#This Row],[Batch by Type (p)]],SelectedPrecincts[Batch Name], 0)))</f>
        <v/>
      </c>
      <c r="AJ57" s="101">
        <f>IF(COUNTIF(SelectedPrecincts[Batch Name],SamplingData[[#This Row],[Batch by Type (p)]]) &lt;&gt; 0, COUNTIF(SelectedPrecincts[Batch Name],SamplingData[[#This Row],[Batch by Type (p)]]), 0)</f>
        <v>0</v>
      </c>
    </row>
    <row r="58" spans="1:36" ht="15" customHeight="1" x14ac:dyDescent="0.35">
      <c r="A58" s="98" t="s">
        <v>270</v>
      </c>
      <c r="B58" s="98">
        <v>0</v>
      </c>
      <c r="C58" s="98">
        <v>0</v>
      </c>
      <c r="D58" s="93"/>
      <c r="E58" s="93"/>
      <c r="F58" s="93"/>
      <c r="G58" s="97"/>
      <c r="H58" s="97"/>
      <c r="I58" s="93"/>
      <c r="J58" s="93"/>
      <c r="K58" s="93"/>
      <c r="L58" s="93"/>
      <c r="M58" s="93"/>
      <c r="N58" s="98">
        <v>0</v>
      </c>
      <c r="O58" s="98">
        <v>0</v>
      </c>
      <c r="P58" s="99">
        <f>SUM(SamplingData[[#This Row],[Winning Candidate]:[Under Votes]])</f>
        <v>0</v>
      </c>
      <c r="Q58" s="100">
        <f>IF(AND(SamplingData[[#This Row],[Total]]&lt;&gt; 0, NOT(ISBLANK(SamplingData[[#This Row],[Losing Candidate]]))),(SamplingData[[#This Row],[Total]]+SamplingData[[#This Row],[Winning Candidate]]-SamplingData[[#This Row],[Losing Candidate]])/(SamplingData[[#Totals],[Winning Candidate]]-SamplingData[[#Totals],[Losing Candidate]]), 0)</f>
        <v>0</v>
      </c>
      <c r="R58" s="100">
        <f>IF(AND(SamplingData[[#This Row],[Total]]&lt;&gt; 0, NOT(ISBLANK(SamplingData[[#This Row],[Candidate 3]]))),(SamplingData[[#This Row],[Total]]+SamplingData[[#This Row],[Winning Candidate]]-SamplingData[[#This Row],[Candidate 3]])/(SamplingData[[#Totals],[Winning Candidate]]-SamplingData[[#Totals],[Candidate 3]]), 0)</f>
        <v>0</v>
      </c>
      <c r="S58" s="100">
        <f>IF(AND(SamplingData[[#This Row],[Total]]&lt;&gt; 0, NOT(ISBLANK(SamplingData[[#This Row],[Candidate 4]]))),(SamplingData[[#This Row],[Total]]+SamplingData[[#This Row],[Winning Candidate]]-SamplingData[[#This Row],[Candidate 4]])/(SamplingData[[#Totals],[Winning Candidate]]-SamplingData[[#Totals],[Candidate 4]]), 0)</f>
        <v>0</v>
      </c>
      <c r="T58" s="100">
        <f>IF(AND(SamplingData[[#This Row],[Total]]&lt;&gt; 0, NOT(ISBLANK(SamplingData[[#This Row],[Candidate 5]]))),(SamplingData[[#This Row],[Total]]+SamplingData[[#This Row],[Winning Candidate]]-SamplingData[[#This Row],[Candidate 5]])/(SamplingData[[#Totals],[Winning Candidate]]-SamplingData[[#Totals],[Candidate 5]]), 0)</f>
        <v>0</v>
      </c>
      <c r="U58" s="100">
        <f>IF(AND(SamplingData[[#This Row],[Total]]&lt;&gt; 0, NOT(ISBLANK(SamplingData[[#This Row],[Candidate 6]]))),(SamplingData[[#This Row],[Total]]+SamplingData[[#This Row],[Losing Candidate]]-SamplingData[[#This Row],[Candidate 6]])/(SamplingData[[#Totals],[Winning Candidate]]-SamplingData[[#Totals],[Candidate 6]]), 0)</f>
        <v>0</v>
      </c>
      <c r="V58" s="100">
        <f>IF(AND(SamplingData[[#This Row],[Total]]&lt;&gt; 0, NOT(ISBLANK(SamplingData[[#This Row],[Candidate 7]]))),(SamplingData[[#This Row],[Total]]+SamplingData[[#This Row],[Winning Candidate]]-SamplingData[[#This Row],[Candidate 7]])/(SamplingData[[#Totals],[Winning Candidate]]-SamplingData[[#Totals],[Candidate 7]]), 0)</f>
        <v>0</v>
      </c>
      <c r="W58" s="100">
        <f>IF(AND(SamplingData[[#This Row],[Total]]&lt;&gt; 0, NOT(ISBLANK(SamplingData[[#This Row],[Candidate 8]]))),(SamplingData[[#This Row],[Total]]+SamplingData[[#This Row],[Winning Candidate]]-SamplingData[[#This Row],[Candidate 8]])/(SamplingData[[#Totals],[Winning Candidate]]-SamplingData[[#Totals],[Candidate 8]]), 0)</f>
        <v>0</v>
      </c>
      <c r="X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00">
        <f>MAX(SamplingData[[#This Row],[Error Bound (up) - Max. possible relative overstatement - Losing Candidate]:[Error Bound (up) - Max. possible relative overstatement - Candidate 12]])</f>
        <v>0</v>
      </c>
      <c r="AC58" s="100">
        <f>IF(SamplingData[[#This Row],[Max Error Bound (up)]] = 0,0,SamplingData[[#This Row],[Max Error Bound (up)]]/SamplingData[[#Totals],[Max Error Bound (up)]])</f>
        <v>0</v>
      </c>
      <c r="AD58" s="104">
        <f>SUM($AC$5:AC58)</f>
        <v>1.4644914661067147E-2</v>
      </c>
      <c r="AE58" s="100" t="str" cm="1">
        <f t="array" ref="AE58">IF(SamplingData[[#This Row],[up/U Selection Probability]] = 0, "Zero", TEXT(SamplingData[[#This Row],[Lower Range]], REPT("0",LEN('General Info'!$B$42))) &amp; " - " &amp; TEXT(SamplingData[[#This Row],[Upper Range]], REPT("0",LEN('General Info'!$B$42))))</f>
        <v>Zero</v>
      </c>
      <c r="AF58" s="100">
        <f>SamplingData[[#This Row],[Upper Range]]-SamplingData[[#This Row],[Span]]</f>
        <v>1464.4914661067148</v>
      </c>
      <c r="AG58" s="100">
        <f>IF(ISNUMBER('General Info'!$B$42), ((SamplingData[[#This Row],[up/U Selection Probability]]) * 'General Info'!$B$44) - 1, 0)</f>
        <v>-1</v>
      </c>
      <c r="AH58" s="100">
        <f>IF(ISNUMBER('General Info'!$B$42), (SamplingData[[#This Row],[Running (cumulative) sum]] * ('General Info'!$B$42 -'General Info'!$B$43 + 1)) + 'General Info'!$B$43 - 1, 0)</f>
        <v>1463.4914661067148</v>
      </c>
      <c r="AI58" s="100" t="str">
        <f>IF(ISERROR(MATCH(SamplingData[[#This Row],[Batch by Type (p)]],SelectedPrecincts[Batch Name], 0)), "", INDEX(SelectedPrecincts[Draw], MATCH(SamplingData[[#This Row],[Batch by Type (p)]],SelectedPrecincts[Batch Name], 0)))</f>
        <v/>
      </c>
      <c r="AJ58" s="101">
        <f>IF(COUNTIF(SelectedPrecincts[Batch Name],SamplingData[[#This Row],[Batch by Type (p)]]) &lt;&gt; 0, COUNTIF(SelectedPrecincts[Batch Name],SamplingData[[#This Row],[Batch by Type (p)]]), 0)</f>
        <v>0</v>
      </c>
    </row>
    <row r="59" spans="1:36" ht="15" customHeight="1" x14ac:dyDescent="0.35">
      <c r="A59" s="98" t="s">
        <v>271</v>
      </c>
      <c r="B59" s="98">
        <v>3</v>
      </c>
      <c r="C59" s="98">
        <v>1</v>
      </c>
      <c r="D59" s="93"/>
      <c r="E59" s="93"/>
      <c r="F59" s="93"/>
      <c r="G59" s="97"/>
      <c r="H59" s="97"/>
      <c r="I59" s="93"/>
      <c r="J59" s="93"/>
      <c r="K59" s="93"/>
      <c r="L59" s="93"/>
      <c r="M59" s="93"/>
      <c r="N59" s="98">
        <v>0</v>
      </c>
      <c r="O59" s="98">
        <v>1</v>
      </c>
      <c r="P59" s="99">
        <f>SUM(SamplingData[[#This Row],[Winning Candidate]:[Under Votes]])</f>
        <v>5</v>
      </c>
      <c r="Q59" s="100">
        <f>IF(AND(SamplingData[[#This Row],[Total]]&lt;&gt; 0, NOT(ISBLANK(SamplingData[[#This Row],[Losing Candidate]]))),(SamplingData[[#This Row],[Total]]+SamplingData[[#This Row],[Winning Candidate]]-SamplingData[[#This Row],[Losing Candidate]])/(SamplingData[[#Totals],[Winning Candidate]]-SamplingData[[#Totals],[Losing Candidate]]), 0)</f>
        <v>2.1986996262210635E-4</v>
      </c>
      <c r="R59" s="100">
        <f>IF(AND(SamplingData[[#This Row],[Total]]&lt;&gt; 0, NOT(ISBLANK(SamplingData[[#This Row],[Candidate 3]]))),(SamplingData[[#This Row],[Total]]+SamplingData[[#This Row],[Winning Candidate]]-SamplingData[[#This Row],[Candidate 3]])/(SamplingData[[#Totals],[Winning Candidate]]-SamplingData[[#Totals],[Candidate 3]]), 0)</f>
        <v>0</v>
      </c>
      <c r="S59" s="100">
        <f>IF(AND(SamplingData[[#This Row],[Total]]&lt;&gt; 0, NOT(ISBLANK(SamplingData[[#This Row],[Candidate 4]]))),(SamplingData[[#This Row],[Total]]+SamplingData[[#This Row],[Winning Candidate]]-SamplingData[[#This Row],[Candidate 4]])/(SamplingData[[#Totals],[Winning Candidate]]-SamplingData[[#Totals],[Candidate 4]]), 0)</f>
        <v>0</v>
      </c>
      <c r="T59" s="100">
        <f>IF(AND(SamplingData[[#This Row],[Total]]&lt;&gt; 0, NOT(ISBLANK(SamplingData[[#This Row],[Candidate 5]]))),(SamplingData[[#This Row],[Total]]+SamplingData[[#This Row],[Winning Candidate]]-SamplingData[[#This Row],[Candidate 5]])/(SamplingData[[#Totals],[Winning Candidate]]-SamplingData[[#Totals],[Candidate 5]]), 0)</f>
        <v>0</v>
      </c>
      <c r="U59" s="100">
        <f>IF(AND(SamplingData[[#This Row],[Total]]&lt;&gt; 0, NOT(ISBLANK(SamplingData[[#This Row],[Candidate 6]]))),(SamplingData[[#This Row],[Total]]+SamplingData[[#This Row],[Losing Candidate]]-SamplingData[[#This Row],[Candidate 6]])/(SamplingData[[#Totals],[Winning Candidate]]-SamplingData[[#Totals],[Candidate 6]]), 0)</f>
        <v>0</v>
      </c>
      <c r="V59" s="100">
        <f>IF(AND(SamplingData[[#This Row],[Total]]&lt;&gt; 0, NOT(ISBLANK(SamplingData[[#This Row],[Candidate 7]]))),(SamplingData[[#This Row],[Total]]+SamplingData[[#This Row],[Winning Candidate]]-SamplingData[[#This Row],[Candidate 7]])/(SamplingData[[#Totals],[Winning Candidate]]-SamplingData[[#Totals],[Candidate 7]]), 0)</f>
        <v>0</v>
      </c>
      <c r="W59" s="100">
        <f>IF(AND(SamplingData[[#This Row],[Total]]&lt;&gt; 0, NOT(ISBLANK(SamplingData[[#This Row],[Candidate 8]]))),(SamplingData[[#This Row],[Total]]+SamplingData[[#This Row],[Winning Candidate]]-SamplingData[[#This Row],[Candidate 8]])/(SamplingData[[#Totals],[Winning Candidate]]-SamplingData[[#Totals],[Candidate 8]]), 0)</f>
        <v>0</v>
      </c>
      <c r="X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00">
        <f>MAX(SamplingData[[#This Row],[Error Bound (up) - Max. possible relative overstatement - Losing Candidate]:[Error Bound (up) - Max. possible relative overstatement - Candidate 12]])</f>
        <v>2.1986996262210635E-4</v>
      </c>
      <c r="AC59" s="100">
        <f>IF(SamplingData[[#This Row],[Max Error Bound (up)]] = 0,0,SamplingData[[#This Row],[Max Error Bound (up)]]/SamplingData[[#Totals],[Max Error Bound (up)]])</f>
        <v>9.4222796532601115E-5</v>
      </c>
      <c r="AD59" s="104">
        <f>SUM($AC$5:AC59)</f>
        <v>1.4739137457599749E-2</v>
      </c>
      <c r="AE59" s="100" t="str" cm="1">
        <f t="array" ref="AE59">IF(SamplingData[[#This Row],[up/U Selection Probability]] = 0, "Zero", TEXT(SamplingData[[#This Row],[Lower Range]], REPT("0",LEN('General Info'!$B$42))) &amp; " - " &amp; TEXT(SamplingData[[#This Row],[Upper Range]], REPT("0",LEN('General Info'!$B$42))))</f>
        <v>01464 - 01473</v>
      </c>
      <c r="AF59" s="100">
        <f>SamplingData[[#This Row],[Upper Range]]-SamplingData[[#This Row],[Span]]</f>
        <v>1464.4914661067148</v>
      </c>
      <c r="AG59" s="100">
        <f>IF(ISNUMBER('General Info'!$B$42), ((SamplingData[[#This Row],[up/U Selection Probability]]) * 'General Info'!$B$44) - 1, 0)</f>
        <v>8.4222796532601123</v>
      </c>
      <c r="AH59" s="100">
        <f>IF(ISNUMBER('General Info'!$B$42), (SamplingData[[#This Row],[Running (cumulative) sum]] * ('General Info'!$B$42 -'General Info'!$B$43 + 1)) + 'General Info'!$B$43 - 1, 0)</f>
        <v>1472.913745759975</v>
      </c>
      <c r="AI59" s="100" t="str">
        <f>IF(ISERROR(MATCH(SamplingData[[#This Row],[Batch by Type (p)]],SelectedPrecincts[Batch Name], 0)), "", INDEX(SelectedPrecincts[Draw], MATCH(SamplingData[[#This Row],[Batch by Type (p)]],SelectedPrecincts[Batch Name], 0)))</f>
        <v/>
      </c>
      <c r="AJ59" s="101">
        <f>IF(COUNTIF(SelectedPrecincts[Batch Name],SamplingData[[#This Row],[Batch by Type (p)]]) &lt;&gt; 0, COUNTIF(SelectedPrecincts[Batch Name],SamplingData[[#This Row],[Batch by Type (p)]]), 0)</f>
        <v>0</v>
      </c>
    </row>
    <row r="60" spans="1:36" ht="15" customHeight="1" x14ac:dyDescent="0.35">
      <c r="A60" s="98" t="s">
        <v>272</v>
      </c>
      <c r="B60" s="98">
        <v>0</v>
      </c>
      <c r="C60" s="98">
        <v>0</v>
      </c>
      <c r="D60" s="93"/>
      <c r="E60" s="93"/>
      <c r="F60" s="93"/>
      <c r="G60" s="97"/>
      <c r="H60" s="97"/>
      <c r="I60" s="93"/>
      <c r="J60" s="93"/>
      <c r="K60" s="93"/>
      <c r="L60" s="93"/>
      <c r="M60" s="93"/>
      <c r="N60" s="98">
        <v>0</v>
      </c>
      <c r="O60" s="98">
        <v>0</v>
      </c>
      <c r="P60" s="99">
        <f>SUM(SamplingData[[#This Row],[Winning Candidate]:[Under Votes]])</f>
        <v>0</v>
      </c>
      <c r="Q60" s="100">
        <f>IF(AND(SamplingData[[#This Row],[Total]]&lt;&gt; 0, NOT(ISBLANK(SamplingData[[#This Row],[Losing Candidate]]))),(SamplingData[[#This Row],[Total]]+SamplingData[[#This Row],[Winning Candidate]]-SamplingData[[#This Row],[Losing Candidate]])/(SamplingData[[#Totals],[Winning Candidate]]-SamplingData[[#Totals],[Losing Candidate]]), 0)</f>
        <v>0</v>
      </c>
      <c r="R60" s="100">
        <f>IF(AND(SamplingData[[#This Row],[Total]]&lt;&gt; 0, NOT(ISBLANK(SamplingData[[#This Row],[Candidate 3]]))),(SamplingData[[#This Row],[Total]]+SamplingData[[#This Row],[Winning Candidate]]-SamplingData[[#This Row],[Candidate 3]])/(SamplingData[[#Totals],[Winning Candidate]]-SamplingData[[#Totals],[Candidate 3]]), 0)</f>
        <v>0</v>
      </c>
      <c r="S60" s="100">
        <f>IF(AND(SamplingData[[#This Row],[Total]]&lt;&gt; 0, NOT(ISBLANK(SamplingData[[#This Row],[Candidate 4]]))),(SamplingData[[#This Row],[Total]]+SamplingData[[#This Row],[Winning Candidate]]-SamplingData[[#This Row],[Candidate 4]])/(SamplingData[[#Totals],[Winning Candidate]]-SamplingData[[#Totals],[Candidate 4]]), 0)</f>
        <v>0</v>
      </c>
      <c r="T60" s="100">
        <f>IF(AND(SamplingData[[#This Row],[Total]]&lt;&gt; 0, NOT(ISBLANK(SamplingData[[#This Row],[Candidate 5]]))),(SamplingData[[#This Row],[Total]]+SamplingData[[#This Row],[Winning Candidate]]-SamplingData[[#This Row],[Candidate 5]])/(SamplingData[[#Totals],[Winning Candidate]]-SamplingData[[#Totals],[Candidate 5]]), 0)</f>
        <v>0</v>
      </c>
      <c r="U60" s="100">
        <f>IF(AND(SamplingData[[#This Row],[Total]]&lt;&gt; 0, NOT(ISBLANK(SamplingData[[#This Row],[Candidate 6]]))),(SamplingData[[#This Row],[Total]]+SamplingData[[#This Row],[Losing Candidate]]-SamplingData[[#This Row],[Candidate 6]])/(SamplingData[[#Totals],[Winning Candidate]]-SamplingData[[#Totals],[Candidate 6]]), 0)</f>
        <v>0</v>
      </c>
      <c r="V60" s="100">
        <f>IF(AND(SamplingData[[#This Row],[Total]]&lt;&gt; 0, NOT(ISBLANK(SamplingData[[#This Row],[Candidate 7]]))),(SamplingData[[#This Row],[Total]]+SamplingData[[#This Row],[Winning Candidate]]-SamplingData[[#This Row],[Candidate 7]])/(SamplingData[[#Totals],[Winning Candidate]]-SamplingData[[#Totals],[Candidate 7]]), 0)</f>
        <v>0</v>
      </c>
      <c r="W60" s="100">
        <f>IF(AND(SamplingData[[#This Row],[Total]]&lt;&gt; 0, NOT(ISBLANK(SamplingData[[#This Row],[Candidate 8]]))),(SamplingData[[#This Row],[Total]]+SamplingData[[#This Row],[Winning Candidate]]-SamplingData[[#This Row],[Candidate 8]])/(SamplingData[[#Totals],[Winning Candidate]]-SamplingData[[#Totals],[Candidate 8]]), 0)</f>
        <v>0</v>
      </c>
      <c r="X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00">
        <f>MAX(SamplingData[[#This Row],[Error Bound (up) - Max. possible relative overstatement - Losing Candidate]:[Error Bound (up) - Max. possible relative overstatement - Candidate 12]])</f>
        <v>0</v>
      </c>
      <c r="AC60" s="100">
        <f>IF(SamplingData[[#This Row],[Max Error Bound (up)]] = 0,0,SamplingData[[#This Row],[Max Error Bound (up)]]/SamplingData[[#Totals],[Max Error Bound (up)]])</f>
        <v>0</v>
      </c>
      <c r="AD60" s="104">
        <f>SUM($AC$5:AC60)</f>
        <v>1.4739137457599749E-2</v>
      </c>
      <c r="AE60" s="100" t="str" cm="1">
        <f t="array" ref="AE60">IF(SamplingData[[#This Row],[up/U Selection Probability]] = 0, "Zero", TEXT(SamplingData[[#This Row],[Lower Range]], REPT("0",LEN('General Info'!$B$42))) &amp; " - " &amp; TEXT(SamplingData[[#This Row],[Upper Range]], REPT("0",LEN('General Info'!$B$42))))</f>
        <v>Zero</v>
      </c>
      <c r="AF60" s="100">
        <f>SamplingData[[#This Row],[Upper Range]]-SamplingData[[#This Row],[Span]]</f>
        <v>1473.913745759975</v>
      </c>
      <c r="AG60" s="100">
        <f>IF(ISNUMBER('General Info'!$B$42), ((SamplingData[[#This Row],[up/U Selection Probability]]) * 'General Info'!$B$44) - 1, 0)</f>
        <v>-1</v>
      </c>
      <c r="AH60" s="100">
        <f>IF(ISNUMBER('General Info'!$B$42), (SamplingData[[#This Row],[Running (cumulative) sum]] * ('General Info'!$B$42 -'General Info'!$B$43 + 1)) + 'General Info'!$B$43 - 1, 0)</f>
        <v>1472.913745759975</v>
      </c>
      <c r="AI60" s="100" t="str">
        <f>IF(ISERROR(MATCH(SamplingData[[#This Row],[Batch by Type (p)]],SelectedPrecincts[Batch Name], 0)), "", INDEX(SelectedPrecincts[Draw], MATCH(SamplingData[[#This Row],[Batch by Type (p)]],SelectedPrecincts[Batch Name], 0)))</f>
        <v/>
      </c>
      <c r="AJ60" s="101">
        <f>IF(COUNTIF(SelectedPrecincts[Batch Name],SamplingData[[#This Row],[Batch by Type (p)]]) &lt;&gt; 0, COUNTIF(SelectedPrecincts[Batch Name],SamplingData[[#This Row],[Batch by Type (p)]]), 0)</f>
        <v>0</v>
      </c>
    </row>
    <row r="61" spans="1:36" ht="15" customHeight="1" x14ac:dyDescent="0.35">
      <c r="A61" s="98" t="s">
        <v>273</v>
      </c>
      <c r="B61" s="98">
        <v>0</v>
      </c>
      <c r="C61" s="98">
        <v>1</v>
      </c>
      <c r="D61" s="93"/>
      <c r="E61" s="93"/>
      <c r="F61" s="93"/>
      <c r="G61" s="97"/>
      <c r="H61" s="97"/>
      <c r="I61" s="93"/>
      <c r="J61" s="93"/>
      <c r="K61" s="93"/>
      <c r="L61" s="93"/>
      <c r="M61" s="93"/>
      <c r="N61" s="98">
        <v>0</v>
      </c>
      <c r="O61" s="98">
        <v>0</v>
      </c>
      <c r="P61" s="99">
        <f>SUM(SamplingData[[#This Row],[Winning Candidate]:[Under Votes]])</f>
        <v>1</v>
      </c>
      <c r="Q61" s="100">
        <f>IF(AND(SamplingData[[#This Row],[Total]]&lt;&gt; 0, NOT(ISBLANK(SamplingData[[#This Row],[Losing Candidate]]))),(SamplingData[[#This Row],[Total]]+SamplingData[[#This Row],[Winning Candidate]]-SamplingData[[#This Row],[Losing Candidate]])/(SamplingData[[#Totals],[Winning Candidate]]-SamplingData[[#Totals],[Losing Candidate]]), 0)</f>
        <v>0</v>
      </c>
      <c r="R61" s="100">
        <f>IF(AND(SamplingData[[#This Row],[Total]]&lt;&gt; 0, NOT(ISBLANK(SamplingData[[#This Row],[Candidate 3]]))),(SamplingData[[#This Row],[Total]]+SamplingData[[#This Row],[Winning Candidate]]-SamplingData[[#This Row],[Candidate 3]])/(SamplingData[[#Totals],[Winning Candidate]]-SamplingData[[#Totals],[Candidate 3]]), 0)</f>
        <v>0</v>
      </c>
      <c r="S61" s="100">
        <f>IF(AND(SamplingData[[#This Row],[Total]]&lt;&gt; 0, NOT(ISBLANK(SamplingData[[#This Row],[Candidate 4]]))),(SamplingData[[#This Row],[Total]]+SamplingData[[#This Row],[Winning Candidate]]-SamplingData[[#This Row],[Candidate 4]])/(SamplingData[[#Totals],[Winning Candidate]]-SamplingData[[#Totals],[Candidate 4]]), 0)</f>
        <v>0</v>
      </c>
      <c r="T61" s="100">
        <f>IF(AND(SamplingData[[#This Row],[Total]]&lt;&gt; 0, NOT(ISBLANK(SamplingData[[#This Row],[Candidate 5]]))),(SamplingData[[#This Row],[Total]]+SamplingData[[#This Row],[Winning Candidate]]-SamplingData[[#This Row],[Candidate 5]])/(SamplingData[[#Totals],[Winning Candidate]]-SamplingData[[#Totals],[Candidate 5]]), 0)</f>
        <v>0</v>
      </c>
      <c r="U61" s="100">
        <f>IF(AND(SamplingData[[#This Row],[Total]]&lt;&gt; 0, NOT(ISBLANK(SamplingData[[#This Row],[Candidate 6]]))),(SamplingData[[#This Row],[Total]]+SamplingData[[#This Row],[Losing Candidate]]-SamplingData[[#This Row],[Candidate 6]])/(SamplingData[[#Totals],[Winning Candidate]]-SamplingData[[#Totals],[Candidate 6]]), 0)</f>
        <v>0</v>
      </c>
      <c r="V61" s="100">
        <f>IF(AND(SamplingData[[#This Row],[Total]]&lt;&gt; 0, NOT(ISBLANK(SamplingData[[#This Row],[Candidate 7]]))),(SamplingData[[#This Row],[Total]]+SamplingData[[#This Row],[Winning Candidate]]-SamplingData[[#This Row],[Candidate 7]])/(SamplingData[[#Totals],[Winning Candidate]]-SamplingData[[#Totals],[Candidate 7]]), 0)</f>
        <v>0</v>
      </c>
      <c r="W61" s="100">
        <f>IF(AND(SamplingData[[#This Row],[Total]]&lt;&gt; 0, NOT(ISBLANK(SamplingData[[#This Row],[Candidate 8]]))),(SamplingData[[#This Row],[Total]]+SamplingData[[#This Row],[Winning Candidate]]-SamplingData[[#This Row],[Candidate 8]])/(SamplingData[[#Totals],[Winning Candidate]]-SamplingData[[#Totals],[Candidate 8]]), 0)</f>
        <v>0</v>
      </c>
      <c r="X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00">
        <f>MAX(SamplingData[[#This Row],[Error Bound (up) - Max. possible relative overstatement - Losing Candidate]:[Error Bound (up) - Max. possible relative overstatement - Candidate 12]])</f>
        <v>0</v>
      </c>
      <c r="AC61" s="100">
        <f>IF(SamplingData[[#This Row],[Max Error Bound (up)]] = 0,0,SamplingData[[#This Row],[Max Error Bound (up)]]/SamplingData[[#Totals],[Max Error Bound (up)]])</f>
        <v>0</v>
      </c>
      <c r="AD61" s="104">
        <f>SUM($AC$5:AC61)</f>
        <v>1.4739137457599749E-2</v>
      </c>
      <c r="AE61" s="100" t="str" cm="1">
        <f t="array" ref="AE61">IF(SamplingData[[#This Row],[up/U Selection Probability]] = 0, "Zero", TEXT(SamplingData[[#This Row],[Lower Range]], REPT("0",LEN('General Info'!$B$42))) &amp; " - " &amp; TEXT(SamplingData[[#This Row],[Upper Range]], REPT("0",LEN('General Info'!$B$42))))</f>
        <v>Zero</v>
      </c>
      <c r="AF61" s="100">
        <f>SamplingData[[#This Row],[Upper Range]]-SamplingData[[#This Row],[Span]]</f>
        <v>1473.913745759975</v>
      </c>
      <c r="AG61" s="100">
        <f>IF(ISNUMBER('General Info'!$B$42), ((SamplingData[[#This Row],[up/U Selection Probability]]) * 'General Info'!$B$44) - 1, 0)</f>
        <v>-1</v>
      </c>
      <c r="AH61" s="100">
        <f>IF(ISNUMBER('General Info'!$B$42), (SamplingData[[#This Row],[Running (cumulative) sum]] * ('General Info'!$B$42 -'General Info'!$B$43 + 1)) + 'General Info'!$B$43 - 1, 0)</f>
        <v>1472.913745759975</v>
      </c>
      <c r="AI61" s="100" t="str">
        <f>IF(ISERROR(MATCH(SamplingData[[#This Row],[Batch by Type (p)]],SelectedPrecincts[Batch Name], 0)), "", INDEX(SelectedPrecincts[Draw], MATCH(SamplingData[[#This Row],[Batch by Type (p)]],SelectedPrecincts[Batch Name], 0)))</f>
        <v/>
      </c>
      <c r="AJ61" s="101">
        <f>IF(COUNTIF(SelectedPrecincts[Batch Name],SamplingData[[#This Row],[Batch by Type (p)]]) &lt;&gt; 0, COUNTIF(SelectedPrecincts[Batch Name],SamplingData[[#This Row],[Batch by Type (p)]]), 0)</f>
        <v>0</v>
      </c>
    </row>
    <row r="62" spans="1:36" ht="15" customHeight="1" x14ac:dyDescent="0.35">
      <c r="A62" s="98" t="s">
        <v>274</v>
      </c>
      <c r="B62" s="98">
        <v>1</v>
      </c>
      <c r="C62" s="98">
        <v>2</v>
      </c>
      <c r="D62" s="93"/>
      <c r="E62" s="93"/>
      <c r="F62" s="93"/>
      <c r="G62" s="97"/>
      <c r="H62" s="97"/>
      <c r="I62" s="93"/>
      <c r="J62" s="93"/>
      <c r="K62" s="93"/>
      <c r="L62" s="93"/>
      <c r="M62" s="93"/>
      <c r="N62" s="98">
        <v>0</v>
      </c>
      <c r="O62" s="98">
        <v>1</v>
      </c>
      <c r="P62" s="99">
        <f>SUM(SamplingData[[#This Row],[Winning Candidate]:[Under Votes]])</f>
        <v>4</v>
      </c>
      <c r="Q62" s="100">
        <f>IF(AND(SamplingData[[#This Row],[Total]]&lt;&gt; 0, NOT(ISBLANK(SamplingData[[#This Row],[Losing Candidate]]))),(SamplingData[[#This Row],[Total]]+SamplingData[[#This Row],[Winning Candidate]]-SamplingData[[#This Row],[Losing Candidate]])/(SamplingData[[#Totals],[Winning Candidate]]-SamplingData[[#Totals],[Losing Candidate]]), 0)</f>
        <v>9.4229983980902721E-5</v>
      </c>
      <c r="R62" s="100">
        <f>IF(AND(SamplingData[[#This Row],[Total]]&lt;&gt; 0, NOT(ISBLANK(SamplingData[[#This Row],[Candidate 3]]))),(SamplingData[[#This Row],[Total]]+SamplingData[[#This Row],[Winning Candidate]]-SamplingData[[#This Row],[Candidate 3]])/(SamplingData[[#Totals],[Winning Candidate]]-SamplingData[[#Totals],[Candidate 3]]), 0)</f>
        <v>0</v>
      </c>
      <c r="S62" s="100">
        <f>IF(AND(SamplingData[[#This Row],[Total]]&lt;&gt; 0, NOT(ISBLANK(SamplingData[[#This Row],[Candidate 4]]))),(SamplingData[[#This Row],[Total]]+SamplingData[[#This Row],[Winning Candidate]]-SamplingData[[#This Row],[Candidate 4]])/(SamplingData[[#Totals],[Winning Candidate]]-SamplingData[[#Totals],[Candidate 4]]), 0)</f>
        <v>0</v>
      </c>
      <c r="T62" s="100">
        <f>IF(AND(SamplingData[[#This Row],[Total]]&lt;&gt; 0, NOT(ISBLANK(SamplingData[[#This Row],[Candidate 5]]))),(SamplingData[[#This Row],[Total]]+SamplingData[[#This Row],[Winning Candidate]]-SamplingData[[#This Row],[Candidate 5]])/(SamplingData[[#Totals],[Winning Candidate]]-SamplingData[[#Totals],[Candidate 5]]), 0)</f>
        <v>0</v>
      </c>
      <c r="U62" s="100">
        <f>IF(AND(SamplingData[[#This Row],[Total]]&lt;&gt; 0, NOT(ISBLANK(SamplingData[[#This Row],[Candidate 6]]))),(SamplingData[[#This Row],[Total]]+SamplingData[[#This Row],[Losing Candidate]]-SamplingData[[#This Row],[Candidate 6]])/(SamplingData[[#Totals],[Winning Candidate]]-SamplingData[[#Totals],[Candidate 6]]), 0)</f>
        <v>0</v>
      </c>
      <c r="V62" s="100">
        <f>IF(AND(SamplingData[[#This Row],[Total]]&lt;&gt; 0, NOT(ISBLANK(SamplingData[[#This Row],[Candidate 7]]))),(SamplingData[[#This Row],[Total]]+SamplingData[[#This Row],[Winning Candidate]]-SamplingData[[#This Row],[Candidate 7]])/(SamplingData[[#Totals],[Winning Candidate]]-SamplingData[[#Totals],[Candidate 7]]), 0)</f>
        <v>0</v>
      </c>
      <c r="W62" s="100">
        <f>IF(AND(SamplingData[[#This Row],[Total]]&lt;&gt; 0, NOT(ISBLANK(SamplingData[[#This Row],[Candidate 8]]))),(SamplingData[[#This Row],[Total]]+SamplingData[[#This Row],[Winning Candidate]]-SamplingData[[#This Row],[Candidate 8]])/(SamplingData[[#Totals],[Winning Candidate]]-SamplingData[[#Totals],[Candidate 8]]), 0)</f>
        <v>0</v>
      </c>
      <c r="X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00">
        <f>MAX(SamplingData[[#This Row],[Error Bound (up) - Max. possible relative overstatement - Losing Candidate]:[Error Bound (up) - Max. possible relative overstatement - Candidate 12]])</f>
        <v>9.4229983980902721E-5</v>
      </c>
      <c r="AC62" s="100">
        <f>IF(SamplingData[[#This Row],[Max Error Bound (up)]] = 0,0,SamplingData[[#This Row],[Max Error Bound (up)]]/SamplingData[[#Totals],[Max Error Bound (up)]])</f>
        <v>4.0381198513971908E-5</v>
      </c>
      <c r="AD62" s="104">
        <f>SUM($AC$5:AC62)</f>
        <v>1.4779518656113721E-2</v>
      </c>
      <c r="AE62" s="100" t="str" cm="1">
        <f t="array" ref="AE62">IF(SamplingData[[#This Row],[up/U Selection Probability]] = 0, "Zero", TEXT(SamplingData[[#This Row],[Lower Range]], REPT("0",LEN('General Info'!$B$42))) &amp; " - " &amp; TEXT(SamplingData[[#This Row],[Upper Range]], REPT("0",LEN('General Info'!$B$42))))</f>
        <v>01474 - 01477</v>
      </c>
      <c r="AF62" s="100">
        <f>SamplingData[[#This Row],[Upper Range]]-SamplingData[[#This Row],[Span]]</f>
        <v>1473.913745759975</v>
      </c>
      <c r="AG62" s="100">
        <f>IF(ISNUMBER('General Info'!$B$42), ((SamplingData[[#This Row],[up/U Selection Probability]]) * 'General Info'!$B$44) - 1, 0)</f>
        <v>3.038119851397191</v>
      </c>
      <c r="AH62" s="100">
        <f>IF(ISNUMBER('General Info'!$B$42), (SamplingData[[#This Row],[Running (cumulative) sum]] * ('General Info'!$B$42 -'General Info'!$B$43 + 1)) + 'General Info'!$B$43 - 1, 0)</f>
        <v>1476.9518656113721</v>
      </c>
      <c r="AI62" s="100" t="str">
        <f>IF(ISERROR(MATCH(SamplingData[[#This Row],[Batch by Type (p)]],SelectedPrecincts[Batch Name], 0)), "", INDEX(SelectedPrecincts[Draw], MATCH(SamplingData[[#This Row],[Batch by Type (p)]],SelectedPrecincts[Batch Name], 0)))</f>
        <v/>
      </c>
      <c r="AJ62" s="101">
        <f>IF(COUNTIF(SelectedPrecincts[Batch Name],SamplingData[[#This Row],[Batch by Type (p)]]) &lt;&gt; 0, COUNTIF(SelectedPrecincts[Batch Name],SamplingData[[#This Row],[Batch by Type (p)]]), 0)</f>
        <v>0</v>
      </c>
    </row>
    <row r="63" spans="1:36" ht="15" customHeight="1" x14ac:dyDescent="0.35">
      <c r="A63" s="98" t="s">
        <v>275</v>
      </c>
      <c r="B63" s="98">
        <v>0</v>
      </c>
      <c r="C63" s="98">
        <v>0</v>
      </c>
      <c r="D63" s="93"/>
      <c r="E63" s="93"/>
      <c r="F63" s="93"/>
      <c r="G63" s="97"/>
      <c r="H63" s="97"/>
      <c r="I63" s="93"/>
      <c r="J63" s="93"/>
      <c r="K63" s="93"/>
      <c r="L63" s="93"/>
      <c r="M63" s="93"/>
      <c r="N63" s="98">
        <v>0</v>
      </c>
      <c r="O63" s="98">
        <v>0</v>
      </c>
      <c r="P63" s="99">
        <f>SUM(SamplingData[[#This Row],[Winning Candidate]:[Under Votes]])</f>
        <v>0</v>
      </c>
      <c r="Q63" s="100">
        <f>IF(AND(SamplingData[[#This Row],[Total]]&lt;&gt; 0, NOT(ISBLANK(SamplingData[[#This Row],[Losing Candidate]]))),(SamplingData[[#This Row],[Total]]+SamplingData[[#This Row],[Winning Candidate]]-SamplingData[[#This Row],[Losing Candidate]])/(SamplingData[[#Totals],[Winning Candidate]]-SamplingData[[#Totals],[Losing Candidate]]), 0)</f>
        <v>0</v>
      </c>
      <c r="R63" s="100">
        <f>IF(AND(SamplingData[[#This Row],[Total]]&lt;&gt; 0, NOT(ISBLANK(SamplingData[[#This Row],[Candidate 3]]))),(SamplingData[[#This Row],[Total]]+SamplingData[[#This Row],[Winning Candidate]]-SamplingData[[#This Row],[Candidate 3]])/(SamplingData[[#Totals],[Winning Candidate]]-SamplingData[[#Totals],[Candidate 3]]), 0)</f>
        <v>0</v>
      </c>
      <c r="S63" s="100">
        <f>IF(AND(SamplingData[[#This Row],[Total]]&lt;&gt; 0, NOT(ISBLANK(SamplingData[[#This Row],[Candidate 4]]))),(SamplingData[[#This Row],[Total]]+SamplingData[[#This Row],[Winning Candidate]]-SamplingData[[#This Row],[Candidate 4]])/(SamplingData[[#Totals],[Winning Candidate]]-SamplingData[[#Totals],[Candidate 4]]), 0)</f>
        <v>0</v>
      </c>
      <c r="T63" s="100">
        <f>IF(AND(SamplingData[[#This Row],[Total]]&lt;&gt; 0, NOT(ISBLANK(SamplingData[[#This Row],[Candidate 5]]))),(SamplingData[[#This Row],[Total]]+SamplingData[[#This Row],[Winning Candidate]]-SamplingData[[#This Row],[Candidate 5]])/(SamplingData[[#Totals],[Winning Candidate]]-SamplingData[[#Totals],[Candidate 5]]), 0)</f>
        <v>0</v>
      </c>
      <c r="U63" s="100">
        <f>IF(AND(SamplingData[[#This Row],[Total]]&lt;&gt; 0, NOT(ISBLANK(SamplingData[[#This Row],[Candidate 6]]))),(SamplingData[[#This Row],[Total]]+SamplingData[[#This Row],[Losing Candidate]]-SamplingData[[#This Row],[Candidate 6]])/(SamplingData[[#Totals],[Winning Candidate]]-SamplingData[[#Totals],[Candidate 6]]), 0)</f>
        <v>0</v>
      </c>
      <c r="V63" s="100">
        <f>IF(AND(SamplingData[[#This Row],[Total]]&lt;&gt; 0, NOT(ISBLANK(SamplingData[[#This Row],[Candidate 7]]))),(SamplingData[[#This Row],[Total]]+SamplingData[[#This Row],[Winning Candidate]]-SamplingData[[#This Row],[Candidate 7]])/(SamplingData[[#Totals],[Winning Candidate]]-SamplingData[[#Totals],[Candidate 7]]), 0)</f>
        <v>0</v>
      </c>
      <c r="W63" s="100">
        <f>IF(AND(SamplingData[[#This Row],[Total]]&lt;&gt; 0, NOT(ISBLANK(SamplingData[[#This Row],[Candidate 8]]))),(SamplingData[[#This Row],[Total]]+SamplingData[[#This Row],[Winning Candidate]]-SamplingData[[#This Row],[Candidate 8]])/(SamplingData[[#Totals],[Winning Candidate]]-SamplingData[[#Totals],[Candidate 8]]), 0)</f>
        <v>0</v>
      </c>
      <c r="X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00">
        <f>MAX(SamplingData[[#This Row],[Error Bound (up) - Max. possible relative overstatement - Losing Candidate]:[Error Bound (up) - Max. possible relative overstatement - Candidate 12]])</f>
        <v>0</v>
      </c>
      <c r="AC63" s="100">
        <f>IF(SamplingData[[#This Row],[Max Error Bound (up)]] = 0,0,SamplingData[[#This Row],[Max Error Bound (up)]]/SamplingData[[#Totals],[Max Error Bound (up)]])</f>
        <v>0</v>
      </c>
      <c r="AD63" s="104">
        <f>SUM($AC$5:AC63)</f>
        <v>1.4779518656113721E-2</v>
      </c>
      <c r="AE63" s="100" t="str" cm="1">
        <f t="array" ref="AE63">IF(SamplingData[[#This Row],[up/U Selection Probability]] = 0, "Zero", TEXT(SamplingData[[#This Row],[Lower Range]], REPT("0",LEN('General Info'!$B$42))) &amp; " - " &amp; TEXT(SamplingData[[#This Row],[Upper Range]], REPT("0",LEN('General Info'!$B$42))))</f>
        <v>Zero</v>
      </c>
      <c r="AF63" s="100">
        <f>SamplingData[[#This Row],[Upper Range]]-SamplingData[[#This Row],[Span]]</f>
        <v>1477.9518656113721</v>
      </c>
      <c r="AG63" s="100">
        <f>IF(ISNUMBER('General Info'!$B$42), ((SamplingData[[#This Row],[up/U Selection Probability]]) * 'General Info'!$B$44) - 1, 0)</f>
        <v>-1</v>
      </c>
      <c r="AH63" s="100">
        <f>IF(ISNUMBER('General Info'!$B$42), (SamplingData[[#This Row],[Running (cumulative) sum]] * ('General Info'!$B$42 -'General Info'!$B$43 + 1)) + 'General Info'!$B$43 - 1, 0)</f>
        <v>1476.9518656113721</v>
      </c>
      <c r="AI63" s="100" t="str">
        <f>IF(ISERROR(MATCH(SamplingData[[#This Row],[Batch by Type (p)]],SelectedPrecincts[Batch Name], 0)), "", INDEX(SelectedPrecincts[Draw], MATCH(SamplingData[[#This Row],[Batch by Type (p)]],SelectedPrecincts[Batch Name], 0)))</f>
        <v/>
      </c>
      <c r="AJ63" s="101">
        <f>IF(COUNTIF(SelectedPrecincts[Batch Name],SamplingData[[#This Row],[Batch by Type (p)]]) &lt;&gt; 0, COUNTIF(SelectedPrecincts[Batch Name],SamplingData[[#This Row],[Batch by Type (p)]]), 0)</f>
        <v>0</v>
      </c>
    </row>
    <row r="64" spans="1:36" ht="15" customHeight="1" x14ac:dyDescent="0.35">
      <c r="A64" s="98" t="s">
        <v>276</v>
      </c>
      <c r="B64" s="98">
        <v>8</v>
      </c>
      <c r="C64" s="98">
        <v>0</v>
      </c>
      <c r="D64" s="93"/>
      <c r="E64" s="93"/>
      <c r="F64" s="93"/>
      <c r="G64" s="97"/>
      <c r="H64" s="97"/>
      <c r="I64" s="93"/>
      <c r="J64" s="93"/>
      <c r="K64" s="93"/>
      <c r="L64" s="93"/>
      <c r="M64" s="93"/>
      <c r="N64" s="98">
        <v>0</v>
      </c>
      <c r="O64" s="98">
        <v>1</v>
      </c>
      <c r="P64" s="99">
        <f>SUM(SamplingData[[#This Row],[Winning Candidate]:[Under Votes]])</f>
        <v>9</v>
      </c>
      <c r="Q64" s="100">
        <f>IF(AND(SamplingData[[#This Row],[Total]]&lt;&gt; 0, NOT(ISBLANK(SamplingData[[#This Row],[Losing Candidate]]))),(SamplingData[[#This Row],[Total]]+SamplingData[[#This Row],[Winning Candidate]]-SamplingData[[#This Row],[Losing Candidate]])/(SamplingData[[#Totals],[Winning Candidate]]-SamplingData[[#Totals],[Losing Candidate]]), 0)</f>
        <v>5.3396990922511547E-4</v>
      </c>
      <c r="R64" s="100">
        <f>IF(AND(SamplingData[[#This Row],[Total]]&lt;&gt; 0, NOT(ISBLANK(SamplingData[[#This Row],[Candidate 3]]))),(SamplingData[[#This Row],[Total]]+SamplingData[[#This Row],[Winning Candidate]]-SamplingData[[#This Row],[Candidate 3]])/(SamplingData[[#Totals],[Winning Candidate]]-SamplingData[[#Totals],[Candidate 3]]), 0)</f>
        <v>0</v>
      </c>
      <c r="S64" s="100">
        <f>IF(AND(SamplingData[[#This Row],[Total]]&lt;&gt; 0, NOT(ISBLANK(SamplingData[[#This Row],[Candidate 4]]))),(SamplingData[[#This Row],[Total]]+SamplingData[[#This Row],[Winning Candidate]]-SamplingData[[#This Row],[Candidate 4]])/(SamplingData[[#Totals],[Winning Candidate]]-SamplingData[[#Totals],[Candidate 4]]), 0)</f>
        <v>0</v>
      </c>
      <c r="T64" s="100">
        <f>IF(AND(SamplingData[[#This Row],[Total]]&lt;&gt; 0, NOT(ISBLANK(SamplingData[[#This Row],[Candidate 5]]))),(SamplingData[[#This Row],[Total]]+SamplingData[[#This Row],[Winning Candidate]]-SamplingData[[#This Row],[Candidate 5]])/(SamplingData[[#Totals],[Winning Candidate]]-SamplingData[[#Totals],[Candidate 5]]), 0)</f>
        <v>0</v>
      </c>
      <c r="U64" s="100">
        <f>IF(AND(SamplingData[[#This Row],[Total]]&lt;&gt; 0, NOT(ISBLANK(SamplingData[[#This Row],[Candidate 6]]))),(SamplingData[[#This Row],[Total]]+SamplingData[[#This Row],[Losing Candidate]]-SamplingData[[#This Row],[Candidate 6]])/(SamplingData[[#Totals],[Winning Candidate]]-SamplingData[[#Totals],[Candidate 6]]), 0)</f>
        <v>0</v>
      </c>
      <c r="V64" s="100">
        <f>IF(AND(SamplingData[[#This Row],[Total]]&lt;&gt; 0, NOT(ISBLANK(SamplingData[[#This Row],[Candidate 7]]))),(SamplingData[[#This Row],[Total]]+SamplingData[[#This Row],[Winning Candidate]]-SamplingData[[#This Row],[Candidate 7]])/(SamplingData[[#Totals],[Winning Candidate]]-SamplingData[[#Totals],[Candidate 7]]), 0)</f>
        <v>0</v>
      </c>
      <c r="W64" s="100">
        <f>IF(AND(SamplingData[[#This Row],[Total]]&lt;&gt; 0, NOT(ISBLANK(SamplingData[[#This Row],[Candidate 8]]))),(SamplingData[[#This Row],[Total]]+SamplingData[[#This Row],[Winning Candidate]]-SamplingData[[#This Row],[Candidate 8]])/(SamplingData[[#Totals],[Winning Candidate]]-SamplingData[[#Totals],[Candidate 8]]), 0)</f>
        <v>0</v>
      </c>
      <c r="X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00">
        <f>MAX(SamplingData[[#This Row],[Error Bound (up) - Max. possible relative overstatement - Losing Candidate]:[Error Bound (up) - Max. possible relative overstatement - Candidate 12]])</f>
        <v>5.3396990922511547E-4</v>
      </c>
      <c r="AC64" s="100">
        <f>IF(SamplingData[[#This Row],[Max Error Bound (up)]] = 0,0,SamplingData[[#This Row],[Max Error Bound (up)]]/SamplingData[[#Totals],[Max Error Bound (up)]])</f>
        <v>2.2882679157917418E-4</v>
      </c>
      <c r="AD64" s="104">
        <f>SUM($AC$5:AC64)</f>
        <v>1.5008345447692894E-2</v>
      </c>
      <c r="AE64" s="100" t="str" cm="1">
        <f t="array" ref="AE64">IF(SamplingData[[#This Row],[up/U Selection Probability]] = 0, "Zero", TEXT(SamplingData[[#This Row],[Lower Range]], REPT("0",LEN('General Info'!$B$42))) &amp; " - " &amp; TEXT(SamplingData[[#This Row],[Upper Range]], REPT("0",LEN('General Info'!$B$42))))</f>
        <v>01478 - 01500</v>
      </c>
      <c r="AF64" s="100">
        <f>SamplingData[[#This Row],[Upper Range]]-SamplingData[[#This Row],[Span]]</f>
        <v>1477.9518656113719</v>
      </c>
      <c r="AG64" s="100">
        <f>IF(ISNUMBER('General Info'!$B$42), ((SamplingData[[#This Row],[up/U Selection Probability]]) * 'General Info'!$B$44) - 1, 0)</f>
        <v>21.882679157917419</v>
      </c>
      <c r="AH64" s="100">
        <f>IF(ISNUMBER('General Info'!$B$42), (SamplingData[[#This Row],[Running (cumulative) sum]] * ('General Info'!$B$42 -'General Info'!$B$43 + 1)) + 'General Info'!$B$43 - 1, 0)</f>
        <v>1499.8345447692893</v>
      </c>
      <c r="AI64" s="100" t="str">
        <f>IF(ISERROR(MATCH(SamplingData[[#This Row],[Batch by Type (p)]],SelectedPrecincts[Batch Name], 0)), "", INDEX(SelectedPrecincts[Draw], MATCH(SamplingData[[#This Row],[Batch by Type (p)]],SelectedPrecincts[Batch Name], 0)))</f>
        <v/>
      </c>
      <c r="AJ64" s="101">
        <f>IF(COUNTIF(SelectedPrecincts[Batch Name],SamplingData[[#This Row],[Batch by Type (p)]]) &lt;&gt; 0, COUNTIF(SelectedPrecincts[Batch Name],SamplingData[[#This Row],[Batch by Type (p)]]), 0)</f>
        <v>0</v>
      </c>
    </row>
    <row r="65" spans="1:36" ht="15" customHeight="1" x14ac:dyDescent="0.35">
      <c r="A65" s="98" t="s">
        <v>277</v>
      </c>
      <c r="B65" s="98">
        <v>0</v>
      </c>
      <c r="C65" s="98">
        <v>0</v>
      </c>
      <c r="D65" s="93"/>
      <c r="E65" s="93"/>
      <c r="F65" s="93"/>
      <c r="G65" s="97"/>
      <c r="H65" s="97"/>
      <c r="I65" s="93"/>
      <c r="J65" s="93"/>
      <c r="K65" s="93"/>
      <c r="L65" s="93"/>
      <c r="M65" s="93"/>
      <c r="N65" s="98">
        <v>0</v>
      </c>
      <c r="O65" s="98">
        <v>0</v>
      </c>
      <c r="P65" s="99">
        <f>SUM(SamplingData[[#This Row],[Winning Candidate]:[Under Votes]])</f>
        <v>0</v>
      </c>
      <c r="Q65" s="100">
        <f>IF(AND(SamplingData[[#This Row],[Total]]&lt;&gt; 0, NOT(ISBLANK(SamplingData[[#This Row],[Losing Candidate]]))),(SamplingData[[#This Row],[Total]]+SamplingData[[#This Row],[Winning Candidate]]-SamplingData[[#This Row],[Losing Candidate]])/(SamplingData[[#Totals],[Winning Candidate]]-SamplingData[[#Totals],[Losing Candidate]]), 0)</f>
        <v>0</v>
      </c>
      <c r="R65" s="100">
        <f>IF(AND(SamplingData[[#This Row],[Total]]&lt;&gt; 0, NOT(ISBLANK(SamplingData[[#This Row],[Candidate 3]]))),(SamplingData[[#This Row],[Total]]+SamplingData[[#This Row],[Winning Candidate]]-SamplingData[[#This Row],[Candidate 3]])/(SamplingData[[#Totals],[Winning Candidate]]-SamplingData[[#Totals],[Candidate 3]]), 0)</f>
        <v>0</v>
      </c>
      <c r="S65" s="100">
        <f>IF(AND(SamplingData[[#This Row],[Total]]&lt;&gt; 0, NOT(ISBLANK(SamplingData[[#This Row],[Candidate 4]]))),(SamplingData[[#This Row],[Total]]+SamplingData[[#This Row],[Winning Candidate]]-SamplingData[[#This Row],[Candidate 4]])/(SamplingData[[#Totals],[Winning Candidate]]-SamplingData[[#Totals],[Candidate 4]]), 0)</f>
        <v>0</v>
      </c>
      <c r="T65" s="100">
        <f>IF(AND(SamplingData[[#This Row],[Total]]&lt;&gt; 0, NOT(ISBLANK(SamplingData[[#This Row],[Candidate 5]]))),(SamplingData[[#This Row],[Total]]+SamplingData[[#This Row],[Winning Candidate]]-SamplingData[[#This Row],[Candidate 5]])/(SamplingData[[#Totals],[Winning Candidate]]-SamplingData[[#Totals],[Candidate 5]]), 0)</f>
        <v>0</v>
      </c>
      <c r="U65" s="100">
        <f>IF(AND(SamplingData[[#This Row],[Total]]&lt;&gt; 0, NOT(ISBLANK(SamplingData[[#This Row],[Candidate 6]]))),(SamplingData[[#This Row],[Total]]+SamplingData[[#This Row],[Losing Candidate]]-SamplingData[[#This Row],[Candidate 6]])/(SamplingData[[#Totals],[Winning Candidate]]-SamplingData[[#Totals],[Candidate 6]]), 0)</f>
        <v>0</v>
      </c>
      <c r="V65" s="100">
        <f>IF(AND(SamplingData[[#This Row],[Total]]&lt;&gt; 0, NOT(ISBLANK(SamplingData[[#This Row],[Candidate 7]]))),(SamplingData[[#This Row],[Total]]+SamplingData[[#This Row],[Winning Candidate]]-SamplingData[[#This Row],[Candidate 7]])/(SamplingData[[#Totals],[Winning Candidate]]-SamplingData[[#Totals],[Candidate 7]]), 0)</f>
        <v>0</v>
      </c>
      <c r="W65" s="100">
        <f>IF(AND(SamplingData[[#This Row],[Total]]&lt;&gt; 0, NOT(ISBLANK(SamplingData[[#This Row],[Candidate 8]]))),(SamplingData[[#This Row],[Total]]+SamplingData[[#This Row],[Winning Candidate]]-SamplingData[[#This Row],[Candidate 8]])/(SamplingData[[#Totals],[Winning Candidate]]-SamplingData[[#Totals],[Candidate 8]]), 0)</f>
        <v>0</v>
      </c>
      <c r="X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00">
        <f>MAX(SamplingData[[#This Row],[Error Bound (up) - Max. possible relative overstatement - Losing Candidate]:[Error Bound (up) - Max. possible relative overstatement - Candidate 12]])</f>
        <v>0</v>
      </c>
      <c r="AC65" s="100">
        <f>IF(SamplingData[[#This Row],[Max Error Bound (up)]] = 0,0,SamplingData[[#This Row],[Max Error Bound (up)]]/SamplingData[[#Totals],[Max Error Bound (up)]])</f>
        <v>0</v>
      </c>
      <c r="AD65" s="104">
        <f>SUM($AC$5:AC65)</f>
        <v>1.5008345447692894E-2</v>
      </c>
      <c r="AE65" s="100" t="str" cm="1">
        <f t="array" ref="AE65">IF(SamplingData[[#This Row],[up/U Selection Probability]] = 0, "Zero", TEXT(SamplingData[[#This Row],[Lower Range]], REPT("0",LEN('General Info'!$B$42))) &amp; " - " &amp; TEXT(SamplingData[[#This Row],[Upper Range]], REPT("0",LEN('General Info'!$B$42))))</f>
        <v>Zero</v>
      </c>
      <c r="AF65" s="100">
        <f>SamplingData[[#This Row],[Upper Range]]-SamplingData[[#This Row],[Span]]</f>
        <v>1500.8345447692893</v>
      </c>
      <c r="AG65" s="100">
        <f>IF(ISNUMBER('General Info'!$B$42), ((SamplingData[[#This Row],[up/U Selection Probability]]) * 'General Info'!$B$44) - 1, 0)</f>
        <v>-1</v>
      </c>
      <c r="AH65" s="100">
        <f>IF(ISNUMBER('General Info'!$B$42), (SamplingData[[#This Row],[Running (cumulative) sum]] * ('General Info'!$B$42 -'General Info'!$B$43 + 1)) + 'General Info'!$B$43 - 1, 0)</f>
        <v>1499.8345447692893</v>
      </c>
      <c r="AI65" s="100" t="str">
        <f>IF(ISERROR(MATCH(SamplingData[[#This Row],[Batch by Type (p)]],SelectedPrecincts[Batch Name], 0)), "", INDEX(SelectedPrecincts[Draw], MATCH(SamplingData[[#This Row],[Batch by Type (p)]],SelectedPrecincts[Batch Name], 0)))</f>
        <v/>
      </c>
      <c r="AJ65" s="101">
        <f>IF(COUNTIF(SelectedPrecincts[Batch Name],SamplingData[[#This Row],[Batch by Type (p)]]) &lt;&gt; 0, COUNTIF(SelectedPrecincts[Batch Name],SamplingData[[#This Row],[Batch by Type (p)]]), 0)</f>
        <v>0</v>
      </c>
    </row>
    <row r="66" spans="1:36" ht="15" customHeight="1" x14ac:dyDescent="0.35">
      <c r="A66" s="98" t="s">
        <v>278</v>
      </c>
      <c r="B66" s="98">
        <v>3</v>
      </c>
      <c r="C66" s="98">
        <v>0</v>
      </c>
      <c r="D66" s="93"/>
      <c r="E66" s="93"/>
      <c r="F66" s="93"/>
      <c r="G66" s="97"/>
      <c r="H66" s="97"/>
      <c r="I66" s="93"/>
      <c r="J66" s="93"/>
      <c r="K66" s="93"/>
      <c r="L66" s="93"/>
      <c r="M66" s="93"/>
      <c r="N66" s="98">
        <v>0</v>
      </c>
      <c r="O66" s="98">
        <v>0</v>
      </c>
      <c r="P66" s="99">
        <f>SUM(SamplingData[[#This Row],[Winning Candidate]:[Under Votes]])</f>
        <v>3</v>
      </c>
      <c r="Q66"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66" s="100">
        <f>IF(AND(SamplingData[[#This Row],[Total]]&lt;&gt; 0, NOT(ISBLANK(SamplingData[[#This Row],[Candidate 3]]))),(SamplingData[[#This Row],[Total]]+SamplingData[[#This Row],[Winning Candidate]]-SamplingData[[#This Row],[Candidate 3]])/(SamplingData[[#Totals],[Winning Candidate]]-SamplingData[[#Totals],[Candidate 3]]), 0)</f>
        <v>0</v>
      </c>
      <c r="S66" s="100">
        <f>IF(AND(SamplingData[[#This Row],[Total]]&lt;&gt; 0, NOT(ISBLANK(SamplingData[[#This Row],[Candidate 4]]))),(SamplingData[[#This Row],[Total]]+SamplingData[[#This Row],[Winning Candidate]]-SamplingData[[#This Row],[Candidate 4]])/(SamplingData[[#Totals],[Winning Candidate]]-SamplingData[[#Totals],[Candidate 4]]), 0)</f>
        <v>0</v>
      </c>
      <c r="T66" s="100">
        <f>IF(AND(SamplingData[[#This Row],[Total]]&lt;&gt; 0, NOT(ISBLANK(SamplingData[[#This Row],[Candidate 5]]))),(SamplingData[[#This Row],[Total]]+SamplingData[[#This Row],[Winning Candidate]]-SamplingData[[#This Row],[Candidate 5]])/(SamplingData[[#Totals],[Winning Candidate]]-SamplingData[[#Totals],[Candidate 5]]), 0)</f>
        <v>0</v>
      </c>
      <c r="U66" s="100">
        <f>IF(AND(SamplingData[[#This Row],[Total]]&lt;&gt; 0, NOT(ISBLANK(SamplingData[[#This Row],[Candidate 6]]))),(SamplingData[[#This Row],[Total]]+SamplingData[[#This Row],[Losing Candidate]]-SamplingData[[#This Row],[Candidate 6]])/(SamplingData[[#Totals],[Winning Candidate]]-SamplingData[[#Totals],[Candidate 6]]), 0)</f>
        <v>0</v>
      </c>
      <c r="V66" s="100">
        <f>IF(AND(SamplingData[[#This Row],[Total]]&lt;&gt; 0, NOT(ISBLANK(SamplingData[[#This Row],[Candidate 7]]))),(SamplingData[[#This Row],[Total]]+SamplingData[[#This Row],[Winning Candidate]]-SamplingData[[#This Row],[Candidate 7]])/(SamplingData[[#Totals],[Winning Candidate]]-SamplingData[[#Totals],[Candidate 7]]), 0)</f>
        <v>0</v>
      </c>
      <c r="W66" s="100">
        <f>IF(AND(SamplingData[[#This Row],[Total]]&lt;&gt; 0, NOT(ISBLANK(SamplingData[[#This Row],[Candidate 8]]))),(SamplingData[[#This Row],[Total]]+SamplingData[[#This Row],[Winning Candidate]]-SamplingData[[#This Row],[Candidate 8]])/(SamplingData[[#Totals],[Winning Candidate]]-SamplingData[[#Totals],[Candidate 8]]), 0)</f>
        <v>0</v>
      </c>
      <c r="X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00">
        <f>MAX(SamplingData[[#This Row],[Error Bound (up) - Max. possible relative overstatement - Losing Candidate]:[Error Bound (up) - Max. possible relative overstatement - Candidate 12]])</f>
        <v>1.8845996796180544E-4</v>
      </c>
      <c r="AC66" s="100">
        <f>IF(SamplingData[[#This Row],[Max Error Bound (up)]] = 0,0,SamplingData[[#This Row],[Max Error Bound (up)]]/SamplingData[[#Totals],[Max Error Bound (up)]])</f>
        <v>8.0762397027943816E-5</v>
      </c>
      <c r="AD66" s="104">
        <f>SUM($AC$5:AC66)</f>
        <v>1.5089107844720838E-2</v>
      </c>
      <c r="AE66" s="100" t="str" cm="1">
        <f t="array" ref="AE66">IF(SamplingData[[#This Row],[up/U Selection Probability]] = 0, "Zero", TEXT(SamplingData[[#This Row],[Lower Range]], REPT("0",LEN('General Info'!$B$42))) &amp; " - " &amp; TEXT(SamplingData[[#This Row],[Upper Range]], REPT("0",LEN('General Info'!$B$42))))</f>
        <v>01501 - 01508</v>
      </c>
      <c r="AF66" s="100">
        <f>SamplingData[[#This Row],[Upper Range]]-SamplingData[[#This Row],[Span]]</f>
        <v>1500.8345447692896</v>
      </c>
      <c r="AG66" s="100">
        <f>IF(ISNUMBER('General Info'!$B$42), ((SamplingData[[#This Row],[up/U Selection Probability]]) * 'General Info'!$B$44) - 1, 0)</f>
        <v>7.076239702794382</v>
      </c>
      <c r="AH66" s="100">
        <f>IF(ISNUMBER('General Info'!$B$42), (SamplingData[[#This Row],[Running (cumulative) sum]] * ('General Info'!$B$42 -'General Info'!$B$43 + 1)) + 'General Info'!$B$43 - 1, 0)</f>
        <v>1507.9107844720838</v>
      </c>
      <c r="AI66" s="100" t="str">
        <f>IF(ISERROR(MATCH(SamplingData[[#This Row],[Batch by Type (p)]],SelectedPrecincts[Batch Name], 0)), "", INDEX(SelectedPrecincts[Draw], MATCH(SamplingData[[#This Row],[Batch by Type (p)]],SelectedPrecincts[Batch Name], 0)))</f>
        <v/>
      </c>
      <c r="AJ66" s="101">
        <f>IF(COUNTIF(SelectedPrecincts[Batch Name],SamplingData[[#This Row],[Batch by Type (p)]]) &lt;&gt; 0, COUNTIF(SelectedPrecincts[Batch Name],SamplingData[[#This Row],[Batch by Type (p)]]), 0)</f>
        <v>0</v>
      </c>
    </row>
    <row r="67" spans="1:36" ht="15" customHeight="1" x14ac:dyDescent="0.35">
      <c r="A67" s="98" t="s">
        <v>279</v>
      </c>
      <c r="B67" s="98">
        <v>0</v>
      </c>
      <c r="C67" s="98">
        <v>1</v>
      </c>
      <c r="D67" s="93"/>
      <c r="E67" s="93"/>
      <c r="F67" s="93"/>
      <c r="G67" s="97"/>
      <c r="H67" s="97"/>
      <c r="I67" s="93"/>
      <c r="J67" s="93"/>
      <c r="K67" s="93"/>
      <c r="L67" s="93"/>
      <c r="M67" s="93"/>
      <c r="N67" s="98">
        <v>0</v>
      </c>
      <c r="O67" s="98">
        <v>0</v>
      </c>
      <c r="P67" s="99">
        <f>SUM(SamplingData[[#This Row],[Winning Candidate]:[Under Votes]])</f>
        <v>1</v>
      </c>
      <c r="Q67" s="100">
        <f>IF(AND(SamplingData[[#This Row],[Total]]&lt;&gt; 0, NOT(ISBLANK(SamplingData[[#This Row],[Losing Candidate]]))),(SamplingData[[#This Row],[Total]]+SamplingData[[#This Row],[Winning Candidate]]-SamplingData[[#This Row],[Losing Candidate]])/(SamplingData[[#Totals],[Winning Candidate]]-SamplingData[[#Totals],[Losing Candidate]]), 0)</f>
        <v>0</v>
      </c>
      <c r="R67" s="100">
        <f>IF(AND(SamplingData[[#This Row],[Total]]&lt;&gt; 0, NOT(ISBLANK(SamplingData[[#This Row],[Candidate 3]]))),(SamplingData[[#This Row],[Total]]+SamplingData[[#This Row],[Winning Candidate]]-SamplingData[[#This Row],[Candidate 3]])/(SamplingData[[#Totals],[Winning Candidate]]-SamplingData[[#Totals],[Candidate 3]]), 0)</f>
        <v>0</v>
      </c>
      <c r="S67" s="100">
        <f>IF(AND(SamplingData[[#This Row],[Total]]&lt;&gt; 0, NOT(ISBLANK(SamplingData[[#This Row],[Candidate 4]]))),(SamplingData[[#This Row],[Total]]+SamplingData[[#This Row],[Winning Candidate]]-SamplingData[[#This Row],[Candidate 4]])/(SamplingData[[#Totals],[Winning Candidate]]-SamplingData[[#Totals],[Candidate 4]]), 0)</f>
        <v>0</v>
      </c>
      <c r="T67" s="100">
        <f>IF(AND(SamplingData[[#This Row],[Total]]&lt;&gt; 0, NOT(ISBLANK(SamplingData[[#This Row],[Candidate 5]]))),(SamplingData[[#This Row],[Total]]+SamplingData[[#This Row],[Winning Candidate]]-SamplingData[[#This Row],[Candidate 5]])/(SamplingData[[#Totals],[Winning Candidate]]-SamplingData[[#Totals],[Candidate 5]]), 0)</f>
        <v>0</v>
      </c>
      <c r="U67" s="100">
        <f>IF(AND(SamplingData[[#This Row],[Total]]&lt;&gt; 0, NOT(ISBLANK(SamplingData[[#This Row],[Candidate 6]]))),(SamplingData[[#This Row],[Total]]+SamplingData[[#This Row],[Losing Candidate]]-SamplingData[[#This Row],[Candidate 6]])/(SamplingData[[#Totals],[Winning Candidate]]-SamplingData[[#Totals],[Candidate 6]]), 0)</f>
        <v>0</v>
      </c>
      <c r="V67" s="100">
        <f>IF(AND(SamplingData[[#This Row],[Total]]&lt;&gt; 0, NOT(ISBLANK(SamplingData[[#This Row],[Candidate 7]]))),(SamplingData[[#This Row],[Total]]+SamplingData[[#This Row],[Winning Candidate]]-SamplingData[[#This Row],[Candidate 7]])/(SamplingData[[#Totals],[Winning Candidate]]-SamplingData[[#Totals],[Candidate 7]]), 0)</f>
        <v>0</v>
      </c>
      <c r="W67" s="100">
        <f>IF(AND(SamplingData[[#This Row],[Total]]&lt;&gt; 0, NOT(ISBLANK(SamplingData[[#This Row],[Candidate 8]]))),(SamplingData[[#This Row],[Total]]+SamplingData[[#This Row],[Winning Candidate]]-SamplingData[[#This Row],[Candidate 8]])/(SamplingData[[#Totals],[Winning Candidate]]-SamplingData[[#Totals],[Candidate 8]]), 0)</f>
        <v>0</v>
      </c>
      <c r="X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00">
        <f>MAX(SamplingData[[#This Row],[Error Bound (up) - Max. possible relative overstatement - Losing Candidate]:[Error Bound (up) - Max. possible relative overstatement - Candidate 12]])</f>
        <v>0</v>
      </c>
      <c r="AC67" s="100">
        <f>IF(SamplingData[[#This Row],[Max Error Bound (up)]] = 0,0,SamplingData[[#This Row],[Max Error Bound (up)]]/SamplingData[[#Totals],[Max Error Bound (up)]])</f>
        <v>0</v>
      </c>
      <c r="AD67" s="104">
        <f>SUM($AC$5:AC67)</f>
        <v>1.5089107844720838E-2</v>
      </c>
      <c r="AE67" s="100" t="str" cm="1">
        <f t="array" ref="AE67">IF(SamplingData[[#This Row],[up/U Selection Probability]] = 0, "Zero", TEXT(SamplingData[[#This Row],[Lower Range]], REPT("0",LEN('General Info'!$B$42))) &amp; " - " &amp; TEXT(SamplingData[[#This Row],[Upper Range]], REPT("0",LEN('General Info'!$B$42))))</f>
        <v>Zero</v>
      </c>
      <c r="AF67" s="100">
        <f>SamplingData[[#This Row],[Upper Range]]-SamplingData[[#This Row],[Span]]</f>
        <v>1508.9107844720838</v>
      </c>
      <c r="AG67" s="100">
        <f>IF(ISNUMBER('General Info'!$B$42), ((SamplingData[[#This Row],[up/U Selection Probability]]) * 'General Info'!$B$44) - 1, 0)</f>
        <v>-1</v>
      </c>
      <c r="AH67" s="100">
        <f>IF(ISNUMBER('General Info'!$B$42), (SamplingData[[#This Row],[Running (cumulative) sum]] * ('General Info'!$B$42 -'General Info'!$B$43 + 1)) + 'General Info'!$B$43 - 1, 0)</f>
        <v>1507.9107844720838</v>
      </c>
      <c r="AI67" s="100" t="str">
        <f>IF(ISERROR(MATCH(SamplingData[[#This Row],[Batch by Type (p)]],SelectedPrecincts[Batch Name], 0)), "", INDEX(SelectedPrecincts[Draw], MATCH(SamplingData[[#This Row],[Batch by Type (p)]],SelectedPrecincts[Batch Name], 0)))</f>
        <v/>
      </c>
      <c r="AJ67" s="101">
        <f>IF(COUNTIF(SelectedPrecincts[Batch Name],SamplingData[[#This Row],[Batch by Type (p)]]) &lt;&gt; 0, COUNTIF(SelectedPrecincts[Batch Name],SamplingData[[#This Row],[Batch by Type (p)]]), 0)</f>
        <v>0</v>
      </c>
    </row>
    <row r="68" spans="1:36" ht="15" customHeight="1" x14ac:dyDescent="0.35">
      <c r="A68" s="98" t="s">
        <v>280</v>
      </c>
      <c r="B68" s="98">
        <v>6</v>
      </c>
      <c r="C68" s="98">
        <v>0</v>
      </c>
      <c r="D68" s="93"/>
      <c r="E68" s="93"/>
      <c r="F68" s="93"/>
      <c r="G68" s="97"/>
      <c r="H68" s="97"/>
      <c r="I68" s="93"/>
      <c r="J68" s="93"/>
      <c r="K68" s="93"/>
      <c r="L68" s="93"/>
      <c r="M68" s="93"/>
      <c r="N68" s="98">
        <v>0</v>
      </c>
      <c r="O68" s="98">
        <v>0</v>
      </c>
      <c r="P68" s="99">
        <f>SUM(SamplingData[[#This Row],[Winning Candidate]:[Under Votes]])</f>
        <v>6</v>
      </c>
      <c r="Q68"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8" s="100">
        <f>IF(AND(SamplingData[[#This Row],[Total]]&lt;&gt; 0, NOT(ISBLANK(SamplingData[[#This Row],[Candidate 3]]))),(SamplingData[[#This Row],[Total]]+SamplingData[[#This Row],[Winning Candidate]]-SamplingData[[#This Row],[Candidate 3]])/(SamplingData[[#Totals],[Winning Candidate]]-SamplingData[[#Totals],[Candidate 3]]), 0)</f>
        <v>0</v>
      </c>
      <c r="S68" s="100">
        <f>IF(AND(SamplingData[[#This Row],[Total]]&lt;&gt; 0, NOT(ISBLANK(SamplingData[[#This Row],[Candidate 4]]))),(SamplingData[[#This Row],[Total]]+SamplingData[[#This Row],[Winning Candidate]]-SamplingData[[#This Row],[Candidate 4]])/(SamplingData[[#Totals],[Winning Candidate]]-SamplingData[[#Totals],[Candidate 4]]), 0)</f>
        <v>0</v>
      </c>
      <c r="T68" s="100">
        <f>IF(AND(SamplingData[[#This Row],[Total]]&lt;&gt; 0, NOT(ISBLANK(SamplingData[[#This Row],[Candidate 5]]))),(SamplingData[[#This Row],[Total]]+SamplingData[[#This Row],[Winning Candidate]]-SamplingData[[#This Row],[Candidate 5]])/(SamplingData[[#Totals],[Winning Candidate]]-SamplingData[[#Totals],[Candidate 5]]), 0)</f>
        <v>0</v>
      </c>
      <c r="U68" s="100">
        <f>IF(AND(SamplingData[[#This Row],[Total]]&lt;&gt; 0, NOT(ISBLANK(SamplingData[[#This Row],[Candidate 6]]))),(SamplingData[[#This Row],[Total]]+SamplingData[[#This Row],[Losing Candidate]]-SamplingData[[#This Row],[Candidate 6]])/(SamplingData[[#Totals],[Winning Candidate]]-SamplingData[[#Totals],[Candidate 6]]), 0)</f>
        <v>0</v>
      </c>
      <c r="V68" s="100">
        <f>IF(AND(SamplingData[[#This Row],[Total]]&lt;&gt; 0, NOT(ISBLANK(SamplingData[[#This Row],[Candidate 7]]))),(SamplingData[[#This Row],[Total]]+SamplingData[[#This Row],[Winning Candidate]]-SamplingData[[#This Row],[Candidate 7]])/(SamplingData[[#Totals],[Winning Candidate]]-SamplingData[[#Totals],[Candidate 7]]), 0)</f>
        <v>0</v>
      </c>
      <c r="W68" s="100">
        <f>IF(AND(SamplingData[[#This Row],[Total]]&lt;&gt; 0, NOT(ISBLANK(SamplingData[[#This Row],[Candidate 8]]))),(SamplingData[[#This Row],[Total]]+SamplingData[[#This Row],[Winning Candidate]]-SamplingData[[#This Row],[Candidate 8]])/(SamplingData[[#Totals],[Winning Candidate]]-SamplingData[[#Totals],[Candidate 8]]), 0)</f>
        <v>0</v>
      </c>
      <c r="X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00">
        <f>MAX(SamplingData[[#This Row],[Error Bound (up) - Max. possible relative overstatement - Losing Candidate]:[Error Bound (up) - Max. possible relative overstatement - Candidate 12]])</f>
        <v>3.7691993592361088E-4</v>
      </c>
      <c r="AC68" s="100">
        <f>IF(SamplingData[[#This Row],[Max Error Bound (up)]] = 0,0,SamplingData[[#This Row],[Max Error Bound (up)]]/SamplingData[[#Totals],[Max Error Bound (up)]])</f>
        <v>1.6152479405588763E-4</v>
      </c>
      <c r="AD68" s="104">
        <f>SUM($AC$5:AC68)</f>
        <v>1.5250632638776726E-2</v>
      </c>
      <c r="AE68" s="100" t="str" cm="1">
        <f t="array" ref="AE68">IF(SamplingData[[#This Row],[up/U Selection Probability]] = 0, "Zero", TEXT(SamplingData[[#This Row],[Lower Range]], REPT("0",LEN('General Info'!$B$42))) &amp; " - " &amp; TEXT(SamplingData[[#This Row],[Upper Range]], REPT("0",LEN('General Info'!$B$42))))</f>
        <v>01509 - 01524</v>
      </c>
      <c r="AF68" s="100">
        <f>SamplingData[[#This Row],[Upper Range]]-SamplingData[[#This Row],[Span]]</f>
        <v>1508.9107844720838</v>
      </c>
      <c r="AG68" s="100">
        <f>IF(ISNUMBER('General Info'!$B$42), ((SamplingData[[#This Row],[up/U Selection Probability]]) * 'General Info'!$B$44) - 1, 0)</f>
        <v>15.152479405588764</v>
      </c>
      <c r="AH68" s="100">
        <f>IF(ISNUMBER('General Info'!$B$42), (SamplingData[[#This Row],[Running (cumulative) sum]] * ('General Info'!$B$42 -'General Info'!$B$43 + 1)) + 'General Info'!$B$43 - 1, 0)</f>
        <v>1524.0632638776726</v>
      </c>
      <c r="AI68" s="100" t="str">
        <f>IF(ISERROR(MATCH(SamplingData[[#This Row],[Batch by Type (p)]],SelectedPrecincts[Batch Name], 0)), "", INDEX(SelectedPrecincts[Draw], MATCH(SamplingData[[#This Row],[Batch by Type (p)]],SelectedPrecincts[Batch Name], 0)))</f>
        <v/>
      </c>
      <c r="AJ68" s="101">
        <f>IF(COUNTIF(SelectedPrecincts[Batch Name],SamplingData[[#This Row],[Batch by Type (p)]]) &lt;&gt; 0, COUNTIF(SelectedPrecincts[Batch Name],SamplingData[[#This Row],[Batch by Type (p)]]), 0)</f>
        <v>0</v>
      </c>
    </row>
    <row r="69" spans="1:36" ht="15" customHeight="1" x14ac:dyDescent="0.35">
      <c r="A69" s="98" t="s">
        <v>281</v>
      </c>
      <c r="B69" s="98">
        <v>29</v>
      </c>
      <c r="C69" s="98">
        <v>6</v>
      </c>
      <c r="D69" s="93"/>
      <c r="E69" s="93"/>
      <c r="F69" s="93"/>
      <c r="G69" s="97"/>
      <c r="H69" s="97"/>
      <c r="I69" s="93"/>
      <c r="J69" s="93"/>
      <c r="K69" s="93"/>
      <c r="L69" s="93"/>
      <c r="M69" s="93"/>
      <c r="N69" s="98">
        <v>0</v>
      </c>
      <c r="O69" s="98">
        <v>0</v>
      </c>
      <c r="P69" s="99">
        <f>SUM(SamplingData[[#This Row],[Winning Candidate]:[Under Votes]])</f>
        <v>35</v>
      </c>
      <c r="Q69"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69" s="100">
        <f>IF(AND(SamplingData[[#This Row],[Total]]&lt;&gt; 0, NOT(ISBLANK(SamplingData[[#This Row],[Candidate 3]]))),(SamplingData[[#This Row],[Total]]+SamplingData[[#This Row],[Winning Candidate]]-SamplingData[[#This Row],[Candidate 3]])/(SamplingData[[#Totals],[Winning Candidate]]-SamplingData[[#Totals],[Candidate 3]]), 0)</f>
        <v>0</v>
      </c>
      <c r="S69" s="100">
        <f>IF(AND(SamplingData[[#This Row],[Total]]&lt;&gt; 0, NOT(ISBLANK(SamplingData[[#This Row],[Candidate 4]]))),(SamplingData[[#This Row],[Total]]+SamplingData[[#This Row],[Winning Candidate]]-SamplingData[[#This Row],[Candidate 4]])/(SamplingData[[#Totals],[Winning Candidate]]-SamplingData[[#Totals],[Candidate 4]]), 0)</f>
        <v>0</v>
      </c>
      <c r="T69" s="100">
        <f>IF(AND(SamplingData[[#This Row],[Total]]&lt;&gt; 0, NOT(ISBLANK(SamplingData[[#This Row],[Candidate 5]]))),(SamplingData[[#This Row],[Total]]+SamplingData[[#This Row],[Winning Candidate]]-SamplingData[[#This Row],[Candidate 5]])/(SamplingData[[#Totals],[Winning Candidate]]-SamplingData[[#Totals],[Candidate 5]]), 0)</f>
        <v>0</v>
      </c>
      <c r="U69" s="100">
        <f>IF(AND(SamplingData[[#This Row],[Total]]&lt;&gt; 0, NOT(ISBLANK(SamplingData[[#This Row],[Candidate 6]]))),(SamplingData[[#This Row],[Total]]+SamplingData[[#This Row],[Losing Candidate]]-SamplingData[[#This Row],[Candidate 6]])/(SamplingData[[#Totals],[Winning Candidate]]-SamplingData[[#Totals],[Candidate 6]]), 0)</f>
        <v>0</v>
      </c>
      <c r="V69" s="100">
        <f>IF(AND(SamplingData[[#This Row],[Total]]&lt;&gt; 0, NOT(ISBLANK(SamplingData[[#This Row],[Candidate 7]]))),(SamplingData[[#This Row],[Total]]+SamplingData[[#This Row],[Winning Candidate]]-SamplingData[[#This Row],[Candidate 7]])/(SamplingData[[#Totals],[Winning Candidate]]-SamplingData[[#Totals],[Candidate 7]]), 0)</f>
        <v>0</v>
      </c>
      <c r="W69" s="100">
        <f>IF(AND(SamplingData[[#This Row],[Total]]&lt;&gt; 0, NOT(ISBLANK(SamplingData[[#This Row],[Candidate 8]]))),(SamplingData[[#This Row],[Total]]+SamplingData[[#This Row],[Winning Candidate]]-SamplingData[[#This Row],[Candidate 8]])/(SamplingData[[#Totals],[Winning Candidate]]-SamplingData[[#Totals],[Candidate 8]]), 0)</f>
        <v>0</v>
      </c>
      <c r="X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00">
        <f>MAX(SamplingData[[#This Row],[Error Bound (up) - Max. possible relative overstatement - Losing Candidate]:[Error Bound (up) - Max. possible relative overstatement - Candidate 12]])</f>
        <v>1.8217796902974526E-3</v>
      </c>
      <c r="AC69" s="100">
        <f>IF(SamplingData[[#This Row],[Max Error Bound (up)]] = 0,0,SamplingData[[#This Row],[Max Error Bound (up)]]/SamplingData[[#Totals],[Max Error Bound (up)]])</f>
        <v>7.8070317127012351E-4</v>
      </c>
      <c r="AD69" s="104">
        <f>SUM($AC$5:AC69)</f>
        <v>1.603133581004685E-2</v>
      </c>
      <c r="AE69" s="100" t="str" cm="1">
        <f t="array" ref="AE69">IF(SamplingData[[#This Row],[up/U Selection Probability]] = 0, "Zero", TEXT(SamplingData[[#This Row],[Lower Range]], REPT("0",LEN('General Info'!$B$42))) &amp; " - " &amp; TEXT(SamplingData[[#This Row],[Upper Range]], REPT("0",LEN('General Info'!$B$42))))</f>
        <v>01525 - 01602</v>
      </c>
      <c r="AF69" s="100">
        <f>SamplingData[[#This Row],[Upper Range]]-SamplingData[[#This Row],[Span]]</f>
        <v>1525.0632638776729</v>
      </c>
      <c r="AG69" s="100">
        <f>IF(ISNUMBER('General Info'!$B$42), ((SamplingData[[#This Row],[up/U Selection Probability]]) * 'General Info'!$B$44) - 1, 0)</f>
        <v>77.070317127012345</v>
      </c>
      <c r="AH69" s="100">
        <f>IF(ISNUMBER('General Info'!$B$42), (SamplingData[[#This Row],[Running (cumulative) sum]] * ('General Info'!$B$42 -'General Info'!$B$43 + 1)) + 'General Info'!$B$43 - 1, 0)</f>
        <v>1602.1335810046851</v>
      </c>
      <c r="AI69" s="100" t="str">
        <f>IF(ISERROR(MATCH(SamplingData[[#This Row],[Batch by Type (p)]],SelectedPrecincts[Batch Name], 0)), "", INDEX(SelectedPrecincts[Draw], MATCH(SamplingData[[#This Row],[Batch by Type (p)]],SelectedPrecincts[Batch Name], 0)))</f>
        <v/>
      </c>
      <c r="AJ69" s="101">
        <f>IF(COUNTIF(SelectedPrecincts[Batch Name],SamplingData[[#This Row],[Batch by Type (p)]]) &lt;&gt; 0, COUNTIF(SelectedPrecincts[Batch Name],SamplingData[[#This Row],[Batch by Type (p)]]), 0)</f>
        <v>0</v>
      </c>
    </row>
    <row r="70" spans="1:36" ht="15" customHeight="1" x14ac:dyDescent="0.35">
      <c r="A70" s="98" t="s">
        <v>282</v>
      </c>
      <c r="B70" s="98">
        <v>0</v>
      </c>
      <c r="C70" s="98">
        <v>1</v>
      </c>
      <c r="D70" s="93"/>
      <c r="E70" s="93"/>
      <c r="F70" s="93"/>
      <c r="G70" s="97"/>
      <c r="H70" s="97"/>
      <c r="I70" s="93"/>
      <c r="J70" s="93"/>
      <c r="K70" s="93"/>
      <c r="L70" s="93"/>
      <c r="M70" s="93"/>
      <c r="N70" s="98">
        <v>0</v>
      </c>
      <c r="O70" s="98">
        <v>0</v>
      </c>
      <c r="P70" s="99">
        <f>SUM(SamplingData[[#This Row],[Winning Candidate]:[Under Votes]])</f>
        <v>1</v>
      </c>
      <c r="Q70" s="100">
        <f>IF(AND(SamplingData[[#This Row],[Total]]&lt;&gt; 0, NOT(ISBLANK(SamplingData[[#This Row],[Losing Candidate]]))),(SamplingData[[#This Row],[Total]]+SamplingData[[#This Row],[Winning Candidate]]-SamplingData[[#This Row],[Losing Candidate]])/(SamplingData[[#Totals],[Winning Candidate]]-SamplingData[[#Totals],[Losing Candidate]]), 0)</f>
        <v>0</v>
      </c>
      <c r="R70" s="100">
        <f>IF(AND(SamplingData[[#This Row],[Total]]&lt;&gt; 0, NOT(ISBLANK(SamplingData[[#This Row],[Candidate 3]]))),(SamplingData[[#This Row],[Total]]+SamplingData[[#This Row],[Winning Candidate]]-SamplingData[[#This Row],[Candidate 3]])/(SamplingData[[#Totals],[Winning Candidate]]-SamplingData[[#Totals],[Candidate 3]]), 0)</f>
        <v>0</v>
      </c>
      <c r="S70" s="100">
        <f>IF(AND(SamplingData[[#This Row],[Total]]&lt;&gt; 0, NOT(ISBLANK(SamplingData[[#This Row],[Candidate 4]]))),(SamplingData[[#This Row],[Total]]+SamplingData[[#This Row],[Winning Candidate]]-SamplingData[[#This Row],[Candidate 4]])/(SamplingData[[#Totals],[Winning Candidate]]-SamplingData[[#Totals],[Candidate 4]]), 0)</f>
        <v>0</v>
      </c>
      <c r="T70" s="100">
        <f>IF(AND(SamplingData[[#This Row],[Total]]&lt;&gt; 0, NOT(ISBLANK(SamplingData[[#This Row],[Candidate 5]]))),(SamplingData[[#This Row],[Total]]+SamplingData[[#This Row],[Winning Candidate]]-SamplingData[[#This Row],[Candidate 5]])/(SamplingData[[#Totals],[Winning Candidate]]-SamplingData[[#Totals],[Candidate 5]]), 0)</f>
        <v>0</v>
      </c>
      <c r="U70" s="100">
        <f>IF(AND(SamplingData[[#This Row],[Total]]&lt;&gt; 0, NOT(ISBLANK(SamplingData[[#This Row],[Candidate 6]]))),(SamplingData[[#This Row],[Total]]+SamplingData[[#This Row],[Losing Candidate]]-SamplingData[[#This Row],[Candidate 6]])/(SamplingData[[#Totals],[Winning Candidate]]-SamplingData[[#Totals],[Candidate 6]]), 0)</f>
        <v>0</v>
      </c>
      <c r="V70" s="100">
        <f>IF(AND(SamplingData[[#This Row],[Total]]&lt;&gt; 0, NOT(ISBLANK(SamplingData[[#This Row],[Candidate 7]]))),(SamplingData[[#This Row],[Total]]+SamplingData[[#This Row],[Winning Candidate]]-SamplingData[[#This Row],[Candidate 7]])/(SamplingData[[#Totals],[Winning Candidate]]-SamplingData[[#Totals],[Candidate 7]]), 0)</f>
        <v>0</v>
      </c>
      <c r="W70" s="100">
        <f>IF(AND(SamplingData[[#This Row],[Total]]&lt;&gt; 0, NOT(ISBLANK(SamplingData[[#This Row],[Candidate 8]]))),(SamplingData[[#This Row],[Total]]+SamplingData[[#This Row],[Winning Candidate]]-SamplingData[[#This Row],[Candidate 8]])/(SamplingData[[#Totals],[Winning Candidate]]-SamplingData[[#Totals],[Candidate 8]]), 0)</f>
        <v>0</v>
      </c>
      <c r="X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00">
        <f>MAX(SamplingData[[#This Row],[Error Bound (up) - Max. possible relative overstatement - Losing Candidate]:[Error Bound (up) - Max. possible relative overstatement - Candidate 12]])</f>
        <v>0</v>
      </c>
      <c r="AC70" s="100">
        <f>IF(SamplingData[[#This Row],[Max Error Bound (up)]] = 0,0,SamplingData[[#This Row],[Max Error Bound (up)]]/SamplingData[[#Totals],[Max Error Bound (up)]])</f>
        <v>0</v>
      </c>
      <c r="AD70" s="104">
        <f>SUM($AC$5:AC70)</f>
        <v>1.603133581004685E-2</v>
      </c>
      <c r="AE70" s="100" t="str" cm="1">
        <f t="array" ref="AE70">IF(SamplingData[[#This Row],[up/U Selection Probability]] = 0, "Zero", TEXT(SamplingData[[#This Row],[Lower Range]], REPT("0",LEN('General Info'!$B$42))) &amp; " - " &amp; TEXT(SamplingData[[#This Row],[Upper Range]], REPT("0",LEN('General Info'!$B$42))))</f>
        <v>Zero</v>
      </c>
      <c r="AF70" s="100">
        <f>SamplingData[[#This Row],[Upper Range]]-SamplingData[[#This Row],[Span]]</f>
        <v>1603.1335810046851</v>
      </c>
      <c r="AG70" s="100">
        <f>IF(ISNUMBER('General Info'!$B$42), ((SamplingData[[#This Row],[up/U Selection Probability]]) * 'General Info'!$B$44) - 1, 0)</f>
        <v>-1</v>
      </c>
      <c r="AH70" s="100">
        <f>IF(ISNUMBER('General Info'!$B$42), (SamplingData[[#This Row],[Running (cumulative) sum]] * ('General Info'!$B$42 -'General Info'!$B$43 + 1)) + 'General Info'!$B$43 - 1, 0)</f>
        <v>1602.1335810046851</v>
      </c>
      <c r="AI70" s="100" t="str">
        <f>IF(ISERROR(MATCH(SamplingData[[#This Row],[Batch by Type (p)]],SelectedPrecincts[Batch Name], 0)), "", INDEX(SelectedPrecincts[Draw], MATCH(SamplingData[[#This Row],[Batch by Type (p)]],SelectedPrecincts[Batch Name], 0)))</f>
        <v/>
      </c>
      <c r="AJ70" s="101">
        <f>IF(COUNTIF(SelectedPrecincts[Batch Name],SamplingData[[#This Row],[Batch by Type (p)]]) &lt;&gt; 0, COUNTIF(SelectedPrecincts[Batch Name],SamplingData[[#This Row],[Batch by Type (p)]]), 0)</f>
        <v>0</v>
      </c>
    </row>
    <row r="71" spans="1:36" ht="15" customHeight="1" x14ac:dyDescent="0.35">
      <c r="A71" s="98" t="s">
        <v>283</v>
      </c>
      <c r="B71" s="98">
        <v>0</v>
      </c>
      <c r="C71" s="98">
        <v>0</v>
      </c>
      <c r="D71" s="93"/>
      <c r="E71" s="93"/>
      <c r="F71" s="93"/>
      <c r="G71" s="97"/>
      <c r="H71" s="97"/>
      <c r="I71" s="93"/>
      <c r="J71" s="93"/>
      <c r="K71" s="93"/>
      <c r="L71" s="93"/>
      <c r="M71" s="93"/>
      <c r="N71" s="98">
        <v>0</v>
      </c>
      <c r="O71" s="98">
        <v>0</v>
      </c>
      <c r="P71" s="99">
        <f>SUM(SamplingData[[#This Row],[Winning Candidate]:[Under Votes]])</f>
        <v>0</v>
      </c>
      <c r="Q71" s="100">
        <f>IF(AND(SamplingData[[#This Row],[Total]]&lt;&gt; 0, NOT(ISBLANK(SamplingData[[#This Row],[Losing Candidate]]))),(SamplingData[[#This Row],[Total]]+SamplingData[[#This Row],[Winning Candidate]]-SamplingData[[#This Row],[Losing Candidate]])/(SamplingData[[#Totals],[Winning Candidate]]-SamplingData[[#Totals],[Losing Candidate]]), 0)</f>
        <v>0</v>
      </c>
      <c r="R71" s="100">
        <f>IF(AND(SamplingData[[#This Row],[Total]]&lt;&gt; 0, NOT(ISBLANK(SamplingData[[#This Row],[Candidate 3]]))),(SamplingData[[#This Row],[Total]]+SamplingData[[#This Row],[Winning Candidate]]-SamplingData[[#This Row],[Candidate 3]])/(SamplingData[[#Totals],[Winning Candidate]]-SamplingData[[#Totals],[Candidate 3]]), 0)</f>
        <v>0</v>
      </c>
      <c r="S71" s="100">
        <f>IF(AND(SamplingData[[#This Row],[Total]]&lt;&gt; 0, NOT(ISBLANK(SamplingData[[#This Row],[Candidate 4]]))),(SamplingData[[#This Row],[Total]]+SamplingData[[#This Row],[Winning Candidate]]-SamplingData[[#This Row],[Candidate 4]])/(SamplingData[[#Totals],[Winning Candidate]]-SamplingData[[#Totals],[Candidate 4]]), 0)</f>
        <v>0</v>
      </c>
      <c r="T71" s="100">
        <f>IF(AND(SamplingData[[#This Row],[Total]]&lt;&gt; 0, NOT(ISBLANK(SamplingData[[#This Row],[Candidate 5]]))),(SamplingData[[#This Row],[Total]]+SamplingData[[#This Row],[Winning Candidate]]-SamplingData[[#This Row],[Candidate 5]])/(SamplingData[[#Totals],[Winning Candidate]]-SamplingData[[#Totals],[Candidate 5]]), 0)</f>
        <v>0</v>
      </c>
      <c r="U71" s="100">
        <f>IF(AND(SamplingData[[#This Row],[Total]]&lt;&gt; 0, NOT(ISBLANK(SamplingData[[#This Row],[Candidate 6]]))),(SamplingData[[#This Row],[Total]]+SamplingData[[#This Row],[Losing Candidate]]-SamplingData[[#This Row],[Candidate 6]])/(SamplingData[[#Totals],[Winning Candidate]]-SamplingData[[#Totals],[Candidate 6]]), 0)</f>
        <v>0</v>
      </c>
      <c r="V71" s="100">
        <f>IF(AND(SamplingData[[#This Row],[Total]]&lt;&gt; 0, NOT(ISBLANK(SamplingData[[#This Row],[Candidate 7]]))),(SamplingData[[#This Row],[Total]]+SamplingData[[#This Row],[Winning Candidate]]-SamplingData[[#This Row],[Candidate 7]])/(SamplingData[[#Totals],[Winning Candidate]]-SamplingData[[#Totals],[Candidate 7]]), 0)</f>
        <v>0</v>
      </c>
      <c r="W71" s="100">
        <f>IF(AND(SamplingData[[#This Row],[Total]]&lt;&gt; 0, NOT(ISBLANK(SamplingData[[#This Row],[Candidate 8]]))),(SamplingData[[#This Row],[Total]]+SamplingData[[#This Row],[Winning Candidate]]-SamplingData[[#This Row],[Candidate 8]])/(SamplingData[[#Totals],[Winning Candidate]]-SamplingData[[#Totals],[Candidate 8]]), 0)</f>
        <v>0</v>
      </c>
      <c r="X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00">
        <f>MAX(SamplingData[[#This Row],[Error Bound (up) - Max. possible relative overstatement - Losing Candidate]:[Error Bound (up) - Max. possible relative overstatement - Candidate 12]])</f>
        <v>0</v>
      </c>
      <c r="AC71" s="100">
        <f>IF(SamplingData[[#This Row],[Max Error Bound (up)]] = 0,0,SamplingData[[#This Row],[Max Error Bound (up)]]/SamplingData[[#Totals],[Max Error Bound (up)]])</f>
        <v>0</v>
      </c>
      <c r="AD71" s="104">
        <f>SUM($AC$5:AC71)</f>
        <v>1.603133581004685E-2</v>
      </c>
      <c r="AE71" s="100" t="str" cm="1">
        <f t="array" ref="AE71">IF(SamplingData[[#This Row],[up/U Selection Probability]] = 0, "Zero", TEXT(SamplingData[[#This Row],[Lower Range]], REPT("0",LEN('General Info'!$B$42))) &amp; " - " &amp; TEXT(SamplingData[[#This Row],[Upper Range]], REPT("0",LEN('General Info'!$B$42))))</f>
        <v>Zero</v>
      </c>
      <c r="AF71" s="100">
        <f>SamplingData[[#This Row],[Upper Range]]-SamplingData[[#This Row],[Span]]</f>
        <v>1603.1335810046851</v>
      </c>
      <c r="AG71" s="100">
        <f>IF(ISNUMBER('General Info'!$B$42), ((SamplingData[[#This Row],[up/U Selection Probability]]) * 'General Info'!$B$44) - 1, 0)</f>
        <v>-1</v>
      </c>
      <c r="AH71" s="100">
        <f>IF(ISNUMBER('General Info'!$B$42), (SamplingData[[#This Row],[Running (cumulative) sum]] * ('General Info'!$B$42 -'General Info'!$B$43 + 1)) + 'General Info'!$B$43 - 1, 0)</f>
        <v>1602.1335810046851</v>
      </c>
      <c r="AI71" s="100" t="str">
        <f>IF(ISERROR(MATCH(SamplingData[[#This Row],[Batch by Type (p)]],SelectedPrecincts[Batch Name], 0)), "", INDEX(SelectedPrecincts[Draw], MATCH(SamplingData[[#This Row],[Batch by Type (p)]],SelectedPrecincts[Batch Name], 0)))</f>
        <v/>
      </c>
      <c r="AJ71" s="101">
        <f>IF(COUNTIF(SelectedPrecincts[Batch Name],SamplingData[[#This Row],[Batch by Type (p)]]) &lt;&gt; 0, COUNTIF(SelectedPrecincts[Batch Name],SamplingData[[#This Row],[Batch by Type (p)]]), 0)</f>
        <v>0</v>
      </c>
    </row>
    <row r="72" spans="1:36" ht="15" customHeight="1" x14ac:dyDescent="0.35">
      <c r="A72" s="98" t="s">
        <v>284</v>
      </c>
      <c r="B72" s="98">
        <v>6</v>
      </c>
      <c r="C72" s="98">
        <v>1</v>
      </c>
      <c r="D72" s="93"/>
      <c r="E72" s="93"/>
      <c r="F72" s="93"/>
      <c r="G72" s="97"/>
      <c r="H72" s="97"/>
      <c r="I72" s="93"/>
      <c r="J72" s="93"/>
      <c r="K72" s="93"/>
      <c r="L72" s="93"/>
      <c r="M72" s="93"/>
      <c r="N72" s="98">
        <v>0</v>
      </c>
      <c r="O72" s="98">
        <v>1</v>
      </c>
      <c r="P72" s="99">
        <f>SUM(SamplingData[[#This Row],[Winning Candidate]:[Under Votes]])</f>
        <v>8</v>
      </c>
      <c r="Q72" s="100">
        <f>IF(AND(SamplingData[[#This Row],[Total]]&lt;&gt; 0, NOT(ISBLANK(SamplingData[[#This Row],[Losing Candidate]]))),(SamplingData[[#This Row],[Total]]+SamplingData[[#This Row],[Winning Candidate]]-SamplingData[[#This Row],[Losing Candidate]])/(SamplingData[[#Totals],[Winning Candidate]]-SamplingData[[#Totals],[Losing Candidate]]), 0)</f>
        <v>4.0832993058391182E-4</v>
      </c>
      <c r="R72" s="100">
        <f>IF(AND(SamplingData[[#This Row],[Total]]&lt;&gt; 0, NOT(ISBLANK(SamplingData[[#This Row],[Candidate 3]]))),(SamplingData[[#This Row],[Total]]+SamplingData[[#This Row],[Winning Candidate]]-SamplingData[[#This Row],[Candidate 3]])/(SamplingData[[#Totals],[Winning Candidate]]-SamplingData[[#Totals],[Candidate 3]]), 0)</f>
        <v>0</v>
      </c>
      <c r="S72" s="100">
        <f>IF(AND(SamplingData[[#This Row],[Total]]&lt;&gt; 0, NOT(ISBLANK(SamplingData[[#This Row],[Candidate 4]]))),(SamplingData[[#This Row],[Total]]+SamplingData[[#This Row],[Winning Candidate]]-SamplingData[[#This Row],[Candidate 4]])/(SamplingData[[#Totals],[Winning Candidate]]-SamplingData[[#Totals],[Candidate 4]]), 0)</f>
        <v>0</v>
      </c>
      <c r="T72" s="100">
        <f>IF(AND(SamplingData[[#This Row],[Total]]&lt;&gt; 0, NOT(ISBLANK(SamplingData[[#This Row],[Candidate 5]]))),(SamplingData[[#This Row],[Total]]+SamplingData[[#This Row],[Winning Candidate]]-SamplingData[[#This Row],[Candidate 5]])/(SamplingData[[#Totals],[Winning Candidate]]-SamplingData[[#Totals],[Candidate 5]]), 0)</f>
        <v>0</v>
      </c>
      <c r="U72" s="100">
        <f>IF(AND(SamplingData[[#This Row],[Total]]&lt;&gt; 0, NOT(ISBLANK(SamplingData[[#This Row],[Candidate 6]]))),(SamplingData[[#This Row],[Total]]+SamplingData[[#This Row],[Losing Candidate]]-SamplingData[[#This Row],[Candidate 6]])/(SamplingData[[#Totals],[Winning Candidate]]-SamplingData[[#Totals],[Candidate 6]]), 0)</f>
        <v>0</v>
      </c>
      <c r="V72" s="100">
        <f>IF(AND(SamplingData[[#This Row],[Total]]&lt;&gt; 0, NOT(ISBLANK(SamplingData[[#This Row],[Candidate 7]]))),(SamplingData[[#This Row],[Total]]+SamplingData[[#This Row],[Winning Candidate]]-SamplingData[[#This Row],[Candidate 7]])/(SamplingData[[#Totals],[Winning Candidate]]-SamplingData[[#Totals],[Candidate 7]]), 0)</f>
        <v>0</v>
      </c>
      <c r="W72" s="100">
        <f>IF(AND(SamplingData[[#This Row],[Total]]&lt;&gt; 0, NOT(ISBLANK(SamplingData[[#This Row],[Candidate 8]]))),(SamplingData[[#This Row],[Total]]+SamplingData[[#This Row],[Winning Candidate]]-SamplingData[[#This Row],[Candidate 8]])/(SamplingData[[#Totals],[Winning Candidate]]-SamplingData[[#Totals],[Candidate 8]]), 0)</f>
        <v>0</v>
      </c>
      <c r="X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00">
        <f>MAX(SamplingData[[#This Row],[Error Bound (up) - Max. possible relative overstatement - Losing Candidate]:[Error Bound (up) - Max. possible relative overstatement - Candidate 12]])</f>
        <v>4.0832993058391182E-4</v>
      </c>
      <c r="AC72" s="100">
        <f>IF(SamplingData[[#This Row],[Max Error Bound (up)]] = 0,0,SamplingData[[#This Row],[Max Error Bound (up)]]/SamplingData[[#Totals],[Max Error Bound (up)]])</f>
        <v>1.7498519356054496E-4</v>
      </c>
      <c r="AD72" s="104">
        <f>SUM($AC$5:AC72)</f>
        <v>1.6206321003607395E-2</v>
      </c>
      <c r="AE72" s="100" t="str" cm="1">
        <f t="array" ref="AE72">IF(SamplingData[[#This Row],[up/U Selection Probability]] = 0, "Zero", TEXT(SamplingData[[#This Row],[Lower Range]], REPT("0",LEN('General Info'!$B$42))) &amp; " - " &amp; TEXT(SamplingData[[#This Row],[Upper Range]], REPT("0",LEN('General Info'!$B$42))))</f>
        <v>01603 - 01620</v>
      </c>
      <c r="AF72" s="100">
        <f>SamplingData[[#This Row],[Upper Range]]-SamplingData[[#This Row],[Span]]</f>
        <v>1603.1335810046851</v>
      </c>
      <c r="AG72" s="100">
        <f>IF(ISNUMBER('General Info'!$B$42), ((SamplingData[[#This Row],[up/U Selection Probability]]) * 'General Info'!$B$44) - 1, 0)</f>
        <v>16.498519356054494</v>
      </c>
      <c r="AH72" s="100">
        <f>IF(ISNUMBER('General Info'!$B$42), (SamplingData[[#This Row],[Running (cumulative) sum]] * ('General Info'!$B$42 -'General Info'!$B$43 + 1)) + 'General Info'!$B$43 - 1, 0)</f>
        <v>1619.6321003607395</v>
      </c>
      <c r="AI72" s="100" t="str">
        <f>IF(ISERROR(MATCH(SamplingData[[#This Row],[Batch by Type (p)]],SelectedPrecincts[Batch Name], 0)), "", INDEX(SelectedPrecincts[Draw], MATCH(SamplingData[[#This Row],[Batch by Type (p)]],SelectedPrecincts[Batch Name], 0)))</f>
        <v/>
      </c>
      <c r="AJ72" s="101">
        <f>IF(COUNTIF(SelectedPrecincts[Batch Name],SamplingData[[#This Row],[Batch by Type (p)]]) &lt;&gt; 0, COUNTIF(SelectedPrecincts[Batch Name],SamplingData[[#This Row],[Batch by Type (p)]]), 0)</f>
        <v>0</v>
      </c>
    </row>
    <row r="73" spans="1:36" ht="15" customHeight="1" x14ac:dyDescent="0.35">
      <c r="A73" s="98" t="s">
        <v>285</v>
      </c>
      <c r="B73" s="98">
        <v>0</v>
      </c>
      <c r="C73" s="98">
        <v>1</v>
      </c>
      <c r="D73" s="93"/>
      <c r="E73" s="93"/>
      <c r="F73" s="93"/>
      <c r="G73" s="97"/>
      <c r="H73" s="97"/>
      <c r="I73" s="93"/>
      <c r="J73" s="93"/>
      <c r="K73" s="93"/>
      <c r="L73" s="93"/>
      <c r="M73" s="93"/>
      <c r="N73" s="98">
        <v>0</v>
      </c>
      <c r="O73" s="98">
        <v>0</v>
      </c>
      <c r="P73" s="99">
        <f>SUM(SamplingData[[#This Row],[Winning Candidate]:[Under Votes]])</f>
        <v>1</v>
      </c>
      <c r="Q73" s="100">
        <f>IF(AND(SamplingData[[#This Row],[Total]]&lt;&gt; 0, NOT(ISBLANK(SamplingData[[#This Row],[Losing Candidate]]))),(SamplingData[[#This Row],[Total]]+SamplingData[[#This Row],[Winning Candidate]]-SamplingData[[#This Row],[Losing Candidate]])/(SamplingData[[#Totals],[Winning Candidate]]-SamplingData[[#Totals],[Losing Candidate]]), 0)</f>
        <v>0</v>
      </c>
      <c r="R73" s="100">
        <f>IF(AND(SamplingData[[#This Row],[Total]]&lt;&gt; 0, NOT(ISBLANK(SamplingData[[#This Row],[Candidate 3]]))),(SamplingData[[#This Row],[Total]]+SamplingData[[#This Row],[Winning Candidate]]-SamplingData[[#This Row],[Candidate 3]])/(SamplingData[[#Totals],[Winning Candidate]]-SamplingData[[#Totals],[Candidate 3]]), 0)</f>
        <v>0</v>
      </c>
      <c r="S73" s="100">
        <f>IF(AND(SamplingData[[#This Row],[Total]]&lt;&gt; 0, NOT(ISBLANK(SamplingData[[#This Row],[Candidate 4]]))),(SamplingData[[#This Row],[Total]]+SamplingData[[#This Row],[Winning Candidate]]-SamplingData[[#This Row],[Candidate 4]])/(SamplingData[[#Totals],[Winning Candidate]]-SamplingData[[#Totals],[Candidate 4]]), 0)</f>
        <v>0</v>
      </c>
      <c r="T73" s="100">
        <f>IF(AND(SamplingData[[#This Row],[Total]]&lt;&gt; 0, NOT(ISBLANK(SamplingData[[#This Row],[Candidate 5]]))),(SamplingData[[#This Row],[Total]]+SamplingData[[#This Row],[Winning Candidate]]-SamplingData[[#This Row],[Candidate 5]])/(SamplingData[[#Totals],[Winning Candidate]]-SamplingData[[#Totals],[Candidate 5]]), 0)</f>
        <v>0</v>
      </c>
      <c r="U73" s="100">
        <f>IF(AND(SamplingData[[#This Row],[Total]]&lt;&gt; 0, NOT(ISBLANK(SamplingData[[#This Row],[Candidate 6]]))),(SamplingData[[#This Row],[Total]]+SamplingData[[#This Row],[Losing Candidate]]-SamplingData[[#This Row],[Candidate 6]])/(SamplingData[[#Totals],[Winning Candidate]]-SamplingData[[#Totals],[Candidate 6]]), 0)</f>
        <v>0</v>
      </c>
      <c r="V73" s="100">
        <f>IF(AND(SamplingData[[#This Row],[Total]]&lt;&gt; 0, NOT(ISBLANK(SamplingData[[#This Row],[Candidate 7]]))),(SamplingData[[#This Row],[Total]]+SamplingData[[#This Row],[Winning Candidate]]-SamplingData[[#This Row],[Candidate 7]])/(SamplingData[[#Totals],[Winning Candidate]]-SamplingData[[#Totals],[Candidate 7]]), 0)</f>
        <v>0</v>
      </c>
      <c r="W73" s="100">
        <f>IF(AND(SamplingData[[#This Row],[Total]]&lt;&gt; 0, NOT(ISBLANK(SamplingData[[#This Row],[Candidate 8]]))),(SamplingData[[#This Row],[Total]]+SamplingData[[#This Row],[Winning Candidate]]-SamplingData[[#This Row],[Candidate 8]])/(SamplingData[[#Totals],[Winning Candidate]]-SamplingData[[#Totals],[Candidate 8]]), 0)</f>
        <v>0</v>
      </c>
      <c r="X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00">
        <f>MAX(SamplingData[[#This Row],[Error Bound (up) - Max. possible relative overstatement - Losing Candidate]:[Error Bound (up) - Max. possible relative overstatement - Candidate 12]])</f>
        <v>0</v>
      </c>
      <c r="AC73" s="100">
        <f>IF(SamplingData[[#This Row],[Max Error Bound (up)]] = 0,0,SamplingData[[#This Row],[Max Error Bound (up)]]/SamplingData[[#Totals],[Max Error Bound (up)]])</f>
        <v>0</v>
      </c>
      <c r="AD73" s="104">
        <f>SUM($AC$5:AC73)</f>
        <v>1.6206321003607395E-2</v>
      </c>
      <c r="AE73" s="100" t="str" cm="1">
        <f t="array" ref="AE73">IF(SamplingData[[#This Row],[up/U Selection Probability]] = 0, "Zero", TEXT(SamplingData[[#This Row],[Lower Range]], REPT("0",LEN('General Info'!$B$42))) &amp; " - " &amp; TEXT(SamplingData[[#This Row],[Upper Range]], REPT("0",LEN('General Info'!$B$42))))</f>
        <v>Zero</v>
      </c>
      <c r="AF73" s="100">
        <f>SamplingData[[#This Row],[Upper Range]]-SamplingData[[#This Row],[Span]]</f>
        <v>1620.6321003607395</v>
      </c>
      <c r="AG73" s="100">
        <f>IF(ISNUMBER('General Info'!$B$42), ((SamplingData[[#This Row],[up/U Selection Probability]]) * 'General Info'!$B$44) - 1, 0)</f>
        <v>-1</v>
      </c>
      <c r="AH73" s="100">
        <f>IF(ISNUMBER('General Info'!$B$42), (SamplingData[[#This Row],[Running (cumulative) sum]] * ('General Info'!$B$42 -'General Info'!$B$43 + 1)) + 'General Info'!$B$43 - 1, 0)</f>
        <v>1619.6321003607395</v>
      </c>
      <c r="AI73" s="100" t="str">
        <f>IF(ISERROR(MATCH(SamplingData[[#This Row],[Batch by Type (p)]],SelectedPrecincts[Batch Name], 0)), "", INDEX(SelectedPrecincts[Draw], MATCH(SamplingData[[#This Row],[Batch by Type (p)]],SelectedPrecincts[Batch Name], 0)))</f>
        <v/>
      </c>
      <c r="AJ73" s="101">
        <f>IF(COUNTIF(SelectedPrecincts[Batch Name],SamplingData[[#This Row],[Batch by Type (p)]]) &lt;&gt; 0, COUNTIF(SelectedPrecincts[Batch Name],SamplingData[[#This Row],[Batch by Type (p)]]), 0)</f>
        <v>0</v>
      </c>
    </row>
    <row r="74" spans="1:36" ht="15" customHeight="1" x14ac:dyDescent="0.35">
      <c r="A74" s="98" t="s">
        <v>286</v>
      </c>
      <c r="B74" s="98">
        <v>0</v>
      </c>
      <c r="C74" s="98">
        <v>0</v>
      </c>
      <c r="D74" s="93"/>
      <c r="E74" s="93"/>
      <c r="F74" s="93"/>
      <c r="G74" s="97"/>
      <c r="H74" s="97"/>
      <c r="I74" s="93"/>
      <c r="J74" s="93"/>
      <c r="K74" s="93"/>
      <c r="L74" s="93"/>
      <c r="M74" s="93"/>
      <c r="N74" s="98">
        <v>0</v>
      </c>
      <c r="O74" s="98">
        <v>1</v>
      </c>
      <c r="P74" s="99">
        <f>SUM(SamplingData[[#This Row],[Winning Candidate]:[Under Votes]])</f>
        <v>1</v>
      </c>
      <c r="Q74" s="100">
        <f>IF(AND(SamplingData[[#This Row],[Total]]&lt;&gt; 0, NOT(ISBLANK(SamplingData[[#This Row],[Losing Candidate]]))),(SamplingData[[#This Row],[Total]]+SamplingData[[#This Row],[Winning Candidate]]-SamplingData[[#This Row],[Losing Candidate]])/(SamplingData[[#Totals],[Winning Candidate]]-SamplingData[[#Totals],[Losing Candidate]]), 0)</f>
        <v>3.1409994660300905E-5</v>
      </c>
      <c r="R74" s="100">
        <f>IF(AND(SamplingData[[#This Row],[Total]]&lt;&gt; 0, NOT(ISBLANK(SamplingData[[#This Row],[Candidate 3]]))),(SamplingData[[#This Row],[Total]]+SamplingData[[#This Row],[Winning Candidate]]-SamplingData[[#This Row],[Candidate 3]])/(SamplingData[[#Totals],[Winning Candidate]]-SamplingData[[#Totals],[Candidate 3]]), 0)</f>
        <v>0</v>
      </c>
      <c r="S74" s="100">
        <f>IF(AND(SamplingData[[#This Row],[Total]]&lt;&gt; 0, NOT(ISBLANK(SamplingData[[#This Row],[Candidate 4]]))),(SamplingData[[#This Row],[Total]]+SamplingData[[#This Row],[Winning Candidate]]-SamplingData[[#This Row],[Candidate 4]])/(SamplingData[[#Totals],[Winning Candidate]]-SamplingData[[#Totals],[Candidate 4]]), 0)</f>
        <v>0</v>
      </c>
      <c r="T74" s="100">
        <f>IF(AND(SamplingData[[#This Row],[Total]]&lt;&gt; 0, NOT(ISBLANK(SamplingData[[#This Row],[Candidate 5]]))),(SamplingData[[#This Row],[Total]]+SamplingData[[#This Row],[Winning Candidate]]-SamplingData[[#This Row],[Candidate 5]])/(SamplingData[[#Totals],[Winning Candidate]]-SamplingData[[#Totals],[Candidate 5]]), 0)</f>
        <v>0</v>
      </c>
      <c r="U74" s="100">
        <f>IF(AND(SamplingData[[#This Row],[Total]]&lt;&gt; 0, NOT(ISBLANK(SamplingData[[#This Row],[Candidate 6]]))),(SamplingData[[#This Row],[Total]]+SamplingData[[#This Row],[Losing Candidate]]-SamplingData[[#This Row],[Candidate 6]])/(SamplingData[[#Totals],[Winning Candidate]]-SamplingData[[#Totals],[Candidate 6]]), 0)</f>
        <v>0</v>
      </c>
      <c r="V74" s="100">
        <f>IF(AND(SamplingData[[#This Row],[Total]]&lt;&gt; 0, NOT(ISBLANK(SamplingData[[#This Row],[Candidate 7]]))),(SamplingData[[#This Row],[Total]]+SamplingData[[#This Row],[Winning Candidate]]-SamplingData[[#This Row],[Candidate 7]])/(SamplingData[[#Totals],[Winning Candidate]]-SamplingData[[#Totals],[Candidate 7]]), 0)</f>
        <v>0</v>
      </c>
      <c r="W74" s="100">
        <f>IF(AND(SamplingData[[#This Row],[Total]]&lt;&gt; 0, NOT(ISBLANK(SamplingData[[#This Row],[Candidate 8]]))),(SamplingData[[#This Row],[Total]]+SamplingData[[#This Row],[Winning Candidate]]-SamplingData[[#This Row],[Candidate 8]])/(SamplingData[[#Totals],[Winning Candidate]]-SamplingData[[#Totals],[Candidate 8]]), 0)</f>
        <v>0</v>
      </c>
      <c r="X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00">
        <f>MAX(SamplingData[[#This Row],[Error Bound (up) - Max. possible relative overstatement - Losing Candidate]:[Error Bound (up) - Max. possible relative overstatement - Candidate 12]])</f>
        <v>3.1409994660300905E-5</v>
      </c>
      <c r="AC74" s="100">
        <f>IF(SamplingData[[#This Row],[Max Error Bound (up)]] = 0,0,SamplingData[[#This Row],[Max Error Bound (up)]]/SamplingData[[#Totals],[Max Error Bound (up)]])</f>
        <v>1.3460399504657302E-5</v>
      </c>
      <c r="AD74" s="104">
        <f>SUM($AC$5:AC74)</f>
        <v>1.6219781403112053E-2</v>
      </c>
      <c r="AE74" s="100" t="str" cm="1">
        <f t="array" ref="AE74">IF(SamplingData[[#This Row],[up/U Selection Probability]] = 0, "Zero", TEXT(SamplingData[[#This Row],[Lower Range]], REPT("0",LEN('General Info'!$B$42))) &amp; " - " &amp; TEXT(SamplingData[[#This Row],[Upper Range]], REPT("0",LEN('General Info'!$B$42))))</f>
        <v>01621 - 01621</v>
      </c>
      <c r="AF74" s="100">
        <f>SamplingData[[#This Row],[Upper Range]]-SamplingData[[#This Row],[Span]]</f>
        <v>1620.6321003607397</v>
      </c>
      <c r="AG74" s="100">
        <f>IF(ISNUMBER('General Info'!$B$42), ((SamplingData[[#This Row],[up/U Selection Probability]]) * 'General Info'!$B$44) - 1, 0)</f>
        <v>0.34603995046573011</v>
      </c>
      <c r="AH74" s="100">
        <f>IF(ISNUMBER('General Info'!$B$42), (SamplingData[[#This Row],[Running (cumulative) sum]] * ('General Info'!$B$42 -'General Info'!$B$43 + 1)) + 'General Info'!$B$43 - 1, 0)</f>
        <v>1620.9781403112054</v>
      </c>
      <c r="AI74" s="100" t="str">
        <f>IF(ISERROR(MATCH(SamplingData[[#This Row],[Batch by Type (p)]],SelectedPrecincts[Batch Name], 0)), "", INDEX(SelectedPrecincts[Draw], MATCH(SamplingData[[#This Row],[Batch by Type (p)]],SelectedPrecincts[Batch Name], 0)))</f>
        <v/>
      </c>
      <c r="AJ74" s="101">
        <f>IF(COUNTIF(SelectedPrecincts[Batch Name],SamplingData[[#This Row],[Batch by Type (p)]]) &lt;&gt; 0, COUNTIF(SelectedPrecincts[Batch Name],SamplingData[[#This Row],[Batch by Type (p)]]), 0)</f>
        <v>0</v>
      </c>
    </row>
    <row r="75" spans="1:36" ht="15" customHeight="1" x14ac:dyDescent="0.35">
      <c r="A75" s="98" t="s">
        <v>287</v>
      </c>
      <c r="B75" s="98">
        <v>4</v>
      </c>
      <c r="C75" s="98">
        <v>0</v>
      </c>
      <c r="D75" s="93"/>
      <c r="E75" s="93"/>
      <c r="F75" s="93"/>
      <c r="G75" s="97"/>
      <c r="H75" s="97"/>
      <c r="I75" s="93"/>
      <c r="J75" s="93"/>
      <c r="K75" s="93"/>
      <c r="L75" s="93"/>
      <c r="M75" s="93"/>
      <c r="N75" s="98">
        <v>0</v>
      </c>
      <c r="O75" s="98">
        <v>0</v>
      </c>
      <c r="P75" s="99">
        <f>SUM(SamplingData[[#This Row],[Winning Candidate]:[Under Votes]])</f>
        <v>4</v>
      </c>
      <c r="Q7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75" s="100">
        <f>IF(AND(SamplingData[[#This Row],[Total]]&lt;&gt; 0, NOT(ISBLANK(SamplingData[[#This Row],[Candidate 3]]))),(SamplingData[[#This Row],[Total]]+SamplingData[[#This Row],[Winning Candidate]]-SamplingData[[#This Row],[Candidate 3]])/(SamplingData[[#Totals],[Winning Candidate]]-SamplingData[[#Totals],[Candidate 3]]), 0)</f>
        <v>0</v>
      </c>
      <c r="S75" s="100">
        <f>IF(AND(SamplingData[[#This Row],[Total]]&lt;&gt; 0, NOT(ISBLANK(SamplingData[[#This Row],[Candidate 4]]))),(SamplingData[[#This Row],[Total]]+SamplingData[[#This Row],[Winning Candidate]]-SamplingData[[#This Row],[Candidate 4]])/(SamplingData[[#Totals],[Winning Candidate]]-SamplingData[[#Totals],[Candidate 4]]), 0)</f>
        <v>0</v>
      </c>
      <c r="T75" s="100">
        <f>IF(AND(SamplingData[[#This Row],[Total]]&lt;&gt; 0, NOT(ISBLANK(SamplingData[[#This Row],[Candidate 5]]))),(SamplingData[[#This Row],[Total]]+SamplingData[[#This Row],[Winning Candidate]]-SamplingData[[#This Row],[Candidate 5]])/(SamplingData[[#Totals],[Winning Candidate]]-SamplingData[[#Totals],[Candidate 5]]), 0)</f>
        <v>0</v>
      </c>
      <c r="U75" s="100">
        <f>IF(AND(SamplingData[[#This Row],[Total]]&lt;&gt; 0, NOT(ISBLANK(SamplingData[[#This Row],[Candidate 6]]))),(SamplingData[[#This Row],[Total]]+SamplingData[[#This Row],[Losing Candidate]]-SamplingData[[#This Row],[Candidate 6]])/(SamplingData[[#Totals],[Winning Candidate]]-SamplingData[[#Totals],[Candidate 6]]), 0)</f>
        <v>0</v>
      </c>
      <c r="V75" s="100">
        <f>IF(AND(SamplingData[[#This Row],[Total]]&lt;&gt; 0, NOT(ISBLANK(SamplingData[[#This Row],[Candidate 7]]))),(SamplingData[[#This Row],[Total]]+SamplingData[[#This Row],[Winning Candidate]]-SamplingData[[#This Row],[Candidate 7]])/(SamplingData[[#Totals],[Winning Candidate]]-SamplingData[[#Totals],[Candidate 7]]), 0)</f>
        <v>0</v>
      </c>
      <c r="W75" s="100">
        <f>IF(AND(SamplingData[[#This Row],[Total]]&lt;&gt; 0, NOT(ISBLANK(SamplingData[[#This Row],[Candidate 8]]))),(SamplingData[[#This Row],[Total]]+SamplingData[[#This Row],[Winning Candidate]]-SamplingData[[#This Row],[Candidate 8]])/(SamplingData[[#Totals],[Winning Candidate]]-SamplingData[[#Totals],[Candidate 8]]), 0)</f>
        <v>0</v>
      </c>
      <c r="X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00">
        <f>MAX(SamplingData[[#This Row],[Error Bound (up) - Max. possible relative overstatement - Losing Candidate]:[Error Bound (up) - Max. possible relative overstatement - Candidate 12]])</f>
        <v>2.5127995728240724E-4</v>
      </c>
      <c r="AC75" s="100">
        <f>IF(SamplingData[[#This Row],[Max Error Bound (up)]] = 0,0,SamplingData[[#This Row],[Max Error Bound (up)]]/SamplingData[[#Totals],[Max Error Bound (up)]])</f>
        <v>1.0768319603725841E-4</v>
      </c>
      <c r="AD75" s="104">
        <f>SUM($AC$5:AC75)</f>
        <v>1.6327464599149313E-2</v>
      </c>
      <c r="AE75" s="100" t="str" cm="1">
        <f t="array" ref="AE75">IF(SamplingData[[#This Row],[up/U Selection Probability]] = 0, "Zero", TEXT(SamplingData[[#This Row],[Lower Range]], REPT("0",LEN('General Info'!$B$42))) &amp; " - " &amp; TEXT(SamplingData[[#This Row],[Upper Range]], REPT("0",LEN('General Info'!$B$42))))</f>
        <v>01622 - 01632</v>
      </c>
      <c r="AF75" s="100">
        <f>SamplingData[[#This Row],[Upper Range]]-SamplingData[[#This Row],[Span]]</f>
        <v>1621.9781403112056</v>
      </c>
      <c r="AG75" s="100">
        <f>IF(ISNUMBER('General Info'!$B$42), ((SamplingData[[#This Row],[up/U Selection Probability]]) * 'General Info'!$B$44) - 1, 0)</f>
        <v>9.7683196037258408</v>
      </c>
      <c r="AH75" s="100">
        <f>IF(ISNUMBER('General Info'!$B$42), (SamplingData[[#This Row],[Running (cumulative) sum]] * ('General Info'!$B$42 -'General Info'!$B$43 + 1)) + 'General Info'!$B$43 - 1, 0)</f>
        <v>1631.7464599149314</v>
      </c>
      <c r="AI75" s="100" t="str">
        <f>IF(ISERROR(MATCH(SamplingData[[#This Row],[Batch by Type (p)]],SelectedPrecincts[Batch Name], 0)), "", INDEX(SelectedPrecincts[Draw], MATCH(SamplingData[[#This Row],[Batch by Type (p)]],SelectedPrecincts[Batch Name], 0)))</f>
        <v/>
      </c>
      <c r="AJ75" s="101">
        <f>IF(COUNTIF(SelectedPrecincts[Batch Name],SamplingData[[#This Row],[Batch by Type (p)]]) &lt;&gt; 0, COUNTIF(SelectedPrecincts[Batch Name],SamplingData[[#This Row],[Batch by Type (p)]]), 0)</f>
        <v>0</v>
      </c>
    </row>
    <row r="76" spans="1:36" ht="15" customHeight="1" x14ac:dyDescent="0.35">
      <c r="A76" s="98" t="s">
        <v>288</v>
      </c>
      <c r="B76" s="98">
        <v>0</v>
      </c>
      <c r="C76" s="98">
        <v>0</v>
      </c>
      <c r="D76" s="93"/>
      <c r="E76" s="93"/>
      <c r="F76" s="93"/>
      <c r="G76" s="97"/>
      <c r="H76" s="97"/>
      <c r="I76" s="93"/>
      <c r="J76" s="93"/>
      <c r="K76" s="93"/>
      <c r="L76" s="93"/>
      <c r="M76" s="93"/>
      <c r="N76" s="98">
        <v>0</v>
      </c>
      <c r="O76" s="98">
        <v>0</v>
      </c>
      <c r="P76" s="99">
        <f>SUM(SamplingData[[#This Row],[Winning Candidate]:[Under Votes]])</f>
        <v>0</v>
      </c>
      <c r="Q76" s="100">
        <f>IF(AND(SamplingData[[#This Row],[Total]]&lt;&gt; 0, NOT(ISBLANK(SamplingData[[#This Row],[Losing Candidate]]))),(SamplingData[[#This Row],[Total]]+SamplingData[[#This Row],[Winning Candidate]]-SamplingData[[#This Row],[Losing Candidate]])/(SamplingData[[#Totals],[Winning Candidate]]-SamplingData[[#Totals],[Losing Candidate]]), 0)</f>
        <v>0</v>
      </c>
      <c r="R76" s="100">
        <f>IF(AND(SamplingData[[#This Row],[Total]]&lt;&gt; 0, NOT(ISBLANK(SamplingData[[#This Row],[Candidate 3]]))),(SamplingData[[#This Row],[Total]]+SamplingData[[#This Row],[Winning Candidate]]-SamplingData[[#This Row],[Candidate 3]])/(SamplingData[[#Totals],[Winning Candidate]]-SamplingData[[#Totals],[Candidate 3]]), 0)</f>
        <v>0</v>
      </c>
      <c r="S76" s="100">
        <f>IF(AND(SamplingData[[#This Row],[Total]]&lt;&gt; 0, NOT(ISBLANK(SamplingData[[#This Row],[Candidate 4]]))),(SamplingData[[#This Row],[Total]]+SamplingData[[#This Row],[Winning Candidate]]-SamplingData[[#This Row],[Candidate 4]])/(SamplingData[[#Totals],[Winning Candidate]]-SamplingData[[#Totals],[Candidate 4]]), 0)</f>
        <v>0</v>
      </c>
      <c r="T76" s="100">
        <f>IF(AND(SamplingData[[#This Row],[Total]]&lt;&gt; 0, NOT(ISBLANK(SamplingData[[#This Row],[Candidate 5]]))),(SamplingData[[#This Row],[Total]]+SamplingData[[#This Row],[Winning Candidate]]-SamplingData[[#This Row],[Candidate 5]])/(SamplingData[[#Totals],[Winning Candidate]]-SamplingData[[#Totals],[Candidate 5]]), 0)</f>
        <v>0</v>
      </c>
      <c r="U76" s="100">
        <f>IF(AND(SamplingData[[#This Row],[Total]]&lt;&gt; 0, NOT(ISBLANK(SamplingData[[#This Row],[Candidate 6]]))),(SamplingData[[#This Row],[Total]]+SamplingData[[#This Row],[Losing Candidate]]-SamplingData[[#This Row],[Candidate 6]])/(SamplingData[[#Totals],[Winning Candidate]]-SamplingData[[#Totals],[Candidate 6]]), 0)</f>
        <v>0</v>
      </c>
      <c r="V76" s="100">
        <f>IF(AND(SamplingData[[#This Row],[Total]]&lt;&gt; 0, NOT(ISBLANK(SamplingData[[#This Row],[Candidate 7]]))),(SamplingData[[#This Row],[Total]]+SamplingData[[#This Row],[Winning Candidate]]-SamplingData[[#This Row],[Candidate 7]])/(SamplingData[[#Totals],[Winning Candidate]]-SamplingData[[#Totals],[Candidate 7]]), 0)</f>
        <v>0</v>
      </c>
      <c r="W76" s="100">
        <f>IF(AND(SamplingData[[#This Row],[Total]]&lt;&gt; 0, NOT(ISBLANK(SamplingData[[#This Row],[Candidate 8]]))),(SamplingData[[#This Row],[Total]]+SamplingData[[#This Row],[Winning Candidate]]-SamplingData[[#This Row],[Candidate 8]])/(SamplingData[[#Totals],[Winning Candidate]]-SamplingData[[#Totals],[Candidate 8]]), 0)</f>
        <v>0</v>
      </c>
      <c r="X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00">
        <f>MAX(SamplingData[[#This Row],[Error Bound (up) - Max. possible relative overstatement - Losing Candidate]:[Error Bound (up) - Max. possible relative overstatement - Candidate 12]])</f>
        <v>0</v>
      </c>
      <c r="AC76" s="100">
        <f>IF(SamplingData[[#This Row],[Max Error Bound (up)]] = 0,0,SamplingData[[#This Row],[Max Error Bound (up)]]/SamplingData[[#Totals],[Max Error Bound (up)]])</f>
        <v>0</v>
      </c>
      <c r="AD76" s="104">
        <f>SUM($AC$5:AC76)</f>
        <v>1.6327464599149313E-2</v>
      </c>
      <c r="AE76" s="100" t="str" cm="1">
        <f t="array" ref="AE76">IF(SamplingData[[#This Row],[up/U Selection Probability]] = 0, "Zero", TEXT(SamplingData[[#This Row],[Lower Range]], REPT("0",LEN('General Info'!$B$42))) &amp; " - " &amp; TEXT(SamplingData[[#This Row],[Upper Range]], REPT("0",LEN('General Info'!$B$42))))</f>
        <v>Zero</v>
      </c>
      <c r="AF76" s="100">
        <f>SamplingData[[#This Row],[Upper Range]]-SamplingData[[#This Row],[Span]]</f>
        <v>1632.7464599149314</v>
      </c>
      <c r="AG76" s="100">
        <f>IF(ISNUMBER('General Info'!$B$42), ((SamplingData[[#This Row],[up/U Selection Probability]]) * 'General Info'!$B$44) - 1, 0)</f>
        <v>-1</v>
      </c>
      <c r="AH76" s="100">
        <f>IF(ISNUMBER('General Info'!$B$42), (SamplingData[[#This Row],[Running (cumulative) sum]] * ('General Info'!$B$42 -'General Info'!$B$43 + 1)) + 'General Info'!$B$43 - 1, 0)</f>
        <v>1631.7464599149314</v>
      </c>
      <c r="AI76" s="100" t="str">
        <f>IF(ISERROR(MATCH(SamplingData[[#This Row],[Batch by Type (p)]],SelectedPrecincts[Batch Name], 0)), "", INDEX(SelectedPrecincts[Draw], MATCH(SamplingData[[#This Row],[Batch by Type (p)]],SelectedPrecincts[Batch Name], 0)))</f>
        <v/>
      </c>
      <c r="AJ76" s="101">
        <f>IF(COUNTIF(SelectedPrecincts[Batch Name],SamplingData[[#This Row],[Batch by Type (p)]]) &lt;&gt; 0, COUNTIF(SelectedPrecincts[Batch Name],SamplingData[[#This Row],[Batch by Type (p)]]), 0)</f>
        <v>0</v>
      </c>
    </row>
    <row r="77" spans="1:36" ht="15" customHeight="1" x14ac:dyDescent="0.35">
      <c r="A77" s="98" t="s">
        <v>289</v>
      </c>
      <c r="B77" s="98">
        <v>0</v>
      </c>
      <c r="C77" s="98">
        <v>0</v>
      </c>
      <c r="D77" s="93"/>
      <c r="E77" s="93"/>
      <c r="F77" s="93"/>
      <c r="G77" s="97"/>
      <c r="H77" s="97"/>
      <c r="I77" s="93"/>
      <c r="J77" s="93"/>
      <c r="K77" s="93"/>
      <c r="L77" s="93"/>
      <c r="M77" s="93"/>
      <c r="N77" s="98">
        <v>0</v>
      </c>
      <c r="O77" s="98">
        <v>0</v>
      </c>
      <c r="P77" s="99">
        <f>SUM(SamplingData[[#This Row],[Winning Candidate]:[Under Votes]])</f>
        <v>0</v>
      </c>
      <c r="Q77" s="100">
        <f>IF(AND(SamplingData[[#This Row],[Total]]&lt;&gt; 0, NOT(ISBLANK(SamplingData[[#This Row],[Losing Candidate]]))),(SamplingData[[#This Row],[Total]]+SamplingData[[#This Row],[Winning Candidate]]-SamplingData[[#This Row],[Losing Candidate]])/(SamplingData[[#Totals],[Winning Candidate]]-SamplingData[[#Totals],[Losing Candidate]]), 0)</f>
        <v>0</v>
      </c>
      <c r="R77" s="100">
        <f>IF(AND(SamplingData[[#This Row],[Total]]&lt;&gt; 0, NOT(ISBLANK(SamplingData[[#This Row],[Candidate 3]]))),(SamplingData[[#This Row],[Total]]+SamplingData[[#This Row],[Winning Candidate]]-SamplingData[[#This Row],[Candidate 3]])/(SamplingData[[#Totals],[Winning Candidate]]-SamplingData[[#Totals],[Candidate 3]]), 0)</f>
        <v>0</v>
      </c>
      <c r="S77" s="100">
        <f>IF(AND(SamplingData[[#This Row],[Total]]&lt;&gt; 0, NOT(ISBLANK(SamplingData[[#This Row],[Candidate 4]]))),(SamplingData[[#This Row],[Total]]+SamplingData[[#This Row],[Winning Candidate]]-SamplingData[[#This Row],[Candidate 4]])/(SamplingData[[#Totals],[Winning Candidate]]-SamplingData[[#Totals],[Candidate 4]]), 0)</f>
        <v>0</v>
      </c>
      <c r="T77" s="100">
        <f>IF(AND(SamplingData[[#This Row],[Total]]&lt;&gt; 0, NOT(ISBLANK(SamplingData[[#This Row],[Candidate 5]]))),(SamplingData[[#This Row],[Total]]+SamplingData[[#This Row],[Winning Candidate]]-SamplingData[[#This Row],[Candidate 5]])/(SamplingData[[#Totals],[Winning Candidate]]-SamplingData[[#Totals],[Candidate 5]]), 0)</f>
        <v>0</v>
      </c>
      <c r="U77" s="100">
        <f>IF(AND(SamplingData[[#This Row],[Total]]&lt;&gt; 0, NOT(ISBLANK(SamplingData[[#This Row],[Candidate 6]]))),(SamplingData[[#This Row],[Total]]+SamplingData[[#This Row],[Losing Candidate]]-SamplingData[[#This Row],[Candidate 6]])/(SamplingData[[#Totals],[Winning Candidate]]-SamplingData[[#Totals],[Candidate 6]]), 0)</f>
        <v>0</v>
      </c>
      <c r="V77" s="100">
        <f>IF(AND(SamplingData[[#This Row],[Total]]&lt;&gt; 0, NOT(ISBLANK(SamplingData[[#This Row],[Candidate 7]]))),(SamplingData[[#This Row],[Total]]+SamplingData[[#This Row],[Winning Candidate]]-SamplingData[[#This Row],[Candidate 7]])/(SamplingData[[#Totals],[Winning Candidate]]-SamplingData[[#Totals],[Candidate 7]]), 0)</f>
        <v>0</v>
      </c>
      <c r="W77" s="100">
        <f>IF(AND(SamplingData[[#This Row],[Total]]&lt;&gt; 0, NOT(ISBLANK(SamplingData[[#This Row],[Candidate 8]]))),(SamplingData[[#This Row],[Total]]+SamplingData[[#This Row],[Winning Candidate]]-SamplingData[[#This Row],[Candidate 8]])/(SamplingData[[#Totals],[Winning Candidate]]-SamplingData[[#Totals],[Candidate 8]]), 0)</f>
        <v>0</v>
      </c>
      <c r="X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00">
        <f>MAX(SamplingData[[#This Row],[Error Bound (up) - Max. possible relative overstatement - Losing Candidate]:[Error Bound (up) - Max. possible relative overstatement - Candidate 12]])</f>
        <v>0</v>
      </c>
      <c r="AC77" s="100">
        <f>IF(SamplingData[[#This Row],[Max Error Bound (up)]] = 0,0,SamplingData[[#This Row],[Max Error Bound (up)]]/SamplingData[[#Totals],[Max Error Bound (up)]])</f>
        <v>0</v>
      </c>
      <c r="AD77" s="104">
        <f>SUM($AC$5:AC77)</f>
        <v>1.6327464599149313E-2</v>
      </c>
      <c r="AE77" s="100" t="str" cm="1">
        <f t="array" ref="AE77">IF(SamplingData[[#This Row],[up/U Selection Probability]] = 0, "Zero", TEXT(SamplingData[[#This Row],[Lower Range]], REPT("0",LEN('General Info'!$B$42))) &amp; " - " &amp; TEXT(SamplingData[[#This Row],[Upper Range]], REPT("0",LEN('General Info'!$B$42))))</f>
        <v>Zero</v>
      </c>
      <c r="AF77" s="100">
        <f>SamplingData[[#This Row],[Upper Range]]-SamplingData[[#This Row],[Span]]</f>
        <v>1632.7464599149314</v>
      </c>
      <c r="AG77" s="100">
        <f>IF(ISNUMBER('General Info'!$B$42), ((SamplingData[[#This Row],[up/U Selection Probability]]) * 'General Info'!$B$44) - 1, 0)</f>
        <v>-1</v>
      </c>
      <c r="AH77" s="100">
        <f>IF(ISNUMBER('General Info'!$B$42), (SamplingData[[#This Row],[Running (cumulative) sum]] * ('General Info'!$B$42 -'General Info'!$B$43 + 1)) + 'General Info'!$B$43 - 1, 0)</f>
        <v>1631.7464599149314</v>
      </c>
      <c r="AI77" s="100" t="str">
        <f>IF(ISERROR(MATCH(SamplingData[[#This Row],[Batch by Type (p)]],SelectedPrecincts[Batch Name], 0)), "", INDEX(SelectedPrecincts[Draw], MATCH(SamplingData[[#This Row],[Batch by Type (p)]],SelectedPrecincts[Batch Name], 0)))</f>
        <v/>
      </c>
      <c r="AJ77" s="101">
        <f>IF(COUNTIF(SelectedPrecincts[Batch Name],SamplingData[[#This Row],[Batch by Type (p)]]) &lt;&gt; 0, COUNTIF(SelectedPrecincts[Batch Name],SamplingData[[#This Row],[Batch by Type (p)]]), 0)</f>
        <v>0</v>
      </c>
    </row>
    <row r="78" spans="1:36" ht="15" customHeight="1" x14ac:dyDescent="0.35">
      <c r="A78" s="98" t="s">
        <v>290</v>
      </c>
      <c r="B78" s="98">
        <v>4</v>
      </c>
      <c r="C78" s="98">
        <v>1</v>
      </c>
      <c r="D78" s="93"/>
      <c r="E78" s="93"/>
      <c r="F78" s="93"/>
      <c r="G78" s="97"/>
      <c r="H78" s="97"/>
      <c r="I78" s="93"/>
      <c r="J78" s="93"/>
      <c r="K78" s="93"/>
      <c r="L78" s="93"/>
      <c r="M78" s="93"/>
      <c r="N78" s="98">
        <v>0</v>
      </c>
      <c r="O78" s="98">
        <v>0</v>
      </c>
      <c r="P78" s="99">
        <f>SUM(SamplingData[[#This Row],[Winning Candidate]:[Under Votes]])</f>
        <v>5</v>
      </c>
      <c r="Q78"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78" s="100">
        <f>IF(AND(SamplingData[[#This Row],[Total]]&lt;&gt; 0, NOT(ISBLANK(SamplingData[[#This Row],[Candidate 3]]))),(SamplingData[[#This Row],[Total]]+SamplingData[[#This Row],[Winning Candidate]]-SamplingData[[#This Row],[Candidate 3]])/(SamplingData[[#Totals],[Winning Candidate]]-SamplingData[[#Totals],[Candidate 3]]), 0)</f>
        <v>0</v>
      </c>
      <c r="S78" s="100">
        <f>IF(AND(SamplingData[[#This Row],[Total]]&lt;&gt; 0, NOT(ISBLANK(SamplingData[[#This Row],[Candidate 4]]))),(SamplingData[[#This Row],[Total]]+SamplingData[[#This Row],[Winning Candidate]]-SamplingData[[#This Row],[Candidate 4]])/(SamplingData[[#Totals],[Winning Candidate]]-SamplingData[[#Totals],[Candidate 4]]), 0)</f>
        <v>0</v>
      </c>
      <c r="T78" s="100">
        <f>IF(AND(SamplingData[[#This Row],[Total]]&lt;&gt; 0, NOT(ISBLANK(SamplingData[[#This Row],[Candidate 5]]))),(SamplingData[[#This Row],[Total]]+SamplingData[[#This Row],[Winning Candidate]]-SamplingData[[#This Row],[Candidate 5]])/(SamplingData[[#Totals],[Winning Candidate]]-SamplingData[[#Totals],[Candidate 5]]), 0)</f>
        <v>0</v>
      </c>
      <c r="U78" s="100">
        <f>IF(AND(SamplingData[[#This Row],[Total]]&lt;&gt; 0, NOT(ISBLANK(SamplingData[[#This Row],[Candidate 6]]))),(SamplingData[[#This Row],[Total]]+SamplingData[[#This Row],[Losing Candidate]]-SamplingData[[#This Row],[Candidate 6]])/(SamplingData[[#Totals],[Winning Candidate]]-SamplingData[[#Totals],[Candidate 6]]), 0)</f>
        <v>0</v>
      </c>
      <c r="V78" s="100">
        <f>IF(AND(SamplingData[[#This Row],[Total]]&lt;&gt; 0, NOT(ISBLANK(SamplingData[[#This Row],[Candidate 7]]))),(SamplingData[[#This Row],[Total]]+SamplingData[[#This Row],[Winning Candidate]]-SamplingData[[#This Row],[Candidate 7]])/(SamplingData[[#Totals],[Winning Candidate]]-SamplingData[[#Totals],[Candidate 7]]), 0)</f>
        <v>0</v>
      </c>
      <c r="W78" s="100">
        <f>IF(AND(SamplingData[[#This Row],[Total]]&lt;&gt; 0, NOT(ISBLANK(SamplingData[[#This Row],[Candidate 8]]))),(SamplingData[[#This Row],[Total]]+SamplingData[[#This Row],[Winning Candidate]]-SamplingData[[#This Row],[Candidate 8]])/(SamplingData[[#Totals],[Winning Candidate]]-SamplingData[[#Totals],[Candidate 8]]), 0)</f>
        <v>0</v>
      </c>
      <c r="X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00">
        <f>MAX(SamplingData[[#This Row],[Error Bound (up) - Max. possible relative overstatement - Losing Candidate]:[Error Bound (up) - Max. possible relative overstatement - Candidate 12]])</f>
        <v>2.5127995728240724E-4</v>
      </c>
      <c r="AC78" s="100">
        <f>IF(SamplingData[[#This Row],[Max Error Bound (up)]] = 0,0,SamplingData[[#This Row],[Max Error Bound (up)]]/SamplingData[[#Totals],[Max Error Bound (up)]])</f>
        <v>1.0768319603725841E-4</v>
      </c>
      <c r="AD78" s="104">
        <f>SUM($AC$5:AC78)</f>
        <v>1.6435147795186573E-2</v>
      </c>
      <c r="AE78" s="100" t="str" cm="1">
        <f t="array" ref="AE78">IF(SamplingData[[#This Row],[up/U Selection Probability]] = 0, "Zero", TEXT(SamplingData[[#This Row],[Lower Range]], REPT("0",LEN('General Info'!$B$42))) &amp; " - " &amp; TEXT(SamplingData[[#This Row],[Upper Range]], REPT("0",LEN('General Info'!$B$42))))</f>
        <v>01633 - 01643</v>
      </c>
      <c r="AF78" s="100">
        <f>SamplingData[[#This Row],[Upper Range]]-SamplingData[[#This Row],[Span]]</f>
        <v>1632.7464599149316</v>
      </c>
      <c r="AG78" s="100">
        <f>IF(ISNUMBER('General Info'!$B$42), ((SamplingData[[#This Row],[up/U Selection Probability]]) * 'General Info'!$B$44) - 1, 0)</f>
        <v>9.7683196037258408</v>
      </c>
      <c r="AH78" s="100">
        <f>IF(ISNUMBER('General Info'!$B$42), (SamplingData[[#This Row],[Running (cumulative) sum]] * ('General Info'!$B$42 -'General Info'!$B$43 + 1)) + 'General Info'!$B$43 - 1, 0)</f>
        <v>1642.5147795186574</v>
      </c>
      <c r="AI78" s="100" t="str">
        <f>IF(ISERROR(MATCH(SamplingData[[#This Row],[Batch by Type (p)]],SelectedPrecincts[Batch Name], 0)), "", INDEX(SelectedPrecincts[Draw], MATCH(SamplingData[[#This Row],[Batch by Type (p)]],SelectedPrecincts[Batch Name], 0)))</f>
        <v/>
      </c>
      <c r="AJ78" s="101">
        <f>IF(COUNTIF(SelectedPrecincts[Batch Name],SamplingData[[#This Row],[Batch by Type (p)]]) &lt;&gt; 0, COUNTIF(SelectedPrecincts[Batch Name],SamplingData[[#This Row],[Batch by Type (p)]]), 0)</f>
        <v>0</v>
      </c>
    </row>
    <row r="79" spans="1:36" ht="15" customHeight="1" x14ac:dyDescent="0.35">
      <c r="A79" s="98" t="s">
        <v>291</v>
      </c>
      <c r="B79" s="98">
        <v>3</v>
      </c>
      <c r="C79" s="98">
        <v>0</v>
      </c>
      <c r="D79" s="93"/>
      <c r="E79" s="93"/>
      <c r="F79" s="93"/>
      <c r="G79" s="97"/>
      <c r="H79" s="97"/>
      <c r="I79" s="93"/>
      <c r="J79" s="93"/>
      <c r="K79" s="93"/>
      <c r="L79" s="93"/>
      <c r="M79" s="93"/>
      <c r="N79" s="98">
        <v>0</v>
      </c>
      <c r="O79" s="98">
        <v>0</v>
      </c>
      <c r="P79" s="99">
        <f>SUM(SamplingData[[#This Row],[Winning Candidate]:[Under Votes]])</f>
        <v>3</v>
      </c>
      <c r="Q7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79" s="100">
        <f>IF(AND(SamplingData[[#This Row],[Total]]&lt;&gt; 0, NOT(ISBLANK(SamplingData[[#This Row],[Candidate 3]]))),(SamplingData[[#This Row],[Total]]+SamplingData[[#This Row],[Winning Candidate]]-SamplingData[[#This Row],[Candidate 3]])/(SamplingData[[#Totals],[Winning Candidate]]-SamplingData[[#Totals],[Candidate 3]]), 0)</f>
        <v>0</v>
      </c>
      <c r="S79" s="100">
        <f>IF(AND(SamplingData[[#This Row],[Total]]&lt;&gt; 0, NOT(ISBLANK(SamplingData[[#This Row],[Candidate 4]]))),(SamplingData[[#This Row],[Total]]+SamplingData[[#This Row],[Winning Candidate]]-SamplingData[[#This Row],[Candidate 4]])/(SamplingData[[#Totals],[Winning Candidate]]-SamplingData[[#Totals],[Candidate 4]]), 0)</f>
        <v>0</v>
      </c>
      <c r="T79" s="100">
        <f>IF(AND(SamplingData[[#This Row],[Total]]&lt;&gt; 0, NOT(ISBLANK(SamplingData[[#This Row],[Candidate 5]]))),(SamplingData[[#This Row],[Total]]+SamplingData[[#This Row],[Winning Candidate]]-SamplingData[[#This Row],[Candidate 5]])/(SamplingData[[#Totals],[Winning Candidate]]-SamplingData[[#Totals],[Candidate 5]]), 0)</f>
        <v>0</v>
      </c>
      <c r="U79" s="100">
        <f>IF(AND(SamplingData[[#This Row],[Total]]&lt;&gt; 0, NOT(ISBLANK(SamplingData[[#This Row],[Candidate 6]]))),(SamplingData[[#This Row],[Total]]+SamplingData[[#This Row],[Losing Candidate]]-SamplingData[[#This Row],[Candidate 6]])/(SamplingData[[#Totals],[Winning Candidate]]-SamplingData[[#Totals],[Candidate 6]]), 0)</f>
        <v>0</v>
      </c>
      <c r="V79" s="100">
        <f>IF(AND(SamplingData[[#This Row],[Total]]&lt;&gt; 0, NOT(ISBLANK(SamplingData[[#This Row],[Candidate 7]]))),(SamplingData[[#This Row],[Total]]+SamplingData[[#This Row],[Winning Candidate]]-SamplingData[[#This Row],[Candidate 7]])/(SamplingData[[#Totals],[Winning Candidate]]-SamplingData[[#Totals],[Candidate 7]]), 0)</f>
        <v>0</v>
      </c>
      <c r="W79" s="100">
        <f>IF(AND(SamplingData[[#This Row],[Total]]&lt;&gt; 0, NOT(ISBLANK(SamplingData[[#This Row],[Candidate 8]]))),(SamplingData[[#This Row],[Total]]+SamplingData[[#This Row],[Winning Candidate]]-SamplingData[[#This Row],[Candidate 8]])/(SamplingData[[#Totals],[Winning Candidate]]-SamplingData[[#Totals],[Candidate 8]]), 0)</f>
        <v>0</v>
      </c>
      <c r="X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00">
        <f>MAX(SamplingData[[#This Row],[Error Bound (up) - Max. possible relative overstatement - Losing Candidate]:[Error Bound (up) - Max. possible relative overstatement - Candidate 12]])</f>
        <v>1.8845996796180544E-4</v>
      </c>
      <c r="AC79" s="100">
        <f>IF(SamplingData[[#This Row],[Max Error Bound (up)]] = 0,0,SamplingData[[#This Row],[Max Error Bound (up)]]/SamplingData[[#Totals],[Max Error Bound (up)]])</f>
        <v>8.0762397027943816E-5</v>
      </c>
      <c r="AD79" s="104">
        <f>SUM($AC$5:AC79)</f>
        <v>1.6515910192214517E-2</v>
      </c>
      <c r="AE79" s="100" t="str" cm="1">
        <f t="array" ref="AE79">IF(SamplingData[[#This Row],[up/U Selection Probability]] = 0, "Zero", TEXT(SamplingData[[#This Row],[Lower Range]], REPT("0",LEN('General Info'!$B$42))) &amp; " - " &amp; TEXT(SamplingData[[#This Row],[Upper Range]], REPT("0",LEN('General Info'!$B$42))))</f>
        <v>01644 - 01651</v>
      </c>
      <c r="AF79" s="100">
        <f>SamplingData[[#This Row],[Upper Range]]-SamplingData[[#This Row],[Span]]</f>
        <v>1643.5147795186574</v>
      </c>
      <c r="AG79" s="100">
        <f>IF(ISNUMBER('General Info'!$B$42), ((SamplingData[[#This Row],[up/U Selection Probability]]) * 'General Info'!$B$44) - 1, 0)</f>
        <v>7.076239702794382</v>
      </c>
      <c r="AH79" s="100">
        <f>IF(ISNUMBER('General Info'!$B$42), (SamplingData[[#This Row],[Running (cumulative) sum]] * ('General Info'!$B$42 -'General Info'!$B$43 + 1)) + 'General Info'!$B$43 - 1, 0)</f>
        <v>1650.5910192214517</v>
      </c>
      <c r="AI79" s="100" t="str">
        <f>IF(ISERROR(MATCH(SamplingData[[#This Row],[Batch by Type (p)]],SelectedPrecincts[Batch Name], 0)), "", INDEX(SelectedPrecincts[Draw], MATCH(SamplingData[[#This Row],[Batch by Type (p)]],SelectedPrecincts[Batch Name], 0)))</f>
        <v/>
      </c>
      <c r="AJ79" s="101">
        <f>IF(COUNTIF(SelectedPrecincts[Batch Name],SamplingData[[#This Row],[Batch by Type (p)]]) &lt;&gt; 0, COUNTIF(SelectedPrecincts[Batch Name],SamplingData[[#This Row],[Batch by Type (p)]]), 0)</f>
        <v>0</v>
      </c>
    </row>
    <row r="80" spans="1:36" ht="15" customHeight="1" x14ac:dyDescent="0.35">
      <c r="A80" s="98" t="s">
        <v>292</v>
      </c>
      <c r="B80" s="98">
        <v>2</v>
      </c>
      <c r="C80" s="98">
        <v>0</v>
      </c>
      <c r="D80" s="93"/>
      <c r="E80" s="93"/>
      <c r="F80" s="93"/>
      <c r="G80" s="97"/>
      <c r="H80" s="97"/>
      <c r="I80" s="93"/>
      <c r="J80" s="93"/>
      <c r="K80" s="93"/>
      <c r="L80" s="93"/>
      <c r="M80" s="93"/>
      <c r="N80" s="98">
        <v>0</v>
      </c>
      <c r="O80" s="98">
        <v>0</v>
      </c>
      <c r="P80" s="99">
        <f>SUM(SamplingData[[#This Row],[Winning Candidate]:[Under Votes]])</f>
        <v>2</v>
      </c>
      <c r="Q80"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80" s="100">
        <f>IF(AND(SamplingData[[#This Row],[Total]]&lt;&gt; 0, NOT(ISBLANK(SamplingData[[#This Row],[Candidate 3]]))),(SamplingData[[#This Row],[Total]]+SamplingData[[#This Row],[Winning Candidate]]-SamplingData[[#This Row],[Candidate 3]])/(SamplingData[[#Totals],[Winning Candidate]]-SamplingData[[#Totals],[Candidate 3]]), 0)</f>
        <v>0</v>
      </c>
      <c r="S80" s="100">
        <f>IF(AND(SamplingData[[#This Row],[Total]]&lt;&gt; 0, NOT(ISBLANK(SamplingData[[#This Row],[Candidate 4]]))),(SamplingData[[#This Row],[Total]]+SamplingData[[#This Row],[Winning Candidate]]-SamplingData[[#This Row],[Candidate 4]])/(SamplingData[[#Totals],[Winning Candidate]]-SamplingData[[#Totals],[Candidate 4]]), 0)</f>
        <v>0</v>
      </c>
      <c r="T80" s="100">
        <f>IF(AND(SamplingData[[#This Row],[Total]]&lt;&gt; 0, NOT(ISBLANK(SamplingData[[#This Row],[Candidate 5]]))),(SamplingData[[#This Row],[Total]]+SamplingData[[#This Row],[Winning Candidate]]-SamplingData[[#This Row],[Candidate 5]])/(SamplingData[[#Totals],[Winning Candidate]]-SamplingData[[#Totals],[Candidate 5]]), 0)</f>
        <v>0</v>
      </c>
      <c r="U80" s="100">
        <f>IF(AND(SamplingData[[#This Row],[Total]]&lt;&gt; 0, NOT(ISBLANK(SamplingData[[#This Row],[Candidate 6]]))),(SamplingData[[#This Row],[Total]]+SamplingData[[#This Row],[Losing Candidate]]-SamplingData[[#This Row],[Candidate 6]])/(SamplingData[[#Totals],[Winning Candidate]]-SamplingData[[#Totals],[Candidate 6]]), 0)</f>
        <v>0</v>
      </c>
      <c r="V80" s="100">
        <f>IF(AND(SamplingData[[#This Row],[Total]]&lt;&gt; 0, NOT(ISBLANK(SamplingData[[#This Row],[Candidate 7]]))),(SamplingData[[#This Row],[Total]]+SamplingData[[#This Row],[Winning Candidate]]-SamplingData[[#This Row],[Candidate 7]])/(SamplingData[[#Totals],[Winning Candidate]]-SamplingData[[#Totals],[Candidate 7]]), 0)</f>
        <v>0</v>
      </c>
      <c r="W80" s="100">
        <f>IF(AND(SamplingData[[#This Row],[Total]]&lt;&gt; 0, NOT(ISBLANK(SamplingData[[#This Row],[Candidate 8]]))),(SamplingData[[#This Row],[Total]]+SamplingData[[#This Row],[Winning Candidate]]-SamplingData[[#This Row],[Candidate 8]])/(SamplingData[[#Totals],[Winning Candidate]]-SamplingData[[#Totals],[Candidate 8]]), 0)</f>
        <v>0</v>
      </c>
      <c r="X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00">
        <f>MAX(SamplingData[[#This Row],[Error Bound (up) - Max. possible relative overstatement - Losing Candidate]:[Error Bound (up) - Max. possible relative overstatement - Candidate 12]])</f>
        <v>1.2563997864120362E-4</v>
      </c>
      <c r="AC80" s="100">
        <f>IF(SamplingData[[#This Row],[Max Error Bound (up)]] = 0,0,SamplingData[[#This Row],[Max Error Bound (up)]]/SamplingData[[#Totals],[Max Error Bound (up)]])</f>
        <v>5.3841598018629206E-5</v>
      </c>
      <c r="AD80" s="104">
        <f>SUM($AC$5:AC80)</f>
        <v>1.6569751790233147E-2</v>
      </c>
      <c r="AE80" s="100" t="str" cm="1">
        <f t="array" ref="AE80">IF(SamplingData[[#This Row],[up/U Selection Probability]] = 0, "Zero", TEXT(SamplingData[[#This Row],[Lower Range]], REPT("0",LEN('General Info'!$B$42))) &amp; " - " &amp; TEXT(SamplingData[[#This Row],[Upper Range]], REPT("0",LEN('General Info'!$B$42))))</f>
        <v>01652 - 01656</v>
      </c>
      <c r="AF80" s="100">
        <f>SamplingData[[#This Row],[Upper Range]]-SamplingData[[#This Row],[Span]]</f>
        <v>1651.5910192214517</v>
      </c>
      <c r="AG80" s="100">
        <f>IF(ISNUMBER('General Info'!$B$42), ((SamplingData[[#This Row],[up/U Selection Probability]]) * 'General Info'!$B$44) - 1, 0)</f>
        <v>4.3841598018629204</v>
      </c>
      <c r="AH80" s="100">
        <f>IF(ISNUMBER('General Info'!$B$42), (SamplingData[[#This Row],[Running (cumulative) sum]] * ('General Info'!$B$42 -'General Info'!$B$43 + 1)) + 'General Info'!$B$43 - 1, 0)</f>
        <v>1655.9751790233147</v>
      </c>
      <c r="AI80" s="100" t="str">
        <f>IF(ISERROR(MATCH(SamplingData[[#This Row],[Batch by Type (p)]],SelectedPrecincts[Batch Name], 0)), "", INDEX(SelectedPrecincts[Draw], MATCH(SamplingData[[#This Row],[Batch by Type (p)]],SelectedPrecincts[Batch Name], 0)))</f>
        <v/>
      </c>
      <c r="AJ80" s="101">
        <f>IF(COUNTIF(SelectedPrecincts[Batch Name],SamplingData[[#This Row],[Batch by Type (p)]]) &lt;&gt; 0, COUNTIF(SelectedPrecincts[Batch Name],SamplingData[[#This Row],[Batch by Type (p)]]), 0)</f>
        <v>0</v>
      </c>
    </row>
    <row r="81" spans="1:36" ht="15" customHeight="1" x14ac:dyDescent="0.35">
      <c r="A81" s="98" t="s">
        <v>293</v>
      </c>
      <c r="B81" s="98">
        <v>1</v>
      </c>
      <c r="C81" s="98">
        <v>1</v>
      </c>
      <c r="D81" s="93"/>
      <c r="E81" s="93"/>
      <c r="F81" s="93"/>
      <c r="G81" s="97"/>
      <c r="H81" s="97"/>
      <c r="I81" s="93"/>
      <c r="J81" s="93"/>
      <c r="K81" s="93"/>
      <c r="L81" s="93"/>
      <c r="M81" s="93"/>
      <c r="N81" s="98">
        <v>0</v>
      </c>
      <c r="O81" s="98">
        <v>0</v>
      </c>
      <c r="P81" s="99">
        <f>SUM(SamplingData[[#This Row],[Winning Candidate]:[Under Votes]])</f>
        <v>2</v>
      </c>
      <c r="Q81"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81" s="100">
        <f>IF(AND(SamplingData[[#This Row],[Total]]&lt;&gt; 0, NOT(ISBLANK(SamplingData[[#This Row],[Candidate 3]]))),(SamplingData[[#This Row],[Total]]+SamplingData[[#This Row],[Winning Candidate]]-SamplingData[[#This Row],[Candidate 3]])/(SamplingData[[#Totals],[Winning Candidate]]-SamplingData[[#Totals],[Candidate 3]]), 0)</f>
        <v>0</v>
      </c>
      <c r="S81" s="100">
        <f>IF(AND(SamplingData[[#This Row],[Total]]&lt;&gt; 0, NOT(ISBLANK(SamplingData[[#This Row],[Candidate 4]]))),(SamplingData[[#This Row],[Total]]+SamplingData[[#This Row],[Winning Candidate]]-SamplingData[[#This Row],[Candidate 4]])/(SamplingData[[#Totals],[Winning Candidate]]-SamplingData[[#Totals],[Candidate 4]]), 0)</f>
        <v>0</v>
      </c>
      <c r="T81" s="100">
        <f>IF(AND(SamplingData[[#This Row],[Total]]&lt;&gt; 0, NOT(ISBLANK(SamplingData[[#This Row],[Candidate 5]]))),(SamplingData[[#This Row],[Total]]+SamplingData[[#This Row],[Winning Candidate]]-SamplingData[[#This Row],[Candidate 5]])/(SamplingData[[#Totals],[Winning Candidate]]-SamplingData[[#Totals],[Candidate 5]]), 0)</f>
        <v>0</v>
      </c>
      <c r="U81" s="100">
        <f>IF(AND(SamplingData[[#This Row],[Total]]&lt;&gt; 0, NOT(ISBLANK(SamplingData[[#This Row],[Candidate 6]]))),(SamplingData[[#This Row],[Total]]+SamplingData[[#This Row],[Losing Candidate]]-SamplingData[[#This Row],[Candidate 6]])/(SamplingData[[#Totals],[Winning Candidate]]-SamplingData[[#Totals],[Candidate 6]]), 0)</f>
        <v>0</v>
      </c>
      <c r="V81" s="100">
        <f>IF(AND(SamplingData[[#This Row],[Total]]&lt;&gt; 0, NOT(ISBLANK(SamplingData[[#This Row],[Candidate 7]]))),(SamplingData[[#This Row],[Total]]+SamplingData[[#This Row],[Winning Candidate]]-SamplingData[[#This Row],[Candidate 7]])/(SamplingData[[#Totals],[Winning Candidate]]-SamplingData[[#Totals],[Candidate 7]]), 0)</f>
        <v>0</v>
      </c>
      <c r="W81" s="100">
        <f>IF(AND(SamplingData[[#This Row],[Total]]&lt;&gt; 0, NOT(ISBLANK(SamplingData[[#This Row],[Candidate 8]]))),(SamplingData[[#This Row],[Total]]+SamplingData[[#This Row],[Winning Candidate]]-SamplingData[[#This Row],[Candidate 8]])/(SamplingData[[#Totals],[Winning Candidate]]-SamplingData[[#Totals],[Candidate 8]]), 0)</f>
        <v>0</v>
      </c>
      <c r="X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00">
        <f>MAX(SamplingData[[#This Row],[Error Bound (up) - Max. possible relative overstatement - Losing Candidate]:[Error Bound (up) - Max. possible relative overstatement - Candidate 12]])</f>
        <v>6.2819989320601809E-5</v>
      </c>
      <c r="AC81" s="100">
        <f>IF(SamplingData[[#This Row],[Max Error Bound (up)]] = 0,0,SamplingData[[#This Row],[Max Error Bound (up)]]/SamplingData[[#Totals],[Max Error Bound (up)]])</f>
        <v>2.6920799009314603E-5</v>
      </c>
      <c r="AD81" s="104">
        <f>SUM($AC$5:AC81)</f>
        <v>1.659667258924246E-2</v>
      </c>
      <c r="AE81" s="100" t="str" cm="1">
        <f t="array" ref="AE81">IF(SamplingData[[#This Row],[up/U Selection Probability]] = 0, "Zero", TEXT(SamplingData[[#This Row],[Lower Range]], REPT("0",LEN('General Info'!$B$42))) &amp; " - " &amp; TEXT(SamplingData[[#This Row],[Upper Range]], REPT("0",LEN('General Info'!$B$42))))</f>
        <v>01657 - 01659</v>
      </c>
      <c r="AF81" s="100">
        <f>SamplingData[[#This Row],[Upper Range]]-SamplingData[[#This Row],[Span]]</f>
        <v>1656.9751790233145</v>
      </c>
      <c r="AG81" s="100">
        <f>IF(ISNUMBER('General Info'!$B$42), ((SamplingData[[#This Row],[up/U Selection Probability]]) * 'General Info'!$B$44) - 1, 0)</f>
        <v>1.6920799009314602</v>
      </c>
      <c r="AH81" s="100">
        <f>IF(ISNUMBER('General Info'!$B$42), (SamplingData[[#This Row],[Running (cumulative) sum]] * ('General Info'!$B$42 -'General Info'!$B$43 + 1)) + 'General Info'!$B$43 - 1, 0)</f>
        <v>1658.667258924246</v>
      </c>
      <c r="AI81" s="100" t="str">
        <f>IF(ISERROR(MATCH(SamplingData[[#This Row],[Batch by Type (p)]],SelectedPrecincts[Batch Name], 0)), "", INDEX(SelectedPrecincts[Draw], MATCH(SamplingData[[#This Row],[Batch by Type (p)]],SelectedPrecincts[Batch Name], 0)))</f>
        <v/>
      </c>
      <c r="AJ81" s="101">
        <f>IF(COUNTIF(SelectedPrecincts[Batch Name],SamplingData[[#This Row],[Batch by Type (p)]]) &lt;&gt; 0, COUNTIF(SelectedPrecincts[Batch Name],SamplingData[[#This Row],[Batch by Type (p)]]), 0)</f>
        <v>0</v>
      </c>
    </row>
    <row r="82" spans="1:36" ht="15" customHeight="1" x14ac:dyDescent="0.35">
      <c r="A82" s="98" t="s">
        <v>294</v>
      </c>
      <c r="B82" s="98">
        <v>0</v>
      </c>
      <c r="C82" s="98">
        <v>0</v>
      </c>
      <c r="D82" s="93"/>
      <c r="E82" s="93"/>
      <c r="F82" s="93"/>
      <c r="G82" s="97"/>
      <c r="H82" s="97"/>
      <c r="I82" s="93"/>
      <c r="J82" s="93"/>
      <c r="K82" s="93"/>
      <c r="L82" s="93"/>
      <c r="M82" s="93"/>
      <c r="N82" s="98">
        <v>0</v>
      </c>
      <c r="O82" s="98">
        <v>1</v>
      </c>
      <c r="P82" s="99">
        <f>SUM(SamplingData[[#This Row],[Winning Candidate]:[Under Votes]])</f>
        <v>1</v>
      </c>
      <c r="Q82" s="100">
        <f>IF(AND(SamplingData[[#This Row],[Total]]&lt;&gt; 0, NOT(ISBLANK(SamplingData[[#This Row],[Losing Candidate]]))),(SamplingData[[#This Row],[Total]]+SamplingData[[#This Row],[Winning Candidate]]-SamplingData[[#This Row],[Losing Candidate]])/(SamplingData[[#Totals],[Winning Candidate]]-SamplingData[[#Totals],[Losing Candidate]]), 0)</f>
        <v>3.1409994660300905E-5</v>
      </c>
      <c r="R82" s="100">
        <f>IF(AND(SamplingData[[#This Row],[Total]]&lt;&gt; 0, NOT(ISBLANK(SamplingData[[#This Row],[Candidate 3]]))),(SamplingData[[#This Row],[Total]]+SamplingData[[#This Row],[Winning Candidate]]-SamplingData[[#This Row],[Candidate 3]])/(SamplingData[[#Totals],[Winning Candidate]]-SamplingData[[#Totals],[Candidate 3]]), 0)</f>
        <v>0</v>
      </c>
      <c r="S82" s="100">
        <f>IF(AND(SamplingData[[#This Row],[Total]]&lt;&gt; 0, NOT(ISBLANK(SamplingData[[#This Row],[Candidate 4]]))),(SamplingData[[#This Row],[Total]]+SamplingData[[#This Row],[Winning Candidate]]-SamplingData[[#This Row],[Candidate 4]])/(SamplingData[[#Totals],[Winning Candidate]]-SamplingData[[#Totals],[Candidate 4]]), 0)</f>
        <v>0</v>
      </c>
      <c r="T82" s="100">
        <f>IF(AND(SamplingData[[#This Row],[Total]]&lt;&gt; 0, NOT(ISBLANK(SamplingData[[#This Row],[Candidate 5]]))),(SamplingData[[#This Row],[Total]]+SamplingData[[#This Row],[Winning Candidate]]-SamplingData[[#This Row],[Candidate 5]])/(SamplingData[[#Totals],[Winning Candidate]]-SamplingData[[#Totals],[Candidate 5]]), 0)</f>
        <v>0</v>
      </c>
      <c r="U82" s="100">
        <f>IF(AND(SamplingData[[#This Row],[Total]]&lt;&gt; 0, NOT(ISBLANK(SamplingData[[#This Row],[Candidate 6]]))),(SamplingData[[#This Row],[Total]]+SamplingData[[#This Row],[Losing Candidate]]-SamplingData[[#This Row],[Candidate 6]])/(SamplingData[[#Totals],[Winning Candidate]]-SamplingData[[#Totals],[Candidate 6]]), 0)</f>
        <v>0</v>
      </c>
      <c r="V82" s="100">
        <f>IF(AND(SamplingData[[#This Row],[Total]]&lt;&gt; 0, NOT(ISBLANK(SamplingData[[#This Row],[Candidate 7]]))),(SamplingData[[#This Row],[Total]]+SamplingData[[#This Row],[Winning Candidate]]-SamplingData[[#This Row],[Candidate 7]])/(SamplingData[[#Totals],[Winning Candidate]]-SamplingData[[#Totals],[Candidate 7]]), 0)</f>
        <v>0</v>
      </c>
      <c r="W82" s="100">
        <f>IF(AND(SamplingData[[#This Row],[Total]]&lt;&gt; 0, NOT(ISBLANK(SamplingData[[#This Row],[Candidate 8]]))),(SamplingData[[#This Row],[Total]]+SamplingData[[#This Row],[Winning Candidate]]-SamplingData[[#This Row],[Candidate 8]])/(SamplingData[[#Totals],[Winning Candidate]]-SamplingData[[#Totals],[Candidate 8]]), 0)</f>
        <v>0</v>
      </c>
      <c r="X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00">
        <f>MAX(SamplingData[[#This Row],[Error Bound (up) - Max. possible relative overstatement - Losing Candidate]:[Error Bound (up) - Max. possible relative overstatement - Candidate 12]])</f>
        <v>3.1409994660300905E-5</v>
      </c>
      <c r="AC82" s="100">
        <f>IF(SamplingData[[#This Row],[Max Error Bound (up)]] = 0,0,SamplingData[[#This Row],[Max Error Bound (up)]]/SamplingData[[#Totals],[Max Error Bound (up)]])</f>
        <v>1.3460399504657302E-5</v>
      </c>
      <c r="AD82" s="104">
        <f>SUM($AC$5:AC82)</f>
        <v>1.6610132988747119E-2</v>
      </c>
      <c r="AE82" s="100" t="str" cm="1">
        <f t="array" ref="AE82">IF(SamplingData[[#This Row],[up/U Selection Probability]] = 0, "Zero", TEXT(SamplingData[[#This Row],[Lower Range]], REPT("0",LEN('General Info'!$B$42))) &amp; " - " &amp; TEXT(SamplingData[[#This Row],[Upper Range]], REPT("0",LEN('General Info'!$B$42))))</f>
        <v>01660 - 01660</v>
      </c>
      <c r="AF82" s="100">
        <f>SamplingData[[#This Row],[Upper Range]]-SamplingData[[#This Row],[Span]]</f>
        <v>1659.6672589242462</v>
      </c>
      <c r="AG82" s="100">
        <f>IF(ISNUMBER('General Info'!$B$42), ((SamplingData[[#This Row],[up/U Selection Probability]]) * 'General Info'!$B$44) - 1, 0)</f>
        <v>0.34603995046573011</v>
      </c>
      <c r="AH82" s="100">
        <f>IF(ISNUMBER('General Info'!$B$42), (SamplingData[[#This Row],[Running (cumulative) sum]] * ('General Info'!$B$42 -'General Info'!$B$43 + 1)) + 'General Info'!$B$43 - 1, 0)</f>
        <v>1660.0132988747118</v>
      </c>
      <c r="AI82" s="100" t="str">
        <f>IF(ISERROR(MATCH(SamplingData[[#This Row],[Batch by Type (p)]],SelectedPrecincts[Batch Name], 0)), "", INDEX(SelectedPrecincts[Draw], MATCH(SamplingData[[#This Row],[Batch by Type (p)]],SelectedPrecincts[Batch Name], 0)))</f>
        <v/>
      </c>
      <c r="AJ82" s="101">
        <f>IF(COUNTIF(SelectedPrecincts[Batch Name],SamplingData[[#This Row],[Batch by Type (p)]]) &lt;&gt; 0, COUNTIF(SelectedPrecincts[Batch Name],SamplingData[[#This Row],[Batch by Type (p)]]), 0)</f>
        <v>0</v>
      </c>
    </row>
    <row r="83" spans="1:36" ht="15" customHeight="1" x14ac:dyDescent="0.35">
      <c r="A83" s="98" t="s">
        <v>295</v>
      </c>
      <c r="B83" s="98">
        <v>0</v>
      </c>
      <c r="C83" s="98">
        <v>0</v>
      </c>
      <c r="D83" s="93"/>
      <c r="E83" s="93"/>
      <c r="F83" s="93"/>
      <c r="G83" s="97"/>
      <c r="H83" s="97"/>
      <c r="I83" s="93"/>
      <c r="J83" s="93"/>
      <c r="K83" s="93"/>
      <c r="L83" s="93"/>
      <c r="M83" s="93"/>
      <c r="N83" s="98">
        <v>0</v>
      </c>
      <c r="O83" s="98">
        <v>0</v>
      </c>
      <c r="P83" s="99">
        <f>SUM(SamplingData[[#This Row],[Winning Candidate]:[Under Votes]])</f>
        <v>0</v>
      </c>
      <c r="Q83" s="100">
        <f>IF(AND(SamplingData[[#This Row],[Total]]&lt;&gt; 0, NOT(ISBLANK(SamplingData[[#This Row],[Losing Candidate]]))),(SamplingData[[#This Row],[Total]]+SamplingData[[#This Row],[Winning Candidate]]-SamplingData[[#This Row],[Losing Candidate]])/(SamplingData[[#Totals],[Winning Candidate]]-SamplingData[[#Totals],[Losing Candidate]]), 0)</f>
        <v>0</v>
      </c>
      <c r="R83" s="100">
        <f>IF(AND(SamplingData[[#This Row],[Total]]&lt;&gt; 0, NOT(ISBLANK(SamplingData[[#This Row],[Candidate 3]]))),(SamplingData[[#This Row],[Total]]+SamplingData[[#This Row],[Winning Candidate]]-SamplingData[[#This Row],[Candidate 3]])/(SamplingData[[#Totals],[Winning Candidate]]-SamplingData[[#Totals],[Candidate 3]]), 0)</f>
        <v>0</v>
      </c>
      <c r="S83" s="100">
        <f>IF(AND(SamplingData[[#This Row],[Total]]&lt;&gt; 0, NOT(ISBLANK(SamplingData[[#This Row],[Candidate 4]]))),(SamplingData[[#This Row],[Total]]+SamplingData[[#This Row],[Winning Candidate]]-SamplingData[[#This Row],[Candidate 4]])/(SamplingData[[#Totals],[Winning Candidate]]-SamplingData[[#Totals],[Candidate 4]]), 0)</f>
        <v>0</v>
      </c>
      <c r="T83" s="100">
        <f>IF(AND(SamplingData[[#This Row],[Total]]&lt;&gt; 0, NOT(ISBLANK(SamplingData[[#This Row],[Candidate 5]]))),(SamplingData[[#This Row],[Total]]+SamplingData[[#This Row],[Winning Candidate]]-SamplingData[[#This Row],[Candidate 5]])/(SamplingData[[#Totals],[Winning Candidate]]-SamplingData[[#Totals],[Candidate 5]]), 0)</f>
        <v>0</v>
      </c>
      <c r="U83" s="100">
        <f>IF(AND(SamplingData[[#This Row],[Total]]&lt;&gt; 0, NOT(ISBLANK(SamplingData[[#This Row],[Candidate 6]]))),(SamplingData[[#This Row],[Total]]+SamplingData[[#This Row],[Losing Candidate]]-SamplingData[[#This Row],[Candidate 6]])/(SamplingData[[#Totals],[Winning Candidate]]-SamplingData[[#Totals],[Candidate 6]]), 0)</f>
        <v>0</v>
      </c>
      <c r="V83" s="100">
        <f>IF(AND(SamplingData[[#This Row],[Total]]&lt;&gt; 0, NOT(ISBLANK(SamplingData[[#This Row],[Candidate 7]]))),(SamplingData[[#This Row],[Total]]+SamplingData[[#This Row],[Winning Candidate]]-SamplingData[[#This Row],[Candidate 7]])/(SamplingData[[#Totals],[Winning Candidate]]-SamplingData[[#Totals],[Candidate 7]]), 0)</f>
        <v>0</v>
      </c>
      <c r="W83" s="100">
        <f>IF(AND(SamplingData[[#This Row],[Total]]&lt;&gt; 0, NOT(ISBLANK(SamplingData[[#This Row],[Candidate 8]]))),(SamplingData[[#This Row],[Total]]+SamplingData[[#This Row],[Winning Candidate]]-SamplingData[[#This Row],[Candidate 8]])/(SamplingData[[#Totals],[Winning Candidate]]-SamplingData[[#Totals],[Candidate 8]]), 0)</f>
        <v>0</v>
      </c>
      <c r="X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00">
        <f>MAX(SamplingData[[#This Row],[Error Bound (up) - Max. possible relative overstatement - Losing Candidate]:[Error Bound (up) - Max. possible relative overstatement - Candidate 12]])</f>
        <v>0</v>
      </c>
      <c r="AC83" s="100">
        <f>IF(SamplingData[[#This Row],[Max Error Bound (up)]] = 0,0,SamplingData[[#This Row],[Max Error Bound (up)]]/SamplingData[[#Totals],[Max Error Bound (up)]])</f>
        <v>0</v>
      </c>
      <c r="AD83" s="104">
        <f>SUM($AC$5:AC83)</f>
        <v>1.6610132988747119E-2</v>
      </c>
      <c r="AE83" s="100" t="str" cm="1">
        <f t="array" ref="AE83">IF(SamplingData[[#This Row],[up/U Selection Probability]] = 0, "Zero", TEXT(SamplingData[[#This Row],[Lower Range]], REPT("0",LEN('General Info'!$B$42))) &amp; " - " &amp; TEXT(SamplingData[[#This Row],[Upper Range]], REPT("0",LEN('General Info'!$B$42))))</f>
        <v>Zero</v>
      </c>
      <c r="AF83" s="100">
        <f>SamplingData[[#This Row],[Upper Range]]-SamplingData[[#This Row],[Span]]</f>
        <v>1661.0132988747118</v>
      </c>
      <c r="AG83" s="100">
        <f>IF(ISNUMBER('General Info'!$B$42), ((SamplingData[[#This Row],[up/U Selection Probability]]) * 'General Info'!$B$44) - 1, 0)</f>
        <v>-1</v>
      </c>
      <c r="AH83" s="100">
        <f>IF(ISNUMBER('General Info'!$B$42), (SamplingData[[#This Row],[Running (cumulative) sum]] * ('General Info'!$B$42 -'General Info'!$B$43 + 1)) + 'General Info'!$B$43 - 1, 0)</f>
        <v>1660.0132988747118</v>
      </c>
      <c r="AI83" s="100" t="str">
        <f>IF(ISERROR(MATCH(SamplingData[[#This Row],[Batch by Type (p)]],SelectedPrecincts[Batch Name], 0)), "", INDEX(SelectedPrecincts[Draw], MATCH(SamplingData[[#This Row],[Batch by Type (p)]],SelectedPrecincts[Batch Name], 0)))</f>
        <v/>
      </c>
      <c r="AJ83" s="101">
        <f>IF(COUNTIF(SelectedPrecincts[Batch Name],SamplingData[[#This Row],[Batch by Type (p)]]) &lt;&gt; 0, COUNTIF(SelectedPrecincts[Batch Name],SamplingData[[#This Row],[Batch by Type (p)]]), 0)</f>
        <v>0</v>
      </c>
    </row>
    <row r="84" spans="1:36" ht="15" customHeight="1" x14ac:dyDescent="0.35">
      <c r="A84" s="98" t="s">
        <v>296</v>
      </c>
      <c r="B84" s="98">
        <v>1</v>
      </c>
      <c r="C84" s="98">
        <v>0</v>
      </c>
      <c r="D84" s="93"/>
      <c r="E84" s="93"/>
      <c r="F84" s="93"/>
      <c r="G84" s="97"/>
      <c r="H84" s="97"/>
      <c r="I84" s="93"/>
      <c r="J84" s="93"/>
      <c r="K84" s="93"/>
      <c r="L84" s="93"/>
      <c r="M84" s="93"/>
      <c r="N84" s="98">
        <v>0</v>
      </c>
      <c r="O84" s="98">
        <v>0</v>
      </c>
      <c r="P84" s="99">
        <f>SUM(SamplingData[[#This Row],[Winning Candidate]:[Under Votes]])</f>
        <v>1</v>
      </c>
      <c r="Q84"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84" s="100">
        <f>IF(AND(SamplingData[[#This Row],[Total]]&lt;&gt; 0, NOT(ISBLANK(SamplingData[[#This Row],[Candidate 3]]))),(SamplingData[[#This Row],[Total]]+SamplingData[[#This Row],[Winning Candidate]]-SamplingData[[#This Row],[Candidate 3]])/(SamplingData[[#Totals],[Winning Candidate]]-SamplingData[[#Totals],[Candidate 3]]), 0)</f>
        <v>0</v>
      </c>
      <c r="S84" s="100">
        <f>IF(AND(SamplingData[[#This Row],[Total]]&lt;&gt; 0, NOT(ISBLANK(SamplingData[[#This Row],[Candidate 4]]))),(SamplingData[[#This Row],[Total]]+SamplingData[[#This Row],[Winning Candidate]]-SamplingData[[#This Row],[Candidate 4]])/(SamplingData[[#Totals],[Winning Candidate]]-SamplingData[[#Totals],[Candidate 4]]), 0)</f>
        <v>0</v>
      </c>
      <c r="T84" s="100">
        <f>IF(AND(SamplingData[[#This Row],[Total]]&lt;&gt; 0, NOT(ISBLANK(SamplingData[[#This Row],[Candidate 5]]))),(SamplingData[[#This Row],[Total]]+SamplingData[[#This Row],[Winning Candidate]]-SamplingData[[#This Row],[Candidate 5]])/(SamplingData[[#Totals],[Winning Candidate]]-SamplingData[[#Totals],[Candidate 5]]), 0)</f>
        <v>0</v>
      </c>
      <c r="U84" s="100">
        <f>IF(AND(SamplingData[[#This Row],[Total]]&lt;&gt; 0, NOT(ISBLANK(SamplingData[[#This Row],[Candidate 6]]))),(SamplingData[[#This Row],[Total]]+SamplingData[[#This Row],[Losing Candidate]]-SamplingData[[#This Row],[Candidate 6]])/(SamplingData[[#Totals],[Winning Candidate]]-SamplingData[[#Totals],[Candidate 6]]), 0)</f>
        <v>0</v>
      </c>
      <c r="V84" s="100">
        <f>IF(AND(SamplingData[[#This Row],[Total]]&lt;&gt; 0, NOT(ISBLANK(SamplingData[[#This Row],[Candidate 7]]))),(SamplingData[[#This Row],[Total]]+SamplingData[[#This Row],[Winning Candidate]]-SamplingData[[#This Row],[Candidate 7]])/(SamplingData[[#Totals],[Winning Candidate]]-SamplingData[[#Totals],[Candidate 7]]), 0)</f>
        <v>0</v>
      </c>
      <c r="W84" s="100">
        <f>IF(AND(SamplingData[[#This Row],[Total]]&lt;&gt; 0, NOT(ISBLANK(SamplingData[[#This Row],[Candidate 8]]))),(SamplingData[[#This Row],[Total]]+SamplingData[[#This Row],[Winning Candidate]]-SamplingData[[#This Row],[Candidate 8]])/(SamplingData[[#Totals],[Winning Candidate]]-SamplingData[[#Totals],[Candidate 8]]), 0)</f>
        <v>0</v>
      </c>
      <c r="X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00">
        <f>MAX(SamplingData[[#This Row],[Error Bound (up) - Max. possible relative overstatement - Losing Candidate]:[Error Bound (up) - Max. possible relative overstatement - Candidate 12]])</f>
        <v>6.2819989320601809E-5</v>
      </c>
      <c r="AC84" s="100">
        <f>IF(SamplingData[[#This Row],[Max Error Bound (up)]] = 0,0,SamplingData[[#This Row],[Max Error Bound (up)]]/SamplingData[[#Totals],[Max Error Bound (up)]])</f>
        <v>2.6920799009314603E-5</v>
      </c>
      <c r="AD84" s="104">
        <f>SUM($AC$5:AC84)</f>
        <v>1.6637053787756432E-2</v>
      </c>
      <c r="AE84" s="100" t="str" cm="1">
        <f t="array" ref="AE84">IF(SamplingData[[#This Row],[up/U Selection Probability]] = 0, "Zero", TEXT(SamplingData[[#This Row],[Lower Range]], REPT("0",LEN('General Info'!$B$42))) &amp; " - " &amp; TEXT(SamplingData[[#This Row],[Upper Range]], REPT("0",LEN('General Info'!$B$42))))</f>
        <v>01661 - 01663</v>
      </c>
      <c r="AF84" s="100">
        <f>SamplingData[[#This Row],[Upper Range]]-SamplingData[[#This Row],[Span]]</f>
        <v>1661.0132988747116</v>
      </c>
      <c r="AG84" s="100">
        <f>IF(ISNUMBER('General Info'!$B$42), ((SamplingData[[#This Row],[up/U Selection Probability]]) * 'General Info'!$B$44) - 1, 0)</f>
        <v>1.6920799009314602</v>
      </c>
      <c r="AH84" s="100">
        <f>IF(ISNUMBER('General Info'!$B$42), (SamplingData[[#This Row],[Running (cumulative) sum]] * ('General Info'!$B$42 -'General Info'!$B$43 + 1)) + 'General Info'!$B$43 - 1, 0)</f>
        <v>1662.7053787756431</v>
      </c>
      <c r="AI84" s="100" t="str">
        <f>IF(ISERROR(MATCH(SamplingData[[#This Row],[Batch by Type (p)]],SelectedPrecincts[Batch Name], 0)), "", INDEX(SelectedPrecincts[Draw], MATCH(SamplingData[[#This Row],[Batch by Type (p)]],SelectedPrecincts[Batch Name], 0)))</f>
        <v/>
      </c>
      <c r="AJ84" s="101">
        <f>IF(COUNTIF(SelectedPrecincts[Batch Name],SamplingData[[#This Row],[Batch by Type (p)]]) &lt;&gt; 0, COUNTIF(SelectedPrecincts[Batch Name],SamplingData[[#This Row],[Batch by Type (p)]]), 0)</f>
        <v>0</v>
      </c>
    </row>
    <row r="85" spans="1:36" ht="15" customHeight="1" x14ac:dyDescent="0.35">
      <c r="A85" s="98" t="s">
        <v>297</v>
      </c>
      <c r="B85" s="98">
        <v>7</v>
      </c>
      <c r="C85" s="98">
        <v>1</v>
      </c>
      <c r="D85" s="93"/>
      <c r="E85" s="93"/>
      <c r="F85" s="93"/>
      <c r="G85" s="97"/>
      <c r="H85" s="97"/>
      <c r="I85" s="93"/>
      <c r="J85" s="93"/>
      <c r="K85" s="93"/>
      <c r="L85" s="93"/>
      <c r="M85" s="93"/>
      <c r="N85" s="98">
        <v>0</v>
      </c>
      <c r="O85" s="98">
        <v>2</v>
      </c>
      <c r="P85" s="99">
        <f>SUM(SamplingData[[#This Row],[Winning Candidate]:[Under Votes]])</f>
        <v>10</v>
      </c>
      <c r="Q85"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85" s="100">
        <f>IF(AND(SamplingData[[#This Row],[Total]]&lt;&gt; 0, NOT(ISBLANK(SamplingData[[#This Row],[Candidate 3]]))),(SamplingData[[#This Row],[Total]]+SamplingData[[#This Row],[Winning Candidate]]-SamplingData[[#This Row],[Candidate 3]])/(SamplingData[[#Totals],[Winning Candidate]]-SamplingData[[#Totals],[Candidate 3]]), 0)</f>
        <v>0</v>
      </c>
      <c r="S85" s="100">
        <f>IF(AND(SamplingData[[#This Row],[Total]]&lt;&gt; 0, NOT(ISBLANK(SamplingData[[#This Row],[Candidate 4]]))),(SamplingData[[#This Row],[Total]]+SamplingData[[#This Row],[Winning Candidate]]-SamplingData[[#This Row],[Candidate 4]])/(SamplingData[[#Totals],[Winning Candidate]]-SamplingData[[#Totals],[Candidate 4]]), 0)</f>
        <v>0</v>
      </c>
      <c r="T85" s="100">
        <f>IF(AND(SamplingData[[#This Row],[Total]]&lt;&gt; 0, NOT(ISBLANK(SamplingData[[#This Row],[Candidate 5]]))),(SamplingData[[#This Row],[Total]]+SamplingData[[#This Row],[Winning Candidate]]-SamplingData[[#This Row],[Candidate 5]])/(SamplingData[[#Totals],[Winning Candidate]]-SamplingData[[#Totals],[Candidate 5]]), 0)</f>
        <v>0</v>
      </c>
      <c r="U85" s="100">
        <f>IF(AND(SamplingData[[#This Row],[Total]]&lt;&gt; 0, NOT(ISBLANK(SamplingData[[#This Row],[Candidate 6]]))),(SamplingData[[#This Row],[Total]]+SamplingData[[#This Row],[Losing Candidate]]-SamplingData[[#This Row],[Candidate 6]])/(SamplingData[[#Totals],[Winning Candidate]]-SamplingData[[#Totals],[Candidate 6]]), 0)</f>
        <v>0</v>
      </c>
      <c r="V85" s="100">
        <f>IF(AND(SamplingData[[#This Row],[Total]]&lt;&gt; 0, NOT(ISBLANK(SamplingData[[#This Row],[Candidate 7]]))),(SamplingData[[#This Row],[Total]]+SamplingData[[#This Row],[Winning Candidate]]-SamplingData[[#This Row],[Candidate 7]])/(SamplingData[[#Totals],[Winning Candidate]]-SamplingData[[#Totals],[Candidate 7]]), 0)</f>
        <v>0</v>
      </c>
      <c r="W85" s="100">
        <f>IF(AND(SamplingData[[#This Row],[Total]]&lt;&gt; 0, NOT(ISBLANK(SamplingData[[#This Row],[Candidate 8]]))),(SamplingData[[#This Row],[Total]]+SamplingData[[#This Row],[Winning Candidate]]-SamplingData[[#This Row],[Candidate 8]])/(SamplingData[[#Totals],[Winning Candidate]]-SamplingData[[#Totals],[Candidate 8]]), 0)</f>
        <v>0</v>
      </c>
      <c r="X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00">
        <f>MAX(SamplingData[[#This Row],[Error Bound (up) - Max. possible relative overstatement - Losing Candidate]:[Error Bound (up) - Max. possible relative overstatement - Candidate 12]])</f>
        <v>5.0255991456481448E-4</v>
      </c>
      <c r="AC85" s="100">
        <f>IF(SamplingData[[#This Row],[Max Error Bound (up)]] = 0,0,SamplingData[[#This Row],[Max Error Bound (up)]]/SamplingData[[#Totals],[Max Error Bound (up)]])</f>
        <v>2.1536639207451683E-4</v>
      </c>
      <c r="AD85" s="104">
        <f>SUM($AC$5:AC85)</f>
        <v>1.6852420179830949E-2</v>
      </c>
      <c r="AE85" s="100" t="str" cm="1">
        <f t="array" ref="AE85">IF(SamplingData[[#This Row],[up/U Selection Probability]] = 0, "Zero", TEXT(SamplingData[[#This Row],[Lower Range]], REPT("0",LEN('General Info'!$B$42))) &amp; " - " &amp; TEXT(SamplingData[[#This Row],[Upper Range]], REPT("0",LEN('General Info'!$B$42))))</f>
        <v>01664 - 01684</v>
      </c>
      <c r="AF85" s="100">
        <f>SamplingData[[#This Row],[Upper Range]]-SamplingData[[#This Row],[Span]]</f>
        <v>1663.7053787756433</v>
      </c>
      <c r="AG85" s="100">
        <f>IF(ISNUMBER('General Info'!$B$42), ((SamplingData[[#This Row],[up/U Selection Probability]]) * 'General Info'!$B$44) - 1, 0)</f>
        <v>20.536639207451682</v>
      </c>
      <c r="AH85" s="100">
        <f>IF(ISNUMBER('General Info'!$B$42), (SamplingData[[#This Row],[Running (cumulative) sum]] * ('General Info'!$B$42 -'General Info'!$B$43 + 1)) + 'General Info'!$B$43 - 1, 0)</f>
        <v>1684.2420179830949</v>
      </c>
      <c r="AI85" s="100" t="str">
        <f>IF(ISERROR(MATCH(SamplingData[[#This Row],[Batch by Type (p)]],SelectedPrecincts[Batch Name], 0)), "", INDEX(SelectedPrecincts[Draw], MATCH(SamplingData[[#This Row],[Batch by Type (p)]],SelectedPrecincts[Batch Name], 0)))</f>
        <v/>
      </c>
      <c r="AJ85" s="101">
        <f>IF(COUNTIF(SelectedPrecincts[Batch Name],SamplingData[[#This Row],[Batch by Type (p)]]) &lt;&gt; 0, COUNTIF(SelectedPrecincts[Batch Name],SamplingData[[#This Row],[Batch by Type (p)]]), 0)</f>
        <v>0</v>
      </c>
    </row>
    <row r="86" spans="1:36" ht="15" customHeight="1" x14ac:dyDescent="0.35">
      <c r="A86" s="98" t="s">
        <v>298</v>
      </c>
      <c r="B86" s="98">
        <v>0</v>
      </c>
      <c r="C86" s="98">
        <v>0</v>
      </c>
      <c r="D86" s="93"/>
      <c r="E86" s="93"/>
      <c r="F86" s="93"/>
      <c r="G86" s="97"/>
      <c r="H86" s="97"/>
      <c r="I86" s="93"/>
      <c r="J86" s="93"/>
      <c r="K86" s="93"/>
      <c r="L86" s="93"/>
      <c r="M86" s="93"/>
      <c r="N86" s="98">
        <v>0</v>
      </c>
      <c r="O86" s="98">
        <v>0</v>
      </c>
      <c r="P86" s="99">
        <f>SUM(SamplingData[[#This Row],[Winning Candidate]:[Under Votes]])</f>
        <v>0</v>
      </c>
      <c r="Q86" s="100">
        <f>IF(AND(SamplingData[[#This Row],[Total]]&lt;&gt; 0, NOT(ISBLANK(SamplingData[[#This Row],[Losing Candidate]]))),(SamplingData[[#This Row],[Total]]+SamplingData[[#This Row],[Winning Candidate]]-SamplingData[[#This Row],[Losing Candidate]])/(SamplingData[[#Totals],[Winning Candidate]]-SamplingData[[#Totals],[Losing Candidate]]), 0)</f>
        <v>0</v>
      </c>
      <c r="R86" s="100">
        <f>IF(AND(SamplingData[[#This Row],[Total]]&lt;&gt; 0, NOT(ISBLANK(SamplingData[[#This Row],[Candidate 3]]))),(SamplingData[[#This Row],[Total]]+SamplingData[[#This Row],[Winning Candidate]]-SamplingData[[#This Row],[Candidate 3]])/(SamplingData[[#Totals],[Winning Candidate]]-SamplingData[[#Totals],[Candidate 3]]), 0)</f>
        <v>0</v>
      </c>
      <c r="S86" s="100">
        <f>IF(AND(SamplingData[[#This Row],[Total]]&lt;&gt; 0, NOT(ISBLANK(SamplingData[[#This Row],[Candidate 4]]))),(SamplingData[[#This Row],[Total]]+SamplingData[[#This Row],[Winning Candidate]]-SamplingData[[#This Row],[Candidate 4]])/(SamplingData[[#Totals],[Winning Candidate]]-SamplingData[[#Totals],[Candidate 4]]), 0)</f>
        <v>0</v>
      </c>
      <c r="T86" s="100">
        <f>IF(AND(SamplingData[[#This Row],[Total]]&lt;&gt; 0, NOT(ISBLANK(SamplingData[[#This Row],[Candidate 5]]))),(SamplingData[[#This Row],[Total]]+SamplingData[[#This Row],[Winning Candidate]]-SamplingData[[#This Row],[Candidate 5]])/(SamplingData[[#Totals],[Winning Candidate]]-SamplingData[[#Totals],[Candidate 5]]), 0)</f>
        <v>0</v>
      </c>
      <c r="U86" s="100">
        <f>IF(AND(SamplingData[[#This Row],[Total]]&lt;&gt; 0, NOT(ISBLANK(SamplingData[[#This Row],[Candidate 6]]))),(SamplingData[[#This Row],[Total]]+SamplingData[[#This Row],[Losing Candidate]]-SamplingData[[#This Row],[Candidate 6]])/(SamplingData[[#Totals],[Winning Candidate]]-SamplingData[[#Totals],[Candidate 6]]), 0)</f>
        <v>0</v>
      </c>
      <c r="V86" s="100">
        <f>IF(AND(SamplingData[[#This Row],[Total]]&lt;&gt; 0, NOT(ISBLANK(SamplingData[[#This Row],[Candidate 7]]))),(SamplingData[[#This Row],[Total]]+SamplingData[[#This Row],[Winning Candidate]]-SamplingData[[#This Row],[Candidate 7]])/(SamplingData[[#Totals],[Winning Candidate]]-SamplingData[[#Totals],[Candidate 7]]), 0)</f>
        <v>0</v>
      </c>
      <c r="W86" s="100">
        <f>IF(AND(SamplingData[[#This Row],[Total]]&lt;&gt; 0, NOT(ISBLANK(SamplingData[[#This Row],[Candidate 8]]))),(SamplingData[[#This Row],[Total]]+SamplingData[[#This Row],[Winning Candidate]]-SamplingData[[#This Row],[Candidate 8]])/(SamplingData[[#Totals],[Winning Candidate]]-SamplingData[[#Totals],[Candidate 8]]), 0)</f>
        <v>0</v>
      </c>
      <c r="X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00">
        <f>MAX(SamplingData[[#This Row],[Error Bound (up) - Max. possible relative overstatement - Losing Candidate]:[Error Bound (up) - Max. possible relative overstatement - Candidate 12]])</f>
        <v>0</v>
      </c>
      <c r="AC86" s="100">
        <f>IF(SamplingData[[#This Row],[Max Error Bound (up)]] = 0,0,SamplingData[[#This Row],[Max Error Bound (up)]]/SamplingData[[#Totals],[Max Error Bound (up)]])</f>
        <v>0</v>
      </c>
      <c r="AD86" s="104">
        <f>SUM($AC$5:AC86)</f>
        <v>1.6852420179830949E-2</v>
      </c>
      <c r="AE86" s="100" t="str" cm="1">
        <f t="array" ref="AE86">IF(SamplingData[[#This Row],[up/U Selection Probability]] = 0, "Zero", TEXT(SamplingData[[#This Row],[Lower Range]], REPT("0",LEN('General Info'!$B$42))) &amp; " - " &amp; TEXT(SamplingData[[#This Row],[Upper Range]], REPT("0",LEN('General Info'!$B$42))))</f>
        <v>Zero</v>
      </c>
      <c r="AF86" s="100">
        <f>SamplingData[[#This Row],[Upper Range]]-SamplingData[[#This Row],[Span]]</f>
        <v>1685.2420179830949</v>
      </c>
      <c r="AG86" s="100">
        <f>IF(ISNUMBER('General Info'!$B$42), ((SamplingData[[#This Row],[up/U Selection Probability]]) * 'General Info'!$B$44) - 1, 0)</f>
        <v>-1</v>
      </c>
      <c r="AH86" s="100">
        <f>IF(ISNUMBER('General Info'!$B$42), (SamplingData[[#This Row],[Running (cumulative) sum]] * ('General Info'!$B$42 -'General Info'!$B$43 + 1)) + 'General Info'!$B$43 - 1, 0)</f>
        <v>1684.2420179830949</v>
      </c>
      <c r="AI86" s="100" t="str">
        <f>IF(ISERROR(MATCH(SamplingData[[#This Row],[Batch by Type (p)]],SelectedPrecincts[Batch Name], 0)), "", INDEX(SelectedPrecincts[Draw], MATCH(SamplingData[[#This Row],[Batch by Type (p)]],SelectedPrecincts[Batch Name], 0)))</f>
        <v/>
      </c>
      <c r="AJ86" s="101">
        <f>IF(COUNTIF(SelectedPrecincts[Batch Name],SamplingData[[#This Row],[Batch by Type (p)]]) &lt;&gt; 0, COUNTIF(SelectedPrecincts[Batch Name],SamplingData[[#This Row],[Batch by Type (p)]]), 0)</f>
        <v>0</v>
      </c>
    </row>
    <row r="87" spans="1:36" ht="15" customHeight="1" x14ac:dyDescent="0.35">
      <c r="A87" s="98" t="s">
        <v>299</v>
      </c>
      <c r="B87" s="98">
        <v>0</v>
      </c>
      <c r="C87" s="98">
        <v>0</v>
      </c>
      <c r="D87" s="93"/>
      <c r="E87" s="93"/>
      <c r="F87" s="93"/>
      <c r="G87" s="97"/>
      <c r="H87" s="97"/>
      <c r="I87" s="93"/>
      <c r="J87" s="93"/>
      <c r="K87" s="93"/>
      <c r="L87" s="93"/>
      <c r="M87" s="93"/>
      <c r="N87" s="98">
        <v>0</v>
      </c>
      <c r="O87" s="98">
        <v>1</v>
      </c>
      <c r="P87" s="99">
        <f>SUM(SamplingData[[#This Row],[Winning Candidate]:[Under Votes]])</f>
        <v>1</v>
      </c>
      <c r="Q87" s="100">
        <f>IF(AND(SamplingData[[#This Row],[Total]]&lt;&gt; 0, NOT(ISBLANK(SamplingData[[#This Row],[Losing Candidate]]))),(SamplingData[[#This Row],[Total]]+SamplingData[[#This Row],[Winning Candidate]]-SamplingData[[#This Row],[Losing Candidate]])/(SamplingData[[#Totals],[Winning Candidate]]-SamplingData[[#Totals],[Losing Candidate]]), 0)</f>
        <v>3.1409994660300905E-5</v>
      </c>
      <c r="R87" s="100">
        <f>IF(AND(SamplingData[[#This Row],[Total]]&lt;&gt; 0, NOT(ISBLANK(SamplingData[[#This Row],[Candidate 3]]))),(SamplingData[[#This Row],[Total]]+SamplingData[[#This Row],[Winning Candidate]]-SamplingData[[#This Row],[Candidate 3]])/(SamplingData[[#Totals],[Winning Candidate]]-SamplingData[[#Totals],[Candidate 3]]), 0)</f>
        <v>0</v>
      </c>
      <c r="S87" s="100">
        <f>IF(AND(SamplingData[[#This Row],[Total]]&lt;&gt; 0, NOT(ISBLANK(SamplingData[[#This Row],[Candidate 4]]))),(SamplingData[[#This Row],[Total]]+SamplingData[[#This Row],[Winning Candidate]]-SamplingData[[#This Row],[Candidate 4]])/(SamplingData[[#Totals],[Winning Candidate]]-SamplingData[[#Totals],[Candidate 4]]), 0)</f>
        <v>0</v>
      </c>
      <c r="T87" s="100">
        <f>IF(AND(SamplingData[[#This Row],[Total]]&lt;&gt; 0, NOT(ISBLANK(SamplingData[[#This Row],[Candidate 5]]))),(SamplingData[[#This Row],[Total]]+SamplingData[[#This Row],[Winning Candidate]]-SamplingData[[#This Row],[Candidate 5]])/(SamplingData[[#Totals],[Winning Candidate]]-SamplingData[[#Totals],[Candidate 5]]), 0)</f>
        <v>0</v>
      </c>
      <c r="U87" s="100">
        <f>IF(AND(SamplingData[[#This Row],[Total]]&lt;&gt; 0, NOT(ISBLANK(SamplingData[[#This Row],[Candidate 6]]))),(SamplingData[[#This Row],[Total]]+SamplingData[[#This Row],[Losing Candidate]]-SamplingData[[#This Row],[Candidate 6]])/(SamplingData[[#Totals],[Winning Candidate]]-SamplingData[[#Totals],[Candidate 6]]), 0)</f>
        <v>0</v>
      </c>
      <c r="V87" s="100">
        <f>IF(AND(SamplingData[[#This Row],[Total]]&lt;&gt; 0, NOT(ISBLANK(SamplingData[[#This Row],[Candidate 7]]))),(SamplingData[[#This Row],[Total]]+SamplingData[[#This Row],[Winning Candidate]]-SamplingData[[#This Row],[Candidate 7]])/(SamplingData[[#Totals],[Winning Candidate]]-SamplingData[[#Totals],[Candidate 7]]), 0)</f>
        <v>0</v>
      </c>
      <c r="W87" s="100">
        <f>IF(AND(SamplingData[[#This Row],[Total]]&lt;&gt; 0, NOT(ISBLANK(SamplingData[[#This Row],[Candidate 8]]))),(SamplingData[[#This Row],[Total]]+SamplingData[[#This Row],[Winning Candidate]]-SamplingData[[#This Row],[Candidate 8]])/(SamplingData[[#Totals],[Winning Candidate]]-SamplingData[[#Totals],[Candidate 8]]), 0)</f>
        <v>0</v>
      </c>
      <c r="X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00">
        <f>MAX(SamplingData[[#This Row],[Error Bound (up) - Max. possible relative overstatement - Losing Candidate]:[Error Bound (up) - Max. possible relative overstatement - Candidate 12]])</f>
        <v>3.1409994660300905E-5</v>
      </c>
      <c r="AC87" s="100">
        <f>IF(SamplingData[[#This Row],[Max Error Bound (up)]] = 0,0,SamplingData[[#This Row],[Max Error Bound (up)]]/SamplingData[[#Totals],[Max Error Bound (up)]])</f>
        <v>1.3460399504657302E-5</v>
      </c>
      <c r="AD87" s="104">
        <f>SUM($AC$5:AC87)</f>
        <v>1.6865880579335607E-2</v>
      </c>
      <c r="AE87" s="100" t="str" cm="1">
        <f t="array" ref="AE87">IF(SamplingData[[#This Row],[up/U Selection Probability]] = 0, "Zero", TEXT(SamplingData[[#This Row],[Lower Range]], REPT("0",LEN('General Info'!$B$42))) &amp; " - " &amp; TEXT(SamplingData[[#This Row],[Upper Range]], REPT("0",LEN('General Info'!$B$42))))</f>
        <v>01685 - 01686</v>
      </c>
      <c r="AF87" s="100">
        <f>SamplingData[[#This Row],[Upper Range]]-SamplingData[[#This Row],[Span]]</f>
        <v>1685.2420179830951</v>
      </c>
      <c r="AG87" s="100">
        <f>IF(ISNUMBER('General Info'!$B$42), ((SamplingData[[#This Row],[up/U Selection Probability]]) * 'General Info'!$B$44) - 1, 0)</f>
        <v>0.34603995046573011</v>
      </c>
      <c r="AH87" s="100">
        <f>IF(ISNUMBER('General Info'!$B$42), (SamplingData[[#This Row],[Running (cumulative) sum]] * ('General Info'!$B$42 -'General Info'!$B$43 + 1)) + 'General Info'!$B$43 - 1, 0)</f>
        <v>1685.5880579335608</v>
      </c>
      <c r="AI87" s="100" t="str">
        <f>IF(ISERROR(MATCH(SamplingData[[#This Row],[Batch by Type (p)]],SelectedPrecincts[Batch Name], 0)), "", INDEX(SelectedPrecincts[Draw], MATCH(SamplingData[[#This Row],[Batch by Type (p)]],SelectedPrecincts[Batch Name], 0)))</f>
        <v/>
      </c>
      <c r="AJ87" s="101">
        <f>IF(COUNTIF(SelectedPrecincts[Batch Name],SamplingData[[#This Row],[Batch by Type (p)]]) &lt;&gt; 0, COUNTIF(SelectedPrecincts[Batch Name],SamplingData[[#This Row],[Batch by Type (p)]]), 0)</f>
        <v>0</v>
      </c>
    </row>
    <row r="88" spans="1:36" ht="15" customHeight="1" x14ac:dyDescent="0.35">
      <c r="A88" s="98" t="s">
        <v>300</v>
      </c>
      <c r="B88" s="98">
        <v>6</v>
      </c>
      <c r="C88" s="98">
        <v>0</v>
      </c>
      <c r="D88" s="93"/>
      <c r="E88" s="93"/>
      <c r="F88" s="93"/>
      <c r="G88" s="97"/>
      <c r="H88" s="97"/>
      <c r="I88" s="93"/>
      <c r="J88" s="93"/>
      <c r="K88" s="93"/>
      <c r="L88" s="93"/>
      <c r="M88" s="93"/>
      <c r="N88" s="98">
        <v>0</v>
      </c>
      <c r="O88" s="98">
        <v>0</v>
      </c>
      <c r="P88" s="99">
        <f>SUM(SamplingData[[#This Row],[Winning Candidate]:[Under Votes]])</f>
        <v>6</v>
      </c>
      <c r="Q88"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88" s="100">
        <f>IF(AND(SamplingData[[#This Row],[Total]]&lt;&gt; 0, NOT(ISBLANK(SamplingData[[#This Row],[Candidate 3]]))),(SamplingData[[#This Row],[Total]]+SamplingData[[#This Row],[Winning Candidate]]-SamplingData[[#This Row],[Candidate 3]])/(SamplingData[[#Totals],[Winning Candidate]]-SamplingData[[#Totals],[Candidate 3]]), 0)</f>
        <v>0</v>
      </c>
      <c r="S88" s="100">
        <f>IF(AND(SamplingData[[#This Row],[Total]]&lt;&gt; 0, NOT(ISBLANK(SamplingData[[#This Row],[Candidate 4]]))),(SamplingData[[#This Row],[Total]]+SamplingData[[#This Row],[Winning Candidate]]-SamplingData[[#This Row],[Candidate 4]])/(SamplingData[[#Totals],[Winning Candidate]]-SamplingData[[#Totals],[Candidate 4]]), 0)</f>
        <v>0</v>
      </c>
      <c r="T88" s="100">
        <f>IF(AND(SamplingData[[#This Row],[Total]]&lt;&gt; 0, NOT(ISBLANK(SamplingData[[#This Row],[Candidate 5]]))),(SamplingData[[#This Row],[Total]]+SamplingData[[#This Row],[Winning Candidate]]-SamplingData[[#This Row],[Candidate 5]])/(SamplingData[[#Totals],[Winning Candidate]]-SamplingData[[#Totals],[Candidate 5]]), 0)</f>
        <v>0</v>
      </c>
      <c r="U88" s="100">
        <f>IF(AND(SamplingData[[#This Row],[Total]]&lt;&gt; 0, NOT(ISBLANK(SamplingData[[#This Row],[Candidate 6]]))),(SamplingData[[#This Row],[Total]]+SamplingData[[#This Row],[Losing Candidate]]-SamplingData[[#This Row],[Candidate 6]])/(SamplingData[[#Totals],[Winning Candidate]]-SamplingData[[#Totals],[Candidate 6]]), 0)</f>
        <v>0</v>
      </c>
      <c r="V88" s="100">
        <f>IF(AND(SamplingData[[#This Row],[Total]]&lt;&gt; 0, NOT(ISBLANK(SamplingData[[#This Row],[Candidate 7]]))),(SamplingData[[#This Row],[Total]]+SamplingData[[#This Row],[Winning Candidate]]-SamplingData[[#This Row],[Candidate 7]])/(SamplingData[[#Totals],[Winning Candidate]]-SamplingData[[#Totals],[Candidate 7]]), 0)</f>
        <v>0</v>
      </c>
      <c r="W88" s="100">
        <f>IF(AND(SamplingData[[#This Row],[Total]]&lt;&gt; 0, NOT(ISBLANK(SamplingData[[#This Row],[Candidate 8]]))),(SamplingData[[#This Row],[Total]]+SamplingData[[#This Row],[Winning Candidate]]-SamplingData[[#This Row],[Candidate 8]])/(SamplingData[[#Totals],[Winning Candidate]]-SamplingData[[#Totals],[Candidate 8]]), 0)</f>
        <v>0</v>
      </c>
      <c r="X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00">
        <f>MAX(SamplingData[[#This Row],[Error Bound (up) - Max. possible relative overstatement - Losing Candidate]:[Error Bound (up) - Max. possible relative overstatement - Candidate 12]])</f>
        <v>3.7691993592361088E-4</v>
      </c>
      <c r="AC88" s="100">
        <f>IF(SamplingData[[#This Row],[Max Error Bound (up)]] = 0,0,SamplingData[[#This Row],[Max Error Bound (up)]]/SamplingData[[#Totals],[Max Error Bound (up)]])</f>
        <v>1.6152479405588763E-4</v>
      </c>
      <c r="AD88" s="104">
        <f>SUM($AC$5:AC88)</f>
        <v>1.7027405373391494E-2</v>
      </c>
      <c r="AE88" s="100" t="str" cm="1">
        <f t="array" ref="AE88">IF(SamplingData[[#This Row],[up/U Selection Probability]] = 0, "Zero", TEXT(SamplingData[[#This Row],[Lower Range]], REPT("0",LEN('General Info'!$B$42))) &amp; " - " &amp; TEXT(SamplingData[[#This Row],[Upper Range]], REPT("0",LEN('General Info'!$B$42))))</f>
        <v>01687 - 01702</v>
      </c>
      <c r="AF88" s="100">
        <f>SamplingData[[#This Row],[Upper Range]]-SamplingData[[#This Row],[Span]]</f>
        <v>1686.5880579335605</v>
      </c>
      <c r="AG88" s="100">
        <f>IF(ISNUMBER('General Info'!$B$42), ((SamplingData[[#This Row],[up/U Selection Probability]]) * 'General Info'!$B$44) - 1, 0)</f>
        <v>15.152479405588764</v>
      </c>
      <c r="AH88" s="100">
        <f>IF(ISNUMBER('General Info'!$B$42), (SamplingData[[#This Row],[Running (cumulative) sum]] * ('General Info'!$B$42 -'General Info'!$B$43 + 1)) + 'General Info'!$B$43 - 1, 0)</f>
        <v>1701.7405373391493</v>
      </c>
      <c r="AI88" s="100" t="str">
        <f>IF(ISERROR(MATCH(SamplingData[[#This Row],[Batch by Type (p)]],SelectedPrecincts[Batch Name], 0)), "", INDEX(SelectedPrecincts[Draw], MATCH(SamplingData[[#This Row],[Batch by Type (p)]],SelectedPrecincts[Batch Name], 0)))</f>
        <v/>
      </c>
      <c r="AJ88" s="101">
        <f>IF(COUNTIF(SelectedPrecincts[Batch Name],SamplingData[[#This Row],[Batch by Type (p)]]) &lt;&gt; 0, COUNTIF(SelectedPrecincts[Batch Name],SamplingData[[#This Row],[Batch by Type (p)]]), 0)</f>
        <v>0</v>
      </c>
    </row>
    <row r="89" spans="1:36" ht="15" customHeight="1" x14ac:dyDescent="0.35">
      <c r="A89" s="98" t="s">
        <v>301</v>
      </c>
      <c r="B89" s="98">
        <v>1</v>
      </c>
      <c r="C89" s="98">
        <v>0</v>
      </c>
      <c r="D89" s="93"/>
      <c r="E89" s="93"/>
      <c r="F89" s="93"/>
      <c r="G89" s="97"/>
      <c r="H89" s="97"/>
      <c r="I89" s="93"/>
      <c r="J89" s="93"/>
      <c r="K89" s="93"/>
      <c r="L89" s="93"/>
      <c r="M89" s="93"/>
      <c r="N89" s="98">
        <v>0</v>
      </c>
      <c r="O89" s="98">
        <v>0</v>
      </c>
      <c r="P89" s="99">
        <f>SUM(SamplingData[[#This Row],[Winning Candidate]:[Under Votes]])</f>
        <v>1</v>
      </c>
      <c r="Q89"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89" s="100">
        <f>IF(AND(SamplingData[[#This Row],[Total]]&lt;&gt; 0, NOT(ISBLANK(SamplingData[[#This Row],[Candidate 3]]))),(SamplingData[[#This Row],[Total]]+SamplingData[[#This Row],[Winning Candidate]]-SamplingData[[#This Row],[Candidate 3]])/(SamplingData[[#Totals],[Winning Candidate]]-SamplingData[[#Totals],[Candidate 3]]), 0)</f>
        <v>0</v>
      </c>
      <c r="S89" s="100">
        <f>IF(AND(SamplingData[[#This Row],[Total]]&lt;&gt; 0, NOT(ISBLANK(SamplingData[[#This Row],[Candidate 4]]))),(SamplingData[[#This Row],[Total]]+SamplingData[[#This Row],[Winning Candidate]]-SamplingData[[#This Row],[Candidate 4]])/(SamplingData[[#Totals],[Winning Candidate]]-SamplingData[[#Totals],[Candidate 4]]), 0)</f>
        <v>0</v>
      </c>
      <c r="T89" s="100">
        <f>IF(AND(SamplingData[[#This Row],[Total]]&lt;&gt; 0, NOT(ISBLANK(SamplingData[[#This Row],[Candidate 5]]))),(SamplingData[[#This Row],[Total]]+SamplingData[[#This Row],[Winning Candidate]]-SamplingData[[#This Row],[Candidate 5]])/(SamplingData[[#Totals],[Winning Candidate]]-SamplingData[[#Totals],[Candidate 5]]), 0)</f>
        <v>0</v>
      </c>
      <c r="U89" s="100">
        <f>IF(AND(SamplingData[[#This Row],[Total]]&lt;&gt; 0, NOT(ISBLANK(SamplingData[[#This Row],[Candidate 6]]))),(SamplingData[[#This Row],[Total]]+SamplingData[[#This Row],[Losing Candidate]]-SamplingData[[#This Row],[Candidate 6]])/(SamplingData[[#Totals],[Winning Candidate]]-SamplingData[[#Totals],[Candidate 6]]), 0)</f>
        <v>0</v>
      </c>
      <c r="V89" s="100">
        <f>IF(AND(SamplingData[[#This Row],[Total]]&lt;&gt; 0, NOT(ISBLANK(SamplingData[[#This Row],[Candidate 7]]))),(SamplingData[[#This Row],[Total]]+SamplingData[[#This Row],[Winning Candidate]]-SamplingData[[#This Row],[Candidate 7]])/(SamplingData[[#Totals],[Winning Candidate]]-SamplingData[[#Totals],[Candidate 7]]), 0)</f>
        <v>0</v>
      </c>
      <c r="W89" s="100">
        <f>IF(AND(SamplingData[[#This Row],[Total]]&lt;&gt; 0, NOT(ISBLANK(SamplingData[[#This Row],[Candidate 8]]))),(SamplingData[[#This Row],[Total]]+SamplingData[[#This Row],[Winning Candidate]]-SamplingData[[#This Row],[Candidate 8]])/(SamplingData[[#Totals],[Winning Candidate]]-SamplingData[[#Totals],[Candidate 8]]), 0)</f>
        <v>0</v>
      </c>
      <c r="X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00">
        <f>MAX(SamplingData[[#This Row],[Error Bound (up) - Max. possible relative overstatement - Losing Candidate]:[Error Bound (up) - Max. possible relative overstatement - Candidate 12]])</f>
        <v>6.2819989320601809E-5</v>
      </c>
      <c r="AC89" s="100">
        <f>IF(SamplingData[[#This Row],[Max Error Bound (up)]] = 0,0,SamplingData[[#This Row],[Max Error Bound (up)]]/SamplingData[[#Totals],[Max Error Bound (up)]])</f>
        <v>2.6920799009314603E-5</v>
      </c>
      <c r="AD89" s="104">
        <f>SUM($AC$5:AC89)</f>
        <v>1.7054326172400807E-2</v>
      </c>
      <c r="AE89" s="100" t="str" cm="1">
        <f t="array" ref="AE89">IF(SamplingData[[#This Row],[up/U Selection Probability]] = 0, "Zero", TEXT(SamplingData[[#This Row],[Lower Range]], REPT("0",LEN('General Info'!$B$42))) &amp; " - " &amp; TEXT(SamplingData[[#This Row],[Upper Range]], REPT("0",LEN('General Info'!$B$42))))</f>
        <v>01703 - 01704</v>
      </c>
      <c r="AF89" s="100">
        <f>SamplingData[[#This Row],[Upper Range]]-SamplingData[[#This Row],[Span]]</f>
        <v>1702.7405373391491</v>
      </c>
      <c r="AG89" s="100">
        <f>IF(ISNUMBER('General Info'!$B$42), ((SamplingData[[#This Row],[up/U Selection Probability]]) * 'General Info'!$B$44) - 1, 0)</f>
        <v>1.6920799009314602</v>
      </c>
      <c r="AH89" s="100">
        <f>IF(ISNUMBER('General Info'!$B$42), (SamplingData[[#This Row],[Running (cumulative) sum]] * ('General Info'!$B$42 -'General Info'!$B$43 + 1)) + 'General Info'!$B$43 - 1, 0)</f>
        <v>1704.4326172400806</v>
      </c>
      <c r="AI89" s="100" t="str">
        <f>IF(ISERROR(MATCH(SamplingData[[#This Row],[Batch by Type (p)]],SelectedPrecincts[Batch Name], 0)), "", INDEX(SelectedPrecincts[Draw], MATCH(SamplingData[[#This Row],[Batch by Type (p)]],SelectedPrecincts[Batch Name], 0)))</f>
        <v/>
      </c>
      <c r="AJ89" s="101">
        <f>IF(COUNTIF(SelectedPrecincts[Batch Name],SamplingData[[#This Row],[Batch by Type (p)]]) &lt;&gt; 0, COUNTIF(SelectedPrecincts[Batch Name],SamplingData[[#This Row],[Batch by Type (p)]]), 0)</f>
        <v>0</v>
      </c>
    </row>
    <row r="90" spans="1:36" ht="15" customHeight="1" x14ac:dyDescent="0.35">
      <c r="A90" s="98" t="s">
        <v>302</v>
      </c>
      <c r="B90" s="98">
        <v>2</v>
      </c>
      <c r="C90" s="98">
        <v>0</v>
      </c>
      <c r="D90" s="93"/>
      <c r="E90" s="93"/>
      <c r="F90" s="93"/>
      <c r="G90" s="97"/>
      <c r="H90" s="97"/>
      <c r="I90" s="93"/>
      <c r="J90" s="93"/>
      <c r="K90" s="93"/>
      <c r="L90" s="93"/>
      <c r="M90" s="93"/>
      <c r="N90" s="98">
        <v>0</v>
      </c>
      <c r="O90" s="98">
        <v>0</v>
      </c>
      <c r="P90" s="99">
        <f>SUM(SamplingData[[#This Row],[Winning Candidate]:[Under Votes]])</f>
        <v>2</v>
      </c>
      <c r="Q90"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90" s="100">
        <f>IF(AND(SamplingData[[#This Row],[Total]]&lt;&gt; 0, NOT(ISBLANK(SamplingData[[#This Row],[Candidate 3]]))),(SamplingData[[#This Row],[Total]]+SamplingData[[#This Row],[Winning Candidate]]-SamplingData[[#This Row],[Candidate 3]])/(SamplingData[[#Totals],[Winning Candidate]]-SamplingData[[#Totals],[Candidate 3]]), 0)</f>
        <v>0</v>
      </c>
      <c r="S90" s="100">
        <f>IF(AND(SamplingData[[#This Row],[Total]]&lt;&gt; 0, NOT(ISBLANK(SamplingData[[#This Row],[Candidate 4]]))),(SamplingData[[#This Row],[Total]]+SamplingData[[#This Row],[Winning Candidate]]-SamplingData[[#This Row],[Candidate 4]])/(SamplingData[[#Totals],[Winning Candidate]]-SamplingData[[#Totals],[Candidate 4]]), 0)</f>
        <v>0</v>
      </c>
      <c r="T90" s="100">
        <f>IF(AND(SamplingData[[#This Row],[Total]]&lt;&gt; 0, NOT(ISBLANK(SamplingData[[#This Row],[Candidate 5]]))),(SamplingData[[#This Row],[Total]]+SamplingData[[#This Row],[Winning Candidate]]-SamplingData[[#This Row],[Candidate 5]])/(SamplingData[[#Totals],[Winning Candidate]]-SamplingData[[#Totals],[Candidate 5]]), 0)</f>
        <v>0</v>
      </c>
      <c r="U90" s="100">
        <f>IF(AND(SamplingData[[#This Row],[Total]]&lt;&gt; 0, NOT(ISBLANK(SamplingData[[#This Row],[Candidate 6]]))),(SamplingData[[#This Row],[Total]]+SamplingData[[#This Row],[Losing Candidate]]-SamplingData[[#This Row],[Candidate 6]])/(SamplingData[[#Totals],[Winning Candidate]]-SamplingData[[#Totals],[Candidate 6]]), 0)</f>
        <v>0</v>
      </c>
      <c r="V90" s="100">
        <f>IF(AND(SamplingData[[#This Row],[Total]]&lt;&gt; 0, NOT(ISBLANK(SamplingData[[#This Row],[Candidate 7]]))),(SamplingData[[#This Row],[Total]]+SamplingData[[#This Row],[Winning Candidate]]-SamplingData[[#This Row],[Candidate 7]])/(SamplingData[[#Totals],[Winning Candidate]]-SamplingData[[#Totals],[Candidate 7]]), 0)</f>
        <v>0</v>
      </c>
      <c r="W90" s="100">
        <f>IF(AND(SamplingData[[#This Row],[Total]]&lt;&gt; 0, NOT(ISBLANK(SamplingData[[#This Row],[Candidate 8]]))),(SamplingData[[#This Row],[Total]]+SamplingData[[#This Row],[Winning Candidate]]-SamplingData[[#This Row],[Candidate 8]])/(SamplingData[[#Totals],[Winning Candidate]]-SamplingData[[#Totals],[Candidate 8]]), 0)</f>
        <v>0</v>
      </c>
      <c r="X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00">
        <f>MAX(SamplingData[[#This Row],[Error Bound (up) - Max. possible relative overstatement - Losing Candidate]:[Error Bound (up) - Max. possible relative overstatement - Candidate 12]])</f>
        <v>1.2563997864120362E-4</v>
      </c>
      <c r="AC90" s="100">
        <f>IF(SamplingData[[#This Row],[Max Error Bound (up)]] = 0,0,SamplingData[[#This Row],[Max Error Bound (up)]]/SamplingData[[#Totals],[Max Error Bound (up)]])</f>
        <v>5.3841598018629206E-5</v>
      </c>
      <c r="AD90" s="104">
        <f>SUM($AC$5:AC90)</f>
        <v>1.7108167770419437E-2</v>
      </c>
      <c r="AE90" s="100" t="str" cm="1">
        <f t="array" ref="AE90">IF(SamplingData[[#This Row],[up/U Selection Probability]] = 0, "Zero", TEXT(SamplingData[[#This Row],[Lower Range]], REPT("0",LEN('General Info'!$B$42))) &amp; " - " &amp; TEXT(SamplingData[[#This Row],[Upper Range]], REPT("0",LEN('General Info'!$B$42))))</f>
        <v>01705 - 01710</v>
      </c>
      <c r="AF90" s="100">
        <f>SamplingData[[#This Row],[Upper Range]]-SamplingData[[#This Row],[Span]]</f>
        <v>1705.4326172400806</v>
      </c>
      <c r="AG90" s="100">
        <f>IF(ISNUMBER('General Info'!$B$42), ((SamplingData[[#This Row],[up/U Selection Probability]]) * 'General Info'!$B$44) - 1, 0)</f>
        <v>4.3841598018629204</v>
      </c>
      <c r="AH90" s="100">
        <f>IF(ISNUMBER('General Info'!$B$42), (SamplingData[[#This Row],[Running (cumulative) sum]] * ('General Info'!$B$42 -'General Info'!$B$43 + 1)) + 'General Info'!$B$43 - 1, 0)</f>
        <v>1709.8167770419436</v>
      </c>
      <c r="AI90" s="100" t="str">
        <f>IF(ISERROR(MATCH(SamplingData[[#This Row],[Batch by Type (p)]],SelectedPrecincts[Batch Name], 0)), "", INDEX(SelectedPrecincts[Draw], MATCH(SamplingData[[#This Row],[Batch by Type (p)]],SelectedPrecincts[Batch Name], 0)))</f>
        <v/>
      </c>
      <c r="AJ90" s="101">
        <f>IF(COUNTIF(SelectedPrecincts[Batch Name],SamplingData[[#This Row],[Batch by Type (p)]]) &lt;&gt; 0, COUNTIF(SelectedPrecincts[Batch Name],SamplingData[[#This Row],[Batch by Type (p)]]), 0)</f>
        <v>0</v>
      </c>
    </row>
    <row r="91" spans="1:36" ht="15" customHeight="1" x14ac:dyDescent="0.35">
      <c r="A91" s="98" t="s">
        <v>303</v>
      </c>
      <c r="B91" s="98">
        <v>3</v>
      </c>
      <c r="C91" s="98">
        <v>0</v>
      </c>
      <c r="D91" s="93"/>
      <c r="E91" s="93"/>
      <c r="F91" s="93"/>
      <c r="G91" s="97"/>
      <c r="H91" s="97"/>
      <c r="I91" s="93"/>
      <c r="J91" s="93"/>
      <c r="K91" s="93"/>
      <c r="L91" s="93"/>
      <c r="M91" s="93"/>
      <c r="N91" s="98">
        <v>0</v>
      </c>
      <c r="O91" s="98">
        <v>0</v>
      </c>
      <c r="P91" s="99">
        <f>SUM(SamplingData[[#This Row],[Winning Candidate]:[Under Votes]])</f>
        <v>3</v>
      </c>
      <c r="Q91"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91" s="100">
        <f>IF(AND(SamplingData[[#This Row],[Total]]&lt;&gt; 0, NOT(ISBLANK(SamplingData[[#This Row],[Candidate 3]]))),(SamplingData[[#This Row],[Total]]+SamplingData[[#This Row],[Winning Candidate]]-SamplingData[[#This Row],[Candidate 3]])/(SamplingData[[#Totals],[Winning Candidate]]-SamplingData[[#Totals],[Candidate 3]]), 0)</f>
        <v>0</v>
      </c>
      <c r="S91" s="100">
        <f>IF(AND(SamplingData[[#This Row],[Total]]&lt;&gt; 0, NOT(ISBLANK(SamplingData[[#This Row],[Candidate 4]]))),(SamplingData[[#This Row],[Total]]+SamplingData[[#This Row],[Winning Candidate]]-SamplingData[[#This Row],[Candidate 4]])/(SamplingData[[#Totals],[Winning Candidate]]-SamplingData[[#Totals],[Candidate 4]]), 0)</f>
        <v>0</v>
      </c>
      <c r="T91" s="100">
        <f>IF(AND(SamplingData[[#This Row],[Total]]&lt;&gt; 0, NOT(ISBLANK(SamplingData[[#This Row],[Candidate 5]]))),(SamplingData[[#This Row],[Total]]+SamplingData[[#This Row],[Winning Candidate]]-SamplingData[[#This Row],[Candidate 5]])/(SamplingData[[#Totals],[Winning Candidate]]-SamplingData[[#Totals],[Candidate 5]]), 0)</f>
        <v>0</v>
      </c>
      <c r="U91" s="100">
        <f>IF(AND(SamplingData[[#This Row],[Total]]&lt;&gt; 0, NOT(ISBLANK(SamplingData[[#This Row],[Candidate 6]]))),(SamplingData[[#This Row],[Total]]+SamplingData[[#This Row],[Losing Candidate]]-SamplingData[[#This Row],[Candidate 6]])/(SamplingData[[#Totals],[Winning Candidate]]-SamplingData[[#Totals],[Candidate 6]]), 0)</f>
        <v>0</v>
      </c>
      <c r="V91" s="100">
        <f>IF(AND(SamplingData[[#This Row],[Total]]&lt;&gt; 0, NOT(ISBLANK(SamplingData[[#This Row],[Candidate 7]]))),(SamplingData[[#This Row],[Total]]+SamplingData[[#This Row],[Winning Candidate]]-SamplingData[[#This Row],[Candidate 7]])/(SamplingData[[#Totals],[Winning Candidate]]-SamplingData[[#Totals],[Candidate 7]]), 0)</f>
        <v>0</v>
      </c>
      <c r="W91" s="100">
        <f>IF(AND(SamplingData[[#This Row],[Total]]&lt;&gt; 0, NOT(ISBLANK(SamplingData[[#This Row],[Candidate 8]]))),(SamplingData[[#This Row],[Total]]+SamplingData[[#This Row],[Winning Candidate]]-SamplingData[[#This Row],[Candidate 8]])/(SamplingData[[#Totals],[Winning Candidate]]-SamplingData[[#Totals],[Candidate 8]]), 0)</f>
        <v>0</v>
      </c>
      <c r="X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00">
        <f>MAX(SamplingData[[#This Row],[Error Bound (up) - Max. possible relative overstatement - Losing Candidate]:[Error Bound (up) - Max. possible relative overstatement - Candidate 12]])</f>
        <v>1.8845996796180544E-4</v>
      </c>
      <c r="AC91" s="100">
        <f>IF(SamplingData[[#This Row],[Max Error Bound (up)]] = 0,0,SamplingData[[#This Row],[Max Error Bound (up)]]/SamplingData[[#Totals],[Max Error Bound (up)]])</f>
        <v>8.0762397027943816E-5</v>
      </c>
      <c r="AD91" s="104">
        <f>SUM($AC$5:AC91)</f>
        <v>1.718893016744738E-2</v>
      </c>
      <c r="AE91" s="100" t="str" cm="1">
        <f t="array" ref="AE91">IF(SamplingData[[#This Row],[up/U Selection Probability]] = 0, "Zero", TEXT(SamplingData[[#This Row],[Lower Range]], REPT("0",LEN('General Info'!$B$42))) &amp; " - " &amp; TEXT(SamplingData[[#This Row],[Upper Range]], REPT("0",LEN('General Info'!$B$42))))</f>
        <v>01711 - 01718</v>
      </c>
      <c r="AF91" s="100">
        <f>SamplingData[[#This Row],[Upper Range]]-SamplingData[[#This Row],[Span]]</f>
        <v>1710.8167770419439</v>
      </c>
      <c r="AG91" s="100">
        <f>IF(ISNUMBER('General Info'!$B$42), ((SamplingData[[#This Row],[up/U Selection Probability]]) * 'General Info'!$B$44) - 1, 0)</f>
        <v>7.076239702794382</v>
      </c>
      <c r="AH91" s="100">
        <f>IF(ISNUMBER('General Info'!$B$42), (SamplingData[[#This Row],[Running (cumulative) sum]] * ('General Info'!$B$42 -'General Info'!$B$43 + 1)) + 'General Info'!$B$43 - 1, 0)</f>
        <v>1717.8930167447381</v>
      </c>
      <c r="AI91" s="100" t="str">
        <f>IF(ISERROR(MATCH(SamplingData[[#This Row],[Batch by Type (p)]],SelectedPrecincts[Batch Name], 0)), "", INDEX(SelectedPrecincts[Draw], MATCH(SamplingData[[#This Row],[Batch by Type (p)]],SelectedPrecincts[Batch Name], 0)))</f>
        <v/>
      </c>
      <c r="AJ91" s="101">
        <f>IF(COUNTIF(SelectedPrecincts[Batch Name],SamplingData[[#This Row],[Batch by Type (p)]]) &lt;&gt; 0, COUNTIF(SelectedPrecincts[Batch Name],SamplingData[[#This Row],[Batch by Type (p)]]), 0)</f>
        <v>0</v>
      </c>
    </row>
    <row r="92" spans="1:36" ht="15" customHeight="1" x14ac:dyDescent="0.35">
      <c r="A92" s="98" t="s">
        <v>304</v>
      </c>
      <c r="B92" s="98">
        <v>3</v>
      </c>
      <c r="C92" s="98">
        <v>0</v>
      </c>
      <c r="D92" s="93"/>
      <c r="E92" s="93"/>
      <c r="F92" s="93"/>
      <c r="G92" s="97"/>
      <c r="H92" s="97"/>
      <c r="I92" s="93"/>
      <c r="J92" s="93"/>
      <c r="K92" s="93"/>
      <c r="L92" s="93"/>
      <c r="M92" s="93"/>
      <c r="N92" s="98">
        <v>0</v>
      </c>
      <c r="O92" s="98">
        <v>0</v>
      </c>
      <c r="P92" s="99">
        <f>SUM(SamplingData[[#This Row],[Winning Candidate]:[Under Votes]])</f>
        <v>3</v>
      </c>
      <c r="Q92"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92" s="100">
        <f>IF(AND(SamplingData[[#This Row],[Total]]&lt;&gt; 0, NOT(ISBLANK(SamplingData[[#This Row],[Candidate 3]]))),(SamplingData[[#This Row],[Total]]+SamplingData[[#This Row],[Winning Candidate]]-SamplingData[[#This Row],[Candidate 3]])/(SamplingData[[#Totals],[Winning Candidate]]-SamplingData[[#Totals],[Candidate 3]]), 0)</f>
        <v>0</v>
      </c>
      <c r="S92" s="100">
        <f>IF(AND(SamplingData[[#This Row],[Total]]&lt;&gt; 0, NOT(ISBLANK(SamplingData[[#This Row],[Candidate 4]]))),(SamplingData[[#This Row],[Total]]+SamplingData[[#This Row],[Winning Candidate]]-SamplingData[[#This Row],[Candidate 4]])/(SamplingData[[#Totals],[Winning Candidate]]-SamplingData[[#Totals],[Candidate 4]]), 0)</f>
        <v>0</v>
      </c>
      <c r="T92" s="100">
        <f>IF(AND(SamplingData[[#This Row],[Total]]&lt;&gt; 0, NOT(ISBLANK(SamplingData[[#This Row],[Candidate 5]]))),(SamplingData[[#This Row],[Total]]+SamplingData[[#This Row],[Winning Candidate]]-SamplingData[[#This Row],[Candidate 5]])/(SamplingData[[#Totals],[Winning Candidate]]-SamplingData[[#Totals],[Candidate 5]]), 0)</f>
        <v>0</v>
      </c>
      <c r="U92" s="100">
        <f>IF(AND(SamplingData[[#This Row],[Total]]&lt;&gt; 0, NOT(ISBLANK(SamplingData[[#This Row],[Candidate 6]]))),(SamplingData[[#This Row],[Total]]+SamplingData[[#This Row],[Losing Candidate]]-SamplingData[[#This Row],[Candidate 6]])/(SamplingData[[#Totals],[Winning Candidate]]-SamplingData[[#Totals],[Candidate 6]]), 0)</f>
        <v>0</v>
      </c>
      <c r="V92" s="100">
        <f>IF(AND(SamplingData[[#This Row],[Total]]&lt;&gt; 0, NOT(ISBLANK(SamplingData[[#This Row],[Candidate 7]]))),(SamplingData[[#This Row],[Total]]+SamplingData[[#This Row],[Winning Candidate]]-SamplingData[[#This Row],[Candidate 7]])/(SamplingData[[#Totals],[Winning Candidate]]-SamplingData[[#Totals],[Candidate 7]]), 0)</f>
        <v>0</v>
      </c>
      <c r="W92" s="100">
        <f>IF(AND(SamplingData[[#This Row],[Total]]&lt;&gt; 0, NOT(ISBLANK(SamplingData[[#This Row],[Candidate 8]]))),(SamplingData[[#This Row],[Total]]+SamplingData[[#This Row],[Winning Candidate]]-SamplingData[[#This Row],[Candidate 8]])/(SamplingData[[#Totals],[Winning Candidate]]-SamplingData[[#Totals],[Candidate 8]]), 0)</f>
        <v>0</v>
      </c>
      <c r="X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00">
        <f>MAX(SamplingData[[#This Row],[Error Bound (up) - Max. possible relative overstatement - Losing Candidate]:[Error Bound (up) - Max. possible relative overstatement - Candidate 12]])</f>
        <v>1.8845996796180544E-4</v>
      </c>
      <c r="AC92" s="100">
        <f>IF(SamplingData[[#This Row],[Max Error Bound (up)]] = 0,0,SamplingData[[#This Row],[Max Error Bound (up)]]/SamplingData[[#Totals],[Max Error Bound (up)]])</f>
        <v>8.0762397027943816E-5</v>
      </c>
      <c r="AD92" s="104">
        <f>SUM($AC$5:AC92)</f>
        <v>1.7269692564475324E-2</v>
      </c>
      <c r="AE92" s="100" t="str" cm="1">
        <f t="array" ref="AE92">IF(SamplingData[[#This Row],[up/U Selection Probability]] = 0, "Zero", TEXT(SamplingData[[#This Row],[Lower Range]], REPT("0",LEN('General Info'!$B$42))) &amp; " - " &amp; TEXT(SamplingData[[#This Row],[Upper Range]], REPT("0",LEN('General Info'!$B$42))))</f>
        <v>01719 - 01726</v>
      </c>
      <c r="AF92" s="100">
        <f>SamplingData[[#This Row],[Upper Range]]-SamplingData[[#This Row],[Span]]</f>
        <v>1718.8930167447381</v>
      </c>
      <c r="AG92" s="100">
        <f>IF(ISNUMBER('General Info'!$B$42), ((SamplingData[[#This Row],[up/U Selection Probability]]) * 'General Info'!$B$44) - 1, 0)</f>
        <v>7.076239702794382</v>
      </c>
      <c r="AH92" s="100">
        <f>IF(ISNUMBER('General Info'!$B$42), (SamplingData[[#This Row],[Running (cumulative) sum]] * ('General Info'!$B$42 -'General Info'!$B$43 + 1)) + 'General Info'!$B$43 - 1, 0)</f>
        <v>1725.9692564475324</v>
      </c>
      <c r="AI92" s="100" t="str">
        <f>IF(ISERROR(MATCH(SamplingData[[#This Row],[Batch by Type (p)]],SelectedPrecincts[Batch Name], 0)), "", INDEX(SelectedPrecincts[Draw], MATCH(SamplingData[[#This Row],[Batch by Type (p)]],SelectedPrecincts[Batch Name], 0)))</f>
        <v/>
      </c>
      <c r="AJ92" s="101">
        <f>IF(COUNTIF(SelectedPrecincts[Batch Name],SamplingData[[#This Row],[Batch by Type (p)]]) &lt;&gt; 0, COUNTIF(SelectedPrecincts[Batch Name],SamplingData[[#This Row],[Batch by Type (p)]]), 0)</f>
        <v>0</v>
      </c>
    </row>
    <row r="93" spans="1:36" ht="15" customHeight="1" x14ac:dyDescent="0.35">
      <c r="A93" s="98" t="s">
        <v>305</v>
      </c>
      <c r="B93" s="98">
        <v>0</v>
      </c>
      <c r="C93" s="98">
        <v>0</v>
      </c>
      <c r="D93" s="93"/>
      <c r="E93" s="93"/>
      <c r="F93" s="93"/>
      <c r="G93" s="97"/>
      <c r="H93" s="97"/>
      <c r="I93" s="93"/>
      <c r="J93" s="93"/>
      <c r="K93" s="93"/>
      <c r="L93" s="93"/>
      <c r="M93" s="93"/>
      <c r="N93" s="98">
        <v>0</v>
      </c>
      <c r="O93" s="98">
        <v>0</v>
      </c>
      <c r="P93" s="99">
        <f>SUM(SamplingData[[#This Row],[Winning Candidate]:[Under Votes]])</f>
        <v>0</v>
      </c>
      <c r="Q93" s="100">
        <f>IF(AND(SamplingData[[#This Row],[Total]]&lt;&gt; 0, NOT(ISBLANK(SamplingData[[#This Row],[Losing Candidate]]))),(SamplingData[[#This Row],[Total]]+SamplingData[[#This Row],[Winning Candidate]]-SamplingData[[#This Row],[Losing Candidate]])/(SamplingData[[#Totals],[Winning Candidate]]-SamplingData[[#Totals],[Losing Candidate]]), 0)</f>
        <v>0</v>
      </c>
      <c r="R93" s="100">
        <f>IF(AND(SamplingData[[#This Row],[Total]]&lt;&gt; 0, NOT(ISBLANK(SamplingData[[#This Row],[Candidate 3]]))),(SamplingData[[#This Row],[Total]]+SamplingData[[#This Row],[Winning Candidate]]-SamplingData[[#This Row],[Candidate 3]])/(SamplingData[[#Totals],[Winning Candidate]]-SamplingData[[#Totals],[Candidate 3]]), 0)</f>
        <v>0</v>
      </c>
      <c r="S93" s="100">
        <f>IF(AND(SamplingData[[#This Row],[Total]]&lt;&gt; 0, NOT(ISBLANK(SamplingData[[#This Row],[Candidate 4]]))),(SamplingData[[#This Row],[Total]]+SamplingData[[#This Row],[Winning Candidate]]-SamplingData[[#This Row],[Candidate 4]])/(SamplingData[[#Totals],[Winning Candidate]]-SamplingData[[#Totals],[Candidate 4]]), 0)</f>
        <v>0</v>
      </c>
      <c r="T93" s="100">
        <f>IF(AND(SamplingData[[#This Row],[Total]]&lt;&gt; 0, NOT(ISBLANK(SamplingData[[#This Row],[Candidate 5]]))),(SamplingData[[#This Row],[Total]]+SamplingData[[#This Row],[Winning Candidate]]-SamplingData[[#This Row],[Candidate 5]])/(SamplingData[[#Totals],[Winning Candidate]]-SamplingData[[#Totals],[Candidate 5]]), 0)</f>
        <v>0</v>
      </c>
      <c r="U93" s="100">
        <f>IF(AND(SamplingData[[#This Row],[Total]]&lt;&gt; 0, NOT(ISBLANK(SamplingData[[#This Row],[Candidate 6]]))),(SamplingData[[#This Row],[Total]]+SamplingData[[#This Row],[Losing Candidate]]-SamplingData[[#This Row],[Candidate 6]])/(SamplingData[[#Totals],[Winning Candidate]]-SamplingData[[#Totals],[Candidate 6]]), 0)</f>
        <v>0</v>
      </c>
      <c r="V93" s="100">
        <f>IF(AND(SamplingData[[#This Row],[Total]]&lt;&gt; 0, NOT(ISBLANK(SamplingData[[#This Row],[Candidate 7]]))),(SamplingData[[#This Row],[Total]]+SamplingData[[#This Row],[Winning Candidate]]-SamplingData[[#This Row],[Candidate 7]])/(SamplingData[[#Totals],[Winning Candidate]]-SamplingData[[#Totals],[Candidate 7]]), 0)</f>
        <v>0</v>
      </c>
      <c r="W93" s="100">
        <f>IF(AND(SamplingData[[#This Row],[Total]]&lt;&gt; 0, NOT(ISBLANK(SamplingData[[#This Row],[Candidate 8]]))),(SamplingData[[#This Row],[Total]]+SamplingData[[#This Row],[Winning Candidate]]-SamplingData[[#This Row],[Candidate 8]])/(SamplingData[[#Totals],[Winning Candidate]]-SamplingData[[#Totals],[Candidate 8]]), 0)</f>
        <v>0</v>
      </c>
      <c r="X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00">
        <f>MAX(SamplingData[[#This Row],[Error Bound (up) - Max. possible relative overstatement - Losing Candidate]:[Error Bound (up) - Max. possible relative overstatement - Candidate 12]])</f>
        <v>0</v>
      </c>
      <c r="AC93" s="100">
        <f>IF(SamplingData[[#This Row],[Max Error Bound (up)]] = 0,0,SamplingData[[#This Row],[Max Error Bound (up)]]/SamplingData[[#Totals],[Max Error Bound (up)]])</f>
        <v>0</v>
      </c>
      <c r="AD93" s="104">
        <f>SUM($AC$5:AC93)</f>
        <v>1.7269692564475324E-2</v>
      </c>
      <c r="AE93" s="100" t="str" cm="1">
        <f t="array" ref="AE93">IF(SamplingData[[#This Row],[up/U Selection Probability]] = 0, "Zero", TEXT(SamplingData[[#This Row],[Lower Range]], REPT("0",LEN('General Info'!$B$42))) &amp; " - " &amp; TEXT(SamplingData[[#This Row],[Upper Range]], REPT("0",LEN('General Info'!$B$42))))</f>
        <v>Zero</v>
      </c>
      <c r="AF93" s="100">
        <f>SamplingData[[#This Row],[Upper Range]]-SamplingData[[#This Row],[Span]]</f>
        <v>1726.9692564475324</v>
      </c>
      <c r="AG93" s="100">
        <f>IF(ISNUMBER('General Info'!$B$42), ((SamplingData[[#This Row],[up/U Selection Probability]]) * 'General Info'!$B$44) - 1, 0)</f>
        <v>-1</v>
      </c>
      <c r="AH93" s="100">
        <f>IF(ISNUMBER('General Info'!$B$42), (SamplingData[[#This Row],[Running (cumulative) sum]] * ('General Info'!$B$42 -'General Info'!$B$43 + 1)) + 'General Info'!$B$43 - 1, 0)</f>
        <v>1725.9692564475324</v>
      </c>
      <c r="AI93" s="100" t="str">
        <f>IF(ISERROR(MATCH(SamplingData[[#This Row],[Batch by Type (p)]],SelectedPrecincts[Batch Name], 0)), "", INDEX(SelectedPrecincts[Draw], MATCH(SamplingData[[#This Row],[Batch by Type (p)]],SelectedPrecincts[Batch Name], 0)))</f>
        <v/>
      </c>
      <c r="AJ93" s="101">
        <f>IF(COUNTIF(SelectedPrecincts[Batch Name],SamplingData[[#This Row],[Batch by Type (p)]]) &lt;&gt; 0, COUNTIF(SelectedPrecincts[Batch Name],SamplingData[[#This Row],[Batch by Type (p)]]), 0)</f>
        <v>0</v>
      </c>
    </row>
    <row r="94" spans="1:36" ht="15" customHeight="1" x14ac:dyDescent="0.35">
      <c r="A94" s="98" t="s">
        <v>306</v>
      </c>
      <c r="B94" s="98">
        <v>0</v>
      </c>
      <c r="C94" s="98">
        <v>0</v>
      </c>
      <c r="D94" s="93"/>
      <c r="E94" s="93"/>
      <c r="F94" s="93"/>
      <c r="G94" s="97"/>
      <c r="H94" s="97"/>
      <c r="I94" s="93"/>
      <c r="J94" s="93"/>
      <c r="K94" s="93"/>
      <c r="L94" s="93"/>
      <c r="M94" s="93"/>
      <c r="N94" s="98">
        <v>0</v>
      </c>
      <c r="O94" s="98">
        <v>0</v>
      </c>
      <c r="P94" s="99">
        <f>SUM(SamplingData[[#This Row],[Winning Candidate]:[Under Votes]])</f>
        <v>0</v>
      </c>
      <c r="Q94" s="100">
        <f>IF(AND(SamplingData[[#This Row],[Total]]&lt;&gt; 0, NOT(ISBLANK(SamplingData[[#This Row],[Losing Candidate]]))),(SamplingData[[#This Row],[Total]]+SamplingData[[#This Row],[Winning Candidate]]-SamplingData[[#This Row],[Losing Candidate]])/(SamplingData[[#Totals],[Winning Candidate]]-SamplingData[[#Totals],[Losing Candidate]]), 0)</f>
        <v>0</v>
      </c>
      <c r="R94" s="100">
        <f>IF(AND(SamplingData[[#This Row],[Total]]&lt;&gt; 0, NOT(ISBLANK(SamplingData[[#This Row],[Candidate 3]]))),(SamplingData[[#This Row],[Total]]+SamplingData[[#This Row],[Winning Candidate]]-SamplingData[[#This Row],[Candidate 3]])/(SamplingData[[#Totals],[Winning Candidate]]-SamplingData[[#Totals],[Candidate 3]]), 0)</f>
        <v>0</v>
      </c>
      <c r="S94" s="100">
        <f>IF(AND(SamplingData[[#This Row],[Total]]&lt;&gt; 0, NOT(ISBLANK(SamplingData[[#This Row],[Candidate 4]]))),(SamplingData[[#This Row],[Total]]+SamplingData[[#This Row],[Winning Candidate]]-SamplingData[[#This Row],[Candidate 4]])/(SamplingData[[#Totals],[Winning Candidate]]-SamplingData[[#Totals],[Candidate 4]]), 0)</f>
        <v>0</v>
      </c>
      <c r="T94" s="100">
        <f>IF(AND(SamplingData[[#This Row],[Total]]&lt;&gt; 0, NOT(ISBLANK(SamplingData[[#This Row],[Candidate 5]]))),(SamplingData[[#This Row],[Total]]+SamplingData[[#This Row],[Winning Candidate]]-SamplingData[[#This Row],[Candidate 5]])/(SamplingData[[#Totals],[Winning Candidate]]-SamplingData[[#Totals],[Candidate 5]]), 0)</f>
        <v>0</v>
      </c>
      <c r="U94" s="100">
        <f>IF(AND(SamplingData[[#This Row],[Total]]&lt;&gt; 0, NOT(ISBLANK(SamplingData[[#This Row],[Candidate 6]]))),(SamplingData[[#This Row],[Total]]+SamplingData[[#This Row],[Losing Candidate]]-SamplingData[[#This Row],[Candidate 6]])/(SamplingData[[#Totals],[Winning Candidate]]-SamplingData[[#Totals],[Candidate 6]]), 0)</f>
        <v>0</v>
      </c>
      <c r="V94" s="100">
        <f>IF(AND(SamplingData[[#This Row],[Total]]&lt;&gt; 0, NOT(ISBLANK(SamplingData[[#This Row],[Candidate 7]]))),(SamplingData[[#This Row],[Total]]+SamplingData[[#This Row],[Winning Candidate]]-SamplingData[[#This Row],[Candidate 7]])/(SamplingData[[#Totals],[Winning Candidate]]-SamplingData[[#Totals],[Candidate 7]]), 0)</f>
        <v>0</v>
      </c>
      <c r="W94" s="100">
        <f>IF(AND(SamplingData[[#This Row],[Total]]&lt;&gt; 0, NOT(ISBLANK(SamplingData[[#This Row],[Candidate 8]]))),(SamplingData[[#This Row],[Total]]+SamplingData[[#This Row],[Winning Candidate]]-SamplingData[[#This Row],[Candidate 8]])/(SamplingData[[#Totals],[Winning Candidate]]-SamplingData[[#Totals],[Candidate 8]]), 0)</f>
        <v>0</v>
      </c>
      <c r="X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00">
        <f>MAX(SamplingData[[#This Row],[Error Bound (up) - Max. possible relative overstatement - Losing Candidate]:[Error Bound (up) - Max. possible relative overstatement - Candidate 12]])</f>
        <v>0</v>
      </c>
      <c r="AC94" s="100">
        <f>IF(SamplingData[[#This Row],[Max Error Bound (up)]] = 0,0,SamplingData[[#This Row],[Max Error Bound (up)]]/SamplingData[[#Totals],[Max Error Bound (up)]])</f>
        <v>0</v>
      </c>
      <c r="AD94" s="104">
        <f>SUM($AC$5:AC94)</f>
        <v>1.7269692564475324E-2</v>
      </c>
      <c r="AE94" s="100" t="str" cm="1">
        <f t="array" ref="AE94">IF(SamplingData[[#This Row],[up/U Selection Probability]] = 0, "Zero", TEXT(SamplingData[[#This Row],[Lower Range]], REPT("0",LEN('General Info'!$B$42))) &amp; " - " &amp; TEXT(SamplingData[[#This Row],[Upper Range]], REPT("0",LEN('General Info'!$B$42))))</f>
        <v>Zero</v>
      </c>
      <c r="AF94" s="100">
        <f>SamplingData[[#This Row],[Upper Range]]-SamplingData[[#This Row],[Span]]</f>
        <v>1726.9692564475324</v>
      </c>
      <c r="AG94" s="100">
        <f>IF(ISNUMBER('General Info'!$B$42), ((SamplingData[[#This Row],[up/U Selection Probability]]) * 'General Info'!$B$44) - 1, 0)</f>
        <v>-1</v>
      </c>
      <c r="AH94" s="100">
        <f>IF(ISNUMBER('General Info'!$B$42), (SamplingData[[#This Row],[Running (cumulative) sum]] * ('General Info'!$B$42 -'General Info'!$B$43 + 1)) + 'General Info'!$B$43 - 1, 0)</f>
        <v>1725.9692564475324</v>
      </c>
      <c r="AI94" s="100" t="str">
        <f>IF(ISERROR(MATCH(SamplingData[[#This Row],[Batch by Type (p)]],SelectedPrecincts[Batch Name], 0)), "", INDEX(SelectedPrecincts[Draw], MATCH(SamplingData[[#This Row],[Batch by Type (p)]],SelectedPrecincts[Batch Name], 0)))</f>
        <v/>
      </c>
      <c r="AJ94" s="101">
        <f>IF(COUNTIF(SelectedPrecincts[Batch Name],SamplingData[[#This Row],[Batch by Type (p)]]) &lt;&gt; 0, COUNTIF(SelectedPrecincts[Batch Name],SamplingData[[#This Row],[Batch by Type (p)]]), 0)</f>
        <v>0</v>
      </c>
    </row>
    <row r="95" spans="1:36" ht="15" customHeight="1" x14ac:dyDescent="0.35">
      <c r="A95" s="98" t="s">
        <v>307</v>
      </c>
      <c r="B95" s="98">
        <v>7</v>
      </c>
      <c r="C95" s="98">
        <v>2</v>
      </c>
      <c r="D95" s="93"/>
      <c r="E95" s="93"/>
      <c r="F95" s="93"/>
      <c r="G95" s="97"/>
      <c r="H95" s="97"/>
      <c r="I95" s="93"/>
      <c r="J95" s="93"/>
      <c r="K95" s="93"/>
      <c r="L95" s="93"/>
      <c r="M95" s="93"/>
      <c r="N95" s="98">
        <v>0</v>
      </c>
      <c r="O95" s="98">
        <v>1</v>
      </c>
      <c r="P95" s="99">
        <f>SUM(SamplingData[[#This Row],[Winning Candidate]:[Under Votes]])</f>
        <v>10</v>
      </c>
      <c r="Q95"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95" s="100">
        <f>IF(AND(SamplingData[[#This Row],[Total]]&lt;&gt; 0, NOT(ISBLANK(SamplingData[[#This Row],[Candidate 3]]))),(SamplingData[[#This Row],[Total]]+SamplingData[[#This Row],[Winning Candidate]]-SamplingData[[#This Row],[Candidate 3]])/(SamplingData[[#Totals],[Winning Candidate]]-SamplingData[[#Totals],[Candidate 3]]), 0)</f>
        <v>0</v>
      </c>
      <c r="S95" s="100">
        <f>IF(AND(SamplingData[[#This Row],[Total]]&lt;&gt; 0, NOT(ISBLANK(SamplingData[[#This Row],[Candidate 4]]))),(SamplingData[[#This Row],[Total]]+SamplingData[[#This Row],[Winning Candidate]]-SamplingData[[#This Row],[Candidate 4]])/(SamplingData[[#Totals],[Winning Candidate]]-SamplingData[[#Totals],[Candidate 4]]), 0)</f>
        <v>0</v>
      </c>
      <c r="T95" s="100">
        <f>IF(AND(SamplingData[[#This Row],[Total]]&lt;&gt; 0, NOT(ISBLANK(SamplingData[[#This Row],[Candidate 5]]))),(SamplingData[[#This Row],[Total]]+SamplingData[[#This Row],[Winning Candidate]]-SamplingData[[#This Row],[Candidate 5]])/(SamplingData[[#Totals],[Winning Candidate]]-SamplingData[[#Totals],[Candidate 5]]), 0)</f>
        <v>0</v>
      </c>
      <c r="U95" s="100">
        <f>IF(AND(SamplingData[[#This Row],[Total]]&lt;&gt; 0, NOT(ISBLANK(SamplingData[[#This Row],[Candidate 6]]))),(SamplingData[[#This Row],[Total]]+SamplingData[[#This Row],[Losing Candidate]]-SamplingData[[#This Row],[Candidate 6]])/(SamplingData[[#Totals],[Winning Candidate]]-SamplingData[[#Totals],[Candidate 6]]), 0)</f>
        <v>0</v>
      </c>
      <c r="V95" s="100">
        <f>IF(AND(SamplingData[[#This Row],[Total]]&lt;&gt; 0, NOT(ISBLANK(SamplingData[[#This Row],[Candidate 7]]))),(SamplingData[[#This Row],[Total]]+SamplingData[[#This Row],[Winning Candidate]]-SamplingData[[#This Row],[Candidate 7]])/(SamplingData[[#Totals],[Winning Candidate]]-SamplingData[[#Totals],[Candidate 7]]), 0)</f>
        <v>0</v>
      </c>
      <c r="W95" s="100">
        <f>IF(AND(SamplingData[[#This Row],[Total]]&lt;&gt; 0, NOT(ISBLANK(SamplingData[[#This Row],[Candidate 8]]))),(SamplingData[[#This Row],[Total]]+SamplingData[[#This Row],[Winning Candidate]]-SamplingData[[#This Row],[Candidate 8]])/(SamplingData[[#Totals],[Winning Candidate]]-SamplingData[[#Totals],[Candidate 8]]), 0)</f>
        <v>0</v>
      </c>
      <c r="X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00">
        <f>MAX(SamplingData[[#This Row],[Error Bound (up) - Max. possible relative overstatement - Losing Candidate]:[Error Bound (up) - Max. possible relative overstatement - Candidate 12]])</f>
        <v>4.7114991990451359E-4</v>
      </c>
      <c r="AC95" s="100">
        <f>IF(SamplingData[[#This Row],[Max Error Bound (up)]] = 0,0,SamplingData[[#This Row],[Max Error Bound (up)]]/SamplingData[[#Totals],[Max Error Bound (up)]])</f>
        <v>2.0190599256985953E-4</v>
      </c>
      <c r="AD95" s="104">
        <f>SUM($AC$5:AC95)</f>
        <v>1.7471598557045182E-2</v>
      </c>
      <c r="AE95" s="100" t="str" cm="1">
        <f t="array" ref="AE95">IF(SamplingData[[#This Row],[up/U Selection Probability]] = 0, "Zero", TEXT(SamplingData[[#This Row],[Lower Range]], REPT("0",LEN('General Info'!$B$42))) &amp; " - " &amp; TEXT(SamplingData[[#This Row],[Upper Range]], REPT("0",LEN('General Info'!$B$42))))</f>
        <v>01727 - 01746</v>
      </c>
      <c r="AF95" s="100">
        <f>SamplingData[[#This Row],[Upper Range]]-SamplingData[[#This Row],[Span]]</f>
        <v>1726.9692564475322</v>
      </c>
      <c r="AG95" s="100">
        <f>IF(ISNUMBER('General Info'!$B$42), ((SamplingData[[#This Row],[up/U Selection Probability]]) * 'General Info'!$B$44) - 1, 0)</f>
        <v>19.190599256985951</v>
      </c>
      <c r="AH95" s="100">
        <f>IF(ISNUMBER('General Info'!$B$42), (SamplingData[[#This Row],[Running (cumulative) sum]] * ('General Info'!$B$42 -'General Info'!$B$43 + 1)) + 'General Info'!$B$43 - 1, 0)</f>
        <v>1746.1598557045181</v>
      </c>
      <c r="AI95" s="100" t="str">
        <f>IF(ISERROR(MATCH(SamplingData[[#This Row],[Batch by Type (p)]],SelectedPrecincts[Batch Name], 0)), "", INDEX(SelectedPrecincts[Draw], MATCH(SamplingData[[#This Row],[Batch by Type (p)]],SelectedPrecincts[Batch Name], 0)))</f>
        <v/>
      </c>
      <c r="AJ95" s="101">
        <f>IF(COUNTIF(SelectedPrecincts[Batch Name],SamplingData[[#This Row],[Batch by Type (p)]]) &lt;&gt; 0, COUNTIF(SelectedPrecincts[Batch Name],SamplingData[[#This Row],[Batch by Type (p)]]), 0)</f>
        <v>0</v>
      </c>
    </row>
    <row r="96" spans="1:36" ht="15" customHeight="1" x14ac:dyDescent="0.35">
      <c r="A96" s="98" t="s">
        <v>308</v>
      </c>
      <c r="B96" s="98">
        <v>0</v>
      </c>
      <c r="C96" s="98">
        <v>2</v>
      </c>
      <c r="D96" s="93"/>
      <c r="E96" s="93"/>
      <c r="F96" s="93"/>
      <c r="G96" s="97"/>
      <c r="H96" s="97"/>
      <c r="I96" s="93"/>
      <c r="J96" s="93"/>
      <c r="K96" s="93"/>
      <c r="L96" s="93"/>
      <c r="M96" s="93"/>
      <c r="N96" s="98">
        <v>0</v>
      </c>
      <c r="O96" s="98">
        <v>0</v>
      </c>
      <c r="P96" s="99">
        <f>SUM(SamplingData[[#This Row],[Winning Candidate]:[Under Votes]])</f>
        <v>2</v>
      </c>
      <c r="Q96" s="100">
        <f>IF(AND(SamplingData[[#This Row],[Total]]&lt;&gt; 0, NOT(ISBLANK(SamplingData[[#This Row],[Losing Candidate]]))),(SamplingData[[#This Row],[Total]]+SamplingData[[#This Row],[Winning Candidate]]-SamplingData[[#This Row],[Losing Candidate]])/(SamplingData[[#Totals],[Winning Candidate]]-SamplingData[[#Totals],[Losing Candidate]]), 0)</f>
        <v>0</v>
      </c>
      <c r="R96" s="100">
        <f>IF(AND(SamplingData[[#This Row],[Total]]&lt;&gt; 0, NOT(ISBLANK(SamplingData[[#This Row],[Candidate 3]]))),(SamplingData[[#This Row],[Total]]+SamplingData[[#This Row],[Winning Candidate]]-SamplingData[[#This Row],[Candidate 3]])/(SamplingData[[#Totals],[Winning Candidate]]-SamplingData[[#Totals],[Candidate 3]]), 0)</f>
        <v>0</v>
      </c>
      <c r="S96" s="100">
        <f>IF(AND(SamplingData[[#This Row],[Total]]&lt;&gt; 0, NOT(ISBLANK(SamplingData[[#This Row],[Candidate 4]]))),(SamplingData[[#This Row],[Total]]+SamplingData[[#This Row],[Winning Candidate]]-SamplingData[[#This Row],[Candidate 4]])/(SamplingData[[#Totals],[Winning Candidate]]-SamplingData[[#Totals],[Candidate 4]]), 0)</f>
        <v>0</v>
      </c>
      <c r="T96" s="100">
        <f>IF(AND(SamplingData[[#This Row],[Total]]&lt;&gt; 0, NOT(ISBLANK(SamplingData[[#This Row],[Candidate 5]]))),(SamplingData[[#This Row],[Total]]+SamplingData[[#This Row],[Winning Candidate]]-SamplingData[[#This Row],[Candidate 5]])/(SamplingData[[#Totals],[Winning Candidate]]-SamplingData[[#Totals],[Candidate 5]]), 0)</f>
        <v>0</v>
      </c>
      <c r="U96" s="100">
        <f>IF(AND(SamplingData[[#This Row],[Total]]&lt;&gt; 0, NOT(ISBLANK(SamplingData[[#This Row],[Candidate 6]]))),(SamplingData[[#This Row],[Total]]+SamplingData[[#This Row],[Losing Candidate]]-SamplingData[[#This Row],[Candidate 6]])/(SamplingData[[#Totals],[Winning Candidate]]-SamplingData[[#Totals],[Candidate 6]]), 0)</f>
        <v>0</v>
      </c>
      <c r="V96" s="100">
        <f>IF(AND(SamplingData[[#This Row],[Total]]&lt;&gt; 0, NOT(ISBLANK(SamplingData[[#This Row],[Candidate 7]]))),(SamplingData[[#This Row],[Total]]+SamplingData[[#This Row],[Winning Candidate]]-SamplingData[[#This Row],[Candidate 7]])/(SamplingData[[#Totals],[Winning Candidate]]-SamplingData[[#Totals],[Candidate 7]]), 0)</f>
        <v>0</v>
      </c>
      <c r="W96" s="100">
        <f>IF(AND(SamplingData[[#This Row],[Total]]&lt;&gt; 0, NOT(ISBLANK(SamplingData[[#This Row],[Candidate 8]]))),(SamplingData[[#This Row],[Total]]+SamplingData[[#This Row],[Winning Candidate]]-SamplingData[[#This Row],[Candidate 8]])/(SamplingData[[#Totals],[Winning Candidate]]-SamplingData[[#Totals],[Candidate 8]]), 0)</f>
        <v>0</v>
      </c>
      <c r="X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00">
        <f>MAX(SamplingData[[#This Row],[Error Bound (up) - Max. possible relative overstatement - Losing Candidate]:[Error Bound (up) - Max. possible relative overstatement - Candidate 12]])</f>
        <v>0</v>
      </c>
      <c r="AC96" s="100">
        <f>IF(SamplingData[[#This Row],[Max Error Bound (up)]] = 0,0,SamplingData[[#This Row],[Max Error Bound (up)]]/SamplingData[[#Totals],[Max Error Bound (up)]])</f>
        <v>0</v>
      </c>
      <c r="AD96" s="104">
        <f>SUM($AC$5:AC96)</f>
        <v>1.7471598557045182E-2</v>
      </c>
      <c r="AE96" s="100" t="str" cm="1">
        <f t="array" ref="AE96">IF(SamplingData[[#This Row],[up/U Selection Probability]] = 0, "Zero", TEXT(SamplingData[[#This Row],[Lower Range]], REPT("0",LEN('General Info'!$B$42))) &amp; " - " &amp; TEXT(SamplingData[[#This Row],[Upper Range]], REPT("0",LEN('General Info'!$B$42))))</f>
        <v>Zero</v>
      </c>
      <c r="AF96" s="100">
        <f>SamplingData[[#This Row],[Upper Range]]-SamplingData[[#This Row],[Span]]</f>
        <v>1747.1598557045181</v>
      </c>
      <c r="AG96" s="100">
        <f>IF(ISNUMBER('General Info'!$B$42), ((SamplingData[[#This Row],[up/U Selection Probability]]) * 'General Info'!$B$44) - 1, 0)</f>
        <v>-1</v>
      </c>
      <c r="AH96" s="100">
        <f>IF(ISNUMBER('General Info'!$B$42), (SamplingData[[#This Row],[Running (cumulative) sum]] * ('General Info'!$B$42 -'General Info'!$B$43 + 1)) + 'General Info'!$B$43 - 1, 0)</f>
        <v>1746.1598557045181</v>
      </c>
      <c r="AI96" s="100" t="str">
        <f>IF(ISERROR(MATCH(SamplingData[[#This Row],[Batch by Type (p)]],SelectedPrecincts[Batch Name], 0)), "", INDEX(SelectedPrecincts[Draw], MATCH(SamplingData[[#This Row],[Batch by Type (p)]],SelectedPrecincts[Batch Name], 0)))</f>
        <v/>
      </c>
      <c r="AJ96" s="101">
        <f>IF(COUNTIF(SelectedPrecincts[Batch Name],SamplingData[[#This Row],[Batch by Type (p)]]) &lt;&gt; 0, COUNTIF(SelectedPrecincts[Batch Name],SamplingData[[#This Row],[Batch by Type (p)]]), 0)</f>
        <v>0</v>
      </c>
    </row>
    <row r="97" spans="1:36" ht="15" customHeight="1" x14ac:dyDescent="0.35">
      <c r="A97" s="98" t="s">
        <v>309</v>
      </c>
      <c r="B97" s="98">
        <v>4</v>
      </c>
      <c r="C97" s="98">
        <v>0</v>
      </c>
      <c r="D97" s="93"/>
      <c r="E97" s="93"/>
      <c r="F97" s="93"/>
      <c r="G97" s="97"/>
      <c r="H97" s="97"/>
      <c r="I97" s="93"/>
      <c r="J97" s="93"/>
      <c r="K97" s="93"/>
      <c r="L97" s="93"/>
      <c r="M97" s="93"/>
      <c r="N97" s="98">
        <v>0</v>
      </c>
      <c r="O97" s="98">
        <v>0</v>
      </c>
      <c r="P97" s="99">
        <f>SUM(SamplingData[[#This Row],[Winning Candidate]:[Under Votes]])</f>
        <v>4</v>
      </c>
      <c r="Q97"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97" s="100">
        <f>IF(AND(SamplingData[[#This Row],[Total]]&lt;&gt; 0, NOT(ISBLANK(SamplingData[[#This Row],[Candidate 3]]))),(SamplingData[[#This Row],[Total]]+SamplingData[[#This Row],[Winning Candidate]]-SamplingData[[#This Row],[Candidate 3]])/(SamplingData[[#Totals],[Winning Candidate]]-SamplingData[[#Totals],[Candidate 3]]), 0)</f>
        <v>0</v>
      </c>
      <c r="S97" s="100">
        <f>IF(AND(SamplingData[[#This Row],[Total]]&lt;&gt; 0, NOT(ISBLANK(SamplingData[[#This Row],[Candidate 4]]))),(SamplingData[[#This Row],[Total]]+SamplingData[[#This Row],[Winning Candidate]]-SamplingData[[#This Row],[Candidate 4]])/(SamplingData[[#Totals],[Winning Candidate]]-SamplingData[[#Totals],[Candidate 4]]), 0)</f>
        <v>0</v>
      </c>
      <c r="T97" s="100">
        <f>IF(AND(SamplingData[[#This Row],[Total]]&lt;&gt; 0, NOT(ISBLANK(SamplingData[[#This Row],[Candidate 5]]))),(SamplingData[[#This Row],[Total]]+SamplingData[[#This Row],[Winning Candidate]]-SamplingData[[#This Row],[Candidate 5]])/(SamplingData[[#Totals],[Winning Candidate]]-SamplingData[[#Totals],[Candidate 5]]), 0)</f>
        <v>0</v>
      </c>
      <c r="U97" s="100">
        <f>IF(AND(SamplingData[[#This Row],[Total]]&lt;&gt; 0, NOT(ISBLANK(SamplingData[[#This Row],[Candidate 6]]))),(SamplingData[[#This Row],[Total]]+SamplingData[[#This Row],[Losing Candidate]]-SamplingData[[#This Row],[Candidate 6]])/(SamplingData[[#Totals],[Winning Candidate]]-SamplingData[[#Totals],[Candidate 6]]), 0)</f>
        <v>0</v>
      </c>
      <c r="V97" s="100">
        <f>IF(AND(SamplingData[[#This Row],[Total]]&lt;&gt; 0, NOT(ISBLANK(SamplingData[[#This Row],[Candidate 7]]))),(SamplingData[[#This Row],[Total]]+SamplingData[[#This Row],[Winning Candidate]]-SamplingData[[#This Row],[Candidate 7]])/(SamplingData[[#Totals],[Winning Candidate]]-SamplingData[[#Totals],[Candidate 7]]), 0)</f>
        <v>0</v>
      </c>
      <c r="W97" s="100">
        <f>IF(AND(SamplingData[[#This Row],[Total]]&lt;&gt; 0, NOT(ISBLANK(SamplingData[[#This Row],[Candidate 8]]))),(SamplingData[[#This Row],[Total]]+SamplingData[[#This Row],[Winning Candidate]]-SamplingData[[#This Row],[Candidate 8]])/(SamplingData[[#Totals],[Winning Candidate]]-SamplingData[[#Totals],[Candidate 8]]), 0)</f>
        <v>0</v>
      </c>
      <c r="X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00">
        <f>MAX(SamplingData[[#This Row],[Error Bound (up) - Max. possible relative overstatement - Losing Candidate]:[Error Bound (up) - Max. possible relative overstatement - Candidate 12]])</f>
        <v>2.5127995728240724E-4</v>
      </c>
      <c r="AC97" s="100">
        <f>IF(SamplingData[[#This Row],[Max Error Bound (up)]] = 0,0,SamplingData[[#This Row],[Max Error Bound (up)]]/SamplingData[[#Totals],[Max Error Bound (up)]])</f>
        <v>1.0768319603725841E-4</v>
      </c>
      <c r="AD97" s="104">
        <f>SUM($AC$5:AC97)</f>
        <v>1.7579281753082442E-2</v>
      </c>
      <c r="AE97" s="100" t="str" cm="1">
        <f t="array" ref="AE97">IF(SamplingData[[#This Row],[up/U Selection Probability]] = 0, "Zero", TEXT(SamplingData[[#This Row],[Lower Range]], REPT("0",LEN('General Info'!$B$42))) &amp; " - " &amp; TEXT(SamplingData[[#This Row],[Upper Range]], REPT("0",LEN('General Info'!$B$42))))</f>
        <v>01747 - 01757</v>
      </c>
      <c r="AF97" s="100">
        <f>SamplingData[[#This Row],[Upper Range]]-SamplingData[[#This Row],[Span]]</f>
        <v>1747.1598557045183</v>
      </c>
      <c r="AG97" s="100">
        <f>IF(ISNUMBER('General Info'!$B$42), ((SamplingData[[#This Row],[up/U Selection Probability]]) * 'General Info'!$B$44) - 1, 0)</f>
        <v>9.7683196037258408</v>
      </c>
      <c r="AH97" s="100">
        <f>IF(ISNUMBER('General Info'!$B$42), (SamplingData[[#This Row],[Running (cumulative) sum]] * ('General Info'!$B$42 -'General Info'!$B$43 + 1)) + 'General Info'!$B$43 - 1, 0)</f>
        <v>1756.9281753082441</v>
      </c>
      <c r="AI97" s="100" t="str">
        <f>IF(ISERROR(MATCH(SamplingData[[#This Row],[Batch by Type (p)]],SelectedPrecincts[Batch Name], 0)), "", INDEX(SelectedPrecincts[Draw], MATCH(SamplingData[[#This Row],[Batch by Type (p)]],SelectedPrecincts[Batch Name], 0)))</f>
        <v/>
      </c>
      <c r="AJ97" s="101">
        <f>IF(COUNTIF(SelectedPrecincts[Batch Name],SamplingData[[#This Row],[Batch by Type (p)]]) &lt;&gt; 0, COUNTIF(SelectedPrecincts[Batch Name],SamplingData[[#This Row],[Batch by Type (p)]]), 0)</f>
        <v>0</v>
      </c>
    </row>
    <row r="98" spans="1:36" ht="15" customHeight="1" x14ac:dyDescent="0.35">
      <c r="A98" s="98" t="s">
        <v>310</v>
      </c>
      <c r="B98" s="98">
        <v>10</v>
      </c>
      <c r="C98" s="98">
        <v>1</v>
      </c>
      <c r="D98" s="93"/>
      <c r="E98" s="93"/>
      <c r="F98" s="93"/>
      <c r="G98" s="97"/>
      <c r="H98" s="97"/>
      <c r="I98" s="93"/>
      <c r="J98" s="93"/>
      <c r="K98" s="93"/>
      <c r="L98" s="93"/>
      <c r="M98" s="93"/>
      <c r="N98" s="98">
        <v>0</v>
      </c>
      <c r="O98" s="98">
        <v>1</v>
      </c>
      <c r="P98" s="99">
        <f>SUM(SamplingData[[#This Row],[Winning Candidate]:[Under Votes]])</f>
        <v>12</v>
      </c>
      <c r="Q98" s="100">
        <f>IF(AND(SamplingData[[#This Row],[Total]]&lt;&gt; 0, NOT(ISBLANK(SamplingData[[#This Row],[Losing Candidate]]))),(SamplingData[[#This Row],[Total]]+SamplingData[[#This Row],[Winning Candidate]]-SamplingData[[#This Row],[Losing Candidate]])/(SamplingData[[#Totals],[Winning Candidate]]-SamplingData[[#Totals],[Losing Candidate]]), 0)</f>
        <v>6.5960988786631911E-4</v>
      </c>
      <c r="R98" s="100">
        <f>IF(AND(SamplingData[[#This Row],[Total]]&lt;&gt; 0, NOT(ISBLANK(SamplingData[[#This Row],[Candidate 3]]))),(SamplingData[[#This Row],[Total]]+SamplingData[[#This Row],[Winning Candidate]]-SamplingData[[#This Row],[Candidate 3]])/(SamplingData[[#Totals],[Winning Candidate]]-SamplingData[[#Totals],[Candidate 3]]), 0)</f>
        <v>0</v>
      </c>
      <c r="S98" s="100">
        <f>IF(AND(SamplingData[[#This Row],[Total]]&lt;&gt; 0, NOT(ISBLANK(SamplingData[[#This Row],[Candidate 4]]))),(SamplingData[[#This Row],[Total]]+SamplingData[[#This Row],[Winning Candidate]]-SamplingData[[#This Row],[Candidate 4]])/(SamplingData[[#Totals],[Winning Candidate]]-SamplingData[[#Totals],[Candidate 4]]), 0)</f>
        <v>0</v>
      </c>
      <c r="T98" s="100">
        <f>IF(AND(SamplingData[[#This Row],[Total]]&lt;&gt; 0, NOT(ISBLANK(SamplingData[[#This Row],[Candidate 5]]))),(SamplingData[[#This Row],[Total]]+SamplingData[[#This Row],[Winning Candidate]]-SamplingData[[#This Row],[Candidate 5]])/(SamplingData[[#Totals],[Winning Candidate]]-SamplingData[[#Totals],[Candidate 5]]), 0)</f>
        <v>0</v>
      </c>
      <c r="U98" s="100">
        <f>IF(AND(SamplingData[[#This Row],[Total]]&lt;&gt; 0, NOT(ISBLANK(SamplingData[[#This Row],[Candidate 6]]))),(SamplingData[[#This Row],[Total]]+SamplingData[[#This Row],[Losing Candidate]]-SamplingData[[#This Row],[Candidate 6]])/(SamplingData[[#Totals],[Winning Candidate]]-SamplingData[[#Totals],[Candidate 6]]), 0)</f>
        <v>0</v>
      </c>
      <c r="V98" s="100">
        <f>IF(AND(SamplingData[[#This Row],[Total]]&lt;&gt; 0, NOT(ISBLANK(SamplingData[[#This Row],[Candidate 7]]))),(SamplingData[[#This Row],[Total]]+SamplingData[[#This Row],[Winning Candidate]]-SamplingData[[#This Row],[Candidate 7]])/(SamplingData[[#Totals],[Winning Candidate]]-SamplingData[[#Totals],[Candidate 7]]), 0)</f>
        <v>0</v>
      </c>
      <c r="W98" s="100">
        <f>IF(AND(SamplingData[[#This Row],[Total]]&lt;&gt; 0, NOT(ISBLANK(SamplingData[[#This Row],[Candidate 8]]))),(SamplingData[[#This Row],[Total]]+SamplingData[[#This Row],[Winning Candidate]]-SamplingData[[#This Row],[Candidate 8]])/(SamplingData[[#Totals],[Winning Candidate]]-SamplingData[[#Totals],[Candidate 8]]), 0)</f>
        <v>0</v>
      </c>
      <c r="X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00">
        <f>MAX(SamplingData[[#This Row],[Error Bound (up) - Max. possible relative overstatement - Losing Candidate]:[Error Bound (up) - Max. possible relative overstatement - Candidate 12]])</f>
        <v>6.5960988786631911E-4</v>
      </c>
      <c r="AC98" s="100">
        <f>IF(SamplingData[[#This Row],[Max Error Bound (up)]] = 0,0,SamplingData[[#This Row],[Max Error Bound (up)]]/SamplingData[[#Totals],[Max Error Bound (up)]])</f>
        <v>2.8266838959780337E-4</v>
      </c>
      <c r="AD98" s="104">
        <f>SUM($AC$5:AC98)</f>
        <v>1.7861950142680244E-2</v>
      </c>
      <c r="AE98" s="100" t="str" cm="1">
        <f t="array" ref="AE98">IF(SamplingData[[#This Row],[up/U Selection Probability]] = 0, "Zero", TEXT(SamplingData[[#This Row],[Lower Range]], REPT("0",LEN('General Info'!$B$42))) &amp; " - " &amp; TEXT(SamplingData[[#This Row],[Upper Range]], REPT("0",LEN('General Info'!$B$42))))</f>
        <v>01758 - 01785</v>
      </c>
      <c r="AF98" s="100">
        <f>SamplingData[[#This Row],[Upper Range]]-SamplingData[[#This Row],[Span]]</f>
        <v>1757.9281753082439</v>
      </c>
      <c r="AG98" s="100">
        <f>IF(ISNUMBER('General Info'!$B$42), ((SamplingData[[#This Row],[up/U Selection Probability]]) * 'General Info'!$B$44) - 1, 0)</f>
        <v>27.266838959780337</v>
      </c>
      <c r="AH98" s="100">
        <f>IF(ISNUMBER('General Info'!$B$42), (SamplingData[[#This Row],[Running (cumulative) sum]] * ('General Info'!$B$42 -'General Info'!$B$43 + 1)) + 'General Info'!$B$43 - 1, 0)</f>
        <v>1785.1950142680244</v>
      </c>
      <c r="AI98" s="100" t="str">
        <f>IF(ISERROR(MATCH(SamplingData[[#This Row],[Batch by Type (p)]],SelectedPrecincts[Batch Name], 0)), "", INDEX(SelectedPrecincts[Draw], MATCH(SamplingData[[#This Row],[Batch by Type (p)]],SelectedPrecincts[Batch Name], 0)))</f>
        <v/>
      </c>
      <c r="AJ98" s="101">
        <f>IF(COUNTIF(SelectedPrecincts[Batch Name],SamplingData[[#This Row],[Batch by Type (p)]]) &lt;&gt; 0, COUNTIF(SelectedPrecincts[Batch Name],SamplingData[[#This Row],[Batch by Type (p)]]), 0)</f>
        <v>0</v>
      </c>
    </row>
    <row r="99" spans="1:36" ht="15" customHeight="1" x14ac:dyDescent="0.35">
      <c r="A99" s="98" t="s">
        <v>311</v>
      </c>
      <c r="B99" s="98">
        <v>8</v>
      </c>
      <c r="C99" s="98">
        <v>0</v>
      </c>
      <c r="D99" s="93"/>
      <c r="E99" s="93"/>
      <c r="F99" s="93"/>
      <c r="G99" s="97"/>
      <c r="H99" s="97"/>
      <c r="I99" s="93"/>
      <c r="J99" s="93"/>
      <c r="K99" s="93"/>
      <c r="L99" s="93"/>
      <c r="M99" s="93"/>
      <c r="N99" s="98">
        <v>0</v>
      </c>
      <c r="O99" s="98">
        <v>0</v>
      </c>
      <c r="P99" s="99">
        <f>SUM(SamplingData[[#This Row],[Winning Candidate]:[Under Votes]])</f>
        <v>8</v>
      </c>
      <c r="Q99"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99" s="100">
        <f>IF(AND(SamplingData[[#This Row],[Total]]&lt;&gt; 0, NOT(ISBLANK(SamplingData[[#This Row],[Candidate 3]]))),(SamplingData[[#This Row],[Total]]+SamplingData[[#This Row],[Winning Candidate]]-SamplingData[[#This Row],[Candidate 3]])/(SamplingData[[#Totals],[Winning Candidate]]-SamplingData[[#Totals],[Candidate 3]]), 0)</f>
        <v>0</v>
      </c>
      <c r="S99" s="100">
        <f>IF(AND(SamplingData[[#This Row],[Total]]&lt;&gt; 0, NOT(ISBLANK(SamplingData[[#This Row],[Candidate 4]]))),(SamplingData[[#This Row],[Total]]+SamplingData[[#This Row],[Winning Candidate]]-SamplingData[[#This Row],[Candidate 4]])/(SamplingData[[#Totals],[Winning Candidate]]-SamplingData[[#Totals],[Candidate 4]]), 0)</f>
        <v>0</v>
      </c>
      <c r="T99" s="100">
        <f>IF(AND(SamplingData[[#This Row],[Total]]&lt;&gt; 0, NOT(ISBLANK(SamplingData[[#This Row],[Candidate 5]]))),(SamplingData[[#This Row],[Total]]+SamplingData[[#This Row],[Winning Candidate]]-SamplingData[[#This Row],[Candidate 5]])/(SamplingData[[#Totals],[Winning Candidate]]-SamplingData[[#Totals],[Candidate 5]]), 0)</f>
        <v>0</v>
      </c>
      <c r="U99" s="100">
        <f>IF(AND(SamplingData[[#This Row],[Total]]&lt;&gt; 0, NOT(ISBLANK(SamplingData[[#This Row],[Candidate 6]]))),(SamplingData[[#This Row],[Total]]+SamplingData[[#This Row],[Losing Candidate]]-SamplingData[[#This Row],[Candidate 6]])/(SamplingData[[#Totals],[Winning Candidate]]-SamplingData[[#Totals],[Candidate 6]]), 0)</f>
        <v>0</v>
      </c>
      <c r="V99" s="100">
        <f>IF(AND(SamplingData[[#This Row],[Total]]&lt;&gt; 0, NOT(ISBLANK(SamplingData[[#This Row],[Candidate 7]]))),(SamplingData[[#This Row],[Total]]+SamplingData[[#This Row],[Winning Candidate]]-SamplingData[[#This Row],[Candidate 7]])/(SamplingData[[#Totals],[Winning Candidate]]-SamplingData[[#Totals],[Candidate 7]]), 0)</f>
        <v>0</v>
      </c>
      <c r="W99" s="100">
        <f>IF(AND(SamplingData[[#This Row],[Total]]&lt;&gt; 0, NOT(ISBLANK(SamplingData[[#This Row],[Candidate 8]]))),(SamplingData[[#This Row],[Total]]+SamplingData[[#This Row],[Winning Candidate]]-SamplingData[[#This Row],[Candidate 8]])/(SamplingData[[#Totals],[Winning Candidate]]-SamplingData[[#Totals],[Candidate 8]]), 0)</f>
        <v>0</v>
      </c>
      <c r="X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00">
        <f>MAX(SamplingData[[#This Row],[Error Bound (up) - Max. possible relative overstatement - Losing Candidate]:[Error Bound (up) - Max. possible relative overstatement - Candidate 12]])</f>
        <v>5.0255991456481448E-4</v>
      </c>
      <c r="AC99" s="100">
        <f>IF(SamplingData[[#This Row],[Max Error Bound (up)]] = 0,0,SamplingData[[#This Row],[Max Error Bound (up)]]/SamplingData[[#Totals],[Max Error Bound (up)]])</f>
        <v>2.1536639207451683E-4</v>
      </c>
      <c r="AD99" s="104">
        <f>SUM($AC$5:AC99)</f>
        <v>1.8077316534754761E-2</v>
      </c>
      <c r="AE99" s="100" t="str" cm="1">
        <f t="array" ref="AE99">IF(SamplingData[[#This Row],[up/U Selection Probability]] = 0, "Zero", TEXT(SamplingData[[#This Row],[Lower Range]], REPT("0",LEN('General Info'!$B$42))) &amp; " - " &amp; TEXT(SamplingData[[#This Row],[Upper Range]], REPT("0",LEN('General Info'!$B$42))))</f>
        <v>01786 - 01807</v>
      </c>
      <c r="AF99" s="100">
        <f>SamplingData[[#This Row],[Upper Range]]-SamplingData[[#This Row],[Span]]</f>
        <v>1786.1950142680246</v>
      </c>
      <c r="AG99" s="100">
        <f>IF(ISNUMBER('General Info'!$B$42), ((SamplingData[[#This Row],[up/U Selection Probability]]) * 'General Info'!$B$44) - 1, 0)</f>
        <v>20.536639207451682</v>
      </c>
      <c r="AH99" s="100">
        <f>IF(ISNUMBER('General Info'!$B$42), (SamplingData[[#This Row],[Running (cumulative) sum]] * ('General Info'!$B$42 -'General Info'!$B$43 + 1)) + 'General Info'!$B$43 - 1, 0)</f>
        <v>1806.7316534754762</v>
      </c>
      <c r="AI99" s="100" t="str">
        <f>IF(ISERROR(MATCH(SamplingData[[#This Row],[Batch by Type (p)]],SelectedPrecincts[Batch Name], 0)), "", INDEX(SelectedPrecincts[Draw], MATCH(SamplingData[[#This Row],[Batch by Type (p)]],SelectedPrecincts[Batch Name], 0)))</f>
        <v/>
      </c>
      <c r="AJ99" s="101">
        <f>IF(COUNTIF(SelectedPrecincts[Batch Name],SamplingData[[#This Row],[Batch by Type (p)]]) &lt;&gt; 0, COUNTIF(SelectedPrecincts[Batch Name],SamplingData[[#This Row],[Batch by Type (p)]]), 0)</f>
        <v>0</v>
      </c>
    </row>
    <row r="100" spans="1:36" ht="15" customHeight="1" x14ac:dyDescent="0.35">
      <c r="A100" s="98" t="s">
        <v>312</v>
      </c>
      <c r="B100" s="98">
        <v>4</v>
      </c>
      <c r="C100" s="98">
        <v>1</v>
      </c>
      <c r="D100" s="93"/>
      <c r="E100" s="93"/>
      <c r="F100" s="93"/>
      <c r="G100" s="97"/>
      <c r="H100" s="97"/>
      <c r="I100" s="93"/>
      <c r="J100" s="93"/>
      <c r="K100" s="93"/>
      <c r="L100" s="93"/>
      <c r="M100" s="93"/>
      <c r="N100" s="98">
        <v>0</v>
      </c>
      <c r="O100" s="98">
        <v>0</v>
      </c>
      <c r="P100" s="99">
        <f>SUM(SamplingData[[#This Row],[Winning Candidate]:[Under Votes]])</f>
        <v>5</v>
      </c>
      <c r="Q100"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00" s="100">
        <f>IF(AND(SamplingData[[#This Row],[Total]]&lt;&gt; 0, NOT(ISBLANK(SamplingData[[#This Row],[Candidate 3]]))),(SamplingData[[#This Row],[Total]]+SamplingData[[#This Row],[Winning Candidate]]-SamplingData[[#This Row],[Candidate 3]])/(SamplingData[[#Totals],[Winning Candidate]]-SamplingData[[#Totals],[Candidate 3]]), 0)</f>
        <v>0</v>
      </c>
      <c r="S100" s="100">
        <f>IF(AND(SamplingData[[#This Row],[Total]]&lt;&gt; 0, NOT(ISBLANK(SamplingData[[#This Row],[Candidate 4]]))),(SamplingData[[#This Row],[Total]]+SamplingData[[#This Row],[Winning Candidate]]-SamplingData[[#This Row],[Candidate 4]])/(SamplingData[[#Totals],[Winning Candidate]]-SamplingData[[#Totals],[Candidate 4]]), 0)</f>
        <v>0</v>
      </c>
      <c r="T100" s="100">
        <f>IF(AND(SamplingData[[#This Row],[Total]]&lt;&gt; 0, NOT(ISBLANK(SamplingData[[#This Row],[Candidate 5]]))),(SamplingData[[#This Row],[Total]]+SamplingData[[#This Row],[Winning Candidate]]-SamplingData[[#This Row],[Candidate 5]])/(SamplingData[[#Totals],[Winning Candidate]]-SamplingData[[#Totals],[Candidate 5]]), 0)</f>
        <v>0</v>
      </c>
      <c r="U100" s="100">
        <f>IF(AND(SamplingData[[#This Row],[Total]]&lt;&gt; 0, NOT(ISBLANK(SamplingData[[#This Row],[Candidate 6]]))),(SamplingData[[#This Row],[Total]]+SamplingData[[#This Row],[Losing Candidate]]-SamplingData[[#This Row],[Candidate 6]])/(SamplingData[[#Totals],[Winning Candidate]]-SamplingData[[#Totals],[Candidate 6]]), 0)</f>
        <v>0</v>
      </c>
      <c r="V100" s="100">
        <f>IF(AND(SamplingData[[#This Row],[Total]]&lt;&gt; 0, NOT(ISBLANK(SamplingData[[#This Row],[Candidate 7]]))),(SamplingData[[#This Row],[Total]]+SamplingData[[#This Row],[Winning Candidate]]-SamplingData[[#This Row],[Candidate 7]])/(SamplingData[[#Totals],[Winning Candidate]]-SamplingData[[#Totals],[Candidate 7]]), 0)</f>
        <v>0</v>
      </c>
      <c r="W100" s="100">
        <f>IF(AND(SamplingData[[#This Row],[Total]]&lt;&gt; 0, NOT(ISBLANK(SamplingData[[#This Row],[Candidate 8]]))),(SamplingData[[#This Row],[Total]]+SamplingData[[#This Row],[Winning Candidate]]-SamplingData[[#This Row],[Candidate 8]])/(SamplingData[[#Totals],[Winning Candidate]]-SamplingData[[#Totals],[Candidate 8]]), 0)</f>
        <v>0</v>
      </c>
      <c r="X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00">
        <f>MAX(SamplingData[[#This Row],[Error Bound (up) - Max. possible relative overstatement - Losing Candidate]:[Error Bound (up) - Max. possible relative overstatement - Candidate 12]])</f>
        <v>2.5127995728240724E-4</v>
      </c>
      <c r="AC100" s="100">
        <f>IF(SamplingData[[#This Row],[Max Error Bound (up)]] = 0,0,SamplingData[[#This Row],[Max Error Bound (up)]]/SamplingData[[#Totals],[Max Error Bound (up)]])</f>
        <v>1.0768319603725841E-4</v>
      </c>
      <c r="AD100" s="104">
        <f>SUM($AC$5:AC100)</f>
        <v>1.8184999730792021E-2</v>
      </c>
      <c r="AE100" s="100" t="str" cm="1">
        <f t="array" ref="AE100">IF(SamplingData[[#This Row],[up/U Selection Probability]] = 0, "Zero", TEXT(SamplingData[[#This Row],[Lower Range]], REPT("0",LEN('General Info'!$B$42))) &amp; " - " &amp; TEXT(SamplingData[[#This Row],[Upper Range]], REPT("0",LEN('General Info'!$B$42))))</f>
        <v>01808 - 01817</v>
      </c>
      <c r="AF100" s="100">
        <f>SamplingData[[#This Row],[Upper Range]]-SamplingData[[#This Row],[Span]]</f>
        <v>1807.7316534754764</v>
      </c>
      <c r="AG100" s="100">
        <f>IF(ISNUMBER('General Info'!$B$42), ((SamplingData[[#This Row],[up/U Selection Probability]]) * 'General Info'!$B$44) - 1, 0)</f>
        <v>9.7683196037258408</v>
      </c>
      <c r="AH100" s="100">
        <f>IF(ISNUMBER('General Info'!$B$42), (SamplingData[[#This Row],[Running (cumulative) sum]] * ('General Info'!$B$42 -'General Info'!$B$43 + 1)) + 'General Info'!$B$43 - 1, 0)</f>
        <v>1817.4999730792022</v>
      </c>
      <c r="AI100" s="100" t="str">
        <f>IF(ISERROR(MATCH(SamplingData[[#This Row],[Batch by Type (p)]],SelectedPrecincts[Batch Name], 0)), "", INDEX(SelectedPrecincts[Draw], MATCH(SamplingData[[#This Row],[Batch by Type (p)]],SelectedPrecincts[Batch Name], 0)))</f>
        <v/>
      </c>
      <c r="AJ100" s="101">
        <f>IF(COUNTIF(SelectedPrecincts[Batch Name],SamplingData[[#This Row],[Batch by Type (p)]]) &lt;&gt; 0, COUNTIF(SelectedPrecincts[Batch Name],SamplingData[[#This Row],[Batch by Type (p)]]), 0)</f>
        <v>0</v>
      </c>
    </row>
    <row r="101" spans="1:36" ht="15" customHeight="1" x14ac:dyDescent="0.35">
      <c r="A101" s="98" t="s">
        <v>313</v>
      </c>
      <c r="B101" s="98">
        <v>11</v>
      </c>
      <c r="C101" s="98">
        <v>0</v>
      </c>
      <c r="D101" s="93"/>
      <c r="E101" s="93"/>
      <c r="F101" s="93"/>
      <c r="G101" s="97"/>
      <c r="H101" s="97"/>
      <c r="I101" s="93"/>
      <c r="J101" s="93"/>
      <c r="K101" s="93"/>
      <c r="L101" s="93"/>
      <c r="M101" s="93"/>
      <c r="N101" s="98">
        <v>0</v>
      </c>
      <c r="O101" s="98">
        <v>0</v>
      </c>
      <c r="P101" s="99">
        <f>SUM(SamplingData[[#This Row],[Winning Candidate]:[Under Votes]])</f>
        <v>11</v>
      </c>
      <c r="Q101"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101" s="100">
        <f>IF(AND(SamplingData[[#This Row],[Total]]&lt;&gt; 0, NOT(ISBLANK(SamplingData[[#This Row],[Candidate 3]]))),(SamplingData[[#This Row],[Total]]+SamplingData[[#This Row],[Winning Candidate]]-SamplingData[[#This Row],[Candidate 3]])/(SamplingData[[#Totals],[Winning Candidate]]-SamplingData[[#Totals],[Candidate 3]]), 0)</f>
        <v>0</v>
      </c>
      <c r="S101" s="100">
        <f>IF(AND(SamplingData[[#This Row],[Total]]&lt;&gt; 0, NOT(ISBLANK(SamplingData[[#This Row],[Candidate 4]]))),(SamplingData[[#This Row],[Total]]+SamplingData[[#This Row],[Winning Candidate]]-SamplingData[[#This Row],[Candidate 4]])/(SamplingData[[#Totals],[Winning Candidate]]-SamplingData[[#Totals],[Candidate 4]]), 0)</f>
        <v>0</v>
      </c>
      <c r="T101" s="100">
        <f>IF(AND(SamplingData[[#This Row],[Total]]&lt;&gt; 0, NOT(ISBLANK(SamplingData[[#This Row],[Candidate 5]]))),(SamplingData[[#This Row],[Total]]+SamplingData[[#This Row],[Winning Candidate]]-SamplingData[[#This Row],[Candidate 5]])/(SamplingData[[#Totals],[Winning Candidate]]-SamplingData[[#Totals],[Candidate 5]]), 0)</f>
        <v>0</v>
      </c>
      <c r="U101" s="100">
        <f>IF(AND(SamplingData[[#This Row],[Total]]&lt;&gt; 0, NOT(ISBLANK(SamplingData[[#This Row],[Candidate 6]]))),(SamplingData[[#This Row],[Total]]+SamplingData[[#This Row],[Losing Candidate]]-SamplingData[[#This Row],[Candidate 6]])/(SamplingData[[#Totals],[Winning Candidate]]-SamplingData[[#Totals],[Candidate 6]]), 0)</f>
        <v>0</v>
      </c>
      <c r="V101" s="100">
        <f>IF(AND(SamplingData[[#This Row],[Total]]&lt;&gt; 0, NOT(ISBLANK(SamplingData[[#This Row],[Candidate 7]]))),(SamplingData[[#This Row],[Total]]+SamplingData[[#This Row],[Winning Candidate]]-SamplingData[[#This Row],[Candidate 7]])/(SamplingData[[#Totals],[Winning Candidate]]-SamplingData[[#Totals],[Candidate 7]]), 0)</f>
        <v>0</v>
      </c>
      <c r="W101" s="100">
        <f>IF(AND(SamplingData[[#This Row],[Total]]&lt;&gt; 0, NOT(ISBLANK(SamplingData[[#This Row],[Candidate 8]]))),(SamplingData[[#This Row],[Total]]+SamplingData[[#This Row],[Winning Candidate]]-SamplingData[[#This Row],[Candidate 8]])/(SamplingData[[#Totals],[Winning Candidate]]-SamplingData[[#Totals],[Candidate 8]]), 0)</f>
        <v>0</v>
      </c>
      <c r="X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00">
        <f>MAX(SamplingData[[#This Row],[Error Bound (up) - Max. possible relative overstatement - Losing Candidate]:[Error Bound (up) - Max. possible relative overstatement - Candidate 12]])</f>
        <v>6.9101988252662E-4</v>
      </c>
      <c r="AC101" s="100">
        <f>IF(SamplingData[[#This Row],[Max Error Bound (up)]] = 0,0,SamplingData[[#This Row],[Max Error Bound (up)]]/SamplingData[[#Totals],[Max Error Bound (up)]])</f>
        <v>2.9612878910246067E-4</v>
      </c>
      <c r="AD101" s="104">
        <f>SUM($AC$5:AC101)</f>
        <v>1.8481128519894481E-2</v>
      </c>
      <c r="AE101" s="100" t="str" cm="1">
        <f t="array" ref="AE101">IF(SamplingData[[#This Row],[up/U Selection Probability]] = 0, "Zero", TEXT(SamplingData[[#This Row],[Lower Range]], REPT("0",LEN('General Info'!$B$42))) &amp; " - " &amp; TEXT(SamplingData[[#This Row],[Upper Range]], REPT("0",LEN('General Info'!$B$42))))</f>
        <v>01818 - 01847</v>
      </c>
      <c r="AF101" s="100">
        <f>SamplingData[[#This Row],[Upper Range]]-SamplingData[[#This Row],[Span]]</f>
        <v>1818.4999730792019</v>
      </c>
      <c r="AG101" s="100">
        <f>IF(ISNUMBER('General Info'!$B$42), ((SamplingData[[#This Row],[up/U Selection Probability]]) * 'General Info'!$B$44) - 1, 0)</f>
        <v>28.612878910246067</v>
      </c>
      <c r="AH101" s="100">
        <f>IF(ISNUMBER('General Info'!$B$42), (SamplingData[[#This Row],[Running (cumulative) sum]] * ('General Info'!$B$42 -'General Info'!$B$43 + 1)) + 'General Info'!$B$43 - 1, 0)</f>
        <v>1847.112851989448</v>
      </c>
      <c r="AI101" s="100" t="str">
        <f>IF(ISERROR(MATCH(SamplingData[[#This Row],[Batch by Type (p)]],SelectedPrecincts[Batch Name], 0)), "", INDEX(SelectedPrecincts[Draw], MATCH(SamplingData[[#This Row],[Batch by Type (p)]],SelectedPrecincts[Batch Name], 0)))</f>
        <v/>
      </c>
      <c r="AJ101" s="101">
        <f>IF(COUNTIF(SelectedPrecincts[Batch Name],SamplingData[[#This Row],[Batch by Type (p)]]) &lt;&gt; 0, COUNTIF(SelectedPrecincts[Batch Name],SamplingData[[#This Row],[Batch by Type (p)]]), 0)</f>
        <v>0</v>
      </c>
    </row>
    <row r="102" spans="1:36" ht="15" customHeight="1" x14ac:dyDescent="0.35">
      <c r="A102" s="98" t="s">
        <v>314</v>
      </c>
      <c r="B102" s="98">
        <v>7</v>
      </c>
      <c r="C102" s="98">
        <v>1</v>
      </c>
      <c r="D102" s="93"/>
      <c r="E102" s="93"/>
      <c r="F102" s="93"/>
      <c r="G102" s="97"/>
      <c r="H102" s="97"/>
      <c r="I102" s="93"/>
      <c r="J102" s="93"/>
      <c r="K102" s="93"/>
      <c r="L102" s="93"/>
      <c r="M102" s="93"/>
      <c r="N102" s="98">
        <v>0</v>
      </c>
      <c r="O102" s="98">
        <v>1</v>
      </c>
      <c r="P102" s="99">
        <f>SUM(SamplingData[[#This Row],[Winning Candidate]:[Under Votes]])</f>
        <v>9</v>
      </c>
      <c r="Q102"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102" s="100">
        <f>IF(AND(SamplingData[[#This Row],[Total]]&lt;&gt; 0, NOT(ISBLANK(SamplingData[[#This Row],[Candidate 3]]))),(SamplingData[[#This Row],[Total]]+SamplingData[[#This Row],[Winning Candidate]]-SamplingData[[#This Row],[Candidate 3]])/(SamplingData[[#Totals],[Winning Candidate]]-SamplingData[[#Totals],[Candidate 3]]), 0)</f>
        <v>0</v>
      </c>
      <c r="S102" s="100">
        <f>IF(AND(SamplingData[[#This Row],[Total]]&lt;&gt; 0, NOT(ISBLANK(SamplingData[[#This Row],[Candidate 4]]))),(SamplingData[[#This Row],[Total]]+SamplingData[[#This Row],[Winning Candidate]]-SamplingData[[#This Row],[Candidate 4]])/(SamplingData[[#Totals],[Winning Candidate]]-SamplingData[[#Totals],[Candidate 4]]), 0)</f>
        <v>0</v>
      </c>
      <c r="T102" s="100">
        <f>IF(AND(SamplingData[[#This Row],[Total]]&lt;&gt; 0, NOT(ISBLANK(SamplingData[[#This Row],[Candidate 5]]))),(SamplingData[[#This Row],[Total]]+SamplingData[[#This Row],[Winning Candidate]]-SamplingData[[#This Row],[Candidate 5]])/(SamplingData[[#Totals],[Winning Candidate]]-SamplingData[[#Totals],[Candidate 5]]), 0)</f>
        <v>0</v>
      </c>
      <c r="U102" s="100">
        <f>IF(AND(SamplingData[[#This Row],[Total]]&lt;&gt; 0, NOT(ISBLANK(SamplingData[[#This Row],[Candidate 6]]))),(SamplingData[[#This Row],[Total]]+SamplingData[[#This Row],[Losing Candidate]]-SamplingData[[#This Row],[Candidate 6]])/(SamplingData[[#Totals],[Winning Candidate]]-SamplingData[[#Totals],[Candidate 6]]), 0)</f>
        <v>0</v>
      </c>
      <c r="V102" s="100">
        <f>IF(AND(SamplingData[[#This Row],[Total]]&lt;&gt; 0, NOT(ISBLANK(SamplingData[[#This Row],[Candidate 7]]))),(SamplingData[[#This Row],[Total]]+SamplingData[[#This Row],[Winning Candidate]]-SamplingData[[#This Row],[Candidate 7]])/(SamplingData[[#Totals],[Winning Candidate]]-SamplingData[[#Totals],[Candidate 7]]), 0)</f>
        <v>0</v>
      </c>
      <c r="W102" s="100">
        <f>IF(AND(SamplingData[[#This Row],[Total]]&lt;&gt; 0, NOT(ISBLANK(SamplingData[[#This Row],[Candidate 8]]))),(SamplingData[[#This Row],[Total]]+SamplingData[[#This Row],[Winning Candidate]]-SamplingData[[#This Row],[Candidate 8]])/(SamplingData[[#Totals],[Winning Candidate]]-SamplingData[[#Totals],[Candidate 8]]), 0)</f>
        <v>0</v>
      </c>
      <c r="X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00">
        <f>MAX(SamplingData[[#This Row],[Error Bound (up) - Max. possible relative overstatement - Losing Candidate]:[Error Bound (up) - Max. possible relative overstatement - Candidate 12]])</f>
        <v>4.7114991990451359E-4</v>
      </c>
      <c r="AC102" s="100">
        <f>IF(SamplingData[[#This Row],[Max Error Bound (up)]] = 0,0,SamplingData[[#This Row],[Max Error Bound (up)]]/SamplingData[[#Totals],[Max Error Bound (up)]])</f>
        <v>2.0190599256985953E-4</v>
      </c>
      <c r="AD102" s="104">
        <f>SUM($AC$5:AC102)</f>
        <v>1.8683034512464339E-2</v>
      </c>
      <c r="AE102" s="100" t="str" cm="1">
        <f t="array" ref="AE102">IF(SamplingData[[#This Row],[up/U Selection Probability]] = 0, "Zero", TEXT(SamplingData[[#This Row],[Lower Range]], REPT("0",LEN('General Info'!$B$42))) &amp; " - " &amp; TEXT(SamplingData[[#This Row],[Upper Range]], REPT("0",LEN('General Info'!$B$42))))</f>
        <v>01848 - 01867</v>
      </c>
      <c r="AF102" s="100">
        <f>SamplingData[[#This Row],[Upper Range]]-SamplingData[[#This Row],[Span]]</f>
        <v>1848.112851989448</v>
      </c>
      <c r="AG102" s="100">
        <f>IF(ISNUMBER('General Info'!$B$42), ((SamplingData[[#This Row],[up/U Selection Probability]]) * 'General Info'!$B$44) - 1, 0)</f>
        <v>19.190599256985951</v>
      </c>
      <c r="AH102" s="100">
        <f>IF(ISNUMBER('General Info'!$B$42), (SamplingData[[#This Row],[Running (cumulative) sum]] * ('General Info'!$B$42 -'General Info'!$B$43 + 1)) + 'General Info'!$B$43 - 1, 0)</f>
        <v>1867.303451246434</v>
      </c>
      <c r="AI102" s="100" t="str">
        <f>IF(ISERROR(MATCH(SamplingData[[#This Row],[Batch by Type (p)]],SelectedPrecincts[Batch Name], 0)), "", INDEX(SelectedPrecincts[Draw], MATCH(SamplingData[[#This Row],[Batch by Type (p)]],SelectedPrecincts[Batch Name], 0)))</f>
        <v/>
      </c>
      <c r="AJ102" s="101">
        <f>IF(COUNTIF(SelectedPrecincts[Batch Name],SamplingData[[#This Row],[Batch by Type (p)]]) &lt;&gt; 0, COUNTIF(SelectedPrecincts[Batch Name],SamplingData[[#This Row],[Batch by Type (p)]]), 0)</f>
        <v>0</v>
      </c>
    </row>
    <row r="103" spans="1:36" ht="15" customHeight="1" x14ac:dyDescent="0.35">
      <c r="A103" s="98" t="s">
        <v>315</v>
      </c>
      <c r="B103" s="98">
        <v>3</v>
      </c>
      <c r="C103" s="98">
        <v>1</v>
      </c>
      <c r="D103" s="93"/>
      <c r="E103" s="93"/>
      <c r="F103" s="93"/>
      <c r="G103" s="97"/>
      <c r="H103" s="97"/>
      <c r="I103" s="93"/>
      <c r="J103" s="93"/>
      <c r="K103" s="93"/>
      <c r="L103" s="93"/>
      <c r="M103" s="93"/>
      <c r="N103" s="98">
        <v>0</v>
      </c>
      <c r="O103" s="98">
        <v>0</v>
      </c>
      <c r="P103" s="99">
        <f>SUM(SamplingData[[#This Row],[Winning Candidate]:[Under Votes]])</f>
        <v>4</v>
      </c>
      <c r="Q103"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03" s="100">
        <f>IF(AND(SamplingData[[#This Row],[Total]]&lt;&gt; 0, NOT(ISBLANK(SamplingData[[#This Row],[Candidate 3]]))),(SamplingData[[#This Row],[Total]]+SamplingData[[#This Row],[Winning Candidate]]-SamplingData[[#This Row],[Candidate 3]])/(SamplingData[[#Totals],[Winning Candidate]]-SamplingData[[#Totals],[Candidate 3]]), 0)</f>
        <v>0</v>
      </c>
      <c r="S103" s="100">
        <f>IF(AND(SamplingData[[#This Row],[Total]]&lt;&gt; 0, NOT(ISBLANK(SamplingData[[#This Row],[Candidate 4]]))),(SamplingData[[#This Row],[Total]]+SamplingData[[#This Row],[Winning Candidate]]-SamplingData[[#This Row],[Candidate 4]])/(SamplingData[[#Totals],[Winning Candidate]]-SamplingData[[#Totals],[Candidate 4]]), 0)</f>
        <v>0</v>
      </c>
      <c r="T103" s="100">
        <f>IF(AND(SamplingData[[#This Row],[Total]]&lt;&gt; 0, NOT(ISBLANK(SamplingData[[#This Row],[Candidate 5]]))),(SamplingData[[#This Row],[Total]]+SamplingData[[#This Row],[Winning Candidate]]-SamplingData[[#This Row],[Candidate 5]])/(SamplingData[[#Totals],[Winning Candidate]]-SamplingData[[#Totals],[Candidate 5]]), 0)</f>
        <v>0</v>
      </c>
      <c r="U103" s="100">
        <f>IF(AND(SamplingData[[#This Row],[Total]]&lt;&gt; 0, NOT(ISBLANK(SamplingData[[#This Row],[Candidate 6]]))),(SamplingData[[#This Row],[Total]]+SamplingData[[#This Row],[Losing Candidate]]-SamplingData[[#This Row],[Candidate 6]])/(SamplingData[[#Totals],[Winning Candidate]]-SamplingData[[#Totals],[Candidate 6]]), 0)</f>
        <v>0</v>
      </c>
      <c r="V103" s="100">
        <f>IF(AND(SamplingData[[#This Row],[Total]]&lt;&gt; 0, NOT(ISBLANK(SamplingData[[#This Row],[Candidate 7]]))),(SamplingData[[#This Row],[Total]]+SamplingData[[#This Row],[Winning Candidate]]-SamplingData[[#This Row],[Candidate 7]])/(SamplingData[[#Totals],[Winning Candidate]]-SamplingData[[#Totals],[Candidate 7]]), 0)</f>
        <v>0</v>
      </c>
      <c r="W103" s="100">
        <f>IF(AND(SamplingData[[#This Row],[Total]]&lt;&gt; 0, NOT(ISBLANK(SamplingData[[#This Row],[Candidate 8]]))),(SamplingData[[#This Row],[Total]]+SamplingData[[#This Row],[Winning Candidate]]-SamplingData[[#This Row],[Candidate 8]])/(SamplingData[[#Totals],[Winning Candidate]]-SamplingData[[#Totals],[Candidate 8]]), 0)</f>
        <v>0</v>
      </c>
      <c r="X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00">
        <f>MAX(SamplingData[[#This Row],[Error Bound (up) - Max. possible relative overstatement - Losing Candidate]:[Error Bound (up) - Max. possible relative overstatement - Candidate 12]])</f>
        <v>1.8845996796180544E-4</v>
      </c>
      <c r="AC103" s="100">
        <f>IF(SamplingData[[#This Row],[Max Error Bound (up)]] = 0,0,SamplingData[[#This Row],[Max Error Bound (up)]]/SamplingData[[#Totals],[Max Error Bound (up)]])</f>
        <v>8.0762397027943816E-5</v>
      </c>
      <c r="AD103" s="104">
        <f>SUM($AC$5:AC103)</f>
        <v>1.8763796909492283E-2</v>
      </c>
      <c r="AE103" s="100" t="str" cm="1">
        <f t="array" ref="AE103">IF(SamplingData[[#This Row],[up/U Selection Probability]] = 0, "Zero", TEXT(SamplingData[[#This Row],[Lower Range]], REPT("0",LEN('General Info'!$B$42))) &amp; " - " &amp; TEXT(SamplingData[[#This Row],[Upper Range]], REPT("0",LEN('General Info'!$B$42))))</f>
        <v>01868 - 01875</v>
      </c>
      <c r="AF103" s="100">
        <f>SamplingData[[#This Row],[Upper Range]]-SamplingData[[#This Row],[Span]]</f>
        <v>1868.303451246434</v>
      </c>
      <c r="AG103" s="100">
        <f>IF(ISNUMBER('General Info'!$B$42), ((SamplingData[[#This Row],[up/U Selection Probability]]) * 'General Info'!$B$44) - 1, 0)</f>
        <v>7.076239702794382</v>
      </c>
      <c r="AH103" s="100">
        <f>IF(ISNUMBER('General Info'!$B$42), (SamplingData[[#This Row],[Running (cumulative) sum]] * ('General Info'!$B$42 -'General Info'!$B$43 + 1)) + 'General Info'!$B$43 - 1, 0)</f>
        <v>1875.3796909492282</v>
      </c>
      <c r="AI103" s="100" t="str">
        <f>IF(ISERROR(MATCH(SamplingData[[#This Row],[Batch by Type (p)]],SelectedPrecincts[Batch Name], 0)), "", INDEX(SelectedPrecincts[Draw], MATCH(SamplingData[[#This Row],[Batch by Type (p)]],SelectedPrecincts[Batch Name], 0)))</f>
        <v/>
      </c>
      <c r="AJ103" s="101">
        <f>IF(COUNTIF(SelectedPrecincts[Batch Name],SamplingData[[#This Row],[Batch by Type (p)]]) &lt;&gt; 0, COUNTIF(SelectedPrecincts[Batch Name],SamplingData[[#This Row],[Batch by Type (p)]]), 0)</f>
        <v>0</v>
      </c>
    </row>
    <row r="104" spans="1:36" ht="15" customHeight="1" x14ac:dyDescent="0.35">
      <c r="A104" s="98" t="s">
        <v>316</v>
      </c>
      <c r="B104" s="98">
        <v>3</v>
      </c>
      <c r="C104" s="98">
        <v>1</v>
      </c>
      <c r="D104" s="93"/>
      <c r="E104" s="93"/>
      <c r="F104" s="93"/>
      <c r="G104" s="97"/>
      <c r="H104" s="97"/>
      <c r="I104" s="93"/>
      <c r="J104" s="93"/>
      <c r="K104" s="93"/>
      <c r="L104" s="93"/>
      <c r="M104" s="93"/>
      <c r="N104" s="98">
        <v>0</v>
      </c>
      <c r="O104" s="98">
        <v>0</v>
      </c>
      <c r="P104" s="99">
        <f>SUM(SamplingData[[#This Row],[Winning Candidate]:[Under Votes]])</f>
        <v>4</v>
      </c>
      <c r="Q10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04" s="100">
        <f>IF(AND(SamplingData[[#This Row],[Total]]&lt;&gt; 0, NOT(ISBLANK(SamplingData[[#This Row],[Candidate 3]]))),(SamplingData[[#This Row],[Total]]+SamplingData[[#This Row],[Winning Candidate]]-SamplingData[[#This Row],[Candidate 3]])/(SamplingData[[#Totals],[Winning Candidate]]-SamplingData[[#Totals],[Candidate 3]]), 0)</f>
        <v>0</v>
      </c>
      <c r="S104" s="100">
        <f>IF(AND(SamplingData[[#This Row],[Total]]&lt;&gt; 0, NOT(ISBLANK(SamplingData[[#This Row],[Candidate 4]]))),(SamplingData[[#This Row],[Total]]+SamplingData[[#This Row],[Winning Candidate]]-SamplingData[[#This Row],[Candidate 4]])/(SamplingData[[#Totals],[Winning Candidate]]-SamplingData[[#Totals],[Candidate 4]]), 0)</f>
        <v>0</v>
      </c>
      <c r="T104" s="100">
        <f>IF(AND(SamplingData[[#This Row],[Total]]&lt;&gt; 0, NOT(ISBLANK(SamplingData[[#This Row],[Candidate 5]]))),(SamplingData[[#This Row],[Total]]+SamplingData[[#This Row],[Winning Candidate]]-SamplingData[[#This Row],[Candidate 5]])/(SamplingData[[#Totals],[Winning Candidate]]-SamplingData[[#Totals],[Candidate 5]]), 0)</f>
        <v>0</v>
      </c>
      <c r="U104" s="100">
        <f>IF(AND(SamplingData[[#This Row],[Total]]&lt;&gt; 0, NOT(ISBLANK(SamplingData[[#This Row],[Candidate 6]]))),(SamplingData[[#This Row],[Total]]+SamplingData[[#This Row],[Losing Candidate]]-SamplingData[[#This Row],[Candidate 6]])/(SamplingData[[#Totals],[Winning Candidate]]-SamplingData[[#Totals],[Candidate 6]]), 0)</f>
        <v>0</v>
      </c>
      <c r="V104" s="100">
        <f>IF(AND(SamplingData[[#This Row],[Total]]&lt;&gt; 0, NOT(ISBLANK(SamplingData[[#This Row],[Candidate 7]]))),(SamplingData[[#This Row],[Total]]+SamplingData[[#This Row],[Winning Candidate]]-SamplingData[[#This Row],[Candidate 7]])/(SamplingData[[#Totals],[Winning Candidate]]-SamplingData[[#Totals],[Candidate 7]]), 0)</f>
        <v>0</v>
      </c>
      <c r="W104" s="100">
        <f>IF(AND(SamplingData[[#This Row],[Total]]&lt;&gt; 0, NOT(ISBLANK(SamplingData[[#This Row],[Candidate 8]]))),(SamplingData[[#This Row],[Total]]+SamplingData[[#This Row],[Winning Candidate]]-SamplingData[[#This Row],[Candidate 8]])/(SamplingData[[#Totals],[Winning Candidate]]-SamplingData[[#Totals],[Candidate 8]]), 0)</f>
        <v>0</v>
      </c>
      <c r="X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00">
        <f>MAX(SamplingData[[#This Row],[Error Bound (up) - Max. possible relative overstatement - Losing Candidate]:[Error Bound (up) - Max. possible relative overstatement - Candidate 12]])</f>
        <v>1.8845996796180544E-4</v>
      </c>
      <c r="AC104" s="100">
        <f>IF(SamplingData[[#This Row],[Max Error Bound (up)]] = 0,0,SamplingData[[#This Row],[Max Error Bound (up)]]/SamplingData[[#Totals],[Max Error Bound (up)]])</f>
        <v>8.0762397027943816E-5</v>
      </c>
      <c r="AD104" s="104">
        <f>SUM($AC$5:AC104)</f>
        <v>1.8844559306520226E-2</v>
      </c>
      <c r="AE104" s="100" t="str" cm="1">
        <f t="array" ref="AE104">IF(SamplingData[[#This Row],[up/U Selection Probability]] = 0, "Zero", TEXT(SamplingData[[#This Row],[Lower Range]], REPT("0",LEN('General Info'!$B$42))) &amp; " - " &amp; TEXT(SamplingData[[#This Row],[Upper Range]], REPT("0",LEN('General Info'!$B$42))))</f>
        <v>01876 - 01883</v>
      </c>
      <c r="AF104" s="100">
        <f>SamplingData[[#This Row],[Upper Range]]-SamplingData[[#This Row],[Span]]</f>
        <v>1876.3796909492282</v>
      </c>
      <c r="AG104" s="100">
        <f>IF(ISNUMBER('General Info'!$B$42), ((SamplingData[[#This Row],[up/U Selection Probability]]) * 'General Info'!$B$44) - 1, 0)</f>
        <v>7.076239702794382</v>
      </c>
      <c r="AH104" s="100">
        <f>IF(ISNUMBER('General Info'!$B$42), (SamplingData[[#This Row],[Running (cumulative) sum]] * ('General Info'!$B$42 -'General Info'!$B$43 + 1)) + 'General Info'!$B$43 - 1, 0)</f>
        <v>1883.4559306520225</v>
      </c>
      <c r="AI104" s="100" t="str">
        <f>IF(ISERROR(MATCH(SamplingData[[#This Row],[Batch by Type (p)]],SelectedPrecincts[Batch Name], 0)), "", INDEX(SelectedPrecincts[Draw], MATCH(SamplingData[[#This Row],[Batch by Type (p)]],SelectedPrecincts[Batch Name], 0)))</f>
        <v/>
      </c>
      <c r="AJ104" s="101">
        <f>IF(COUNTIF(SelectedPrecincts[Batch Name],SamplingData[[#This Row],[Batch by Type (p)]]) &lt;&gt; 0, COUNTIF(SelectedPrecincts[Batch Name],SamplingData[[#This Row],[Batch by Type (p)]]), 0)</f>
        <v>0</v>
      </c>
    </row>
    <row r="105" spans="1:36" ht="15" customHeight="1" x14ac:dyDescent="0.35">
      <c r="A105" s="98" t="s">
        <v>317</v>
      </c>
      <c r="B105" s="98">
        <v>4</v>
      </c>
      <c r="C105" s="98">
        <v>1</v>
      </c>
      <c r="D105" s="93"/>
      <c r="E105" s="93"/>
      <c r="F105" s="93"/>
      <c r="G105" s="97"/>
      <c r="H105" s="97"/>
      <c r="I105" s="93"/>
      <c r="J105" s="93"/>
      <c r="K105" s="93"/>
      <c r="L105" s="93"/>
      <c r="M105" s="93"/>
      <c r="N105" s="98">
        <v>0</v>
      </c>
      <c r="O105" s="98">
        <v>0</v>
      </c>
      <c r="P105" s="99">
        <f>SUM(SamplingData[[#This Row],[Winning Candidate]:[Under Votes]])</f>
        <v>5</v>
      </c>
      <c r="Q10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05" s="100">
        <f>IF(AND(SamplingData[[#This Row],[Total]]&lt;&gt; 0, NOT(ISBLANK(SamplingData[[#This Row],[Candidate 3]]))),(SamplingData[[#This Row],[Total]]+SamplingData[[#This Row],[Winning Candidate]]-SamplingData[[#This Row],[Candidate 3]])/(SamplingData[[#Totals],[Winning Candidate]]-SamplingData[[#Totals],[Candidate 3]]), 0)</f>
        <v>0</v>
      </c>
      <c r="S105" s="100">
        <f>IF(AND(SamplingData[[#This Row],[Total]]&lt;&gt; 0, NOT(ISBLANK(SamplingData[[#This Row],[Candidate 4]]))),(SamplingData[[#This Row],[Total]]+SamplingData[[#This Row],[Winning Candidate]]-SamplingData[[#This Row],[Candidate 4]])/(SamplingData[[#Totals],[Winning Candidate]]-SamplingData[[#Totals],[Candidate 4]]), 0)</f>
        <v>0</v>
      </c>
      <c r="T105" s="100">
        <f>IF(AND(SamplingData[[#This Row],[Total]]&lt;&gt; 0, NOT(ISBLANK(SamplingData[[#This Row],[Candidate 5]]))),(SamplingData[[#This Row],[Total]]+SamplingData[[#This Row],[Winning Candidate]]-SamplingData[[#This Row],[Candidate 5]])/(SamplingData[[#Totals],[Winning Candidate]]-SamplingData[[#Totals],[Candidate 5]]), 0)</f>
        <v>0</v>
      </c>
      <c r="U105" s="100">
        <f>IF(AND(SamplingData[[#This Row],[Total]]&lt;&gt; 0, NOT(ISBLANK(SamplingData[[#This Row],[Candidate 6]]))),(SamplingData[[#This Row],[Total]]+SamplingData[[#This Row],[Losing Candidate]]-SamplingData[[#This Row],[Candidate 6]])/(SamplingData[[#Totals],[Winning Candidate]]-SamplingData[[#Totals],[Candidate 6]]), 0)</f>
        <v>0</v>
      </c>
      <c r="V105" s="100">
        <f>IF(AND(SamplingData[[#This Row],[Total]]&lt;&gt; 0, NOT(ISBLANK(SamplingData[[#This Row],[Candidate 7]]))),(SamplingData[[#This Row],[Total]]+SamplingData[[#This Row],[Winning Candidate]]-SamplingData[[#This Row],[Candidate 7]])/(SamplingData[[#Totals],[Winning Candidate]]-SamplingData[[#Totals],[Candidate 7]]), 0)</f>
        <v>0</v>
      </c>
      <c r="W105" s="100">
        <f>IF(AND(SamplingData[[#This Row],[Total]]&lt;&gt; 0, NOT(ISBLANK(SamplingData[[#This Row],[Candidate 8]]))),(SamplingData[[#This Row],[Total]]+SamplingData[[#This Row],[Winning Candidate]]-SamplingData[[#This Row],[Candidate 8]])/(SamplingData[[#Totals],[Winning Candidate]]-SamplingData[[#Totals],[Candidate 8]]), 0)</f>
        <v>0</v>
      </c>
      <c r="X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00">
        <f>MAX(SamplingData[[#This Row],[Error Bound (up) - Max. possible relative overstatement - Losing Candidate]:[Error Bound (up) - Max. possible relative overstatement - Candidate 12]])</f>
        <v>2.5127995728240724E-4</v>
      </c>
      <c r="AC105" s="100">
        <f>IF(SamplingData[[#This Row],[Max Error Bound (up)]] = 0,0,SamplingData[[#This Row],[Max Error Bound (up)]]/SamplingData[[#Totals],[Max Error Bound (up)]])</f>
        <v>1.0768319603725841E-4</v>
      </c>
      <c r="AD105" s="104">
        <f>SUM($AC$5:AC105)</f>
        <v>1.8952242502557486E-2</v>
      </c>
      <c r="AE105" s="100" t="str" cm="1">
        <f t="array" ref="AE105">IF(SamplingData[[#This Row],[up/U Selection Probability]] = 0, "Zero", TEXT(SamplingData[[#This Row],[Lower Range]], REPT("0",LEN('General Info'!$B$42))) &amp; " - " &amp; TEXT(SamplingData[[#This Row],[Upper Range]], REPT("0",LEN('General Info'!$B$42))))</f>
        <v>01884 - 01894</v>
      </c>
      <c r="AF105" s="100">
        <f>SamplingData[[#This Row],[Upper Range]]-SamplingData[[#This Row],[Span]]</f>
        <v>1884.4559306520227</v>
      </c>
      <c r="AG105" s="100">
        <f>IF(ISNUMBER('General Info'!$B$42), ((SamplingData[[#This Row],[up/U Selection Probability]]) * 'General Info'!$B$44) - 1, 0)</f>
        <v>9.7683196037258408</v>
      </c>
      <c r="AH105" s="100">
        <f>IF(ISNUMBER('General Info'!$B$42), (SamplingData[[#This Row],[Running (cumulative) sum]] * ('General Info'!$B$42 -'General Info'!$B$43 + 1)) + 'General Info'!$B$43 - 1, 0)</f>
        <v>1894.2242502557485</v>
      </c>
      <c r="AI105" s="100" t="str">
        <f>IF(ISERROR(MATCH(SamplingData[[#This Row],[Batch by Type (p)]],SelectedPrecincts[Batch Name], 0)), "", INDEX(SelectedPrecincts[Draw], MATCH(SamplingData[[#This Row],[Batch by Type (p)]],SelectedPrecincts[Batch Name], 0)))</f>
        <v/>
      </c>
      <c r="AJ105" s="101">
        <f>IF(COUNTIF(SelectedPrecincts[Batch Name],SamplingData[[#This Row],[Batch by Type (p)]]) &lt;&gt; 0, COUNTIF(SelectedPrecincts[Batch Name],SamplingData[[#This Row],[Batch by Type (p)]]), 0)</f>
        <v>0</v>
      </c>
    </row>
    <row r="106" spans="1:36" ht="15" customHeight="1" x14ac:dyDescent="0.35">
      <c r="A106" s="98" t="s">
        <v>318</v>
      </c>
      <c r="B106" s="98">
        <v>0</v>
      </c>
      <c r="C106" s="98">
        <v>1</v>
      </c>
      <c r="D106" s="93"/>
      <c r="E106" s="93"/>
      <c r="F106" s="93"/>
      <c r="G106" s="97"/>
      <c r="H106" s="97"/>
      <c r="I106" s="93"/>
      <c r="J106" s="93"/>
      <c r="K106" s="93"/>
      <c r="L106" s="93"/>
      <c r="M106" s="93"/>
      <c r="N106" s="98">
        <v>0</v>
      </c>
      <c r="O106" s="98">
        <v>0</v>
      </c>
      <c r="P106" s="99">
        <f>SUM(SamplingData[[#This Row],[Winning Candidate]:[Under Votes]])</f>
        <v>1</v>
      </c>
      <c r="Q106" s="100">
        <f>IF(AND(SamplingData[[#This Row],[Total]]&lt;&gt; 0, NOT(ISBLANK(SamplingData[[#This Row],[Losing Candidate]]))),(SamplingData[[#This Row],[Total]]+SamplingData[[#This Row],[Winning Candidate]]-SamplingData[[#This Row],[Losing Candidate]])/(SamplingData[[#Totals],[Winning Candidate]]-SamplingData[[#Totals],[Losing Candidate]]), 0)</f>
        <v>0</v>
      </c>
      <c r="R106" s="100">
        <f>IF(AND(SamplingData[[#This Row],[Total]]&lt;&gt; 0, NOT(ISBLANK(SamplingData[[#This Row],[Candidate 3]]))),(SamplingData[[#This Row],[Total]]+SamplingData[[#This Row],[Winning Candidate]]-SamplingData[[#This Row],[Candidate 3]])/(SamplingData[[#Totals],[Winning Candidate]]-SamplingData[[#Totals],[Candidate 3]]), 0)</f>
        <v>0</v>
      </c>
      <c r="S106" s="100">
        <f>IF(AND(SamplingData[[#This Row],[Total]]&lt;&gt; 0, NOT(ISBLANK(SamplingData[[#This Row],[Candidate 4]]))),(SamplingData[[#This Row],[Total]]+SamplingData[[#This Row],[Winning Candidate]]-SamplingData[[#This Row],[Candidate 4]])/(SamplingData[[#Totals],[Winning Candidate]]-SamplingData[[#Totals],[Candidate 4]]), 0)</f>
        <v>0</v>
      </c>
      <c r="T106" s="100">
        <f>IF(AND(SamplingData[[#This Row],[Total]]&lt;&gt; 0, NOT(ISBLANK(SamplingData[[#This Row],[Candidate 5]]))),(SamplingData[[#This Row],[Total]]+SamplingData[[#This Row],[Winning Candidate]]-SamplingData[[#This Row],[Candidate 5]])/(SamplingData[[#Totals],[Winning Candidate]]-SamplingData[[#Totals],[Candidate 5]]), 0)</f>
        <v>0</v>
      </c>
      <c r="U106" s="100">
        <f>IF(AND(SamplingData[[#This Row],[Total]]&lt;&gt; 0, NOT(ISBLANK(SamplingData[[#This Row],[Candidate 6]]))),(SamplingData[[#This Row],[Total]]+SamplingData[[#This Row],[Losing Candidate]]-SamplingData[[#This Row],[Candidate 6]])/(SamplingData[[#Totals],[Winning Candidate]]-SamplingData[[#Totals],[Candidate 6]]), 0)</f>
        <v>0</v>
      </c>
      <c r="V106" s="100">
        <f>IF(AND(SamplingData[[#This Row],[Total]]&lt;&gt; 0, NOT(ISBLANK(SamplingData[[#This Row],[Candidate 7]]))),(SamplingData[[#This Row],[Total]]+SamplingData[[#This Row],[Winning Candidate]]-SamplingData[[#This Row],[Candidate 7]])/(SamplingData[[#Totals],[Winning Candidate]]-SamplingData[[#Totals],[Candidate 7]]), 0)</f>
        <v>0</v>
      </c>
      <c r="W106" s="100">
        <f>IF(AND(SamplingData[[#This Row],[Total]]&lt;&gt; 0, NOT(ISBLANK(SamplingData[[#This Row],[Candidate 8]]))),(SamplingData[[#This Row],[Total]]+SamplingData[[#This Row],[Winning Candidate]]-SamplingData[[#This Row],[Candidate 8]])/(SamplingData[[#Totals],[Winning Candidate]]-SamplingData[[#Totals],[Candidate 8]]), 0)</f>
        <v>0</v>
      </c>
      <c r="X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00">
        <f>MAX(SamplingData[[#This Row],[Error Bound (up) - Max. possible relative overstatement - Losing Candidate]:[Error Bound (up) - Max. possible relative overstatement - Candidate 12]])</f>
        <v>0</v>
      </c>
      <c r="AC106" s="100">
        <f>IF(SamplingData[[#This Row],[Max Error Bound (up)]] = 0,0,SamplingData[[#This Row],[Max Error Bound (up)]]/SamplingData[[#Totals],[Max Error Bound (up)]])</f>
        <v>0</v>
      </c>
      <c r="AD106" s="104">
        <f>SUM($AC$5:AC106)</f>
        <v>1.8952242502557486E-2</v>
      </c>
      <c r="AE106" s="100" t="str" cm="1">
        <f t="array" ref="AE106">IF(SamplingData[[#This Row],[up/U Selection Probability]] = 0, "Zero", TEXT(SamplingData[[#This Row],[Lower Range]], REPT("0",LEN('General Info'!$B$42))) &amp; " - " &amp; TEXT(SamplingData[[#This Row],[Upper Range]], REPT("0",LEN('General Info'!$B$42))))</f>
        <v>Zero</v>
      </c>
      <c r="AF106" s="100">
        <f>SamplingData[[#This Row],[Upper Range]]-SamplingData[[#This Row],[Span]]</f>
        <v>1895.2242502557485</v>
      </c>
      <c r="AG106" s="100">
        <f>IF(ISNUMBER('General Info'!$B$42), ((SamplingData[[#This Row],[up/U Selection Probability]]) * 'General Info'!$B$44) - 1, 0)</f>
        <v>-1</v>
      </c>
      <c r="AH106" s="100">
        <f>IF(ISNUMBER('General Info'!$B$42), (SamplingData[[#This Row],[Running (cumulative) sum]] * ('General Info'!$B$42 -'General Info'!$B$43 + 1)) + 'General Info'!$B$43 - 1, 0)</f>
        <v>1894.2242502557485</v>
      </c>
      <c r="AI106" s="100" t="str">
        <f>IF(ISERROR(MATCH(SamplingData[[#This Row],[Batch by Type (p)]],SelectedPrecincts[Batch Name], 0)), "", INDEX(SelectedPrecincts[Draw], MATCH(SamplingData[[#This Row],[Batch by Type (p)]],SelectedPrecincts[Batch Name], 0)))</f>
        <v/>
      </c>
      <c r="AJ106" s="101">
        <f>IF(COUNTIF(SelectedPrecincts[Batch Name],SamplingData[[#This Row],[Batch by Type (p)]]) &lt;&gt; 0, COUNTIF(SelectedPrecincts[Batch Name],SamplingData[[#This Row],[Batch by Type (p)]]), 0)</f>
        <v>0</v>
      </c>
    </row>
    <row r="107" spans="1:36" ht="15" customHeight="1" x14ac:dyDescent="0.35">
      <c r="A107" s="98" t="s">
        <v>319</v>
      </c>
      <c r="B107" s="98">
        <v>1</v>
      </c>
      <c r="C107" s="98">
        <v>0</v>
      </c>
      <c r="D107" s="93"/>
      <c r="E107" s="93"/>
      <c r="F107" s="93"/>
      <c r="G107" s="97"/>
      <c r="H107" s="97"/>
      <c r="I107" s="93"/>
      <c r="J107" s="93"/>
      <c r="K107" s="93"/>
      <c r="L107" s="93"/>
      <c r="M107" s="93"/>
      <c r="N107" s="98">
        <v>0</v>
      </c>
      <c r="O107" s="98">
        <v>1</v>
      </c>
      <c r="P107" s="99">
        <f>SUM(SamplingData[[#This Row],[Winning Candidate]:[Under Votes]])</f>
        <v>2</v>
      </c>
      <c r="Q107" s="100">
        <f>IF(AND(SamplingData[[#This Row],[Total]]&lt;&gt; 0, NOT(ISBLANK(SamplingData[[#This Row],[Losing Candidate]]))),(SamplingData[[#This Row],[Total]]+SamplingData[[#This Row],[Winning Candidate]]-SamplingData[[#This Row],[Losing Candidate]])/(SamplingData[[#Totals],[Winning Candidate]]-SamplingData[[#Totals],[Losing Candidate]]), 0)</f>
        <v>9.4229983980902721E-5</v>
      </c>
      <c r="R107" s="100">
        <f>IF(AND(SamplingData[[#This Row],[Total]]&lt;&gt; 0, NOT(ISBLANK(SamplingData[[#This Row],[Candidate 3]]))),(SamplingData[[#This Row],[Total]]+SamplingData[[#This Row],[Winning Candidate]]-SamplingData[[#This Row],[Candidate 3]])/(SamplingData[[#Totals],[Winning Candidate]]-SamplingData[[#Totals],[Candidate 3]]), 0)</f>
        <v>0</v>
      </c>
      <c r="S107" s="100">
        <f>IF(AND(SamplingData[[#This Row],[Total]]&lt;&gt; 0, NOT(ISBLANK(SamplingData[[#This Row],[Candidate 4]]))),(SamplingData[[#This Row],[Total]]+SamplingData[[#This Row],[Winning Candidate]]-SamplingData[[#This Row],[Candidate 4]])/(SamplingData[[#Totals],[Winning Candidate]]-SamplingData[[#Totals],[Candidate 4]]), 0)</f>
        <v>0</v>
      </c>
      <c r="T107" s="100">
        <f>IF(AND(SamplingData[[#This Row],[Total]]&lt;&gt; 0, NOT(ISBLANK(SamplingData[[#This Row],[Candidate 5]]))),(SamplingData[[#This Row],[Total]]+SamplingData[[#This Row],[Winning Candidate]]-SamplingData[[#This Row],[Candidate 5]])/(SamplingData[[#Totals],[Winning Candidate]]-SamplingData[[#Totals],[Candidate 5]]), 0)</f>
        <v>0</v>
      </c>
      <c r="U107" s="100">
        <f>IF(AND(SamplingData[[#This Row],[Total]]&lt;&gt; 0, NOT(ISBLANK(SamplingData[[#This Row],[Candidate 6]]))),(SamplingData[[#This Row],[Total]]+SamplingData[[#This Row],[Losing Candidate]]-SamplingData[[#This Row],[Candidate 6]])/(SamplingData[[#Totals],[Winning Candidate]]-SamplingData[[#Totals],[Candidate 6]]), 0)</f>
        <v>0</v>
      </c>
      <c r="V107" s="100">
        <f>IF(AND(SamplingData[[#This Row],[Total]]&lt;&gt; 0, NOT(ISBLANK(SamplingData[[#This Row],[Candidate 7]]))),(SamplingData[[#This Row],[Total]]+SamplingData[[#This Row],[Winning Candidate]]-SamplingData[[#This Row],[Candidate 7]])/(SamplingData[[#Totals],[Winning Candidate]]-SamplingData[[#Totals],[Candidate 7]]), 0)</f>
        <v>0</v>
      </c>
      <c r="W107" s="100">
        <f>IF(AND(SamplingData[[#This Row],[Total]]&lt;&gt; 0, NOT(ISBLANK(SamplingData[[#This Row],[Candidate 8]]))),(SamplingData[[#This Row],[Total]]+SamplingData[[#This Row],[Winning Candidate]]-SamplingData[[#This Row],[Candidate 8]])/(SamplingData[[#Totals],[Winning Candidate]]-SamplingData[[#Totals],[Candidate 8]]), 0)</f>
        <v>0</v>
      </c>
      <c r="X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00">
        <f>MAX(SamplingData[[#This Row],[Error Bound (up) - Max. possible relative overstatement - Losing Candidate]:[Error Bound (up) - Max. possible relative overstatement - Candidate 12]])</f>
        <v>9.4229983980902721E-5</v>
      </c>
      <c r="AC107" s="100">
        <f>IF(SamplingData[[#This Row],[Max Error Bound (up)]] = 0,0,SamplingData[[#This Row],[Max Error Bound (up)]]/SamplingData[[#Totals],[Max Error Bound (up)]])</f>
        <v>4.0381198513971908E-5</v>
      </c>
      <c r="AD107" s="104">
        <f>SUM($AC$5:AC107)</f>
        <v>1.8992623701071458E-2</v>
      </c>
      <c r="AE107" s="100" t="str" cm="1">
        <f t="array" ref="AE107">IF(SamplingData[[#This Row],[up/U Selection Probability]] = 0, "Zero", TEXT(SamplingData[[#This Row],[Lower Range]], REPT("0",LEN('General Info'!$B$42))) &amp; " - " &amp; TEXT(SamplingData[[#This Row],[Upper Range]], REPT("0",LEN('General Info'!$B$42))))</f>
        <v>01895 - 01898</v>
      </c>
      <c r="AF107" s="100">
        <f>SamplingData[[#This Row],[Upper Range]]-SamplingData[[#This Row],[Span]]</f>
        <v>1895.2242502557488</v>
      </c>
      <c r="AG107" s="100">
        <f>IF(ISNUMBER('General Info'!$B$42), ((SamplingData[[#This Row],[up/U Selection Probability]]) * 'General Info'!$B$44) - 1, 0)</f>
        <v>3.038119851397191</v>
      </c>
      <c r="AH107" s="100">
        <f>IF(ISNUMBER('General Info'!$B$42), (SamplingData[[#This Row],[Running (cumulative) sum]] * ('General Info'!$B$42 -'General Info'!$B$43 + 1)) + 'General Info'!$B$43 - 1, 0)</f>
        <v>1898.2623701071459</v>
      </c>
      <c r="AI107" s="100" t="str">
        <f>IF(ISERROR(MATCH(SamplingData[[#This Row],[Batch by Type (p)]],SelectedPrecincts[Batch Name], 0)), "", INDEX(SelectedPrecincts[Draw], MATCH(SamplingData[[#This Row],[Batch by Type (p)]],SelectedPrecincts[Batch Name], 0)))</f>
        <v/>
      </c>
      <c r="AJ107" s="101">
        <f>IF(COUNTIF(SelectedPrecincts[Batch Name],SamplingData[[#This Row],[Batch by Type (p)]]) &lt;&gt; 0, COUNTIF(SelectedPrecincts[Batch Name],SamplingData[[#This Row],[Batch by Type (p)]]), 0)</f>
        <v>0</v>
      </c>
    </row>
    <row r="108" spans="1:36" ht="15" customHeight="1" x14ac:dyDescent="0.35">
      <c r="A108" s="98" t="s">
        <v>320</v>
      </c>
      <c r="B108" s="98">
        <v>3</v>
      </c>
      <c r="C108" s="98">
        <v>0</v>
      </c>
      <c r="D108" s="93"/>
      <c r="E108" s="93"/>
      <c r="F108" s="93"/>
      <c r="G108" s="97"/>
      <c r="H108" s="97"/>
      <c r="I108" s="93"/>
      <c r="J108" s="93"/>
      <c r="K108" s="93"/>
      <c r="L108" s="93"/>
      <c r="M108" s="93"/>
      <c r="N108" s="98">
        <v>0</v>
      </c>
      <c r="O108" s="98">
        <v>0</v>
      </c>
      <c r="P108" s="99">
        <f>SUM(SamplingData[[#This Row],[Winning Candidate]:[Under Votes]])</f>
        <v>3</v>
      </c>
      <c r="Q108"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08" s="100">
        <f>IF(AND(SamplingData[[#This Row],[Total]]&lt;&gt; 0, NOT(ISBLANK(SamplingData[[#This Row],[Candidate 3]]))),(SamplingData[[#This Row],[Total]]+SamplingData[[#This Row],[Winning Candidate]]-SamplingData[[#This Row],[Candidate 3]])/(SamplingData[[#Totals],[Winning Candidate]]-SamplingData[[#Totals],[Candidate 3]]), 0)</f>
        <v>0</v>
      </c>
      <c r="S108" s="100">
        <f>IF(AND(SamplingData[[#This Row],[Total]]&lt;&gt; 0, NOT(ISBLANK(SamplingData[[#This Row],[Candidate 4]]))),(SamplingData[[#This Row],[Total]]+SamplingData[[#This Row],[Winning Candidate]]-SamplingData[[#This Row],[Candidate 4]])/(SamplingData[[#Totals],[Winning Candidate]]-SamplingData[[#Totals],[Candidate 4]]), 0)</f>
        <v>0</v>
      </c>
      <c r="T108" s="100">
        <f>IF(AND(SamplingData[[#This Row],[Total]]&lt;&gt; 0, NOT(ISBLANK(SamplingData[[#This Row],[Candidate 5]]))),(SamplingData[[#This Row],[Total]]+SamplingData[[#This Row],[Winning Candidate]]-SamplingData[[#This Row],[Candidate 5]])/(SamplingData[[#Totals],[Winning Candidate]]-SamplingData[[#Totals],[Candidate 5]]), 0)</f>
        <v>0</v>
      </c>
      <c r="U108" s="100">
        <f>IF(AND(SamplingData[[#This Row],[Total]]&lt;&gt; 0, NOT(ISBLANK(SamplingData[[#This Row],[Candidate 6]]))),(SamplingData[[#This Row],[Total]]+SamplingData[[#This Row],[Losing Candidate]]-SamplingData[[#This Row],[Candidate 6]])/(SamplingData[[#Totals],[Winning Candidate]]-SamplingData[[#Totals],[Candidate 6]]), 0)</f>
        <v>0</v>
      </c>
      <c r="V108" s="100">
        <f>IF(AND(SamplingData[[#This Row],[Total]]&lt;&gt; 0, NOT(ISBLANK(SamplingData[[#This Row],[Candidate 7]]))),(SamplingData[[#This Row],[Total]]+SamplingData[[#This Row],[Winning Candidate]]-SamplingData[[#This Row],[Candidate 7]])/(SamplingData[[#Totals],[Winning Candidate]]-SamplingData[[#Totals],[Candidate 7]]), 0)</f>
        <v>0</v>
      </c>
      <c r="W108" s="100">
        <f>IF(AND(SamplingData[[#This Row],[Total]]&lt;&gt; 0, NOT(ISBLANK(SamplingData[[#This Row],[Candidate 8]]))),(SamplingData[[#This Row],[Total]]+SamplingData[[#This Row],[Winning Candidate]]-SamplingData[[#This Row],[Candidate 8]])/(SamplingData[[#Totals],[Winning Candidate]]-SamplingData[[#Totals],[Candidate 8]]), 0)</f>
        <v>0</v>
      </c>
      <c r="X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00">
        <f>MAX(SamplingData[[#This Row],[Error Bound (up) - Max. possible relative overstatement - Losing Candidate]:[Error Bound (up) - Max. possible relative overstatement - Candidate 12]])</f>
        <v>1.8845996796180544E-4</v>
      </c>
      <c r="AC108" s="100">
        <f>IF(SamplingData[[#This Row],[Max Error Bound (up)]] = 0,0,SamplingData[[#This Row],[Max Error Bound (up)]]/SamplingData[[#Totals],[Max Error Bound (up)]])</f>
        <v>8.0762397027943816E-5</v>
      </c>
      <c r="AD108" s="104">
        <f>SUM($AC$5:AC108)</f>
        <v>1.9073386098099401E-2</v>
      </c>
      <c r="AE108" s="100" t="str" cm="1">
        <f t="array" ref="AE108">IF(SamplingData[[#This Row],[up/U Selection Probability]] = 0, "Zero", TEXT(SamplingData[[#This Row],[Lower Range]], REPT("0",LEN('General Info'!$B$42))) &amp; " - " &amp; TEXT(SamplingData[[#This Row],[Upper Range]], REPT("0",LEN('General Info'!$B$42))))</f>
        <v>01899 - 01906</v>
      </c>
      <c r="AF108" s="100">
        <f>SamplingData[[#This Row],[Upper Range]]-SamplingData[[#This Row],[Span]]</f>
        <v>1899.2623701071459</v>
      </c>
      <c r="AG108" s="100">
        <f>IF(ISNUMBER('General Info'!$B$42), ((SamplingData[[#This Row],[up/U Selection Probability]]) * 'General Info'!$B$44) - 1, 0)</f>
        <v>7.076239702794382</v>
      </c>
      <c r="AH108" s="100">
        <f>IF(ISNUMBER('General Info'!$B$42), (SamplingData[[#This Row],[Running (cumulative) sum]] * ('General Info'!$B$42 -'General Info'!$B$43 + 1)) + 'General Info'!$B$43 - 1, 0)</f>
        <v>1906.3386098099402</v>
      </c>
      <c r="AI108" s="100" t="str">
        <f>IF(ISERROR(MATCH(SamplingData[[#This Row],[Batch by Type (p)]],SelectedPrecincts[Batch Name], 0)), "", INDEX(SelectedPrecincts[Draw], MATCH(SamplingData[[#This Row],[Batch by Type (p)]],SelectedPrecincts[Batch Name], 0)))</f>
        <v/>
      </c>
      <c r="AJ108" s="101">
        <f>IF(COUNTIF(SelectedPrecincts[Batch Name],SamplingData[[#This Row],[Batch by Type (p)]]) &lt;&gt; 0, COUNTIF(SelectedPrecincts[Batch Name],SamplingData[[#This Row],[Batch by Type (p)]]), 0)</f>
        <v>0</v>
      </c>
    </row>
    <row r="109" spans="1:36" ht="15" customHeight="1" x14ac:dyDescent="0.35">
      <c r="A109" s="98" t="s">
        <v>321</v>
      </c>
      <c r="B109" s="98">
        <v>7</v>
      </c>
      <c r="C109" s="98">
        <v>1</v>
      </c>
      <c r="D109" s="93"/>
      <c r="E109" s="93"/>
      <c r="F109" s="93"/>
      <c r="G109" s="97"/>
      <c r="H109" s="97"/>
      <c r="I109" s="93"/>
      <c r="J109" s="93"/>
      <c r="K109" s="93"/>
      <c r="L109" s="93"/>
      <c r="M109" s="93"/>
      <c r="N109" s="98">
        <v>0</v>
      </c>
      <c r="O109" s="98">
        <v>0</v>
      </c>
      <c r="P109" s="99">
        <f>SUM(SamplingData[[#This Row],[Winning Candidate]:[Under Votes]])</f>
        <v>8</v>
      </c>
      <c r="Q109"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109" s="100">
        <f>IF(AND(SamplingData[[#This Row],[Total]]&lt;&gt; 0, NOT(ISBLANK(SamplingData[[#This Row],[Candidate 3]]))),(SamplingData[[#This Row],[Total]]+SamplingData[[#This Row],[Winning Candidate]]-SamplingData[[#This Row],[Candidate 3]])/(SamplingData[[#Totals],[Winning Candidate]]-SamplingData[[#Totals],[Candidate 3]]), 0)</f>
        <v>0</v>
      </c>
      <c r="S109" s="100">
        <f>IF(AND(SamplingData[[#This Row],[Total]]&lt;&gt; 0, NOT(ISBLANK(SamplingData[[#This Row],[Candidate 4]]))),(SamplingData[[#This Row],[Total]]+SamplingData[[#This Row],[Winning Candidate]]-SamplingData[[#This Row],[Candidate 4]])/(SamplingData[[#Totals],[Winning Candidate]]-SamplingData[[#Totals],[Candidate 4]]), 0)</f>
        <v>0</v>
      </c>
      <c r="T109" s="100">
        <f>IF(AND(SamplingData[[#This Row],[Total]]&lt;&gt; 0, NOT(ISBLANK(SamplingData[[#This Row],[Candidate 5]]))),(SamplingData[[#This Row],[Total]]+SamplingData[[#This Row],[Winning Candidate]]-SamplingData[[#This Row],[Candidate 5]])/(SamplingData[[#Totals],[Winning Candidate]]-SamplingData[[#Totals],[Candidate 5]]), 0)</f>
        <v>0</v>
      </c>
      <c r="U109" s="100">
        <f>IF(AND(SamplingData[[#This Row],[Total]]&lt;&gt; 0, NOT(ISBLANK(SamplingData[[#This Row],[Candidate 6]]))),(SamplingData[[#This Row],[Total]]+SamplingData[[#This Row],[Losing Candidate]]-SamplingData[[#This Row],[Candidate 6]])/(SamplingData[[#Totals],[Winning Candidate]]-SamplingData[[#Totals],[Candidate 6]]), 0)</f>
        <v>0</v>
      </c>
      <c r="V109" s="100">
        <f>IF(AND(SamplingData[[#This Row],[Total]]&lt;&gt; 0, NOT(ISBLANK(SamplingData[[#This Row],[Candidate 7]]))),(SamplingData[[#This Row],[Total]]+SamplingData[[#This Row],[Winning Candidate]]-SamplingData[[#This Row],[Candidate 7]])/(SamplingData[[#Totals],[Winning Candidate]]-SamplingData[[#Totals],[Candidate 7]]), 0)</f>
        <v>0</v>
      </c>
      <c r="W109" s="100">
        <f>IF(AND(SamplingData[[#This Row],[Total]]&lt;&gt; 0, NOT(ISBLANK(SamplingData[[#This Row],[Candidate 8]]))),(SamplingData[[#This Row],[Total]]+SamplingData[[#This Row],[Winning Candidate]]-SamplingData[[#This Row],[Candidate 8]])/(SamplingData[[#Totals],[Winning Candidate]]-SamplingData[[#Totals],[Candidate 8]]), 0)</f>
        <v>0</v>
      </c>
      <c r="X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00">
        <f>MAX(SamplingData[[#This Row],[Error Bound (up) - Max. possible relative overstatement - Losing Candidate]:[Error Bound (up) - Max. possible relative overstatement - Candidate 12]])</f>
        <v>4.3973992524421271E-4</v>
      </c>
      <c r="AC109" s="100">
        <f>IF(SamplingData[[#This Row],[Max Error Bound (up)]] = 0,0,SamplingData[[#This Row],[Max Error Bound (up)]]/SamplingData[[#Totals],[Max Error Bound (up)]])</f>
        <v>1.8844559306520223E-4</v>
      </c>
      <c r="AD109" s="104">
        <f>SUM($AC$5:AC109)</f>
        <v>1.9261831691164605E-2</v>
      </c>
      <c r="AE109" s="100" t="str" cm="1">
        <f t="array" ref="AE109">IF(SamplingData[[#This Row],[up/U Selection Probability]] = 0, "Zero", TEXT(SamplingData[[#This Row],[Lower Range]], REPT("0",LEN('General Info'!$B$42))) &amp; " - " &amp; TEXT(SamplingData[[#This Row],[Upper Range]], REPT("0",LEN('General Info'!$B$42))))</f>
        <v>01907 - 01925</v>
      </c>
      <c r="AF109" s="100">
        <f>SamplingData[[#This Row],[Upper Range]]-SamplingData[[#This Row],[Span]]</f>
        <v>1907.3386098099402</v>
      </c>
      <c r="AG109" s="100">
        <f>IF(ISNUMBER('General Info'!$B$42), ((SamplingData[[#This Row],[up/U Selection Probability]]) * 'General Info'!$B$44) - 1, 0)</f>
        <v>17.844559306520225</v>
      </c>
      <c r="AH109" s="100">
        <f>IF(ISNUMBER('General Info'!$B$42), (SamplingData[[#This Row],[Running (cumulative) sum]] * ('General Info'!$B$42 -'General Info'!$B$43 + 1)) + 'General Info'!$B$43 - 1, 0)</f>
        <v>1925.1831691164605</v>
      </c>
      <c r="AI109" s="100" t="str">
        <f>IF(ISERROR(MATCH(SamplingData[[#This Row],[Batch by Type (p)]],SelectedPrecincts[Batch Name], 0)), "", INDEX(SelectedPrecincts[Draw], MATCH(SamplingData[[#This Row],[Batch by Type (p)]],SelectedPrecincts[Batch Name], 0)))</f>
        <v/>
      </c>
      <c r="AJ109" s="101">
        <f>IF(COUNTIF(SelectedPrecincts[Batch Name],SamplingData[[#This Row],[Batch by Type (p)]]) &lt;&gt; 0, COUNTIF(SelectedPrecincts[Batch Name],SamplingData[[#This Row],[Batch by Type (p)]]), 0)</f>
        <v>0</v>
      </c>
    </row>
    <row r="110" spans="1:36" ht="15" customHeight="1" x14ac:dyDescent="0.35">
      <c r="A110" s="98" t="s">
        <v>322</v>
      </c>
      <c r="B110" s="98">
        <v>1</v>
      </c>
      <c r="C110" s="98">
        <v>0</v>
      </c>
      <c r="D110" s="93"/>
      <c r="E110" s="93"/>
      <c r="F110" s="93"/>
      <c r="G110" s="97"/>
      <c r="H110" s="97"/>
      <c r="I110" s="93"/>
      <c r="J110" s="93"/>
      <c r="K110" s="93"/>
      <c r="L110" s="93"/>
      <c r="M110" s="93"/>
      <c r="N110" s="98">
        <v>0</v>
      </c>
      <c r="O110" s="98">
        <v>0</v>
      </c>
      <c r="P110" s="99">
        <f>SUM(SamplingData[[#This Row],[Winning Candidate]:[Under Votes]])</f>
        <v>1</v>
      </c>
      <c r="Q110"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10" s="100">
        <f>IF(AND(SamplingData[[#This Row],[Total]]&lt;&gt; 0, NOT(ISBLANK(SamplingData[[#This Row],[Candidate 3]]))),(SamplingData[[#This Row],[Total]]+SamplingData[[#This Row],[Winning Candidate]]-SamplingData[[#This Row],[Candidate 3]])/(SamplingData[[#Totals],[Winning Candidate]]-SamplingData[[#Totals],[Candidate 3]]), 0)</f>
        <v>0</v>
      </c>
      <c r="S110" s="100">
        <f>IF(AND(SamplingData[[#This Row],[Total]]&lt;&gt; 0, NOT(ISBLANK(SamplingData[[#This Row],[Candidate 4]]))),(SamplingData[[#This Row],[Total]]+SamplingData[[#This Row],[Winning Candidate]]-SamplingData[[#This Row],[Candidate 4]])/(SamplingData[[#Totals],[Winning Candidate]]-SamplingData[[#Totals],[Candidate 4]]), 0)</f>
        <v>0</v>
      </c>
      <c r="T110" s="100">
        <f>IF(AND(SamplingData[[#This Row],[Total]]&lt;&gt; 0, NOT(ISBLANK(SamplingData[[#This Row],[Candidate 5]]))),(SamplingData[[#This Row],[Total]]+SamplingData[[#This Row],[Winning Candidate]]-SamplingData[[#This Row],[Candidate 5]])/(SamplingData[[#Totals],[Winning Candidate]]-SamplingData[[#Totals],[Candidate 5]]), 0)</f>
        <v>0</v>
      </c>
      <c r="U110" s="100">
        <f>IF(AND(SamplingData[[#This Row],[Total]]&lt;&gt; 0, NOT(ISBLANK(SamplingData[[#This Row],[Candidate 6]]))),(SamplingData[[#This Row],[Total]]+SamplingData[[#This Row],[Losing Candidate]]-SamplingData[[#This Row],[Candidate 6]])/(SamplingData[[#Totals],[Winning Candidate]]-SamplingData[[#Totals],[Candidate 6]]), 0)</f>
        <v>0</v>
      </c>
      <c r="V110" s="100">
        <f>IF(AND(SamplingData[[#This Row],[Total]]&lt;&gt; 0, NOT(ISBLANK(SamplingData[[#This Row],[Candidate 7]]))),(SamplingData[[#This Row],[Total]]+SamplingData[[#This Row],[Winning Candidate]]-SamplingData[[#This Row],[Candidate 7]])/(SamplingData[[#Totals],[Winning Candidate]]-SamplingData[[#Totals],[Candidate 7]]), 0)</f>
        <v>0</v>
      </c>
      <c r="W110" s="100">
        <f>IF(AND(SamplingData[[#This Row],[Total]]&lt;&gt; 0, NOT(ISBLANK(SamplingData[[#This Row],[Candidate 8]]))),(SamplingData[[#This Row],[Total]]+SamplingData[[#This Row],[Winning Candidate]]-SamplingData[[#This Row],[Candidate 8]])/(SamplingData[[#Totals],[Winning Candidate]]-SamplingData[[#Totals],[Candidate 8]]), 0)</f>
        <v>0</v>
      </c>
      <c r="X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00">
        <f>MAX(SamplingData[[#This Row],[Error Bound (up) - Max. possible relative overstatement - Losing Candidate]:[Error Bound (up) - Max. possible relative overstatement - Candidate 12]])</f>
        <v>6.2819989320601809E-5</v>
      </c>
      <c r="AC110" s="100">
        <f>IF(SamplingData[[#This Row],[Max Error Bound (up)]] = 0,0,SamplingData[[#This Row],[Max Error Bound (up)]]/SamplingData[[#Totals],[Max Error Bound (up)]])</f>
        <v>2.6920799009314603E-5</v>
      </c>
      <c r="AD110" s="104">
        <f>SUM($AC$5:AC110)</f>
        <v>1.9288752490173918E-2</v>
      </c>
      <c r="AE110" s="100" t="str" cm="1">
        <f t="array" ref="AE110">IF(SamplingData[[#This Row],[up/U Selection Probability]] = 0, "Zero", TEXT(SamplingData[[#This Row],[Lower Range]], REPT("0",LEN('General Info'!$B$42))) &amp; " - " &amp; TEXT(SamplingData[[#This Row],[Upper Range]], REPT("0",LEN('General Info'!$B$42))))</f>
        <v>01926 - 01928</v>
      </c>
      <c r="AF110" s="100">
        <f>SamplingData[[#This Row],[Upper Range]]-SamplingData[[#This Row],[Span]]</f>
        <v>1926.1831691164602</v>
      </c>
      <c r="AG110" s="100">
        <f>IF(ISNUMBER('General Info'!$B$42), ((SamplingData[[#This Row],[up/U Selection Probability]]) * 'General Info'!$B$44) - 1, 0)</f>
        <v>1.6920799009314602</v>
      </c>
      <c r="AH110" s="100">
        <f>IF(ISNUMBER('General Info'!$B$42), (SamplingData[[#This Row],[Running (cumulative) sum]] * ('General Info'!$B$42 -'General Info'!$B$43 + 1)) + 'General Info'!$B$43 - 1, 0)</f>
        <v>1927.8752490173918</v>
      </c>
      <c r="AI110" s="100" t="str">
        <f>IF(ISERROR(MATCH(SamplingData[[#This Row],[Batch by Type (p)]],SelectedPrecincts[Batch Name], 0)), "", INDEX(SelectedPrecincts[Draw], MATCH(SamplingData[[#This Row],[Batch by Type (p)]],SelectedPrecincts[Batch Name], 0)))</f>
        <v/>
      </c>
      <c r="AJ110" s="101">
        <f>IF(COUNTIF(SelectedPrecincts[Batch Name],SamplingData[[#This Row],[Batch by Type (p)]]) &lt;&gt; 0, COUNTIF(SelectedPrecincts[Batch Name],SamplingData[[#This Row],[Batch by Type (p)]]), 0)</f>
        <v>0</v>
      </c>
    </row>
    <row r="111" spans="1:36" ht="15" customHeight="1" x14ac:dyDescent="0.35">
      <c r="A111" s="98" t="s">
        <v>323</v>
      </c>
      <c r="B111" s="98">
        <v>12</v>
      </c>
      <c r="C111" s="98">
        <v>1</v>
      </c>
      <c r="D111" s="93"/>
      <c r="E111" s="93"/>
      <c r="F111" s="93"/>
      <c r="G111" s="97"/>
      <c r="H111" s="97"/>
      <c r="I111" s="93"/>
      <c r="J111" s="93"/>
      <c r="K111" s="93"/>
      <c r="L111" s="93"/>
      <c r="M111" s="93"/>
      <c r="N111" s="98">
        <v>0</v>
      </c>
      <c r="O111" s="98">
        <v>0</v>
      </c>
      <c r="P111" s="99">
        <f>SUM(SamplingData[[#This Row],[Winning Candidate]:[Under Votes]])</f>
        <v>13</v>
      </c>
      <c r="Q111"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111" s="100">
        <f>IF(AND(SamplingData[[#This Row],[Total]]&lt;&gt; 0, NOT(ISBLANK(SamplingData[[#This Row],[Candidate 3]]))),(SamplingData[[#This Row],[Total]]+SamplingData[[#This Row],[Winning Candidate]]-SamplingData[[#This Row],[Candidate 3]])/(SamplingData[[#Totals],[Winning Candidate]]-SamplingData[[#Totals],[Candidate 3]]), 0)</f>
        <v>0</v>
      </c>
      <c r="S111" s="100">
        <f>IF(AND(SamplingData[[#This Row],[Total]]&lt;&gt; 0, NOT(ISBLANK(SamplingData[[#This Row],[Candidate 4]]))),(SamplingData[[#This Row],[Total]]+SamplingData[[#This Row],[Winning Candidate]]-SamplingData[[#This Row],[Candidate 4]])/(SamplingData[[#Totals],[Winning Candidate]]-SamplingData[[#Totals],[Candidate 4]]), 0)</f>
        <v>0</v>
      </c>
      <c r="T111" s="100">
        <f>IF(AND(SamplingData[[#This Row],[Total]]&lt;&gt; 0, NOT(ISBLANK(SamplingData[[#This Row],[Candidate 5]]))),(SamplingData[[#This Row],[Total]]+SamplingData[[#This Row],[Winning Candidate]]-SamplingData[[#This Row],[Candidate 5]])/(SamplingData[[#Totals],[Winning Candidate]]-SamplingData[[#Totals],[Candidate 5]]), 0)</f>
        <v>0</v>
      </c>
      <c r="U111" s="100">
        <f>IF(AND(SamplingData[[#This Row],[Total]]&lt;&gt; 0, NOT(ISBLANK(SamplingData[[#This Row],[Candidate 6]]))),(SamplingData[[#This Row],[Total]]+SamplingData[[#This Row],[Losing Candidate]]-SamplingData[[#This Row],[Candidate 6]])/(SamplingData[[#Totals],[Winning Candidate]]-SamplingData[[#Totals],[Candidate 6]]), 0)</f>
        <v>0</v>
      </c>
      <c r="V111" s="100">
        <f>IF(AND(SamplingData[[#This Row],[Total]]&lt;&gt; 0, NOT(ISBLANK(SamplingData[[#This Row],[Candidate 7]]))),(SamplingData[[#This Row],[Total]]+SamplingData[[#This Row],[Winning Candidate]]-SamplingData[[#This Row],[Candidate 7]])/(SamplingData[[#Totals],[Winning Candidate]]-SamplingData[[#Totals],[Candidate 7]]), 0)</f>
        <v>0</v>
      </c>
      <c r="W111" s="100">
        <f>IF(AND(SamplingData[[#This Row],[Total]]&lt;&gt; 0, NOT(ISBLANK(SamplingData[[#This Row],[Candidate 8]]))),(SamplingData[[#This Row],[Total]]+SamplingData[[#This Row],[Winning Candidate]]-SamplingData[[#This Row],[Candidate 8]])/(SamplingData[[#Totals],[Winning Candidate]]-SamplingData[[#Totals],[Candidate 8]]), 0)</f>
        <v>0</v>
      </c>
      <c r="X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00">
        <f>MAX(SamplingData[[#This Row],[Error Bound (up) - Max. possible relative overstatement - Losing Candidate]:[Error Bound (up) - Max. possible relative overstatement - Candidate 12]])</f>
        <v>7.5383987184722177E-4</v>
      </c>
      <c r="AC111" s="100">
        <f>IF(SamplingData[[#This Row],[Max Error Bound (up)]] = 0,0,SamplingData[[#This Row],[Max Error Bound (up)]]/SamplingData[[#Totals],[Max Error Bound (up)]])</f>
        <v>3.2304958811177527E-4</v>
      </c>
      <c r="AD111" s="104">
        <f>SUM($AC$5:AC111)</f>
        <v>1.9611802078285695E-2</v>
      </c>
      <c r="AE111" s="100" t="str" cm="1">
        <f t="array" ref="AE111">IF(SamplingData[[#This Row],[up/U Selection Probability]] = 0, "Zero", TEXT(SamplingData[[#This Row],[Lower Range]], REPT("0",LEN('General Info'!$B$42))) &amp; " - " &amp; TEXT(SamplingData[[#This Row],[Upper Range]], REPT("0",LEN('General Info'!$B$42))))</f>
        <v>01929 - 01960</v>
      </c>
      <c r="AF111" s="100">
        <f>SamplingData[[#This Row],[Upper Range]]-SamplingData[[#This Row],[Span]]</f>
        <v>1928.875249017392</v>
      </c>
      <c r="AG111" s="100">
        <f>IF(ISNUMBER('General Info'!$B$42), ((SamplingData[[#This Row],[up/U Selection Probability]]) * 'General Info'!$B$44) - 1, 0)</f>
        <v>31.304958811177528</v>
      </c>
      <c r="AH111" s="100">
        <f>IF(ISNUMBER('General Info'!$B$42), (SamplingData[[#This Row],[Running (cumulative) sum]] * ('General Info'!$B$42 -'General Info'!$B$43 + 1)) + 'General Info'!$B$43 - 1, 0)</f>
        <v>1960.1802078285696</v>
      </c>
      <c r="AI111" s="100" t="str">
        <f>IF(ISERROR(MATCH(SamplingData[[#This Row],[Batch by Type (p)]],SelectedPrecincts[Batch Name], 0)), "", INDEX(SelectedPrecincts[Draw], MATCH(SamplingData[[#This Row],[Batch by Type (p)]],SelectedPrecincts[Batch Name], 0)))</f>
        <v/>
      </c>
      <c r="AJ111" s="101">
        <f>IF(COUNTIF(SelectedPrecincts[Batch Name],SamplingData[[#This Row],[Batch by Type (p)]]) &lt;&gt; 0, COUNTIF(SelectedPrecincts[Batch Name],SamplingData[[#This Row],[Batch by Type (p)]]), 0)</f>
        <v>0</v>
      </c>
    </row>
    <row r="112" spans="1:36" ht="15" customHeight="1" x14ac:dyDescent="0.35">
      <c r="A112" s="98" t="s">
        <v>324</v>
      </c>
      <c r="B112" s="98">
        <v>3</v>
      </c>
      <c r="C112" s="98">
        <v>1</v>
      </c>
      <c r="D112" s="93"/>
      <c r="E112" s="93"/>
      <c r="F112" s="93"/>
      <c r="G112" s="97"/>
      <c r="H112" s="97"/>
      <c r="I112" s="93"/>
      <c r="J112" s="93"/>
      <c r="K112" s="93"/>
      <c r="L112" s="93"/>
      <c r="M112" s="93"/>
      <c r="N112" s="98">
        <v>0</v>
      </c>
      <c r="O112" s="98">
        <v>0</v>
      </c>
      <c r="P112" s="99">
        <f>SUM(SamplingData[[#This Row],[Winning Candidate]:[Under Votes]])</f>
        <v>4</v>
      </c>
      <c r="Q112"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12" s="100">
        <f>IF(AND(SamplingData[[#This Row],[Total]]&lt;&gt; 0, NOT(ISBLANK(SamplingData[[#This Row],[Candidate 3]]))),(SamplingData[[#This Row],[Total]]+SamplingData[[#This Row],[Winning Candidate]]-SamplingData[[#This Row],[Candidate 3]])/(SamplingData[[#Totals],[Winning Candidate]]-SamplingData[[#Totals],[Candidate 3]]), 0)</f>
        <v>0</v>
      </c>
      <c r="S112" s="100">
        <f>IF(AND(SamplingData[[#This Row],[Total]]&lt;&gt; 0, NOT(ISBLANK(SamplingData[[#This Row],[Candidate 4]]))),(SamplingData[[#This Row],[Total]]+SamplingData[[#This Row],[Winning Candidate]]-SamplingData[[#This Row],[Candidate 4]])/(SamplingData[[#Totals],[Winning Candidate]]-SamplingData[[#Totals],[Candidate 4]]), 0)</f>
        <v>0</v>
      </c>
      <c r="T112" s="100">
        <f>IF(AND(SamplingData[[#This Row],[Total]]&lt;&gt; 0, NOT(ISBLANK(SamplingData[[#This Row],[Candidate 5]]))),(SamplingData[[#This Row],[Total]]+SamplingData[[#This Row],[Winning Candidate]]-SamplingData[[#This Row],[Candidate 5]])/(SamplingData[[#Totals],[Winning Candidate]]-SamplingData[[#Totals],[Candidate 5]]), 0)</f>
        <v>0</v>
      </c>
      <c r="U112" s="100">
        <f>IF(AND(SamplingData[[#This Row],[Total]]&lt;&gt; 0, NOT(ISBLANK(SamplingData[[#This Row],[Candidate 6]]))),(SamplingData[[#This Row],[Total]]+SamplingData[[#This Row],[Losing Candidate]]-SamplingData[[#This Row],[Candidate 6]])/(SamplingData[[#Totals],[Winning Candidate]]-SamplingData[[#Totals],[Candidate 6]]), 0)</f>
        <v>0</v>
      </c>
      <c r="V112" s="100">
        <f>IF(AND(SamplingData[[#This Row],[Total]]&lt;&gt; 0, NOT(ISBLANK(SamplingData[[#This Row],[Candidate 7]]))),(SamplingData[[#This Row],[Total]]+SamplingData[[#This Row],[Winning Candidate]]-SamplingData[[#This Row],[Candidate 7]])/(SamplingData[[#Totals],[Winning Candidate]]-SamplingData[[#Totals],[Candidate 7]]), 0)</f>
        <v>0</v>
      </c>
      <c r="W112" s="100">
        <f>IF(AND(SamplingData[[#This Row],[Total]]&lt;&gt; 0, NOT(ISBLANK(SamplingData[[#This Row],[Candidate 8]]))),(SamplingData[[#This Row],[Total]]+SamplingData[[#This Row],[Winning Candidate]]-SamplingData[[#This Row],[Candidate 8]])/(SamplingData[[#Totals],[Winning Candidate]]-SamplingData[[#Totals],[Candidate 8]]), 0)</f>
        <v>0</v>
      </c>
      <c r="X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00">
        <f>MAX(SamplingData[[#This Row],[Error Bound (up) - Max. possible relative overstatement - Losing Candidate]:[Error Bound (up) - Max. possible relative overstatement - Candidate 12]])</f>
        <v>1.8845996796180544E-4</v>
      </c>
      <c r="AC112" s="100">
        <f>IF(SamplingData[[#This Row],[Max Error Bound (up)]] = 0,0,SamplingData[[#This Row],[Max Error Bound (up)]]/SamplingData[[#Totals],[Max Error Bound (up)]])</f>
        <v>8.0762397027943816E-5</v>
      </c>
      <c r="AD112" s="104">
        <f>SUM($AC$5:AC112)</f>
        <v>1.9692564475313638E-2</v>
      </c>
      <c r="AE112" s="100" t="str" cm="1">
        <f t="array" ref="AE112">IF(SamplingData[[#This Row],[up/U Selection Probability]] = 0, "Zero", TEXT(SamplingData[[#This Row],[Lower Range]], REPT("0",LEN('General Info'!$B$42))) &amp; " - " &amp; TEXT(SamplingData[[#This Row],[Upper Range]], REPT("0",LEN('General Info'!$B$42))))</f>
        <v>01961 - 01968</v>
      </c>
      <c r="AF112" s="100">
        <f>SamplingData[[#This Row],[Upper Range]]-SamplingData[[#This Row],[Span]]</f>
        <v>1961.1802078285696</v>
      </c>
      <c r="AG112" s="100">
        <f>IF(ISNUMBER('General Info'!$B$42), ((SamplingData[[#This Row],[up/U Selection Probability]]) * 'General Info'!$B$44) - 1, 0)</f>
        <v>7.076239702794382</v>
      </c>
      <c r="AH112" s="100">
        <f>IF(ISNUMBER('General Info'!$B$42), (SamplingData[[#This Row],[Running (cumulative) sum]] * ('General Info'!$B$42 -'General Info'!$B$43 + 1)) + 'General Info'!$B$43 - 1, 0)</f>
        <v>1968.2564475313638</v>
      </c>
      <c r="AI112" s="100" t="str">
        <f>IF(ISERROR(MATCH(SamplingData[[#This Row],[Batch by Type (p)]],SelectedPrecincts[Batch Name], 0)), "", INDEX(SelectedPrecincts[Draw], MATCH(SamplingData[[#This Row],[Batch by Type (p)]],SelectedPrecincts[Batch Name], 0)))</f>
        <v/>
      </c>
      <c r="AJ112" s="101">
        <f>IF(COUNTIF(SelectedPrecincts[Batch Name],SamplingData[[#This Row],[Batch by Type (p)]]) &lt;&gt; 0, COUNTIF(SelectedPrecincts[Batch Name],SamplingData[[#This Row],[Batch by Type (p)]]), 0)</f>
        <v>0</v>
      </c>
    </row>
    <row r="113" spans="1:36" ht="15" customHeight="1" x14ac:dyDescent="0.35">
      <c r="A113" s="98" t="s">
        <v>325</v>
      </c>
      <c r="B113" s="98">
        <v>0</v>
      </c>
      <c r="C113" s="98">
        <v>0</v>
      </c>
      <c r="D113" s="93"/>
      <c r="E113" s="93"/>
      <c r="F113" s="93"/>
      <c r="G113" s="97"/>
      <c r="H113" s="97"/>
      <c r="I113" s="93"/>
      <c r="J113" s="93"/>
      <c r="K113" s="93"/>
      <c r="L113" s="93"/>
      <c r="M113" s="93"/>
      <c r="N113" s="98">
        <v>0</v>
      </c>
      <c r="O113" s="98">
        <v>0</v>
      </c>
      <c r="P113" s="99">
        <f>SUM(SamplingData[[#This Row],[Winning Candidate]:[Under Votes]])</f>
        <v>0</v>
      </c>
      <c r="Q113" s="100">
        <f>IF(AND(SamplingData[[#This Row],[Total]]&lt;&gt; 0, NOT(ISBLANK(SamplingData[[#This Row],[Losing Candidate]]))),(SamplingData[[#This Row],[Total]]+SamplingData[[#This Row],[Winning Candidate]]-SamplingData[[#This Row],[Losing Candidate]])/(SamplingData[[#Totals],[Winning Candidate]]-SamplingData[[#Totals],[Losing Candidate]]), 0)</f>
        <v>0</v>
      </c>
      <c r="R113" s="100">
        <f>IF(AND(SamplingData[[#This Row],[Total]]&lt;&gt; 0, NOT(ISBLANK(SamplingData[[#This Row],[Candidate 3]]))),(SamplingData[[#This Row],[Total]]+SamplingData[[#This Row],[Winning Candidate]]-SamplingData[[#This Row],[Candidate 3]])/(SamplingData[[#Totals],[Winning Candidate]]-SamplingData[[#Totals],[Candidate 3]]), 0)</f>
        <v>0</v>
      </c>
      <c r="S113" s="100">
        <f>IF(AND(SamplingData[[#This Row],[Total]]&lt;&gt; 0, NOT(ISBLANK(SamplingData[[#This Row],[Candidate 4]]))),(SamplingData[[#This Row],[Total]]+SamplingData[[#This Row],[Winning Candidate]]-SamplingData[[#This Row],[Candidate 4]])/(SamplingData[[#Totals],[Winning Candidate]]-SamplingData[[#Totals],[Candidate 4]]), 0)</f>
        <v>0</v>
      </c>
      <c r="T113" s="100">
        <f>IF(AND(SamplingData[[#This Row],[Total]]&lt;&gt; 0, NOT(ISBLANK(SamplingData[[#This Row],[Candidate 5]]))),(SamplingData[[#This Row],[Total]]+SamplingData[[#This Row],[Winning Candidate]]-SamplingData[[#This Row],[Candidate 5]])/(SamplingData[[#Totals],[Winning Candidate]]-SamplingData[[#Totals],[Candidate 5]]), 0)</f>
        <v>0</v>
      </c>
      <c r="U113" s="100">
        <f>IF(AND(SamplingData[[#This Row],[Total]]&lt;&gt; 0, NOT(ISBLANK(SamplingData[[#This Row],[Candidate 6]]))),(SamplingData[[#This Row],[Total]]+SamplingData[[#This Row],[Losing Candidate]]-SamplingData[[#This Row],[Candidate 6]])/(SamplingData[[#Totals],[Winning Candidate]]-SamplingData[[#Totals],[Candidate 6]]), 0)</f>
        <v>0</v>
      </c>
      <c r="V113" s="100">
        <f>IF(AND(SamplingData[[#This Row],[Total]]&lt;&gt; 0, NOT(ISBLANK(SamplingData[[#This Row],[Candidate 7]]))),(SamplingData[[#This Row],[Total]]+SamplingData[[#This Row],[Winning Candidate]]-SamplingData[[#This Row],[Candidate 7]])/(SamplingData[[#Totals],[Winning Candidate]]-SamplingData[[#Totals],[Candidate 7]]), 0)</f>
        <v>0</v>
      </c>
      <c r="W113" s="100">
        <f>IF(AND(SamplingData[[#This Row],[Total]]&lt;&gt; 0, NOT(ISBLANK(SamplingData[[#This Row],[Candidate 8]]))),(SamplingData[[#This Row],[Total]]+SamplingData[[#This Row],[Winning Candidate]]-SamplingData[[#This Row],[Candidate 8]])/(SamplingData[[#Totals],[Winning Candidate]]-SamplingData[[#Totals],[Candidate 8]]), 0)</f>
        <v>0</v>
      </c>
      <c r="X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00">
        <f>MAX(SamplingData[[#This Row],[Error Bound (up) - Max. possible relative overstatement - Losing Candidate]:[Error Bound (up) - Max. possible relative overstatement - Candidate 12]])</f>
        <v>0</v>
      </c>
      <c r="AC113" s="100">
        <f>IF(SamplingData[[#This Row],[Max Error Bound (up)]] = 0,0,SamplingData[[#This Row],[Max Error Bound (up)]]/SamplingData[[#Totals],[Max Error Bound (up)]])</f>
        <v>0</v>
      </c>
      <c r="AD113" s="104">
        <f>SUM($AC$5:AC113)</f>
        <v>1.9692564475313638E-2</v>
      </c>
      <c r="AE113" s="100" t="str" cm="1">
        <f t="array" ref="AE113">IF(SamplingData[[#This Row],[up/U Selection Probability]] = 0, "Zero", TEXT(SamplingData[[#This Row],[Lower Range]], REPT("0",LEN('General Info'!$B$42))) &amp; " - " &amp; TEXT(SamplingData[[#This Row],[Upper Range]], REPT("0",LEN('General Info'!$B$42))))</f>
        <v>Zero</v>
      </c>
      <c r="AF113" s="100">
        <f>SamplingData[[#This Row],[Upper Range]]-SamplingData[[#This Row],[Span]]</f>
        <v>1969.2564475313638</v>
      </c>
      <c r="AG113" s="100">
        <f>IF(ISNUMBER('General Info'!$B$42), ((SamplingData[[#This Row],[up/U Selection Probability]]) * 'General Info'!$B$44) - 1, 0)</f>
        <v>-1</v>
      </c>
      <c r="AH113" s="100">
        <f>IF(ISNUMBER('General Info'!$B$42), (SamplingData[[#This Row],[Running (cumulative) sum]] * ('General Info'!$B$42 -'General Info'!$B$43 + 1)) + 'General Info'!$B$43 - 1, 0)</f>
        <v>1968.2564475313638</v>
      </c>
      <c r="AI113" s="100" t="str">
        <f>IF(ISERROR(MATCH(SamplingData[[#This Row],[Batch by Type (p)]],SelectedPrecincts[Batch Name], 0)), "", INDEX(SelectedPrecincts[Draw], MATCH(SamplingData[[#This Row],[Batch by Type (p)]],SelectedPrecincts[Batch Name], 0)))</f>
        <v/>
      </c>
      <c r="AJ113" s="101">
        <f>IF(COUNTIF(SelectedPrecincts[Batch Name],SamplingData[[#This Row],[Batch by Type (p)]]) &lt;&gt; 0, COUNTIF(SelectedPrecincts[Batch Name],SamplingData[[#This Row],[Batch by Type (p)]]), 0)</f>
        <v>0</v>
      </c>
    </row>
    <row r="114" spans="1:36" ht="15" customHeight="1" x14ac:dyDescent="0.35">
      <c r="A114" s="98" t="s">
        <v>326</v>
      </c>
      <c r="B114" s="98">
        <v>3</v>
      </c>
      <c r="C114" s="98">
        <v>3</v>
      </c>
      <c r="D114" s="93"/>
      <c r="E114" s="93"/>
      <c r="F114" s="93"/>
      <c r="G114" s="97"/>
      <c r="H114" s="97"/>
      <c r="I114" s="93"/>
      <c r="J114" s="93"/>
      <c r="K114" s="93"/>
      <c r="L114" s="93"/>
      <c r="M114" s="93"/>
      <c r="N114" s="98">
        <v>0</v>
      </c>
      <c r="O114" s="98">
        <v>0</v>
      </c>
      <c r="P114" s="99">
        <f>SUM(SamplingData[[#This Row],[Winning Candidate]:[Under Votes]])</f>
        <v>6</v>
      </c>
      <c r="Q11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14" s="100">
        <f>IF(AND(SamplingData[[#This Row],[Total]]&lt;&gt; 0, NOT(ISBLANK(SamplingData[[#This Row],[Candidate 3]]))),(SamplingData[[#This Row],[Total]]+SamplingData[[#This Row],[Winning Candidate]]-SamplingData[[#This Row],[Candidate 3]])/(SamplingData[[#Totals],[Winning Candidate]]-SamplingData[[#Totals],[Candidate 3]]), 0)</f>
        <v>0</v>
      </c>
      <c r="S114" s="100">
        <f>IF(AND(SamplingData[[#This Row],[Total]]&lt;&gt; 0, NOT(ISBLANK(SamplingData[[#This Row],[Candidate 4]]))),(SamplingData[[#This Row],[Total]]+SamplingData[[#This Row],[Winning Candidate]]-SamplingData[[#This Row],[Candidate 4]])/(SamplingData[[#Totals],[Winning Candidate]]-SamplingData[[#Totals],[Candidate 4]]), 0)</f>
        <v>0</v>
      </c>
      <c r="T114" s="100">
        <f>IF(AND(SamplingData[[#This Row],[Total]]&lt;&gt; 0, NOT(ISBLANK(SamplingData[[#This Row],[Candidate 5]]))),(SamplingData[[#This Row],[Total]]+SamplingData[[#This Row],[Winning Candidate]]-SamplingData[[#This Row],[Candidate 5]])/(SamplingData[[#Totals],[Winning Candidate]]-SamplingData[[#Totals],[Candidate 5]]), 0)</f>
        <v>0</v>
      </c>
      <c r="U114" s="100">
        <f>IF(AND(SamplingData[[#This Row],[Total]]&lt;&gt; 0, NOT(ISBLANK(SamplingData[[#This Row],[Candidate 6]]))),(SamplingData[[#This Row],[Total]]+SamplingData[[#This Row],[Losing Candidate]]-SamplingData[[#This Row],[Candidate 6]])/(SamplingData[[#Totals],[Winning Candidate]]-SamplingData[[#Totals],[Candidate 6]]), 0)</f>
        <v>0</v>
      </c>
      <c r="V114" s="100">
        <f>IF(AND(SamplingData[[#This Row],[Total]]&lt;&gt; 0, NOT(ISBLANK(SamplingData[[#This Row],[Candidate 7]]))),(SamplingData[[#This Row],[Total]]+SamplingData[[#This Row],[Winning Candidate]]-SamplingData[[#This Row],[Candidate 7]])/(SamplingData[[#Totals],[Winning Candidate]]-SamplingData[[#Totals],[Candidate 7]]), 0)</f>
        <v>0</v>
      </c>
      <c r="W114" s="100">
        <f>IF(AND(SamplingData[[#This Row],[Total]]&lt;&gt; 0, NOT(ISBLANK(SamplingData[[#This Row],[Candidate 8]]))),(SamplingData[[#This Row],[Total]]+SamplingData[[#This Row],[Winning Candidate]]-SamplingData[[#This Row],[Candidate 8]])/(SamplingData[[#Totals],[Winning Candidate]]-SamplingData[[#Totals],[Candidate 8]]), 0)</f>
        <v>0</v>
      </c>
      <c r="X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00">
        <f>MAX(SamplingData[[#This Row],[Error Bound (up) - Max. possible relative overstatement - Losing Candidate]:[Error Bound (up) - Max. possible relative overstatement - Candidate 12]])</f>
        <v>1.8845996796180544E-4</v>
      </c>
      <c r="AC114" s="100">
        <f>IF(SamplingData[[#This Row],[Max Error Bound (up)]] = 0,0,SamplingData[[#This Row],[Max Error Bound (up)]]/SamplingData[[#Totals],[Max Error Bound (up)]])</f>
        <v>8.0762397027943816E-5</v>
      </c>
      <c r="AD114" s="104">
        <f>SUM($AC$5:AC114)</f>
        <v>1.9773326872341582E-2</v>
      </c>
      <c r="AE114" s="100" t="str" cm="1">
        <f t="array" ref="AE114">IF(SamplingData[[#This Row],[up/U Selection Probability]] = 0, "Zero", TEXT(SamplingData[[#This Row],[Lower Range]], REPT("0",LEN('General Info'!$B$42))) &amp; " - " &amp; TEXT(SamplingData[[#This Row],[Upper Range]], REPT("0",LEN('General Info'!$B$42))))</f>
        <v>01969 - 01976</v>
      </c>
      <c r="AF114" s="100">
        <f>SamplingData[[#This Row],[Upper Range]]-SamplingData[[#This Row],[Span]]</f>
        <v>1969.2564475313638</v>
      </c>
      <c r="AG114" s="100">
        <f>IF(ISNUMBER('General Info'!$B$42), ((SamplingData[[#This Row],[up/U Selection Probability]]) * 'General Info'!$B$44) - 1, 0)</f>
        <v>7.076239702794382</v>
      </c>
      <c r="AH114" s="100">
        <f>IF(ISNUMBER('General Info'!$B$42), (SamplingData[[#This Row],[Running (cumulative) sum]] * ('General Info'!$B$42 -'General Info'!$B$43 + 1)) + 'General Info'!$B$43 - 1, 0)</f>
        <v>1976.3326872341581</v>
      </c>
      <c r="AI114" s="100" t="str">
        <f>IF(ISERROR(MATCH(SamplingData[[#This Row],[Batch by Type (p)]],SelectedPrecincts[Batch Name], 0)), "", INDEX(SelectedPrecincts[Draw], MATCH(SamplingData[[#This Row],[Batch by Type (p)]],SelectedPrecincts[Batch Name], 0)))</f>
        <v/>
      </c>
      <c r="AJ114" s="101">
        <f>IF(COUNTIF(SelectedPrecincts[Batch Name],SamplingData[[#This Row],[Batch by Type (p)]]) &lt;&gt; 0, COUNTIF(SelectedPrecincts[Batch Name],SamplingData[[#This Row],[Batch by Type (p)]]), 0)</f>
        <v>0</v>
      </c>
    </row>
    <row r="115" spans="1:36" ht="15" customHeight="1" x14ac:dyDescent="0.35">
      <c r="A115" s="98" t="s">
        <v>327</v>
      </c>
      <c r="B115" s="98">
        <v>2</v>
      </c>
      <c r="C115" s="98">
        <v>0</v>
      </c>
      <c r="D115" s="93"/>
      <c r="E115" s="93"/>
      <c r="F115" s="93"/>
      <c r="G115" s="97"/>
      <c r="H115" s="97"/>
      <c r="I115" s="93"/>
      <c r="J115" s="93"/>
      <c r="K115" s="93"/>
      <c r="L115" s="93"/>
      <c r="M115" s="93"/>
      <c r="N115" s="98">
        <v>0</v>
      </c>
      <c r="O115" s="98">
        <v>0</v>
      </c>
      <c r="P115" s="99">
        <f>SUM(SamplingData[[#This Row],[Winning Candidate]:[Under Votes]])</f>
        <v>2</v>
      </c>
      <c r="Q115"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115" s="100">
        <f>IF(AND(SamplingData[[#This Row],[Total]]&lt;&gt; 0, NOT(ISBLANK(SamplingData[[#This Row],[Candidate 3]]))),(SamplingData[[#This Row],[Total]]+SamplingData[[#This Row],[Winning Candidate]]-SamplingData[[#This Row],[Candidate 3]])/(SamplingData[[#Totals],[Winning Candidate]]-SamplingData[[#Totals],[Candidate 3]]), 0)</f>
        <v>0</v>
      </c>
      <c r="S115" s="100">
        <f>IF(AND(SamplingData[[#This Row],[Total]]&lt;&gt; 0, NOT(ISBLANK(SamplingData[[#This Row],[Candidate 4]]))),(SamplingData[[#This Row],[Total]]+SamplingData[[#This Row],[Winning Candidate]]-SamplingData[[#This Row],[Candidate 4]])/(SamplingData[[#Totals],[Winning Candidate]]-SamplingData[[#Totals],[Candidate 4]]), 0)</f>
        <v>0</v>
      </c>
      <c r="T115" s="100">
        <f>IF(AND(SamplingData[[#This Row],[Total]]&lt;&gt; 0, NOT(ISBLANK(SamplingData[[#This Row],[Candidate 5]]))),(SamplingData[[#This Row],[Total]]+SamplingData[[#This Row],[Winning Candidate]]-SamplingData[[#This Row],[Candidate 5]])/(SamplingData[[#Totals],[Winning Candidate]]-SamplingData[[#Totals],[Candidate 5]]), 0)</f>
        <v>0</v>
      </c>
      <c r="U115" s="100">
        <f>IF(AND(SamplingData[[#This Row],[Total]]&lt;&gt; 0, NOT(ISBLANK(SamplingData[[#This Row],[Candidate 6]]))),(SamplingData[[#This Row],[Total]]+SamplingData[[#This Row],[Losing Candidate]]-SamplingData[[#This Row],[Candidate 6]])/(SamplingData[[#Totals],[Winning Candidate]]-SamplingData[[#Totals],[Candidate 6]]), 0)</f>
        <v>0</v>
      </c>
      <c r="V115" s="100">
        <f>IF(AND(SamplingData[[#This Row],[Total]]&lt;&gt; 0, NOT(ISBLANK(SamplingData[[#This Row],[Candidate 7]]))),(SamplingData[[#This Row],[Total]]+SamplingData[[#This Row],[Winning Candidate]]-SamplingData[[#This Row],[Candidate 7]])/(SamplingData[[#Totals],[Winning Candidate]]-SamplingData[[#Totals],[Candidate 7]]), 0)</f>
        <v>0</v>
      </c>
      <c r="W115" s="100">
        <f>IF(AND(SamplingData[[#This Row],[Total]]&lt;&gt; 0, NOT(ISBLANK(SamplingData[[#This Row],[Candidate 8]]))),(SamplingData[[#This Row],[Total]]+SamplingData[[#This Row],[Winning Candidate]]-SamplingData[[#This Row],[Candidate 8]])/(SamplingData[[#Totals],[Winning Candidate]]-SamplingData[[#Totals],[Candidate 8]]), 0)</f>
        <v>0</v>
      </c>
      <c r="X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00">
        <f>MAX(SamplingData[[#This Row],[Error Bound (up) - Max. possible relative overstatement - Losing Candidate]:[Error Bound (up) - Max. possible relative overstatement - Candidate 12]])</f>
        <v>1.2563997864120362E-4</v>
      </c>
      <c r="AC115" s="100">
        <f>IF(SamplingData[[#This Row],[Max Error Bound (up)]] = 0,0,SamplingData[[#This Row],[Max Error Bound (up)]]/SamplingData[[#Totals],[Max Error Bound (up)]])</f>
        <v>5.3841598018629206E-5</v>
      </c>
      <c r="AD115" s="104">
        <f>SUM($AC$5:AC115)</f>
        <v>1.9827168470360212E-2</v>
      </c>
      <c r="AE115" s="100" t="str" cm="1">
        <f t="array" ref="AE115">IF(SamplingData[[#This Row],[up/U Selection Probability]] = 0, "Zero", TEXT(SamplingData[[#This Row],[Lower Range]], REPT("0",LEN('General Info'!$B$42))) &amp; " - " &amp; TEXT(SamplingData[[#This Row],[Upper Range]], REPT("0",LEN('General Info'!$B$42))))</f>
        <v>01977 - 01982</v>
      </c>
      <c r="AF115" s="100">
        <f>SamplingData[[#This Row],[Upper Range]]-SamplingData[[#This Row],[Span]]</f>
        <v>1977.3326872341581</v>
      </c>
      <c r="AG115" s="100">
        <f>IF(ISNUMBER('General Info'!$B$42), ((SamplingData[[#This Row],[up/U Selection Probability]]) * 'General Info'!$B$44) - 1, 0)</f>
        <v>4.3841598018629204</v>
      </c>
      <c r="AH115" s="100">
        <f>IF(ISNUMBER('General Info'!$B$42), (SamplingData[[#This Row],[Running (cumulative) sum]] * ('General Info'!$B$42 -'General Info'!$B$43 + 1)) + 'General Info'!$B$43 - 1, 0)</f>
        <v>1981.7168470360211</v>
      </c>
      <c r="AI115" s="100" t="str">
        <f>IF(ISERROR(MATCH(SamplingData[[#This Row],[Batch by Type (p)]],SelectedPrecincts[Batch Name], 0)), "", INDEX(SelectedPrecincts[Draw], MATCH(SamplingData[[#This Row],[Batch by Type (p)]],SelectedPrecincts[Batch Name], 0)))</f>
        <v/>
      </c>
      <c r="AJ115" s="101">
        <f>IF(COUNTIF(SelectedPrecincts[Batch Name],SamplingData[[#This Row],[Batch by Type (p)]]) &lt;&gt; 0, COUNTIF(SelectedPrecincts[Batch Name],SamplingData[[#This Row],[Batch by Type (p)]]), 0)</f>
        <v>0</v>
      </c>
    </row>
    <row r="116" spans="1:36" ht="15" customHeight="1" x14ac:dyDescent="0.35">
      <c r="A116" s="98" t="s">
        <v>328</v>
      </c>
      <c r="B116" s="98">
        <v>2</v>
      </c>
      <c r="C116" s="98">
        <v>0</v>
      </c>
      <c r="D116" s="93"/>
      <c r="E116" s="93"/>
      <c r="F116" s="93"/>
      <c r="G116" s="97"/>
      <c r="H116" s="97"/>
      <c r="I116" s="93"/>
      <c r="J116" s="93"/>
      <c r="K116" s="93"/>
      <c r="L116" s="93"/>
      <c r="M116" s="93"/>
      <c r="N116" s="98">
        <v>0</v>
      </c>
      <c r="O116" s="98">
        <v>1</v>
      </c>
      <c r="P116" s="99">
        <f>SUM(SamplingData[[#This Row],[Winning Candidate]:[Under Votes]])</f>
        <v>3</v>
      </c>
      <c r="Q116" s="100">
        <f>IF(AND(SamplingData[[#This Row],[Total]]&lt;&gt; 0, NOT(ISBLANK(SamplingData[[#This Row],[Losing Candidate]]))),(SamplingData[[#This Row],[Total]]+SamplingData[[#This Row],[Winning Candidate]]-SamplingData[[#This Row],[Losing Candidate]])/(SamplingData[[#Totals],[Winning Candidate]]-SamplingData[[#Totals],[Losing Candidate]]), 0)</f>
        <v>1.5704997330150453E-4</v>
      </c>
      <c r="R116" s="100">
        <f>IF(AND(SamplingData[[#This Row],[Total]]&lt;&gt; 0, NOT(ISBLANK(SamplingData[[#This Row],[Candidate 3]]))),(SamplingData[[#This Row],[Total]]+SamplingData[[#This Row],[Winning Candidate]]-SamplingData[[#This Row],[Candidate 3]])/(SamplingData[[#Totals],[Winning Candidate]]-SamplingData[[#Totals],[Candidate 3]]), 0)</f>
        <v>0</v>
      </c>
      <c r="S116" s="100">
        <f>IF(AND(SamplingData[[#This Row],[Total]]&lt;&gt; 0, NOT(ISBLANK(SamplingData[[#This Row],[Candidate 4]]))),(SamplingData[[#This Row],[Total]]+SamplingData[[#This Row],[Winning Candidate]]-SamplingData[[#This Row],[Candidate 4]])/(SamplingData[[#Totals],[Winning Candidate]]-SamplingData[[#Totals],[Candidate 4]]), 0)</f>
        <v>0</v>
      </c>
      <c r="T116" s="100">
        <f>IF(AND(SamplingData[[#This Row],[Total]]&lt;&gt; 0, NOT(ISBLANK(SamplingData[[#This Row],[Candidate 5]]))),(SamplingData[[#This Row],[Total]]+SamplingData[[#This Row],[Winning Candidate]]-SamplingData[[#This Row],[Candidate 5]])/(SamplingData[[#Totals],[Winning Candidate]]-SamplingData[[#Totals],[Candidate 5]]), 0)</f>
        <v>0</v>
      </c>
      <c r="U116" s="100">
        <f>IF(AND(SamplingData[[#This Row],[Total]]&lt;&gt; 0, NOT(ISBLANK(SamplingData[[#This Row],[Candidate 6]]))),(SamplingData[[#This Row],[Total]]+SamplingData[[#This Row],[Losing Candidate]]-SamplingData[[#This Row],[Candidate 6]])/(SamplingData[[#Totals],[Winning Candidate]]-SamplingData[[#Totals],[Candidate 6]]), 0)</f>
        <v>0</v>
      </c>
      <c r="V116" s="100">
        <f>IF(AND(SamplingData[[#This Row],[Total]]&lt;&gt; 0, NOT(ISBLANK(SamplingData[[#This Row],[Candidate 7]]))),(SamplingData[[#This Row],[Total]]+SamplingData[[#This Row],[Winning Candidate]]-SamplingData[[#This Row],[Candidate 7]])/(SamplingData[[#Totals],[Winning Candidate]]-SamplingData[[#Totals],[Candidate 7]]), 0)</f>
        <v>0</v>
      </c>
      <c r="W116" s="100">
        <f>IF(AND(SamplingData[[#This Row],[Total]]&lt;&gt; 0, NOT(ISBLANK(SamplingData[[#This Row],[Candidate 8]]))),(SamplingData[[#This Row],[Total]]+SamplingData[[#This Row],[Winning Candidate]]-SamplingData[[#This Row],[Candidate 8]])/(SamplingData[[#Totals],[Winning Candidate]]-SamplingData[[#Totals],[Candidate 8]]), 0)</f>
        <v>0</v>
      </c>
      <c r="X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00">
        <f>MAX(SamplingData[[#This Row],[Error Bound (up) - Max. possible relative overstatement - Losing Candidate]:[Error Bound (up) - Max. possible relative overstatement - Candidate 12]])</f>
        <v>1.5704997330150453E-4</v>
      </c>
      <c r="AC116" s="100">
        <f>IF(SamplingData[[#This Row],[Max Error Bound (up)]] = 0,0,SamplingData[[#This Row],[Max Error Bound (up)]]/SamplingData[[#Totals],[Max Error Bound (up)]])</f>
        <v>6.7301997523286518E-5</v>
      </c>
      <c r="AD116" s="104">
        <f>SUM($AC$5:AC116)</f>
        <v>1.9894470467883497E-2</v>
      </c>
      <c r="AE116" s="100" t="str" cm="1">
        <f t="array" ref="AE116">IF(SamplingData[[#This Row],[up/U Selection Probability]] = 0, "Zero", TEXT(SamplingData[[#This Row],[Lower Range]], REPT("0",LEN('General Info'!$B$42))) &amp; " - " &amp; TEXT(SamplingData[[#This Row],[Upper Range]], REPT("0",LEN('General Info'!$B$42))))</f>
        <v>01983 - 01988</v>
      </c>
      <c r="AF116" s="100">
        <f>SamplingData[[#This Row],[Upper Range]]-SamplingData[[#This Row],[Span]]</f>
        <v>1982.7168470360211</v>
      </c>
      <c r="AG116" s="100">
        <f>IF(ISNUMBER('General Info'!$B$42), ((SamplingData[[#This Row],[up/U Selection Probability]]) * 'General Info'!$B$44) - 1, 0)</f>
        <v>5.7301997523286516</v>
      </c>
      <c r="AH116" s="100">
        <f>IF(ISNUMBER('General Info'!$B$42), (SamplingData[[#This Row],[Running (cumulative) sum]] * ('General Info'!$B$42 -'General Info'!$B$43 + 1)) + 'General Info'!$B$43 - 1, 0)</f>
        <v>1988.4470467883498</v>
      </c>
      <c r="AI116" s="100" t="str">
        <f>IF(ISERROR(MATCH(SamplingData[[#This Row],[Batch by Type (p)]],SelectedPrecincts[Batch Name], 0)), "", INDEX(SelectedPrecincts[Draw], MATCH(SamplingData[[#This Row],[Batch by Type (p)]],SelectedPrecincts[Batch Name], 0)))</f>
        <v/>
      </c>
      <c r="AJ116" s="101">
        <f>IF(COUNTIF(SelectedPrecincts[Batch Name],SamplingData[[#This Row],[Batch by Type (p)]]) &lt;&gt; 0, COUNTIF(SelectedPrecincts[Batch Name],SamplingData[[#This Row],[Batch by Type (p)]]), 0)</f>
        <v>0</v>
      </c>
    </row>
    <row r="117" spans="1:36" ht="15" customHeight="1" x14ac:dyDescent="0.35">
      <c r="A117" s="98" t="s">
        <v>329</v>
      </c>
      <c r="B117" s="98">
        <v>0</v>
      </c>
      <c r="C117" s="98">
        <v>0</v>
      </c>
      <c r="D117" s="93"/>
      <c r="E117" s="93"/>
      <c r="F117" s="93"/>
      <c r="G117" s="97"/>
      <c r="H117" s="97"/>
      <c r="I117" s="93"/>
      <c r="J117" s="93"/>
      <c r="K117" s="93"/>
      <c r="L117" s="93"/>
      <c r="M117" s="93"/>
      <c r="N117" s="98">
        <v>0</v>
      </c>
      <c r="O117" s="98">
        <v>0</v>
      </c>
      <c r="P117" s="99">
        <f>SUM(SamplingData[[#This Row],[Winning Candidate]:[Under Votes]])</f>
        <v>0</v>
      </c>
      <c r="Q117" s="100">
        <f>IF(AND(SamplingData[[#This Row],[Total]]&lt;&gt; 0, NOT(ISBLANK(SamplingData[[#This Row],[Losing Candidate]]))),(SamplingData[[#This Row],[Total]]+SamplingData[[#This Row],[Winning Candidate]]-SamplingData[[#This Row],[Losing Candidate]])/(SamplingData[[#Totals],[Winning Candidate]]-SamplingData[[#Totals],[Losing Candidate]]), 0)</f>
        <v>0</v>
      </c>
      <c r="R117" s="100">
        <f>IF(AND(SamplingData[[#This Row],[Total]]&lt;&gt; 0, NOT(ISBLANK(SamplingData[[#This Row],[Candidate 3]]))),(SamplingData[[#This Row],[Total]]+SamplingData[[#This Row],[Winning Candidate]]-SamplingData[[#This Row],[Candidate 3]])/(SamplingData[[#Totals],[Winning Candidate]]-SamplingData[[#Totals],[Candidate 3]]), 0)</f>
        <v>0</v>
      </c>
      <c r="S117" s="100">
        <f>IF(AND(SamplingData[[#This Row],[Total]]&lt;&gt; 0, NOT(ISBLANK(SamplingData[[#This Row],[Candidate 4]]))),(SamplingData[[#This Row],[Total]]+SamplingData[[#This Row],[Winning Candidate]]-SamplingData[[#This Row],[Candidate 4]])/(SamplingData[[#Totals],[Winning Candidate]]-SamplingData[[#Totals],[Candidate 4]]), 0)</f>
        <v>0</v>
      </c>
      <c r="T117" s="100">
        <f>IF(AND(SamplingData[[#This Row],[Total]]&lt;&gt; 0, NOT(ISBLANK(SamplingData[[#This Row],[Candidate 5]]))),(SamplingData[[#This Row],[Total]]+SamplingData[[#This Row],[Winning Candidate]]-SamplingData[[#This Row],[Candidate 5]])/(SamplingData[[#Totals],[Winning Candidate]]-SamplingData[[#Totals],[Candidate 5]]), 0)</f>
        <v>0</v>
      </c>
      <c r="U117" s="100">
        <f>IF(AND(SamplingData[[#This Row],[Total]]&lt;&gt; 0, NOT(ISBLANK(SamplingData[[#This Row],[Candidate 6]]))),(SamplingData[[#This Row],[Total]]+SamplingData[[#This Row],[Losing Candidate]]-SamplingData[[#This Row],[Candidate 6]])/(SamplingData[[#Totals],[Winning Candidate]]-SamplingData[[#Totals],[Candidate 6]]), 0)</f>
        <v>0</v>
      </c>
      <c r="V117" s="100">
        <f>IF(AND(SamplingData[[#This Row],[Total]]&lt;&gt; 0, NOT(ISBLANK(SamplingData[[#This Row],[Candidate 7]]))),(SamplingData[[#This Row],[Total]]+SamplingData[[#This Row],[Winning Candidate]]-SamplingData[[#This Row],[Candidate 7]])/(SamplingData[[#Totals],[Winning Candidate]]-SamplingData[[#Totals],[Candidate 7]]), 0)</f>
        <v>0</v>
      </c>
      <c r="W117" s="100">
        <f>IF(AND(SamplingData[[#This Row],[Total]]&lt;&gt; 0, NOT(ISBLANK(SamplingData[[#This Row],[Candidate 8]]))),(SamplingData[[#This Row],[Total]]+SamplingData[[#This Row],[Winning Candidate]]-SamplingData[[#This Row],[Candidate 8]])/(SamplingData[[#Totals],[Winning Candidate]]-SamplingData[[#Totals],[Candidate 8]]), 0)</f>
        <v>0</v>
      </c>
      <c r="X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00">
        <f>MAX(SamplingData[[#This Row],[Error Bound (up) - Max. possible relative overstatement - Losing Candidate]:[Error Bound (up) - Max. possible relative overstatement - Candidate 12]])</f>
        <v>0</v>
      </c>
      <c r="AC117" s="100">
        <f>IF(SamplingData[[#This Row],[Max Error Bound (up)]] = 0,0,SamplingData[[#This Row],[Max Error Bound (up)]]/SamplingData[[#Totals],[Max Error Bound (up)]])</f>
        <v>0</v>
      </c>
      <c r="AD117" s="104">
        <f>SUM($AC$5:AC117)</f>
        <v>1.9894470467883497E-2</v>
      </c>
      <c r="AE117" s="100" t="str" cm="1">
        <f t="array" ref="AE117">IF(SamplingData[[#This Row],[up/U Selection Probability]] = 0, "Zero", TEXT(SamplingData[[#This Row],[Lower Range]], REPT("0",LEN('General Info'!$B$42))) &amp; " - " &amp; TEXT(SamplingData[[#This Row],[Upper Range]], REPT("0",LEN('General Info'!$B$42))))</f>
        <v>Zero</v>
      </c>
      <c r="AF117" s="100">
        <f>SamplingData[[#This Row],[Upper Range]]-SamplingData[[#This Row],[Span]]</f>
        <v>1989.4470467883498</v>
      </c>
      <c r="AG117" s="100">
        <f>IF(ISNUMBER('General Info'!$B$42), ((SamplingData[[#This Row],[up/U Selection Probability]]) * 'General Info'!$B$44) - 1, 0)</f>
        <v>-1</v>
      </c>
      <c r="AH117" s="100">
        <f>IF(ISNUMBER('General Info'!$B$42), (SamplingData[[#This Row],[Running (cumulative) sum]] * ('General Info'!$B$42 -'General Info'!$B$43 + 1)) + 'General Info'!$B$43 - 1, 0)</f>
        <v>1988.4470467883498</v>
      </c>
      <c r="AI117" s="100" t="str">
        <f>IF(ISERROR(MATCH(SamplingData[[#This Row],[Batch by Type (p)]],SelectedPrecincts[Batch Name], 0)), "", INDEX(SelectedPrecincts[Draw], MATCH(SamplingData[[#This Row],[Batch by Type (p)]],SelectedPrecincts[Batch Name], 0)))</f>
        <v/>
      </c>
      <c r="AJ117" s="101">
        <f>IF(COUNTIF(SelectedPrecincts[Batch Name],SamplingData[[#This Row],[Batch by Type (p)]]) &lt;&gt; 0, COUNTIF(SelectedPrecincts[Batch Name],SamplingData[[#This Row],[Batch by Type (p)]]), 0)</f>
        <v>0</v>
      </c>
    </row>
    <row r="118" spans="1:36" ht="15" customHeight="1" x14ac:dyDescent="0.35">
      <c r="A118" s="98" t="s">
        <v>330</v>
      </c>
      <c r="B118" s="98">
        <v>1</v>
      </c>
      <c r="C118" s="98">
        <v>0</v>
      </c>
      <c r="D118" s="93"/>
      <c r="E118" s="93"/>
      <c r="F118" s="93"/>
      <c r="G118" s="97"/>
      <c r="H118" s="97"/>
      <c r="I118" s="93"/>
      <c r="J118" s="93"/>
      <c r="K118" s="93"/>
      <c r="L118" s="93"/>
      <c r="M118" s="93"/>
      <c r="N118" s="98">
        <v>0</v>
      </c>
      <c r="O118" s="98">
        <v>0</v>
      </c>
      <c r="P118" s="99">
        <f>SUM(SamplingData[[#This Row],[Winning Candidate]:[Under Votes]])</f>
        <v>1</v>
      </c>
      <c r="Q118"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18" s="100">
        <f>IF(AND(SamplingData[[#This Row],[Total]]&lt;&gt; 0, NOT(ISBLANK(SamplingData[[#This Row],[Candidate 3]]))),(SamplingData[[#This Row],[Total]]+SamplingData[[#This Row],[Winning Candidate]]-SamplingData[[#This Row],[Candidate 3]])/(SamplingData[[#Totals],[Winning Candidate]]-SamplingData[[#Totals],[Candidate 3]]), 0)</f>
        <v>0</v>
      </c>
      <c r="S118" s="100">
        <f>IF(AND(SamplingData[[#This Row],[Total]]&lt;&gt; 0, NOT(ISBLANK(SamplingData[[#This Row],[Candidate 4]]))),(SamplingData[[#This Row],[Total]]+SamplingData[[#This Row],[Winning Candidate]]-SamplingData[[#This Row],[Candidate 4]])/(SamplingData[[#Totals],[Winning Candidate]]-SamplingData[[#Totals],[Candidate 4]]), 0)</f>
        <v>0</v>
      </c>
      <c r="T118" s="100">
        <f>IF(AND(SamplingData[[#This Row],[Total]]&lt;&gt; 0, NOT(ISBLANK(SamplingData[[#This Row],[Candidate 5]]))),(SamplingData[[#This Row],[Total]]+SamplingData[[#This Row],[Winning Candidate]]-SamplingData[[#This Row],[Candidate 5]])/(SamplingData[[#Totals],[Winning Candidate]]-SamplingData[[#Totals],[Candidate 5]]), 0)</f>
        <v>0</v>
      </c>
      <c r="U118" s="100">
        <f>IF(AND(SamplingData[[#This Row],[Total]]&lt;&gt; 0, NOT(ISBLANK(SamplingData[[#This Row],[Candidate 6]]))),(SamplingData[[#This Row],[Total]]+SamplingData[[#This Row],[Losing Candidate]]-SamplingData[[#This Row],[Candidate 6]])/(SamplingData[[#Totals],[Winning Candidate]]-SamplingData[[#Totals],[Candidate 6]]), 0)</f>
        <v>0</v>
      </c>
      <c r="V118" s="100">
        <f>IF(AND(SamplingData[[#This Row],[Total]]&lt;&gt; 0, NOT(ISBLANK(SamplingData[[#This Row],[Candidate 7]]))),(SamplingData[[#This Row],[Total]]+SamplingData[[#This Row],[Winning Candidate]]-SamplingData[[#This Row],[Candidate 7]])/(SamplingData[[#Totals],[Winning Candidate]]-SamplingData[[#Totals],[Candidate 7]]), 0)</f>
        <v>0</v>
      </c>
      <c r="W118" s="100">
        <f>IF(AND(SamplingData[[#This Row],[Total]]&lt;&gt; 0, NOT(ISBLANK(SamplingData[[#This Row],[Candidate 8]]))),(SamplingData[[#This Row],[Total]]+SamplingData[[#This Row],[Winning Candidate]]-SamplingData[[#This Row],[Candidate 8]])/(SamplingData[[#Totals],[Winning Candidate]]-SamplingData[[#Totals],[Candidate 8]]), 0)</f>
        <v>0</v>
      </c>
      <c r="X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00">
        <f>MAX(SamplingData[[#This Row],[Error Bound (up) - Max. possible relative overstatement - Losing Candidate]:[Error Bound (up) - Max. possible relative overstatement - Candidate 12]])</f>
        <v>6.2819989320601809E-5</v>
      </c>
      <c r="AC118" s="100">
        <f>IF(SamplingData[[#This Row],[Max Error Bound (up)]] = 0,0,SamplingData[[#This Row],[Max Error Bound (up)]]/SamplingData[[#Totals],[Max Error Bound (up)]])</f>
        <v>2.6920799009314603E-5</v>
      </c>
      <c r="AD118" s="104">
        <f>SUM($AC$5:AC118)</f>
        <v>1.992139126689281E-2</v>
      </c>
      <c r="AE118" s="100" t="str" cm="1">
        <f t="array" ref="AE118">IF(SamplingData[[#This Row],[up/U Selection Probability]] = 0, "Zero", TEXT(SamplingData[[#This Row],[Lower Range]], REPT("0",LEN('General Info'!$B$42))) &amp; " - " &amp; TEXT(SamplingData[[#This Row],[Upper Range]], REPT("0",LEN('General Info'!$B$42))))</f>
        <v>01989 - 01991</v>
      </c>
      <c r="AF118" s="100">
        <f>SamplingData[[#This Row],[Upper Range]]-SamplingData[[#This Row],[Span]]</f>
        <v>1989.4470467883496</v>
      </c>
      <c r="AG118" s="100">
        <f>IF(ISNUMBER('General Info'!$B$42), ((SamplingData[[#This Row],[up/U Selection Probability]]) * 'General Info'!$B$44) - 1, 0)</f>
        <v>1.6920799009314602</v>
      </c>
      <c r="AH118" s="100">
        <f>IF(ISNUMBER('General Info'!$B$42), (SamplingData[[#This Row],[Running (cumulative) sum]] * ('General Info'!$B$42 -'General Info'!$B$43 + 1)) + 'General Info'!$B$43 - 1, 0)</f>
        <v>1991.1391266892811</v>
      </c>
      <c r="AI118" s="100" t="str">
        <f>IF(ISERROR(MATCH(SamplingData[[#This Row],[Batch by Type (p)]],SelectedPrecincts[Batch Name], 0)), "", INDEX(SelectedPrecincts[Draw], MATCH(SamplingData[[#This Row],[Batch by Type (p)]],SelectedPrecincts[Batch Name], 0)))</f>
        <v/>
      </c>
      <c r="AJ118" s="101">
        <f>IF(COUNTIF(SelectedPrecincts[Batch Name],SamplingData[[#This Row],[Batch by Type (p)]]) &lt;&gt; 0, COUNTIF(SelectedPrecincts[Batch Name],SamplingData[[#This Row],[Batch by Type (p)]]), 0)</f>
        <v>0</v>
      </c>
    </row>
    <row r="119" spans="1:36" ht="15" customHeight="1" x14ac:dyDescent="0.35">
      <c r="A119" s="98" t="s">
        <v>331</v>
      </c>
      <c r="B119" s="98">
        <v>1</v>
      </c>
      <c r="C119" s="98">
        <v>0</v>
      </c>
      <c r="D119" s="93"/>
      <c r="E119" s="93"/>
      <c r="F119" s="93"/>
      <c r="G119" s="97"/>
      <c r="H119" s="97"/>
      <c r="I119" s="93"/>
      <c r="J119" s="93"/>
      <c r="K119" s="93"/>
      <c r="L119" s="93"/>
      <c r="M119" s="93"/>
      <c r="N119" s="98">
        <v>0</v>
      </c>
      <c r="O119" s="98">
        <v>0</v>
      </c>
      <c r="P119" s="99">
        <f>SUM(SamplingData[[#This Row],[Winning Candidate]:[Under Votes]])</f>
        <v>1</v>
      </c>
      <c r="Q119"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19" s="100">
        <f>IF(AND(SamplingData[[#This Row],[Total]]&lt;&gt; 0, NOT(ISBLANK(SamplingData[[#This Row],[Candidate 3]]))),(SamplingData[[#This Row],[Total]]+SamplingData[[#This Row],[Winning Candidate]]-SamplingData[[#This Row],[Candidate 3]])/(SamplingData[[#Totals],[Winning Candidate]]-SamplingData[[#Totals],[Candidate 3]]), 0)</f>
        <v>0</v>
      </c>
      <c r="S119" s="100">
        <f>IF(AND(SamplingData[[#This Row],[Total]]&lt;&gt; 0, NOT(ISBLANK(SamplingData[[#This Row],[Candidate 4]]))),(SamplingData[[#This Row],[Total]]+SamplingData[[#This Row],[Winning Candidate]]-SamplingData[[#This Row],[Candidate 4]])/(SamplingData[[#Totals],[Winning Candidate]]-SamplingData[[#Totals],[Candidate 4]]), 0)</f>
        <v>0</v>
      </c>
      <c r="T119" s="100">
        <f>IF(AND(SamplingData[[#This Row],[Total]]&lt;&gt; 0, NOT(ISBLANK(SamplingData[[#This Row],[Candidate 5]]))),(SamplingData[[#This Row],[Total]]+SamplingData[[#This Row],[Winning Candidate]]-SamplingData[[#This Row],[Candidate 5]])/(SamplingData[[#Totals],[Winning Candidate]]-SamplingData[[#Totals],[Candidate 5]]), 0)</f>
        <v>0</v>
      </c>
      <c r="U119" s="100">
        <f>IF(AND(SamplingData[[#This Row],[Total]]&lt;&gt; 0, NOT(ISBLANK(SamplingData[[#This Row],[Candidate 6]]))),(SamplingData[[#This Row],[Total]]+SamplingData[[#This Row],[Losing Candidate]]-SamplingData[[#This Row],[Candidate 6]])/(SamplingData[[#Totals],[Winning Candidate]]-SamplingData[[#Totals],[Candidate 6]]), 0)</f>
        <v>0</v>
      </c>
      <c r="V119" s="100">
        <f>IF(AND(SamplingData[[#This Row],[Total]]&lt;&gt; 0, NOT(ISBLANK(SamplingData[[#This Row],[Candidate 7]]))),(SamplingData[[#This Row],[Total]]+SamplingData[[#This Row],[Winning Candidate]]-SamplingData[[#This Row],[Candidate 7]])/(SamplingData[[#Totals],[Winning Candidate]]-SamplingData[[#Totals],[Candidate 7]]), 0)</f>
        <v>0</v>
      </c>
      <c r="W119" s="100">
        <f>IF(AND(SamplingData[[#This Row],[Total]]&lt;&gt; 0, NOT(ISBLANK(SamplingData[[#This Row],[Candidate 8]]))),(SamplingData[[#This Row],[Total]]+SamplingData[[#This Row],[Winning Candidate]]-SamplingData[[#This Row],[Candidate 8]])/(SamplingData[[#Totals],[Winning Candidate]]-SamplingData[[#Totals],[Candidate 8]]), 0)</f>
        <v>0</v>
      </c>
      <c r="X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00">
        <f>MAX(SamplingData[[#This Row],[Error Bound (up) - Max. possible relative overstatement - Losing Candidate]:[Error Bound (up) - Max. possible relative overstatement - Candidate 12]])</f>
        <v>6.2819989320601809E-5</v>
      </c>
      <c r="AC119" s="100">
        <f>IF(SamplingData[[#This Row],[Max Error Bound (up)]] = 0,0,SamplingData[[#This Row],[Max Error Bound (up)]]/SamplingData[[#Totals],[Max Error Bound (up)]])</f>
        <v>2.6920799009314603E-5</v>
      </c>
      <c r="AD119" s="104">
        <f>SUM($AC$5:AC119)</f>
        <v>1.9948312065902123E-2</v>
      </c>
      <c r="AE119" s="100" t="str" cm="1">
        <f t="array" ref="AE119">IF(SamplingData[[#This Row],[up/U Selection Probability]] = 0, "Zero", TEXT(SamplingData[[#This Row],[Lower Range]], REPT("0",LEN('General Info'!$B$42))) &amp; " - " &amp; TEXT(SamplingData[[#This Row],[Upper Range]], REPT("0",LEN('General Info'!$B$42))))</f>
        <v>01992 - 01994</v>
      </c>
      <c r="AF119" s="100">
        <f>SamplingData[[#This Row],[Upper Range]]-SamplingData[[#This Row],[Span]]</f>
        <v>1992.1391266892808</v>
      </c>
      <c r="AG119" s="100">
        <f>IF(ISNUMBER('General Info'!$B$42), ((SamplingData[[#This Row],[up/U Selection Probability]]) * 'General Info'!$B$44) - 1, 0)</f>
        <v>1.6920799009314602</v>
      </c>
      <c r="AH119" s="100">
        <f>IF(ISNUMBER('General Info'!$B$42), (SamplingData[[#This Row],[Running (cumulative) sum]] * ('General Info'!$B$42 -'General Info'!$B$43 + 1)) + 'General Info'!$B$43 - 1, 0)</f>
        <v>1993.8312065902123</v>
      </c>
      <c r="AI119" s="100" t="str">
        <f>IF(ISERROR(MATCH(SamplingData[[#This Row],[Batch by Type (p)]],SelectedPrecincts[Batch Name], 0)), "", INDEX(SelectedPrecincts[Draw], MATCH(SamplingData[[#This Row],[Batch by Type (p)]],SelectedPrecincts[Batch Name], 0)))</f>
        <v/>
      </c>
      <c r="AJ119" s="101">
        <f>IF(COUNTIF(SelectedPrecincts[Batch Name],SamplingData[[#This Row],[Batch by Type (p)]]) &lt;&gt; 0, COUNTIF(SelectedPrecincts[Batch Name],SamplingData[[#This Row],[Batch by Type (p)]]), 0)</f>
        <v>0</v>
      </c>
    </row>
    <row r="120" spans="1:36" ht="15" customHeight="1" x14ac:dyDescent="0.35">
      <c r="A120" s="98" t="s">
        <v>332</v>
      </c>
      <c r="B120" s="98">
        <v>8</v>
      </c>
      <c r="C120" s="98">
        <v>3</v>
      </c>
      <c r="D120" s="93"/>
      <c r="E120" s="93"/>
      <c r="F120" s="93"/>
      <c r="G120" s="97"/>
      <c r="H120" s="97"/>
      <c r="I120" s="93"/>
      <c r="J120" s="93"/>
      <c r="K120" s="93"/>
      <c r="L120" s="93"/>
      <c r="M120" s="93"/>
      <c r="N120" s="98">
        <v>0</v>
      </c>
      <c r="O120" s="98">
        <v>0</v>
      </c>
      <c r="P120" s="99">
        <f>SUM(SamplingData[[#This Row],[Winning Candidate]:[Under Votes]])</f>
        <v>11</v>
      </c>
      <c r="Q120"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120" s="100">
        <f>IF(AND(SamplingData[[#This Row],[Total]]&lt;&gt; 0, NOT(ISBLANK(SamplingData[[#This Row],[Candidate 3]]))),(SamplingData[[#This Row],[Total]]+SamplingData[[#This Row],[Winning Candidate]]-SamplingData[[#This Row],[Candidate 3]])/(SamplingData[[#Totals],[Winning Candidate]]-SamplingData[[#Totals],[Candidate 3]]), 0)</f>
        <v>0</v>
      </c>
      <c r="S120" s="100">
        <f>IF(AND(SamplingData[[#This Row],[Total]]&lt;&gt; 0, NOT(ISBLANK(SamplingData[[#This Row],[Candidate 4]]))),(SamplingData[[#This Row],[Total]]+SamplingData[[#This Row],[Winning Candidate]]-SamplingData[[#This Row],[Candidate 4]])/(SamplingData[[#Totals],[Winning Candidate]]-SamplingData[[#Totals],[Candidate 4]]), 0)</f>
        <v>0</v>
      </c>
      <c r="T120" s="100">
        <f>IF(AND(SamplingData[[#This Row],[Total]]&lt;&gt; 0, NOT(ISBLANK(SamplingData[[#This Row],[Candidate 5]]))),(SamplingData[[#This Row],[Total]]+SamplingData[[#This Row],[Winning Candidate]]-SamplingData[[#This Row],[Candidate 5]])/(SamplingData[[#Totals],[Winning Candidate]]-SamplingData[[#Totals],[Candidate 5]]), 0)</f>
        <v>0</v>
      </c>
      <c r="U120" s="100">
        <f>IF(AND(SamplingData[[#This Row],[Total]]&lt;&gt; 0, NOT(ISBLANK(SamplingData[[#This Row],[Candidate 6]]))),(SamplingData[[#This Row],[Total]]+SamplingData[[#This Row],[Losing Candidate]]-SamplingData[[#This Row],[Candidate 6]])/(SamplingData[[#Totals],[Winning Candidate]]-SamplingData[[#Totals],[Candidate 6]]), 0)</f>
        <v>0</v>
      </c>
      <c r="V120" s="100">
        <f>IF(AND(SamplingData[[#This Row],[Total]]&lt;&gt; 0, NOT(ISBLANK(SamplingData[[#This Row],[Candidate 7]]))),(SamplingData[[#This Row],[Total]]+SamplingData[[#This Row],[Winning Candidate]]-SamplingData[[#This Row],[Candidate 7]])/(SamplingData[[#Totals],[Winning Candidate]]-SamplingData[[#Totals],[Candidate 7]]), 0)</f>
        <v>0</v>
      </c>
      <c r="W120" s="100">
        <f>IF(AND(SamplingData[[#This Row],[Total]]&lt;&gt; 0, NOT(ISBLANK(SamplingData[[#This Row],[Candidate 8]]))),(SamplingData[[#This Row],[Total]]+SamplingData[[#This Row],[Winning Candidate]]-SamplingData[[#This Row],[Candidate 8]])/(SamplingData[[#Totals],[Winning Candidate]]-SamplingData[[#Totals],[Candidate 8]]), 0)</f>
        <v>0</v>
      </c>
      <c r="X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00">
        <f>MAX(SamplingData[[#This Row],[Error Bound (up) - Max. possible relative overstatement - Losing Candidate]:[Error Bound (up) - Max. possible relative overstatement - Candidate 12]])</f>
        <v>5.0255991456481448E-4</v>
      </c>
      <c r="AC120" s="100">
        <f>IF(SamplingData[[#This Row],[Max Error Bound (up)]] = 0,0,SamplingData[[#This Row],[Max Error Bound (up)]]/SamplingData[[#Totals],[Max Error Bound (up)]])</f>
        <v>2.1536639207451683E-4</v>
      </c>
      <c r="AD120" s="104">
        <f>SUM($AC$5:AC120)</f>
        <v>2.016367845797664E-2</v>
      </c>
      <c r="AE120" s="100" t="str" cm="1">
        <f t="array" ref="AE120">IF(SamplingData[[#This Row],[up/U Selection Probability]] = 0, "Zero", TEXT(SamplingData[[#This Row],[Lower Range]], REPT("0",LEN('General Info'!$B$42))) &amp; " - " &amp; TEXT(SamplingData[[#This Row],[Upper Range]], REPT("0",LEN('General Info'!$B$42))))</f>
        <v>01995 - 02015</v>
      </c>
      <c r="AF120" s="100">
        <f>SamplingData[[#This Row],[Upper Range]]-SamplingData[[#This Row],[Span]]</f>
        <v>1994.8312065902123</v>
      </c>
      <c r="AG120" s="100">
        <f>IF(ISNUMBER('General Info'!$B$42), ((SamplingData[[#This Row],[up/U Selection Probability]]) * 'General Info'!$B$44) - 1, 0)</f>
        <v>20.536639207451682</v>
      </c>
      <c r="AH120" s="100">
        <f>IF(ISNUMBER('General Info'!$B$42), (SamplingData[[#This Row],[Running (cumulative) sum]] * ('General Info'!$B$42 -'General Info'!$B$43 + 1)) + 'General Info'!$B$43 - 1, 0)</f>
        <v>2015.3678457976639</v>
      </c>
      <c r="AI120" s="100" t="str">
        <f>IF(ISERROR(MATCH(SamplingData[[#This Row],[Batch by Type (p)]],SelectedPrecincts[Batch Name], 0)), "", INDEX(SelectedPrecincts[Draw], MATCH(SamplingData[[#This Row],[Batch by Type (p)]],SelectedPrecincts[Batch Name], 0)))</f>
        <v/>
      </c>
      <c r="AJ120" s="101">
        <f>IF(COUNTIF(SelectedPrecincts[Batch Name],SamplingData[[#This Row],[Batch by Type (p)]]) &lt;&gt; 0, COUNTIF(SelectedPrecincts[Batch Name],SamplingData[[#This Row],[Batch by Type (p)]]), 0)</f>
        <v>0</v>
      </c>
    </row>
    <row r="121" spans="1:36" ht="15" customHeight="1" x14ac:dyDescent="0.35">
      <c r="A121" s="98" t="s">
        <v>333</v>
      </c>
      <c r="B121" s="98">
        <v>10</v>
      </c>
      <c r="C121" s="98">
        <v>1</v>
      </c>
      <c r="D121" s="93"/>
      <c r="E121" s="93"/>
      <c r="F121" s="93"/>
      <c r="G121" s="97"/>
      <c r="H121" s="97"/>
      <c r="I121" s="93"/>
      <c r="J121" s="93"/>
      <c r="K121" s="93"/>
      <c r="L121" s="93"/>
      <c r="M121" s="93"/>
      <c r="N121" s="98">
        <v>0</v>
      </c>
      <c r="O121" s="98">
        <v>0</v>
      </c>
      <c r="P121" s="99">
        <f>SUM(SamplingData[[#This Row],[Winning Candidate]:[Under Votes]])</f>
        <v>11</v>
      </c>
      <c r="Q121"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121" s="100">
        <f>IF(AND(SamplingData[[#This Row],[Total]]&lt;&gt; 0, NOT(ISBLANK(SamplingData[[#This Row],[Candidate 3]]))),(SamplingData[[#This Row],[Total]]+SamplingData[[#This Row],[Winning Candidate]]-SamplingData[[#This Row],[Candidate 3]])/(SamplingData[[#Totals],[Winning Candidate]]-SamplingData[[#Totals],[Candidate 3]]), 0)</f>
        <v>0</v>
      </c>
      <c r="S121" s="100">
        <f>IF(AND(SamplingData[[#This Row],[Total]]&lt;&gt; 0, NOT(ISBLANK(SamplingData[[#This Row],[Candidate 4]]))),(SamplingData[[#This Row],[Total]]+SamplingData[[#This Row],[Winning Candidate]]-SamplingData[[#This Row],[Candidate 4]])/(SamplingData[[#Totals],[Winning Candidate]]-SamplingData[[#Totals],[Candidate 4]]), 0)</f>
        <v>0</v>
      </c>
      <c r="T121" s="100">
        <f>IF(AND(SamplingData[[#This Row],[Total]]&lt;&gt; 0, NOT(ISBLANK(SamplingData[[#This Row],[Candidate 5]]))),(SamplingData[[#This Row],[Total]]+SamplingData[[#This Row],[Winning Candidate]]-SamplingData[[#This Row],[Candidate 5]])/(SamplingData[[#Totals],[Winning Candidate]]-SamplingData[[#Totals],[Candidate 5]]), 0)</f>
        <v>0</v>
      </c>
      <c r="U121" s="100">
        <f>IF(AND(SamplingData[[#This Row],[Total]]&lt;&gt; 0, NOT(ISBLANK(SamplingData[[#This Row],[Candidate 6]]))),(SamplingData[[#This Row],[Total]]+SamplingData[[#This Row],[Losing Candidate]]-SamplingData[[#This Row],[Candidate 6]])/(SamplingData[[#Totals],[Winning Candidate]]-SamplingData[[#Totals],[Candidate 6]]), 0)</f>
        <v>0</v>
      </c>
      <c r="V121" s="100">
        <f>IF(AND(SamplingData[[#This Row],[Total]]&lt;&gt; 0, NOT(ISBLANK(SamplingData[[#This Row],[Candidate 7]]))),(SamplingData[[#This Row],[Total]]+SamplingData[[#This Row],[Winning Candidate]]-SamplingData[[#This Row],[Candidate 7]])/(SamplingData[[#Totals],[Winning Candidate]]-SamplingData[[#Totals],[Candidate 7]]), 0)</f>
        <v>0</v>
      </c>
      <c r="W121" s="100">
        <f>IF(AND(SamplingData[[#This Row],[Total]]&lt;&gt; 0, NOT(ISBLANK(SamplingData[[#This Row],[Candidate 8]]))),(SamplingData[[#This Row],[Total]]+SamplingData[[#This Row],[Winning Candidate]]-SamplingData[[#This Row],[Candidate 8]])/(SamplingData[[#Totals],[Winning Candidate]]-SamplingData[[#Totals],[Candidate 8]]), 0)</f>
        <v>0</v>
      </c>
      <c r="X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00">
        <f>MAX(SamplingData[[#This Row],[Error Bound (up) - Max. possible relative overstatement - Losing Candidate]:[Error Bound (up) - Max. possible relative overstatement - Candidate 12]])</f>
        <v>6.2819989320601812E-4</v>
      </c>
      <c r="AC121" s="100">
        <f>IF(SamplingData[[#This Row],[Max Error Bound (up)]] = 0,0,SamplingData[[#This Row],[Max Error Bound (up)]]/SamplingData[[#Totals],[Max Error Bound (up)]])</f>
        <v>2.6920799009314607E-4</v>
      </c>
      <c r="AD121" s="104">
        <f>SUM($AC$5:AC121)</f>
        <v>2.0432886448069787E-2</v>
      </c>
      <c r="AE121" s="100" t="str" cm="1">
        <f t="array" ref="AE121">IF(SamplingData[[#This Row],[up/U Selection Probability]] = 0, "Zero", TEXT(SamplingData[[#This Row],[Lower Range]], REPT("0",LEN('General Info'!$B$42))) &amp; " - " &amp; TEXT(SamplingData[[#This Row],[Upper Range]], REPT("0",LEN('General Info'!$B$42))))</f>
        <v>02016 - 02042</v>
      </c>
      <c r="AF121" s="100">
        <f>SamplingData[[#This Row],[Upper Range]]-SamplingData[[#This Row],[Span]]</f>
        <v>2016.3678457976641</v>
      </c>
      <c r="AG121" s="100">
        <f>IF(ISNUMBER('General Info'!$B$42), ((SamplingData[[#This Row],[up/U Selection Probability]]) * 'General Info'!$B$44) - 1, 0)</f>
        <v>25.920799009314607</v>
      </c>
      <c r="AH121" s="100">
        <f>IF(ISNUMBER('General Info'!$B$42), (SamplingData[[#This Row],[Running (cumulative) sum]] * ('General Info'!$B$42 -'General Info'!$B$43 + 1)) + 'General Info'!$B$43 - 1, 0)</f>
        <v>2042.2886448069787</v>
      </c>
      <c r="AI121" s="100" t="str">
        <f>IF(ISERROR(MATCH(SamplingData[[#This Row],[Batch by Type (p)]],SelectedPrecincts[Batch Name], 0)), "", INDEX(SelectedPrecincts[Draw], MATCH(SamplingData[[#This Row],[Batch by Type (p)]],SelectedPrecincts[Batch Name], 0)))</f>
        <v/>
      </c>
      <c r="AJ121" s="101">
        <f>IF(COUNTIF(SelectedPrecincts[Batch Name],SamplingData[[#This Row],[Batch by Type (p)]]) &lt;&gt; 0, COUNTIF(SelectedPrecincts[Batch Name],SamplingData[[#This Row],[Batch by Type (p)]]), 0)</f>
        <v>0</v>
      </c>
    </row>
    <row r="122" spans="1:36" ht="15" customHeight="1" x14ac:dyDescent="0.35">
      <c r="A122" s="98" t="s">
        <v>334</v>
      </c>
      <c r="B122" s="98">
        <v>12</v>
      </c>
      <c r="C122" s="98">
        <v>2</v>
      </c>
      <c r="D122" s="93"/>
      <c r="E122" s="93"/>
      <c r="F122" s="93"/>
      <c r="G122" s="97"/>
      <c r="H122" s="97"/>
      <c r="I122" s="93"/>
      <c r="J122" s="93"/>
      <c r="K122" s="93"/>
      <c r="L122" s="93"/>
      <c r="M122" s="93"/>
      <c r="N122" s="98">
        <v>0</v>
      </c>
      <c r="O122" s="98">
        <v>0</v>
      </c>
      <c r="P122" s="99">
        <f>SUM(SamplingData[[#This Row],[Winning Candidate]:[Under Votes]])</f>
        <v>14</v>
      </c>
      <c r="Q122"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122" s="100">
        <f>IF(AND(SamplingData[[#This Row],[Total]]&lt;&gt; 0, NOT(ISBLANK(SamplingData[[#This Row],[Candidate 3]]))),(SamplingData[[#This Row],[Total]]+SamplingData[[#This Row],[Winning Candidate]]-SamplingData[[#This Row],[Candidate 3]])/(SamplingData[[#Totals],[Winning Candidate]]-SamplingData[[#Totals],[Candidate 3]]), 0)</f>
        <v>0</v>
      </c>
      <c r="S122" s="100">
        <f>IF(AND(SamplingData[[#This Row],[Total]]&lt;&gt; 0, NOT(ISBLANK(SamplingData[[#This Row],[Candidate 4]]))),(SamplingData[[#This Row],[Total]]+SamplingData[[#This Row],[Winning Candidate]]-SamplingData[[#This Row],[Candidate 4]])/(SamplingData[[#Totals],[Winning Candidate]]-SamplingData[[#Totals],[Candidate 4]]), 0)</f>
        <v>0</v>
      </c>
      <c r="T122" s="100">
        <f>IF(AND(SamplingData[[#This Row],[Total]]&lt;&gt; 0, NOT(ISBLANK(SamplingData[[#This Row],[Candidate 5]]))),(SamplingData[[#This Row],[Total]]+SamplingData[[#This Row],[Winning Candidate]]-SamplingData[[#This Row],[Candidate 5]])/(SamplingData[[#Totals],[Winning Candidate]]-SamplingData[[#Totals],[Candidate 5]]), 0)</f>
        <v>0</v>
      </c>
      <c r="U122" s="100">
        <f>IF(AND(SamplingData[[#This Row],[Total]]&lt;&gt; 0, NOT(ISBLANK(SamplingData[[#This Row],[Candidate 6]]))),(SamplingData[[#This Row],[Total]]+SamplingData[[#This Row],[Losing Candidate]]-SamplingData[[#This Row],[Candidate 6]])/(SamplingData[[#Totals],[Winning Candidate]]-SamplingData[[#Totals],[Candidate 6]]), 0)</f>
        <v>0</v>
      </c>
      <c r="V122" s="100">
        <f>IF(AND(SamplingData[[#This Row],[Total]]&lt;&gt; 0, NOT(ISBLANK(SamplingData[[#This Row],[Candidate 7]]))),(SamplingData[[#This Row],[Total]]+SamplingData[[#This Row],[Winning Candidate]]-SamplingData[[#This Row],[Candidate 7]])/(SamplingData[[#Totals],[Winning Candidate]]-SamplingData[[#Totals],[Candidate 7]]), 0)</f>
        <v>0</v>
      </c>
      <c r="W122" s="100">
        <f>IF(AND(SamplingData[[#This Row],[Total]]&lt;&gt; 0, NOT(ISBLANK(SamplingData[[#This Row],[Candidate 8]]))),(SamplingData[[#This Row],[Total]]+SamplingData[[#This Row],[Winning Candidate]]-SamplingData[[#This Row],[Candidate 8]])/(SamplingData[[#Totals],[Winning Candidate]]-SamplingData[[#Totals],[Candidate 8]]), 0)</f>
        <v>0</v>
      </c>
      <c r="X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00">
        <f>MAX(SamplingData[[#This Row],[Error Bound (up) - Max. possible relative overstatement - Losing Candidate]:[Error Bound (up) - Max. possible relative overstatement - Candidate 12]])</f>
        <v>7.5383987184722177E-4</v>
      </c>
      <c r="AC122" s="100">
        <f>IF(SamplingData[[#This Row],[Max Error Bound (up)]] = 0,0,SamplingData[[#This Row],[Max Error Bound (up)]]/SamplingData[[#Totals],[Max Error Bound (up)]])</f>
        <v>3.2304958811177527E-4</v>
      </c>
      <c r="AD122" s="104">
        <f>SUM($AC$5:AC122)</f>
        <v>2.0755936036181564E-2</v>
      </c>
      <c r="AE122" s="100" t="str" cm="1">
        <f t="array" ref="AE122">IF(SamplingData[[#This Row],[up/U Selection Probability]] = 0, "Zero", TEXT(SamplingData[[#This Row],[Lower Range]], REPT("0",LEN('General Info'!$B$42))) &amp; " - " &amp; TEXT(SamplingData[[#This Row],[Upper Range]], REPT("0",LEN('General Info'!$B$42))))</f>
        <v>02043 - 02075</v>
      </c>
      <c r="AF122" s="100">
        <f>SamplingData[[#This Row],[Upper Range]]-SamplingData[[#This Row],[Span]]</f>
        <v>2043.2886448069789</v>
      </c>
      <c r="AG122" s="100">
        <f>IF(ISNUMBER('General Info'!$B$42), ((SamplingData[[#This Row],[up/U Selection Probability]]) * 'General Info'!$B$44) - 1, 0)</f>
        <v>31.304958811177528</v>
      </c>
      <c r="AH122" s="100">
        <f>IF(ISNUMBER('General Info'!$B$42), (SamplingData[[#This Row],[Running (cumulative) sum]] * ('General Info'!$B$42 -'General Info'!$B$43 + 1)) + 'General Info'!$B$43 - 1, 0)</f>
        <v>2074.5936036181565</v>
      </c>
      <c r="AI122" s="100" t="str">
        <f>IF(ISERROR(MATCH(SamplingData[[#This Row],[Batch by Type (p)]],SelectedPrecincts[Batch Name], 0)), "", INDEX(SelectedPrecincts[Draw], MATCH(SamplingData[[#This Row],[Batch by Type (p)]],SelectedPrecincts[Batch Name], 0)))</f>
        <v/>
      </c>
      <c r="AJ122" s="101">
        <f>IF(COUNTIF(SelectedPrecincts[Batch Name],SamplingData[[#This Row],[Batch by Type (p)]]) &lt;&gt; 0, COUNTIF(SelectedPrecincts[Batch Name],SamplingData[[#This Row],[Batch by Type (p)]]), 0)</f>
        <v>0</v>
      </c>
    </row>
    <row r="123" spans="1:36" ht="15" customHeight="1" x14ac:dyDescent="0.35">
      <c r="A123" s="98" t="s">
        <v>335</v>
      </c>
      <c r="B123" s="98">
        <v>0</v>
      </c>
      <c r="C123" s="98">
        <v>0</v>
      </c>
      <c r="D123" s="93"/>
      <c r="E123" s="93"/>
      <c r="F123" s="93"/>
      <c r="G123" s="97"/>
      <c r="H123" s="97"/>
      <c r="I123" s="93"/>
      <c r="J123" s="93"/>
      <c r="K123" s="93"/>
      <c r="L123" s="93"/>
      <c r="M123" s="93"/>
      <c r="N123" s="98">
        <v>0</v>
      </c>
      <c r="O123" s="98">
        <v>0</v>
      </c>
      <c r="P123" s="99">
        <f>SUM(SamplingData[[#This Row],[Winning Candidate]:[Under Votes]])</f>
        <v>0</v>
      </c>
      <c r="Q123" s="100">
        <f>IF(AND(SamplingData[[#This Row],[Total]]&lt;&gt; 0, NOT(ISBLANK(SamplingData[[#This Row],[Losing Candidate]]))),(SamplingData[[#This Row],[Total]]+SamplingData[[#This Row],[Winning Candidate]]-SamplingData[[#This Row],[Losing Candidate]])/(SamplingData[[#Totals],[Winning Candidate]]-SamplingData[[#Totals],[Losing Candidate]]), 0)</f>
        <v>0</v>
      </c>
      <c r="R123" s="100">
        <f>IF(AND(SamplingData[[#This Row],[Total]]&lt;&gt; 0, NOT(ISBLANK(SamplingData[[#This Row],[Candidate 3]]))),(SamplingData[[#This Row],[Total]]+SamplingData[[#This Row],[Winning Candidate]]-SamplingData[[#This Row],[Candidate 3]])/(SamplingData[[#Totals],[Winning Candidate]]-SamplingData[[#Totals],[Candidate 3]]), 0)</f>
        <v>0</v>
      </c>
      <c r="S123" s="100">
        <f>IF(AND(SamplingData[[#This Row],[Total]]&lt;&gt; 0, NOT(ISBLANK(SamplingData[[#This Row],[Candidate 4]]))),(SamplingData[[#This Row],[Total]]+SamplingData[[#This Row],[Winning Candidate]]-SamplingData[[#This Row],[Candidate 4]])/(SamplingData[[#Totals],[Winning Candidate]]-SamplingData[[#Totals],[Candidate 4]]), 0)</f>
        <v>0</v>
      </c>
      <c r="T123" s="100">
        <f>IF(AND(SamplingData[[#This Row],[Total]]&lt;&gt; 0, NOT(ISBLANK(SamplingData[[#This Row],[Candidate 5]]))),(SamplingData[[#This Row],[Total]]+SamplingData[[#This Row],[Winning Candidate]]-SamplingData[[#This Row],[Candidate 5]])/(SamplingData[[#Totals],[Winning Candidate]]-SamplingData[[#Totals],[Candidate 5]]), 0)</f>
        <v>0</v>
      </c>
      <c r="U123" s="100">
        <f>IF(AND(SamplingData[[#This Row],[Total]]&lt;&gt; 0, NOT(ISBLANK(SamplingData[[#This Row],[Candidate 6]]))),(SamplingData[[#This Row],[Total]]+SamplingData[[#This Row],[Losing Candidate]]-SamplingData[[#This Row],[Candidate 6]])/(SamplingData[[#Totals],[Winning Candidate]]-SamplingData[[#Totals],[Candidate 6]]), 0)</f>
        <v>0</v>
      </c>
      <c r="V123" s="100">
        <f>IF(AND(SamplingData[[#This Row],[Total]]&lt;&gt; 0, NOT(ISBLANK(SamplingData[[#This Row],[Candidate 7]]))),(SamplingData[[#This Row],[Total]]+SamplingData[[#This Row],[Winning Candidate]]-SamplingData[[#This Row],[Candidate 7]])/(SamplingData[[#Totals],[Winning Candidate]]-SamplingData[[#Totals],[Candidate 7]]), 0)</f>
        <v>0</v>
      </c>
      <c r="W123" s="100">
        <f>IF(AND(SamplingData[[#This Row],[Total]]&lt;&gt; 0, NOT(ISBLANK(SamplingData[[#This Row],[Candidate 8]]))),(SamplingData[[#This Row],[Total]]+SamplingData[[#This Row],[Winning Candidate]]-SamplingData[[#This Row],[Candidate 8]])/(SamplingData[[#Totals],[Winning Candidate]]-SamplingData[[#Totals],[Candidate 8]]), 0)</f>
        <v>0</v>
      </c>
      <c r="X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00">
        <f>MAX(SamplingData[[#This Row],[Error Bound (up) - Max. possible relative overstatement - Losing Candidate]:[Error Bound (up) - Max. possible relative overstatement - Candidate 12]])</f>
        <v>0</v>
      </c>
      <c r="AC123" s="100">
        <f>IF(SamplingData[[#This Row],[Max Error Bound (up)]] = 0,0,SamplingData[[#This Row],[Max Error Bound (up)]]/SamplingData[[#Totals],[Max Error Bound (up)]])</f>
        <v>0</v>
      </c>
      <c r="AD123" s="104">
        <f>SUM($AC$5:AC123)</f>
        <v>2.0755936036181564E-2</v>
      </c>
      <c r="AE123" s="100" t="str" cm="1">
        <f t="array" ref="AE123">IF(SamplingData[[#This Row],[up/U Selection Probability]] = 0, "Zero", TEXT(SamplingData[[#This Row],[Lower Range]], REPT("0",LEN('General Info'!$B$42))) &amp; " - " &amp; TEXT(SamplingData[[#This Row],[Upper Range]], REPT("0",LEN('General Info'!$B$42))))</f>
        <v>Zero</v>
      </c>
      <c r="AF123" s="100">
        <f>SamplingData[[#This Row],[Upper Range]]-SamplingData[[#This Row],[Span]]</f>
        <v>2075.5936036181565</v>
      </c>
      <c r="AG123" s="100">
        <f>IF(ISNUMBER('General Info'!$B$42), ((SamplingData[[#This Row],[up/U Selection Probability]]) * 'General Info'!$B$44) - 1, 0)</f>
        <v>-1</v>
      </c>
      <c r="AH123" s="100">
        <f>IF(ISNUMBER('General Info'!$B$42), (SamplingData[[#This Row],[Running (cumulative) sum]] * ('General Info'!$B$42 -'General Info'!$B$43 + 1)) + 'General Info'!$B$43 - 1, 0)</f>
        <v>2074.5936036181565</v>
      </c>
      <c r="AI123" s="100" t="str">
        <f>IF(ISERROR(MATCH(SamplingData[[#This Row],[Batch by Type (p)]],SelectedPrecincts[Batch Name], 0)), "", INDEX(SelectedPrecincts[Draw], MATCH(SamplingData[[#This Row],[Batch by Type (p)]],SelectedPrecincts[Batch Name], 0)))</f>
        <v/>
      </c>
      <c r="AJ123" s="101">
        <f>IF(COUNTIF(SelectedPrecincts[Batch Name],SamplingData[[#This Row],[Batch by Type (p)]]) &lt;&gt; 0, COUNTIF(SelectedPrecincts[Batch Name],SamplingData[[#This Row],[Batch by Type (p)]]), 0)</f>
        <v>0</v>
      </c>
    </row>
    <row r="124" spans="1:36" ht="15" customHeight="1" x14ac:dyDescent="0.35">
      <c r="A124" s="98" t="s">
        <v>336</v>
      </c>
      <c r="B124" s="98">
        <v>3</v>
      </c>
      <c r="C124" s="98">
        <v>1</v>
      </c>
      <c r="D124" s="93"/>
      <c r="E124" s="93"/>
      <c r="F124" s="93"/>
      <c r="G124" s="97"/>
      <c r="H124" s="97"/>
      <c r="I124" s="93"/>
      <c r="J124" s="93"/>
      <c r="K124" s="93"/>
      <c r="L124" s="93"/>
      <c r="M124" s="93"/>
      <c r="N124" s="98">
        <v>0</v>
      </c>
      <c r="O124" s="98">
        <v>0</v>
      </c>
      <c r="P124" s="99">
        <f>SUM(SamplingData[[#This Row],[Winning Candidate]:[Under Votes]])</f>
        <v>4</v>
      </c>
      <c r="Q12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24" s="100">
        <f>IF(AND(SamplingData[[#This Row],[Total]]&lt;&gt; 0, NOT(ISBLANK(SamplingData[[#This Row],[Candidate 3]]))),(SamplingData[[#This Row],[Total]]+SamplingData[[#This Row],[Winning Candidate]]-SamplingData[[#This Row],[Candidate 3]])/(SamplingData[[#Totals],[Winning Candidate]]-SamplingData[[#Totals],[Candidate 3]]), 0)</f>
        <v>0</v>
      </c>
      <c r="S124" s="100">
        <f>IF(AND(SamplingData[[#This Row],[Total]]&lt;&gt; 0, NOT(ISBLANK(SamplingData[[#This Row],[Candidate 4]]))),(SamplingData[[#This Row],[Total]]+SamplingData[[#This Row],[Winning Candidate]]-SamplingData[[#This Row],[Candidate 4]])/(SamplingData[[#Totals],[Winning Candidate]]-SamplingData[[#Totals],[Candidate 4]]), 0)</f>
        <v>0</v>
      </c>
      <c r="T124" s="100">
        <f>IF(AND(SamplingData[[#This Row],[Total]]&lt;&gt; 0, NOT(ISBLANK(SamplingData[[#This Row],[Candidate 5]]))),(SamplingData[[#This Row],[Total]]+SamplingData[[#This Row],[Winning Candidate]]-SamplingData[[#This Row],[Candidate 5]])/(SamplingData[[#Totals],[Winning Candidate]]-SamplingData[[#Totals],[Candidate 5]]), 0)</f>
        <v>0</v>
      </c>
      <c r="U124" s="100">
        <f>IF(AND(SamplingData[[#This Row],[Total]]&lt;&gt; 0, NOT(ISBLANK(SamplingData[[#This Row],[Candidate 6]]))),(SamplingData[[#This Row],[Total]]+SamplingData[[#This Row],[Losing Candidate]]-SamplingData[[#This Row],[Candidate 6]])/(SamplingData[[#Totals],[Winning Candidate]]-SamplingData[[#Totals],[Candidate 6]]), 0)</f>
        <v>0</v>
      </c>
      <c r="V124" s="100">
        <f>IF(AND(SamplingData[[#This Row],[Total]]&lt;&gt; 0, NOT(ISBLANK(SamplingData[[#This Row],[Candidate 7]]))),(SamplingData[[#This Row],[Total]]+SamplingData[[#This Row],[Winning Candidate]]-SamplingData[[#This Row],[Candidate 7]])/(SamplingData[[#Totals],[Winning Candidate]]-SamplingData[[#Totals],[Candidate 7]]), 0)</f>
        <v>0</v>
      </c>
      <c r="W124" s="100">
        <f>IF(AND(SamplingData[[#This Row],[Total]]&lt;&gt; 0, NOT(ISBLANK(SamplingData[[#This Row],[Candidate 8]]))),(SamplingData[[#This Row],[Total]]+SamplingData[[#This Row],[Winning Candidate]]-SamplingData[[#This Row],[Candidate 8]])/(SamplingData[[#Totals],[Winning Candidate]]-SamplingData[[#Totals],[Candidate 8]]), 0)</f>
        <v>0</v>
      </c>
      <c r="X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00">
        <f>MAX(SamplingData[[#This Row],[Error Bound (up) - Max. possible relative overstatement - Losing Candidate]:[Error Bound (up) - Max. possible relative overstatement - Candidate 12]])</f>
        <v>1.8845996796180544E-4</v>
      </c>
      <c r="AC124" s="100">
        <f>IF(SamplingData[[#This Row],[Max Error Bound (up)]] = 0,0,SamplingData[[#This Row],[Max Error Bound (up)]]/SamplingData[[#Totals],[Max Error Bound (up)]])</f>
        <v>8.0762397027943816E-5</v>
      </c>
      <c r="AD124" s="104">
        <f>SUM($AC$5:AC124)</f>
        <v>2.0836698433209507E-2</v>
      </c>
      <c r="AE124" s="100" t="str" cm="1">
        <f t="array" ref="AE124">IF(SamplingData[[#This Row],[up/U Selection Probability]] = 0, "Zero", TEXT(SamplingData[[#This Row],[Lower Range]], REPT("0",LEN('General Info'!$B$42))) &amp; " - " &amp; TEXT(SamplingData[[#This Row],[Upper Range]], REPT("0",LEN('General Info'!$B$42))))</f>
        <v>02076 - 02083</v>
      </c>
      <c r="AF124" s="100">
        <f>SamplingData[[#This Row],[Upper Range]]-SamplingData[[#This Row],[Span]]</f>
        <v>2075.5936036181565</v>
      </c>
      <c r="AG124" s="100">
        <f>IF(ISNUMBER('General Info'!$B$42), ((SamplingData[[#This Row],[up/U Selection Probability]]) * 'General Info'!$B$44) - 1, 0)</f>
        <v>7.076239702794382</v>
      </c>
      <c r="AH124" s="100">
        <f>IF(ISNUMBER('General Info'!$B$42), (SamplingData[[#This Row],[Running (cumulative) sum]] * ('General Info'!$B$42 -'General Info'!$B$43 + 1)) + 'General Info'!$B$43 - 1, 0)</f>
        <v>2082.6698433209508</v>
      </c>
      <c r="AI124" s="100" t="str">
        <f>IF(ISERROR(MATCH(SamplingData[[#This Row],[Batch by Type (p)]],SelectedPrecincts[Batch Name], 0)), "", INDEX(SelectedPrecincts[Draw], MATCH(SamplingData[[#This Row],[Batch by Type (p)]],SelectedPrecincts[Batch Name], 0)))</f>
        <v/>
      </c>
      <c r="AJ124" s="101">
        <f>IF(COUNTIF(SelectedPrecincts[Batch Name],SamplingData[[#This Row],[Batch by Type (p)]]) &lt;&gt; 0, COUNTIF(SelectedPrecincts[Batch Name],SamplingData[[#This Row],[Batch by Type (p)]]), 0)</f>
        <v>0</v>
      </c>
    </row>
    <row r="125" spans="1:36" ht="15" customHeight="1" x14ac:dyDescent="0.35">
      <c r="A125" s="98" t="s">
        <v>337</v>
      </c>
      <c r="B125" s="98">
        <v>4</v>
      </c>
      <c r="C125" s="98">
        <v>0</v>
      </c>
      <c r="D125" s="93"/>
      <c r="E125" s="93"/>
      <c r="F125" s="93"/>
      <c r="G125" s="97"/>
      <c r="H125" s="97"/>
      <c r="I125" s="93"/>
      <c r="J125" s="93"/>
      <c r="K125" s="93"/>
      <c r="L125" s="93"/>
      <c r="M125" s="93"/>
      <c r="N125" s="98">
        <v>0</v>
      </c>
      <c r="O125" s="98">
        <v>0</v>
      </c>
      <c r="P125" s="99">
        <f>SUM(SamplingData[[#This Row],[Winning Candidate]:[Under Votes]])</f>
        <v>4</v>
      </c>
      <c r="Q12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25" s="100">
        <f>IF(AND(SamplingData[[#This Row],[Total]]&lt;&gt; 0, NOT(ISBLANK(SamplingData[[#This Row],[Candidate 3]]))),(SamplingData[[#This Row],[Total]]+SamplingData[[#This Row],[Winning Candidate]]-SamplingData[[#This Row],[Candidate 3]])/(SamplingData[[#Totals],[Winning Candidate]]-SamplingData[[#Totals],[Candidate 3]]), 0)</f>
        <v>0</v>
      </c>
      <c r="S125" s="100">
        <f>IF(AND(SamplingData[[#This Row],[Total]]&lt;&gt; 0, NOT(ISBLANK(SamplingData[[#This Row],[Candidate 4]]))),(SamplingData[[#This Row],[Total]]+SamplingData[[#This Row],[Winning Candidate]]-SamplingData[[#This Row],[Candidate 4]])/(SamplingData[[#Totals],[Winning Candidate]]-SamplingData[[#Totals],[Candidate 4]]), 0)</f>
        <v>0</v>
      </c>
      <c r="T125" s="100">
        <f>IF(AND(SamplingData[[#This Row],[Total]]&lt;&gt; 0, NOT(ISBLANK(SamplingData[[#This Row],[Candidate 5]]))),(SamplingData[[#This Row],[Total]]+SamplingData[[#This Row],[Winning Candidate]]-SamplingData[[#This Row],[Candidate 5]])/(SamplingData[[#Totals],[Winning Candidate]]-SamplingData[[#Totals],[Candidate 5]]), 0)</f>
        <v>0</v>
      </c>
      <c r="U125" s="100">
        <f>IF(AND(SamplingData[[#This Row],[Total]]&lt;&gt; 0, NOT(ISBLANK(SamplingData[[#This Row],[Candidate 6]]))),(SamplingData[[#This Row],[Total]]+SamplingData[[#This Row],[Losing Candidate]]-SamplingData[[#This Row],[Candidate 6]])/(SamplingData[[#Totals],[Winning Candidate]]-SamplingData[[#Totals],[Candidate 6]]), 0)</f>
        <v>0</v>
      </c>
      <c r="V125" s="100">
        <f>IF(AND(SamplingData[[#This Row],[Total]]&lt;&gt; 0, NOT(ISBLANK(SamplingData[[#This Row],[Candidate 7]]))),(SamplingData[[#This Row],[Total]]+SamplingData[[#This Row],[Winning Candidate]]-SamplingData[[#This Row],[Candidate 7]])/(SamplingData[[#Totals],[Winning Candidate]]-SamplingData[[#Totals],[Candidate 7]]), 0)</f>
        <v>0</v>
      </c>
      <c r="W125" s="100">
        <f>IF(AND(SamplingData[[#This Row],[Total]]&lt;&gt; 0, NOT(ISBLANK(SamplingData[[#This Row],[Candidate 8]]))),(SamplingData[[#This Row],[Total]]+SamplingData[[#This Row],[Winning Candidate]]-SamplingData[[#This Row],[Candidate 8]])/(SamplingData[[#Totals],[Winning Candidate]]-SamplingData[[#Totals],[Candidate 8]]), 0)</f>
        <v>0</v>
      </c>
      <c r="X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00">
        <f>MAX(SamplingData[[#This Row],[Error Bound (up) - Max. possible relative overstatement - Losing Candidate]:[Error Bound (up) - Max. possible relative overstatement - Candidate 12]])</f>
        <v>2.5127995728240724E-4</v>
      </c>
      <c r="AC125" s="100">
        <f>IF(SamplingData[[#This Row],[Max Error Bound (up)]] = 0,0,SamplingData[[#This Row],[Max Error Bound (up)]]/SamplingData[[#Totals],[Max Error Bound (up)]])</f>
        <v>1.0768319603725841E-4</v>
      </c>
      <c r="AD125" s="104">
        <f>SUM($AC$5:AC125)</f>
        <v>2.0944381629246767E-2</v>
      </c>
      <c r="AE125" s="100" t="str" cm="1">
        <f t="array" ref="AE125">IF(SamplingData[[#This Row],[up/U Selection Probability]] = 0, "Zero", TEXT(SamplingData[[#This Row],[Lower Range]], REPT("0",LEN('General Info'!$B$42))) &amp; " - " &amp; TEXT(SamplingData[[#This Row],[Upper Range]], REPT("0",LEN('General Info'!$B$42))))</f>
        <v>02084 - 02093</v>
      </c>
      <c r="AF125" s="100">
        <f>SamplingData[[#This Row],[Upper Range]]-SamplingData[[#This Row],[Span]]</f>
        <v>2083.6698433209508</v>
      </c>
      <c r="AG125" s="100">
        <f>IF(ISNUMBER('General Info'!$B$42), ((SamplingData[[#This Row],[up/U Selection Probability]]) * 'General Info'!$B$44) - 1, 0)</f>
        <v>9.7683196037258408</v>
      </c>
      <c r="AH125" s="100">
        <f>IF(ISNUMBER('General Info'!$B$42), (SamplingData[[#This Row],[Running (cumulative) sum]] * ('General Info'!$B$42 -'General Info'!$B$43 + 1)) + 'General Info'!$B$43 - 1, 0)</f>
        <v>2093.4381629246768</v>
      </c>
      <c r="AI125" s="100" t="str">
        <f>IF(ISERROR(MATCH(SamplingData[[#This Row],[Batch by Type (p)]],SelectedPrecincts[Batch Name], 0)), "", INDEX(SelectedPrecincts[Draw], MATCH(SamplingData[[#This Row],[Batch by Type (p)]],SelectedPrecincts[Batch Name], 0)))</f>
        <v/>
      </c>
      <c r="AJ125" s="101">
        <f>IF(COUNTIF(SelectedPrecincts[Batch Name],SamplingData[[#This Row],[Batch by Type (p)]]) &lt;&gt; 0, COUNTIF(SelectedPrecincts[Batch Name],SamplingData[[#This Row],[Batch by Type (p)]]), 0)</f>
        <v>0</v>
      </c>
    </row>
    <row r="126" spans="1:36" ht="15" customHeight="1" x14ac:dyDescent="0.35">
      <c r="A126" s="98" t="s">
        <v>338</v>
      </c>
      <c r="B126" s="98">
        <v>12</v>
      </c>
      <c r="C126" s="98">
        <v>3</v>
      </c>
      <c r="D126" s="93"/>
      <c r="E126" s="93"/>
      <c r="F126" s="93"/>
      <c r="G126" s="97"/>
      <c r="H126" s="97"/>
      <c r="I126" s="93"/>
      <c r="J126" s="93"/>
      <c r="K126" s="93"/>
      <c r="L126" s="93"/>
      <c r="M126" s="93"/>
      <c r="N126" s="98">
        <v>0</v>
      </c>
      <c r="O126" s="98">
        <v>0</v>
      </c>
      <c r="P126" s="99">
        <f>SUM(SamplingData[[#This Row],[Winning Candidate]:[Under Votes]])</f>
        <v>15</v>
      </c>
      <c r="Q126"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126" s="100">
        <f>IF(AND(SamplingData[[#This Row],[Total]]&lt;&gt; 0, NOT(ISBLANK(SamplingData[[#This Row],[Candidate 3]]))),(SamplingData[[#This Row],[Total]]+SamplingData[[#This Row],[Winning Candidate]]-SamplingData[[#This Row],[Candidate 3]])/(SamplingData[[#Totals],[Winning Candidate]]-SamplingData[[#Totals],[Candidate 3]]), 0)</f>
        <v>0</v>
      </c>
      <c r="S126" s="100">
        <f>IF(AND(SamplingData[[#This Row],[Total]]&lt;&gt; 0, NOT(ISBLANK(SamplingData[[#This Row],[Candidate 4]]))),(SamplingData[[#This Row],[Total]]+SamplingData[[#This Row],[Winning Candidate]]-SamplingData[[#This Row],[Candidate 4]])/(SamplingData[[#Totals],[Winning Candidate]]-SamplingData[[#Totals],[Candidate 4]]), 0)</f>
        <v>0</v>
      </c>
      <c r="T126" s="100">
        <f>IF(AND(SamplingData[[#This Row],[Total]]&lt;&gt; 0, NOT(ISBLANK(SamplingData[[#This Row],[Candidate 5]]))),(SamplingData[[#This Row],[Total]]+SamplingData[[#This Row],[Winning Candidate]]-SamplingData[[#This Row],[Candidate 5]])/(SamplingData[[#Totals],[Winning Candidate]]-SamplingData[[#Totals],[Candidate 5]]), 0)</f>
        <v>0</v>
      </c>
      <c r="U126" s="100">
        <f>IF(AND(SamplingData[[#This Row],[Total]]&lt;&gt; 0, NOT(ISBLANK(SamplingData[[#This Row],[Candidate 6]]))),(SamplingData[[#This Row],[Total]]+SamplingData[[#This Row],[Losing Candidate]]-SamplingData[[#This Row],[Candidate 6]])/(SamplingData[[#Totals],[Winning Candidate]]-SamplingData[[#Totals],[Candidate 6]]), 0)</f>
        <v>0</v>
      </c>
      <c r="V126" s="100">
        <f>IF(AND(SamplingData[[#This Row],[Total]]&lt;&gt; 0, NOT(ISBLANK(SamplingData[[#This Row],[Candidate 7]]))),(SamplingData[[#This Row],[Total]]+SamplingData[[#This Row],[Winning Candidate]]-SamplingData[[#This Row],[Candidate 7]])/(SamplingData[[#Totals],[Winning Candidate]]-SamplingData[[#Totals],[Candidate 7]]), 0)</f>
        <v>0</v>
      </c>
      <c r="W126" s="100">
        <f>IF(AND(SamplingData[[#This Row],[Total]]&lt;&gt; 0, NOT(ISBLANK(SamplingData[[#This Row],[Candidate 8]]))),(SamplingData[[#This Row],[Total]]+SamplingData[[#This Row],[Winning Candidate]]-SamplingData[[#This Row],[Candidate 8]])/(SamplingData[[#Totals],[Winning Candidate]]-SamplingData[[#Totals],[Candidate 8]]), 0)</f>
        <v>0</v>
      </c>
      <c r="X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00">
        <f>MAX(SamplingData[[#This Row],[Error Bound (up) - Max. possible relative overstatement - Losing Candidate]:[Error Bound (up) - Max. possible relative overstatement - Candidate 12]])</f>
        <v>7.5383987184722177E-4</v>
      </c>
      <c r="AC126" s="100">
        <f>IF(SamplingData[[#This Row],[Max Error Bound (up)]] = 0,0,SamplingData[[#This Row],[Max Error Bound (up)]]/SamplingData[[#Totals],[Max Error Bound (up)]])</f>
        <v>3.2304958811177527E-4</v>
      </c>
      <c r="AD126" s="104">
        <f>SUM($AC$5:AC126)</f>
        <v>2.1267431217358544E-2</v>
      </c>
      <c r="AE126" s="100" t="str" cm="1">
        <f t="array" ref="AE126">IF(SamplingData[[#This Row],[up/U Selection Probability]] = 0, "Zero", TEXT(SamplingData[[#This Row],[Lower Range]], REPT("0",LEN('General Info'!$B$42))) &amp; " - " &amp; TEXT(SamplingData[[#This Row],[Upper Range]], REPT("0",LEN('General Info'!$B$42))))</f>
        <v>02094 - 02126</v>
      </c>
      <c r="AF126" s="100">
        <f>SamplingData[[#This Row],[Upper Range]]-SamplingData[[#This Row],[Span]]</f>
        <v>2094.4381629246768</v>
      </c>
      <c r="AG126" s="100">
        <f>IF(ISNUMBER('General Info'!$B$42), ((SamplingData[[#This Row],[up/U Selection Probability]]) * 'General Info'!$B$44) - 1, 0)</f>
        <v>31.304958811177528</v>
      </c>
      <c r="AH126" s="100">
        <f>IF(ISNUMBER('General Info'!$B$42), (SamplingData[[#This Row],[Running (cumulative) sum]] * ('General Info'!$B$42 -'General Info'!$B$43 + 1)) + 'General Info'!$B$43 - 1, 0)</f>
        <v>2125.7431217358544</v>
      </c>
      <c r="AI126" s="100" t="str">
        <f>IF(ISERROR(MATCH(SamplingData[[#This Row],[Batch by Type (p)]],SelectedPrecincts[Batch Name], 0)), "", INDEX(SelectedPrecincts[Draw], MATCH(SamplingData[[#This Row],[Batch by Type (p)]],SelectedPrecincts[Batch Name], 0)))</f>
        <v/>
      </c>
      <c r="AJ126" s="101">
        <f>IF(COUNTIF(SelectedPrecincts[Batch Name],SamplingData[[#This Row],[Batch by Type (p)]]) &lt;&gt; 0, COUNTIF(SelectedPrecincts[Batch Name],SamplingData[[#This Row],[Batch by Type (p)]]), 0)</f>
        <v>0</v>
      </c>
    </row>
    <row r="127" spans="1:36" ht="15" customHeight="1" x14ac:dyDescent="0.35">
      <c r="A127" s="98" t="s">
        <v>339</v>
      </c>
      <c r="B127" s="98">
        <v>6</v>
      </c>
      <c r="C127" s="98">
        <v>0</v>
      </c>
      <c r="D127" s="93"/>
      <c r="E127" s="93"/>
      <c r="F127" s="93"/>
      <c r="G127" s="97"/>
      <c r="H127" s="97"/>
      <c r="I127" s="93"/>
      <c r="J127" s="93"/>
      <c r="K127" s="93"/>
      <c r="L127" s="93"/>
      <c r="M127" s="93"/>
      <c r="N127" s="98">
        <v>0</v>
      </c>
      <c r="O127" s="98">
        <v>0</v>
      </c>
      <c r="P127" s="99">
        <f>SUM(SamplingData[[#This Row],[Winning Candidate]:[Under Votes]])</f>
        <v>6</v>
      </c>
      <c r="Q127"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27" s="100">
        <f>IF(AND(SamplingData[[#This Row],[Total]]&lt;&gt; 0, NOT(ISBLANK(SamplingData[[#This Row],[Candidate 3]]))),(SamplingData[[#This Row],[Total]]+SamplingData[[#This Row],[Winning Candidate]]-SamplingData[[#This Row],[Candidate 3]])/(SamplingData[[#Totals],[Winning Candidate]]-SamplingData[[#Totals],[Candidate 3]]), 0)</f>
        <v>0</v>
      </c>
      <c r="S127" s="100">
        <f>IF(AND(SamplingData[[#This Row],[Total]]&lt;&gt; 0, NOT(ISBLANK(SamplingData[[#This Row],[Candidate 4]]))),(SamplingData[[#This Row],[Total]]+SamplingData[[#This Row],[Winning Candidate]]-SamplingData[[#This Row],[Candidate 4]])/(SamplingData[[#Totals],[Winning Candidate]]-SamplingData[[#Totals],[Candidate 4]]), 0)</f>
        <v>0</v>
      </c>
      <c r="T127" s="100">
        <f>IF(AND(SamplingData[[#This Row],[Total]]&lt;&gt; 0, NOT(ISBLANK(SamplingData[[#This Row],[Candidate 5]]))),(SamplingData[[#This Row],[Total]]+SamplingData[[#This Row],[Winning Candidate]]-SamplingData[[#This Row],[Candidate 5]])/(SamplingData[[#Totals],[Winning Candidate]]-SamplingData[[#Totals],[Candidate 5]]), 0)</f>
        <v>0</v>
      </c>
      <c r="U127" s="100">
        <f>IF(AND(SamplingData[[#This Row],[Total]]&lt;&gt; 0, NOT(ISBLANK(SamplingData[[#This Row],[Candidate 6]]))),(SamplingData[[#This Row],[Total]]+SamplingData[[#This Row],[Losing Candidate]]-SamplingData[[#This Row],[Candidate 6]])/(SamplingData[[#Totals],[Winning Candidate]]-SamplingData[[#Totals],[Candidate 6]]), 0)</f>
        <v>0</v>
      </c>
      <c r="V127" s="100">
        <f>IF(AND(SamplingData[[#This Row],[Total]]&lt;&gt; 0, NOT(ISBLANK(SamplingData[[#This Row],[Candidate 7]]))),(SamplingData[[#This Row],[Total]]+SamplingData[[#This Row],[Winning Candidate]]-SamplingData[[#This Row],[Candidate 7]])/(SamplingData[[#Totals],[Winning Candidate]]-SamplingData[[#Totals],[Candidate 7]]), 0)</f>
        <v>0</v>
      </c>
      <c r="W127" s="100">
        <f>IF(AND(SamplingData[[#This Row],[Total]]&lt;&gt; 0, NOT(ISBLANK(SamplingData[[#This Row],[Candidate 8]]))),(SamplingData[[#This Row],[Total]]+SamplingData[[#This Row],[Winning Candidate]]-SamplingData[[#This Row],[Candidate 8]])/(SamplingData[[#Totals],[Winning Candidate]]-SamplingData[[#Totals],[Candidate 8]]), 0)</f>
        <v>0</v>
      </c>
      <c r="X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00">
        <f>MAX(SamplingData[[#This Row],[Error Bound (up) - Max. possible relative overstatement - Losing Candidate]:[Error Bound (up) - Max. possible relative overstatement - Candidate 12]])</f>
        <v>3.7691993592361088E-4</v>
      </c>
      <c r="AC127" s="100">
        <f>IF(SamplingData[[#This Row],[Max Error Bound (up)]] = 0,0,SamplingData[[#This Row],[Max Error Bound (up)]]/SamplingData[[#Totals],[Max Error Bound (up)]])</f>
        <v>1.6152479405588763E-4</v>
      </c>
      <c r="AD127" s="104">
        <f>SUM($AC$5:AC127)</f>
        <v>2.1428956011414431E-2</v>
      </c>
      <c r="AE127" s="100" t="str" cm="1">
        <f t="array" ref="AE127">IF(SamplingData[[#This Row],[up/U Selection Probability]] = 0, "Zero", TEXT(SamplingData[[#This Row],[Lower Range]], REPT("0",LEN('General Info'!$B$42))) &amp; " - " &amp; TEXT(SamplingData[[#This Row],[Upper Range]], REPT("0",LEN('General Info'!$B$42))))</f>
        <v>02127 - 02142</v>
      </c>
      <c r="AF127" s="100">
        <f>SamplingData[[#This Row],[Upper Range]]-SamplingData[[#This Row],[Span]]</f>
        <v>2126.7431217358544</v>
      </c>
      <c r="AG127" s="100">
        <f>IF(ISNUMBER('General Info'!$B$42), ((SamplingData[[#This Row],[up/U Selection Probability]]) * 'General Info'!$B$44) - 1, 0)</f>
        <v>15.152479405588764</v>
      </c>
      <c r="AH127" s="100">
        <f>IF(ISNUMBER('General Info'!$B$42), (SamplingData[[#This Row],[Running (cumulative) sum]] * ('General Info'!$B$42 -'General Info'!$B$43 + 1)) + 'General Info'!$B$43 - 1, 0)</f>
        <v>2141.895601141443</v>
      </c>
      <c r="AI127" s="100" t="str">
        <f>IF(ISERROR(MATCH(SamplingData[[#This Row],[Batch by Type (p)]],SelectedPrecincts[Batch Name], 0)), "", INDEX(SelectedPrecincts[Draw], MATCH(SamplingData[[#This Row],[Batch by Type (p)]],SelectedPrecincts[Batch Name], 0)))</f>
        <v/>
      </c>
      <c r="AJ127" s="101">
        <f>IF(COUNTIF(SelectedPrecincts[Batch Name],SamplingData[[#This Row],[Batch by Type (p)]]) &lt;&gt; 0, COUNTIF(SelectedPrecincts[Batch Name],SamplingData[[#This Row],[Batch by Type (p)]]), 0)</f>
        <v>0</v>
      </c>
    </row>
    <row r="128" spans="1:36" ht="15" customHeight="1" x14ac:dyDescent="0.35">
      <c r="A128" s="98" t="s">
        <v>340</v>
      </c>
      <c r="B128" s="98">
        <v>1</v>
      </c>
      <c r="C128" s="98">
        <v>0</v>
      </c>
      <c r="D128" s="93"/>
      <c r="E128" s="93"/>
      <c r="F128" s="93"/>
      <c r="G128" s="97"/>
      <c r="H128" s="97"/>
      <c r="I128" s="93"/>
      <c r="J128" s="93"/>
      <c r="K128" s="93"/>
      <c r="L128" s="93"/>
      <c r="M128" s="93"/>
      <c r="N128" s="98">
        <v>0</v>
      </c>
      <c r="O128" s="98">
        <v>0</v>
      </c>
      <c r="P128" s="99">
        <f>SUM(SamplingData[[#This Row],[Winning Candidate]:[Under Votes]])</f>
        <v>1</v>
      </c>
      <c r="Q128"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28" s="100">
        <f>IF(AND(SamplingData[[#This Row],[Total]]&lt;&gt; 0, NOT(ISBLANK(SamplingData[[#This Row],[Candidate 3]]))),(SamplingData[[#This Row],[Total]]+SamplingData[[#This Row],[Winning Candidate]]-SamplingData[[#This Row],[Candidate 3]])/(SamplingData[[#Totals],[Winning Candidate]]-SamplingData[[#Totals],[Candidate 3]]), 0)</f>
        <v>0</v>
      </c>
      <c r="S128" s="100">
        <f>IF(AND(SamplingData[[#This Row],[Total]]&lt;&gt; 0, NOT(ISBLANK(SamplingData[[#This Row],[Candidate 4]]))),(SamplingData[[#This Row],[Total]]+SamplingData[[#This Row],[Winning Candidate]]-SamplingData[[#This Row],[Candidate 4]])/(SamplingData[[#Totals],[Winning Candidate]]-SamplingData[[#Totals],[Candidate 4]]), 0)</f>
        <v>0</v>
      </c>
      <c r="T128" s="100">
        <f>IF(AND(SamplingData[[#This Row],[Total]]&lt;&gt; 0, NOT(ISBLANK(SamplingData[[#This Row],[Candidate 5]]))),(SamplingData[[#This Row],[Total]]+SamplingData[[#This Row],[Winning Candidate]]-SamplingData[[#This Row],[Candidate 5]])/(SamplingData[[#Totals],[Winning Candidate]]-SamplingData[[#Totals],[Candidate 5]]), 0)</f>
        <v>0</v>
      </c>
      <c r="U128" s="100">
        <f>IF(AND(SamplingData[[#This Row],[Total]]&lt;&gt; 0, NOT(ISBLANK(SamplingData[[#This Row],[Candidate 6]]))),(SamplingData[[#This Row],[Total]]+SamplingData[[#This Row],[Losing Candidate]]-SamplingData[[#This Row],[Candidate 6]])/(SamplingData[[#Totals],[Winning Candidate]]-SamplingData[[#Totals],[Candidate 6]]), 0)</f>
        <v>0</v>
      </c>
      <c r="V128" s="100">
        <f>IF(AND(SamplingData[[#This Row],[Total]]&lt;&gt; 0, NOT(ISBLANK(SamplingData[[#This Row],[Candidate 7]]))),(SamplingData[[#This Row],[Total]]+SamplingData[[#This Row],[Winning Candidate]]-SamplingData[[#This Row],[Candidate 7]])/(SamplingData[[#Totals],[Winning Candidate]]-SamplingData[[#Totals],[Candidate 7]]), 0)</f>
        <v>0</v>
      </c>
      <c r="W128" s="100">
        <f>IF(AND(SamplingData[[#This Row],[Total]]&lt;&gt; 0, NOT(ISBLANK(SamplingData[[#This Row],[Candidate 8]]))),(SamplingData[[#This Row],[Total]]+SamplingData[[#This Row],[Winning Candidate]]-SamplingData[[#This Row],[Candidate 8]])/(SamplingData[[#Totals],[Winning Candidate]]-SamplingData[[#Totals],[Candidate 8]]), 0)</f>
        <v>0</v>
      </c>
      <c r="X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00">
        <f>MAX(SamplingData[[#This Row],[Error Bound (up) - Max. possible relative overstatement - Losing Candidate]:[Error Bound (up) - Max. possible relative overstatement - Candidate 12]])</f>
        <v>6.2819989320601809E-5</v>
      </c>
      <c r="AC128" s="100">
        <f>IF(SamplingData[[#This Row],[Max Error Bound (up)]] = 0,0,SamplingData[[#This Row],[Max Error Bound (up)]]/SamplingData[[#Totals],[Max Error Bound (up)]])</f>
        <v>2.6920799009314603E-5</v>
      </c>
      <c r="AD128" s="104">
        <f>SUM($AC$5:AC128)</f>
        <v>2.1455876810423744E-2</v>
      </c>
      <c r="AE128" s="100" t="str" cm="1">
        <f t="array" ref="AE128">IF(SamplingData[[#This Row],[up/U Selection Probability]] = 0, "Zero", TEXT(SamplingData[[#This Row],[Lower Range]], REPT("0",LEN('General Info'!$B$42))) &amp; " - " &amp; TEXT(SamplingData[[#This Row],[Upper Range]], REPT("0",LEN('General Info'!$B$42))))</f>
        <v>02143 - 02145</v>
      </c>
      <c r="AF128" s="100">
        <f>SamplingData[[#This Row],[Upper Range]]-SamplingData[[#This Row],[Span]]</f>
        <v>2142.895601141443</v>
      </c>
      <c r="AG128" s="100">
        <f>IF(ISNUMBER('General Info'!$B$42), ((SamplingData[[#This Row],[up/U Selection Probability]]) * 'General Info'!$B$44) - 1, 0)</f>
        <v>1.6920799009314602</v>
      </c>
      <c r="AH128" s="100">
        <f>IF(ISNUMBER('General Info'!$B$42), (SamplingData[[#This Row],[Running (cumulative) sum]] * ('General Info'!$B$42 -'General Info'!$B$43 + 1)) + 'General Info'!$B$43 - 1, 0)</f>
        <v>2144.5876810423742</v>
      </c>
      <c r="AI128" s="100" t="str">
        <f>IF(ISERROR(MATCH(SamplingData[[#This Row],[Batch by Type (p)]],SelectedPrecincts[Batch Name], 0)), "", INDEX(SelectedPrecincts[Draw], MATCH(SamplingData[[#This Row],[Batch by Type (p)]],SelectedPrecincts[Batch Name], 0)))</f>
        <v/>
      </c>
      <c r="AJ128" s="101">
        <f>IF(COUNTIF(SelectedPrecincts[Batch Name],SamplingData[[#This Row],[Batch by Type (p)]]) &lt;&gt; 0, COUNTIF(SelectedPrecincts[Batch Name],SamplingData[[#This Row],[Batch by Type (p)]]), 0)</f>
        <v>0</v>
      </c>
    </row>
    <row r="129" spans="1:36" ht="15" customHeight="1" x14ac:dyDescent="0.35">
      <c r="A129" s="98" t="s">
        <v>341</v>
      </c>
      <c r="B129" s="98">
        <v>4</v>
      </c>
      <c r="C129" s="98">
        <v>0</v>
      </c>
      <c r="D129" s="93"/>
      <c r="E129" s="93"/>
      <c r="F129" s="93"/>
      <c r="G129" s="97"/>
      <c r="H129" s="97"/>
      <c r="I129" s="93"/>
      <c r="J129" s="93"/>
      <c r="K129" s="93"/>
      <c r="L129" s="93"/>
      <c r="M129" s="93"/>
      <c r="N129" s="98">
        <v>0</v>
      </c>
      <c r="O129" s="98">
        <v>0</v>
      </c>
      <c r="P129" s="99">
        <f>SUM(SamplingData[[#This Row],[Winning Candidate]:[Under Votes]])</f>
        <v>4</v>
      </c>
      <c r="Q129"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29" s="100">
        <f>IF(AND(SamplingData[[#This Row],[Total]]&lt;&gt; 0, NOT(ISBLANK(SamplingData[[#This Row],[Candidate 3]]))),(SamplingData[[#This Row],[Total]]+SamplingData[[#This Row],[Winning Candidate]]-SamplingData[[#This Row],[Candidate 3]])/(SamplingData[[#Totals],[Winning Candidate]]-SamplingData[[#Totals],[Candidate 3]]), 0)</f>
        <v>0</v>
      </c>
      <c r="S129" s="100">
        <f>IF(AND(SamplingData[[#This Row],[Total]]&lt;&gt; 0, NOT(ISBLANK(SamplingData[[#This Row],[Candidate 4]]))),(SamplingData[[#This Row],[Total]]+SamplingData[[#This Row],[Winning Candidate]]-SamplingData[[#This Row],[Candidate 4]])/(SamplingData[[#Totals],[Winning Candidate]]-SamplingData[[#Totals],[Candidate 4]]), 0)</f>
        <v>0</v>
      </c>
      <c r="T129" s="100">
        <f>IF(AND(SamplingData[[#This Row],[Total]]&lt;&gt; 0, NOT(ISBLANK(SamplingData[[#This Row],[Candidate 5]]))),(SamplingData[[#This Row],[Total]]+SamplingData[[#This Row],[Winning Candidate]]-SamplingData[[#This Row],[Candidate 5]])/(SamplingData[[#Totals],[Winning Candidate]]-SamplingData[[#Totals],[Candidate 5]]), 0)</f>
        <v>0</v>
      </c>
      <c r="U129" s="100">
        <f>IF(AND(SamplingData[[#This Row],[Total]]&lt;&gt; 0, NOT(ISBLANK(SamplingData[[#This Row],[Candidate 6]]))),(SamplingData[[#This Row],[Total]]+SamplingData[[#This Row],[Losing Candidate]]-SamplingData[[#This Row],[Candidate 6]])/(SamplingData[[#Totals],[Winning Candidate]]-SamplingData[[#Totals],[Candidate 6]]), 0)</f>
        <v>0</v>
      </c>
      <c r="V129" s="100">
        <f>IF(AND(SamplingData[[#This Row],[Total]]&lt;&gt; 0, NOT(ISBLANK(SamplingData[[#This Row],[Candidate 7]]))),(SamplingData[[#This Row],[Total]]+SamplingData[[#This Row],[Winning Candidate]]-SamplingData[[#This Row],[Candidate 7]])/(SamplingData[[#Totals],[Winning Candidate]]-SamplingData[[#Totals],[Candidate 7]]), 0)</f>
        <v>0</v>
      </c>
      <c r="W129" s="100">
        <f>IF(AND(SamplingData[[#This Row],[Total]]&lt;&gt; 0, NOT(ISBLANK(SamplingData[[#This Row],[Candidate 8]]))),(SamplingData[[#This Row],[Total]]+SamplingData[[#This Row],[Winning Candidate]]-SamplingData[[#This Row],[Candidate 8]])/(SamplingData[[#Totals],[Winning Candidate]]-SamplingData[[#Totals],[Candidate 8]]), 0)</f>
        <v>0</v>
      </c>
      <c r="X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00">
        <f>MAX(SamplingData[[#This Row],[Error Bound (up) - Max. possible relative overstatement - Losing Candidate]:[Error Bound (up) - Max. possible relative overstatement - Candidate 12]])</f>
        <v>2.5127995728240724E-4</v>
      </c>
      <c r="AC129" s="100">
        <f>IF(SamplingData[[#This Row],[Max Error Bound (up)]] = 0,0,SamplingData[[#This Row],[Max Error Bound (up)]]/SamplingData[[#Totals],[Max Error Bound (up)]])</f>
        <v>1.0768319603725841E-4</v>
      </c>
      <c r="AD129" s="104">
        <f>SUM($AC$5:AC129)</f>
        <v>2.1563560006461004E-2</v>
      </c>
      <c r="AE129" s="100" t="str" cm="1">
        <f t="array" ref="AE129">IF(SamplingData[[#This Row],[up/U Selection Probability]] = 0, "Zero", TEXT(SamplingData[[#This Row],[Lower Range]], REPT("0",LEN('General Info'!$B$42))) &amp; " - " &amp; TEXT(SamplingData[[#This Row],[Upper Range]], REPT("0",LEN('General Info'!$B$42))))</f>
        <v>02146 - 02155</v>
      </c>
      <c r="AF129" s="100">
        <f>SamplingData[[#This Row],[Upper Range]]-SamplingData[[#This Row],[Span]]</f>
        <v>2145.5876810423742</v>
      </c>
      <c r="AG129" s="100">
        <f>IF(ISNUMBER('General Info'!$B$42), ((SamplingData[[#This Row],[up/U Selection Probability]]) * 'General Info'!$B$44) - 1, 0)</f>
        <v>9.7683196037258408</v>
      </c>
      <c r="AH129" s="100">
        <f>IF(ISNUMBER('General Info'!$B$42), (SamplingData[[#This Row],[Running (cumulative) sum]] * ('General Info'!$B$42 -'General Info'!$B$43 + 1)) + 'General Info'!$B$43 - 1, 0)</f>
        <v>2155.3560006461003</v>
      </c>
      <c r="AI129" s="100" t="str">
        <f>IF(ISERROR(MATCH(SamplingData[[#This Row],[Batch by Type (p)]],SelectedPrecincts[Batch Name], 0)), "", INDEX(SelectedPrecincts[Draw], MATCH(SamplingData[[#This Row],[Batch by Type (p)]],SelectedPrecincts[Batch Name], 0)))</f>
        <v/>
      </c>
      <c r="AJ129" s="101">
        <f>IF(COUNTIF(SelectedPrecincts[Batch Name],SamplingData[[#This Row],[Batch by Type (p)]]) &lt;&gt; 0, COUNTIF(SelectedPrecincts[Batch Name],SamplingData[[#This Row],[Batch by Type (p)]]), 0)</f>
        <v>0</v>
      </c>
    </row>
    <row r="130" spans="1:36" ht="15" customHeight="1" x14ac:dyDescent="0.35">
      <c r="A130" s="98" t="s">
        <v>342</v>
      </c>
      <c r="B130" s="98">
        <v>3</v>
      </c>
      <c r="C130" s="98">
        <v>0</v>
      </c>
      <c r="D130" s="93"/>
      <c r="E130" s="93"/>
      <c r="F130" s="93"/>
      <c r="G130" s="97"/>
      <c r="H130" s="97"/>
      <c r="I130" s="93"/>
      <c r="J130" s="93"/>
      <c r="K130" s="93"/>
      <c r="L130" s="93"/>
      <c r="M130" s="93"/>
      <c r="N130" s="98">
        <v>0</v>
      </c>
      <c r="O130" s="98">
        <v>0</v>
      </c>
      <c r="P130" s="99">
        <f>SUM(SamplingData[[#This Row],[Winning Candidate]:[Under Votes]])</f>
        <v>3</v>
      </c>
      <c r="Q130"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30" s="100">
        <f>IF(AND(SamplingData[[#This Row],[Total]]&lt;&gt; 0, NOT(ISBLANK(SamplingData[[#This Row],[Candidate 3]]))),(SamplingData[[#This Row],[Total]]+SamplingData[[#This Row],[Winning Candidate]]-SamplingData[[#This Row],[Candidate 3]])/(SamplingData[[#Totals],[Winning Candidate]]-SamplingData[[#Totals],[Candidate 3]]), 0)</f>
        <v>0</v>
      </c>
      <c r="S130" s="100">
        <f>IF(AND(SamplingData[[#This Row],[Total]]&lt;&gt; 0, NOT(ISBLANK(SamplingData[[#This Row],[Candidate 4]]))),(SamplingData[[#This Row],[Total]]+SamplingData[[#This Row],[Winning Candidate]]-SamplingData[[#This Row],[Candidate 4]])/(SamplingData[[#Totals],[Winning Candidate]]-SamplingData[[#Totals],[Candidate 4]]), 0)</f>
        <v>0</v>
      </c>
      <c r="T130" s="100">
        <f>IF(AND(SamplingData[[#This Row],[Total]]&lt;&gt; 0, NOT(ISBLANK(SamplingData[[#This Row],[Candidate 5]]))),(SamplingData[[#This Row],[Total]]+SamplingData[[#This Row],[Winning Candidate]]-SamplingData[[#This Row],[Candidate 5]])/(SamplingData[[#Totals],[Winning Candidate]]-SamplingData[[#Totals],[Candidate 5]]), 0)</f>
        <v>0</v>
      </c>
      <c r="U130" s="100">
        <f>IF(AND(SamplingData[[#This Row],[Total]]&lt;&gt; 0, NOT(ISBLANK(SamplingData[[#This Row],[Candidate 6]]))),(SamplingData[[#This Row],[Total]]+SamplingData[[#This Row],[Losing Candidate]]-SamplingData[[#This Row],[Candidate 6]])/(SamplingData[[#Totals],[Winning Candidate]]-SamplingData[[#Totals],[Candidate 6]]), 0)</f>
        <v>0</v>
      </c>
      <c r="V130" s="100">
        <f>IF(AND(SamplingData[[#This Row],[Total]]&lt;&gt; 0, NOT(ISBLANK(SamplingData[[#This Row],[Candidate 7]]))),(SamplingData[[#This Row],[Total]]+SamplingData[[#This Row],[Winning Candidate]]-SamplingData[[#This Row],[Candidate 7]])/(SamplingData[[#Totals],[Winning Candidate]]-SamplingData[[#Totals],[Candidate 7]]), 0)</f>
        <v>0</v>
      </c>
      <c r="W130" s="100">
        <f>IF(AND(SamplingData[[#This Row],[Total]]&lt;&gt; 0, NOT(ISBLANK(SamplingData[[#This Row],[Candidate 8]]))),(SamplingData[[#This Row],[Total]]+SamplingData[[#This Row],[Winning Candidate]]-SamplingData[[#This Row],[Candidate 8]])/(SamplingData[[#Totals],[Winning Candidate]]-SamplingData[[#Totals],[Candidate 8]]), 0)</f>
        <v>0</v>
      </c>
      <c r="X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00">
        <f>MAX(SamplingData[[#This Row],[Error Bound (up) - Max. possible relative overstatement - Losing Candidate]:[Error Bound (up) - Max. possible relative overstatement - Candidate 12]])</f>
        <v>1.8845996796180544E-4</v>
      </c>
      <c r="AC130" s="100">
        <f>IF(SamplingData[[#This Row],[Max Error Bound (up)]] = 0,0,SamplingData[[#This Row],[Max Error Bound (up)]]/SamplingData[[#Totals],[Max Error Bound (up)]])</f>
        <v>8.0762397027943816E-5</v>
      </c>
      <c r="AD130" s="104">
        <f>SUM($AC$5:AC130)</f>
        <v>2.1644322403488948E-2</v>
      </c>
      <c r="AE130" s="100" t="str" cm="1">
        <f t="array" ref="AE130">IF(SamplingData[[#This Row],[up/U Selection Probability]] = 0, "Zero", TEXT(SamplingData[[#This Row],[Lower Range]], REPT("0",LEN('General Info'!$B$42))) &amp; " - " &amp; TEXT(SamplingData[[#This Row],[Upper Range]], REPT("0",LEN('General Info'!$B$42))))</f>
        <v>02156 - 02163</v>
      </c>
      <c r="AF130" s="100">
        <f>SamplingData[[#This Row],[Upper Range]]-SamplingData[[#This Row],[Span]]</f>
        <v>2156.3560006461007</v>
      </c>
      <c r="AG130" s="100">
        <f>IF(ISNUMBER('General Info'!$B$42), ((SamplingData[[#This Row],[up/U Selection Probability]]) * 'General Info'!$B$44) - 1, 0)</f>
        <v>7.076239702794382</v>
      </c>
      <c r="AH130" s="100">
        <f>IF(ISNUMBER('General Info'!$B$42), (SamplingData[[#This Row],[Running (cumulative) sum]] * ('General Info'!$B$42 -'General Info'!$B$43 + 1)) + 'General Info'!$B$43 - 1, 0)</f>
        <v>2163.432240348895</v>
      </c>
      <c r="AI130" s="100" t="str">
        <f>IF(ISERROR(MATCH(SamplingData[[#This Row],[Batch by Type (p)]],SelectedPrecincts[Batch Name], 0)), "", INDEX(SelectedPrecincts[Draw], MATCH(SamplingData[[#This Row],[Batch by Type (p)]],SelectedPrecincts[Batch Name], 0)))</f>
        <v/>
      </c>
      <c r="AJ130" s="101">
        <f>IF(COUNTIF(SelectedPrecincts[Batch Name],SamplingData[[#This Row],[Batch by Type (p)]]) &lt;&gt; 0, COUNTIF(SelectedPrecincts[Batch Name],SamplingData[[#This Row],[Batch by Type (p)]]), 0)</f>
        <v>0</v>
      </c>
    </row>
    <row r="131" spans="1:36" ht="15" customHeight="1" x14ac:dyDescent="0.35">
      <c r="A131" s="98" t="s">
        <v>343</v>
      </c>
      <c r="B131" s="98">
        <v>6</v>
      </c>
      <c r="C131" s="98">
        <v>2</v>
      </c>
      <c r="D131" s="93"/>
      <c r="E131" s="93"/>
      <c r="F131" s="93"/>
      <c r="G131" s="97"/>
      <c r="H131" s="97"/>
      <c r="I131" s="93"/>
      <c r="J131" s="93"/>
      <c r="K131" s="93"/>
      <c r="L131" s="93"/>
      <c r="M131" s="93"/>
      <c r="N131" s="98">
        <v>0</v>
      </c>
      <c r="O131" s="98">
        <v>0</v>
      </c>
      <c r="P131" s="99">
        <f>SUM(SamplingData[[#This Row],[Winning Candidate]:[Under Votes]])</f>
        <v>8</v>
      </c>
      <c r="Q131"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31" s="100">
        <f>IF(AND(SamplingData[[#This Row],[Total]]&lt;&gt; 0, NOT(ISBLANK(SamplingData[[#This Row],[Candidate 3]]))),(SamplingData[[#This Row],[Total]]+SamplingData[[#This Row],[Winning Candidate]]-SamplingData[[#This Row],[Candidate 3]])/(SamplingData[[#Totals],[Winning Candidate]]-SamplingData[[#Totals],[Candidate 3]]), 0)</f>
        <v>0</v>
      </c>
      <c r="S131" s="100">
        <f>IF(AND(SamplingData[[#This Row],[Total]]&lt;&gt; 0, NOT(ISBLANK(SamplingData[[#This Row],[Candidate 4]]))),(SamplingData[[#This Row],[Total]]+SamplingData[[#This Row],[Winning Candidate]]-SamplingData[[#This Row],[Candidate 4]])/(SamplingData[[#Totals],[Winning Candidate]]-SamplingData[[#Totals],[Candidate 4]]), 0)</f>
        <v>0</v>
      </c>
      <c r="T131" s="100">
        <f>IF(AND(SamplingData[[#This Row],[Total]]&lt;&gt; 0, NOT(ISBLANK(SamplingData[[#This Row],[Candidate 5]]))),(SamplingData[[#This Row],[Total]]+SamplingData[[#This Row],[Winning Candidate]]-SamplingData[[#This Row],[Candidate 5]])/(SamplingData[[#Totals],[Winning Candidate]]-SamplingData[[#Totals],[Candidate 5]]), 0)</f>
        <v>0</v>
      </c>
      <c r="U131" s="100">
        <f>IF(AND(SamplingData[[#This Row],[Total]]&lt;&gt; 0, NOT(ISBLANK(SamplingData[[#This Row],[Candidate 6]]))),(SamplingData[[#This Row],[Total]]+SamplingData[[#This Row],[Losing Candidate]]-SamplingData[[#This Row],[Candidate 6]])/(SamplingData[[#Totals],[Winning Candidate]]-SamplingData[[#Totals],[Candidate 6]]), 0)</f>
        <v>0</v>
      </c>
      <c r="V131" s="100">
        <f>IF(AND(SamplingData[[#This Row],[Total]]&lt;&gt; 0, NOT(ISBLANK(SamplingData[[#This Row],[Candidate 7]]))),(SamplingData[[#This Row],[Total]]+SamplingData[[#This Row],[Winning Candidate]]-SamplingData[[#This Row],[Candidate 7]])/(SamplingData[[#Totals],[Winning Candidate]]-SamplingData[[#Totals],[Candidate 7]]), 0)</f>
        <v>0</v>
      </c>
      <c r="W131" s="100">
        <f>IF(AND(SamplingData[[#This Row],[Total]]&lt;&gt; 0, NOT(ISBLANK(SamplingData[[#This Row],[Candidate 8]]))),(SamplingData[[#This Row],[Total]]+SamplingData[[#This Row],[Winning Candidate]]-SamplingData[[#This Row],[Candidate 8]])/(SamplingData[[#Totals],[Winning Candidate]]-SamplingData[[#Totals],[Candidate 8]]), 0)</f>
        <v>0</v>
      </c>
      <c r="X1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00">
        <f>MAX(SamplingData[[#This Row],[Error Bound (up) - Max. possible relative overstatement - Losing Candidate]:[Error Bound (up) - Max. possible relative overstatement - Candidate 12]])</f>
        <v>3.7691993592361088E-4</v>
      </c>
      <c r="AC131" s="100">
        <f>IF(SamplingData[[#This Row],[Max Error Bound (up)]] = 0,0,SamplingData[[#This Row],[Max Error Bound (up)]]/SamplingData[[#Totals],[Max Error Bound (up)]])</f>
        <v>1.6152479405588763E-4</v>
      </c>
      <c r="AD131" s="104">
        <f>SUM($AC$5:AC131)</f>
        <v>2.1805847197544834E-2</v>
      </c>
      <c r="AE131" s="100" t="str" cm="1">
        <f t="array" ref="AE131">IF(SamplingData[[#This Row],[up/U Selection Probability]] = 0, "Zero", TEXT(SamplingData[[#This Row],[Lower Range]], REPT("0",LEN('General Info'!$B$42))) &amp; " - " &amp; TEXT(SamplingData[[#This Row],[Upper Range]], REPT("0",LEN('General Info'!$B$42))))</f>
        <v>02164 - 02180</v>
      </c>
      <c r="AF131" s="100">
        <f>SamplingData[[#This Row],[Upper Range]]-SamplingData[[#This Row],[Span]]</f>
        <v>2164.432240348895</v>
      </c>
      <c r="AG131" s="100">
        <f>IF(ISNUMBER('General Info'!$B$42), ((SamplingData[[#This Row],[up/U Selection Probability]]) * 'General Info'!$B$44) - 1, 0)</f>
        <v>15.152479405588764</v>
      </c>
      <c r="AH131" s="100">
        <f>IF(ISNUMBER('General Info'!$B$42), (SamplingData[[#This Row],[Running (cumulative) sum]] * ('General Info'!$B$42 -'General Info'!$B$43 + 1)) + 'General Info'!$B$43 - 1, 0)</f>
        <v>2179.5847197544836</v>
      </c>
      <c r="AI131" s="100" t="str">
        <f>IF(ISERROR(MATCH(SamplingData[[#This Row],[Batch by Type (p)]],SelectedPrecincts[Batch Name], 0)), "", INDEX(SelectedPrecincts[Draw], MATCH(SamplingData[[#This Row],[Batch by Type (p)]],SelectedPrecincts[Batch Name], 0)))</f>
        <v/>
      </c>
      <c r="AJ131" s="101">
        <f>IF(COUNTIF(SelectedPrecincts[Batch Name],SamplingData[[#This Row],[Batch by Type (p)]]) &lt;&gt; 0, COUNTIF(SelectedPrecincts[Batch Name],SamplingData[[#This Row],[Batch by Type (p)]]), 0)</f>
        <v>0</v>
      </c>
    </row>
    <row r="132" spans="1:36" ht="15" customHeight="1" x14ac:dyDescent="0.35">
      <c r="A132" s="98" t="s">
        <v>344</v>
      </c>
      <c r="B132" s="98">
        <v>2</v>
      </c>
      <c r="C132" s="98">
        <v>3</v>
      </c>
      <c r="D132" s="93"/>
      <c r="E132" s="93"/>
      <c r="F132" s="93"/>
      <c r="G132" s="97"/>
      <c r="H132" s="97"/>
      <c r="I132" s="93"/>
      <c r="J132" s="93"/>
      <c r="K132" s="93"/>
      <c r="L132" s="93"/>
      <c r="M132" s="93"/>
      <c r="N132" s="98">
        <v>0</v>
      </c>
      <c r="O132" s="98">
        <v>0</v>
      </c>
      <c r="P132" s="99">
        <f>SUM(SamplingData[[#This Row],[Winning Candidate]:[Under Votes]])</f>
        <v>5</v>
      </c>
      <c r="Q132"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132" s="100">
        <f>IF(AND(SamplingData[[#This Row],[Total]]&lt;&gt; 0, NOT(ISBLANK(SamplingData[[#This Row],[Candidate 3]]))),(SamplingData[[#This Row],[Total]]+SamplingData[[#This Row],[Winning Candidate]]-SamplingData[[#This Row],[Candidate 3]])/(SamplingData[[#Totals],[Winning Candidate]]-SamplingData[[#Totals],[Candidate 3]]), 0)</f>
        <v>0</v>
      </c>
      <c r="S132" s="100">
        <f>IF(AND(SamplingData[[#This Row],[Total]]&lt;&gt; 0, NOT(ISBLANK(SamplingData[[#This Row],[Candidate 4]]))),(SamplingData[[#This Row],[Total]]+SamplingData[[#This Row],[Winning Candidate]]-SamplingData[[#This Row],[Candidate 4]])/(SamplingData[[#Totals],[Winning Candidate]]-SamplingData[[#Totals],[Candidate 4]]), 0)</f>
        <v>0</v>
      </c>
      <c r="T132" s="100">
        <f>IF(AND(SamplingData[[#This Row],[Total]]&lt;&gt; 0, NOT(ISBLANK(SamplingData[[#This Row],[Candidate 5]]))),(SamplingData[[#This Row],[Total]]+SamplingData[[#This Row],[Winning Candidate]]-SamplingData[[#This Row],[Candidate 5]])/(SamplingData[[#Totals],[Winning Candidate]]-SamplingData[[#Totals],[Candidate 5]]), 0)</f>
        <v>0</v>
      </c>
      <c r="U132" s="100">
        <f>IF(AND(SamplingData[[#This Row],[Total]]&lt;&gt; 0, NOT(ISBLANK(SamplingData[[#This Row],[Candidate 6]]))),(SamplingData[[#This Row],[Total]]+SamplingData[[#This Row],[Losing Candidate]]-SamplingData[[#This Row],[Candidate 6]])/(SamplingData[[#Totals],[Winning Candidate]]-SamplingData[[#Totals],[Candidate 6]]), 0)</f>
        <v>0</v>
      </c>
      <c r="V132" s="100">
        <f>IF(AND(SamplingData[[#This Row],[Total]]&lt;&gt; 0, NOT(ISBLANK(SamplingData[[#This Row],[Candidate 7]]))),(SamplingData[[#This Row],[Total]]+SamplingData[[#This Row],[Winning Candidate]]-SamplingData[[#This Row],[Candidate 7]])/(SamplingData[[#Totals],[Winning Candidate]]-SamplingData[[#Totals],[Candidate 7]]), 0)</f>
        <v>0</v>
      </c>
      <c r="W132" s="100">
        <f>IF(AND(SamplingData[[#This Row],[Total]]&lt;&gt; 0, NOT(ISBLANK(SamplingData[[#This Row],[Candidate 8]]))),(SamplingData[[#This Row],[Total]]+SamplingData[[#This Row],[Winning Candidate]]-SamplingData[[#This Row],[Candidate 8]])/(SamplingData[[#Totals],[Winning Candidate]]-SamplingData[[#Totals],[Candidate 8]]), 0)</f>
        <v>0</v>
      </c>
      <c r="X1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00">
        <f>MAX(SamplingData[[#This Row],[Error Bound (up) - Max. possible relative overstatement - Losing Candidate]:[Error Bound (up) - Max. possible relative overstatement - Candidate 12]])</f>
        <v>1.2563997864120362E-4</v>
      </c>
      <c r="AC132" s="100">
        <f>IF(SamplingData[[#This Row],[Max Error Bound (up)]] = 0,0,SamplingData[[#This Row],[Max Error Bound (up)]]/SamplingData[[#Totals],[Max Error Bound (up)]])</f>
        <v>5.3841598018629206E-5</v>
      </c>
      <c r="AD132" s="104">
        <f>SUM($AC$5:AC132)</f>
        <v>2.1859688795563464E-2</v>
      </c>
      <c r="AE132" s="100" t="str" cm="1">
        <f t="array" ref="AE132">IF(SamplingData[[#This Row],[up/U Selection Probability]] = 0, "Zero", TEXT(SamplingData[[#This Row],[Lower Range]], REPT("0",LEN('General Info'!$B$42))) &amp; " - " &amp; TEXT(SamplingData[[#This Row],[Upper Range]], REPT("0",LEN('General Info'!$B$42))))</f>
        <v>02181 - 02185</v>
      </c>
      <c r="AF132" s="100">
        <f>SamplingData[[#This Row],[Upper Range]]-SamplingData[[#This Row],[Span]]</f>
        <v>2180.5847197544836</v>
      </c>
      <c r="AG132" s="100">
        <f>IF(ISNUMBER('General Info'!$B$42), ((SamplingData[[#This Row],[up/U Selection Probability]]) * 'General Info'!$B$44) - 1, 0)</f>
        <v>4.3841598018629204</v>
      </c>
      <c r="AH132" s="100">
        <f>IF(ISNUMBER('General Info'!$B$42), (SamplingData[[#This Row],[Running (cumulative) sum]] * ('General Info'!$B$42 -'General Info'!$B$43 + 1)) + 'General Info'!$B$43 - 1, 0)</f>
        <v>2184.9688795563466</v>
      </c>
      <c r="AI132" s="100" t="str">
        <f>IF(ISERROR(MATCH(SamplingData[[#This Row],[Batch by Type (p)]],SelectedPrecincts[Batch Name], 0)), "", INDEX(SelectedPrecincts[Draw], MATCH(SamplingData[[#This Row],[Batch by Type (p)]],SelectedPrecincts[Batch Name], 0)))</f>
        <v/>
      </c>
      <c r="AJ132" s="101">
        <f>IF(COUNTIF(SelectedPrecincts[Batch Name],SamplingData[[#This Row],[Batch by Type (p)]]) &lt;&gt; 0, COUNTIF(SelectedPrecincts[Batch Name],SamplingData[[#This Row],[Batch by Type (p)]]), 0)</f>
        <v>0</v>
      </c>
    </row>
    <row r="133" spans="1:36" ht="15" customHeight="1" x14ac:dyDescent="0.35">
      <c r="A133" s="98" t="s">
        <v>345</v>
      </c>
      <c r="B133" s="98">
        <v>0</v>
      </c>
      <c r="C133" s="98">
        <v>0</v>
      </c>
      <c r="D133" s="93"/>
      <c r="E133" s="93"/>
      <c r="F133" s="93"/>
      <c r="G133" s="97"/>
      <c r="H133" s="97"/>
      <c r="I133" s="93"/>
      <c r="J133" s="93"/>
      <c r="K133" s="93"/>
      <c r="L133" s="93"/>
      <c r="M133" s="93"/>
      <c r="N133" s="98">
        <v>0</v>
      </c>
      <c r="O133" s="98">
        <v>0</v>
      </c>
      <c r="P133" s="99">
        <f>SUM(SamplingData[[#This Row],[Winning Candidate]:[Under Votes]])</f>
        <v>0</v>
      </c>
      <c r="Q133" s="100">
        <f>IF(AND(SamplingData[[#This Row],[Total]]&lt;&gt; 0, NOT(ISBLANK(SamplingData[[#This Row],[Losing Candidate]]))),(SamplingData[[#This Row],[Total]]+SamplingData[[#This Row],[Winning Candidate]]-SamplingData[[#This Row],[Losing Candidate]])/(SamplingData[[#Totals],[Winning Candidate]]-SamplingData[[#Totals],[Losing Candidate]]), 0)</f>
        <v>0</v>
      </c>
      <c r="R133" s="100">
        <f>IF(AND(SamplingData[[#This Row],[Total]]&lt;&gt; 0, NOT(ISBLANK(SamplingData[[#This Row],[Candidate 3]]))),(SamplingData[[#This Row],[Total]]+SamplingData[[#This Row],[Winning Candidate]]-SamplingData[[#This Row],[Candidate 3]])/(SamplingData[[#Totals],[Winning Candidate]]-SamplingData[[#Totals],[Candidate 3]]), 0)</f>
        <v>0</v>
      </c>
      <c r="S133" s="100">
        <f>IF(AND(SamplingData[[#This Row],[Total]]&lt;&gt; 0, NOT(ISBLANK(SamplingData[[#This Row],[Candidate 4]]))),(SamplingData[[#This Row],[Total]]+SamplingData[[#This Row],[Winning Candidate]]-SamplingData[[#This Row],[Candidate 4]])/(SamplingData[[#Totals],[Winning Candidate]]-SamplingData[[#Totals],[Candidate 4]]), 0)</f>
        <v>0</v>
      </c>
      <c r="T133" s="100">
        <f>IF(AND(SamplingData[[#This Row],[Total]]&lt;&gt; 0, NOT(ISBLANK(SamplingData[[#This Row],[Candidate 5]]))),(SamplingData[[#This Row],[Total]]+SamplingData[[#This Row],[Winning Candidate]]-SamplingData[[#This Row],[Candidate 5]])/(SamplingData[[#Totals],[Winning Candidate]]-SamplingData[[#Totals],[Candidate 5]]), 0)</f>
        <v>0</v>
      </c>
      <c r="U133" s="100">
        <f>IF(AND(SamplingData[[#This Row],[Total]]&lt;&gt; 0, NOT(ISBLANK(SamplingData[[#This Row],[Candidate 6]]))),(SamplingData[[#This Row],[Total]]+SamplingData[[#This Row],[Losing Candidate]]-SamplingData[[#This Row],[Candidate 6]])/(SamplingData[[#Totals],[Winning Candidate]]-SamplingData[[#Totals],[Candidate 6]]), 0)</f>
        <v>0</v>
      </c>
      <c r="V133" s="100">
        <f>IF(AND(SamplingData[[#This Row],[Total]]&lt;&gt; 0, NOT(ISBLANK(SamplingData[[#This Row],[Candidate 7]]))),(SamplingData[[#This Row],[Total]]+SamplingData[[#This Row],[Winning Candidate]]-SamplingData[[#This Row],[Candidate 7]])/(SamplingData[[#Totals],[Winning Candidate]]-SamplingData[[#Totals],[Candidate 7]]), 0)</f>
        <v>0</v>
      </c>
      <c r="W133" s="100">
        <f>IF(AND(SamplingData[[#This Row],[Total]]&lt;&gt; 0, NOT(ISBLANK(SamplingData[[#This Row],[Candidate 8]]))),(SamplingData[[#This Row],[Total]]+SamplingData[[#This Row],[Winning Candidate]]-SamplingData[[#This Row],[Candidate 8]])/(SamplingData[[#Totals],[Winning Candidate]]-SamplingData[[#Totals],[Candidate 8]]), 0)</f>
        <v>0</v>
      </c>
      <c r="X1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00">
        <f>MAX(SamplingData[[#This Row],[Error Bound (up) - Max. possible relative overstatement - Losing Candidate]:[Error Bound (up) - Max. possible relative overstatement - Candidate 12]])</f>
        <v>0</v>
      </c>
      <c r="AC133" s="100">
        <f>IF(SamplingData[[#This Row],[Max Error Bound (up)]] = 0,0,SamplingData[[#This Row],[Max Error Bound (up)]]/SamplingData[[#Totals],[Max Error Bound (up)]])</f>
        <v>0</v>
      </c>
      <c r="AD133" s="104">
        <f>SUM($AC$5:AC133)</f>
        <v>2.1859688795563464E-2</v>
      </c>
      <c r="AE133" s="100" t="str" cm="1">
        <f t="array" ref="AE133">IF(SamplingData[[#This Row],[up/U Selection Probability]] = 0, "Zero", TEXT(SamplingData[[#This Row],[Lower Range]], REPT("0",LEN('General Info'!$B$42))) &amp; " - " &amp; TEXT(SamplingData[[#This Row],[Upper Range]], REPT("0",LEN('General Info'!$B$42))))</f>
        <v>Zero</v>
      </c>
      <c r="AF133" s="100">
        <f>SamplingData[[#This Row],[Upper Range]]-SamplingData[[#This Row],[Span]]</f>
        <v>2185.9688795563466</v>
      </c>
      <c r="AG133" s="100">
        <f>IF(ISNUMBER('General Info'!$B$42), ((SamplingData[[#This Row],[up/U Selection Probability]]) * 'General Info'!$B$44) - 1, 0)</f>
        <v>-1</v>
      </c>
      <c r="AH133" s="100">
        <f>IF(ISNUMBER('General Info'!$B$42), (SamplingData[[#This Row],[Running (cumulative) sum]] * ('General Info'!$B$42 -'General Info'!$B$43 + 1)) + 'General Info'!$B$43 - 1, 0)</f>
        <v>2184.9688795563466</v>
      </c>
      <c r="AI133" s="100" t="str">
        <f>IF(ISERROR(MATCH(SamplingData[[#This Row],[Batch by Type (p)]],SelectedPrecincts[Batch Name], 0)), "", INDEX(SelectedPrecincts[Draw], MATCH(SamplingData[[#This Row],[Batch by Type (p)]],SelectedPrecincts[Batch Name], 0)))</f>
        <v/>
      </c>
      <c r="AJ133" s="101">
        <f>IF(COUNTIF(SelectedPrecincts[Batch Name],SamplingData[[#This Row],[Batch by Type (p)]]) &lt;&gt; 0, COUNTIF(SelectedPrecincts[Batch Name],SamplingData[[#This Row],[Batch by Type (p)]]), 0)</f>
        <v>0</v>
      </c>
    </row>
    <row r="134" spans="1:36" ht="15" customHeight="1" x14ac:dyDescent="0.35">
      <c r="A134" s="98" t="s">
        <v>346</v>
      </c>
      <c r="B134" s="98">
        <v>3</v>
      </c>
      <c r="C134" s="98">
        <v>0</v>
      </c>
      <c r="D134" s="93"/>
      <c r="E134" s="93"/>
      <c r="F134" s="93"/>
      <c r="G134" s="97"/>
      <c r="H134" s="97"/>
      <c r="I134" s="93"/>
      <c r="J134" s="93"/>
      <c r="K134" s="93"/>
      <c r="L134" s="93"/>
      <c r="M134" s="93"/>
      <c r="N134" s="98">
        <v>0</v>
      </c>
      <c r="O134" s="98">
        <v>0</v>
      </c>
      <c r="P134" s="99">
        <f>SUM(SamplingData[[#This Row],[Winning Candidate]:[Under Votes]])</f>
        <v>3</v>
      </c>
      <c r="Q13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34" s="100">
        <f>IF(AND(SamplingData[[#This Row],[Total]]&lt;&gt; 0, NOT(ISBLANK(SamplingData[[#This Row],[Candidate 3]]))),(SamplingData[[#This Row],[Total]]+SamplingData[[#This Row],[Winning Candidate]]-SamplingData[[#This Row],[Candidate 3]])/(SamplingData[[#Totals],[Winning Candidate]]-SamplingData[[#Totals],[Candidate 3]]), 0)</f>
        <v>0</v>
      </c>
      <c r="S134" s="100">
        <f>IF(AND(SamplingData[[#This Row],[Total]]&lt;&gt; 0, NOT(ISBLANK(SamplingData[[#This Row],[Candidate 4]]))),(SamplingData[[#This Row],[Total]]+SamplingData[[#This Row],[Winning Candidate]]-SamplingData[[#This Row],[Candidate 4]])/(SamplingData[[#Totals],[Winning Candidate]]-SamplingData[[#Totals],[Candidate 4]]), 0)</f>
        <v>0</v>
      </c>
      <c r="T134" s="100">
        <f>IF(AND(SamplingData[[#This Row],[Total]]&lt;&gt; 0, NOT(ISBLANK(SamplingData[[#This Row],[Candidate 5]]))),(SamplingData[[#This Row],[Total]]+SamplingData[[#This Row],[Winning Candidate]]-SamplingData[[#This Row],[Candidate 5]])/(SamplingData[[#Totals],[Winning Candidate]]-SamplingData[[#Totals],[Candidate 5]]), 0)</f>
        <v>0</v>
      </c>
      <c r="U134" s="100">
        <f>IF(AND(SamplingData[[#This Row],[Total]]&lt;&gt; 0, NOT(ISBLANK(SamplingData[[#This Row],[Candidate 6]]))),(SamplingData[[#This Row],[Total]]+SamplingData[[#This Row],[Losing Candidate]]-SamplingData[[#This Row],[Candidate 6]])/(SamplingData[[#Totals],[Winning Candidate]]-SamplingData[[#Totals],[Candidate 6]]), 0)</f>
        <v>0</v>
      </c>
      <c r="V134" s="100">
        <f>IF(AND(SamplingData[[#This Row],[Total]]&lt;&gt; 0, NOT(ISBLANK(SamplingData[[#This Row],[Candidate 7]]))),(SamplingData[[#This Row],[Total]]+SamplingData[[#This Row],[Winning Candidate]]-SamplingData[[#This Row],[Candidate 7]])/(SamplingData[[#Totals],[Winning Candidate]]-SamplingData[[#Totals],[Candidate 7]]), 0)</f>
        <v>0</v>
      </c>
      <c r="W134" s="100">
        <f>IF(AND(SamplingData[[#This Row],[Total]]&lt;&gt; 0, NOT(ISBLANK(SamplingData[[#This Row],[Candidate 8]]))),(SamplingData[[#This Row],[Total]]+SamplingData[[#This Row],[Winning Candidate]]-SamplingData[[#This Row],[Candidate 8]])/(SamplingData[[#Totals],[Winning Candidate]]-SamplingData[[#Totals],[Candidate 8]]), 0)</f>
        <v>0</v>
      </c>
      <c r="X1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00">
        <f>MAX(SamplingData[[#This Row],[Error Bound (up) - Max. possible relative overstatement - Losing Candidate]:[Error Bound (up) - Max. possible relative overstatement - Candidate 12]])</f>
        <v>1.8845996796180544E-4</v>
      </c>
      <c r="AC134" s="100">
        <f>IF(SamplingData[[#This Row],[Max Error Bound (up)]] = 0,0,SamplingData[[#This Row],[Max Error Bound (up)]]/SamplingData[[#Totals],[Max Error Bound (up)]])</f>
        <v>8.0762397027943816E-5</v>
      </c>
      <c r="AD134" s="104">
        <f>SUM($AC$5:AC134)</f>
        <v>2.1940451192591408E-2</v>
      </c>
      <c r="AE134" s="100" t="str" cm="1">
        <f t="array" ref="AE134">IF(SamplingData[[#This Row],[up/U Selection Probability]] = 0, "Zero", TEXT(SamplingData[[#This Row],[Lower Range]], REPT("0",LEN('General Info'!$B$42))) &amp; " - " &amp; TEXT(SamplingData[[#This Row],[Upper Range]], REPT("0",LEN('General Info'!$B$42))))</f>
        <v>02186 - 02193</v>
      </c>
      <c r="AF134" s="100">
        <f>SamplingData[[#This Row],[Upper Range]]-SamplingData[[#This Row],[Span]]</f>
        <v>2185.9688795563466</v>
      </c>
      <c r="AG134" s="100">
        <f>IF(ISNUMBER('General Info'!$B$42), ((SamplingData[[#This Row],[up/U Selection Probability]]) * 'General Info'!$B$44) - 1, 0)</f>
        <v>7.076239702794382</v>
      </c>
      <c r="AH134" s="100">
        <f>IF(ISNUMBER('General Info'!$B$42), (SamplingData[[#This Row],[Running (cumulative) sum]] * ('General Info'!$B$42 -'General Info'!$B$43 + 1)) + 'General Info'!$B$43 - 1, 0)</f>
        <v>2193.0451192591408</v>
      </c>
      <c r="AI134" s="100" t="str">
        <f>IF(ISERROR(MATCH(SamplingData[[#This Row],[Batch by Type (p)]],SelectedPrecincts[Batch Name], 0)), "", INDEX(SelectedPrecincts[Draw], MATCH(SamplingData[[#This Row],[Batch by Type (p)]],SelectedPrecincts[Batch Name], 0)))</f>
        <v/>
      </c>
      <c r="AJ134" s="101">
        <f>IF(COUNTIF(SelectedPrecincts[Batch Name],SamplingData[[#This Row],[Batch by Type (p)]]) &lt;&gt; 0, COUNTIF(SelectedPrecincts[Batch Name],SamplingData[[#This Row],[Batch by Type (p)]]), 0)</f>
        <v>0</v>
      </c>
    </row>
    <row r="135" spans="1:36" ht="15" customHeight="1" x14ac:dyDescent="0.35">
      <c r="A135" s="98" t="s">
        <v>347</v>
      </c>
      <c r="B135" s="98">
        <v>1</v>
      </c>
      <c r="C135" s="98">
        <v>1</v>
      </c>
      <c r="D135" s="93"/>
      <c r="E135" s="93"/>
      <c r="F135" s="93"/>
      <c r="G135" s="97"/>
      <c r="H135" s="97"/>
      <c r="I135" s="93"/>
      <c r="J135" s="93"/>
      <c r="K135" s="93"/>
      <c r="L135" s="93"/>
      <c r="M135" s="93"/>
      <c r="N135" s="98">
        <v>0</v>
      </c>
      <c r="O135" s="98">
        <v>0</v>
      </c>
      <c r="P135" s="99">
        <f>SUM(SamplingData[[#This Row],[Winning Candidate]:[Under Votes]])</f>
        <v>2</v>
      </c>
      <c r="Q135"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35" s="100">
        <f>IF(AND(SamplingData[[#This Row],[Total]]&lt;&gt; 0, NOT(ISBLANK(SamplingData[[#This Row],[Candidate 3]]))),(SamplingData[[#This Row],[Total]]+SamplingData[[#This Row],[Winning Candidate]]-SamplingData[[#This Row],[Candidate 3]])/(SamplingData[[#Totals],[Winning Candidate]]-SamplingData[[#Totals],[Candidate 3]]), 0)</f>
        <v>0</v>
      </c>
      <c r="S135" s="100">
        <f>IF(AND(SamplingData[[#This Row],[Total]]&lt;&gt; 0, NOT(ISBLANK(SamplingData[[#This Row],[Candidate 4]]))),(SamplingData[[#This Row],[Total]]+SamplingData[[#This Row],[Winning Candidate]]-SamplingData[[#This Row],[Candidate 4]])/(SamplingData[[#Totals],[Winning Candidate]]-SamplingData[[#Totals],[Candidate 4]]), 0)</f>
        <v>0</v>
      </c>
      <c r="T135" s="100">
        <f>IF(AND(SamplingData[[#This Row],[Total]]&lt;&gt; 0, NOT(ISBLANK(SamplingData[[#This Row],[Candidate 5]]))),(SamplingData[[#This Row],[Total]]+SamplingData[[#This Row],[Winning Candidate]]-SamplingData[[#This Row],[Candidate 5]])/(SamplingData[[#Totals],[Winning Candidate]]-SamplingData[[#Totals],[Candidate 5]]), 0)</f>
        <v>0</v>
      </c>
      <c r="U135" s="100">
        <f>IF(AND(SamplingData[[#This Row],[Total]]&lt;&gt; 0, NOT(ISBLANK(SamplingData[[#This Row],[Candidate 6]]))),(SamplingData[[#This Row],[Total]]+SamplingData[[#This Row],[Losing Candidate]]-SamplingData[[#This Row],[Candidate 6]])/(SamplingData[[#Totals],[Winning Candidate]]-SamplingData[[#Totals],[Candidate 6]]), 0)</f>
        <v>0</v>
      </c>
      <c r="V135" s="100">
        <f>IF(AND(SamplingData[[#This Row],[Total]]&lt;&gt; 0, NOT(ISBLANK(SamplingData[[#This Row],[Candidate 7]]))),(SamplingData[[#This Row],[Total]]+SamplingData[[#This Row],[Winning Candidate]]-SamplingData[[#This Row],[Candidate 7]])/(SamplingData[[#Totals],[Winning Candidate]]-SamplingData[[#Totals],[Candidate 7]]), 0)</f>
        <v>0</v>
      </c>
      <c r="W135" s="100">
        <f>IF(AND(SamplingData[[#This Row],[Total]]&lt;&gt; 0, NOT(ISBLANK(SamplingData[[#This Row],[Candidate 8]]))),(SamplingData[[#This Row],[Total]]+SamplingData[[#This Row],[Winning Candidate]]-SamplingData[[#This Row],[Candidate 8]])/(SamplingData[[#Totals],[Winning Candidate]]-SamplingData[[#Totals],[Candidate 8]]), 0)</f>
        <v>0</v>
      </c>
      <c r="X1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00">
        <f>MAX(SamplingData[[#This Row],[Error Bound (up) - Max. possible relative overstatement - Losing Candidate]:[Error Bound (up) - Max. possible relative overstatement - Candidate 12]])</f>
        <v>6.2819989320601809E-5</v>
      </c>
      <c r="AC135" s="100">
        <f>IF(SamplingData[[#This Row],[Max Error Bound (up)]] = 0,0,SamplingData[[#This Row],[Max Error Bound (up)]]/SamplingData[[#Totals],[Max Error Bound (up)]])</f>
        <v>2.6920799009314603E-5</v>
      </c>
      <c r="AD135" s="104">
        <f>SUM($AC$5:AC135)</f>
        <v>2.1967371991600721E-2</v>
      </c>
      <c r="AE135" s="100" t="str" cm="1">
        <f t="array" ref="AE135">IF(SamplingData[[#This Row],[up/U Selection Probability]] = 0, "Zero", TEXT(SamplingData[[#This Row],[Lower Range]], REPT("0",LEN('General Info'!$B$42))) &amp; " - " &amp; TEXT(SamplingData[[#This Row],[Upper Range]], REPT("0",LEN('General Info'!$B$42))))</f>
        <v>02194 - 02196</v>
      </c>
      <c r="AF135" s="100">
        <f>SamplingData[[#This Row],[Upper Range]]-SamplingData[[#This Row],[Span]]</f>
        <v>2194.0451192591408</v>
      </c>
      <c r="AG135" s="100">
        <f>IF(ISNUMBER('General Info'!$B$42), ((SamplingData[[#This Row],[up/U Selection Probability]]) * 'General Info'!$B$44) - 1, 0)</f>
        <v>1.6920799009314602</v>
      </c>
      <c r="AH135" s="100">
        <f>IF(ISNUMBER('General Info'!$B$42), (SamplingData[[#This Row],[Running (cumulative) sum]] * ('General Info'!$B$42 -'General Info'!$B$43 + 1)) + 'General Info'!$B$43 - 1, 0)</f>
        <v>2195.7371991600721</v>
      </c>
      <c r="AI135" s="100" t="str">
        <f>IF(ISERROR(MATCH(SamplingData[[#This Row],[Batch by Type (p)]],SelectedPrecincts[Batch Name], 0)), "", INDEX(SelectedPrecincts[Draw], MATCH(SamplingData[[#This Row],[Batch by Type (p)]],SelectedPrecincts[Batch Name], 0)))</f>
        <v/>
      </c>
      <c r="AJ135" s="101">
        <f>IF(COUNTIF(SelectedPrecincts[Batch Name],SamplingData[[#This Row],[Batch by Type (p)]]) &lt;&gt; 0, COUNTIF(SelectedPrecincts[Batch Name],SamplingData[[#This Row],[Batch by Type (p)]]), 0)</f>
        <v>0</v>
      </c>
    </row>
    <row r="136" spans="1:36" ht="15" customHeight="1" x14ac:dyDescent="0.35">
      <c r="A136" s="98" t="s">
        <v>348</v>
      </c>
      <c r="B136" s="98">
        <v>0</v>
      </c>
      <c r="C136" s="98">
        <v>0</v>
      </c>
      <c r="D136" s="93"/>
      <c r="E136" s="93"/>
      <c r="F136" s="93"/>
      <c r="G136" s="97"/>
      <c r="H136" s="97"/>
      <c r="I136" s="93"/>
      <c r="J136" s="93"/>
      <c r="K136" s="93"/>
      <c r="L136" s="93"/>
      <c r="M136" s="93"/>
      <c r="N136" s="98">
        <v>0</v>
      </c>
      <c r="O136" s="98">
        <v>0</v>
      </c>
      <c r="P136" s="99">
        <f>SUM(SamplingData[[#This Row],[Winning Candidate]:[Under Votes]])</f>
        <v>0</v>
      </c>
      <c r="Q136" s="100">
        <f>IF(AND(SamplingData[[#This Row],[Total]]&lt;&gt; 0, NOT(ISBLANK(SamplingData[[#This Row],[Losing Candidate]]))),(SamplingData[[#This Row],[Total]]+SamplingData[[#This Row],[Winning Candidate]]-SamplingData[[#This Row],[Losing Candidate]])/(SamplingData[[#Totals],[Winning Candidate]]-SamplingData[[#Totals],[Losing Candidate]]), 0)</f>
        <v>0</v>
      </c>
      <c r="R136" s="100">
        <f>IF(AND(SamplingData[[#This Row],[Total]]&lt;&gt; 0, NOT(ISBLANK(SamplingData[[#This Row],[Candidate 3]]))),(SamplingData[[#This Row],[Total]]+SamplingData[[#This Row],[Winning Candidate]]-SamplingData[[#This Row],[Candidate 3]])/(SamplingData[[#Totals],[Winning Candidate]]-SamplingData[[#Totals],[Candidate 3]]), 0)</f>
        <v>0</v>
      </c>
      <c r="S136" s="100">
        <f>IF(AND(SamplingData[[#This Row],[Total]]&lt;&gt; 0, NOT(ISBLANK(SamplingData[[#This Row],[Candidate 4]]))),(SamplingData[[#This Row],[Total]]+SamplingData[[#This Row],[Winning Candidate]]-SamplingData[[#This Row],[Candidate 4]])/(SamplingData[[#Totals],[Winning Candidate]]-SamplingData[[#Totals],[Candidate 4]]), 0)</f>
        <v>0</v>
      </c>
      <c r="T136" s="100">
        <f>IF(AND(SamplingData[[#This Row],[Total]]&lt;&gt; 0, NOT(ISBLANK(SamplingData[[#This Row],[Candidate 5]]))),(SamplingData[[#This Row],[Total]]+SamplingData[[#This Row],[Winning Candidate]]-SamplingData[[#This Row],[Candidate 5]])/(SamplingData[[#Totals],[Winning Candidate]]-SamplingData[[#Totals],[Candidate 5]]), 0)</f>
        <v>0</v>
      </c>
      <c r="U136" s="100">
        <f>IF(AND(SamplingData[[#This Row],[Total]]&lt;&gt; 0, NOT(ISBLANK(SamplingData[[#This Row],[Candidate 6]]))),(SamplingData[[#This Row],[Total]]+SamplingData[[#This Row],[Losing Candidate]]-SamplingData[[#This Row],[Candidate 6]])/(SamplingData[[#Totals],[Winning Candidate]]-SamplingData[[#Totals],[Candidate 6]]), 0)</f>
        <v>0</v>
      </c>
      <c r="V136" s="100">
        <f>IF(AND(SamplingData[[#This Row],[Total]]&lt;&gt; 0, NOT(ISBLANK(SamplingData[[#This Row],[Candidate 7]]))),(SamplingData[[#This Row],[Total]]+SamplingData[[#This Row],[Winning Candidate]]-SamplingData[[#This Row],[Candidate 7]])/(SamplingData[[#Totals],[Winning Candidate]]-SamplingData[[#Totals],[Candidate 7]]), 0)</f>
        <v>0</v>
      </c>
      <c r="W136" s="100">
        <f>IF(AND(SamplingData[[#This Row],[Total]]&lt;&gt; 0, NOT(ISBLANK(SamplingData[[#This Row],[Candidate 8]]))),(SamplingData[[#This Row],[Total]]+SamplingData[[#This Row],[Winning Candidate]]-SamplingData[[#This Row],[Candidate 8]])/(SamplingData[[#Totals],[Winning Candidate]]-SamplingData[[#Totals],[Candidate 8]]), 0)</f>
        <v>0</v>
      </c>
      <c r="X1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00">
        <f>MAX(SamplingData[[#This Row],[Error Bound (up) - Max. possible relative overstatement - Losing Candidate]:[Error Bound (up) - Max. possible relative overstatement - Candidate 12]])</f>
        <v>0</v>
      </c>
      <c r="AC136" s="100">
        <f>IF(SamplingData[[#This Row],[Max Error Bound (up)]] = 0,0,SamplingData[[#This Row],[Max Error Bound (up)]]/SamplingData[[#Totals],[Max Error Bound (up)]])</f>
        <v>0</v>
      </c>
      <c r="AD136" s="104">
        <f>SUM($AC$5:AC136)</f>
        <v>2.1967371991600721E-2</v>
      </c>
      <c r="AE136" s="100" t="str" cm="1">
        <f t="array" ref="AE136">IF(SamplingData[[#This Row],[up/U Selection Probability]] = 0, "Zero", TEXT(SamplingData[[#This Row],[Lower Range]], REPT("0",LEN('General Info'!$B$42))) &amp; " - " &amp; TEXT(SamplingData[[#This Row],[Upper Range]], REPT("0",LEN('General Info'!$B$42))))</f>
        <v>Zero</v>
      </c>
      <c r="AF136" s="100">
        <f>SamplingData[[#This Row],[Upper Range]]-SamplingData[[#This Row],[Span]]</f>
        <v>2196.7371991600721</v>
      </c>
      <c r="AG136" s="100">
        <f>IF(ISNUMBER('General Info'!$B$42), ((SamplingData[[#This Row],[up/U Selection Probability]]) * 'General Info'!$B$44) - 1, 0)</f>
        <v>-1</v>
      </c>
      <c r="AH136" s="100">
        <f>IF(ISNUMBER('General Info'!$B$42), (SamplingData[[#This Row],[Running (cumulative) sum]] * ('General Info'!$B$42 -'General Info'!$B$43 + 1)) + 'General Info'!$B$43 - 1, 0)</f>
        <v>2195.7371991600721</v>
      </c>
      <c r="AI136" s="100" t="str">
        <f>IF(ISERROR(MATCH(SamplingData[[#This Row],[Batch by Type (p)]],SelectedPrecincts[Batch Name], 0)), "", INDEX(SelectedPrecincts[Draw], MATCH(SamplingData[[#This Row],[Batch by Type (p)]],SelectedPrecincts[Batch Name], 0)))</f>
        <v/>
      </c>
      <c r="AJ136" s="101">
        <f>IF(COUNTIF(SelectedPrecincts[Batch Name],SamplingData[[#This Row],[Batch by Type (p)]]) &lt;&gt; 0, COUNTIF(SelectedPrecincts[Batch Name],SamplingData[[#This Row],[Batch by Type (p)]]), 0)</f>
        <v>0</v>
      </c>
    </row>
    <row r="137" spans="1:36" ht="15" customHeight="1" x14ac:dyDescent="0.35">
      <c r="A137" s="98" t="s">
        <v>349</v>
      </c>
      <c r="B137" s="98">
        <v>4</v>
      </c>
      <c r="C137" s="98">
        <v>0</v>
      </c>
      <c r="D137" s="93"/>
      <c r="E137" s="93"/>
      <c r="F137" s="93"/>
      <c r="G137" s="97"/>
      <c r="H137" s="97"/>
      <c r="I137" s="93"/>
      <c r="J137" s="93"/>
      <c r="K137" s="93"/>
      <c r="L137" s="93"/>
      <c r="M137" s="93"/>
      <c r="N137" s="98">
        <v>0</v>
      </c>
      <c r="O137" s="98">
        <v>0</v>
      </c>
      <c r="P137" s="99">
        <f>SUM(SamplingData[[#This Row],[Winning Candidate]:[Under Votes]])</f>
        <v>4</v>
      </c>
      <c r="Q137"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37" s="100">
        <f>IF(AND(SamplingData[[#This Row],[Total]]&lt;&gt; 0, NOT(ISBLANK(SamplingData[[#This Row],[Candidate 3]]))),(SamplingData[[#This Row],[Total]]+SamplingData[[#This Row],[Winning Candidate]]-SamplingData[[#This Row],[Candidate 3]])/(SamplingData[[#Totals],[Winning Candidate]]-SamplingData[[#Totals],[Candidate 3]]), 0)</f>
        <v>0</v>
      </c>
      <c r="S137" s="100">
        <f>IF(AND(SamplingData[[#This Row],[Total]]&lt;&gt; 0, NOT(ISBLANK(SamplingData[[#This Row],[Candidate 4]]))),(SamplingData[[#This Row],[Total]]+SamplingData[[#This Row],[Winning Candidate]]-SamplingData[[#This Row],[Candidate 4]])/(SamplingData[[#Totals],[Winning Candidate]]-SamplingData[[#Totals],[Candidate 4]]), 0)</f>
        <v>0</v>
      </c>
      <c r="T137" s="100">
        <f>IF(AND(SamplingData[[#This Row],[Total]]&lt;&gt; 0, NOT(ISBLANK(SamplingData[[#This Row],[Candidate 5]]))),(SamplingData[[#This Row],[Total]]+SamplingData[[#This Row],[Winning Candidate]]-SamplingData[[#This Row],[Candidate 5]])/(SamplingData[[#Totals],[Winning Candidate]]-SamplingData[[#Totals],[Candidate 5]]), 0)</f>
        <v>0</v>
      </c>
      <c r="U137" s="100">
        <f>IF(AND(SamplingData[[#This Row],[Total]]&lt;&gt; 0, NOT(ISBLANK(SamplingData[[#This Row],[Candidate 6]]))),(SamplingData[[#This Row],[Total]]+SamplingData[[#This Row],[Losing Candidate]]-SamplingData[[#This Row],[Candidate 6]])/(SamplingData[[#Totals],[Winning Candidate]]-SamplingData[[#Totals],[Candidate 6]]), 0)</f>
        <v>0</v>
      </c>
      <c r="V137" s="100">
        <f>IF(AND(SamplingData[[#This Row],[Total]]&lt;&gt; 0, NOT(ISBLANK(SamplingData[[#This Row],[Candidate 7]]))),(SamplingData[[#This Row],[Total]]+SamplingData[[#This Row],[Winning Candidate]]-SamplingData[[#This Row],[Candidate 7]])/(SamplingData[[#Totals],[Winning Candidate]]-SamplingData[[#Totals],[Candidate 7]]), 0)</f>
        <v>0</v>
      </c>
      <c r="W137" s="100">
        <f>IF(AND(SamplingData[[#This Row],[Total]]&lt;&gt; 0, NOT(ISBLANK(SamplingData[[#This Row],[Candidate 8]]))),(SamplingData[[#This Row],[Total]]+SamplingData[[#This Row],[Winning Candidate]]-SamplingData[[#This Row],[Candidate 8]])/(SamplingData[[#Totals],[Winning Candidate]]-SamplingData[[#Totals],[Candidate 8]]), 0)</f>
        <v>0</v>
      </c>
      <c r="X1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00">
        <f>MAX(SamplingData[[#This Row],[Error Bound (up) - Max. possible relative overstatement - Losing Candidate]:[Error Bound (up) - Max. possible relative overstatement - Candidate 12]])</f>
        <v>2.5127995728240724E-4</v>
      </c>
      <c r="AC137" s="100">
        <f>IF(SamplingData[[#This Row],[Max Error Bound (up)]] = 0,0,SamplingData[[#This Row],[Max Error Bound (up)]]/SamplingData[[#Totals],[Max Error Bound (up)]])</f>
        <v>1.0768319603725841E-4</v>
      </c>
      <c r="AD137" s="104">
        <f>SUM($AC$5:AC137)</f>
        <v>2.2075055187637981E-2</v>
      </c>
      <c r="AE137" s="100" t="str" cm="1">
        <f t="array" ref="AE137">IF(SamplingData[[#This Row],[up/U Selection Probability]] = 0, "Zero", TEXT(SamplingData[[#This Row],[Lower Range]], REPT("0",LEN('General Info'!$B$42))) &amp; " - " &amp; TEXT(SamplingData[[#This Row],[Upper Range]], REPT("0",LEN('General Info'!$B$42))))</f>
        <v>02197 - 02207</v>
      </c>
      <c r="AF137" s="100">
        <f>SamplingData[[#This Row],[Upper Range]]-SamplingData[[#This Row],[Span]]</f>
        <v>2196.7371991600721</v>
      </c>
      <c r="AG137" s="100">
        <f>IF(ISNUMBER('General Info'!$B$42), ((SamplingData[[#This Row],[up/U Selection Probability]]) * 'General Info'!$B$44) - 1, 0)</f>
        <v>9.7683196037258408</v>
      </c>
      <c r="AH137" s="100">
        <f>IF(ISNUMBER('General Info'!$B$42), (SamplingData[[#This Row],[Running (cumulative) sum]] * ('General Info'!$B$42 -'General Info'!$B$43 + 1)) + 'General Info'!$B$43 - 1, 0)</f>
        <v>2206.5055187637981</v>
      </c>
      <c r="AI137" s="100" t="str">
        <f>IF(ISERROR(MATCH(SamplingData[[#This Row],[Batch by Type (p)]],SelectedPrecincts[Batch Name], 0)), "", INDEX(SelectedPrecincts[Draw], MATCH(SamplingData[[#This Row],[Batch by Type (p)]],SelectedPrecincts[Batch Name], 0)))</f>
        <v/>
      </c>
      <c r="AJ137" s="101">
        <f>IF(COUNTIF(SelectedPrecincts[Batch Name],SamplingData[[#This Row],[Batch by Type (p)]]) &lt;&gt; 0, COUNTIF(SelectedPrecincts[Batch Name],SamplingData[[#This Row],[Batch by Type (p)]]), 0)</f>
        <v>0</v>
      </c>
    </row>
    <row r="138" spans="1:36" ht="15" customHeight="1" x14ac:dyDescent="0.35">
      <c r="A138" s="98" t="s">
        <v>350</v>
      </c>
      <c r="B138" s="98">
        <v>1</v>
      </c>
      <c r="C138" s="98">
        <v>0</v>
      </c>
      <c r="D138" s="93"/>
      <c r="E138" s="93"/>
      <c r="F138" s="93"/>
      <c r="G138" s="97"/>
      <c r="H138" s="97"/>
      <c r="I138" s="93"/>
      <c r="J138" s="93"/>
      <c r="K138" s="93"/>
      <c r="L138" s="93"/>
      <c r="M138" s="93"/>
      <c r="N138" s="98">
        <v>0</v>
      </c>
      <c r="O138" s="98">
        <v>0</v>
      </c>
      <c r="P138" s="99">
        <f>SUM(SamplingData[[#This Row],[Winning Candidate]:[Under Votes]])</f>
        <v>1</v>
      </c>
      <c r="Q138"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38" s="100">
        <f>IF(AND(SamplingData[[#This Row],[Total]]&lt;&gt; 0, NOT(ISBLANK(SamplingData[[#This Row],[Candidate 3]]))),(SamplingData[[#This Row],[Total]]+SamplingData[[#This Row],[Winning Candidate]]-SamplingData[[#This Row],[Candidate 3]])/(SamplingData[[#Totals],[Winning Candidate]]-SamplingData[[#Totals],[Candidate 3]]), 0)</f>
        <v>0</v>
      </c>
      <c r="S138" s="100">
        <f>IF(AND(SamplingData[[#This Row],[Total]]&lt;&gt; 0, NOT(ISBLANK(SamplingData[[#This Row],[Candidate 4]]))),(SamplingData[[#This Row],[Total]]+SamplingData[[#This Row],[Winning Candidate]]-SamplingData[[#This Row],[Candidate 4]])/(SamplingData[[#Totals],[Winning Candidate]]-SamplingData[[#Totals],[Candidate 4]]), 0)</f>
        <v>0</v>
      </c>
      <c r="T138" s="100">
        <f>IF(AND(SamplingData[[#This Row],[Total]]&lt;&gt; 0, NOT(ISBLANK(SamplingData[[#This Row],[Candidate 5]]))),(SamplingData[[#This Row],[Total]]+SamplingData[[#This Row],[Winning Candidate]]-SamplingData[[#This Row],[Candidate 5]])/(SamplingData[[#Totals],[Winning Candidate]]-SamplingData[[#Totals],[Candidate 5]]), 0)</f>
        <v>0</v>
      </c>
      <c r="U138" s="100">
        <f>IF(AND(SamplingData[[#This Row],[Total]]&lt;&gt; 0, NOT(ISBLANK(SamplingData[[#This Row],[Candidate 6]]))),(SamplingData[[#This Row],[Total]]+SamplingData[[#This Row],[Losing Candidate]]-SamplingData[[#This Row],[Candidate 6]])/(SamplingData[[#Totals],[Winning Candidate]]-SamplingData[[#Totals],[Candidate 6]]), 0)</f>
        <v>0</v>
      </c>
      <c r="V138" s="100">
        <f>IF(AND(SamplingData[[#This Row],[Total]]&lt;&gt; 0, NOT(ISBLANK(SamplingData[[#This Row],[Candidate 7]]))),(SamplingData[[#This Row],[Total]]+SamplingData[[#This Row],[Winning Candidate]]-SamplingData[[#This Row],[Candidate 7]])/(SamplingData[[#Totals],[Winning Candidate]]-SamplingData[[#Totals],[Candidate 7]]), 0)</f>
        <v>0</v>
      </c>
      <c r="W138" s="100">
        <f>IF(AND(SamplingData[[#This Row],[Total]]&lt;&gt; 0, NOT(ISBLANK(SamplingData[[#This Row],[Candidate 8]]))),(SamplingData[[#This Row],[Total]]+SamplingData[[#This Row],[Winning Candidate]]-SamplingData[[#This Row],[Candidate 8]])/(SamplingData[[#Totals],[Winning Candidate]]-SamplingData[[#Totals],[Candidate 8]]), 0)</f>
        <v>0</v>
      </c>
      <c r="X1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00">
        <f>MAX(SamplingData[[#This Row],[Error Bound (up) - Max. possible relative overstatement - Losing Candidate]:[Error Bound (up) - Max. possible relative overstatement - Candidate 12]])</f>
        <v>6.2819989320601809E-5</v>
      </c>
      <c r="AC138" s="100">
        <f>IF(SamplingData[[#This Row],[Max Error Bound (up)]] = 0,0,SamplingData[[#This Row],[Max Error Bound (up)]]/SamplingData[[#Totals],[Max Error Bound (up)]])</f>
        <v>2.6920799009314603E-5</v>
      </c>
      <c r="AD138" s="104">
        <f>SUM($AC$5:AC138)</f>
        <v>2.2101975986647295E-2</v>
      </c>
      <c r="AE138" s="100" t="str" cm="1">
        <f t="array" ref="AE138">IF(SamplingData[[#This Row],[up/U Selection Probability]] = 0, "Zero", TEXT(SamplingData[[#This Row],[Lower Range]], REPT("0",LEN('General Info'!$B$42))) &amp; " - " &amp; TEXT(SamplingData[[#This Row],[Upper Range]], REPT("0",LEN('General Info'!$B$42))))</f>
        <v>02208 - 02209</v>
      </c>
      <c r="AF138" s="100">
        <f>SamplingData[[#This Row],[Upper Range]]-SamplingData[[#This Row],[Span]]</f>
        <v>2207.5055187637981</v>
      </c>
      <c r="AG138" s="100">
        <f>IF(ISNUMBER('General Info'!$B$42), ((SamplingData[[#This Row],[up/U Selection Probability]]) * 'General Info'!$B$44) - 1, 0)</f>
        <v>1.6920799009314602</v>
      </c>
      <c r="AH138" s="100">
        <f>IF(ISNUMBER('General Info'!$B$42), (SamplingData[[#This Row],[Running (cumulative) sum]] * ('General Info'!$B$42 -'General Info'!$B$43 + 1)) + 'General Info'!$B$43 - 1, 0)</f>
        <v>2209.1975986647294</v>
      </c>
      <c r="AI138" s="100" t="str">
        <f>IF(ISERROR(MATCH(SamplingData[[#This Row],[Batch by Type (p)]],SelectedPrecincts[Batch Name], 0)), "", INDEX(SelectedPrecincts[Draw], MATCH(SamplingData[[#This Row],[Batch by Type (p)]],SelectedPrecincts[Batch Name], 0)))</f>
        <v/>
      </c>
      <c r="AJ138" s="101">
        <f>IF(COUNTIF(SelectedPrecincts[Batch Name],SamplingData[[#This Row],[Batch by Type (p)]]) &lt;&gt; 0, COUNTIF(SelectedPrecincts[Batch Name],SamplingData[[#This Row],[Batch by Type (p)]]), 0)</f>
        <v>0</v>
      </c>
    </row>
    <row r="139" spans="1:36" ht="15" customHeight="1" x14ac:dyDescent="0.35">
      <c r="A139" s="98" t="s">
        <v>351</v>
      </c>
      <c r="B139" s="98">
        <v>3</v>
      </c>
      <c r="C139" s="98">
        <v>1</v>
      </c>
      <c r="D139" s="93"/>
      <c r="E139" s="93"/>
      <c r="F139" s="93"/>
      <c r="G139" s="97"/>
      <c r="H139" s="97"/>
      <c r="I139" s="93"/>
      <c r="J139" s="93"/>
      <c r="K139" s="93"/>
      <c r="L139" s="93"/>
      <c r="M139" s="93"/>
      <c r="N139" s="98">
        <v>0</v>
      </c>
      <c r="O139" s="98">
        <v>0</v>
      </c>
      <c r="P139" s="99">
        <f>SUM(SamplingData[[#This Row],[Winning Candidate]:[Under Votes]])</f>
        <v>4</v>
      </c>
      <c r="Q13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39" s="100">
        <f>IF(AND(SamplingData[[#This Row],[Total]]&lt;&gt; 0, NOT(ISBLANK(SamplingData[[#This Row],[Candidate 3]]))),(SamplingData[[#This Row],[Total]]+SamplingData[[#This Row],[Winning Candidate]]-SamplingData[[#This Row],[Candidate 3]])/(SamplingData[[#Totals],[Winning Candidate]]-SamplingData[[#Totals],[Candidate 3]]), 0)</f>
        <v>0</v>
      </c>
      <c r="S139" s="100">
        <f>IF(AND(SamplingData[[#This Row],[Total]]&lt;&gt; 0, NOT(ISBLANK(SamplingData[[#This Row],[Candidate 4]]))),(SamplingData[[#This Row],[Total]]+SamplingData[[#This Row],[Winning Candidate]]-SamplingData[[#This Row],[Candidate 4]])/(SamplingData[[#Totals],[Winning Candidate]]-SamplingData[[#Totals],[Candidate 4]]), 0)</f>
        <v>0</v>
      </c>
      <c r="T139" s="100">
        <f>IF(AND(SamplingData[[#This Row],[Total]]&lt;&gt; 0, NOT(ISBLANK(SamplingData[[#This Row],[Candidate 5]]))),(SamplingData[[#This Row],[Total]]+SamplingData[[#This Row],[Winning Candidate]]-SamplingData[[#This Row],[Candidate 5]])/(SamplingData[[#Totals],[Winning Candidate]]-SamplingData[[#Totals],[Candidate 5]]), 0)</f>
        <v>0</v>
      </c>
      <c r="U139" s="100">
        <f>IF(AND(SamplingData[[#This Row],[Total]]&lt;&gt; 0, NOT(ISBLANK(SamplingData[[#This Row],[Candidate 6]]))),(SamplingData[[#This Row],[Total]]+SamplingData[[#This Row],[Losing Candidate]]-SamplingData[[#This Row],[Candidate 6]])/(SamplingData[[#Totals],[Winning Candidate]]-SamplingData[[#Totals],[Candidate 6]]), 0)</f>
        <v>0</v>
      </c>
      <c r="V139" s="100">
        <f>IF(AND(SamplingData[[#This Row],[Total]]&lt;&gt; 0, NOT(ISBLANK(SamplingData[[#This Row],[Candidate 7]]))),(SamplingData[[#This Row],[Total]]+SamplingData[[#This Row],[Winning Candidate]]-SamplingData[[#This Row],[Candidate 7]])/(SamplingData[[#Totals],[Winning Candidate]]-SamplingData[[#Totals],[Candidate 7]]), 0)</f>
        <v>0</v>
      </c>
      <c r="W139" s="100">
        <f>IF(AND(SamplingData[[#This Row],[Total]]&lt;&gt; 0, NOT(ISBLANK(SamplingData[[#This Row],[Candidate 8]]))),(SamplingData[[#This Row],[Total]]+SamplingData[[#This Row],[Winning Candidate]]-SamplingData[[#This Row],[Candidate 8]])/(SamplingData[[#Totals],[Winning Candidate]]-SamplingData[[#Totals],[Candidate 8]]), 0)</f>
        <v>0</v>
      </c>
      <c r="X1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00">
        <f>MAX(SamplingData[[#This Row],[Error Bound (up) - Max. possible relative overstatement - Losing Candidate]:[Error Bound (up) - Max. possible relative overstatement - Candidate 12]])</f>
        <v>1.8845996796180544E-4</v>
      </c>
      <c r="AC139" s="100">
        <f>IF(SamplingData[[#This Row],[Max Error Bound (up)]] = 0,0,SamplingData[[#This Row],[Max Error Bound (up)]]/SamplingData[[#Totals],[Max Error Bound (up)]])</f>
        <v>8.0762397027943816E-5</v>
      </c>
      <c r="AD139" s="104">
        <f>SUM($AC$5:AC139)</f>
        <v>2.2182738383675238E-2</v>
      </c>
      <c r="AE139" s="100" t="str" cm="1">
        <f t="array" ref="AE139">IF(SamplingData[[#This Row],[up/U Selection Probability]] = 0, "Zero", TEXT(SamplingData[[#This Row],[Lower Range]], REPT("0",LEN('General Info'!$B$42))) &amp; " - " &amp; TEXT(SamplingData[[#This Row],[Upper Range]], REPT("0",LEN('General Info'!$B$42))))</f>
        <v>02210 - 02217</v>
      </c>
      <c r="AF139" s="100">
        <f>SamplingData[[#This Row],[Upper Range]]-SamplingData[[#This Row],[Span]]</f>
        <v>2210.1975986647294</v>
      </c>
      <c r="AG139" s="100">
        <f>IF(ISNUMBER('General Info'!$B$42), ((SamplingData[[#This Row],[up/U Selection Probability]]) * 'General Info'!$B$44) - 1, 0)</f>
        <v>7.076239702794382</v>
      </c>
      <c r="AH139" s="100">
        <f>IF(ISNUMBER('General Info'!$B$42), (SamplingData[[#This Row],[Running (cumulative) sum]] * ('General Info'!$B$42 -'General Info'!$B$43 + 1)) + 'General Info'!$B$43 - 1, 0)</f>
        <v>2217.2738383675237</v>
      </c>
      <c r="AI139" s="100" t="str">
        <f>IF(ISERROR(MATCH(SamplingData[[#This Row],[Batch by Type (p)]],SelectedPrecincts[Batch Name], 0)), "", INDEX(SelectedPrecincts[Draw], MATCH(SamplingData[[#This Row],[Batch by Type (p)]],SelectedPrecincts[Batch Name], 0)))</f>
        <v/>
      </c>
      <c r="AJ139" s="101">
        <f>IF(COUNTIF(SelectedPrecincts[Batch Name],SamplingData[[#This Row],[Batch by Type (p)]]) &lt;&gt; 0, COUNTIF(SelectedPrecincts[Batch Name],SamplingData[[#This Row],[Batch by Type (p)]]), 0)</f>
        <v>0</v>
      </c>
    </row>
    <row r="140" spans="1:36" ht="15" customHeight="1" x14ac:dyDescent="0.35">
      <c r="A140" s="98" t="s">
        <v>352</v>
      </c>
      <c r="B140" s="98">
        <v>3</v>
      </c>
      <c r="C140" s="98">
        <v>0</v>
      </c>
      <c r="D140" s="93"/>
      <c r="E140" s="93"/>
      <c r="F140" s="93"/>
      <c r="G140" s="97"/>
      <c r="H140" s="97"/>
      <c r="I140" s="93"/>
      <c r="J140" s="93"/>
      <c r="K140" s="93"/>
      <c r="L140" s="93"/>
      <c r="M140" s="93"/>
      <c r="N140" s="98">
        <v>0</v>
      </c>
      <c r="O140" s="98">
        <v>0</v>
      </c>
      <c r="P140" s="99">
        <f>SUM(SamplingData[[#This Row],[Winning Candidate]:[Under Votes]])</f>
        <v>3</v>
      </c>
      <c r="Q140"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40" s="100">
        <f>IF(AND(SamplingData[[#This Row],[Total]]&lt;&gt; 0, NOT(ISBLANK(SamplingData[[#This Row],[Candidate 3]]))),(SamplingData[[#This Row],[Total]]+SamplingData[[#This Row],[Winning Candidate]]-SamplingData[[#This Row],[Candidate 3]])/(SamplingData[[#Totals],[Winning Candidate]]-SamplingData[[#Totals],[Candidate 3]]), 0)</f>
        <v>0</v>
      </c>
      <c r="S140" s="100">
        <f>IF(AND(SamplingData[[#This Row],[Total]]&lt;&gt; 0, NOT(ISBLANK(SamplingData[[#This Row],[Candidate 4]]))),(SamplingData[[#This Row],[Total]]+SamplingData[[#This Row],[Winning Candidate]]-SamplingData[[#This Row],[Candidate 4]])/(SamplingData[[#Totals],[Winning Candidate]]-SamplingData[[#Totals],[Candidate 4]]), 0)</f>
        <v>0</v>
      </c>
      <c r="T140" s="100">
        <f>IF(AND(SamplingData[[#This Row],[Total]]&lt;&gt; 0, NOT(ISBLANK(SamplingData[[#This Row],[Candidate 5]]))),(SamplingData[[#This Row],[Total]]+SamplingData[[#This Row],[Winning Candidate]]-SamplingData[[#This Row],[Candidate 5]])/(SamplingData[[#Totals],[Winning Candidate]]-SamplingData[[#Totals],[Candidate 5]]), 0)</f>
        <v>0</v>
      </c>
      <c r="U140" s="100">
        <f>IF(AND(SamplingData[[#This Row],[Total]]&lt;&gt; 0, NOT(ISBLANK(SamplingData[[#This Row],[Candidate 6]]))),(SamplingData[[#This Row],[Total]]+SamplingData[[#This Row],[Losing Candidate]]-SamplingData[[#This Row],[Candidate 6]])/(SamplingData[[#Totals],[Winning Candidate]]-SamplingData[[#Totals],[Candidate 6]]), 0)</f>
        <v>0</v>
      </c>
      <c r="V140" s="100">
        <f>IF(AND(SamplingData[[#This Row],[Total]]&lt;&gt; 0, NOT(ISBLANK(SamplingData[[#This Row],[Candidate 7]]))),(SamplingData[[#This Row],[Total]]+SamplingData[[#This Row],[Winning Candidate]]-SamplingData[[#This Row],[Candidate 7]])/(SamplingData[[#Totals],[Winning Candidate]]-SamplingData[[#Totals],[Candidate 7]]), 0)</f>
        <v>0</v>
      </c>
      <c r="W140" s="100">
        <f>IF(AND(SamplingData[[#This Row],[Total]]&lt;&gt; 0, NOT(ISBLANK(SamplingData[[#This Row],[Candidate 8]]))),(SamplingData[[#This Row],[Total]]+SamplingData[[#This Row],[Winning Candidate]]-SamplingData[[#This Row],[Candidate 8]])/(SamplingData[[#Totals],[Winning Candidate]]-SamplingData[[#Totals],[Candidate 8]]), 0)</f>
        <v>0</v>
      </c>
      <c r="X1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00">
        <f>MAX(SamplingData[[#This Row],[Error Bound (up) - Max. possible relative overstatement - Losing Candidate]:[Error Bound (up) - Max. possible relative overstatement - Candidate 12]])</f>
        <v>1.8845996796180544E-4</v>
      </c>
      <c r="AC140" s="100">
        <f>IF(SamplingData[[#This Row],[Max Error Bound (up)]] = 0,0,SamplingData[[#This Row],[Max Error Bound (up)]]/SamplingData[[#Totals],[Max Error Bound (up)]])</f>
        <v>8.0762397027943816E-5</v>
      </c>
      <c r="AD140" s="104">
        <f>SUM($AC$5:AC140)</f>
        <v>2.2263500780703181E-2</v>
      </c>
      <c r="AE140" s="100" t="str" cm="1">
        <f t="array" ref="AE140">IF(SamplingData[[#This Row],[up/U Selection Probability]] = 0, "Zero", TEXT(SamplingData[[#This Row],[Lower Range]], REPT("0",LEN('General Info'!$B$42))) &amp; " - " &amp; TEXT(SamplingData[[#This Row],[Upper Range]], REPT("0",LEN('General Info'!$B$42))))</f>
        <v>02218 - 02225</v>
      </c>
      <c r="AF140" s="100">
        <f>SamplingData[[#This Row],[Upper Range]]-SamplingData[[#This Row],[Span]]</f>
        <v>2218.2738383675237</v>
      </c>
      <c r="AG140" s="100">
        <f>IF(ISNUMBER('General Info'!$B$42), ((SamplingData[[#This Row],[up/U Selection Probability]]) * 'General Info'!$B$44) - 1, 0)</f>
        <v>7.076239702794382</v>
      </c>
      <c r="AH140" s="100">
        <f>IF(ISNUMBER('General Info'!$B$42), (SamplingData[[#This Row],[Running (cumulative) sum]] * ('General Info'!$B$42 -'General Info'!$B$43 + 1)) + 'General Info'!$B$43 - 1, 0)</f>
        <v>2225.350078070318</v>
      </c>
      <c r="AI140" s="100" t="str">
        <f>IF(ISERROR(MATCH(SamplingData[[#This Row],[Batch by Type (p)]],SelectedPrecincts[Batch Name], 0)), "", INDEX(SelectedPrecincts[Draw], MATCH(SamplingData[[#This Row],[Batch by Type (p)]],SelectedPrecincts[Batch Name], 0)))</f>
        <v/>
      </c>
      <c r="AJ140" s="101">
        <f>IF(COUNTIF(SelectedPrecincts[Batch Name],SamplingData[[#This Row],[Batch by Type (p)]]) &lt;&gt; 0, COUNTIF(SelectedPrecincts[Batch Name],SamplingData[[#This Row],[Batch by Type (p)]]), 0)</f>
        <v>0</v>
      </c>
    </row>
    <row r="141" spans="1:36" ht="15" customHeight="1" x14ac:dyDescent="0.35">
      <c r="A141" s="98" t="s">
        <v>353</v>
      </c>
      <c r="B141" s="98">
        <v>2</v>
      </c>
      <c r="C141" s="98">
        <v>0</v>
      </c>
      <c r="D141" s="93"/>
      <c r="E141" s="93"/>
      <c r="F141" s="93"/>
      <c r="G141" s="97"/>
      <c r="H141" s="97"/>
      <c r="I141" s="93"/>
      <c r="J141" s="93"/>
      <c r="K141" s="93"/>
      <c r="L141" s="93"/>
      <c r="M141" s="93"/>
      <c r="N141" s="98">
        <v>0</v>
      </c>
      <c r="O141" s="98">
        <v>0</v>
      </c>
      <c r="P141" s="99">
        <f>SUM(SamplingData[[#This Row],[Winning Candidate]:[Under Votes]])</f>
        <v>2</v>
      </c>
      <c r="Q141"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141" s="100">
        <f>IF(AND(SamplingData[[#This Row],[Total]]&lt;&gt; 0, NOT(ISBLANK(SamplingData[[#This Row],[Candidate 3]]))),(SamplingData[[#This Row],[Total]]+SamplingData[[#This Row],[Winning Candidate]]-SamplingData[[#This Row],[Candidate 3]])/(SamplingData[[#Totals],[Winning Candidate]]-SamplingData[[#Totals],[Candidate 3]]), 0)</f>
        <v>0</v>
      </c>
      <c r="S141" s="100">
        <f>IF(AND(SamplingData[[#This Row],[Total]]&lt;&gt; 0, NOT(ISBLANK(SamplingData[[#This Row],[Candidate 4]]))),(SamplingData[[#This Row],[Total]]+SamplingData[[#This Row],[Winning Candidate]]-SamplingData[[#This Row],[Candidate 4]])/(SamplingData[[#Totals],[Winning Candidate]]-SamplingData[[#Totals],[Candidate 4]]), 0)</f>
        <v>0</v>
      </c>
      <c r="T141" s="100">
        <f>IF(AND(SamplingData[[#This Row],[Total]]&lt;&gt; 0, NOT(ISBLANK(SamplingData[[#This Row],[Candidate 5]]))),(SamplingData[[#This Row],[Total]]+SamplingData[[#This Row],[Winning Candidate]]-SamplingData[[#This Row],[Candidate 5]])/(SamplingData[[#Totals],[Winning Candidate]]-SamplingData[[#Totals],[Candidate 5]]), 0)</f>
        <v>0</v>
      </c>
      <c r="U141" s="100">
        <f>IF(AND(SamplingData[[#This Row],[Total]]&lt;&gt; 0, NOT(ISBLANK(SamplingData[[#This Row],[Candidate 6]]))),(SamplingData[[#This Row],[Total]]+SamplingData[[#This Row],[Losing Candidate]]-SamplingData[[#This Row],[Candidate 6]])/(SamplingData[[#Totals],[Winning Candidate]]-SamplingData[[#Totals],[Candidate 6]]), 0)</f>
        <v>0</v>
      </c>
      <c r="V141" s="100">
        <f>IF(AND(SamplingData[[#This Row],[Total]]&lt;&gt; 0, NOT(ISBLANK(SamplingData[[#This Row],[Candidate 7]]))),(SamplingData[[#This Row],[Total]]+SamplingData[[#This Row],[Winning Candidate]]-SamplingData[[#This Row],[Candidate 7]])/(SamplingData[[#Totals],[Winning Candidate]]-SamplingData[[#Totals],[Candidate 7]]), 0)</f>
        <v>0</v>
      </c>
      <c r="W141" s="100">
        <f>IF(AND(SamplingData[[#This Row],[Total]]&lt;&gt; 0, NOT(ISBLANK(SamplingData[[#This Row],[Candidate 8]]))),(SamplingData[[#This Row],[Total]]+SamplingData[[#This Row],[Winning Candidate]]-SamplingData[[#This Row],[Candidate 8]])/(SamplingData[[#Totals],[Winning Candidate]]-SamplingData[[#Totals],[Candidate 8]]), 0)</f>
        <v>0</v>
      </c>
      <c r="X1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00">
        <f>MAX(SamplingData[[#This Row],[Error Bound (up) - Max. possible relative overstatement - Losing Candidate]:[Error Bound (up) - Max. possible relative overstatement - Candidate 12]])</f>
        <v>1.2563997864120362E-4</v>
      </c>
      <c r="AC141" s="100">
        <f>IF(SamplingData[[#This Row],[Max Error Bound (up)]] = 0,0,SamplingData[[#This Row],[Max Error Bound (up)]]/SamplingData[[#Totals],[Max Error Bound (up)]])</f>
        <v>5.3841598018629206E-5</v>
      </c>
      <c r="AD141" s="104">
        <f>SUM($AC$5:AC141)</f>
        <v>2.2317342378721811E-2</v>
      </c>
      <c r="AE141" s="100" t="str" cm="1">
        <f t="array" ref="AE141">IF(SamplingData[[#This Row],[up/U Selection Probability]] = 0, "Zero", TEXT(SamplingData[[#This Row],[Lower Range]], REPT("0",LEN('General Info'!$B$42))) &amp; " - " &amp; TEXT(SamplingData[[#This Row],[Upper Range]], REPT("0",LEN('General Info'!$B$42))))</f>
        <v>02226 - 02231</v>
      </c>
      <c r="AF141" s="100">
        <f>SamplingData[[#This Row],[Upper Range]]-SamplingData[[#This Row],[Span]]</f>
        <v>2226.350078070318</v>
      </c>
      <c r="AG141" s="100">
        <f>IF(ISNUMBER('General Info'!$B$42), ((SamplingData[[#This Row],[up/U Selection Probability]]) * 'General Info'!$B$44) - 1, 0)</f>
        <v>4.3841598018629204</v>
      </c>
      <c r="AH141" s="100">
        <f>IF(ISNUMBER('General Info'!$B$42), (SamplingData[[#This Row],[Running (cumulative) sum]] * ('General Info'!$B$42 -'General Info'!$B$43 + 1)) + 'General Info'!$B$43 - 1, 0)</f>
        <v>2230.734237872181</v>
      </c>
      <c r="AI141" s="100" t="str">
        <f>IF(ISERROR(MATCH(SamplingData[[#This Row],[Batch by Type (p)]],SelectedPrecincts[Batch Name], 0)), "", INDEX(SelectedPrecincts[Draw], MATCH(SamplingData[[#This Row],[Batch by Type (p)]],SelectedPrecincts[Batch Name], 0)))</f>
        <v/>
      </c>
      <c r="AJ141" s="101">
        <f>IF(COUNTIF(SelectedPrecincts[Batch Name],SamplingData[[#This Row],[Batch by Type (p)]]) &lt;&gt; 0, COUNTIF(SelectedPrecincts[Batch Name],SamplingData[[#This Row],[Batch by Type (p)]]), 0)</f>
        <v>0</v>
      </c>
    </row>
    <row r="142" spans="1:36" ht="15" customHeight="1" x14ac:dyDescent="0.35">
      <c r="A142" s="98" t="s">
        <v>354</v>
      </c>
      <c r="B142" s="98">
        <v>6</v>
      </c>
      <c r="C142" s="98">
        <v>0</v>
      </c>
      <c r="D142" s="93"/>
      <c r="E142" s="93"/>
      <c r="F142" s="93"/>
      <c r="G142" s="97"/>
      <c r="H142" s="97"/>
      <c r="I142" s="93"/>
      <c r="J142" s="93"/>
      <c r="K142" s="93"/>
      <c r="L142" s="93"/>
      <c r="M142" s="93"/>
      <c r="N142" s="98">
        <v>0</v>
      </c>
      <c r="O142" s="98">
        <v>0</v>
      </c>
      <c r="P142" s="99">
        <f>SUM(SamplingData[[#This Row],[Winning Candidate]:[Under Votes]])</f>
        <v>6</v>
      </c>
      <c r="Q142"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42" s="100">
        <f>IF(AND(SamplingData[[#This Row],[Total]]&lt;&gt; 0, NOT(ISBLANK(SamplingData[[#This Row],[Candidate 3]]))),(SamplingData[[#This Row],[Total]]+SamplingData[[#This Row],[Winning Candidate]]-SamplingData[[#This Row],[Candidate 3]])/(SamplingData[[#Totals],[Winning Candidate]]-SamplingData[[#Totals],[Candidate 3]]), 0)</f>
        <v>0</v>
      </c>
      <c r="S142" s="100">
        <f>IF(AND(SamplingData[[#This Row],[Total]]&lt;&gt; 0, NOT(ISBLANK(SamplingData[[#This Row],[Candidate 4]]))),(SamplingData[[#This Row],[Total]]+SamplingData[[#This Row],[Winning Candidate]]-SamplingData[[#This Row],[Candidate 4]])/(SamplingData[[#Totals],[Winning Candidate]]-SamplingData[[#Totals],[Candidate 4]]), 0)</f>
        <v>0</v>
      </c>
      <c r="T142" s="100">
        <f>IF(AND(SamplingData[[#This Row],[Total]]&lt;&gt; 0, NOT(ISBLANK(SamplingData[[#This Row],[Candidate 5]]))),(SamplingData[[#This Row],[Total]]+SamplingData[[#This Row],[Winning Candidate]]-SamplingData[[#This Row],[Candidate 5]])/(SamplingData[[#Totals],[Winning Candidate]]-SamplingData[[#Totals],[Candidate 5]]), 0)</f>
        <v>0</v>
      </c>
      <c r="U142" s="100">
        <f>IF(AND(SamplingData[[#This Row],[Total]]&lt;&gt; 0, NOT(ISBLANK(SamplingData[[#This Row],[Candidate 6]]))),(SamplingData[[#This Row],[Total]]+SamplingData[[#This Row],[Losing Candidate]]-SamplingData[[#This Row],[Candidate 6]])/(SamplingData[[#Totals],[Winning Candidate]]-SamplingData[[#Totals],[Candidate 6]]), 0)</f>
        <v>0</v>
      </c>
      <c r="V142" s="100">
        <f>IF(AND(SamplingData[[#This Row],[Total]]&lt;&gt; 0, NOT(ISBLANK(SamplingData[[#This Row],[Candidate 7]]))),(SamplingData[[#This Row],[Total]]+SamplingData[[#This Row],[Winning Candidate]]-SamplingData[[#This Row],[Candidate 7]])/(SamplingData[[#Totals],[Winning Candidate]]-SamplingData[[#Totals],[Candidate 7]]), 0)</f>
        <v>0</v>
      </c>
      <c r="W142" s="100">
        <f>IF(AND(SamplingData[[#This Row],[Total]]&lt;&gt; 0, NOT(ISBLANK(SamplingData[[#This Row],[Candidate 8]]))),(SamplingData[[#This Row],[Total]]+SamplingData[[#This Row],[Winning Candidate]]-SamplingData[[#This Row],[Candidate 8]])/(SamplingData[[#Totals],[Winning Candidate]]-SamplingData[[#Totals],[Candidate 8]]), 0)</f>
        <v>0</v>
      </c>
      <c r="X1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00">
        <f>MAX(SamplingData[[#This Row],[Error Bound (up) - Max. possible relative overstatement - Losing Candidate]:[Error Bound (up) - Max. possible relative overstatement - Candidate 12]])</f>
        <v>3.7691993592361088E-4</v>
      </c>
      <c r="AC142" s="100">
        <f>IF(SamplingData[[#This Row],[Max Error Bound (up)]] = 0,0,SamplingData[[#This Row],[Max Error Bound (up)]]/SamplingData[[#Totals],[Max Error Bound (up)]])</f>
        <v>1.6152479405588763E-4</v>
      </c>
      <c r="AD142" s="104">
        <f>SUM($AC$5:AC142)</f>
        <v>2.2478867172777698E-2</v>
      </c>
      <c r="AE142" s="100" t="str" cm="1">
        <f t="array" ref="AE142">IF(SamplingData[[#This Row],[up/U Selection Probability]] = 0, "Zero", TEXT(SamplingData[[#This Row],[Lower Range]], REPT("0",LEN('General Info'!$B$42))) &amp; " - " &amp; TEXT(SamplingData[[#This Row],[Upper Range]], REPT("0",LEN('General Info'!$B$42))))</f>
        <v>02232 - 02247</v>
      </c>
      <c r="AF142" s="100">
        <f>SamplingData[[#This Row],[Upper Range]]-SamplingData[[#This Row],[Span]]</f>
        <v>2231.7342378721814</v>
      </c>
      <c r="AG142" s="100">
        <f>IF(ISNUMBER('General Info'!$B$42), ((SamplingData[[#This Row],[up/U Selection Probability]]) * 'General Info'!$B$44) - 1, 0)</f>
        <v>15.152479405588764</v>
      </c>
      <c r="AH142" s="100">
        <f>IF(ISNUMBER('General Info'!$B$42), (SamplingData[[#This Row],[Running (cumulative) sum]] * ('General Info'!$B$42 -'General Info'!$B$43 + 1)) + 'General Info'!$B$43 - 1, 0)</f>
        <v>2246.88671727777</v>
      </c>
      <c r="AI142" s="100" t="str">
        <f>IF(ISERROR(MATCH(SamplingData[[#This Row],[Batch by Type (p)]],SelectedPrecincts[Batch Name], 0)), "", INDEX(SelectedPrecincts[Draw], MATCH(SamplingData[[#This Row],[Batch by Type (p)]],SelectedPrecincts[Batch Name], 0)))</f>
        <v/>
      </c>
      <c r="AJ142" s="101">
        <f>IF(COUNTIF(SelectedPrecincts[Batch Name],SamplingData[[#This Row],[Batch by Type (p)]]) &lt;&gt; 0, COUNTIF(SelectedPrecincts[Batch Name],SamplingData[[#This Row],[Batch by Type (p)]]), 0)</f>
        <v>0</v>
      </c>
    </row>
    <row r="143" spans="1:36" ht="15" customHeight="1" x14ac:dyDescent="0.35">
      <c r="A143" s="98" t="s">
        <v>355</v>
      </c>
      <c r="B143" s="98">
        <v>1</v>
      </c>
      <c r="C143" s="98">
        <v>0</v>
      </c>
      <c r="D143" s="93"/>
      <c r="E143" s="93"/>
      <c r="F143" s="93"/>
      <c r="G143" s="97"/>
      <c r="H143" s="97"/>
      <c r="I143" s="93"/>
      <c r="J143" s="93"/>
      <c r="K143" s="93"/>
      <c r="L143" s="93"/>
      <c r="M143" s="93"/>
      <c r="N143" s="98">
        <v>0</v>
      </c>
      <c r="O143" s="98">
        <v>0</v>
      </c>
      <c r="P143" s="99">
        <f>SUM(SamplingData[[#This Row],[Winning Candidate]:[Under Votes]])</f>
        <v>1</v>
      </c>
      <c r="Q143"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43" s="100">
        <f>IF(AND(SamplingData[[#This Row],[Total]]&lt;&gt; 0, NOT(ISBLANK(SamplingData[[#This Row],[Candidate 3]]))),(SamplingData[[#This Row],[Total]]+SamplingData[[#This Row],[Winning Candidate]]-SamplingData[[#This Row],[Candidate 3]])/(SamplingData[[#Totals],[Winning Candidate]]-SamplingData[[#Totals],[Candidate 3]]), 0)</f>
        <v>0</v>
      </c>
      <c r="S143" s="100">
        <f>IF(AND(SamplingData[[#This Row],[Total]]&lt;&gt; 0, NOT(ISBLANK(SamplingData[[#This Row],[Candidate 4]]))),(SamplingData[[#This Row],[Total]]+SamplingData[[#This Row],[Winning Candidate]]-SamplingData[[#This Row],[Candidate 4]])/(SamplingData[[#Totals],[Winning Candidate]]-SamplingData[[#Totals],[Candidate 4]]), 0)</f>
        <v>0</v>
      </c>
      <c r="T143" s="100">
        <f>IF(AND(SamplingData[[#This Row],[Total]]&lt;&gt; 0, NOT(ISBLANK(SamplingData[[#This Row],[Candidate 5]]))),(SamplingData[[#This Row],[Total]]+SamplingData[[#This Row],[Winning Candidate]]-SamplingData[[#This Row],[Candidate 5]])/(SamplingData[[#Totals],[Winning Candidate]]-SamplingData[[#Totals],[Candidate 5]]), 0)</f>
        <v>0</v>
      </c>
      <c r="U143" s="100">
        <f>IF(AND(SamplingData[[#This Row],[Total]]&lt;&gt; 0, NOT(ISBLANK(SamplingData[[#This Row],[Candidate 6]]))),(SamplingData[[#This Row],[Total]]+SamplingData[[#This Row],[Losing Candidate]]-SamplingData[[#This Row],[Candidate 6]])/(SamplingData[[#Totals],[Winning Candidate]]-SamplingData[[#Totals],[Candidate 6]]), 0)</f>
        <v>0</v>
      </c>
      <c r="V143" s="100">
        <f>IF(AND(SamplingData[[#This Row],[Total]]&lt;&gt; 0, NOT(ISBLANK(SamplingData[[#This Row],[Candidate 7]]))),(SamplingData[[#This Row],[Total]]+SamplingData[[#This Row],[Winning Candidate]]-SamplingData[[#This Row],[Candidate 7]])/(SamplingData[[#Totals],[Winning Candidate]]-SamplingData[[#Totals],[Candidate 7]]), 0)</f>
        <v>0</v>
      </c>
      <c r="W143" s="100">
        <f>IF(AND(SamplingData[[#This Row],[Total]]&lt;&gt; 0, NOT(ISBLANK(SamplingData[[#This Row],[Candidate 8]]))),(SamplingData[[#This Row],[Total]]+SamplingData[[#This Row],[Winning Candidate]]-SamplingData[[#This Row],[Candidate 8]])/(SamplingData[[#Totals],[Winning Candidate]]-SamplingData[[#Totals],[Candidate 8]]), 0)</f>
        <v>0</v>
      </c>
      <c r="X1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00">
        <f>MAX(SamplingData[[#This Row],[Error Bound (up) - Max. possible relative overstatement - Losing Candidate]:[Error Bound (up) - Max. possible relative overstatement - Candidate 12]])</f>
        <v>6.2819989320601809E-5</v>
      </c>
      <c r="AC143" s="100">
        <f>IF(SamplingData[[#This Row],[Max Error Bound (up)]] = 0,0,SamplingData[[#This Row],[Max Error Bound (up)]]/SamplingData[[#Totals],[Max Error Bound (up)]])</f>
        <v>2.6920799009314603E-5</v>
      </c>
      <c r="AD143" s="104">
        <f>SUM($AC$5:AC143)</f>
        <v>2.2505787971787011E-2</v>
      </c>
      <c r="AE143" s="100" t="str" cm="1">
        <f t="array" ref="AE143">IF(SamplingData[[#This Row],[up/U Selection Probability]] = 0, "Zero", TEXT(SamplingData[[#This Row],[Lower Range]], REPT("0",LEN('General Info'!$B$42))) &amp; " - " &amp; TEXT(SamplingData[[#This Row],[Upper Range]], REPT("0",LEN('General Info'!$B$42))))</f>
        <v>02248 - 02250</v>
      </c>
      <c r="AF143" s="100">
        <f>SamplingData[[#This Row],[Upper Range]]-SamplingData[[#This Row],[Span]]</f>
        <v>2247.88671727777</v>
      </c>
      <c r="AG143" s="100">
        <f>IF(ISNUMBER('General Info'!$B$42), ((SamplingData[[#This Row],[up/U Selection Probability]]) * 'General Info'!$B$44) - 1, 0)</f>
        <v>1.6920799009314602</v>
      </c>
      <c r="AH143" s="100">
        <f>IF(ISNUMBER('General Info'!$B$42), (SamplingData[[#This Row],[Running (cumulative) sum]] * ('General Info'!$B$42 -'General Info'!$B$43 + 1)) + 'General Info'!$B$43 - 1, 0)</f>
        <v>2249.5787971787013</v>
      </c>
      <c r="AI143" s="100" t="str">
        <f>IF(ISERROR(MATCH(SamplingData[[#This Row],[Batch by Type (p)]],SelectedPrecincts[Batch Name], 0)), "", INDEX(SelectedPrecincts[Draw], MATCH(SamplingData[[#This Row],[Batch by Type (p)]],SelectedPrecincts[Batch Name], 0)))</f>
        <v/>
      </c>
      <c r="AJ143" s="101">
        <f>IF(COUNTIF(SelectedPrecincts[Batch Name],SamplingData[[#This Row],[Batch by Type (p)]]) &lt;&gt; 0, COUNTIF(SelectedPrecincts[Batch Name],SamplingData[[#This Row],[Batch by Type (p)]]), 0)</f>
        <v>0</v>
      </c>
    </row>
    <row r="144" spans="1:36" ht="15" customHeight="1" x14ac:dyDescent="0.35">
      <c r="A144" s="98" t="s">
        <v>356</v>
      </c>
      <c r="B144" s="98">
        <v>7</v>
      </c>
      <c r="C144" s="98">
        <v>0</v>
      </c>
      <c r="D144" s="93"/>
      <c r="E144" s="93"/>
      <c r="F144" s="93"/>
      <c r="G144" s="97"/>
      <c r="H144" s="97"/>
      <c r="I144" s="93"/>
      <c r="J144" s="93"/>
      <c r="K144" s="93"/>
      <c r="L144" s="93"/>
      <c r="M144" s="93"/>
      <c r="N144" s="98">
        <v>0</v>
      </c>
      <c r="O144" s="98">
        <v>2</v>
      </c>
      <c r="P144" s="99">
        <f>SUM(SamplingData[[#This Row],[Winning Candidate]:[Under Votes]])</f>
        <v>9</v>
      </c>
      <c r="Q144"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144" s="100">
        <f>IF(AND(SamplingData[[#This Row],[Total]]&lt;&gt; 0, NOT(ISBLANK(SamplingData[[#This Row],[Candidate 3]]))),(SamplingData[[#This Row],[Total]]+SamplingData[[#This Row],[Winning Candidate]]-SamplingData[[#This Row],[Candidate 3]])/(SamplingData[[#Totals],[Winning Candidate]]-SamplingData[[#Totals],[Candidate 3]]), 0)</f>
        <v>0</v>
      </c>
      <c r="S144" s="100">
        <f>IF(AND(SamplingData[[#This Row],[Total]]&lt;&gt; 0, NOT(ISBLANK(SamplingData[[#This Row],[Candidate 4]]))),(SamplingData[[#This Row],[Total]]+SamplingData[[#This Row],[Winning Candidate]]-SamplingData[[#This Row],[Candidate 4]])/(SamplingData[[#Totals],[Winning Candidate]]-SamplingData[[#Totals],[Candidate 4]]), 0)</f>
        <v>0</v>
      </c>
      <c r="T144" s="100">
        <f>IF(AND(SamplingData[[#This Row],[Total]]&lt;&gt; 0, NOT(ISBLANK(SamplingData[[#This Row],[Candidate 5]]))),(SamplingData[[#This Row],[Total]]+SamplingData[[#This Row],[Winning Candidate]]-SamplingData[[#This Row],[Candidate 5]])/(SamplingData[[#Totals],[Winning Candidate]]-SamplingData[[#Totals],[Candidate 5]]), 0)</f>
        <v>0</v>
      </c>
      <c r="U144" s="100">
        <f>IF(AND(SamplingData[[#This Row],[Total]]&lt;&gt; 0, NOT(ISBLANK(SamplingData[[#This Row],[Candidate 6]]))),(SamplingData[[#This Row],[Total]]+SamplingData[[#This Row],[Losing Candidate]]-SamplingData[[#This Row],[Candidate 6]])/(SamplingData[[#Totals],[Winning Candidate]]-SamplingData[[#Totals],[Candidate 6]]), 0)</f>
        <v>0</v>
      </c>
      <c r="V144" s="100">
        <f>IF(AND(SamplingData[[#This Row],[Total]]&lt;&gt; 0, NOT(ISBLANK(SamplingData[[#This Row],[Candidate 7]]))),(SamplingData[[#This Row],[Total]]+SamplingData[[#This Row],[Winning Candidate]]-SamplingData[[#This Row],[Candidate 7]])/(SamplingData[[#Totals],[Winning Candidate]]-SamplingData[[#Totals],[Candidate 7]]), 0)</f>
        <v>0</v>
      </c>
      <c r="W144" s="100">
        <f>IF(AND(SamplingData[[#This Row],[Total]]&lt;&gt; 0, NOT(ISBLANK(SamplingData[[#This Row],[Candidate 8]]))),(SamplingData[[#This Row],[Total]]+SamplingData[[#This Row],[Winning Candidate]]-SamplingData[[#This Row],[Candidate 8]])/(SamplingData[[#Totals],[Winning Candidate]]-SamplingData[[#Totals],[Candidate 8]]), 0)</f>
        <v>0</v>
      </c>
      <c r="X1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00">
        <f>MAX(SamplingData[[#This Row],[Error Bound (up) - Max. possible relative overstatement - Losing Candidate]:[Error Bound (up) - Max. possible relative overstatement - Candidate 12]])</f>
        <v>5.0255991456481448E-4</v>
      </c>
      <c r="AC144" s="100">
        <f>IF(SamplingData[[#This Row],[Max Error Bound (up)]] = 0,0,SamplingData[[#This Row],[Max Error Bound (up)]]/SamplingData[[#Totals],[Max Error Bound (up)]])</f>
        <v>2.1536639207451683E-4</v>
      </c>
      <c r="AD144" s="104">
        <f>SUM($AC$5:AC144)</f>
        <v>2.2721154363861528E-2</v>
      </c>
      <c r="AE144" s="100" t="str" cm="1">
        <f t="array" ref="AE144">IF(SamplingData[[#This Row],[up/U Selection Probability]] = 0, "Zero", TEXT(SamplingData[[#This Row],[Lower Range]], REPT("0",LEN('General Info'!$B$42))) &amp; " - " &amp; TEXT(SamplingData[[#This Row],[Upper Range]], REPT("0",LEN('General Info'!$B$42))))</f>
        <v>02251 - 02271</v>
      </c>
      <c r="AF144" s="100">
        <f>SamplingData[[#This Row],[Upper Range]]-SamplingData[[#This Row],[Span]]</f>
        <v>2250.5787971787013</v>
      </c>
      <c r="AG144" s="100">
        <f>IF(ISNUMBER('General Info'!$B$42), ((SamplingData[[#This Row],[up/U Selection Probability]]) * 'General Info'!$B$44) - 1, 0)</f>
        <v>20.536639207451682</v>
      </c>
      <c r="AH144" s="100">
        <f>IF(ISNUMBER('General Info'!$B$42), (SamplingData[[#This Row],[Running (cumulative) sum]] * ('General Info'!$B$42 -'General Info'!$B$43 + 1)) + 'General Info'!$B$43 - 1, 0)</f>
        <v>2271.1154363861529</v>
      </c>
      <c r="AI144" s="100" t="str">
        <f>IF(ISERROR(MATCH(SamplingData[[#This Row],[Batch by Type (p)]],SelectedPrecincts[Batch Name], 0)), "", INDEX(SelectedPrecincts[Draw], MATCH(SamplingData[[#This Row],[Batch by Type (p)]],SelectedPrecincts[Batch Name], 0)))</f>
        <v/>
      </c>
      <c r="AJ144" s="101">
        <f>IF(COUNTIF(SelectedPrecincts[Batch Name],SamplingData[[#This Row],[Batch by Type (p)]]) &lt;&gt; 0, COUNTIF(SelectedPrecincts[Batch Name],SamplingData[[#This Row],[Batch by Type (p)]]), 0)</f>
        <v>0</v>
      </c>
    </row>
    <row r="145" spans="1:36" ht="15" customHeight="1" x14ac:dyDescent="0.35">
      <c r="A145" s="98" t="s">
        <v>357</v>
      </c>
      <c r="B145" s="98">
        <v>11</v>
      </c>
      <c r="C145" s="98">
        <v>1</v>
      </c>
      <c r="D145" s="93"/>
      <c r="E145" s="93"/>
      <c r="F145" s="93"/>
      <c r="G145" s="97"/>
      <c r="H145" s="97"/>
      <c r="I145" s="93"/>
      <c r="J145" s="93"/>
      <c r="K145" s="93"/>
      <c r="L145" s="93"/>
      <c r="M145" s="93"/>
      <c r="N145" s="98">
        <v>0</v>
      </c>
      <c r="O145" s="98">
        <v>0</v>
      </c>
      <c r="P145" s="99">
        <f>SUM(SamplingData[[#This Row],[Winning Candidate]:[Under Votes]])</f>
        <v>12</v>
      </c>
      <c r="Q145"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145" s="100">
        <f>IF(AND(SamplingData[[#This Row],[Total]]&lt;&gt; 0, NOT(ISBLANK(SamplingData[[#This Row],[Candidate 3]]))),(SamplingData[[#This Row],[Total]]+SamplingData[[#This Row],[Winning Candidate]]-SamplingData[[#This Row],[Candidate 3]])/(SamplingData[[#Totals],[Winning Candidate]]-SamplingData[[#Totals],[Candidate 3]]), 0)</f>
        <v>0</v>
      </c>
      <c r="S145" s="100">
        <f>IF(AND(SamplingData[[#This Row],[Total]]&lt;&gt; 0, NOT(ISBLANK(SamplingData[[#This Row],[Candidate 4]]))),(SamplingData[[#This Row],[Total]]+SamplingData[[#This Row],[Winning Candidate]]-SamplingData[[#This Row],[Candidate 4]])/(SamplingData[[#Totals],[Winning Candidate]]-SamplingData[[#Totals],[Candidate 4]]), 0)</f>
        <v>0</v>
      </c>
      <c r="T145" s="100">
        <f>IF(AND(SamplingData[[#This Row],[Total]]&lt;&gt; 0, NOT(ISBLANK(SamplingData[[#This Row],[Candidate 5]]))),(SamplingData[[#This Row],[Total]]+SamplingData[[#This Row],[Winning Candidate]]-SamplingData[[#This Row],[Candidate 5]])/(SamplingData[[#Totals],[Winning Candidate]]-SamplingData[[#Totals],[Candidate 5]]), 0)</f>
        <v>0</v>
      </c>
      <c r="U145" s="100">
        <f>IF(AND(SamplingData[[#This Row],[Total]]&lt;&gt; 0, NOT(ISBLANK(SamplingData[[#This Row],[Candidate 6]]))),(SamplingData[[#This Row],[Total]]+SamplingData[[#This Row],[Losing Candidate]]-SamplingData[[#This Row],[Candidate 6]])/(SamplingData[[#Totals],[Winning Candidate]]-SamplingData[[#Totals],[Candidate 6]]), 0)</f>
        <v>0</v>
      </c>
      <c r="V145" s="100">
        <f>IF(AND(SamplingData[[#This Row],[Total]]&lt;&gt; 0, NOT(ISBLANK(SamplingData[[#This Row],[Candidate 7]]))),(SamplingData[[#This Row],[Total]]+SamplingData[[#This Row],[Winning Candidate]]-SamplingData[[#This Row],[Candidate 7]])/(SamplingData[[#Totals],[Winning Candidate]]-SamplingData[[#Totals],[Candidate 7]]), 0)</f>
        <v>0</v>
      </c>
      <c r="W145" s="100">
        <f>IF(AND(SamplingData[[#This Row],[Total]]&lt;&gt; 0, NOT(ISBLANK(SamplingData[[#This Row],[Candidate 8]]))),(SamplingData[[#This Row],[Total]]+SamplingData[[#This Row],[Winning Candidate]]-SamplingData[[#This Row],[Candidate 8]])/(SamplingData[[#Totals],[Winning Candidate]]-SamplingData[[#Totals],[Candidate 8]]), 0)</f>
        <v>0</v>
      </c>
      <c r="X1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00">
        <f>MAX(SamplingData[[#This Row],[Error Bound (up) - Max. possible relative overstatement - Losing Candidate]:[Error Bound (up) - Max. possible relative overstatement - Candidate 12]])</f>
        <v>6.9101988252662E-4</v>
      </c>
      <c r="AC145" s="100">
        <f>IF(SamplingData[[#This Row],[Max Error Bound (up)]] = 0,0,SamplingData[[#This Row],[Max Error Bound (up)]]/SamplingData[[#Totals],[Max Error Bound (up)]])</f>
        <v>2.9612878910246067E-4</v>
      </c>
      <c r="AD145" s="104">
        <f>SUM($AC$5:AC145)</f>
        <v>2.3017283152963988E-2</v>
      </c>
      <c r="AE145" s="100" t="str" cm="1">
        <f t="array" ref="AE145">IF(SamplingData[[#This Row],[up/U Selection Probability]] = 0, "Zero", TEXT(SamplingData[[#This Row],[Lower Range]], REPT("0",LEN('General Info'!$B$42))) &amp; " - " &amp; TEXT(SamplingData[[#This Row],[Upper Range]], REPT("0",LEN('General Info'!$B$42))))</f>
        <v>02272 - 02301</v>
      </c>
      <c r="AF145" s="100">
        <f>SamplingData[[#This Row],[Upper Range]]-SamplingData[[#This Row],[Span]]</f>
        <v>2272.1154363861529</v>
      </c>
      <c r="AG145" s="100">
        <f>IF(ISNUMBER('General Info'!$B$42), ((SamplingData[[#This Row],[up/U Selection Probability]]) * 'General Info'!$B$44) - 1, 0)</f>
        <v>28.612878910246067</v>
      </c>
      <c r="AH145" s="100">
        <f>IF(ISNUMBER('General Info'!$B$42), (SamplingData[[#This Row],[Running (cumulative) sum]] * ('General Info'!$B$42 -'General Info'!$B$43 + 1)) + 'General Info'!$B$43 - 1, 0)</f>
        <v>2300.7283152963987</v>
      </c>
      <c r="AI145" s="100" t="str">
        <f>IF(ISERROR(MATCH(SamplingData[[#This Row],[Batch by Type (p)]],SelectedPrecincts[Batch Name], 0)), "", INDEX(SelectedPrecincts[Draw], MATCH(SamplingData[[#This Row],[Batch by Type (p)]],SelectedPrecincts[Batch Name], 0)))</f>
        <v/>
      </c>
      <c r="AJ145" s="101">
        <f>IF(COUNTIF(SelectedPrecincts[Batch Name],SamplingData[[#This Row],[Batch by Type (p)]]) &lt;&gt; 0, COUNTIF(SelectedPrecincts[Batch Name],SamplingData[[#This Row],[Batch by Type (p)]]), 0)</f>
        <v>0</v>
      </c>
    </row>
    <row r="146" spans="1:36" ht="15" customHeight="1" x14ac:dyDescent="0.35">
      <c r="A146" s="98" t="s">
        <v>358</v>
      </c>
      <c r="B146" s="98">
        <v>10</v>
      </c>
      <c r="C146" s="98">
        <v>0</v>
      </c>
      <c r="D146" s="93"/>
      <c r="E146" s="93"/>
      <c r="F146" s="93"/>
      <c r="G146" s="97"/>
      <c r="H146" s="97"/>
      <c r="I146" s="93"/>
      <c r="J146" s="93"/>
      <c r="K146" s="93"/>
      <c r="L146" s="93"/>
      <c r="M146" s="93"/>
      <c r="N146" s="98">
        <v>0</v>
      </c>
      <c r="O146" s="98">
        <v>0</v>
      </c>
      <c r="P146" s="99">
        <f>SUM(SamplingData[[#This Row],[Winning Candidate]:[Under Votes]])</f>
        <v>10</v>
      </c>
      <c r="Q146"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146" s="100">
        <f>IF(AND(SamplingData[[#This Row],[Total]]&lt;&gt; 0, NOT(ISBLANK(SamplingData[[#This Row],[Candidate 3]]))),(SamplingData[[#This Row],[Total]]+SamplingData[[#This Row],[Winning Candidate]]-SamplingData[[#This Row],[Candidate 3]])/(SamplingData[[#Totals],[Winning Candidate]]-SamplingData[[#Totals],[Candidate 3]]), 0)</f>
        <v>0</v>
      </c>
      <c r="S146" s="100">
        <f>IF(AND(SamplingData[[#This Row],[Total]]&lt;&gt; 0, NOT(ISBLANK(SamplingData[[#This Row],[Candidate 4]]))),(SamplingData[[#This Row],[Total]]+SamplingData[[#This Row],[Winning Candidate]]-SamplingData[[#This Row],[Candidate 4]])/(SamplingData[[#Totals],[Winning Candidate]]-SamplingData[[#Totals],[Candidate 4]]), 0)</f>
        <v>0</v>
      </c>
      <c r="T146" s="100">
        <f>IF(AND(SamplingData[[#This Row],[Total]]&lt;&gt; 0, NOT(ISBLANK(SamplingData[[#This Row],[Candidate 5]]))),(SamplingData[[#This Row],[Total]]+SamplingData[[#This Row],[Winning Candidate]]-SamplingData[[#This Row],[Candidate 5]])/(SamplingData[[#Totals],[Winning Candidate]]-SamplingData[[#Totals],[Candidate 5]]), 0)</f>
        <v>0</v>
      </c>
      <c r="U146" s="100">
        <f>IF(AND(SamplingData[[#This Row],[Total]]&lt;&gt; 0, NOT(ISBLANK(SamplingData[[#This Row],[Candidate 6]]))),(SamplingData[[#This Row],[Total]]+SamplingData[[#This Row],[Losing Candidate]]-SamplingData[[#This Row],[Candidate 6]])/(SamplingData[[#Totals],[Winning Candidate]]-SamplingData[[#Totals],[Candidate 6]]), 0)</f>
        <v>0</v>
      </c>
      <c r="V146" s="100">
        <f>IF(AND(SamplingData[[#This Row],[Total]]&lt;&gt; 0, NOT(ISBLANK(SamplingData[[#This Row],[Candidate 7]]))),(SamplingData[[#This Row],[Total]]+SamplingData[[#This Row],[Winning Candidate]]-SamplingData[[#This Row],[Candidate 7]])/(SamplingData[[#Totals],[Winning Candidate]]-SamplingData[[#Totals],[Candidate 7]]), 0)</f>
        <v>0</v>
      </c>
      <c r="W146" s="100">
        <f>IF(AND(SamplingData[[#This Row],[Total]]&lt;&gt; 0, NOT(ISBLANK(SamplingData[[#This Row],[Candidate 8]]))),(SamplingData[[#This Row],[Total]]+SamplingData[[#This Row],[Winning Candidate]]-SamplingData[[#This Row],[Candidate 8]])/(SamplingData[[#Totals],[Winning Candidate]]-SamplingData[[#Totals],[Candidate 8]]), 0)</f>
        <v>0</v>
      </c>
      <c r="X1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00">
        <f>MAX(SamplingData[[#This Row],[Error Bound (up) - Max. possible relative overstatement - Losing Candidate]:[Error Bound (up) - Max. possible relative overstatement - Candidate 12]])</f>
        <v>6.2819989320601812E-4</v>
      </c>
      <c r="AC146" s="100">
        <f>IF(SamplingData[[#This Row],[Max Error Bound (up)]] = 0,0,SamplingData[[#This Row],[Max Error Bound (up)]]/SamplingData[[#Totals],[Max Error Bound (up)]])</f>
        <v>2.6920799009314607E-4</v>
      </c>
      <c r="AD146" s="104">
        <f>SUM($AC$5:AC146)</f>
        <v>2.3286491143057135E-2</v>
      </c>
      <c r="AE146" s="100" t="str" cm="1">
        <f t="array" ref="AE146">IF(SamplingData[[#This Row],[up/U Selection Probability]] = 0, "Zero", TEXT(SamplingData[[#This Row],[Lower Range]], REPT("0",LEN('General Info'!$B$42))) &amp; " - " &amp; TEXT(SamplingData[[#This Row],[Upper Range]], REPT("0",LEN('General Info'!$B$42))))</f>
        <v>02302 - 02328</v>
      </c>
      <c r="AF146" s="100">
        <f>SamplingData[[#This Row],[Upper Range]]-SamplingData[[#This Row],[Span]]</f>
        <v>2301.7283152963987</v>
      </c>
      <c r="AG146" s="100">
        <f>IF(ISNUMBER('General Info'!$B$42), ((SamplingData[[#This Row],[up/U Selection Probability]]) * 'General Info'!$B$44) - 1, 0)</f>
        <v>25.920799009314607</v>
      </c>
      <c r="AH146" s="100">
        <f>IF(ISNUMBER('General Info'!$B$42), (SamplingData[[#This Row],[Running (cumulative) sum]] * ('General Info'!$B$42 -'General Info'!$B$43 + 1)) + 'General Info'!$B$43 - 1, 0)</f>
        <v>2327.6491143057133</v>
      </c>
      <c r="AI146" s="100" t="str">
        <f>IF(ISERROR(MATCH(SamplingData[[#This Row],[Batch by Type (p)]],SelectedPrecincts[Batch Name], 0)), "", INDEX(SelectedPrecincts[Draw], MATCH(SamplingData[[#This Row],[Batch by Type (p)]],SelectedPrecincts[Batch Name], 0)))</f>
        <v/>
      </c>
      <c r="AJ146" s="101">
        <f>IF(COUNTIF(SelectedPrecincts[Batch Name],SamplingData[[#This Row],[Batch by Type (p)]]) &lt;&gt; 0, COUNTIF(SelectedPrecincts[Batch Name],SamplingData[[#This Row],[Batch by Type (p)]]), 0)</f>
        <v>0</v>
      </c>
    </row>
    <row r="147" spans="1:36" ht="15" customHeight="1" x14ac:dyDescent="0.35">
      <c r="A147" s="98" t="s">
        <v>359</v>
      </c>
      <c r="B147" s="98">
        <v>4</v>
      </c>
      <c r="C147" s="98">
        <v>1</v>
      </c>
      <c r="D147" s="93"/>
      <c r="E147" s="93"/>
      <c r="F147" s="93"/>
      <c r="G147" s="97"/>
      <c r="H147" s="97"/>
      <c r="I147" s="93"/>
      <c r="J147" s="93"/>
      <c r="K147" s="93"/>
      <c r="L147" s="93"/>
      <c r="M147" s="93"/>
      <c r="N147" s="98">
        <v>0</v>
      </c>
      <c r="O147" s="98">
        <v>0</v>
      </c>
      <c r="P147" s="99">
        <f>SUM(SamplingData[[#This Row],[Winning Candidate]:[Under Votes]])</f>
        <v>5</v>
      </c>
      <c r="Q147"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47" s="100">
        <f>IF(AND(SamplingData[[#This Row],[Total]]&lt;&gt; 0, NOT(ISBLANK(SamplingData[[#This Row],[Candidate 3]]))),(SamplingData[[#This Row],[Total]]+SamplingData[[#This Row],[Winning Candidate]]-SamplingData[[#This Row],[Candidate 3]])/(SamplingData[[#Totals],[Winning Candidate]]-SamplingData[[#Totals],[Candidate 3]]), 0)</f>
        <v>0</v>
      </c>
      <c r="S147" s="100">
        <f>IF(AND(SamplingData[[#This Row],[Total]]&lt;&gt; 0, NOT(ISBLANK(SamplingData[[#This Row],[Candidate 4]]))),(SamplingData[[#This Row],[Total]]+SamplingData[[#This Row],[Winning Candidate]]-SamplingData[[#This Row],[Candidate 4]])/(SamplingData[[#Totals],[Winning Candidate]]-SamplingData[[#Totals],[Candidate 4]]), 0)</f>
        <v>0</v>
      </c>
      <c r="T147" s="100">
        <f>IF(AND(SamplingData[[#This Row],[Total]]&lt;&gt; 0, NOT(ISBLANK(SamplingData[[#This Row],[Candidate 5]]))),(SamplingData[[#This Row],[Total]]+SamplingData[[#This Row],[Winning Candidate]]-SamplingData[[#This Row],[Candidate 5]])/(SamplingData[[#Totals],[Winning Candidate]]-SamplingData[[#Totals],[Candidate 5]]), 0)</f>
        <v>0</v>
      </c>
      <c r="U147" s="100">
        <f>IF(AND(SamplingData[[#This Row],[Total]]&lt;&gt; 0, NOT(ISBLANK(SamplingData[[#This Row],[Candidate 6]]))),(SamplingData[[#This Row],[Total]]+SamplingData[[#This Row],[Losing Candidate]]-SamplingData[[#This Row],[Candidate 6]])/(SamplingData[[#Totals],[Winning Candidate]]-SamplingData[[#Totals],[Candidate 6]]), 0)</f>
        <v>0</v>
      </c>
      <c r="V147" s="100">
        <f>IF(AND(SamplingData[[#This Row],[Total]]&lt;&gt; 0, NOT(ISBLANK(SamplingData[[#This Row],[Candidate 7]]))),(SamplingData[[#This Row],[Total]]+SamplingData[[#This Row],[Winning Candidate]]-SamplingData[[#This Row],[Candidate 7]])/(SamplingData[[#Totals],[Winning Candidate]]-SamplingData[[#Totals],[Candidate 7]]), 0)</f>
        <v>0</v>
      </c>
      <c r="W147" s="100">
        <f>IF(AND(SamplingData[[#This Row],[Total]]&lt;&gt; 0, NOT(ISBLANK(SamplingData[[#This Row],[Candidate 8]]))),(SamplingData[[#This Row],[Total]]+SamplingData[[#This Row],[Winning Candidate]]-SamplingData[[#This Row],[Candidate 8]])/(SamplingData[[#Totals],[Winning Candidate]]-SamplingData[[#Totals],[Candidate 8]]), 0)</f>
        <v>0</v>
      </c>
      <c r="X1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00">
        <f>MAX(SamplingData[[#This Row],[Error Bound (up) - Max. possible relative overstatement - Losing Candidate]:[Error Bound (up) - Max. possible relative overstatement - Candidate 12]])</f>
        <v>2.5127995728240724E-4</v>
      </c>
      <c r="AC147" s="100">
        <f>IF(SamplingData[[#This Row],[Max Error Bound (up)]] = 0,0,SamplingData[[#This Row],[Max Error Bound (up)]]/SamplingData[[#Totals],[Max Error Bound (up)]])</f>
        <v>1.0768319603725841E-4</v>
      </c>
      <c r="AD147" s="104">
        <f>SUM($AC$5:AC147)</f>
        <v>2.3394174339094395E-2</v>
      </c>
      <c r="AE147" s="100" t="str" cm="1">
        <f t="array" ref="AE147">IF(SamplingData[[#This Row],[up/U Selection Probability]] = 0, "Zero", TEXT(SamplingData[[#This Row],[Lower Range]], REPT("0",LEN('General Info'!$B$42))) &amp; " - " &amp; TEXT(SamplingData[[#This Row],[Upper Range]], REPT("0",LEN('General Info'!$B$42))))</f>
        <v>02329 - 02338</v>
      </c>
      <c r="AF147" s="100">
        <f>SamplingData[[#This Row],[Upper Range]]-SamplingData[[#This Row],[Span]]</f>
        <v>2328.6491143057133</v>
      </c>
      <c r="AG147" s="100">
        <f>IF(ISNUMBER('General Info'!$B$42), ((SamplingData[[#This Row],[up/U Selection Probability]]) * 'General Info'!$B$44) - 1, 0)</f>
        <v>9.7683196037258408</v>
      </c>
      <c r="AH147" s="100">
        <f>IF(ISNUMBER('General Info'!$B$42), (SamplingData[[#This Row],[Running (cumulative) sum]] * ('General Info'!$B$42 -'General Info'!$B$43 + 1)) + 'General Info'!$B$43 - 1, 0)</f>
        <v>2338.4174339094393</v>
      </c>
      <c r="AI147" s="100" t="str">
        <f>IF(ISERROR(MATCH(SamplingData[[#This Row],[Batch by Type (p)]],SelectedPrecincts[Batch Name], 0)), "", INDEX(SelectedPrecincts[Draw], MATCH(SamplingData[[#This Row],[Batch by Type (p)]],SelectedPrecincts[Batch Name], 0)))</f>
        <v/>
      </c>
      <c r="AJ147" s="101">
        <f>IF(COUNTIF(SelectedPrecincts[Batch Name],SamplingData[[#This Row],[Batch by Type (p)]]) &lt;&gt; 0, COUNTIF(SelectedPrecincts[Batch Name],SamplingData[[#This Row],[Batch by Type (p)]]), 0)</f>
        <v>0</v>
      </c>
    </row>
    <row r="148" spans="1:36" ht="15" customHeight="1" x14ac:dyDescent="0.35">
      <c r="A148" s="98" t="s">
        <v>360</v>
      </c>
      <c r="B148" s="98">
        <v>0</v>
      </c>
      <c r="C148" s="98">
        <v>0</v>
      </c>
      <c r="D148" s="93"/>
      <c r="E148" s="93"/>
      <c r="F148" s="93"/>
      <c r="G148" s="97"/>
      <c r="H148" s="97"/>
      <c r="I148" s="93"/>
      <c r="J148" s="93"/>
      <c r="K148" s="93"/>
      <c r="L148" s="93"/>
      <c r="M148" s="93"/>
      <c r="N148" s="98">
        <v>0</v>
      </c>
      <c r="O148" s="98">
        <v>0</v>
      </c>
      <c r="P148" s="99">
        <f>SUM(SamplingData[[#This Row],[Winning Candidate]:[Under Votes]])</f>
        <v>0</v>
      </c>
      <c r="Q148" s="100">
        <f>IF(AND(SamplingData[[#This Row],[Total]]&lt;&gt; 0, NOT(ISBLANK(SamplingData[[#This Row],[Losing Candidate]]))),(SamplingData[[#This Row],[Total]]+SamplingData[[#This Row],[Winning Candidate]]-SamplingData[[#This Row],[Losing Candidate]])/(SamplingData[[#Totals],[Winning Candidate]]-SamplingData[[#Totals],[Losing Candidate]]), 0)</f>
        <v>0</v>
      </c>
      <c r="R148" s="100">
        <f>IF(AND(SamplingData[[#This Row],[Total]]&lt;&gt; 0, NOT(ISBLANK(SamplingData[[#This Row],[Candidate 3]]))),(SamplingData[[#This Row],[Total]]+SamplingData[[#This Row],[Winning Candidate]]-SamplingData[[#This Row],[Candidate 3]])/(SamplingData[[#Totals],[Winning Candidate]]-SamplingData[[#Totals],[Candidate 3]]), 0)</f>
        <v>0</v>
      </c>
      <c r="S148" s="100">
        <f>IF(AND(SamplingData[[#This Row],[Total]]&lt;&gt; 0, NOT(ISBLANK(SamplingData[[#This Row],[Candidate 4]]))),(SamplingData[[#This Row],[Total]]+SamplingData[[#This Row],[Winning Candidate]]-SamplingData[[#This Row],[Candidate 4]])/(SamplingData[[#Totals],[Winning Candidate]]-SamplingData[[#Totals],[Candidate 4]]), 0)</f>
        <v>0</v>
      </c>
      <c r="T148" s="100">
        <f>IF(AND(SamplingData[[#This Row],[Total]]&lt;&gt; 0, NOT(ISBLANK(SamplingData[[#This Row],[Candidate 5]]))),(SamplingData[[#This Row],[Total]]+SamplingData[[#This Row],[Winning Candidate]]-SamplingData[[#This Row],[Candidate 5]])/(SamplingData[[#Totals],[Winning Candidate]]-SamplingData[[#Totals],[Candidate 5]]), 0)</f>
        <v>0</v>
      </c>
      <c r="U148" s="100">
        <f>IF(AND(SamplingData[[#This Row],[Total]]&lt;&gt; 0, NOT(ISBLANK(SamplingData[[#This Row],[Candidate 6]]))),(SamplingData[[#This Row],[Total]]+SamplingData[[#This Row],[Losing Candidate]]-SamplingData[[#This Row],[Candidate 6]])/(SamplingData[[#Totals],[Winning Candidate]]-SamplingData[[#Totals],[Candidate 6]]), 0)</f>
        <v>0</v>
      </c>
      <c r="V148" s="100">
        <f>IF(AND(SamplingData[[#This Row],[Total]]&lt;&gt; 0, NOT(ISBLANK(SamplingData[[#This Row],[Candidate 7]]))),(SamplingData[[#This Row],[Total]]+SamplingData[[#This Row],[Winning Candidate]]-SamplingData[[#This Row],[Candidate 7]])/(SamplingData[[#Totals],[Winning Candidate]]-SamplingData[[#Totals],[Candidate 7]]), 0)</f>
        <v>0</v>
      </c>
      <c r="W148" s="100">
        <f>IF(AND(SamplingData[[#This Row],[Total]]&lt;&gt; 0, NOT(ISBLANK(SamplingData[[#This Row],[Candidate 8]]))),(SamplingData[[#This Row],[Total]]+SamplingData[[#This Row],[Winning Candidate]]-SamplingData[[#This Row],[Candidate 8]])/(SamplingData[[#Totals],[Winning Candidate]]-SamplingData[[#Totals],[Candidate 8]]), 0)</f>
        <v>0</v>
      </c>
      <c r="X1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00">
        <f>MAX(SamplingData[[#This Row],[Error Bound (up) - Max. possible relative overstatement - Losing Candidate]:[Error Bound (up) - Max. possible relative overstatement - Candidate 12]])</f>
        <v>0</v>
      </c>
      <c r="AC148" s="100">
        <f>IF(SamplingData[[#This Row],[Max Error Bound (up)]] = 0,0,SamplingData[[#This Row],[Max Error Bound (up)]]/SamplingData[[#Totals],[Max Error Bound (up)]])</f>
        <v>0</v>
      </c>
      <c r="AD148" s="104">
        <f>SUM($AC$5:AC148)</f>
        <v>2.3394174339094395E-2</v>
      </c>
      <c r="AE148" s="100" t="str" cm="1">
        <f t="array" ref="AE148">IF(SamplingData[[#This Row],[up/U Selection Probability]] = 0, "Zero", TEXT(SamplingData[[#This Row],[Lower Range]], REPT("0",LEN('General Info'!$B$42))) &amp; " - " &amp; TEXT(SamplingData[[#This Row],[Upper Range]], REPT("0",LEN('General Info'!$B$42))))</f>
        <v>Zero</v>
      </c>
      <c r="AF148" s="100">
        <f>SamplingData[[#This Row],[Upper Range]]-SamplingData[[#This Row],[Span]]</f>
        <v>2339.4174339094393</v>
      </c>
      <c r="AG148" s="100">
        <f>IF(ISNUMBER('General Info'!$B$42), ((SamplingData[[#This Row],[up/U Selection Probability]]) * 'General Info'!$B$44) - 1, 0)</f>
        <v>-1</v>
      </c>
      <c r="AH148" s="100">
        <f>IF(ISNUMBER('General Info'!$B$42), (SamplingData[[#This Row],[Running (cumulative) sum]] * ('General Info'!$B$42 -'General Info'!$B$43 + 1)) + 'General Info'!$B$43 - 1, 0)</f>
        <v>2338.4174339094393</v>
      </c>
      <c r="AI148" s="100" t="str">
        <f>IF(ISERROR(MATCH(SamplingData[[#This Row],[Batch by Type (p)]],SelectedPrecincts[Batch Name], 0)), "", INDEX(SelectedPrecincts[Draw], MATCH(SamplingData[[#This Row],[Batch by Type (p)]],SelectedPrecincts[Batch Name], 0)))</f>
        <v/>
      </c>
      <c r="AJ148" s="101">
        <f>IF(COUNTIF(SelectedPrecincts[Batch Name],SamplingData[[#This Row],[Batch by Type (p)]]) &lt;&gt; 0, COUNTIF(SelectedPrecincts[Batch Name],SamplingData[[#This Row],[Batch by Type (p)]]), 0)</f>
        <v>0</v>
      </c>
    </row>
    <row r="149" spans="1:36" ht="15" customHeight="1" x14ac:dyDescent="0.35">
      <c r="A149" s="98" t="s">
        <v>361</v>
      </c>
      <c r="B149" s="98">
        <v>13</v>
      </c>
      <c r="C149" s="98">
        <v>0</v>
      </c>
      <c r="D149" s="93"/>
      <c r="E149" s="93"/>
      <c r="F149" s="93"/>
      <c r="G149" s="97"/>
      <c r="H149" s="97"/>
      <c r="I149" s="93"/>
      <c r="J149" s="93"/>
      <c r="K149" s="93"/>
      <c r="L149" s="93"/>
      <c r="M149" s="93"/>
      <c r="N149" s="98">
        <v>0</v>
      </c>
      <c r="O149" s="98">
        <v>0</v>
      </c>
      <c r="P149" s="99">
        <f>SUM(SamplingData[[#This Row],[Winning Candidate]:[Under Votes]])</f>
        <v>13</v>
      </c>
      <c r="Q149"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149" s="100">
        <f>IF(AND(SamplingData[[#This Row],[Total]]&lt;&gt; 0, NOT(ISBLANK(SamplingData[[#This Row],[Candidate 3]]))),(SamplingData[[#This Row],[Total]]+SamplingData[[#This Row],[Winning Candidate]]-SamplingData[[#This Row],[Candidate 3]])/(SamplingData[[#Totals],[Winning Candidate]]-SamplingData[[#Totals],[Candidate 3]]), 0)</f>
        <v>0</v>
      </c>
      <c r="S149" s="100">
        <f>IF(AND(SamplingData[[#This Row],[Total]]&lt;&gt; 0, NOT(ISBLANK(SamplingData[[#This Row],[Candidate 4]]))),(SamplingData[[#This Row],[Total]]+SamplingData[[#This Row],[Winning Candidate]]-SamplingData[[#This Row],[Candidate 4]])/(SamplingData[[#Totals],[Winning Candidate]]-SamplingData[[#Totals],[Candidate 4]]), 0)</f>
        <v>0</v>
      </c>
      <c r="T149" s="100">
        <f>IF(AND(SamplingData[[#This Row],[Total]]&lt;&gt; 0, NOT(ISBLANK(SamplingData[[#This Row],[Candidate 5]]))),(SamplingData[[#This Row],[Total]]+SamplingData[[#This Row],[Winning Candidate]]-SamplingData[[#This Row],[Candidate 5]])/(SamplingData[[#Totals],[Winning Candidate]]-SamplingData[[#Totals],[Candidate 5]]), 0)</f>
        <v>0</v>
      </c>
      <c r="U149" s="100">
        <f>IF(AND(SamplingData[[#This Row],[Total]]&lt;&gt; 0, NOT(ISBLANK(SamplingData[[#This Row],[Candidate 6]]))),(SamplingData[[#This Row],[Total]]+SamplingData[[#This Row],[Losing Candidate]]-SamplingData[[#This Row],[Candidate 6]])/(SamplingData[[#Totals],[Winning Candidate]]-SamplingData[[#Totals],[Candidate 6]]), 0)</f>
        <v>0</v>
      </c>
      <c r="V149" s="100">
        <f>IF(AND(SamplingData[[#This Row],[Total]]&lt;&gt; 0, NOT(ISBLANK(SamplingData[[#This Row],[Candidate 7]]))),(SamplingData[[#This Row],[Total]]+SamplingData[[#This Row],[Winning Candidate]]-SamplingData[[#This Row],[Candidate 7]])/(SamplingData[[#Totals],[Winning Candidate]]-SamplingData[[#Totals],[Candidate 7]]), 0)</f>
        <v>0</v>
      </c>
      <c r="W149" s="100">
        <f>IF(AND(SamplingData[[#This Row],[Total]]&lt;&gt; 0, NOT(ISBLANK(SamplingData[[#This Row],[Candidate 8]]))),(SamplingData[[#This Row],[Total]]+SamplingData[[#This Row],[Winning Candidate]]-SamplingData[[#This Row],[Candidate 8]])/(SamplingData[[#Totals],[Winning Candidate]]-SamplingData[[#Totals],[Candidate 8]]), 0)</f>
        <v>0</v>
      </c>
      <c r="X1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00">
        <f>MAX(SamplingData[[#This Row],[Error Bound (up) - Max. possible relative overstatement - Losing Candidate]:[Error Bound (up) - Max. possible relative overstatement - Candidate 12]])</f>
        <v>8.1665986116782364E-4</v>
      </c>
      <c r="AC149" s="100">
        <f>IF(SamplingData[[#This Row],[Max Error Bound (up)]] = 0,0,SamplingData[[#This Row],[Max Error Bound (up)]]/SamplingData[[#Totals],[Max Error Bound (up)]])</f>
        <v>3.4997038712108992E-4</v>
      </c>
      <c r="AD149" s="104">
        <f>SUM($AC$5:AC149)</f>
        <v>2.3744144726215485E-2</v>
      </c>
      <c r="AE149" s="100" t="str" cm="1">
        <f t="array" ref="AE149">IF(SamplingData[[#This Row],[up/U Selection Probability]] = 0, "Zero", TEXT(SamplingData[[#This Row],[Lower Range]], REPT("0",LEN('General Info'!$B$42))) &amp; " - " &amp; TEXT(SamplingData[[#This Row],[Upper Range]], REPT("0",LEN('General Info'!$B$42))))</f>
        <v>02339 - 02373</v>
      </c>
      <c r="AF149" s="100">
        <f>SamplingData[[#This Row],[Upper Range]]-SamplingData[[#This Row],[Span]]</f>
        <v>2339.4174339094398</v>
      </c>
      <c r="AG149" s="100">
        <f>IF(ISNUMBER('General Info'!$B$42), ((SamplingData[[#This Row],[up/U Selection Probability]]) * 'General Info'!$B$44) - 1, 0)</f>
        <v>33.997038712108989</v>
      </c>
      <c r="AH149" s="100">
        <f>IF(ISNUMBER('General Info'!$B$42), (SamplingData[[#This Row],[Running (cumulative) sum]] * ('General Info'!$B$42 -'General Info'!$B$43 + 1)) + 'General Info'!$B$43 - 1, 0)</f>
        <v>2373.4144726215486</v>
      </c>
      <c r="AI149" s="100" t="str">
        <f>IF(ISERROR(MATCH(SamplingData[[#This Row],[Batch by Type (p)]],SelectedPrecincts[Batch Name], 0)), "", INDEX(SelectedPrecincts[Draw], MATCH(SamplingData[[#This Row],[Batch by Type (p)]],SelectedPrecincts[Batch Name], 0)))</f>
        <v/>
      </c>
      <c r="AJ149" s="101">
        <f>IF(COUNTIF(SelectedPrecincts[Batch Name],SamplingData[[#This Row],[Batch by Type (p)]]) &lt;&gt; 0, COUNTIF(SelectedPrecincts[Batch Name],SamplingData[[#This Row],[Batch by Type (p)]]), 0)</f>
        <v>0</v>
      </c>
    </row>
    <row r="150" spans="1:36" ht="15" customHeight="1" x14ac:dyDescent="0.35">
      <c r="A150" s="98" t="s">
        <v>362</v>
      </c>
      <c r="B150" s="98">
        <v>5</v>
      </c>
      <c r="C150" s="98">
        <v>0</v>
      </c>
      <c r="D150" s="93"/>
      <c r="E150" s="93"/>
      <c r="F150" s="93"/>
      <c r="G150" s="97"/>
      <c r="H150" s="97"/>
      <c r="I150" s="93"/>
      <c r="J150" s="93"/>
      <c r="K150" s="93"/>
      <c r="L150" s="93"/>
      <c r="M150" s="93"/>
      <c r="N150" s="98">
        <v>0</v>
      </c>
      <c r="O150" s="98">
        <v>0</v>
      </c>
      <c r="P150" s="99">
        <f>SUM(SamplingData[[#This Row],[Winning Candidate]:[Under Votes]])</f>
        <v>5</v>
      </c>
      <c r="Q150"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150" s="100">
        <f>IF(AND(SamplingData[[#This Row],[Total]]&lt;&gt; 0, NOT(ISBLANK(SamplingData[[#This Row],[Candidate 3]]))),(SamplingData[[#This Row],[Total]]+SamplingData[[#This Row],[Winning Candidate]]-SamplingData[[#This Row],[Candidate 3]])/(SamplingData[[#Totals],[Winning Candidate]]-SamplingData[[#Totals],[Candidate 3]]), 0)</f>
        <v>0</v>
      </c>
      <c r="S150" s="100">
        <f>IF(AND(SamplingData[[#This Row],[Total]]&lt;&gt; 0, NOT(ISBLANK(SamplingData[[#This Row],[Candidate 4]]))),(SamplingData[[#This Row],[Total]]+SamplingData[[#This Row],[Winning Candidate]]-SamplingData[[#This Row],[Candidate 4]])/(SamplingData[[#Totals],[Winning Candidate]]-SamplingData[[#Totals],[Candidate 4]]), 0)</f>
        <v>0</v>
      </c>
      <c r="T150" s="100">
        <f>IF(AND(SamplingData[[#This Row],[Total]]&lt;&gt; 0, NOT(ISBLANK(SamplingData[[#This Row],[Candidate 5]]))),(SamplingData[[#This Row],[Total]]+SamplingData[[#This Row],[Winning Candidate]]-SamplingData[[#This Row],[Candidate 5]])/(SamplingData[[#Totals],[Winning Candidate]]-SamplingData[[#Totals],[Candidate 5]]), 0)</f>
        <v>0</v>
      </c>
      <c r="U150" s="100">
        <f>IF(AND(SamplingData[[#This Row],[Total]]&lt;&gt; 0, NOT(ISBLANK(SamplingData[[#This Row],[Candidate 6]]))),(SamplingData[[#This Row],[Total]]+SamplingData[[#This Row],[Losing Candidate]]-SamplingData[[#This Row],[Candidate 6]])/(SamplingData[[#Totals],[Winning Candidate]]-SamplingData[[#Totals],[Candidate 6]]), 0)</f>
        <v>0</v>
      </c>
      <c r="V150" s="100">
        <f>IF(AND(SamplingData[[#This Row],[Total]]&lt;&gt; 0, NOT(ISBLANK(SamplingData[[#This Row],[Candidate 7]]))),(SamplingData[[#This Row],[Total]]+SamplingData[[#This Row],[Winning Candidate]]-SamplingData[[#This Row],[Candidate 7]])/(SamplingData[[#Totals],[Winning Candidate]]-SamplingData[[#Totals],[Candidate 7]]), 0)</f>
        <v>0</v>
      </c>
      <c r="W150" s="100">
        <f>IF(AND(SamplingData[[#This Row],[Total]]&lt;&gt; 0, NOT(ISBLANK(SamplingData[[#This Row],[Candidate 8]]))),(SamplingData[[#This Row],[Total]]+SamplingData[[#This Row],[Winning Candidate]]-SamplingData[[#This Row],[Candidate 8]])/(SamplingData[[#Totals],[Winning Candidate]]-SamplingData[[#Totals],[Candidate 8]]), 0)</f>
        <v>0</v>
      </c>
      <c r="X1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00">
        <f>MAX(SamplingData[[#This Row],[Error Bound (up) - Max. possible relative overstatement - Losing Candidate]:[Error Bound (up) - Max. possible relative overstatement - Candidate 12]])</f>
        <v>3.1409994660300906E-4</v>
      </c>
      <c r="AC150" s="100">
        <f>IF(SamplingData[[#This Row],[Max Error Bound (up)]] = 0,0,SamplingData[[#This Row],[Max Error Bound (up)]]/SamplingData[[#Totals],[Max Error Bound (up)]])</f>
        <v>1.3460399504657304E-4</v>
      </c>
      <c r="AD150" s="104">
        <f>SUM($AC$5:AC150)</f>
        <v>2.3878748721262059E-2</v>
      </c>
      <c r="AE150" s="100" t="str" cm="1">
        <f t="array" ref="AE150">IF(SamplingData[[#This Row],[up/U Selection Probability]] = 0, "Zero", TEXT(SamplingData[[#This Row],[Lower Range]], REPT("0",LEN('General Info'!$B$42))) &amp; " - " &amp; TEXT(SamplingData[[#This Row],[Upper Range]], REPT("0",LEN('General Info'!$B$42))))</f>
        <v>02374 - 02387</v>
      </c>
      <c r="AF150" s="100">
        <f>SamplingData[[#This Row],[Upper Range]]-SamplingData[[#This Row],[Span]]</f>
        <v>2374.4144726215486</v>
      </c>
      <c r="AG150" s="100">
        <f>IF(ISNUMBER('General Info'!$B$42), ((SamplingData[[#This Row],[up/U Selection Probability]]) * 'General Info'!$B$44) - 1, 0)</f>
        <v>12.460399504657303</v>
      </c>
      <c r="AH150" s="100">
        <f>IF(ISNUMBER('General Info'!$B$42), (SamplingData[[#This Row],[Running (cumulative) sum]] * ('General Info'!$B$42 -'General Info'!$B$43 + 1)) + 'General Info'!$B$43 - 1, 0)</f>
        <v>2386.8748721262059</v>
      </c>
      <c r="AI150" s="100" t="str">
        <f>IF(ISERROR(MATCH(SamplingData[[#This Row],[Batch by Type (p)]],SelectedPrecincts[Batch Name], 0)), "", INDEX(SelectedPrecincts[Draw], MATCH(SamplingData[[#This Row],[Batch by Type (p)]],SelectedPrecincts[Batch Name], 0)))</f>
        <v/>
      </c>
      <c r="AJ150" s="101">
        <f>IF(COUNTIF(SelectedPrecincts[Batch Name],SamplingData[[#This Row],[Batch by Type (p)]]) &lt;&gt; 0, COUNTIF(SelectedPrecincts[Batch Name],SamplingData[[#This Row],[Batch by Type (p)]]), 0)</f>
        <v>0</v>
      </c>
    </row>
    <row r="151" spans="1:36" ht="15" customHeight="1" x14ac:dyDescent="0.35">
      <c r="A151" s="98" t="s">
        <v>363</v>
      </c>
      <c r="B151" s="98">
        <v>11</v>
      </c>
      <c r="C151" s="98">
        <v>3</v>
      </c>
      <c r="D151" s="93"/>
      <c r="E151" s="93"/>
      <c r="F151" s="93"/>
      <c r="G151" s="97"/>
      <c r="H151" s="97"/>
      <c r="I151" s="93"/>
      <c r="J151" s="93"/>
      <c r="K151" s="93"/>
      <c r="L151" s="93"/>
      <c r="M151" s="93"/>
      <c r="N151" s="98">
        <v>0</v>
      </c>
      <c r="O151" s="98">
        <v>0</v>
      </c>
      <c r="P151" s="99">
        <f>SUM(SamplingData[[#This Row],[Winning Candidate]:[Under Votes]])</f>
        <v>14</v>
      </c>
      <c r="Q151"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151" s="100">
        <f>IF(AND(SamplingData[[#This Row],[Total]]&lt;&gt; 0, NOT(ISBLANK(SamplingData[[#This Row],[Candidate 3]]))),(SamplingData[[#This Row],[Total]]+SamplingData[[#This Row],[Winning Candidate]]-SamplingData[[#This Row],[Candidate 3]])/(SamplingData[[#Totals],[Winning Candidate]]-SamplingData[[#Totals],[Candidate 3]]), 0)</f>
        <v>0</v>
      </c>
      <c r="S151" s="100">
        <f>IF(AND(SamplingData[[#This Row],[Total]]&lt;&gt; 0, NOT(ISBLANK(SamplingData[[#This Row],[Candidate 4]]))),(SamplingData[[#This Row],[Total]]+SamplingData[[#This Row],[Winning Candidate]]-SamplingData[[#This Row],[Candidate 4]])/(SamplingData[[#Totals],[Winning Candidate]]-SamplingData[[#Totals],[Candidate 4]]), 0)</f>
        <v>0</v>
      </c>
      <c r="T151" s="100">
        <f>IF(AND(SamplingData[[#This Row],[Total]]&lt;&gt; 0, NOT(ISBLANK(SamplingData[[#This Row],[Candidate 5]]))),(SamplingData[[#This Row],[Total]]+SamplingData[[#This Row],[Winning Candidate]]-SamplingData[[#This Row],[Candidate 5]])/(SamplingData[[#Totals],[Winning Candidate]]-SamplingData[[#Totals],[Candidate 5]]), 0)</f>
        <v>0</v>
      </c>
      <c r="U151" s="100">
        <f>IF(AND(SamplingData[[#This Row],[Total]]&lt;&gt; 0, NOT(ISBLANK(SamplingData[[#This Row],[Candidate 6]]))),(SamplingData[[#This Row],[Total]]+SamplingData[[#This Row],[Losing Candidate]]-SamplingData[[#This Row],[Candidate 6]])/(SamplingData[[#Totals],[Winning Candidate]]-SamplingData[[#Totals],[Candidate 6]]), 0)</f>
        <v>0</v>
      </c>
      <c r="V151" s="100">
        <f>IF(AND(SamplingData[[#This Row],[Total]]&lt;&gt; 0, NOT(ISBLANK(SamplingData[[#This Row],[Candidate 7]]))),(SamplingData[[#This Row],[Total]]+SamplingData[[#This Row],[Winning Candidate]]-SamplingData[[#This Row],[Candidate 7]])/(SamplingData[[#Totals],[Winning Candidate]]-SamplingData[[#Totals],[Candidate 7]]), 0)</f>
        <v>0</v>
      </c>
      <c r="W151" s="100">
        <f>IF(AND(SamplingData[[#This Row],[Total]]&lt;&gt; 0, NOT(ISBLANK(SamplingData[[#This Row],[Candidate 8]]))),(SamplingData[[#This Row],[Total]]+SamplingData[[#This Row],[Winning Candidate]]-SamplingData[[#This Row],[Candidate 8]])/(SamplingData[[#Totals],[Winning Candidate]]-SamplingData[[#Totals],[Candidate 8]]), 0)</f>
        <v>0</v>
      </c>
      <c r="X1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00">
        <f>MAX(SamplingData[[#This Row],[Error Bound (up) - Max. possible relative overstatement - Losing Candidate]:[Error Bound (up) - Max. possible relative overstatement - Candidate 12]])</f>
        <v>6.9101988252662E-4</v>
      </c>
      <c r="AC151" s="100">
        <f>IF(SamplingData[[#This Row],[Max Error Bound (up)]] = 0,0,SamplingData[[#This Row],[Max Error Bound (up)]]/SamplingData[[#Totals],[Max Error Bound (up)]])</f>
        <v>2.9612878910246067E-4</v>
      </c>
      <c r="AD151" s="104">
        <f>SUM($AC$5:AC151)</f>
        <v>2.4174877510364519E-2</v>
      </c>
      <c r="AE151" s="100" t="str" cm="1">
        <f t="array" ref="AE151">IF(SamplingData[[#This Row],[up/U Selection Probability]] = 0, "Zero", TEXT(SamplingData[[#This Row],[Lower Range]], REPT("0",LEN('General Info'!$B$42))) &amp; " - " &amp; TEXT(SamplingData[[#This Row],[Upper Range]], REPT("0",LEN('General Info'!$B$42))))</f>
        <v>02388 - 02416</v>
      </c>
      <c r="AF151" s="100">
        <f>SamplingData[[#This Row],[Upper Range]]-SamplingData[[#This Row],[Span]]</f>
        <v>2387.8748721262059</v>
      </c>
      <c r="AG151" s="100">
        <f>IF(ISNUMBER('General Info'!$B$42), ((SamplingData[[#This Row],[up/U Selection Probability]]) * 'General Info'!$B$44) - 1, 0)</f>
        <v>28.612878910246067</v>
      </c>
      <c r="AH151" s="100">
        <f>IF(ISNUMBER('General Info'!$B$42), (SamplingData[[#This Row],[Running (cumulative) sum]] * ('General Info'!$B$42 -'General Info'!$B$43 + 1)) + 'General Info'!$B$43 - 1, 0)</f>
        <v>2416.4877510364518</v>
      </c>
      <c r="AI151" s="100" t="str">
        <f>IF(ISERROR(MATCH(SamplingData[[#This Row],[Batch by Type (p)]],SelectedPrecincts[Batch Name], 0)), "", INDEX(SelectedPrecincts[Draw], MATCH(SamplingData[[#This Row],[Batch by Type (p)]],SelectedPrecincts[Batch Name], 0)))</f>
        <v/>
      </c>
      <c r="AJ151" s="101">
        <f>IF(COUNTIF(SelectedPrecincts[Batch Name],SamplingData[[#This Row],[Batch by Type (p)]]) &lt;&gt; 0, COUNTIF(SelectedPrecincts[Batch Name],SamplingData[[#This Row],[Batch by Type (p)]]), 0)</f>
        <v>0</v>
      </c>
    </row>
    <row r="152" spans="1:36" ht="15" customHeight="1" x14ac:dyDescent="0.35">
      <c r="A152" s="98" t="s">
        <v>364</v>
      </c>
      <c r="B152" s="98">
        <v>15</v>
      </c>
      <c r="C152" s="98">
        <v>1</v>
      </c>
      <c r="D152" s="93"/>
      <c r="E152" s="93"/>
      <c r="F152" s="93"/>
      <c r="G152" s="97"/>
      <c r="H152" s="97"/>
      <c r="I152" s="93"/>
      <c r="J152" s="93"/>
      <c r="K152" s="93"/>
      <c r="L152" s="93"/>
      <c r="M152" s="93"/>
      <c r="N152" s="98">
        <v>0</v>
      </c>
      <c r="O152" s="98">
        <v>0</v>
      </c>
      <c r="P152" s="99">
        <f>SUM(SamplingData[[#This Row],[Winning Candidate]:[Under Votes]])</f>
        <v>16</v>
      </c>
      <c r="Q152"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152" s="100">
        <f>IF(AND(SamplingData[[#This Row],[Total]]&lt;&gt; 0, NOT(ISBLANK(SamplingData[[#This Row],[Candidate 3]]))),(SamplingData[[#This Row],[Total]]+SamplingData[[#This Row],[Winning Candidate]]-SamplingData[[#This Row],[Candidate 3]])/(SamplingData[[#Totals],[Winning Candidate]]-SamplingData[[#Totals],[Candidate 3]]), 0)</f>
        <v>0</v>
      </c>
      <c r="S152" s="100">
        <f>IF(AND(SamplingData[[#This Row],[Total]]&lt;&gt; 0, NOT(ISBLANK(SamplingData[[#This Row],[Candidate 4]]))),(SamplingData[[#This Row],[Total]]+SamplingData[[#This Row],[Winning Candidate]]-SamplingData[[#This Row],[Candidate 4]])/(SamplingData[[#Totals],[Winning Candidate]]-SamplingData[[#Totals],[Candidate 4]]), 0)</f>
        <v>0</v>
      </c>
      <c r="T152" s="100">
        <f>IF(AND(SamplingData[[#This Row],[Total]]&lt;&gt; 0, NOT(ISBLANK(SamplingData[[#This Row],[Candidate 5]]))),(SamplingData[[#This Row],[Total]]+SamplingData[[#This Row],[Winning Candidate]]-SamplingData[[#This Row],[Candidate 5]])/(SamplingData[[#Totals],[Winning Candidate]]-SamplingData[[#Totals],[Candidate 5]]), 0)</f>
        <v>0</v>
      </c>
      <c r="U152" s="100">
        <f>IF(AND(SamplingData[[#This Row],[Total]]&lt;&gt; 0, NOT(ISBLANK(SamplingData[[#This Row],[Candidate 6]]))),(SamplingData[[#This Row],[Total]]+SamplingData[[#This Row],[Losing Candidate]]-SamplingData[[#This Row],[Candidate 6]])/(SamplingData[[#Totals],[Winning Candidate]]-SamplingData[[#Totals],[Candidate 6]]), 0)</f>
        <v>0</v>
      </c>
      <c r="V152" s="100">
        <f>IF(AND(SamplingData[[#This Row],[Total]]&lt;&gt; 0, NOT(ISBLANK(SamplingData[[#This Row],[Candidate 7]]))),(SamplingData[[#This Row],[Total]]+SamplingData[[#This Row],[Winning Candidate]]-SamplingData[[#This Row],[Candidate 7]])/(SamplingData[[#Totals],[Winning Candidate]]-SamplingData[[#Totals],[Candidate 7]]), 0)</f>
        <v>0</v>
      </c>
      <c r="W152" s="100">
        <f>IF(AND(SamplingData[[#This Row],[Total]]&lt;&gt; 0, NOT(ISBLANK(SamplingData[[#This Row],[Candidate 8]]))),(SamplingData[[#This Row],[Total]]+SamplingData[[#This Row],[Winning Candidate]]-SamplingData[[#This Row],[Candidate 8]])/(SamplingData[[#Totals],[Winning Candidate]]-SamplingData[[#Totals],[Candidate 8]]), 0)</f>
        <v>0</v>
      </c>
      <c r="X1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00">
        <f>MAX(SamplingData[[#This Row],[Error Bound (up) - Max. possible relative overstatement - Losing Candidate]:[Error Bound (up) - Max. possible relative overstatement - Candidate 12]])</f>
        <v>9.4229983980902718E-4</v>
      </c>
      <c r="AC152" s="100">
        <f>IF(SamplingData[[#This Row],[Max Error Bound (up)]] = 0,0,SamplingData[[#This Row],[Max Error Bound (up)]]/SamplingData[[#Totals],[Max Error Bound (up)]])</f>
        <v>4.0381198513971905E-4</v>
      </c>
      <c r="AD152" s="104">
        <f>SUM($AC$5:AC152)</f>
        <v>2.4578689495504239E-2</v>
      </c>
      <c r="AE152" s="100" t="str" cm="1">
        <f t="array" ref="AE152">IF(SamplingData[[#This Row],[up/U Selection Probability]] = 0, "Zero", TEXT(SamplingData[[#This Row],[Lower Range]], REPT("0",LEN('General Info'!$B$42))) &amp; " - " &amp; TEXT(SamplingData[[#This Row],[Upper Range]], REPT("0",LEN('General Info'!$B$42))))</f>
        <v>02417 - 02457</v>
      </c>
      <c r="AF152" s="100">
        <f>SamplingData[[#This Row],[Upper Range]]-SamplingData[[#This Row],[Span]]</f>
        <v>2417.4877510364522</v>
      </c>
      <c r="AG152" s="100">
        <f>IF(ISNUMBER('General Info'!$B$42), ((SamplingData[[#This Row],[up/U Selection Probability]]) * 'General Info'!$B$44) - 1, 0)</f>
        <v>39.381198513971903</v>
      </c>
      <c r="AH152" s="100">
        <f>IF(ISNUMBER('General Info'!$B$42), (SamplingData[[#This Row],[Running (cumulative) sum]] * ('General Info'!$B$42 -'General Info'!$B$43 + 1)) + 'General Info'!$B$43 - 1, 0)</f>
        <v>2456.8689495504241</v>
      </c>
      <c r="AI152" s="100" t="str">
        <f>IF(ISERROR(MATCH(SamplingData[[#This Row],[Batch by Type (p)]],SelectedPrecincts[Batch Name], 0)), "", INDEX(SelectedPrecincts[Draw], MATCH(SamplingData[[#This Row],[Batch by Type (p)]],SelectedPrecincts[Batch Name], 0)))</f>
        <v/>
      </c>
      <c r="AJ152" s="101">
        <f>IF(COUNTIF(SelectedPrecincts[Batch Name],SamplingData[[#This Row],[Batch by Type (p)]]) &lt;&gt; 0, COUNTIF(SelectedPrecincts[Batch Name],SamplingData[[#This Row],[Batch by Type (p)]]), 0)</f>
        <v>0</v>
      </c>
    </row>
    <row r="153" spans="1:36" ht="15" customHeight="1" x14ac:dyDescent="0.35">
      <c r="A153" s="98" t="s">
        <v>365</v>
      </c>
      <c r="B153" s="98">
        <v>22</v>
      </c>
      <c r="C153" s="98">
        <v>1</v>
      </c>
      <c r="D153" s="93"/>
      <c r="E153" s="93"/>
      <c r="F153" s="93"/>
      <c r="G153" s="97"/>
      <c r="H153" s="97"/>
      <c r="I153" s="93"/>
      <c r="J153" s="93"/>
      <c r="K153" s="93"/>
      <c r="L153" s="93"/>
      <c r="M153" s="93"/>
      <c r="N153" s="98">
        <v>0</v>
      </c>
      <c r="O153" s="98">
        <v>0</v>
      </c>
      <c r="P153" s="99">
        <f>SUM(SamplingData[[#This Row],[Winning Candidate]:[Under Votes]])</f>
        <v>23</v>
      </c>
      <c r="Q153" s="100">
        <f>IF(AND(SamplingData[[#This Row],[Total]]&lt;&gt; 0, NOT(ISBLANK(SamplingData[[#This Row],[Losing Candidate]]))),(SamplingData[[#This Row],[Total]]+SamplingData[[#This Row],[Winning Candidate]]-SamplingData[[#This Row],[Losing Candidate]])/(SamplingData[[#Totals],[Winning Candidate]]-SamplingData[[#Totals],[Losing Candidate]]), 0)</f>
        <v>1.38203976505324E-3</v>
      </c>
      <c r="R153" s="100">
        <f>IF(AND(SamplingData[[#This Row],[Total]]&lt;&gt; 0, NOT(ISBLANK(SamplingData[[#This Row],[Candidate 3]]))),(SamplingData[[#This Row],[Total]]+SamplingData[[#This Row],[Winning Candidate]]-SamplingData[[#This Row],[Candidate 3]])/(SamplingData[[#Totals],[Winning Candidate]]-SamplingData[[#Totals],[Candidate 3]]), 0)</f>
        <v>0</v>
      </c>
      <c r="S153" s="100">
        <f>IF(AND(SamplingData[[#This Row],[Total]]&lt;&gt; 0, NOT(ISBLANK(SamplingData[[#This Row],[Candidate 4]]))),(SamplingData[[#This Row],[Total]]+SamplingData[[#This Row],[Winning Candidate]]-SamplingData[[#This Row],[Candidate 4]])/(SamplingData[[#Totals],[Winning Candidate]]-SamplingData[[#Totals],[Candidate 4]]), 0)</f>
        <v>0</v>
      </c>
      <c r="T153" s="100">
        <f>IF(AND(SamplingData[[#This Row],[Total]]&lt;&gt; 0, NOT(ISBLANK(SamplingData[[#This Row],[Candidate 5]]))),(SamplingData[[#This Row],[Total]]+SamplingData[[#This Row],[Winning Candidate]]-SamplingData[[#This Row],[Candidate 5]])/(SamplingData[[#Totals],[Winning Candidate]]-SamplingData[[#Totals],[Candidate 5]]), 0)</f>
        <v>0</v>
      </c>
      <c r="U153" s="100">
        <f>IF(AND(SamplingData[[#This Row],[Total]]&lt;&gt; 0, NOT(ISBLANK(SamplingData[[#This Row],[Candidate 6]]))),(SamplingData[[#This Row],[Total]]+SamplingData[[#This Row],[Losing Candidate]]-SamplingData[[#This Row],[Candidate 6]])/(SamplingData[[#Totals],[Winning Candidate]]-SamplingData[[#Totals],[Candidate 6]]), 0)</f>
        <v>0</v>
      </c>
      <c r="V153" s="100">
        <f>IF(AND(SamplingData[[#This Row],[Total]]&lt;&gt; 0, NOT(ISBLANK(SamplingData[[#This Row],[Candidate 7]]))),(SamplingData[[#This Row],[Total]]+SamplingData[[#This Row],[Winning Candidate]]-SamplingData[[#This Row],[Candidate 7]])/(SamplingData[[#Totals],[Winning Candidate]]-SamplingData[[#Totals],[Candidate 7]]), 0)</f>
        <v>0</v>
      </c>
      <c r="W153" s="100">
        <f>IF(AND(SamplingData[[#This Row],[Total]]&lt;&gt; 0, NOT(ISBLANK(SamplingData[[#This Row],[Candidate 8]]))),(SamplingData[[#This Row],[Total]]+SamplingData[[#This Row],[Winning Candidate]]-SamplingData[[#This Row],[Candidate 8]])/(SamplingData[[#Totals],[Winning Candidate]]-SamplingData[[#Totals],[Candidate 8]]), 0)</f>
        <v>0</v>
      </c>
      <c r="X1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00">
        <f>MAX(SamplingData[[#This Row],[Error Bound (up) - Max. possible relative overstatement - Losing Candidate]:[Error Bound (up) - Max. possible relative overstatement - Candidate 12]])</f>
        <v>1.38203976505324E-3</v>
      </c>
      <c r="AC153" s="100">
        <f>IF(SamplingData[[#This Row],[Max Error Bound (up)]] = 0,0,SamplingData[[#This Row],[Max Error Bound (up)]]/SamplingData[[#Totals],[Max Error Bound (up)]])</f>
        <v>5.9225757820492134E-4</v>
      </c>
      <c r="AD153" s="104">
        <f>SUM($AC$5:AC153)</f>
        <v>2.5170947073709159E-2</v>
      </c>
      <c r="AE153" s="100" t="str" cm="1">
        <f t="array" ref="AE153">IF(SamplingData[[#This Row],[up/U Selection Probability]] = 0, "Zero", TEXT(SamplingData[[#This Row],[Lower Range]], REPT("0",LEN('General Info'!$B$42))) &amp; " - " &amp; TEXT(SamplingData[[#This Row],[Upper Range]], REPT("0",LEN('General Info'!$B$42))))</f>
        <v>02458 - 02516</v>
      </c>
      <c r="AF153" s="100">
        <f>SamplingData[[#This Row],[Upper Range]]-SamplingData[[#This Row],[Span]]</f>
        <v>2457.8689495504236</v>
      </c>
      <c r="AG153" s="100">
        <f>IF(ISNUMBER('General Info'!$B$42), ((SamplingData[[#This Row],[up/U Selection Probability]]) * 'General Info'!$B$44) - 1, 0)</f>
        <v>58.225757820492134</v>
      </c>
      <c r="AH153" s="100">
        <f>IF(ISNUMBER('General Info'!$B$42), (SamplingData[[#This Row],[Running (cumulative) sum]] * ('General Info'!$B$42 -'General Info'!$B$43 + 1)) + 'General Info'!$B$43 - 1, 0)</f>
        <v>2516.0947073709158</v>
      </c>
      <c r="AI153" s="100" t="str">
        <f>IF(ISERROR(MATCH(SamplingData[[#This Row],[Batch by Type (p)]],SelectedPrecincts[Batch Name], 0)), "", INDEX(SelectedPrecincts[Draw], MATCH(SamplingData[[#This Row],[Batch by Type (p)]],SelectedPrecincts[Batch Name], 0)))</f>
        <v/>
      </c>
      <c r="AJ153" s="101">
        <f>IF(COUNTIF(SelectedPrecincts[Batch Name],SamplingData[[#This Row],[Batch by Type (p)]]) &lt;&gt; 0, COUNTIF(SelectedPrecincts[Batch Name],SamplingData[[#This Row],[Batch by Type (p)]]), 0)</f>
        <v>0</v>
      </c>
    </row>
    <row r="154" spans="1:36" ht="15" customHeight="1" x14ac:dyDescent="0.35">
      <c r="A154" s="98" t="s">
        <v>366</v>
      </c>
      <c r="B154" s="98">
        <v>2</v>
      </c>
      <c r="C154" s="98">
        <v>0</v>
      </c>
      <c r="D154" s="93"/>
      <c r="E154" s="93"/>
      <c r="F154" s="93"/>
      <c r="G154" s="97"/>
      <c r="H154" s="97"/>
      <c r="I154" s="93"/>
      <c r="J154" s="93"/>
      <c r="K154" s="93"/>
      <c r="L154" s="93"/>
      <c r="M154" s="93"/>
      <c r="N154" s="98">
        <v>0</v>
      </c>
      <c r="O154" s="98">
        <v>0</v>
      </c>
      <c r="P154" s="99">
        <f>SUM(SamplingData[[#This Row],[Winning Candidate]:[Under Votes]])</f>
        <v>2</v>
      </c>
      <c r="Q154"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154" s="100">
        <f>IF(AND(SamplingData[[#This Row],[Total]]&lt;&gt; 0, NOT(ISBLANK(SamplingData[[#This Row],[Candidate 3]]))),(SamplingData[[#This Row],[Total]]+SamplingData[[#This Row],[Winning Candidate]]-SamplingData[[#This Row],[Candidate 3]])/(SamplingData[[#Totals],[Winning Candidate]]-SamplingData[[#Totals],[Candidate 3]]), 0)</f>
        <v>0</v>
      </c>
      <c r="S154" s="100">
        <f>IF(AND(SamplingData[[#This Row],[Total]]&lt;&gt; 0, NOT(ISBLANK(SamplingData[[#This Row],[Candidate 4]]))),(SamplingData[[#This Row],[Total]]+SamplingData[[#This Row],[Winning Candidate]]-SamplingData[[#This Row],[Candidate 4]])/(SamplingData[[#Totals],[Winning Candidate]]-SamplingData[[#Totals],[Candidate 4]]), 0)</f>
        <v>0</v>
      </c>
      <c r="T154" s="100">
        <f>IF(AND(SamplingData[[#This Row],[Total]]&lt;&gt; 0, NOT(ISBLANK(SamplingData[[#This Row],[Candidate 5]]))),(SamplingData[[#This Row],[Total]]+SamplingData[[#This Row],[Winning Candidate]]-SamplingData[[#This Row],[Candidate 5]])/(SamplingData[[#Totals],[Winning Candidate]]-SamplingData[[#Totals],[Candidate 5]]), 0)</f>
        <v>0</v>
      </c>
      <c r="U154" s="100">
        <f>IF(AND(SamplingData[[#This Row],[Total]]&lt;&gt; 0, NOT(ISBLANK(SamplingData[[#This Row],[Candidate 6]]))),(SamplingData[[#This Row],[Total]]+SamplingData[[#This Row],[Losing Candidate]]-SamplingData[[#This Row],[Candidate 6]])/(SamplingData[[#Totals],[Winning Candidate]]-SamplingData[[#Totals],[Candidate 6]]), 0)</f>
        <v>0</v>
      </c>
      <c r="V154" s="100">
        <f>IF(AND(SamplingData[[#This Row],[Total]]&lt;&gt; 0, NOT(ISBLANK(SamplingData[[#This Row],[Candidate 7]]))),(SamplingData[[#This Row],[Total]]+SamplingData[[#This Row],[Winning Candidate]]-SamplingData[[#This Row],[Candidate 7]])/(SamplingData[[#Totals],[Winning Candidate]]-SamplingData[[#Totals],[Candidate 7]]), 0)</f>
        <v>0</v>
      </c>
      <c r="W154" s="100">
        <f>IF(AND(SamplingData[[#This Row],[Total]]&lt;&gt; 0, NOT(ISBLANK(SamplingData[[#This Row],[Candidate 8]]))),(SamplingData[[#This Row],[Total]]+SamplingData[[#This Row],[Winning Candidate]]-SamplingData[[#This Row],[Candidate 8]])/(SamplingData[[#Totals],[Winning Candidate]]-SamplingData[[#Totals],[Candidate 8]]), 0)</f>
        <v>0</v>
      </c>
      <c r="X1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00">
        <f>MAX(SamplingData[[#This Row],[Error Bound (up) - Max. possible relative overstatement - Losing Candidate]:[Error Bound (up) - Max. possible relative overstatement - Candidate 12]])</f>
        <v>1.2563997864120362E-4</v>
      </c>
      <c r="AC154" s="100">
        <f>IF(SamplingData[[#This Row],[Max Error Bound (up)]] = 0,0,SamplingData[[#This Row],[Max Error Bound (up)]]/SamplingData[[#Totals],[Max Error Bound (up)]])</f>
        <v>5.3841598018629206E-5</v>
      </c>
      <c r="AD154" s="104">
        <f>SUM($AC$5:AC154)</f>
        <v>2.5224788671727789E-2</v>
      </c>
      <c r="AE154" s="100" t="str" cm="1">
        <f t="array" ref="AE154">IF(SamplingData[[#This Row],[up/U Selection Probability]] = 0, "Zero", TEXT(SamplingData[[#This Row],[Lower Range]], REPT("0",LEN('General Info'!$B$42))) &amp; " - " &amp; TEXT(SamplingData[[#This Row],[Upper Range]], REPT("0",LEN('General Info'!$B$42))))</f>
        <v>02517 - 02521</v>
      </c>
      <c r="AF154" s="100">
        <f>SamplingData[[#This Row],[Upper Range]]-SamplingData[[#This Row],[Span]]</f>
        <v>2517.0947073709158</v>
      </c>
      <c r="AG154" s="100">
        <f>IF(ISNUMBER('General Info'!$B$42), ((SamplingData[[#This Row],[up/U Selection Probability]]) * 'General Info'!$B$44) - 1, 0)</f>
        <v>4.3841598018629204</v>
      </c>
      <c r="AH154" s="100">
        <f>IF(ISNUMBER('General Info'!$B$42), (SamplingData[[#This Row],[Running (cumulative) sum]] * ('General Info'!$B$42 -'General Info'!$B$43 + 1)) + 'General Info'!$B$43 - 1, 0)</f>
        <v>2521.4788671727788</v>
      </c>
      <c r="AI154" s="100" t="str">
        <f>IF(ISERROR(MATCH(SamplingData[[#This Row],[Batch by Type (p)]],SelectedPrecincts[Batch Name], 0)), "", INDEX(SelectedPrecincts[Draw], MATCH(SamplingData[[#This Row],[Batch by Type (p)]],SelectedPrecincts[Batch Name], 0)))</f>
        <v/>
      </c>
      <c r="AJ154" s="101">
        <f>IF(COUNTIF(SelectedPrecincts[Batch Name],SamplingData[[#This Row],[Batch by Type (p)]]) &lt;&gt; 0, COUNTIF(SelectedPrecincts[Batch Name],SamplingData[[#This Row],[Batch by Type (p)]]), 0)</f>
        <v>0</v>
      </c>
    </row>
    <row r="155" spans="1:36" ht="15" customHeight="1" x14ac:dyDescent="0.35">
      <c r="A155" s="98" t="s">
        <v>367</v>
      </c>
      <c r="B155" s="98">
        <v>3</v>
      </c>
      <c r="C155" s="98">
        <v>0</v>
      </c>
      <c r="D155" s="93"/>
      <c r="E155" s="93"/>
      <c r="F155" s="93"/>
      <c r="G155" s="97"/>
      <c r="H155" s="97"/>
      <c r="I155" s="93"/>
      <c r="J155" s="93"/>
      <c r="K155" s="93"/>
      <c r="L155" s="93"/>
      <c r="M155" s="93"/>
      <c r="N155" s="98">
        <v>0</v>
      </c>
      <c r="O155" s="98">
        <v>0</v>
      </c>
      <c r="P155" s="99">
        <f>SUM(SamplingData[[#This Row],[Winning Candidate]:[Under Votes]])</f>
        <v>3</v>
      </c>
      <c r="Q155"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55" s="100">
        <f>IF(AND(SamplingData[[#This Row],[Total]]&lt;&gt; 0, NOT(ISBLANK(SamplingData[[#This Row],[Candidate 3]]))),(SamplingData[[#This Row],[Total]]+SamplingData[[#This Row],[Winning Candidate]]-SamplingData[[#This Row],[Candidate 3]])/(SamplingData[[#Totals],[Winning Candidate]]-SamplingData[[#Totals],[Candidate 3]]), 0)</f>
        <v>0</v>
      </c>
      <c r="S155" s="100">
        <f>IF(AND(SamplingData[[#This Row],[Total]]&lt;&gt; 0, NOT(ISBLANK(SamplingData[[#This Row],[Candidate 4]]))),(SamplingData[[#This Row],[Total]]+SamplingData[[#This Row],[Winning Candidate]]-SamplingData[[#This Row],[Candidate 4]])/(SamplingData[[#Totals],[Winning Candidate]]-SamplingData[[#Totals],[Candidate 4]]), 0)</f>
        <v>0</v>
      </c>
      <c r="T155" s="100">
        <f>IF(AND(SamplingData[[#This Row],[Total]]&lt;&gt; 0, NOT(ISBLANK(SamplingData[[#This Row],[Candidate 5]]))),(SamplingData[[#This Row],[Total]]+SamplingData[[#This Row],[Winning Candidate]]-SamplingData[[#This Row],[Candidate 5]])/(SamplingData[[#Totals],[Winning Candidate]]-SamplingData[[#Totals],[Candidate 5]]), 0)</f>
        <v>0</v>
      </c>
      <c r="U155" s="100">
        <f>IF(AND(SamplingData[[#This Row],[Total]]&lt;&gt; 0, NOT(ISBLANK(SamplingData[[#This Row],[Candidate 6]]))),(SamplingData[[#This Row],[Total]]+SamplingData[[#This Row],[Losing Candidate]]-SamplingData[[#This Row],[Candidate 6]])/(SamplingData[[#Totals],[Winning Candidate]]-SamplingData[[#Totals],[Candidate 6]]), 0)</f>
        <v>0</v>
      </c>
      <c r="V155" s="100">
        <f>IF(AND(SamplingData[[#This Row],[Total]]&lt;&gt; 0, NOT(ISBLANK(SamplingData[[#This Row],[Candidate 7]]))),(SamplingData[[#This Row],[Total]]+SamplingData[[#This Row],[Winning Candidate]]-SamplingData[[#This Row],[Candidate 7]])/(SamplingData[[#Totals],[Winning Candidate]]-SamplingData[[#Totals],[Candidate 7]]), 0)</f>
        <v>0</v>
      </c>
      <c r="W155" s="100">
        <f>IF(AND(SamplingData[[#This Row],[Total]]&lt;&gt; 0, NOT(ISBLANK(SamplingData[[#This Row],[Candidate 8]]))),(SamplingData[[#This Row],[Total]]+SamplingData[[#This Row],[Winning Candidate]]-SamplingData[[#This Row],[Candidate 8]])/(SamplingData[[#Totals],[Winning Candidate]]-SamplingData[[#Totals],[Candidate 8]]), 0)</f>
        <v>0</v>
      </c>
      <c r="X1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00">
        <f>MAX(SamplingData[[#This Row],[Error Bound (up) - Max. possible relative overstatement - Losing Candidate]:[Error Bound (up) - Max. possible relative overstatement - Candidate 12]])</f>
        <v>1.8845996796180544E-4</v>
      </c>
      <c r="AC155" s="100">
        <f>IF(SamplingData[[#This Row],[Max Error Bound (up)]] = 0,0,SamplingData[[#This Row],[Max Error Bound (up)]]/SamplingData[[#Totals],[Max Error Bound (up)]])</f>
        <v>8.0762397027943816E-5</v>
      </c>
      <c r="AD155" s="104">
        <f>SUM($AC$5:AC155)</f>
        <v>2.5305551068755733E-2</v>
      </c>
      <c r="AE155" s="100" t="str" cm="1">
        <f t="array" ref="AE155">IF(SamplingData[[#This Row],[up/U Selection Probability]] = 0, "Zero", TEXT(SamplingData[[#This Row],[Lower Range]], REPT("0",LEN('General Info'!$B$42))) &amp; " - " &amp; TEXT(SamplingData[[#This Row],[Upper Range]], REPT("0",LEN('General Info'!$B$42))))</f>
        <v>02522 - 02530</v>
      </c>
      <c r="AF155" s="100">
        <f>SamplingData[[#This Row],[Upper Range]]-SamplingData[[#This Row],[Span]]</f>
        <v>2522.4788671727788</v>
      </c>
      <c r="AG155" s="100">
        <f>IF(ISNUMBER('General Info'!$B$42), ((SamplingData[[#This Row],[up/U Selection Probability]]) * 'General Info'!$B$44) - 1, 0)</f>
        <v>7.076239702794382</v>
      </c>
      <c r="AH155" s="100">
        <f>IF(ISNUMBER('General Info'!$B$42), (SamplingData[[#This Row],[Running (cumulative) sum]] * ('General Info'!$B$42 -'General Info'!$B$43 + 1)) + 'General Info'!$B$43 - 1, 0)</f>
        <v>2529.5551068755731</v>
      </c>
      <c r="AI155" s="100" t="str">
        <f>IF(ISERROR(MATCH(SamplingData[[#This Row],[Batch by Type (p)]],SelectedPrecincts[Batch Name], 0)), "", INDEX(SelectedPrecincts[Draw], MATCH(SamplingData[[#This Row],[Batch by Type (p)]],SelectedPrecincts[Batch Name], 0)))</f>
        <v/>
      </c>
      <c r="AJ155" s="101">
        <f>IF(COUNTIF(SelectedPrecincts[Batch Name],SamplingData[[#This Row],[Batch by Type (p)]]) &lt;&gt; 0, COUNTIF(SelectedPrecincts[Batch Name],SamplingData[[#This Row],[Batch by Type (p)]]), 0)</f>
        <v>0</v>
      </c>
    </row>
    <row r="156" spans="1:36" ht="15" customHeight="1" x14ac:dyDescent="0.35">
      <c r="A156" s="98" t="s">
        <v>368</v>
      </c>
      <c r="B156" s="98">
        <v>3</v>
      </c>
      <c r="C156" s="98">
        <v>0</v>
      </c>
      <c r="D156" s="93"/>
      <c r="E156" s="93"/>
      <c r="F156" s="93"/>
      <c r="G156" s="97"/>
      <c r="H156" s="97"/>
      <c r="I156" s="93"/>
      <c r="J156" s="93"/>
      <c r="K156" s="93"/>
      <c r="L156" s="93"/>
      <c r="M156" s="93"/>
      <c r="N156" s="98">
        <v>0</v>
      </c>
      <c r="O156" s="98">
        <v>0</v>
      </c>
      <c r="P156" s="99">
        <f>SUM(SamplingData[[#This Row],[Winning Candidate]:[Under Votes]])</f>
        <v>3</v>
      </c>
      <c r="Q156"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56" s="100">
        <f>IF(AND(SamplingData[[#This Row],[Total]]&lt;&gt; 0, NOT(ISBLANK(SamplingData[[#This Row],[Candidate 3]]))),(SamplingData[[#This Row],[Total]]+SamplingData[[#This Row],[Winning Candidate]]-SamplingData[[#This Row],[Candidate 3]])/(SamplingData[[#Totals],[Winning Candidate]]-SamplingData[[#Totals],[Candidate 3]]), 0)</f>
        <v>0</v>
      </c>
      <c r="S156" s="100">
        <f>IF(AND(SamplingData[[#This Row],[Total]]&lt;&gt; 0, NOT(ISBLANK(SamplingData[[#This Row],[Candidate 4]]))),(SamplingData[[#This Row],[Total]]+SamplingData[[#This Row],[Winning Candidate]]-SamplingData[[#This Row],[Candidate 4]])/(SamplingData[[#Totals],[Winning Candidate]]-SamplingData[[#Totals],[Candidate 4]]), 0)</f>
        <v>0</v>
      </c>
      <c r="T156" s="100">
        <f>IF(AND(SamplingData[[#This Row],[Total]]&lt;&gt; 0, NOT(ISBLANK(SamplingData[[#This Row],[Candidate 5]]))),(SamplingData[[#This Row],[Total]]+SamplingData[[#This Row],[Winning Candidate]]-SamplingData[[#This Row],[Candidate 5]])/(SamplingData[[#Totals],[Winning Candidate]]-SamplingData[[#Totals],[Candidate 5]]), 0)</f>
        <v>0</v>
      </c>
      <c r="U156" s="100">
        <f>IF(AND(SamplingData[[#This Row],[Total]]&lt;&gt; 0, NOT(ISBLANK(SamplingData[[#This Row],[Candidate 6]]))),(SamplingData[[#This Row],[Total]]+SamplingData[[#This Row],[Losing Candidate]]-SamplingData[[#This Row],[Candidate 6]])/(SamplingData[[#Totals],[Winning Candidate]]-SamplingData[[#Totals],[Candidate 6]]), 0)</f>
        <v>0</v>
      </c>
      <c r="V156" s="100">
        <f>IF(AND(SamplingData[[#This Row],[Total]]&lt;&gt; 0, NOT(ISBLANK(SamplingData[[#This Row],[Candidate 7]]))),(SamplingData[[#This Row],[Total]]+SamplingData[[#This Row],[Winning Candidate]]-SamplingData[[#This Row],[Candidate 7]])/(SamplingData[[#Totals],[Winning Candidate]]-SamplingData[[#Totals],[Candidate 7]]), 0)</f>
        <v>0</v>
      </c>
      <c r="W156" s="100">
        <f>IF(AND(SamplingData[[#This Row],[Total]]&lt;&gt; 0, NOT(ISBLANK(SamplingData[[#This Row],[Candidate 8]]))),(SamplingData[[#This Row],[Total]]+SamplingData[[#This Row],[Winning Candidate]]-SamplingData[[#This Row],[Candidate 8]])/(SamplingData[[#Totals],[Winning Candidate]]-SamplingData[[#Totals],[Candidate 8]]), 0)</f>
        <v>0</v>
      </c>
      <c r="X1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00">
        <f>MAX(SamplingData[[#This Row],[Error Bound (up) - Max. possible relative overstatement - Losing Candidate]:[Error Bound (up) - Max. possible relative overstatement - Candidate 12]])</f>
        <v>1.8845996796180544E-4</v>
      </c>
      <c r="AC156" s="100">
        <f>IF(SamplingData[[#This Row],[Max Error Bound (up)]] = 0,0,SamplingData[[#This Row],[Max Error Bound (up)]]/SamplingData[[#Totals],[Max Error Bound (up)]])</f>
        <v>8.0762397027943816E-5</v>
      </c>
      <c r="AD156" s="104">
        <f>SUM($AC$5:AC156)</f>
        <v>2.5386313465783676E-2</v>
      </c>
      <c r="AE156" s="100" t="str" cm="1">
        <f t="array" ref="AE156">IF(SamplingData[[#This Row],[up/U Selection Probability]] = 0, "Zero", TEXT(SamplingData[[#This Row],[Lower Range]], REPT("0",LEN('General Info'!$B$42))) &amp; " - " &amp; TEXT(SamplingData[[#This Row],[Upper Range]], REPT("0",LEN('General Info'!$B$42))))</f>
        <v>02531 - 02538</v>
      </c>
      <c r="AF156" s="100">
        <f>SamplingData[[#This Row],[Upper Range]]-SamplingData[[#This Row],[Span]]</f>
        <v>2530.5551068755735</v>
      </c>
      <c r="AG156" s="100">
        <f>IF(ISNUMBER('General Info'!$B$42), ((SamplingData[[#This Row],[up/U Selection Probability]]) * 'General Info'!$B$44) - 1, 0)</f>
        <v>7.076239702794382</v>
      </c>
      <c r="AH156" s="100">
        <f>IF(ISNUMBER('General Info'!$B$42), (SamplingData[[#This Row],[Running (cumulative) sum]] * ('General Info'!$B$42 -'General Info'!$B$43 + 1)) + 'General Info'!$B$43 - 1, 0)</f>
        <v>2537.6313465783678</v>
      </c>
      <c r="AI156" s="100" t="str">
        <f>IF(ISERROR(MATCH(SamplingData[[#This Row],[Batch by Type (p)]],SelectedPrecincts[Batch Name], 0)), "", INDEX(SelectedPrecincts[Draw], MATCH(SamplingData[[#This Row],[Batch by Type (p)]],SelectedPrecincts[Batch Name], 0)))</f>
        <v/>
      </c>
      <c r="AJ156" s="101">
        <f>IF(COUNTIF(SelectedPrecincts[Batch Name],SamplingData[[#This Row],[Batch by Type (p)]]) &lt;&gt; 0, COUNTIF(SelectedPrecincts[Batch Name],SamplingData[[#This Row],[Batch by Type (p)]]), 0)</f>
        <v>0</v>
      </c>
    </row>
    <row r="157" spans="1:36" ht="15" customHeight="1" x14ac:dyDescent="0.35">
      <c r="A157" s="98" t="s">
        <v>369</v>
      </c>
      <c r="B157" s="98">
        <v>15</v>
      </c>
      <c r="C157" s="98">
        <v>5</v>
      </c>
      <c r="D157" s="93"/>
      <c r="E157" s="93"/>
      <c r="F157" s="93"/>
      <c r="G157" s="97"/>
      <c r="H157" s="97"/>
      <c r="I157" s="93"/>
      <c r="J157" s="93"/>
      <c r="K157" s="93"/>
      <c r="L157" s="93"/>
      <c r="M157" s="93"/>
      <c r="N157" s="98">
        <v>0</v>
      </c>
      <c r="O157" s="98">
        <v>0</v>
      </c>
      <c r="P157" s="99">
        <f>SUM(SamplingData[[#This Row],[Winning Candidate]:[Under Votes]])</f>
        <v>20</v>
      </c>
      <c r="Q157"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157" s="100">
        <f>IF(AND(SamplingData[[#This Row],[Total]]&lt;&gt; 0, NOT(ISBLANK(SamplingData[[#This Row],[Candidate 3]]))),(SamplingData[[#This Row],[Total]]+SamplingData[[#This Row],[Winning Candidate]]-SamplingData[[#This Row],[Candidate 3]])/(SamplingData[[#Totals],[Winning Candidate]]-SamplingData[[#Totals],[Candidate 3]]), 0)</f>
        <v>0</v>
      </c>
      <c r="S157" s="100">
        <f>IF(AND(SamplingData[[#This Row],[Total]]&lt;&gt; 0, NOT(ISBLANK(SamplingData[[#This Row],[Candidate 4]]))),(SamplingData[[#This Row],[Total]]+SamplingData[[#This Row],[Winning Candidate]]-SamplingData[[#This Row],[Candidate 4]])/(SamplingData[[#Totals],[Winning Candidate]]-SamplingData[[#Totals],[Candidate 4]]), 0)</f>
        <v>0</v>
      </c>
      <c r="T157" s="100">
        <f>IF(AND(SamplingData[[#This Row],[Total]]&lt;&gt; 0, NOT(ISBLANK(SamplingData[[#This Row],[Candidate 5]]))),(SamplingData[[#This Row],[Total]]+SamplingData[[#This Row],[Winning Candidate]]-SamplingData[[#This Row],[Candidate 5]])/(SamplingData[[#Totals],[Winning Candidate]]-SamplingData[[#Totals],[Candidate 5]]), 0)</f>
        <v>0</v>
      </c>
      <c r="U157" s="100">
        <f>IF(AND(SamplingData[[#This Row],[Total]]&lt;&gt; 0, NOT(ISBLANK(SamplingData[[#This Row],[Candidate 6]]))),(SamplingData[[#This Row],[Total]]+SamplingData[[#This Row],[Losing Candidate]]-SamplingData[[#This Row],[Candidate 6]])/(SamplingData[[#Totals],[Winning Candidate]]-SamplingData[[#Totals],[Candidate 6]]), 0)</f>
        <v>0</v>
      </c>
      <c r="V157" s="100">
        <f>IF(AND(SamplingData[[#This Row],[Total]]&lt;&gt; 0, NOT(ISBLANK(SamplingData[[#This Row],[Candidate 7]]))),(SamplingData[[#This Row],[Total]]+SamplingData[[#This Row],[Winning Candidate]]-SamplingData[[#This Row],[Candidate 7]])/(SamplingData[[#Totals],[Winning Candidate]]-SamplingData[[#Totals],[Candidate 7]]), 0)</f>
        <v>0</v>
      </c>
      <c r="W157" s="100">
        <f>IF(AND(SamplingData[[#This Row],[Total]]&lt;&gt; 0, NOT(ISBLANK(SamplingData[[#This Row],[Candidate 8]]))),(SamplingData[[#This Row],[Total]]+SamplingData[[#This Row],[Winning Candidate]]-SamplingData[[#This Row],[Candidate 8]])/(SamplingData[[#Totals],[Winning Candidate]]-SamplingData[[#Totals],[Candidate 8]]), 0)</f>
        <v>0</v>
      </c>
      <c r="X1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00">
        <f>MAX(SamplingData[[#This Row],[Error Bound (up) - Max. possible relative overstatement - Losing Candidate]:[Error Bound (up) - Max. possible relative overstatement - Candidate 12]])</f>
        <v>9.4229983980902718E-4</v>
      </c>
      <c r="AC157" s="100">
        <f>IF(SamplingData[[#This Row],[Max Error Bound (up)]] = 0,0,SamplingData[[#This Row],[Max Error Bound (up)]]/SamplingData[[#Totals],[Max Error Bound (up)]])</f>
        <v>4.0381198513971905E-4</v>
      </c>
      <c r="AD157" s="104">
        <f>SUM($AC$5:AC157)</f>
        <v>2.5790125450923396E-2</v>
      </c>
      <c r="AE157" s="100" t="str" cm="1">
        <f t="array" ref="AE157">IF(SamplingData[[#This Row],[up/U Selection Probability]] = 0, "Zero", TEXT(SamplingData[[#This Row],[Lower Range]], REPT("0",LEN('General Info'!$B$42))) &amp; " - " &amp; TEXT(SamplingData[[#This Row],[Upper Range]], REPT("0",LEN('General Info'!$B$42))))</f>
        <v>02539 - 02578</v>
      </c>
      <c r="AF157" s="100">
        <f>SamplingData[[#This Row],[Upper Range]]-SamplingData[[#This Row],[Span]]</f>
        <v>2538.6313465783678</v>
      </c>
      <c r="AG157" s="100">
        <f>IF(ISNUMBER('General Info'!$B$42), ((SamplingData[[#This Row],[up/U Selection Probability]]) * 'General Info'!$B$44) - 1, 0)</f>
        <v>39.381198513971903</v>
      </c>
      <c r="AH157" s="100">
        <f>IF(ISNUMBER('General Info'!$B$42), (SamplingData[[#This Row],[Running (cumulative) sum]] * ('General Info'!$B$42 -'General Info'!$B$43 + 1)) + 'General Info'!$B$43 - 1, 0)</f>
        <v>2578.0125450923397</v>
      </c>
      <c r="AI157" s="100" t="str">
        <f>IF(ISERROR(MATCH(SamplingData[[#This Row],[Batch by Type (p)]],SelectedPrecincts[Batch Name], 0)), "", INDEX(SelectedPrecincts[Draw], MATCH(SamplingData[[#This Row],[Batch by Type (p)]],SelectedPrecincts[Batch Name], 0)))</f>
        <v/>
      </c>
      <c r="AJ157" s="101">
        <f>IF(COUNTIF(SelectedPrecincts[Batch Name],SamplingData[[#This Row],[Batch by Type (p)]]) &lt;&gt; 0, COUNTIF(SelectedPrecincts[Batch Name],SamplingData[[#This Row],[Batch by Type (p)]]), 0)</f>
        <v>0</v>
      </c>
    </row>
    <row r="158" spans="1:36" ht="15" customHeight="1" x14ac:dyDescent="0.35">
      <c r="A158" s="98" t="s">
        <v>370</v>
      </c>
      <c r="B158" s="98">
        <v>5</v>
      </c>
      <c r="C158" s="98">
        <v>1</v>
      </c>
      <c r="D158" s="93"/>
      <c r="E158" s="93"/>
      <c r="F158" s="93"/>
      <c r="G158" s="97"/>
      <c r="H158" s="97"/>
      <c r="I158" s="93"/>
      <c r="J158" s="93"/>
      <c r="K158" s="93"/>
      <c r="L158" s="93"/>
      <c r="M158" s="93"/>
      <c r="N158" s="98">
        <v>0</v>
      </c>
      <c r="O158" s="98">
        <v>0</v>
      </c>
      <c r="P158" s="99">
        <f>SUM(SamplingData[[#This Row],[Winning Candidate]:[Under Votes]])</f>
        <v>6</v>
      </c>
      <c r="Q158"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158" s="100">
        <f>IF(AND(SamplingData[[#This Row],[Total]]&lt;&gt; 0, NOT(ISBLANK(SamplingData[[#This Row],[Candidate 3]]))),(SamplingData[[#This Row],[Total]]+SamplingData[[#This Row],[Winning Candidate]]-SamplingData[[#This Row],[Candidate 3]])/(SamplingData[[#Totals],[Winning Candidate]]-SamplingData[[#Totals],[Candidate 3]]), 0)</f>
        <v>0</v>
      </c>
      <c r="S158" s="100">
        <f>IF(AND(SamplingData[[#This Row],[Total]]&lt;&gt; 0, NOT(ISBLANK(SamplingData[[#This Row],[Candidate 4]]))),(SamplingData[[#This Row],[Total]]+SamplingData[[#This Row],[Winning Candidate]]-SamplingData[[#This Row],[Candidate 4]])/(SamplingData[[#Totals],[Winning Candidate]]-SamplingData[[#Totals],[Candidate 4]]), 0)</f>
        <v>0</v>
      </c>
      <c r="T158" s="100">
        <f>IF(AND(SamplingData[[#This Row],[Total]]&lt;&gt; 0, NOT(ISBLANK(SamplingData[[#This Row],[Candidate 5]]))),(SamplingData[[#This Row],[Total]]+SamplingData[[#This Row],[Winning Candidate]]-SamplingData[[#This Row],[Candidate 5]])/(SamplingData[[#Totals],[Winning Candidate]]-SamplingData[[#Totals],[Candidate 5]]), 0)</f>
        <v>0</v>
      </c>
      <c r="U158" s="100">
        <f>IF(AND(SamplingData[[#This Row],[Total]]&lt;&gt; 0, NOT(ISBLANK(SamplingData[[#This Row],[Candidate 6]]))),(SamplingData[[#This Row],[Total]]+SamplingData[[#This Row],[Losing Candidate]]-SamplingData[[#This Row],[Candidate 6]])/(SamplingData[[#Totals],[Winning Candidate]]-SamplingData[[#Totals],[Candidate 6]]), 0)</f>
        <v>0</v>
      </c>
      <c r="V158" s="100">
        <f>IF(AND(SamplingData[[#This Row],[Total]]&lt;&gt; 0, NOT(ISBLANK(SamplingData[[#This Row],[Candidate 7]]))),(SamplingData[[#This Row],[Total]]+SamplingData[[#This Row],[Winning Candidate]]-SamplingData[[#This Row],[Candidate 7]])/(SamplingData[[#Totals],[Winning Candidate]]-SamplingData[[#Totals],[Candidate 7]]), 0)</f>
        <v>0</v>
      </c>
      <c r="W158" s="100">
        <f>IF(AND(SamplingData[[#This Row],[Total]]&lt;&gt; 0, NOT(ISBLANK(SamplingData[[#This Row],[Candidate 8]]))),(SamplingData[[#This Row],[Total]]+SamplingData[[#This Row],[Winning Candidate]]-SamplingData[[#This Row],[Candidate 8]])/(SamplingData[[#Totals],[Winning Candidate]]-SamplingData[[#Totals],[Candidate 8]]), 0)</f>
        <v>0</v>
      </c>
      <c r="X1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00">
        <f>MAX(SamplingData[[#This Row],[Error Bound (up) - Max. possible relative overstatement - Losing Candidate]:[Error Bound (up) - Max. possible relative overstatement - Candidate 12]])</f>
        <v>3.1409994660300906E-4</v>
      </c>
      <c r="AC158" s="100">
        <f>IF(SamplingData[[#This Row],[Max Error Bound (up)]] = 0,0,SamplingData[[#This Row],[Max Error Bound (up)]]/SamplingData[[#Totals],[Max Error Bound (up)]])</f>
        <v>1.3460399504657304E-4</v>
      </c>
      <c r="AD158" s="104">
        <f>SUM($AC$5:AC158)</f>
        <v>2.592472944596997E-2</v>
      </c>
      <c r="AE158" s="100" t="str" cm="1">
        <f t="array" ref="AE158">IF(SamplingData[[#This Row],[up/U Selection Probability]] = 0, "Zero", TEXT(SamplingData[[#This Row],[Lower Range]], REPT("0",LEN('General Info'!$B$42))) &amp; " - " &amp; TEXT(SamplingData[[#This Row],[Upper Range]], REPT("0",LEN('General Info'!$B$42))))</f>
        <v>02579 - 02591</v>
      </c>
      <c r="AF158" s="100">
        <f>SamplingData[[#This Row],[Upper Range]]-SamplingData[[#This Row],[Span]]</f>
        <v>2579.0125450923397</v>
      </c>
      <c r="AG158" s="100">
        <f>IF(ISNUMBER('General Info'!$B$42), ((SamplingData[[#This Row],[up/U Selection Probability]]) * 'General Info'!$B$44) - 1, 0)</f>
        <v>12.460399504657303</v>
      </c>
      <c r="AH158" s="100">
        <f>IF(ISNUMBER('General Info'!$B$42), (SamplingData[[#This Row],[Running (cumulative) sum]] * ('General Info'!$B$42 -'General Info'!$B$43 + 1)) + 'General Info'!$B$43 - 1, 0)</f>
        <v>2591.472944596997</v>
      </c>
      <c r="AI158" s="100" t="str">
        <f>IF(ISERROR(MATCH(SamplingData[[#This Row],[Batch by Type (p)]],SelectedPrecincts[Batch Name], 0)), "", INDEX(SelectedPrecincts[Draw], MATCH(SamplingData[[#This Row],[Batch by Type (p)]],SelectedPrecincts[Batch Name], 0)))</f>
        <v/>
      </c>
      <c r="AJ158" s="101">
        <f>IF(COUNTIF(SelectedPrecincts[Batch Name],SamplingData[[#This Row],[Batch by Type (p)]]) &lt;&gt; 0, COUNTIF(SelectedPrecincts[Batch Name],SamplingData[[#This Row],[Batch by Type (p)]]), 0)</f>
        <v>0</v>
      </c>
    </row>
    <row r="159" spans="1:36" ht="15" customHeight="1" x14ac:dyDescent="0.35">
      <c r="A159" s="98" t="s">
        <v>371</v>
      </c>
      <c r="B159" s="98">
        <v>0</v>
      </c>
      <c r="C159" s="98">
        <v>0</v>
      </c>
      <c r="D159" s="93"/>
      <c r="E159" s="93"/>
      <c r="F159" s="93"/>
      <c r="G159" s="97"/>
      <c r="H159" s="97"/>
      <c r="I159" s="93"/>
      <c r="J159" s="93"/>
      <c r="K159" s="93"/>
      <c r="L159" s="93"/>
      <c r="M159" s="93"/>
      <c r="N159" s="98">
        <v>0</v>
      </c>
      <c r="O159" s="98">
        <v>0</v>
      </c>
      <c r="P159" s="99">
        <f>SUM(SamplingData[[#This Row],[Winning Candidate]:[Under Votes]])</f>
        <v>0</v>
      </c>
      <c r="Q159" s="100">
        <f>IF(AND(SamplingData[[#This Row],[Total]]&lt;&gt; 0, NOT(ISBLANK(SamplingData[[#This Row],[Losing Candidate]]))),(SamplingData[[#This Row],[Total]]+SamplingData[[#This Row],[Winning Candidate]]-SamplingData[[#This Row],[Losing Candidate]])/(SamplingData[[#Totals],[Winning Candidate]]-SamplingData[[#Totals],[Losing Candidate]]), 0)</f>
        <v>0</v>
      </c>
      <c r="R159" s="100">
        <f>IF(AND(SamplingData[[#This Row],[Total]]&lt;&gt; 0, NOT(ISBLANK(SamplingData[[#This Row],[Candidate 3]]))),(SamplingData[[#This Row],[Total]]+SamplingData[[#This Row],[Winning Candidate]]-SamplingData[[#This Row],[Candidate 3]])/(SamplingData[[#Totals],[Winning Candidate]]-SamplingData[[#Totals],[Candidate 3]]), 0)</f>
        <v>0</v>
      </c>
      <c r="S159" s="100">
        <f>IF(AND(SamplingData[[#This Row],[Total]]&lt;&gt; 0, NOT(ISBLANK(SamplingData[[#This Row],[Candidate 4]]))),(SamplingData[[#This Row],[Total]]+SamplingData[[#This Row],[Winning Candidate]]-SamplingData[[#This Row],[Candidate 4]])/(SamplingData[[#Totals],[Winning Candidate]]-SamplingData[[#Totals],[Candidate 4]]), 0)</f>
        <v>0</v>
      </c>
      <c r="T159" s="100">
        <f>IF(AND(SamplingData[[#This Row],[Total]]&lt;&gt; 0, NOT(ISBLANK(SamplingData[[#This Row],[Candidate 5]]))),(SamplingData[[#This Row],[Total]]+SamplingData[[#This Row],[Winning Candidate]]-SamplingData[[#This Row],[Candidate 5]])/(SamplingData[[#Totals],[Winning Candidate]]-SamplingData[[#Totals],[Candidate 5]]), 0)</f>
        <v>0</v>
      </c>
      <c r="U159" s="100">
        <f>IF(AND(SamplingData[[#This Row],[Total]]&lt;&gt; 0, NOT(ISBLANK(SamplingData[[#This Row],[Candidate 6]]))),(SamplingData[[#This Row],[Total]]+SamplingData[[#This Row],[Losing Candidate]]-SamplingData[[#This Row],[Candidate 6]])/(SamplingData[[#Totals],[Winning Candidate]]-SamplingData[[#Totals],[Candidate 6]]), 0)</f>
        <v>0</v>
      </c>
      <c r="V159" s="100">
        <f>IF(AND(SamplingData[[#This Row],[Total]]&lt;&gt; 0, NOT(ISBLANK(SamplingData[[#This Row],[Candidate 7]]))),(SamplingData[[#This Row],[Total]]+SamplingData[[#This Row],[Winning Candidate]]-SamplingData[[#This Row],[Candidate 7]])/(SamplingData[[#Totals],[Winning Candidate]]-SamplingData[[#Totals],[Candidate 7]]), 0)</f>
        <v>0</v>
      </c>
      <c r="W159" s="100">
        <f>IF(AND(SamplingData[[#This Row],[Total]]&lt;&gt; 0, NOT(ISBLANK(SamplingData[[#This Row],[Candidate 8]]))),(SamplingData[[#This Row],[Total]]+SamplingData[[#This Row],[Winning Candidate]]-SamplingData[[#This Row],[Candidate 8]])/(SamplingData[[#Totals],[Winning Candidate]]-SamplingData[[#Totals],[Candidate 8]]), 0)</f>
        <v>0</v>
      </c>
      <c r="X1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00">
        <f>MAX(SamplingData[[#This Row],[Error Bound (up) - Max. possible relative overstatement - Losing Candidate]:[Error Bound (up) - Max. possible relative overstatement - Candidate 12]])</f>
        <v>0</v>
      </c>
      <c r="AC159" s="100">
        <f>IF(SamplingData[[#This Row],[Max Error Bound (up)]] = 0,0,SamplingData[[#This Row],[Max Error Bound (up)]]/SamplingData[[#Totals],[Max Error Bound (up)]])</f>
        <v>0</v>
      </c>
      <c r="AD159" s="104">
        <f>SUM($AC$5:AC159)</f>
        <v>2.592472944596997E-2</v>
      </c>
      <c r="AE159" s="100" t="str" cm="1">
        <f t="array" ref="AE159">IF(SamplingData[[#This Row],[up/U Selection Probability]] = 0, "Zero", TEXT(SamplingData[[#This Row],[Lower Range]], REPT("0",LEN('General Info'!$B$42))) &amp; " - " &amp; TEXT(SamplingData[[#This Row],[Upper Range]], REPT("0",LEN('General Info'!$B$42))))</f>
        <v>Zero</v>
      </c>
      <c r="AF159" s="100">
        <f>SamplingData[[#This Row],[Upper Range]]-SamplingData[[#This Row],[Span]]</f>
        <v>2592.472944596997</v>
      </c>
      <c r="AG159" s="100">
        <f>IF(ISNUMBER('General Info'!$B$42), ((SamplingData[[#This Row],[up/U Selection Probability]]) * 'General Info'!$B$44) - 1, 0)</f>
        <v>-1</v>
      </c>
      <c r="AH159" s="100">
        <f>IF(ISNUMBER('General Info'!$B$42), (SamplingData[[#This Row],[Running (cumulative) sum]] * ('General Info'!$B$42 -'General Info'!$B$43 + 1)) + 'General Info'!$B$43 - 1, 0)</f>
        <v>2591.472944596997</v>
      </c>
      <c r="AI159" s="100" t="str">
        <f>IF(ISERROR(MATCH(SamplingData[[#This Row],[Batch by Type (p)]],SelectedPrecincts[Batch Name], 0)), "", INDEX(SelectedPrecincts[Draw], MATCH(SamplingData[[#This Row],[Batch by Type (p)]],SelectedPrecincts[Batch Name], 0)))</f>
        <v/>
      </c>
      <c r="AJ159" s="101">
        <f>IF(COUNTIF(SelectedPrecincts[Batch Name],SamplingData[[#This Row],[Batch by Type (p)]]) &lt;&gt; 0, COUNTIF(SelectedPrecincts[Batch Name],SamplingData[[#This Row],[Batch by Type (p)]]), 0)</f>
        <v>0</v>
      </c>
    </row>
    <row r="160" spans="1:36" ht="15" customHeight="1" x14ac:dyDescent="0.35">
      <c r="A160" s="98" t="s">
        <v>372</v>
      </c>
      <c r="B160" s="98">
        <v>0</v>
      </c>
      <c r="C160" s="98">
        <v>2</v>
      </c>
      <c r="D160" s="93"/>
      <c r="E160" s="93"/>
      <c r="F160" s="93"/>
      <c r="G160" s="97"/>
      <c r="H160" s="97"/>
      <c r="I160" s="93"/>
      <c r="J160" s="93"/>
      <c r="K160" s="93"/>
      <c r="L160" s="93"/>
      <c r="M160" s="93"/>
      <c r="N160" s="98">
        <v>0</v>
      </c>
      <c r="O160" s="98">
        <v>0</v>
      </c>
      <c r="P160" s="99">
        <f>SUM(SamplingData[[#This Row],[Winning Candidate]:[Under Votes]])</f>
        <v>2</v>
      </c>
      <c r="Q160" s="100">
        <f>IF(AND(SamplingData[[#This Row],[Total]]&lt;&gt; 0, NOT(ISBLANK(SamplingData[[#This Row],[Losing Candidate]]))),(SamplingData[[#This Row],[Total]]+SamplingData[[#This Row],[Winning Candidate]]-SamplingData[[#This Row],[Losing Candidate]])/(SamplingData[[#Totals],[Winning Candidate]]-SamplingData[[#Totals],[Losing Candidate]]), 0)</f>
        <v>0</v>
      </c>
      <c r="R160" s="100">
        <f>IF(AND(SamplingData[[#This Row],[Total]]&lt;&gt; 0, NOT(ISBLANK(SamplingData[[#This Row],[Candidate 3]]))),(SamplingData[[#This Row],[Total]]+SamplingData[[#This Row],[Winning Candidate]]-SamplingData[[#This Row],[Candidate 3]])/(SamplingData[[#Totals],[Winning Candidate]]-SamplingData[[#Totals],[Candidate 3]]), 0)</f>
        <v>0</v>
      </c>
      <c r="S160" s="100">
        <f>IF(AND(SamplingData[[#This Row],[Total]]&lt;&gt; 0, NOT(ISBLANK(SamplingData[[#This Row],[Candidate 4]]))),(SamplingData[[#This Row],[Total]]+SamplingData[[#This Row],[Winning Candidate]]-SamplingData[[#This Row],[Candidate 4]])/(SamplingData[[#Totals],[Winning Candidate]]-SamplingData[[#Totals],[Candidate 4]]), 0)</f>
        <v>0</v>
      </c>
      <c r="T160" s="100">
        <f>IF(AND(SamplingData[[#This Row],[Total]]&lt;&gt; 0, NOT(ISBLANK(SamplingData[[#This Row],[Candidate 5]]))),(SamplingData[[#This Row],[Total]]+SamplingData[[#This Row],[Winning Candidate]]-SamplingData[[#This Row],[Candidate 5]])/(SamplingData[[#Totals],[Winning Candidate]]-SamplingData[[#Totals],[Candidate 5]]), 0)</f>
        <v>0</v>
      </c>
      <c r="U160" s="100">
        <f>IF(AND(SamplingData[[#This Row],[Total]]&lt;&gt; 0, NOT(ISBLANK(SamplingData[[#This Row],[Candidate 6]]))),(SamplingData[[#This Row],[Total]]+SamplingData[[#This Row],[Losing Candidate]]-SamplingData[[#This Row],[Candidate 6]])/(SamplingData[[#Totals],[Winning Candidate]]-SamplingData[[#Totals],[Candidate 6]]), 0)</f>
        <v>0</v>
      </c>
      <c r="V160" s="100">
        <f>IF(AND(SamplingData[[#This Row],[Total]]&lt;&gt; 0, NOT(ISBLANK(SamplingData[[#This Row],[Candidate 7]]))),(SamplingData[[#This Row],[Total]]+SamplingData[[#This Row],[Winning Candidate]]-SamplingData[[#This Row],[Candidate 7]])/(SamplingData[[#Totals],[Winning Candidate]]-SamplingData[[#Totals],[Candidate 7]]), 0)</f>
        <v>0</v>
      </c>
      <c r="W160" s="100">
        <f>IF(AND(SamplingData[[#This Row],[Total]]&lt;&gt; 0, NOT(ISBLANK(SamplingData[[#This Row],[Candidate 8]]))),(SamplingData[[#This Row],[Total]]+SamplingData[[#This Row],[Winning Candidate]]-SamplingData[[#This Row],[Candidate 8]])/(SamplingData[[#Totals],[Winning Candidate]]-SamplingData[[#Totals],[Candidate 8]]), 0)</f>
        <v>0</v>
      </c>
      <c r="X1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00">
        <f>MAX(SamplingData[[#This Row],[Error Bound (up) - Max. possible relative overstatement - Losing Candidate]:[Error Bound (up) - Max. possible relative overstatement - Candidate 12]])</f>
        <v>0</v>
      </c>
      <c r="AC160" s="100">
        <f>IF(SamplingData[[#This Row],[Max Error Bound (up)]] = 0,0,SamplingData[[#This Row],[Max Error Bound (up)]]/SamplingData[[#Totals],[Max Error Bound (up)]])</f>
        <v>0</v>
      </c>
      <c r="AD160" s="104">
        <f>SUM($AC$5:AC160)</f>
        <v>2.592472944596997E-2</v>
      </c>
      <c r="AE160" s="100" t="str" cm="1">
        <f t="array" ref="AE160">IF(SamplingData[[#This Row],[up/U Selection Probability]] = 0, "Zero", TEXT(SamplingData[[#This Row],[Lower Range]], REPT("0",LEN('General Info'!$B$42))) &amp; " - " &amp; TEXT(SamplingData[[#This Row],[Upper Range]], REPT("0",LEN('General Info'!$B$42))))</f>
        <v>Zero</v>
      </c>
      <c r="AF160" s="100">
        <f>SamplingData[[#This Row],[Upper Range]]-SamplingData[[#This Row],[Span]]</f>
        <v>2592.472944596997</v>
      </c>
      <c r="AG160" s="100">
        <f>IF(ISNUMBER('General Info'!$B$42), ((SamplingData[[#This Row],[up/U Selection Probability]]) * 'General Info'!$B$44) - 1, 0)</f>
        <v>-1</v>
      </c>
      <c r="AH160" s="100">
        <f>IF(ISNUMBER('General Info'!$B$42), (SamplingData[[#This Row],[Running (cumulative) sum]] * ('General Info'!$B$42 -'General Info'!$B$43 + 1)) + 'General Info'!$B$43 - 1, 0)</f>
        <v>2591.472944596997</v>
      </c>
      <c r="AI160" s="100" t="str">
        <f>IF(ISERROR(MATCH(SamplingData[[#This Row],[Batch by Type (p)]],SelectedPrecincts[Batch Name], 0)), "", INDEX(SelectedPrecincts[Draw], MATCH(SamplingData[[#This Row],[Batch by Type (p)]],SelectedPrecincts[Batch Name], 0)))</f>
        <v/>
      </c>
      <c r="AJ160" s="101">
        <f>IF(COUNTIF(SelectedPrecincts[Batch Name],SamplingData[[#This Row],[Batch by Type (p)]]) &lt;&gt; 0, COUNTIF(SelectedPrecincts[Batch Name],SamplingData[[#This Row],[Batch by Type (p)]]), 0)</f>
        <v>0</v>
      </c>
    </row>
    <row r="161" spans="1:36" ht="15" customHeight="1" x14ac:dyDescent="0.35">
      <c r="A161" s="98" t="s">
        <v>373</v>
      </c>
      <c r="B161" s="98">
        <v>6</v>
      </c>
      <c r="C161" s="98">
        <v>1</v>
      </c>
      <c r="D161" s="93"/>
      <c r="E161" s="93"/>
      <c r="F161" s="93"/>
      <c r="G161" s="97"/>
      <c r="H161" s="97"/>
      <c r="I161" s="93"/>
      <c r="J161" s="93"/>
      <c r="K161" s="93"/>
      <c r="L161" s="93"/>
      <c r="M161" s="93"/>
      <c r="N161" s="98">
        <v>0</v>
      </c>
      <c r="O161" s="98">
        <v>0</v>
      </c>
      <c r="P161" s="99">
        <f>SUM(SamplingData[[#This Row],[Winning Candidate]:[Under Votes]])</f>
        <v>7</v>
      </c>
      <c r="Q161"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61" s="100">
        <f>IF(AND(SamplingData[[#This Row],[Total]]&lt;&gt; 0, NOT(ISBLANK(SamplingData[[#This Row],[Candidate 3]]))),(SamplingData[[#This Row],[Total]]+SamplingData[[#This Row],[Winning Candidate]]-SamplingData[[#This Row],[Candidate 3]])/(SamplingData[[#Totals],[Winning Candidate]]-SamplingData[[#Totals],[Candidate 3]]), 0)</f>
        <v>0</v>
      </c>
      <c r="S161" s="100">
        <f>IF(AND(SamplingData[[#This Row],[Total]]&lt;&gt; 0, NOT(ISBLANK(SamplingData[[#This Row],[Candidate 4]]))),(SamplingData[[#This Row],[Total]]+SamplingData[[#This Row],[Winning Candidate]]-SamplingData[[#This Row],[Candidate 4]])/(SamplingData[[#Totals],[Winning Candidate]]-SamplingData[[#Totals],[Candidate 4]]), 0)</f>
        <v>0</v>
      </c>
      <c r="T161" s="100">
        <f>IF(AND(SamplingData[[#This Row],[Total]]&lt;&gt; 0, NOT(ISBLANK(SamplingData[[#This Row],[Candidate 5]]))),(SamplingData[[#This Row],[Total]]+SamplingData[[#This Row],[Winning Candidate]]-SamplingData[[#This Row],[Candidate 5]])/(SamplingData[[#Totals],[Winning Candidate]]-SamplingData[[#Totals],[Candidate 5]]), 0)</f>
        <v>0</v>
      </c>
      <c r="U161" s="100">
        <f>IF(AND(SamplingData[[#This Row],[Total]]&lt;&gt; 0, NOT(ISBLANK(SamplingData[[#This Row],[Candidate 6]]))),(SamplingData[[#This Row],[Total]]+SamplingData[[#This Row],[Losing Candidate]]-SamplingData[[#This Row],[Candidate 6]])/(SamplingData[[#Totals],[Winning Candidate]]-SamplingData[[#Totals],[Candidate 6]]), 0)</f>
        <v>0</v>
      </c>
      <c r="V161" s="100">
        <f>IF(AND(SamplingData[[#This Row],[Total]]&lt;&gt; 0, NOT(ISBLANK(SamplingData[[#This Row],[Candidate 7]]))),(SamplingData[[#This Row],[Total]]+SamplingData[[#This Row],[Winning Candidate]]-SamplingData[[#This Row],[Candidate 7]])/(SamplingData[[#Totals],[Winning Candidate]]-SamplingData[[#Totals],[Candidate 7]]), 0)</f>
        <v>0</v>
      </c>
      <c r="W161" s="100">
        <f>IF(AND(SamplingData[[#This Row],[Total]]&lt;&gt; 0, NOT(ISBLANK(SamplingData[[#This Row],[Candidate 8]]))),(SamplingData[[#This Row],[Total]]+SamplingData[[#This Row],[Winning Candidate]]-SamplingData[[#This Row],[Candidate 8]])/(SamplingData[[#Totals],[Winning Candidate]]-SamplingData[[#Totals],[Candidate 8]]), 0)</f>
        <v>0</v>
      </c>
      <c r="X1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00">
        <f>MAX(SamplingData[[#This Row],[Error Bound (up) - Max. possible relative overstatement - Losing Candidate]:[Error Bound (up) - Max. possible relative overstatement - Candidate 12]])</f>
        <v>3.7691993592361088E-4</v>
      </c>
      <c r="AC161" s="100">
        <f>IF(SamplingData[[#This Row],[Max Error Bound (up)]] = 0,0,SamplingData[[#This Row],[Max Error Bound (up)]]/SamplingData[[#Totals],[Max Error Bound (up)]])</f>
        <v>1.6152479405588763E-4</v>
      </c>
      <c r="AD161" s="104">
        <f>SUM($AC$5:AC161)</f>
        <v>2.6086254240025857E-2</v>
      </c>
      <c r="AE161" s="100" t="str" cm="1">
        <f t="array" ref="AE161">IF(SamplingData[[#This Row],[up/U Selection Probability]] = 0, "Zero", TEXT(SamplingData[[#This Row],[Lower Range]], REPT("0",LEN('General Info'!$B$42))) &amp; " - " &amp; TEXT(SamplingData[[#This Row],[Upper Range]], REPT("0",LEN('General Info'!$B$42))))</f>
        <v>02592 - 02608</v>
      </c>
      <c r="AF161" s="100">
        <f>SamplingData[[#This Row],[Upper Range]]-SamplingData[[#This Row],[Span]]</f>
        <v>2592.472944596997</v>
      </c>
      <c r="AG161" s="100">
        <f>IF(ISNUMBER('General Info'!$B$42), ((SamplingData[[#This Row],[up/U Selection Probability]]) * 'General Info'!$B$44) - 1, 0)</f>
        <v>15.152479405588764</v>
      </c>
      <c r="AH161" s="100">
        <f>IF(ISNUMBER('General Info'!$B$42), (SamplingData[[#This Row],[Running (cumulative) sum]] * ('General Info'!$B$42 -'General Info'!$B$43 + 1)) + 'General Info'!$B$43 - 1, 0)</f>
        <v>2607.6254240025855</v>
      </c>
      <c r="AI161" s="100" t="str">
        <f>IF(ISERROR(MATCH(SamplingData[[#This Row],[Batch by Type (p)]],SelectedPrecincts[Batch Name], 0)), "", INDEX(SelectedPrecincts[Draw], MATCH(SamplingData[[#This Row],[Batch by Type (p)]],SelectedPrecincts[Batch Name], 0)))</f>
        <v/>
      </c>
      <c r="AJ161" s="101">
        <f>IF(COUNTIF(SelectedPrecincts[Batch Name],SamplingData[[#This Row],[Batch by Type (p)]]) &lt;&gt; 0, COUNTIF(SelectedPrecincts[Batch Name],SamplingData[[#This Row],[Batch by Type (p)]]), 0)</f>
        <v>0</v>
      </c>
    </row>
    <row r="162" spans="1:36" ht="15" customHeight="1" x14ac:dyDescent="0.35">
      <c r="A162" s="98" t="s">
        <v>374</v>
      </c>
      <c r="B162" s="98">
        <v>0</v>
      </c>
      <c r="C162" s="98">
        <v>0</v>
      </c>
      <c r="D162" s="93"/>
      <c r="E162" s="93"/>
      <c r="F162" s="93"/>
      <c r="G162" s="97"/>
      <c r="H162" s="97"/>
      <c r="I162" s="93"/>
      <c r="J162" s="93"/>
      <c r="K162" s="93"/>
      <c r="L162" s="93"/>
      <c r="M162" s="93"/>
      <c r="N162" s="98">
        <v>0</v>
      </c>
      <c r="O162" s="98">
        <v>0</v>
      </c>
      <c r="P162" s="99">
        <f>SUM(SamplingData[[#This Row],[Winning Candidate]:[Under Votes]])</f>
        <v>0</v>
      </c>
      <c r="Q162" s="100">
        <f>IF(AND(SamplingData[[#This Row],[Total]]&lt;&gt; 0, NOT(ISBLANK(SamplingData[[#This Row],[Losing Candidate]]))),(SamplingData[[#This Row],[Total]]+SamplingData[[#This Row],[Winning Candidate]]-SamplingData[[#This Row],[Losing Candidate]])/(SamplingData[[#Totals],[Winning Candidate]]-SamplingData[[#Totals],[Losing Candidate]]), 0)</f>
        <v>0</v>
      </c>
      <c r="R162" s="100">
        <f>IF(AND(SamplingData[[#This Row],[Total]]&lt;&gt; 0, NOT(ISBLANK(SamplingData[[#This Row],[Candidate 3]]))),(SamplingData[[#This Row],[Total]]+SamplingData[[#This Row],[Winning Candidate]]-SamplingData[[#This Row],[Candidate 3]])/(SamplingData[[#Totals],[Winning Candidate]]-SamplingData[[#Totals],[Candidate 3]]), 0)</f>
        <v>0</v>
      </c>
      <c r="S162" s="100">
        <f>IF(AND(SamplingData[[#This Row],[Total]]&lt;&gt; 0, NOT(ISBLANK(SamplingData[[#This Row],[Candidate 4]]))),(SamplingData[[#This Row],[Total]]+SamplingData[[#This Row],[Winning Candidate]]-SamplingData[[#This Row],[Candidate 4]])/(SamplingData[[#Totals],[Winning Candidate]]-SamplingData[[#Totals],[Candidate 4]]), 0)</f>
        <v>0</v>
      </c>
      <c r="T162" s="100">
        <f>IF(AND(SamplingData[[#This Row],[Total]]&lt;&gt; 0, NOT(ISBLANK(SamplingData[[#This Row],[Candidate 5]]))),(SamplingData[[#This Row],[Total]]+SamplingData[[#This Row],[Winning Candidate]]-SamplingData[[#This Row],[Candidate 5]])/(SamplingData[[#Totals],[Winning Candidate]]-SamplingData[[#Totals],[Candidate 5]]), 0)</f>
        <v>0</v>
      </c>
      <c r="U162" s="100">
        <f>IF(AND(SamplingData[[#This Row],[Total]]&lt;&gt; 0, NOT(ISBLANK(SamplingData[[#This Row],[Candidate 6]]))),(SamplingData[[#This Row],[Total]]+SamplingData[[#This Row],[Losing Candidate]]-SamplingData[[#This Row],[Candidate 6]])/(SamplingData[[#Totals],[Winning Candidate]]-SamplingData[[#Totals],[Candidate 6]]), 0)</f>
        <v>0</v>
      </c>
      <c r="V162" s="100">
        <f>IF(AND(SamplingData[[#This Row],[Total]]&lt;&gt; 0, NOT(ISBLANK(SamplingData[[#This Row],[Candidate 7]]))),(SamplingData[[#This Row],[Total]]+SamplingData[[#This Row],[Winning Candidate]]-SamplingData[[#This Row],[Candidate 7]])/(SamplingData[[#Totals],[Winning Candidate]]-SamplingData[[#Totals],[Candidate 7]]), 0)</f>
        <v>0</v>
      </c>
      <c r="W162" s="100">
        <f>IF(AND(SamplingData[[#This Row],[Total]]&lt;&gt; 0, NOT(ISBLANK(SamplingData[[#This Row],[Candidate 8]]))),(SamplingData[[#This Row],[Total]]+SamplingData[[#This Row],[Winning Candidate]]-SamplingData[[#This Row],[Candidate 8]])/(SamplingData[[#Totals],[Winning Candidate]]-SamplingData[[#Totals],[Candidate 8]]), 0)</f>
        <v>0</v>
      </c>
      <c r="X1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00">
        <f>MAX(SamplingData[[#This Row],[Error Bound (up) - Max. possible relative overstatement - Losing Candidate]:[Error Bound (up) - Max. possible relative overstatement - Candidate 12]])</f>
        <v>0</v>
      </c>
      <c r="AC162" s="100">
        <f>IF(SamplingData[[#This Row],[Max Error Bound (up)]] = 0,0,SamplingData[[#This Row],[Max Error Bound (up)]]/SamplingData[[#Totals],[Max Error Bound (up)]])</f>
        <v>0</v>
      </c>
      <c r="AD162" s="104">
        <f>SUM($AC$5:AC162)</f>
        <v>2.6086254240025857E-2</v>
      </c>
      <c r="AE162" s="100" t="str" cm="1">
        <f t="array" ref="AE162">IF(SamplingData[[#This Row],[up/U Selection Probability]] = 0, "Zero", TEXT(SamplingData[[#This Row],[Lower Range]], REPT("0",LEN('General Info'!$B$42))) &amp; " - " &amp; TEXT(SamplingData[[#This Row],[Upper Range]], REPT("0",LEN('General Info'!$B$42))))</f>
        <v>Zero</v>
      </c>
      <c r="AF162" s="100">
        <f>SamplingData[[#This Row],[Upper Range]]-SamplingData[[#This Row],[Span]]</f>
        <v>2608.6254240025855</v>
      </c>
      <c r="AG162" s="100">
        <f>IF(ISNUMBER('General Info'!$B$42), ((SamplingData[[#This Row],[up/U Selection Probability]]) * 'General Info'!$B$44) - 1, 0)</f>
        <v>-1</v>
      </c>
      <c r="AH162" s="100">
        <f>IF(ISNUMBER('General Info'!$B$42), (SamplingData[[#This Row],[Running (cumulative) sum]] * ('General Info'!$B$42 -'General Info'!$B$43 + 1)) + 'General Info'!$B$43 - 1, 0)</f>
        <v>2607.6254240025855</v>
      </c>
      <c r="AI162" s="100" t="str">
        <f>IF(ISERROR(MATCH(SamplingData[[#This Row],[Batch by Type (p)]],SelectedPrecincts[Batch Name], 0)), "", INDEX(SelectedPrecincts[Draw], MATCH(SamplingData[[#This Row],[Batch by Type (p)]],SelectedPrecincts[Batch Name], 0)))</f>
        <v/>
      </c>
      <c r="AJ162" s="101">
        <f>IF(COUNTIF(SelectedPrecincts[Batch Name],SamplingData[[#This Row],[Batch by Type (p)]]) &lt;&gt; 0, COUNTIF(SelectedPrecincts[Batch Name],SamplingData[[#This Row],[Batch by Type (p)]]), 0)</f>
        <v>0</v>
      </c>
    </row>
    <row r="163" spans="1:36" ht="15" customHeight="1" x14ac:dyDescent="0.35">
      <c r="A163" s="98" t="s">
        <v>375</v>
      </c>
      <c r="B163" s="98">
        <v>0</v>
      </c>
      <c r="C163" s="98">
        <v>0</v>
      </c>
      <c r="D163" s="93"/>
      <c r="E163" s="93"/>
      <c r="F163" s="93"/>
      <c r="G163" s="97"/>
      <c r="H163" s="97"/>
      <c r="I163" s="93"/>
      <c r="J163" s="93"/>
      <c r="K163" s="93"/>
      <c r="L163" s="93"/>
      <c r="M163" s="93"/>
      <c r="N163" s="98">
        <v>0</v>
      </c>
      <c r="O163" s="98">
        <v>0</v>
      </c>
      <c r="P163" s="99">
        <f>SUM(SamplingData[[#This Row],[Winning Candidate]:[Under Votes]])</f>
        <v>0</v>
      </c>
      <c r="Q163" s="100">
        <f>IF(AND(SamplingData[[#This Row],[Total]]&lt;&gt; 0, NOT(ISBLANK(SamplingData[[#This Row],[Losing Candidate]]))),(SamplingData[[#This Row],[Total]]+SamplingData[[#This Row],[Winning Candidate]]-SamplingData[[#This Row],[Losing Candidate]])/(SamplingData[[#Totals],[Winning Candidate]]-SamplingData[[#Totals],[Losing Candidate]]), 0)</f>
        <v>0</v>
      </c>
      <c r="R163" s="100">
        <f>IF(AND(SamplingData[[#This Row],[Total]]&lt;&gt; 0, NOT(ISBLANK(SamplingData[[#This Row],[Candidate 3]]))),(SamplingData[[#This Row],[Total]]+SamplingData[[#This Row],[Winning Candidate]]-SamplingData[[#This Row],[Candidate 3]])/(SamplingData[[#Totals],[Winning Candidate]]-SamplingData[[#Totals],[Candidate 3]]), 0)</f>
        <v>0</v>
      </c>
      <c r="S163" s="100">
        <f>IF(AND(SamplingData[[#This Row],[Total]]&lt;&gt; 0, NOT(ISBLANK(SamplingData[[#This Row],[Candidate 4]]))),(SamplingData[[#This Row],[Total]]+SamplingData[[#This Row],[Winning Candidate]]-SamplingData[[#This Row],[Candidate 4]])/(SamplingData[[#Totals],[Winning Candidate]]-SamplingData[[#Totals],[Candidate 4]]), 0)</f>
        <v>0</v>
      </c>
      <c r="T163" s="100">
        <f>IF(AND(SamplingData[[#This Row],[Total]]&lt;&gt; 0, NOT(ISBLANK(SamplingData[[#This Row],[Candidate 5]]))),(SamplingData[[#This Row],[Total]]+SamplingData[[#This Row],[Winning Candidate]]-SamplingData[[#This Row],[Candidate 5]])/(SamplingData[[#Totals],[Winning Candidate]]-SamplingData[[#Totals],[Candidate 5]]), 0)</f>
        <v>0</v>
      </c>
      <c r="U163" s="100">
        <f>IF(AND(SamplingData[[#This Row],[Total]]&lt;&gt; 0, NOT(ISBLANK(SamplingData[[#This Row],[Candidate 6]]))),(SamplingData[[#This Row],[Total]]+SamplingData[[#This Row],[Losing Candidate]]-SamplingData[[#This Row],[Candidate 6]])/(SamplingData[[#Totals],[Winning Candidate]]-SamplingData[[#Totals],[Candidate 6]]), 0)</f>
        <v>0</v>
      </c>
      <c r="V163" s="100">
        <f>IF(AND(SamplingData[[#This Row],[Total]]&lt;&gt; 0, NOT(ISBLANK(SamplingData[[#This Row],[Candidate 7]]))),(SamplingData[[#This Row],[Total]]+SamplingData[[#This Row],[Winning Candidate]]-SamplingData[[#This Row],[Candidate 7]])/(SamplingData[[#Totals],[Winning Candidate]]-SamplingData[[#Totals],[Candidate 7]]), 0)</f>
        <v>0</v>
      </c>
      <c r="W163" s="100">
        <f>IF(AND(SamplingData[[#This Row],[Total]]&lt;&gt; 0, NOT(ISBLANK(SamplingData[[#This Row],[Candidate 8]]))),(SamplingData[[#This Row],[Total]]+SamplingData[[#This Row],[Winning Candidate]]-SamplingData[[#This Row],[Candidate 8]])/(SamplingData[[#Totals],[Winning Candidate]]-SamplingData[[#Totals],[Candidate 8]]), 0)</f>
        <v>0</v>
      </c>
      <c r="X1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00">
        <f>MAX(SamplingData[[#This Row],[Error Bound (up) - Max. possible relative overstatement - Losing Candidate]:[Error Bound (up) - Max. possible relative overstatement - Candidate 12]])</f>
        <v>0</v>
      </c>
      <c r="AC163" s="100">
        <f>IF(SamplingData[[#This Row],[Max Error Bound (up)]] = 0,0,SamplingData[[#This Row],[Max Error Bound (up)]]/SamplingData[[#Totals],[Max Error Bound (up)]])</f>
        <v>0</v>
      </c>
      <c r="AD163" s="104">
        <f>SUM($AC$5:AC163)</f>
        <v>2.6086254240025857E-2</v>
      </c>
      <c r="AE163" s="100" t="str" cm="1">
        <f t="array" ref="AE163">IF(SamplingData[[#This Row],[up/U Selection Probability]] = 0, "Zero", TEXT(SamplingData[[#This Row],[Lower Range]], REPT("0",LEN('General Info'!$B$42))) &amp; " - " &amp; TEXT(SamplingData[[#This Row],[Upper Range]], REPT("0",LEN('General Info'!$B$42))))</f>
        <v>Zero</v>
      </c>
      <c r="AF163" s="100">
        <f>SamplingData[[#This Row],[Upper Range]]-SamplingData[[#This Row],[Span]]</f>
        <v>2608.6254240025855</v>
      </c>
      <c r="AG163" s="100">
        <f>IF(ISNUMBER('General Info'!$B$42), ((SamplingData[[#This Row],[up/U Selection Probability]]) * 'General Info'!$B$44) - 1, 0)</f>
        <v>-1</v>
      </c>
      <c r="AH163" s="100">
        <f>IF(ISNUMBER('General Info'!$B$42), (SamplingData[[#This Row],[Running (cumulative) sum]] * ('General Info'!$B$42 -'General Info'!$B$43 + 1)) + 'General Info'!$B$43 - 1, 0)</f>
        <v>2607.6254240025855</v>
      </c>
      <c r="AI163" s="100" t="str">
        <f>IF(ISERROR(MATCH(SamplingData[[#This Row],[Batch by Type (p)]],SelectedPrecincts[Batch Name], 0)), "", INDEX(SelectedPrecincts[Draw], MATCH(SamplingData[[#This Row],[Batch by Type (p)]],SelectedPrecincts[Batch Name], 0)))</f>
        <v/>
      </c>
      <c r="AJ163" s="101">
        <f>IF(COUNTIF(SelectedPrecincts[Batch Name],SamplingData[[#This Row],[Batch by Type (p)]]) &lt;&gt; 0, COUNTIF(SelectedPrecincts[Batch Name],SamplingData[[#This Row],[Batch by Type (p)]]), 0)</f>
        <v>0</v>
      </c>
    </row>
    <row r="164" spans="1:36" ht="15" customHeight="1" x14ac:dyDescent="0.35">
      <c r="A164" s="98" t="s">
        <v>376</v>
      </c>
      <c r="B164" s="98">
        <v>1</v>
      </c>
      <c r="C164" s="98">
        <v>0</v>
      </c>
      <c r="D164" s="93"/>
      <c r="E164" s="93"/>
      <c r="F164" s="93"/>
      <c r="G164" s="97"/>
      <c r="H164" s="97"/>
      <c r="I164" s="93"/>
      <c r="J164" s="93"/>
      <c r="K164" s="93"/>
      <c r="L164" s="93"/>
      <c r="M164" s="93"/>
      <c r="N164" s="98">
        <v>0</v>
      </c>
      <c r="O164" s="98">
        <v>0</v>
      </c>
      <c r="P164" s="99">
        <f>SUM(SamplingData[[#This Row],[Winning Candidate]:[Under Votes]])</f>
        <v>1</v>
      </c>
      <c r="Q164"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64" s="100">
        <f>IF(AND(SamplingData[[#This Row],[Total]]&lt;&gt; 0, NOT(ISBLANK(SamplingData[[#This Row],[Candidate 3]]))),(SamplingData[[#This Row],[Total]]+SamplingData[[#This Row],[Winning Candidate]]-SamplingData[[#This Row],[Candidate 3]])/(SamplingData[[#Totals],[Winning Candidate]]-SamplingData[[#Totals],[Candidate 3]]), 0)</f>
        <v>0</v>
      </c>
      <c r="S164" s="100">
        <f>IF(AND(SamplingData[[#This Row],[Total]]&lt;&gt; 0, NOT(ISBLANK(SamplingData[[#This Row],[Candidate 4]]))),(SamplingData[[#This Row],[Total]]+SamplingData[[#This Row],[Winning Candidate]]-SamplingData[[#This Row],[Candidate 4]])/(SamplingData[[#Totals],[Winning Candidate]]-SamplingData[[#Totals],[Candidate 4]]), 0)</f>
        <v>0</v>
      </c>
      <c r="T164" s="100">
        <f>IF(AND(SamplingData[[#This Row],[Total]]&lt;&gt; 0, NOT(ISBLANK(SamplingData[[#This Row],[Candidate 5]]))),(SamplingData[[#This Row],[Total]]+SamplingData[[#This Row],[Winning Candidate]]-SamplingData[[#This Row],[Candidate 5]])/(SamplingData[[#Totals],[Winning Candidate]]-SamplingData[[#Totals],[Candidate 5]]), 0)</f>
        <v>0</v>
      </c>
      <c r="U164" s="100">
        <f>IF(AND(SamplingData[[#This Row],[Total]]&lt;&gt; 0, NOT(ISBLANK(SamplingData[[#This Row],[Candidate 6]]))),(SamplingData[[#This Row],[Total]]+SamplingData[[#This Row],[Losing Candidate]]-SamplingData[[#This Row],[Candidate 6]])/(SamplingData[[#Totals],[Winning Candidate]]-SamplingData[[#Totals],[Candidate 6]]), 0)</f>
        <v>0</v>
      </c>
      <c r="V164" s="100">
        <f>IF(AND(SamplingData[[#This Row],[Total]]&lt;&gt; 0, NOT(ISBLANK(SamplingData[[#This Row],[Candidate 7]]))),(SamplingData[[#This Row],[Total]]+SamplingData[[#This Row],[Winning Candidate]]-SamplingData[[#This Row],[Candidate 7]])/(SamplingData[[#Totals],[Winning Candidate]]-SamplingData[[#Totals],[Candidate 7]]), 0)</f>
        <v>0</v>
      </c>
      <c r="W164" s="100">
        <f>IF(AND(SamplingData[[#This Row],[Total]]&lt;&gt; 0, NOT(ISBLANK(SamplingData[[#This Row],[Candidate 8]]))),(SamplingData[[#This Row],[Total]]+SamplingData[[#This Row],[Winning Candidate]]-SamplingData[[#This Row],[Candidate 8]])/(SamplingData[[#Totals],[Winning Candidate]]-SamplingData[[#Totals],[Candidate 8]]), 0)</f>
        <v>0</v>
      </c>
      <c r="X1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00">
        <f>MAX(SamplingData[[#This Row],[Error Bound (up) - Max. possible relative overstatement - Losing Candidate]:[Error Bound (up) - Max. possible relative overstatement - Candidate 12]])</f>
        <v>6.2819989320601809E-5</v>
      </c>
      <c r="AC164" s="100">
        <f>IF(SamplingData[[#This Row],[Max Error Bound (up)]] = 0,0,SamplingData[[#This Row],[Max Error Bound (up)]]/SamplingData[[#Totals],[Max Error Bound (up)]])</f>
        <v>2.6920799009314603E-5</v>
      </c>
      <c r="AD164" s="104">
        <f>SUM($AC$5:AC164)</f>
        <v>2.611317503903517E-2</v>
      </c>
      <c r="AE164" s="100" t="str" cm="1">
        <f t="array" ref="AE164">IF(SamplingData[[#This Row],[up/U Selection Probability]] = 0, "Zero", TEXT(SamplingData[[#This Row],[Lower Range]], REPT("0",LEN('General Info'!$B$42))) &amp; " - " &amp; TEXT(SamplingData[[#This Row],[Upper Range]], REPT("0",LEN('General Info'!$B$42))))</f>
        <v>02609 - 02610</v>
      </c>
      <c r="AF164" s="100">
        <f>SamplingData[[#This Row],[Upper Range]]-SamplingData[[#This Row],[Span]]</f>
        <v>2608.6254240025855</v>
      </c>
      <c r="AG164" s="100">
        <f>IF(ISNUMBER('General Info'!$B$42), ((SamplingData[[#This Row],[up/U Selection Probability]]) * 'General Info'!$B$44) - 1, 0)</f>
        <v>1.6920799009314602</v>
      </c>
      <c r="AH164" s="100">
        <f>IF(ISNUMBER('General Info'!$B$42), (SamplingData[[#This Row],[Running (cumulative) sum]] * ('General Info'!$B$42 -'General Info'!$B$43 + 1)) + 'General Info'!$B$43 - 1, 0)</f>
        <v>2610.3175039035168</v>
      </c>
      <c r="AI164" s="100" t="str">
        <f>IF(ISERROR(MATCH(SamplingData[[#This Row],[Batch by Type (p)]],SelectedPrecincts[Batch Name], 0)), "", INDEX(SelectedPrecincts[Draw], MATCH(SamplingData[[#This Row],[Batch by Type (p)]],SelectedPrecincts[Batch Name], 0)))</f>
        <v/>
      </c>
      <c r="AJ164" s="101">
        <f>IF(COUNTIF(SelectedPrecincts[Batch Name],SamplingData[[#This Row],[Batch by Type (p)]]) &lt;&gt; 0, COUNTIF(SelectedPrecincts[Batch Name],SamplingData[[#This Row],[Batch by Type (p)]]), 0)</f>
        <v>0</v>
      </c>
    </row>
    <row r="165" spans="1:36" ht="15" customHeight="1" x14ac:dyDescent="0.35">
      <c r="A165" s="98" t="s">
        <v>377</v>
      </c>
      <c r="B165" s="98">
        <v>4</v>
      </c>
      <c r="C165" s="98">
        <v>2</v>
      </c>
      <c r="D165" s="93"/>
      <c r="E165" s="93"/>
      <c r="F165" s="93"/>
      <c r="G165" s="97"/>
      <c r="H165" s="97"/>
      <c r="I165" s="93"/>
      <c r="J165" s="93"/>
      <c r="K165" s="93"/>
      <c r="L165" s="93"/>
      <c r="M165" s="93"/>
      <c r="N165" s="98">
        <v>0</v>
      </c>
      <c r="O165" s="98">
        <v>0</v>
      </c>
      <c r="P165" s="99">
        <f>SUM(SamplingData[[#This Row],[Winning Candidate]:[Under Votes]])</f>
        <v>6</v>
      </c>
      <c r="Q16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65" s="100">
        <f>IF(AND(SamplingData[[#This Row],[Total]]&lt;&gt; 0, NOT(ISBLANK(SamplingData[[#This Row],[Candidate 3]]))),(SamplingData[[#This Row],[Total]]+SamplingData[[#This Row],[Winning Candidate]]-SamplingData[[#This Row],[Candidate 3]])/(SamplingData[[#Totals],[Winning Candidate]]-SamplingData[[#Totals],[Candidate 3]]), 0)</f>
        <v>0</v>
      </c>
      <c r="S165" s="100">
        <f>IF(AND(SamplingData[[#This Row],[Total]]&lt;&gt; 0, NOT(ISBLANK(SamplingData[[#This Row],[Candidate 4]]))),(SamplingData[[#This Row],[Total]]+SamplingData[[#This Row],[Winning Candidate]]-SamplingData[[#This Row],[Candidate 4]])/(SamplingData[[#Totals],[Winning Candidate]]-SamplingData[[#Totals],[Candidate 4]]), 0)</f>
        <v>0</v>
      </c>
      <c r="T165" s="100">
        <f>IF(AND(SamplingData[[#This Row],[Total]]&lt;&gt; 0, NOT(ISBLANK(SamplingData[[#This Row],[Candidate 5]]))),(SamplingData[[#This Row],[Total]]+SamplingData[[#This Row],[Winning Candidate]]-SamplingData[[#This Row],[Candidate 5]])/(SamplingData[[#Totals],[Winning Candidate]]-SamplingData[[#Totals],[Candidate 5]]), 0)</f>
        <v>0</v>
      </c>
      <c r="U165" s="100">
        <f>IF(AND(SamplingData[[#This Row],[Total]]&lt;&gt; 0, NOT(ISBLANK(SamplingData[[#This Row],[Candidate 6]]))),(SamplingData[[#This Row],[Total]]+SamplingData[[#This Row],[Losing Candidate]]-SamplingData[[#This Row],[Candidate 6]])/(SamplingData[[#Totals],[Winning Candidate]]-SamplingData[[#Totals],[Candidate 6]]), 0)</f>
        <v>0</v>
      </c>
      <c r="V165" s="100">
        <f>IF(AND(SamplingData[[#This Row],[Total]]&lt;&gt; 0, NOT(ISBLANK(SamplingData[[#This Row],[Candidate 7]]))),(SamplingData[[#This Row],[Total]]+SamplingData[[#This Row],[Winning Candidate]]-SamplingData[[#This Row],[Candidate 7]])/(SamplingData[[#Totals],[Winning Candidate]]-SamplingData[[#Totals],[Candidate 7]]), 0)</f>
        <v>0</v>
      </c>
      <c r="W165" s="100">
        <f>IF(AND(SamplingData[[#This Row],[Total]]&lt;&gt; 0, NOT(ISBLANK(SamplingData[[#This Row],[Candidate 8]]))),(SamplingData[[#This Row],[Total]]+SamplingData[[#This Row],[Winning Candidate]]-SamplingData[[#This Row],[Candidate 8]])/(SamplingData[[#Totals],[Winning Candidate]]-SamplingData[[#Totals],[Candidate 8]]), 0)</f>
        <v>0</v>
      </c>
      <c r="X1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00">
        <f>MAX(SamplingData[[#This Row],[Error Bound (up) - Max. possible relative overstatement - Losing Candidate]:[Error Bound (up) - Max. possible relative overstatement - Candidate 12]])</f>
        <v>2.5127995728240724E-4</v>
      </c>
      <c r="AC165" s="100">
        <f>IF(SamplingData[[#This Row],[Max Error Bound (up)]] = 0,0,SamplingData[[#This Row],[Max Error Bound (up)]]/SamplingData[[#Totals],[Max Error Bound (up)]])</f>
        <v>1.0768319603725841E-4</v>
      </c>
      <c r="AD165" s="104">
        <f>SUM($AC$5:AC165)</f>
        <v>2.622085823507243E-2</v>
      </c>
      <c r="AE165" s="100" t="str" cm="1">
        <f t="array" ref="AE165">IF(SamplingData[[#This Row],[up/U Selection Probability]] = 0, "Zero", TEXT(SamplingData[[#This Row],[Lower Range]], REPT("0",LEN('General Info'!$B$42))) &amp; " - " &amp; TEXT(SamplingData[[#This Row],[Upper Range]], REPT("0",LEN('General Info'!$B$42))))</f>
        <v>02611 - 02621</v>
      </c>
      <c r="AF165" s="100">
        <f>SamplingData[[#This Row],[Upper Range]]-SamplingData[[#This Row],[Span]]</f>
        <v>2611.3175039035168</v>
      </c>
      <c r="AG165" s="100">
        <f>IF(ISNUMBER('General Info'!$B$42), ((SamplingData[[#This Row],[up/U Selection Probability]]) * 'General Info'!$B$44) - 1, 0)</f>
        <v>9.7683196037258408</v>
      </c>
      <c r="AH165" s="100">
        <f>IF(ISNUMBER('General Info'!$B$42), (SamplingData[[#This Row],[Running (cumulative) sum]] * ('General Info'!$B$42 -'General Info'!$B$43 + 1)) + 'General Info'!$B$43 - 1, 0)</f>
        <v>2621.0858235072428</v>
      </c>
      <c r="AI165" s="100" t="str">
        <f>IF(ISERROR(MATCH(SamplingData[[#This Row],[Batch by Type (p)]],SelectedPrecincts[Batch Name], 0)), "", INDEX(SelectedPrecincts[Draw], MATCH(SamplingData[[#This Row],[Batch by Type (p)]],SelectedPrecincts[Batch Name], 0)))</f>
        <v/>
      </c>
      <c r="AJ165" s="101">
        <f>IF(COUNTIF(SelectedPrecincts[Batch Name],SamplingData[[#This Row],[Batch by Type (p)]]) &lt;&gt; 0, COUNTIF(SelectedPrecincts[Batch Name],SamplingData[[#This Row],[Batch by Type (p)]]), 0)</f>
        <v>0</v>
      </c>
    </row>
    <row r="166" spans="1:36" ht="15" customHeight="1" x14ac:dyDescent="0.35">
      <c r="A166" s="98" t="s">
        <v>378</v>
      </c>
      <c r="B166" s="98">
        <v>9</v>
      </c>
      <c r="C166" s="98">
        <v>0</v>
      </c>
      <c r="D166" s="93"/>
      <c r="E166" s="93"/>
      <c r="F166" s="93"/>
      <c r="G166" s="97"/>
      <c r="H166" s="97"/>
      <c r="I166" s="93"/>
      <c r="J166" s="93"/>
      <c r="K166" s="93"/>
      <c r="L166" s="93"/>
      <c r="M166" s="93"/>
      <c r="N166" s="98">
        <v>0</v>
      </c>
      <c r="O166" s="98">
        <v>0</v>
      </c>
      <c r="P166" s="99">
        <f>SUM(SamplingData[[#This Row],[Winning Candidate]:[Under Votes]])</f>
        <v>9</v>
      </c>
      <c r="Q166"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166" s="100">
        <f>IF(AND(SamplingData[[#This Row],[Total]]&lt;&gt; 0, NOT(ISBLANK(SamplingData[[#This Row],[Candidate 3]]))),(SamplingData[[#This Row],[Total]]+SamplingData[[#This Row],[Winning Candidate]]-SamplingData[[#This Row],[Candidate 3]])/(SamplingData[[#Totals],[Winning Candidate]]-SamplingData[[#Totals],[Candidate 3]]), 0)</f>
        <v>0</v>
      </c>
      <c r="S166" s="100">
        <f>IF(AND(SamplingData[[#This Row],[Total]]&lt;&gt; 0, NOT(ISBLANK(SamplingData[[#This Row],[Candidate 4]]))),(SamplingData[[#This Row],[Total]]+SamplingData[[#This Row],[Winning Candidate]]-SamplingData[[#This Row],[Candidate 4]])/(SamplingData[[#Totals],[Winning Candidate]]-SamplingData[[#Totals],[Candidate 4]]), 0)</f>
        <v>0</v>
      </c>
      <c r="T166" s="100">
        <f>IF(AND(SamplingData[[#This Row],[Total]]&lt;&gt; 0, NOT(ISBLANK(SamplingData[[#This Row],[Candidate 5]]))),(SamplingData[[#This Row],[Total]]+SamplingData[[#This Row],[Winning Candidate]]-SamplingData[[#This Row],[Candidate 5]])/(SamplingData[[#Totals],[Winning Candidate]]-SamplingData[[#Totals],[Candidate 5]]), 0)</f>
        <v>0</v>
      </c>
      <c r="U166" s="100">
        <f>IF(AND(SamplingData[[#This Row],[Total]]&lt;&gt; 0, NOT(ISBLANK(SamplingData[[#This Row],[Candidate 6]]))),(SamplingData[[#This Row],[Total]]+SamplingData[[#This Row],[Losing Candidate]]-SamplingData[[#This Row],[Candidate 6]])/(SamplingData[[#Totals],[Winning Candidate]]-SamplingData[[#Totals],[Candidate 6]]), 0)</f>
        <v>0</v>
      </c>
      <c r="V166" s="100">
        <f>IF(AND(SamplingData[[#This Row],[Total]]&lt;&gt; 0, NOT(ISBLANK(SamplingData[[#This Row],[Candidate 7]]))),(SamplingData[[#This Row],[Total]]+SamplingData[[#This Row],[Winning Candidate]]-SamplingData[[#This Row],[Candidate 7]])/(SamplingData[[#Totals],[Winning Candidate]]-SamplingData[[#Totals],[Candidate 7]]), 0)</f>
        <v>0</v>
      </c>
      <c r="W166" s="100">
        <f>IF(AND(SamplingData[[#This Row],[Total]]&lt;&gt; 0, NOT(ISBLANK(SamplingData[[#This Row],[Candidate 8]]))),(SamplingData[[#This Row],[Total]]+SamplingData[[#This Row],[Winning Candidate]]-SamplingData[[#This Row],[Candidate 8]])/(SamplingData[[#Totals],[Winning Candidate]]-SamplingData[[#Totals],[Candidate 8]]), 0)</f>
        <v>0</v>
      </c>
      <c r="X1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00">
        <f>MAX(SamplingData[[#This Row],[Error Bound (up) - Max. possible relative overstatement - Losing Candidate]:[Error Bound (up) - Max. possible relative overstatement - Candidate 12]])</f>
        <v>5.6537990388541635E-4</v>
      </c>
      <c r="AC166" s="100">
        <f>IF(SamplingData[[#This Row],[Max Error Bound (up)]] = 0,0,SamplingData[[#This Row],[Max Error Bound (up)]]/SamplingData[[#Totals],[Max Error Bound (up)]])</f>
        <v>2.4228719108383145E-4</v>
      </c>
      <c r="AD166" s="104">
        <f>SUM($AC$5:AC166)</f>
        <v>2.646314542615626E-2</v>
      </c>
      <c r="AE166" s="100" t="str" cm="1">
        <f t="array" ref="AE166">IF(SamplingData[[#This Row],[up/U Selection Probability]] = 0, "Zero", TEXT(SamplingData[[#This Row],[Lower Range]], REPT("0",LEN('General Info'!$B$42))) &amp; " - " &amp; TEXT(SamplingData[[#This Row],[Upper Range]], REPT("0",LEN('General Info'!$B$42))))</f>
        <v>02622 - 02645</v>
      </c>
      <c r="AF166" s="100">
        <f>SamplingData[[#This Row],[Upper Range]]-SamplingData[[#This Row],[Span]]</f>
        <v>2622.0858235072428</v>
      </c>
      <c r="AG166" s="100">
        <f>IF(ISNUMBER('General Info'!$B$42), ((SamplingData[[#This Row],[up/U Selection Probability]]) * 'General Info'!$B$44) - 1, 0)</f>
        <v>23.228719108383146</v>
      </c>
      <c r="AH166" s="100">
        <f>IF(ISNUMBER('General Info'!$B$42), (SamplingData[[#This Row],[Running (cumulative) sum]] * ('General Info'!$B$42 -'General Info'!$B$43 + 1)) + 'General Info'!$B$43 - 1, 0)</f>
        <v>2645.3145426156261</v>
      </c>
      <c r="AI166" s="100" t="str">
        <f>IF(ISERROR(MATCH(SamplingData[[#This Row],[Batch by Type (p)]],SelectedPrecincts[Batch Name], 0)), "", INDEX(SelectedPrecincts[Draw], MATCH(SamplingData[[#This Row],[Batch by Type (p)]],SelectedPrecincts[Batch Name], 0)))</f>
        <v/>
      </c>
      <c r="AJ166" s="101">
        <f>IF(COUNTIF(SelectedPrecincts[Batch Name],SamplingData[[#This Row],[Batch by Type (p)]]) &lt;&gt; 0, COUNTIF(SelectedPrecincts[Batch Name],SamplingData[[#This Row],[Batch by Type (p)]]), 0)</f>
        <v>0</v>
      </c>
    </row>
    <row r="167" spans="1:36" ht="15" customHeight="1" x14ac:dyDescent="0.35">
      <c r="A167" s="98" t="s">
        <v>379</v>
      </c>
      <c r="B167" s="98">
        <v>7</v>
      </c>
      <c r="C167" s="98">
        <v>1</v>
      </c>
      <c r="D167" s="93"/>
      <c r="E167" s="93"/>
      <c r="F167" s="93"/>
      <c r="G167" s="97"/>
      <c r="H167" s="97"/>
      <c r="I167" s="93"/>
      <c r="J167" s="93"/>
      <c r="K167" s="93"/>
      <c r="L167" s="93"/>
      <c r="M167" s="93"/>
      <c r="N167" s="98">
        <v>0</v>
      </c>
      <c r="O167" s="98">
        <v>1</v>
      </c>
      <c r="P167" s="99">
        <f>SUM(SamplingData[[#This Row],[Winning Candidate]:[Under Votes]])</f>
        <v>9</v>
      </c>
      <c r="Q167"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167" s="100">
        <f>IF(AND(SamplingData[[#This Row],[Total]]&lt;&gt; 0, NOT(ISBLANK(SamplingData[[#This Row],[Candidate 3]]))),(SamplingData[[#This Row],[Total]]+SamplingData[[#This Row],[Winning Candidate]]-SamplingData[[#This Row],[Candidate 3]])/(SamplingData[[#Totals],[Winning Candidate]]-SamplingData[[#Totals],[Candidate 3]]), 0)</f>
        <v>0</v>
      </c>
      <c r="S167" s="100">
        <f>IF(AND(SamplingData[[#This Row],[Total]]&lt;&gt; 0, NOT(ISBLANK(SamplingData[[#This Row],[Candidate 4]]))),(SamplingData[[#This Row],[Total]]+SamplingData[[#This Row],[Winning Candidate]]-SamplingData[[#This Row],[Candidate 4]])/(SamplingData[[#Totals],[Winning Candidate]]-SamplingData[[#Totals],[Candidate 4]]), 0)</f>
        <v>0</v>
      </c>
      <c r="T167" s="100">
        <f>IF(AND(SamplingData[[#This Row],[Total]]&lt;&gt; 0, NOT(ISBLANK(SamplingData[[#This Row],[Candidate 5]]))),(SamplingData[[#This Row],[Total]]+SamplingData[[#This Row],[Winning Candidate]]-SamplingData[[#This Row],[Candidate 5]])/(SamplingData[[#Totals],[Winning Candidate]]-SamplingData[[#Totals],[Candidate 5]]), 0)</f>
        <v>0</v>
      </c>
      <c r="U167" s="100">
        <f>IF(AND(SamplingData[[#This Row],[Total]]&lt;&gt; 0, NOT(ISBLANK(SamplingData[[#This Row],[Candidate 6]]))),(SamplingData[[#This Row],[Total]]+SamplingData[[#This Row],[Losing Candidate]]-SamplingData[[#This Row],[Candidate 6]])/(SamplingData[[#Totals],[Winning Candidate]]-SamplingData[[#Totals],[Candidate 6]]), 0)</f>
        <v>0</v>
      </c>
      <c r="V167" s="100">
        <f>IF(AND(SamplingData[[#This Row],[Total]]&lt;&gt; 0, NOT(ISBLANK(SamplingData[[#This Row],[Candidate 7]]))),(SamplingData[[#This Row],[Total]]+SamplingData[[#This Row],[Winning Candidate]]-SamplingData[[#This Row],[Candidate 7]])/(SamplingData[[#Totals],[Winning Candidate]]-SamplingData[[#Totals],[Candidate 7]]), 0)</f>
        <v>0</v>
      </c>
      <c r="W167" s="100">
        <f>IF(AND(SamplingData[[#This Row],[Total]]&lt;&gt; 0, NOT(ISBLANK(SamplingData[[#This Row],[Candidate 8]]))),(SamplingData[[#This Row],[Total]]+SamplingData[[#This Row],[Winning Candidate]]-SamplingData[[#This Row],[Candidate 8]])/(SamplingData[[#Totals],[Winning Candidate]]-SamplingData[[#Totals],[Candidate 8]]), 0)</f>
        <v>0</v>
      </c>
      <c r="X1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00">
        <f>MAX(SamplingData[[#This Row],[Error Bound (up) - Max. possible relative overstatement - Losing Candidate]:[Error Bound (up) - Max. possible relative overstatement - Candidate 12]])</f>
        <v>4.7114991990451359E-4</v>
      </c>
      <c r="AC167" s="100">
        <f>IF(SamplingData[[#This Row],[Max Error Bound (up)]] = 0,0,SamplingData[[#This Row],[Max Error Bound (up)]]/SamplingData[[#Totals],[Max Error Bound (up)]])</f>
        <v>2.0190599256985953E-4</v>
      </c>
      <c r="AD167" s="104">
        <f>SUM($AC$5:AC167)</f>
        <v>2.6665051418726118E-2</v>
      </c>
      <c r="AE167" s="100" t="str" cm="1">
        <f t="array" ref="AE167">IF(SamplingData[[#This Row],[up/U Selection Probability]] = 0, "Zero", TEXT(SamplingData[[#This Row],[Lower Range]], REPT("0",LEN('General Info'!$B$42))) &amp; " - " &amp; TEXT(SamplingData[[#This Row],[Upper Range]], REPT("0",LEN('General Info'!$B$42))))</f>
        <v>02646 - 02666</v>
      </c>
      <c r="AF167" s="100">
        <f>SamplingData[[#This Row],[Upper Range]]-SamplingData[[#This Row],[Span]]</f>
        <v>2646.3145426156261</v>
      </c>
      <c r="AG167" s="100">
        <f>IF(ISNUMBER('General Info'!$B$42), ((SamplingData[[#This Row],[up/U Selection Probability]]) * 'General Info'!$B$44) - 1, 0)</f>
        <v>19.190599256985951</v>
      </c>
      <c r="AH167" s="100">
        <f>IF(ISNUMBER('General Info'!$B$42), (SamplingData[[#This Row],[Running (cumulative) sum]] * ('General Info'!$B$42 -'General Info'!$B$43 + 1)) + 'General Info'!$B$43 - 1, 0)</f>
        <v>2665.5051418726121</v>
      </c>
      <c r="AI167" s="100" t="str">
        <f>IF(ISERROR(MATCH(SamplingData[[#This Row],[Batch by Type (p)]],SelectedPrecincts[Batch Name], 0)), "", INDEX(SelectedPrecincts[Draw], MATCH(SamplingData[[#This Row],[Batch by Type (p)]],SelectedPrecincts[Batch Name], 0)))</f>
        <v/>
      </c>
      <c r="AJ167" s="101">
        <f>IF(COUNTIF(SelectedPrecincts[Batch Name],SamplingData[[#This Row],[Batch by Type (p)]]) &lt;&gt; 0, COUNTIF(SelectedPrecincts[Batch Name],SamplingData[[#This Row],[Batch by Type (p)]]), 0)</f>
        <v>0</v>
      </c>
    </row>
    <row r="168" spans="1:36" ht="15" customHeight="1" x14ac:dyDescent="0.35">
      <c r="A168" s="98" t="s">
        <v>380</v>
      </c>
      <c r="B168" s="98">
        <v>9</v>
      </c>
      <c r="C168" s="98">
        <v>0</v>
      </c>
      <c r="D168" s="93"/>
      <c r="E168" s="93"/>
      <c r="F168" s="93"/>
      <c r="G168" s="97"/>
      <c r="H168" s="97"/>
      <c r="I168" s="93"/>
      <c r="J168" s="93"/>
      <c r="K168" s="93"/>
      <c r="L168" s="93"/>
      <c r="M168" s="93"/>
      <c r="N168" s="98">
        <v>0</v>
      </c>
      <c r="O168" s="98">
        <v>0</v>
      </c>
      <c r="P168" s="99">
        <f>SUM(SamplingData[[#This Row],[Winning Candidate]:[Under Votes]])</f>
        <v>9</v>
      </c>
      <c r="Q168"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168" s="100">
        <f>IF(AND(SamplingData[[#This Row],[Total]]&lt;&gt; 0, NOT(ISBLANK(SamplingData[[#This Row],[Candidate 3]]))),(SamplingData[[#This Row],[Total]]+SamplingData[[#This Row],[Winning Candidate]]-SamplingData[[#This Row],[Candidate 3]])/(SamplingData[[#Totals],[Winning Candidate]]-SamplingData[[#Totals],[Candidate 3]]), 0)</f>
        <v>0</v>
      </c>
      <c r="S168" s="100">
        <f>IF(AND(SamplingData[[#This Row],[Total]]&lt;&gt; 0, NOT(ISBLANK(SamplingData[[#This Row],[Candidate 4]]))),(SamplingData[[#This Row],[Total]]+SamplingData[[#This Row],[Winning Candidate]]-SamplingData[[#This Row],[Candidate 4]])/(SamplingData[[#Totals],[Winning Candidate]]-SamplingData[[#Totals],[Candidate 4]]), 0)</f>
        <v>0</v>
      </c>
      <c r="T168" s="100">
        <f>IF(AND(SamplingData[[#This Row],[Total]]&lt;&gt; 0, NOT(ISBLANK(SamplingData[[#This Row],[Candidate 5]]))),(SamplingData[[#This Row],[Total]]+SamplingData[[#This Row],[Winning Candidate]]-SamplingData[[#This Row],[Candidate 5]])/(SamplingData[[#Totals],[Winning Candidate]]-SamplingData[[#Totals],[Candidate 5]]), 0)</f>
        <v>0</v>
      </c>
      <c r="U168" s="100">
        <f>IF(AND(SamplingData[[#This Row],[Total]]&lt;&gt; 0, NOT(ISBLANK(SamplingData[[#This Row],[Candidate 6]]))),(SamplingData[[#This Row],[Total]]+SamplingData[[#This Row],[Losing Candidate]]-SamplingData[[#This Row],[Candidate 6]])/(SamplingData[[#Totals],[Winning Candidate]]-SamplingData[[#Totals],[Candidate 6]]), 0)</f>
        <v>0</v>
      </c>
      <c r="V168" s="100">
        <f>IF(AND(SamplingData[[#This Row],[Total]]&lt;&gt; 0, NOT(ISBLANK(SamplingData[[#This Row],[Candidate 7]]))),(SamplingData[[#This Row],[Total]]+SamplingData[[#This Row],[Winning Candidate]]-SamplingData[[#This Row],[Candidate 7]])/(SamplingData[[#Totals],[Winning Candidate]]-SamplingData[[#Totals],[Candidate 7]]), 0)</f>
        <v>0</v>
      </c>
      <c r="W168" s="100">
        <f>IF(AND(SamplingData[[#This Row],[Total]]&lt;&gt; 0, NOT(ISBLANK(SamplingData[[#This Row],[Candidate 8]]))),(SamplingData[[#This Row],[Total]]+SamplingData[[#This Row],[Winning Candidate]]-SamplingData[[#This Row],[Candidate 8]])/(SamplingData[[#Totals],[Winning Candidate]]-SamplingData[[#Totals],[Candidate 8]]), 0)</f>
        <v>0</v>
      </c>
      <c r="X1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00">
        <f>MAX(SamplingData[[#This Row],[Error Bound (up) - Max. possible relative overstatement - Losing Candidate]:[Error Bound (up) - Max. possible relative overstatement - Candidate 12]])</f>
        <v>5.6537990388541635E-4</v>
      </c>
      <c r="AC168" s="100">
        <f>IF(SamplingData[[#This Row],[Max Error Bound (up)]] = 0,0,SamplingData[[#This Row],[Max Error Bound (up)]]/SamplingData[[#Totals],[Max Error Bound (up)]])</f>
        <v>2.4228719108383145E-4</v>
      </c>
      <c r="AD168" s="104">
        <f>SUM($AC$5:AC168)</f>
        <v>2.6907338609809948E-2</v>
      </c>
      <c r="AE168" s="100" t="str" cm="1">
        <f t="array" ref="AE168">IF(SamplingData[[#This Row],[up/U Selection Probability]] = 0, "Zero", TEXT(SamplingData[[#This Row],[Lower Range]], REPT("0",LEN('General Info'!$B$42))) &amp; " - " &amp; TEXT(SamplingData[[#This Row],[Upper Range]], REPT("0",LEN('General Info'!$B$42))))</f>
        <v>02667 - 02690</v>
      </c>
      <c r="AF168" s="100">
        <f>SamplingData[[#This Row],[Upper Range]]-SamplingData[[#This Row],[Span]]</f>
        <v>2666.5051418726116</v>
      </c>
      <c r="AG168" s="100">
        <f>IF(ISNUMBER('General Info'!$B$42), ((SamplingData[[#This Row],[up/U Selection Probability]]) * 'General Info'!$B$44) - 1, 0)</f>
        <v>23.228719108383146</v>
      </c>
      <c r="AH168" s="100">
        <f>IF(ISNUMBER('General Info'!$B$42), (SamplingData[[#This Row],[Running (cumulative) sum]] * ('General Info'!$B$42 -'General Info'!$B$43 + 1)) + 'General Info'!$B$43 - 1, 0)</f>
        <v>2689.7338609809949</v>
      </c>
      <c r="AI168" s="100" t="str">
        <f>IF(ISERROR(MATCH(SamplingData[[#This Row],[Batch by Type (p)]],SelectedPrecincts[Batch Name], 0)), "", INDEX(SelectedPrecincts[Draw], MATCH(SamplingData[[#This Row],[Batch by Type (p)]],SelectedPrecincts[Batch Name], 0)))</f>
        <v/>
      </c>
      <c r="AJ168" s="101">
        <f>IF(COUNTIF(SelectedPrecincts[Batch Name],SamplingData[[#This Row],[Batch by Type (p)]]) &lt;&gt; 0, COUNTIF(SelectedPrecincts[Batch Name],SamplingData[[#This Row],[Batch by Type (p)]]), 0)</f>
        <v>0</v>
      </c>
    </row>
    <row r="169" spans="1:36" ht="15" customHeight="1" x14ac:dyDescent="0.35">
      <c r="A169" s="98" t="s">
        <v>381</v>
      </c>
      <c r="B169" s="98">
        <v>3</v>
      </c>
      <c r="C169" s="98">
        <v>1</v>
      </c>
      <c r="D169" s="93"/>
      <c r="E169" s="93"/>
      <c r="F169" s="93"/>
      <c r="G169" s="97"/>
      <c r="H169" s="97"/>
      <c r="I169" s="93"/>
      <c r="J169" s="93"/>
      <c r="K169" s="93"/>
      <c r="L169" s="93"/>
      <c r="M169" s="93"/>
      <c r="N169" s="98">
        <v>0</v>
      </c>
      <c r="O169" s="98">
        <v>0</v>
      </c>
      <c r="P169" s="99">
        <f>SUM(SamplingData[[#This Row],[Winning Candidate]:[Under Votes]])</f>
        <v>4</v>
      </c>
      <c r="Q16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69" s="100">
        <f>IF(AND(SamplingData[[#This Row],[Total]]&lt;&gt; 0, NOT(ISBLANK(SamplingData[[#This Row],[Candidate 3]]))),(SamplingData[[#This Row],[Total]]+SamplingData[[#This Row],[Winning Candidate]]-SamplingData[[#This Row],[Candidate 3]])/(SamplingData[[#Totals],[Winning Candidate]]-SamplingData[[#Totals],[Candidate 3]]), 0)</f>
        <v>0</v>
      </c>
      <c r="S169" s="100">
        <f>IF(AND(SamplingData[[#This Row],[Total]]&lt;&gt; 0, NOT(ISBLANK(SamplingData[[#This Row],[Candidate 4]]))),(SamplingData[[#This Row],[Total]]+SamplingData[[#This Row],[Winning Candidate]]-SamplingData[[#This Row],[Candidate 4]])/(SamplingData[[#Totals],[Winning Candidate]]-SamplingData[[#Totals],[Candidate 4]]), 0)</f>
        <v>0</v>
      </c>
      <c r="T169" s="100">
        <f>IF(AND(SamplingData[[#This Row],[Total]]&lt;&gt; 0, NOT(ISBLANK(SamplingData[[#This Row],[Candidate 5]]))),(SamplingData[[#This Row],[Total]]+SamplingData[[#This Row],[Winning Candidate]]-SamplingData[[#This Row],[Candidate 5]])/(SamplingData[[#Totals],[Winning Candidate]]-SamplingData[[#Totals],[Candidate 5]]), 0)</f>
        <v>0</v>
      </c>
      <c r="U169" s="100">
        <f>IF(AND(SamplingData[[#This Row],[Total]]&lt;&gt; 0, NOT(ISBLANK(SamplingData[[#This Row],[Candidate 6]]))),(SamplingData[[#This Row],[Total]]+SamplingData[[#This Row],[Losing Candidate]]-SamplingData[[#This Row],[Candidate 6]])/(SamplingData[[#Totals],[Winning Candidate]]-SamplingData[[#Totals],[Candidate 6]]), 0)</f>
        <v>0</v>
      </c>
      <c r="V169" s="100">
        <f>IF(AND(SamplingData[[#This Row],[Total]]&lt;&gt; 0, NOT(ISBLANK(SamplingData[[#This Row],[Candidate 7]]))),(SamplingData[[#This Row],[Total]]+SamplingData[[#This Row],[Winning Candidate]]-SamplingData[[#This Row],[Candidate 7]])/(SamplingData[[#Totals],[Winning Candidate]]-SamplingData[[#Totals],[Candidate 7]]), 0)</f>
        <v>0</v>
      </c>
      <c r="W169" s="100">
        <f>IF(AND(SamplingData[[#This Row],[Total]]&lt;&gt; 0, NOT(ISBLANK(SamplingData[[#This Row],[Candidate 8]]))),(SamplingData[[#This Row],[Total]]+SamplingData[[#This Row],[Winning Candidate]]-SamplingData[[#This Row],[Candidate 8]])/(SamplingData[[#Totals],[Winning Candidate]]-SamplingData[[#Totals],[Candidate 8]]), 0)</f>
        <v>0</v>
      </c>
      <c r="X1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00">
        <f>MAX(SamplingData[[#This Row],[Error Bound (up) - Max. possible relative overstatement - Losing Candidate]:[Error Bound (up) - Max. possible relative overstatement - Candidate 12]])</f>
        <v>1.8845996796180544E-4</v>
      </c>
      <c r="AC169" s="100">
        <f>IF(SamplingData[[#This Row],[Max Error Bound (up)]] = 0,0,SamplingData[[#This Row],[Max Error Bound (up)]]/SamplingData[[#Totals],[Max Error Bound (up)]])</f>
        <v>8.0762397027943816E-5</v>
      </c>
      <c r="AD169" s="104">
        <f>SUM($AC$5:AC169)</f>
        <v>2.6988101006837892E-2</v>
      </c>
      <c r="AE169" s="100" t="str" cm="1">
        <f t="array" ref="AE169">IF(SamplingData[[#This Row],[up/U Selection Probability]] = 0, "Zero", TEXT(SamplingData[[#This Row],[Lower Range]], REPT("0",LEN('General Info'!$B$42))) &amp; " - " &amp; TEXT(SamplingData[[#This Row],[Upper Range]], REPT("0",LEN('General Info'!$B$42))))</f>
        <v>02691 - 02698</v>
      </c>
      <c r="AF169" s="100">
        <f>SamplingData[[#This Row],[Upper Range]]-SamplingData[[#This Row],[Span]]</f>
        <v>2690.7338609809949</v>
      </c>
      <c r="AG169" s="100">
        <f>IF(ISNUMBER('General Info'!$B$42), ((SamplingData[[#This Row],[up/U Selection Probability]]) * 'General Info'!$B$44) - 1, 0)</f>
        <v>7.076239702794382</v>
      </c>
      <c r="AH169" s="100">
        <f>IF(ISNUMBER('General Info'!$B$42), (SamplingData[[#This Row],[Running (cumulative) sum]] * ('General Info'!$B$42 -'General Info'!$B$43 + 1)) + 'General Info'!$B$43 - 1, 0)</f>
        <v>2697.8101006837892</v>
      </c>
      <c r="AI169" s="100" t="str">
        <f>IF(ISERROR(MATCH(SamplingData[[#This Row],[Batch by Type (p)]],SelectedPrecincts[Batch Name], 0)), "", INDEX(SelectedPrecincts[Draw], MATCH(SamplingData[[#This Row],[Batch by Type (p)]],SelectedPrecincts[Batch Name], 0)))</f>
        <v/>
      </c>
      <c r="AJ169" s="101">
        <f>IF(COUNTIF(SelectedPrecincts[Batch Name],SamplingData[[#This Row],[Batch by Type (p)]]) &lt;&gt; 0, COUNTIF(SelectedPrecincts[Batch Name],SamplingData[[#This Row],[Batch by Type (p)]]), 0)</f>
        <v>0</v>
      </c>
    </row>
    <row r="170" spans="1:36" ht="15" customHeight="1" x14ac:dyDescent="0.35">
      <c r="A170" s="98" t="s">
        <v>382</v>
      </c>
      <c r="B170" s="98">
        <v>2</v>
      </c>
      <c r="C170" s="98">
        <v>0</v>
      </c>
      <c r="D170" s="93"/>
      <c r="E170" s="93"/>
      <c r="F170" s="93"/>
      <c r="G170" s="97"/>
      <c r="H170" s="97"/>
      <c r="I170" s="93"/>
      <c r="J170" s="93"/>
      <c r="K170" s="93"/>
      <c r="L170" s="93"/>
      <c r="M170" s="93"/>
      <c r="N170" s="98">
        <v>0</v>
      </c>
      <c r="O170" s="98">
        <v>0</v>
      </c>
      <c r="P170" s="99">
        <f>SUM(SamplingData[[#This Row],[Winning Candidate]:[Under Votes]])</f>
        <v>2</v>
      </c>
      <c r="Q170"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170" s="100">
        <f>IF(AND(SamplingData[[#This Row],[Total]]&lt;&gt; 0, NOT(ISBLANK(SamplingData[[#This Row],[Candidate 3]]))),(SamplingData[[#This Row],[Total]]+SamplingData[[#This Row],[Winning Candidate]]-SamplingData[[#This Row],[Candidate 3]])/(SamplingData[[#Totals],[Winning Candidate]]-SamplingData[[#Totals],[Candidate 3]]), 0)</f>
        <v>0</v>
      </c>
      <c r="S170" s="100">
        <f>IF(AND(SamplingData[[#This Row],[Total]]&lt;&gt; 0, NOT(ISBLANK(SamplingData[[#This Row],[Candidate 4]]))),(SamplingData[[#This Row],[Total]]+SamplingData[[#This Row],[Winning Candidate]]-SamplingData[[#This Row],[Candidate 4]])/(SamplingData[[#Totals],[Winning Candidate]]-SamplingData[[#Totals],[Candidate 4]]), 0)</f>
        <v>0</v>
      </c>
      <c r="T170" s="100">
        <f>IF(AND(SamplingData[[#This Row],[Total]]&lt;&gt; 0, NOT(ISBLANK(SamplingData[[#This Row],[Candidate 5]]))),(SamplingData[[#This Row],[Total]]+SamplingData[[#This Row],[Winning Candidate]]-SamplingData[[#This Row],[Candidate 5]])/(SamplingData[[#Totals],[Winning Candidate]]-SamplingData[[#Totals],[Candidate 5]]), 0)</f>
        <v>0</v>
      </c>
      <c r="U170" s="100">
        <f>IF(AND(SamplingData[[#This Row],[Total]]&lt;&gt; 0, NOT(ISBLANK(SamplingData[[#This Row],[Candidate 6]]))),(SamplingData[[#This Row],[Total]]+SamplingData[[#This Row],[Losing Candidate]]-SamplingData[[#This Row],[Candidate 6]])/(SamplingData[[#Totals],[Winning Candidate]]-SamplingData[[#Totals],[Candidate 6]]), 0)</f>
        <v>0</v>
      </c>
      <c r="V170" s="100">
        <f>IF(AND(SamplingData[[#This Row],[Total]]&lt;&gt; 0, NOT(ISBLANK(SamplingData[[#This Row],[Candidate 7]]))),(SamplingData[[#This Row],[Total]]+SamplingData[[#This Row],[Winning Candidate]]-SamplingData[[#This Row],[Candidate 7]])/(SamplingData[[#Totals],[Winning Candidate]]-SamplingData[[#Totals],[Candidate 7]]), 0)</f>
        <v>0</v>
      </c>
      <c r="W170" s="100">
        <f>IF(AND(SamplingData[[#This Row],[Total]]&lt;&gt; 0, NOT(ISBLANK(SamplingData[[#This Row],[Candidate 8]]))),(SamplingData[[#This Row],[Total]]+SamplingData[[#This Row],[Winning Candidate]]-SamplingData[[#This Row],[Candidate 8]])/(SamplingData[[#Totals],[Winning Candidate]]-SamplingData[[#Totals],[Candidate 8]]), 0)</f>
        <v>0</v>
      </c>
      <c r="X1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00">
        <f>MAX(SamplingData[[#This Row],[Error Bound (up) - Max. possible relative overstatement - Losing Candidate]:[Error Bound (up) - Max. possible relative overstatement - Candidate 12]])</f>
        <v>1.2563997864120362E-4</v>
      </c>
      <c r="AC170" s="100">
        <f>IF(SamplingData[[#This Row],[Max Error Bound (up)]] = 0,0,SamplingData[[#This Row],[Max Error Bound (up)]]/SamplingData[[#Totals],[Max Error Bound (up)]])</f>
        <v>5.3841598018629206E-5</v>
      </c>
      <c r="AD170" s="104">
        <f>SUM($AC$5:AC170)</f>
        <v>2.7041942604856522E-2</v>
      </c>
      <c r="AE170" s="100" t="str" cm="1">
        <f t="array" ref="AE170">IF(SamplingData[[#This Row],[up/U Selection Probability]] = 0, "Zero", TEXT(SamplingData[[#This Row],[Lower Range]], REPT("0",LEN('General Info'!$B$42))) &amp; " - " &amp; TEXT(SamplingData[[#This Row],[Upper Range]], REPT("0",LEN('General Info'!$B$42))))</f>
        <v>02699 - 02703</v>
      </c>
      <c r="AF170" s="100">
        <f>SamplingData[[#This Row],[Upper Range]]-SamplingData[[#This Row],[Span]]</f>
        <v>2698.8101006837892</v>
      </c>
      <c r="AG170" s="100">
        <f>IF(ISNUMBER('General Info'!$B$42), ((SamplingData[[#This Row],[up/U Selection Probability]]) * 'General Info'!$B$44) - 1, 0)</f>
        <v>4.3841598018629204</v>
      </c>
      <c r="AH170" s="100">
        <f>IF(ISNUMBER('General Info'!$B$42), (SamplingData[[#This Row],[Running (cumulative) sum]] * ('General Info'!$B$42 -'General Info'!$B$43 + 1)) + 'General Info'!$B$43 - 1, 0)</f>
        <v>2703.1942604856522</v>
      </c>
      <c r="AI170" s="100" t="str">
        <f>IF(ISERROR(MATCH(SamplingData[[#This Row],[Batch by Type (p)]],SelectedPrecincts[Batch Name], 0)), "", INDEX(SelectedPrecincts[Draw], MATCH(SamplingData[[#This Row],[Batch by Type (p)]],SelectedPrecincts[Batch Name], 0)))</f>
        <v/>
      </c>
      <c r="AJ170" s="101">
        <f>IF(COUNTIF(SelectedPrecincts[Batch Name],SamplingData[[#This Row],[Batch by Type (p)]]) &lt;&gt; 0, COUNTIF(SelectedPrecincts[Batch Name],SamplingData[[#This Row],[Batch by Type (p)]]), 0)</f>
        <v>0</v>
      </c>
    </row>
    <row r="171" spans="1:36" ht="15" customHeight="1" x14ac:dyDescent="0.35">
      <c r="A171" s="98" t="s">
        <v>383</v>
      </c>
      <c r="B171" s="98">
        <v>2</v>
      </c>
      <c r="C171" s="98">
        <v>1</v>
      </c>
      <c r="D171" s="93"/>
      <c r="E171" s="93"/>
      <c r="F171" s="93"/>
      <c r="G171" s="97"/>
      <c r="H171" s="97"/>
      <c r="I171" s="93"/>
      <c r="J171" s="93"/>
      <c r="K171" s="93"/>
      <c r="L171" s="93"/>
      <c r="M171" s="93"/>
      <c r="N171" s="98">
        <v>0</v>
      </c>
      <c r="O171" s="98">
        <v>0</v>
      </c>
      <c r="P171" s="99">
        <f>SUM(SamplingData[[#This Row],[Winning Candidate]:[Under Votes]])</f>
        <v>3</v>
      </c>
      <c r="Q171"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171" s="100">
        <f>IF(AND(SamplingData[[#This Row],[Total]]&lt;&gt; 0, NOT(ISBLANK(SamplingData[[#This Row],[Candidate 3]]))),(SamplingData[[#This Row],[Total]]+SamplingData[[#This Row],[Winning Candidate]]-SamplingData[[#This Row],[Candidate 3]])/(SamplingData[[#Totals],[Winning Candidate]]-SamplingData[[#Totals],[Candidate 3]]), 0)</f>
        <v>0</v>
      </c>
      <c r="S171" s="100">
        <f>IF(AND(SamplingData[[#This Row],[Total]]&lt;&gt; 0, NOT(ISBLANK(SamplingData[[#This Row],[Candidate 4]]))),(SamplingData[[#This Row],[Total]]+SamplingData[[#This Row],[Winning Candidate]]-SamplingData[[#This Row],[Candidate 4]])/(SamplingData[[#Totals],[Winning Candidate]]-SamplingData[[#Totals],[Candidate 4]]), 0)</f>
        <v>0</v>
      </c>
      <c r="T171" s="100">
        <f>IF(AND(SamplingData[[#This Row],[Total]]&lt;&gt; 0, NOT(ISBLANK(SamplingData[[#This Row],[Candidate 5]]))),(SamplingData[[#This Row],[Total]]+SamplingData[[#This Row],[Winning Candidate]]-SamplingData[[#This Row],[Candidate 5]])/(SamplingData[[#Totals],[Winning Candidate]]-SamplingData[[#Totals],[Candidate 5]]), 0)</f>
        <v>0</v>
      </c>
      <c r="U171" s="100">
        <f>IF(AND(SamplingData[[#This Row],[Total]]&lt;&gt; 0, NOT(ISBLANK(SamplingData[[#This Row],[Candidate 6]]))),(SamplingData[[#This Row],[Total]]+SamplingData[[#This Row],[Losing Candidate]]-SamplingData[[#This Row],[Candidate 6]])/(SamplingData[[#Totals],[Winning Candidate]]-SamplingData[[#Totals],[Candidate 6]]), 0)</f>
        <v>0</v>
      </c>
      <c r="V171" s="100">
        <f>IF(AND(SamplingData[[#This Row],[Total]]&lt;&gt; 0, NOT(ISBLANK(SamplingData[[#This Row],[Candidate 7]]))),(SamplingData[[#This Row],[Total]]+SamplingData[[#This Row],[Winning Candidate]]-SamplingData[[#This Row],[Candidate 7]])/(SamplingData[[#Totals],[Winning Candidate]]-SamplingData[[#Totals],[Candidate 7]]), 0)</f>
        <v>0</v>
      </c>
      <c r="W171" s="100">
        <f>IF(AND(SamplingData[[#This Row],[Total]]&lt;&gt; 0, NOT(ISBLANK(SamplingData[[#This Row],[Candidate 8]]))),(SamplingData[[#This Row],[Total]]+SamplingData[[#This Row],[Winning Candidate]]-SamplingData[[#This Row],[Candidate 8]])/(SamplingData[[#Totals],[Winning Candidate]]-SamplingData[[#Totals],[Candidate 8]]), 0)</f>
        <v>0</v>
      </c>
      <c r="X1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00">
        <f>MAX(SamplingData[[#This Row],[Error Bound (up) - Max. possible relative overstatement - Losing Candidate]:[Error Bound (up) - Max. possible relative overstatement - Candidate 12]])</f>
        <v>1.2563997864120362E-4</v>
      </c>
      <c r="AC171" s="100">
        <f>IF(SamplingData[[#This Row],[Max Error Bound (up)]] = 0,0,SamplingData[[#This Row],[Max Error Bound (up)]]/SamplingData[[#Totals],[Max Error Bound (up)]])</f>
        <v>5.3841598018629206E-5</v>
      </c>
      <c r="AD171" s="104">
        <f>SUM($AC$5:AC171)</f>
        <v>2.7095784202875152E-2</v>
      </c>
      <c r="AE171" s="100" t="str" cm="1">
        <f t="array" ref="AE171">IF(SamplingData[[#This Row],[up/U Selection Probability]] = 0, "Zero", TEXT(SamplingData[[#This Row],[Lower Range]], REPT("0",LEN('General Info'!$B$42))) &amp; " - " &amp; TEXT(SamplingData[[#This Row],[Upper Range]], REPT("0",LEN('General Info'!$B$42))))</f>
        <v>02704 - 02709</v>
      </c>
      <c r="AF171" s="100">
        <f>SamplingData[[#This Row],[Upper Range]]-SamplingData[[#This Row],[Span]]</f>
        <v>2704.1942604856522</v>
      </c>
      <c r="AG171" s="100">
        <f>IF(ISNUMBER('General Info'!$B$42), ((SamplingData[[#This Row],[up/U Selection Probability]]) * 'General Info'!$B$44) - 1, 0)</f>
        <v>4.3841598018629204</v>
      </c>
      <c r="AH171" s="100">
        <f>IF(ISNUMBER('General Info'!$B$42), (SamplingData[[#This Row],[Running (cumulative) sum]] * ('General Info'!$B$42 -'General Info'!$B$43 + 1)) + 'General Info'!$B$43 - 1, 0)</f>
        <v>2708.5784202875152</v>
      </c>
      <c r="AI171" s="100" t="str">
        <f>IF(ISERROR(MATCH(SamplingData[[#This Row],[Batch by Type (p)]],SelectedPrecincts[Batch Name], 0)), "", INDEX(SelectedPrecincts[Draw], MATCH(SamplingData[[#This Row],[Batch by Type (p)]],SelectedPrecincts[Batch Name], 0)))</f>
        <v/>
      </c>
      <c r="AJ171" s="101">
        <f>IF(COUNTIF(SelectedPrecincts[Batch Name],SamplingData[[#This Row],[Batch by Type (p)]]) &lt;&gt; 0, COUNTIF(SelectedPrecincts[Batch Name],SamplingData[[#This Row],[Batch by Type (p)]]), 0)</f>
        <v>0</v>
      </c>
    </row>
    <row r="172" spans="1:36" ht="15" customHeight="1" x14ac:dyDescent="0.35">
      <c r="A172" s="98" t="s">
        <v>384</v>
      </c>
      <c r="B172" s="98">
        <v>5</v>
      </c>
      <c r="C172" s="98">
        <v>0</v>
      </c>
      <c r="D172" s="93"/>
      <c r="E172" s="93"/>
      <c r="F172" s="93"/>
      <c r="G172" s="97"/>
      <c r="H172" s="97"/>
      <c r="I172" s="93"/>
      <c r="J172" s="93"/>
      <c r="K172" s="93"/>
      <c r="L172" s="93"/>
      <c r="M172" s="93"/>
      <c r="N172" s="98">
        <v>0</v>
      </c>
      <c r="O172" s="98">
        <v>0</v>
      </c>
      <c r="P172" s="99">
        <f>SUM(SamplingData[[#This Row],[Winning Candidate]:[Under Votes]])</f>
        <v>5</v>
      </c>
      <c r="Q172"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172" s="100">
        <f>IF(AND(SamplingData[[#This Row],[Total]]&lt;&gt; 0, NOT(ISBLANK(SamplingData[[#This Row],[Candidate 3]]))),(SamplingData[[#This Row],[Total]]+SamplingData[[#This Row],[Winning Candidate]]-SamplingData[[#This Row],[Candidate 3]])/(SamplingData[[#Totals],[Winning Candidate]]-SamplingData[[#Totals],[Candidate 3]]), 0)</f>
        <v>0</v>
      </c>
      <c r="S172" s="100">
        <f>IF(AND(SamplingData[[#This Row],[Total]]&lt;&gt; 0, NOT(ISBLANK(SamplingData[[#This Row],[Candidate 4]]))),(SamplingData[[#This Row],[Total]]+SamplingData[[#This Row],[Winning Candidate]]-SamplingData[[#This Row],[Candidate 4]])/(SamplingData[[#Totals],[Winning Candidate]]-SamplingData[[#Totals],[Candidate 4]]), 0)</f>
        <v>0</v>
      </c>
      <c r="T172" s="100">
        <f>IF(AND(SamplingData[[#This Row],[Total]]&lt;&gt; 0, NOT(ISBLANK(SamplingData[[#This Row],[Candidate 5]]))),(SamplingData[[#This Row],[Total]]+SamplingData[[#This Row],[Winning Candidate]]-SamplingData[[#This Row],[Candidate 5]])/(SamplingData[[#Totals],[Winning Candidate]]-SamplingData[[#Totals],[Candidate 5]]), 0)</f>
        <v>0</v>
      </c>
      <c r="U172" s="100">
        <f>IF(AND(SamplingData[[#This Row],[Total]]&lt;&gt; 0, NOT(ISBLANK(SamplingData[[#This Row],[Candidate 6]]))),(SamplingData[[#This Row],[Total]]+SamplingData[[#This Row],[Losing Candidate]]-SamplingData[[#This Row],[Candidate 6]])/(SamplingData[[#Totals],[Winning Candidate]]-SamplingData[[#Totals],[Candidate 6]]), 0)</f>
        <v>0</v>
      </c>
      <c r="V172" s="100">
        <f>IF(AND(SamplingData[[#This Row],[Total]]&lt;&gt; 0, NOT(ISBLANK(SamplingData[[#This Row],[Candidate 7]]))),(SamplingData[[#This Row],[Total]]+SamplingData[[#This Row],[Winning Candidate]]-SamplingData[[#This Row],[Candidate 7]])/(SamplingData[[#Totals],[Winning Candidate]]-SamplingData[[#Totals],[Candidate 7]]), 0)</f>
        <v>0</v>
      </c>
      <c r="W172" s="100">
        <f>IF(AND(SamplingData[[#This Row],[Total]]&lt;&gt; 0, NOT(ISBLANK(SamplingData[[#This Row],[Candidate 8]]))),(SamplingData[[#This Row],[Total]]+SamplingData[[#This Row],[Winning Candidate]]-SamplingData[[#This Row],[Candidate 8]])/(SamplingData[[#Totals],[Winning Candidate]]-SamplingData[[#Totals],[Candidate 8]]), 0)</f>
        <v>0</v>
      </c>
      <c r="X1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00">
        <f>MAX(SamplingData[[#This Row],[Error Bound (up) - Max. possible relative overstatement - Losing Candidate]:[Error Bound (up) - Max. possible relative overstatement - Candidate 12]])</f>
        <v>3.1409994660300906E-4</v>
      </c>
      <c r="AC172" s="100">
        <f>IF(SamplingData[[#This Row],[Max Error Bound (up)]] = 0,0,SamplingData[[#This Row],[Max Error Bound (up)]]/SamplingData[[#Totals],[Max Error Bound (up)]])</f>
        <v>1.3460399504657304E-4</v>
      </c>
      <c r="AD172" s="104">
        <f>SUM($AC$5:AC172)</f>
        <v>2.7230388197921725E-2</v>
      </c>
      <c r="AE172" s="100" t="str" cm="1">
        <f t="array" ref="AE172">IF(SamplingData[[#This Row],[up/U Selection Probability]] = 0, "Zero", TEXT(SamplingData[[#This Row],[Lower Range]], REPT("0",LEN('General Info'!$B$42))) &amp; " - " &amp; TEXT(SamplingData[[#This Row],[Upper Range]], REPT("0",LEN('General Info'!$B$42))))</f>
        <v>02710 - 02722</v>
      </c>
      <c r="AF172" s="100">
        <f>SamplingData[[#This Row],[Upper Range]]-SamplingData[[#This Row],[Span]]</f>
        <v>2709.5784202875152</v>
      </c>
      <c r="AG172" s="100">
        <f>IF(ISNUMBER('General Info'!$B$42), ((SamplingData[[#This Row],[up/U Selection Probability]]) * 'General Info'!$B$44) - 1, 0)</f>
        <v>12.460399504657303</v>
      </c>
      <c r="AH172" s="100">
        <f>IF(ISNUMBER('General Info'!$B$42), (SamplingData[[#This Row],[Running (cumulative) sum]] * ('General Info'!$B$42 -'General Info'!$B$43 + 1)) + 'General Info'!$B$43 - 1, 0)</f>
        <v>2722.0388197921725</v>
      </c>
      <c r="AI172" s="100" t="str">
        <f>IF(ISERROR(MATCH(SamplingData[[#This Row],[Batch by Type (p)]],SelectedPrecincts[Batch Name], 0)), "", INDEX(SelectedPrecincts[Draw], MATCH(SamplingData[[#This Row],[Batch by Type (p)]],SelectedPrecincts[Batch Name], 0)))</f>
        <v/>
      </c>
      <c r="AJ172" s="101">
        <f>IF(COUNTIF(SelectedPrecincts[Batch Name],SamplingData[[#This Row],[Batch by Type (p)]]) &lt;&gt; 0, COUNTIF(SelectedPrecincts[Batch Name],SamplingData[[#This Row],[Batch by Type (p)]]), 0)</f>
        <v>0</v>
      </c>
    </row>
    <row r="173" spans="1:36" ht="15" customHeight="1" x14ac:dyDescent="0.35">
      <c r="A173" s="98" t="s">
        <v>385</v>
      </c>
      <c r="B173" s="98">
        <v>3</v>
      </c>
      <c r="C173" s="98">
        <v>0</v>
      </c>
      <c r="D173" s="93"/>
      <c r="E173" s="93"/>
      <c r="F173" s="93"/>
      <c r="G173" s="97"/>
      <c r="H173" s="97"/>
      <c r="I173" s="93"/>
      <c r="J173" s="93"/>
      <c r="K173" s="93"/>
      <c r="L173" s="93"/>
      <c r="M173" s="93"/>
      <c r="N173" s="98">
        <v>0</v>
      </c>
      <c r="O173" s="98">
        <v>0</v>
      </c>
      <c r="P173" s="99">
        <f>SUM(SamplingData[[#This Row],[Winning Candidate]:[Under Votes]])</f>
        <v>3</v>
      </c>
      <c r="Q173"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73" s="100">
        <f>IF(AND(SamplingData[[#This Row],[Total]]&lt;&gt; 0, NOT(ISBLANK(SamplingData[[#This Row],[Candidate 3]]))),(SamplingData[[#This Row],[Total]]+SamplingData[[#This Row],[Winning Candidate]]-SamplingData[[#This Row],[Candidate 3]])/(SamplingData[[#Totals],[Winning Candidate]]-SamplingData[[#Totals],[Candidate 3]]), 0)</f>
        <v>0</v>
      </c>
      <c r="S173" s="100">
        <f>IF(AND(SamplingData[[#This Row],[Total]]&lt;&gt; 0, NOT(ISBLANK(SamplingData[[#This Row],[Candidate 4]]))),(SamplingData[[#This Row],[Total]]+SamplingData[[#This Row],[Winning Candidate]]-SamplingData[[#This Row],[Candidate 4]])/(SamplingData[[#Totals],[Winning Candidate]]-SamplingData[[#Totals],[Candidate 4]]), 0)</f>
        <v>0</v>
      </c>
      <c r="T173" s="100">
        <f>IF(AND(SamplingData[[#This Row],[Total]]&lt;&gt; 0, NOT(ISBLANK(SamplingData[[#This Row],[Candidate 5]]))),(SamplingData[[#This Row],[Total]]+SamplingData[[#This Row],[Winning Candidate]]-SamplingData[[#This Row],[Candidate 5]])/(SamplingData[[#Totals],[Winning Candidate]]-SamplingData[[#Totals],[Candidate 5]]), 0)</f>
        <v>0</v>
      </c>
      <c r="U173" s="100">
        <f>IF(AND(SamplingData[[#This Row],[Total]]&lt;&gt; 0, NOT(ISBLANK(SamplingData[[#This Row],[Candidate 6]]))),(SamplingData[[#This Row],[Total]]+SamplingData[[#This Row],[Losing Candidate]]-SamplingData[[#This Row],[Candidate 6]])/(SamplingData[[#Totals],[Winning Candidate]]-SamplingData[[#Totals],[Candidate 6]]), 0)</f>
        <v>0</v>
      </c>
      <c r="V173" s="100">
        <f>IF(AND(SamplingData[[#This Row],[Total]]&lt;&gt; 0, NOT(ISBLANK(SamplingData[[#This Row],[Candidate 7]]))),(SamplingData[[#This Row],[Total]]+SamplingData[[#This Row],[Winning Candidate]]-SamplingData[[#This Row],[Candidate 7]])/(SamplingData[[#Totals],[Winning Candidate]]-SamplingData[[#Totals],[Candidate 7]]), 0)</f>
        <v>0</v>
      </c>
      <c r="W173" s="100">
        <f>IF(AND(SamplingData[[#This Row],[Total]]&lt;&gt; 0, NOT(ISBLANK(SamplingData[[#This Row],[Candidate 8]]))),(SamplingData[[#This Row],[Total]]+SamplingData[[#This Row],[Winning Candidate]]-SamplingData[[#This Row],[Candidate 8]])/(SamplingData[[#Totals],[Winning Candidate]]-SamplingData[[#Totals],[Candidate 8]]), 0)</f>
        <v>0</v>
      </c>
      <c r="X1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00">
        <f>MAX(SamplingData[[#This Row],[Error Bound (up) - Max. possible relative overstatement - Losing Candidate]:[Error Bound (up) - Max. possible relative overstatement - Candidate 12]])</f>
        <v>1.8845996796180544E-4</v>
      </c>
      <c r="AC173" s="100">
        <f>IF(SamplingData[[#This Row],[Max Error Bound (up)]] = 0,0,SamplingData[[#This Row],[Max Error Bound (up)]]/SamplingData[[#Totals],[Max Error Bound (up)]])</f>
        <v>8.0762397027943816E-5</v>
      </c>
      <c r="AD173" s="104">
        <f>SUM($AC$5:AC173)</f>
        <v>2.7311150594949669E-2</v>
      </c>
      <c r="AE173" s="100" t="str" cm="1">
        <f t="array" ref="AE173">IF(SamplingData[[#This Row],[up/U Selection Probability]] = 0, "Zero", TEXT(SamplingData[[#This Row],[Lower Range]], REPT("0",LEN('General Info'!$B$42))) &amp; " - " &amp; TEXT(SamplingData[[#This Row],[Upper Range]], REPT("0",LEN('General Info'!$B$42))))</f>
        <v>02723 - 02730</v>
      </c>
      <c r="AF173" s="100">
        <f>SamplingData[[#This Row],[Upper Range]]-SamplingData[[#This Row],[Span]]</f>
        <v>2723.0388197921725</v>
      </c>
      <c r="AG173" s="100">
        <f>IF(ISNUMBER('General Info'!$B$42), ((SamplingData[[#This Row],[up/U Selection Probability]]) * 'General Info'!$B$44) - 1, 0)</f>
        <v>7.076239702794382</v>
      </c>
      <c r="AH173" s="100">
        <f>IF(ISNUMBER('General Info'!$B$42), (SamplingData[[#This Row],[Running (cumulative) sum]] * ('General Info'!$B$42 -'General Info'!$B$43 + 1)) + 'General Info'!$B$43 - 1, 0)</f>
        <v>2730.1150594949668</v>
      </c>
      <c r="AI173" s="100" t="str">
        <f>IF(ISERROR(MATCH(SamplingData[[#This Row],[Batch by Type (p)]],SelectedPrecincts[Batch Name], 0)), "", INDEX(SelectedPrecincts[Draw], MATCH(SamplingData[[#This Row],[Batch by Type (p)]],SelectedPrecincts[Batch Name], 0)))</f>
        <v/>
      </c>
      <c r="AJ173" s="101">
        <f>IF(COUNTIF(SelectedPrecincts[Batch Name],SamplingData[[#This Row],[Batch by Type (p)]]) &lt;&gt; 0, COUNTIF(SelectedPrecincts[Batch Name],SamplingData[[#This Row],[Batch by Type (p)]]), 0)</f>
        <v>0</v>
      </c>
    </row>
    <row r="174" spans="1:36" ht="15" customHeight="1" x14ac:dyDescent="0.35">
      <c r="A174" s="98" t="s">
        <v>386</v>
      </c>
      <c r="B174" s="98">
        <v>4</v>
      </c>
      <c r="C174" s="98">
        <v>0</v>
      </c>
      <c r="D174" s="93"/>
      <c r="E174" s="93"/>
      <c r="F174" s="93"/>
      <c r="G174" s="97"/>
      <c r="H174" s="97"/>
      <c r="I174" s="93"/>
      <c r="J174" s="93"/>
      <c r="K174" s="93"/>
      <c r="L174" s="93"/>
      <c r="M174" s="93"/>
      <c r="N174" s="98">
        <v>0</v>
      </c>
      <c r="O174" s="98">
        <v>0</v>
      </c>
      <c r="P174" s="99">
        <f>SUM(SamplingData[[#This Row],[Winning Candidate]:[Under Votes]])</f>
        <v>4</v>
      </c>
      <c r="Q174"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74" s="100">
        <f>IF(AND(SamplingData[[#This Row],[Total]]&lt;&gt; 0, NOT(ISBLANK(SamplingData[[#This Row],[Candidate 3]]))),(SamplingData[[#This Row],[Total]]+SamplingData[[#This Row],[Winning Candidate]]-SamplingData[[#This Row],[Candidate 3]])/(SamplingData[[#Totals],[Winning Candidate]]-SamplingData[[#Totals],[Candidate 3]]), 0)</f>
        <v>0</v>
      </c>
      <c r="S174" s="100">
        <f>IF(AND(SamplingData[[#This Row],[Total]]&lt;&gt; 0, NOT(ISBLANK(SamplingData[[#This Row],[Candidate 4]]))),(SamplingData[[#This Row],[Total]]+SamplingData[[#This Row],[Winning Candidate]]-SamplingData[[#This Row],[Candidate 4]])/(SamplingData[[#Totals],[Winning Candidate]]-SamplingData[[#Totals],[Candidate 4]]), 0)</f>
        <v>0</v>
      </c>
      <c r="T174" s="100">
        <f>IF(AND(SamplingData[[#This Row],[Total]]&lt;&gt; 0, NOT(ISBLANK(SamplingData[[#This Row],[Candidate 5]]))),(SamplingData[[#This Row],[Total]]+SamplingData[[#This Row],[Winning Candidate]]-SamplingData[[#This Row],[Candidate 5]])/(SamplingData[[#Totals],[Winning Candidate]]-SamplingData[[#Totals],[Candidate 5]]), 0)</f>
        <v>0</v>
      </c>
      <c r="U174" s="100">
        <f>IF(AND(SamplingData[[#This Row],[Total]]&lt;&gt; 0, NOT(ISBLANK(SamplingData[[#This Row],[Candidate 6]]))),(SamplingData[[#This Row],[Total]]+SamplingData[[#This Row],[Losing Candidate]]-SamplingData[[#This Row],[Candidate 6]])/(SamplingData[[#Totals],[Winning Candidate]]-SamplingData[[#Totals],[Candidate 6]]), 0)</f>
        <v>0</v>
      </c>
      <c r="V174" s="100">
        <f>IF(AND(SamplingData[[#This Row],[Total]]&lt;&gt; 0, NOT(ISBLANK(SamplingData[[#This Row],[Candidate 7]]))),(SamplingData[[#This Row],[Total]]+SamplingData[[#This Row],[Winning Candidate]]-SamplingData[[#This Row],[Candidate 7]])/(SamplingData[[#Totals],[Winning Candidate]]-SamplingData[[#Totals],[Candidate 7]]), 0)</f>
        <v>0</v>
      </c>
      <c r="W174" s="100">
        <f>IF(AND(SamplingData[[#This Row],[Total]]&lt;&gt; 0, NOT(ISBLANK(SamplingData[[#This Row],[Candidate 8]]))),(SamplingData[[#This Row],[Total]]+SamplingData[[#This Row],[Winning Candidate]]-SamplingData[[#This Row],[Candidate 8]])/(SamplingData[[#Totals],[Winning Candidate]]-SamplingData[[#Totals],[Candidate 8]]), 0)</f>
        <v>0</v>
      </c>
      <c r="X1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00">
        <f>MAX(SamplingData[[#This Row],[Error Bound (up) - Max. possible relative overstatement - Losing Candidate]:[Error Bound (up) - Max. possible relative overstatement - Candidate 12]])</f>
        <v>2.5127995728240724E-4</v>
      </c>
      <c r="AC174" s="100">
        <f>IF(SamplingData[[#This Row],[Max Error Bound (up)]] = 0,0,SamplingData[[#This Row],[Max Error Bound (up)]]/SamplingData[[#Totals],[Max Error Bound (up)]])</f>
        <v>1.0768319603725841E-4</v>
      </c>
      <c r="AD174" s="104">
        <f>SUM($AC$5:AC174)</f>
        <v>2.7418833790986929E-2</v>
      </c>
      <c r="AE174" s="100" t="str" cm="1">
        <f t="array" ref="AE174">IF(SamplingData[[#This Row],[up/U Selection Probability]] = 0, "Zero", TEXT(SamplingData[[#This Row],[Lower Range]], REPT("0",LEN('General Info'!$B$42))) &amp; " - " &amp; TEXT(SamplingData[[#This Row],[Upper Range]], REPT("0",LEN('General Info'!$B$42))))</f>
        <v>02731 - 02741</v>
      </c>
      <c r="AF174" s="100">
        <f>SamplingData[[#This Row],[Upper Range]]-SamplingData[[#This Row],[Span]]</f>
        <v>2731.1150594949668</v>
      </c>
      <c r="AG174" s="100">
        <f>IF(ISNUMBER('General Info'!$B$42), ((SamplingData[[#This Row],[up/U Selection Probability]]) * 'General Info'!$B$44) - 1, 0)</f>
        <v>9.7683196037258408</v>
      </c>
      <c r="AH174" s="100">
        <f>IF(ISNUMBER('General Info'!$B$42), (SamplingData[[#This Row],[Running (cumulative) sum]] * ('General Info'!$B$42 -'General Info'!$B$43 + 1)) + 'General Info'!$B$43 - 1, 0)</f>
        <v>2740.8833790986928</v>
      </c>
      <c r="AI174" s="100" t="str">
        <f>IF(ISERROR(MATCH(SamplingData[[#This Row],[Batch by Type (p)]],SelectedPrecincts[Batch Name], 0)), "", INDEX(SelectedPrecincts[Draw], MATCH(SamplingData[[#This Row],[Batch by Type (p)]],SelectedPrecincts[Batch Name], 0)))</f>
        <v/>
      </c>
      <c r="AJ174" s="101">
        <f>IF(COUNTIF(SelectedPrecincts[Batch Name],SamplingData[[#This Row],[Batch by Type (p)]]) &lt;&gt; 0, COUNTIF(SelectedPrecincts[Batch Name],SamplingData[[#This Row],[Batch by Type (p)]]), 0)</f>
        <v>0</v>
      </c>
    </row>
    <row r="175" spans="1:36" ht="15" customHeight="1" x14ac:dyDescent="0.35">
      <c r="A175" s="98" t="s">
        <v>387</v>
      </c>
      <c r="B175" s="98">
        <v>1</v>
      </c>
      <c r="C175" s="98">
        <v>1</v>
      </c>
      <c r="D175" s="93"/>
      <c r="E175" s="93"/>
      <c r="F175" s="93"/>
      <c r="G175" s="97"/>
      <c r="H175" s="97"/>
      <c r="I175" s="93"/>
      <c r="J175" s="93"/>
      <c r="K175" s="93"/>
      <c r="L175" s="93"/>
      <c r="M175" s="93"/>
      <c r="N175" s="98">
        <v>0</v>
      </c>
      <c r="O175" s="98">
        <v>0</v>
      </c>
      <c r="P175" s="99">
        <f>SUM(SamplingData[[#This Row],[Winning Candidate]:[Under Votes]])</f>
        <v>2</v>
      </c>
      <c r="Q175"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75" s="100">
        <f>IF(AND(SamplingData[[#This Row],[Total]]&lt;&gt; 0, NOT(ISBLANK(SamplingData[[#This Row],[Candidate 3]]))),(SamplingData[[#This Row],[Total]]+SamplingData[[#This Row],[Winning Candidate]]-SamplingData[[#This Row],[Candidate 3]])/(SamplingData[[#Totals],[Winning Candidate]]-SamplingData[[#Totals],[Candidate 3]]), 0)</f>
        <v>0</v>
      </c>
      <c r="S175" s="100">
        <f>IF(AND(SamplingData[[#This Row],[Total]]&lt;&gt; 0, NOT(ISBLANK(SamplingData[[#This Row],[Candidate 4]]))),(SamplingData[[#This Row],[Total]]+SamplingData[[#This Row],[Winning Candidate]]-SamplingData[[#This Row],[Candidate 4]])/(SamplingData[[#Totals],[Winning Candidate]]-SamplingData[[#Totals],[Candidate 4]]), 0)</f>
        <v>0</v>
      </c>
      <c r="T175" s="100">
        <f>IF(AND(SamplingData[[#This Row],[Total]]&lt;&gt; 0, NOT(ISBLANK(SamplingData[[#This Row],[Candidate 5]]))),(SamplingData[[#This Row],[Total]]+SamplingData[[#This Row],[Winning Candidate]]-SamplingData[[#This Row],[Candidate 5]])/(SamplingData[[#Totals],[Winning Candidate]]-SamplingData[[#Totals],[Candidate 5]]), 0)</f>
        <v>0</v>
      </c>
      <c r="U175" s="100">
        <f>IF(AND(SamplingData[[#This Row],[Total]]&lt;&gt; 0, NOT(ISBLANK(SamplingData[[#This Row],[Candidate 6]]))),(SamplingData[[#This Row],[Total]]+SamplingData[[#This Row],[Losing Candidate]]-SamplingData[[#This Row],[Candidate 6]])/(SamplingData[[#Totals],[Winning Candidate]]-SamplingData[[#Totals],[Candidate 6]]), 0)</f>
        <v>0</v>
      </c>
      <c r="V175" s="100">
        <f>IF(AND(SamplingData[[#This Row],[Total]]&lt;&gt; 0, NOT(ISBLANK(SamplingData[[#This Row],[Candidate 7]]))),(SamplingData[[#This Row],[Total]]+SamplingData[[#This Row],[Winning Candidate]]-SamplingData[[#This Row],[Candidate 7]])/(SamplingData[[#Totals],[Winning Candidate]]-SamplingData[[#Totals],[Candidate 7]]), 0)</f>
        <v>0</v>
      </c>
      <c r="W175" s="100">
        <f>IF(AND(SamplingData[[#This Row],[Total]]&lt;&gt; 0, NOT(ISBLANK(SamplingData[[#This Row],[Candidate 8]]))),(SamplingData[[#This Row],[Total]]+SamplingData[[#This Row],[Winning Candidate]]-SamplingData[[#This Row],[Candidate 8]])/(SamplingData[[#Totals],[Winning Candidate]]-SamplingData[[#Totals],[Candidate 8]]), 0)</f>
        <v>0</v>
      </c>
      <c r="X1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00">
        <f>MAX(SamplingData[[#This Row],[Error Bound (up) - Max. possible relative overstatement - Losing Candidate]:[Error Bound (up) - Max. possible relative overstatement - Candidate 12]])</f>
        <v>6.2819989320601809E-5</v>
      </c>
      <c r="AC175" s="100">
        <f>IF(SamplingData[[#This Row],[Max Error Bound (up)]] = 0,0,SamplingData[[#This Row],[Max Error Bound (up)]]/SamplingData[[#Totals],[Max Error Bound (up)]])</f>
        <v>2.6920799009314603E-5</v>
      </c>
      <c r="AD175" s="104">
        <f>SUM($AC$5:AC175)</f>
        <v>2.7445754589996242E-2</v>
      </c>
      <c r="AE175" s="100" t="str" cm="1">
        <f t="array" ref="AE175">IF(SamplingData[[#This Row],[up/U Selection Probability]] = 0, "Zero", TEXT(SamplingData[[#This Row],[Lower Range]], REPT("0",LEN('General Info'!$B$42))) &amp; " - " &amp; TEXT(SamplingData[[#This Row],[Upper Range]], REPT("0",LEN('General Info'!$B$42))))</f>
        <v>02742 - 02744</v>
      </c>
      <c r="AF175" s="100">
        <f>SamplingData[[#This Row],[Upper Range]]-SamplingData[[#This Row],[Span]]</f>
        <v>2741.8833790986928</v>
      </c>
      <c r="AG175" s="100">
        <f>IF(ISNUMBER('General Info'!$B$42), ((SamplingData[[#This Row],[up/U Selection Probability]]) * 'General Info'!$B$44) - 1, 0)</f>
        <v>1.6920799009314602</v>
      </c>
      <c r="AH175" s="100">
        <f>IF(ISNUMBER('General Info'!$B$42), (SamplingData[[#This Row],[Running (cumulative) sum]] * ('General Info'!$B$42 -'General Info'!$B$43 + 1)) + 'General Info'!$B$43 - 1, 0)</f>
        <v>2743.5754589996241</v>
      </c>
      <c r="AI175" s="100" t="str">
        <f>IF(ISERROR(MATCH(SamplingData[[#This Row],[Batch by Type (p)]],SelectedPrecincts[Batch Name], 0)), "", INDEX(SelectedPrecincts[Draw], MATCH(SamplingData[[#This Row],[Batch by Type (p)]],SelectedPrecincts[Batch Name], 0)))</f>
        <v/>
      </c>
      <c r="AJ175" s="101">
        <f>IF(COUNTIF(SelectedPrecincts[Batch Name],SamplingData[[#This Row],[Batch by Type (p)]]) &lt;&gt; 0, COUNTIF(SelectedPrecincts[Batch Name],SamplingData[[#This Row],[Batch by Type (p)]]), 0)</f>
        <v>0</v>
      </c>
    </row>
    <row r="176" spans="1:36" ht="15" customHeight="1" x14ac:dyDescent="0.35">
      <c r="A176" s="98" t="s">
        <v>388</v>
      </c>
      <c r="B176" s="98">
        <v>15</v>
      </c>
      <c r="C176" s="98">
        <v>0</v>
      </c>
      <c r="D176" s="93"/>
      <c r="E176" s="93"/>
      <c r="F176" s="93"/>
      <c r="G176" s="97"/>
      <c r="H176" s="97"/>
      <c r="I176" s="93"/>
      <c r="J176" s="93"/>
      <c r="K176" s="93"/>
      <c r="L176" s="93"/>
      <c r="M176" s="93"/>
      <c r="N176" s="98">
        <v>0</v>
      </c>
      <c r="O176" s="98">
        <v>0</v>
      </c>
      <c r="P176" s="99">
        <f>SUM(SamplingData[[#This Row],[Winning Candidate]:[Under Votes]])</f>
        <v>15</v>
      </c>
      <c r="Q176"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176" s="100">
        <f>IF(AND(SamplingData[[#This Row],[Total]]&lt;&gt; 0, NOT(ISBLANK(SamplingData[[#This Row],[Candidate 3]]))),(SamplingData[[#This Row],[Total]]+SamplingData[[#This Row],[Winning Candidate]]-SamplingData[[#This Row],[Candidate 3]])/(SamplingData[[#Totals],[Winning Candidate]]-SamplingData[[#Totals],[Candidate 3]]), 0)</f>
        <v>0</v>
      </c>
      <c r="S176" s="100">
        <f>IF(AND(SamplingData[[#This Row],[Total]]&lt;&gt; 0, NOT(ISBLANK(SamplingData[[#This Row],[Candidate 4]]))),(SamplingData[[#This Row],[Total]]+SamplingData[[#This Row],[Winning Candidate]]-SamplingData[[#This Row],[Candidate 4]])/(SamplingData[[#Totals],[Winning Candidate]]-SamplingData[[#Totals],[Candidate 4]]), 0)</f>
        <v>0</v>
      </c>
      <c r="T176" s="100">
        <f>IF(AND(SamplingData[[#This Row],[Total]]&lt;&gt; 0, NOT(ISBLANK(SamplingData[[#This Row],[Candidate 5]]))),(SamplingData[[#This Row],[Total]]+SamplingData[[#This Row],[Winning Candidate]]-SamplingData[[#This Row],[Candidate 5]])/(SamplingData[[#Totals],[Winning Candidate]]-SamplingData[[#Totals],[Candidate 5]]), 0)</f>
        <v>0</v>
      </c>
      <c r="U176" s="100">
        <f>IF(AND(SamplingData[[#This Row],[Total]]&lt;&gt; 0, NOT(ISBLANK(SamplingData[[#This Row],[Candidate 6]]))),(SamplingData[[#This Row],[Total]]+SamplingData[[#This Row],[Losing Candidate]]-SamplingData[[#This Row],[Candidate 6]])/(SamplingData[[#Totals],[Winning Candidate]]-SamplingData[[#Totals],[Candidate 6]]), 0)</f>
        <v>0</v>
      </c>
      <c r="V176" s="100">
        <f>IF(AND(SamplingData[[#This Row],[Total]]&lt;&gt; 0, NOT(ISBLANK(SamplingData[[#This Row],[Candidate 7]]))),(SamplingData[[#This Row],[Total]]+SamplingData[[#This Row],[Winning Candidate]]-SamplingData[[#This Row],[Candidate 7]])/(SamplingData[[#Totals],[Winning Candidate]]-SamplingData[[#Totals],[Candidate 7]]), 0)</f>
        <v>0</v>
      </c>
      <c r="W176" s="100">
        <f>IF(AND(SamplingData[[#This Row],[Total]]&lt;&gt; 0, NOT(ISBLANK(SamplingData[[#This Row],[Candidate 8]]))),(SamplingData[[#This Row],[Total]]+SamplingData[[#This Row],[Winning Candidate]]-SamplingData[[#This Row],[Candidate 8]])/(SamplingData[[#Totals],[Winning Candidate]]-SamplingData[[#Totals],[Candidate 8]]), 0)</f>
        <v>0</v>
      </c>
      <c r="X1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00">
        <f>MAX(SamplingData[[#This Row],[Error Bound (up) - Max. possible relative overstatement - Losing Candidate]:[Error Bound (up) - Max. possible relative overstatement - Candidate 12]])</f>
        <v>9.4229983980902718E-4</v>
      </c>
      <c r="AC176" s="100">
        <f>IF(SamplingData[[#This Row],[Max Error Bound (up)]] = 0,0,SamplingData[[#This Row],[Max Error Bound (up)]]/SamplingData[[#Totals],[Max Error Bound (up)]])</f>
        <v>4.0381198513971905E-4</v>
      </c>
      <c r="AD176" s="104">
        <f>SUM($AC$5:AC176)</f>
        <v>2.7849566575135962E-2</v>
      </c>
      <c r="AE176" s="100" t="str" cm="1">
        <f t="array" ref="AE176">IF(SamplingData[[#This Row],[up/U Selection Probability]] = 0, "Zero", TEXT(SamplingData[[#This Row],[Lower Range]], REPT("0",LEN('General Info'!$B$42))) &amp; " - " &amp; TEXT(SamplingData[[#This Row],[Upper Range]], REPT("0",LEN('General Info'!$B$42))))</f>
        <v>02745 - 02784</v>
      </c>
      <c r="AF176" s="100">
        <f>SamplingData[[#This Row],[Upper Range]]-SamplingData[[#This Row],[Span]]</f>
        <v>2744.5754589996245</v>
      </c>
      <c r="AG176" s="100">
        <f>IF(ISNUMBER('General Info'!$B$42), ((SamplingData[[#This Row],[up/U Selection Probability]]) * 'General Info'!$B$44) - 1, 0)</f>
        <v>39.381198513971903</v>
      </c>
      <c r="AH176" s="100">
        <f>IF(ISNUMBER('General Info'!$B$42), (SamplingData[[#This Row],[Running (cumulative) sum]] * ('General Info'!$B$42 -'General Info'!$B$43 + 1)) + 'General Info'!$B$43 - 1, 0)</f>
        <v>2783.9566575135964</v>
      </c>
      <c r="AI176" s="100" t="str">
        <f>IF(ISERROR(MATCH(SamplingData[[#This Row],[Batch by Type (p)]],SelectedPrecincts[Batch Name], 0)), "", INDEX(SelectedPrecincts[Draw], MATCH(SamplingData[[#This Row],[Batch by Type (p)]],SelectedPrecincts[Batch Name], 0)))</f>
        <v/>
      </c>
      <c r="AJ176" s="101">
        <f>IF(COUNTIF(SelectedPrecincts[Batch Name],SamplingData[[#This Row],[Batch by Type (p)]]) &lt;&gt; 0, COUNTIF(SelectedPrecincts[Batch Name],SamplingData[[#This Row],[Batch by Type (p)]]), 0)</f>
        <v>0</v>
      </c>
    </row>
    <row r="177" spans="1:36" ht="15" customHeight="1" x14ac:dyDescent="0.35">
      <c r="A177" s="98" t="s">
        <v>389</v>
      </c>
      <c r="B177" s="98">
        <v>3</v>
      </c>
      <c r="C177" s="98">
        <v>2</v>
      </c>
      <c r="D177" s="93"/>
      <c r="E177" s="93"/>
      <c r="F177" s="93"/>
      <c r="G177" s="97"/>
      <c r="H177" s="97"/>
      <c r="I177" s="93"/>
      <c r="J177" s="93"/>
      <c r="K177" s="93"/>
      <c r="L177" s="93"/>
      <c r="M177" s="93"/>
      <c r="N177" s="98">
        <v>0</v>
      </c>
      <c r="O177" s="98">
        <v>0</v>
      </c>
      <c r="P177" s="99">
        <f>SUM(SamplingData[[#This Row],[Winning Candidate]:[Under Votes]])</f>
        <v>5</v>
      </c>
      <c r="Q177"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77" s="100">
        <f>IF(AND(SamplingData[[#This Row],[Total]]&lt;&gt; 0, NOT(ISBLANK(SamplingData[[#This Row],[Candidate 3]]))),(SamplingData[[#This Row],[Total]]+SamplingData[[#This Row],[Winning Candidate]]-SamplingData[[#This Row],[Candidate 3]])/(SamplingData[[#Totals],[Winning Candidate]]-SamplingData[[#Totals],[Candidate 3]]), 0)</f>
        <v>0</v>
      </c>
      <c r="S177" s="100">
        <f>IF(AND(SamplingData[[#This Row],[Total]]&lt;&gt; 0, NOT(ISBLANK(SamplingData[[#This Row],[Candidate 4]]))),(SamplingData[[#This Row],[Total]]+SamplingData[[#This Row],[Winning Candidate]]-SamplingData[[#This Row],[Candidate 4]])/(SamplingData[[#Totals],[Winning Candidate]]-SamplingData[[#Totals],[Candidate 4]]), 0)</f>
        <v>0</v>
      </c>
      <c r="T177" s="100">
        <f>IF(AND(SamplingData[[#This Row],[Total]]&lt;&gt; 0, NOT(ISBLANK(SamplingData[[#This Row],[Candidate 5]]))),(SamplingData[[#This Row],[Total]]+SamplingData[[#This Row],[Winning Candidate]]-SamplingData[[#This Row],[Candidate 5]])/(SamplingData[[#Totals],[Winning Candidate]]-SamplingData[[#Totals],[Candidate 5]]), 0)</f>
        <v>0</v>
      </c>
      <c r="U177" s="100">
        <f>IF(AND(SamplingData[[#This Row],[Total]]&lt;&gt; 0, NOT(ISBLANK(SamplingData[[#This Row],[Candidate 6]]))),(SamplingData[[#This Row],[Total]]+SamplingData[[#This Row],[Losing Candidate]]-SamplingData[[#This Row],[Candidate 6]])/(SamplingData[[#Totals],[Winning Candidate]]-SamplingData[[#Totals],[Candidate 6]]), 0)</f>
        <v>0</v>
      </c>
      <c r="V177" s="100">
        <f>IF(AND(SamplingData[[#This Row],[Total]]&lt;&gt; 0, NOT(ISBLANK(SamplingData[[#This Row],[Candidate 7]]))),(SamplingData[[#This Row],[Total]]+SamplingData[[#This Row],[Winning Candidate]]-SamplingData[[#This Row],[Candidate 7]])/(SamplingData[[#Totals],[Winning Candidate]]-SamplingData[[#Totals],[Candidate 7]]), 0)</f>
        <v>0</v>
      </c>
      <c r="W177" s="100">
        <f>IF(AND(SamplingData[[#This Row],[Total]]&lt;&gt; 0, NOT(ISBLANK(SamplingData[[#This Row],[Candidate 8]]))),(SamplingData[[#This Row],[Total]]+SamplingData[[#This Row],[Winning Candidate]]-SamplingData[[#This Row],[Candidate 8]])/(SamplingData[[#Totals],[Winning Candidate]]-SamplingData[[#Totals],[Candidate 8]]), 0)</f>
        <v>0</v>
      </c>
      <c r="X1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00">
        <f>MAX(SamplingData[[#This Row],[Error Bound (up) - Max. possible relative overstatement - Losing Candidate]:[Error Bound (up) - Max. possible relative overstatement - Candidate 12]])</f>
        <v>1.8845996796180544E-4</v>
      </c>
      <c r="AC177" s="100">
        <f>IF(SamplingData[[#This Row],[Max Error Bound (up)]] = 0,0,SamplingData[[#This Row],[Max Error Bound (up)]]/SamplingData[[#Totals],[Max Error Bound (up)]])</f>
        <v>8.0762397027943816E-5</v>
      </c>
      <c r="AD177" s="104">
        <f>SUM($AC$5:AC177)</f>
        <v>2.7930328972163906E-2</v>
      </c>
      <c r="AE177" s="100" t="str" cm="1">
        <f t="array" ref="AE177">IF(SamplingData[[#This Row],[up/U Selection Probability]] = 0, "Zero", TEXT(SamplingData[[#This Row],[Lower Range]], REPT("0",LEN('General Info'!$B$42))) &amp; " - " &amp; TEXT(SamplingData[[#This Row],[Upper Range]], REPT("0",LEN('General Info'!$B$42))))</f>
        <v>02785 - 02792</v>
      </c>
      <c r="AF177" s="100">
        <f>SamplingData[[#This Row],[Upper Range]]-SamplingData[[#This Row],[Span]]</f>
        <v>2784.9566575135964</v>
      </c>
      <c r="AG177" s="100">
        <f>IF(ISNUMBER('General Info'!$B$42), ((SamplingData[[#This Row],[up/U Selection Probability]]) * 'General Info'!$B$44) - 1, 0)</f>
        <v>7.076239702794382</v>
      </c>
      <c r="AH177" s="100">
        <f>IF(ISNUMBER('General Info'!$B$42), (SamplingData[[#This Row],[Running (cumulative) sum]] * ('General Info'!$B$42 -'General Info'!$B$43 + 1)) + 'General Info'!$B$43 - 1, 0)</f>
        <v>2792.0328972163907</v>
      </c>
      <c r="AI177" s="100" t="str">
        <f>IF(ISERROR(MATCH(SamplingData[[#This Row],[Batch by Type (p)]],SelectedPrecincts[Batch Name], 0)), "", INDEX(SelectedPrecincts[Draw], MATCH(SamplingData[[#This Row],[Batch by Type (p)]],SelectedPrecincts[Batch Name], 0)))</f>
        <v/>
      </c>
      <c r="AJ177" s="101">
        <f>IF(COUNTIF(SelectedPrecincts[Batch Name],SamplingData[[#This Row],[Batch by Type (p)]]) &lt;&gt; 0, COUNTIF(SelectedPrecincts[Batch Name],SamplingData[[#This Row],[Batch by Type (p)]]), 0)</f>
        <v>0</v>
      </c>
    </row>
    <row r="178" spans="1:36" ht="15" customHeight="1" x14ac:dyDescent="0.35">
      <c r="A178" s="98" t="s">
        <v>390</v>
      </c>
      <c r="B178" s="98">
        <v>4</v>
      </c>
      <c r="C178" s="98">
        <v>0</v>
      </c>
      <c r="D178" s="93"/>
      <c r="E178" s="93"/>
      <c r="F178" s="93"/>
      <c r="G178" s="97"/>
      <c r="H178" s="97"/>
      <c r="I178" s="93"/>
      <c r="J178" s="93"/>
      <c r="K178" s="93"/>
      <c r="L178" s="93"/>
      <c r="M178" s="93"/>
      <c r="N178" s="98">
        <v>0</v>
      </c>
      <c r="O178" s="98">
        <v>0</v>
      </c>
      <c r="P178" s="99">
        <f>SUM(SamplingData[[#This Row],[Winning Candidate]:[Under Votes]])</f>
        <v>4</v>
      </c>
      <c r="Q178"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78" s="100">
        <f>IF(AND(SamplingData[[#This Row],[Total]]&lt;&gt; 0, NOT(ISBLANK(SamplingData[[#This Row],[Candidate 3]]))),(SamplingData[[#This Row],[Total]]+SamplingData[[#This Row],[Winning Candidate]]-SamplingData[[#This Row],[Candidate 3]])/(SamplingData[[#Totals],[Winning Candidate]]-SamplingData[[#Totals],[Candidate 3]]), 0)</f>
        <v>0</v>
      </c>
      <c r="S178" s="100">
        <f>IF(AND(SamplingData[[#This Row],[Total]]&lt;&gt; 0, NOT(ISBLANK(SamplingData[[#This Row],[Candidate 4]]))),(SamplingData[[#This Row],[Total]]+SamplingData[[#This Row],[Winning Candidate]]-SamplingData[[#This Row],[Candidate 4]])/(SamplingData[[#Totals],[Winning Candidate]]-SamplingData[[#Totals],[Candidate 4]]), 0)</f>
        <v>0</v>
      </c>
      <c r="T178" s="100">
        <f>IF(AND(SamplingData[[#This Row],[Total]]&lt;&gt; 0, NOT(ISBLANK(SamplingData[[#This Row],[Candidate 5]]))),(SamplingData[[#This Row],[Total]]+SamplingData[[#This Row],[Winning Candidate]]-SamplingData[[#This Row],[Candidate 5]])/(SamplingData[[#Totals],[Winning Candidate]]-SamplingData[[#Totals],[Candidate 5]]), 0)</f>
        <v>0</v>
      </c>
      <c r="U178" s="100">
        <f>IF(AND(SamplingData[[#This Row],[Total]]&lt;&gt; 0, NOT(ISBLANK(SamplingData[[#This Row],[Candidate 6]]))),(SamplingData[[#This Row],[Total]]+SamplingData[[#This Row],[Losing Candidate]]-SamplingData[[#This Row],[Candidate 6]])/(SamplingData[[#Totals],[Winning Candidate]]-SamplingData[[#Totals],[Candidate 6]]), 0)</f>
        <v>0</v>
      </c>
      <c r="V178" s="100">
        <f>IF(AND(SamplingData[[#This Row],[Total]]&lt;&gt; 0, NOT(ISBLANK(SamplingData[[#This Row],[Candidate 7]]))),(SamplingData[[#This Row],[Total]]+SamplingData[[#This Row],[Winning Candidate]]-SamplingData[[#This Row],[Candidate 7]])/(SamplingData[[#Totals],[Winning Candidate]]-SamplingData[[#Totals],[Candidate 7]]), 0)</f>
        <v>0</v>
      </c>
      <c r="W178" s="100">
        <f>IF(AND(SamplingData[[#This Row],[Total]]&lt;&gt; 0, NOT(ISBLANK(SamplingData[[#This Row],[Candidate 8]]))),(SamplingData[[#This Row],[Total]]+SamplingData[[#This Row],[Winning Candidate]]-SamplingData[[#This Row],[Candidate 8]])/(SamplingData[[#Totals],[Winning Candidate]]-SamplingData[[#Totals],[Candidate 8]]), 0)</f>
        <v>0</v>
      </c>
      <c r="X1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00">
        <f>MAX(SamplingData[[#This Row],[Error Bound (up) - Max. possible relative overstatement - Losing Candidate]:[Error Bound (up) - Max. possible relative overstatement - Candidate 12]])</f>
        <v>2.5127995728240724E-4</v>
      </c>
      <c r="AC178" s="100">
        <f>IF(SamplingData[[#This Row],[Max Error Bound (up)]] = 0,0,SamplingData[[#This Row],[Max Error Bound (up)]]/SamplingData[[#Totals],[Max Error Bound (up)]])</f>
        <v>1.0768319603725841E-4</v>
      </c>
      <c r="AD178" s="104">
        <f>SUM($AC$5:AC178)</f>
        <v>2.8038012168201166E-2</v>
      </c>
      <c r="AE178" s="100" t="str" cm="1">
        <f t="array" ref="AE178">IF(SamplingData[[#This Row],[up/U Selection Probability]] = 0, "Zero", TEXT(SamplingData[[#This Row],[Lower Range]], REPT("0",LEN('General Info'!$B$42))) &amp; " - " &amp; TEXT(SamplingData[[#This Row],[Upper Range]], REPT("0",LEN('General Info'!$B$42))))</f>
        <v>02793 - 02803</v>
      </c>
      <c r="AF178" s="100">
        <f>SamplingData[[#This Row],[Upper Range]]-SamplingData[[#This Row],[Span]]</f>
        <v>2793.0328972163907</v>
      </c>
      <c r="AG178" s="100">
        <f>IF(ISNUMBER('General Info'!$B$42), ((SamplingData[[#This Row],[up/U Selection Probability]]) * 'General Info'!$B$44) - 1, 0)</f>
        <v>9.7683196037258408</v>
      </c>
      <c r="AH178" s="100">
        <f>IF(ISNUMBER('General Info'!$B$42), (SamplingData[[#This Row],[Running (cumulative) sum]] * ('General Info'!$B$42 -'General Info'!$B$43 + 1)) + 'General Info'!$B$43 - 1, 0)</f>
        <v>2802.8012168201167</v>
      </c>
      <c r="AI178" s="100" t="str">
        <f>IF(ISERROR(MATCH(SamplingData[[#This Row],[Batch by Type (p)]],SelectedPrecincts[Batch Name], 0)), "", INDEX(SelectedPrecincts[Draw], MATCH(SamplingData[[#This Row],[Batch by Type (p)]],SelectedPrecincts[Batch Name], 0)))</f>
        <v/>
      </c>
      <c r="AJ178" s="101">
        <f>IF(COUNTIF(SelectedPrecincts[Batch Name],SamplingData[[#This Row],[Batch by Type (p)]]) &lt;&gt; 0, COUNTIF(SelectedPrecincts[Batch Name],SamplingData[[#This Row],[Batch by Type (p)]]), 0)</f>
        <v>0</v>
      </c>
    </row>
    <row r="179" spans="1:36" ht="15" customHeight="1" x14ac:dyDescent="0.35">
      <c r="A179" s="98" t="s">
        <v>391</v>
      </c>
      <c r="B179" s="98">
        <v>4</v>
      </c>
      <c r="C179" s="98">
        <v>0</v>
      </c>
      <c r="D179" s="93"/>
      <c r="E179" s="93"/>
      <c r="F179" s="93"/>
      <c r="G179" s="97"/>
      <c r="H179" s="97"/>
      <c r="I179" s="93"/>
      <c r="J179" s="93"/>
      <c r="K179" s="93"/>
      <c r="L179" s="93"/>
      <c r="M179" s="93"/>
      <c r="N179" s="98">
        <v>0</v>
      </c>
      <c r="O179" s="98">
        <v>1</v>
      </c>
      <c r="P179" s="99">
        <f>SUM(SamplingData[[#This Row],[Winning Candidate]:[Under Votes]])</f>
        <v>5</v>
      </c>
      <c r="Q179"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179" s="100">
        <f>IF(AND(SamplingData[[#This Row],[Total]]&lt;&gt; 0, NOT(ISBLANK(SamplingData[[#This Row],[Candidate 3]]))),(SamplingData[[#This Row],[Total]]+SamplingData[[#This Row],[Winning Candidate]]-SamplingData[[#This Row],[Candidate 3]])/(SamplingData[[#Totals],[Winning Candidate]]-SamplingData[[#Totals],[Candidate 3]]), 0)</f>
        <v>0</v>
      </c>
      <c r="S179" s="100">
        <f>IF(AND(SamplingData[[#This Row],[Total]]&lt;&gt; 0, NOT(ISBLANK(SamplingData[[#This Row],[Candidate 4]]))),(SamplingData[[#This Row],[Total]]+SamplingData[[#This Row],[Winning Candidate]]-SamplingData[[#This Row],[Candidate 4]])/(SamplingData[[#Totals],[Winning Candidate]]-SamplingData[[#Totals],[Candidate 4]]), 0)</f>
        <v>0</v>
      </c>
      <c r="T179" s="100">
        <f>IF(AND(SamplingData[[#This Row],[Total]]&lt;&gt; 0, NOT(ISBLANK(SamplingData[[#This Row],[Candidate 5]]))),(SamplingData[[#This Row],[Total]]+SamplingData[[#This Row],[Winning Candidate]]-SamplingData[[#This Row],[Candidate 5]])/(SamplingData[[#Totals],[Winning Candidate]]-SamplingData[[#Totals],[Candidate 5]]), 0)</f>
        <v>0</v>
      </c>
      <c r="U179" s="100">
        <f>IF(AND(SamplingData[[#This Row],[Total]]&lt;&gt; 0, NOT(ISBLANK(SamplingData[[#This Row],[Candidate 6]]))),(SamplingData[[#This Row],[Total]]+SamplingData[[#This Row],[Losing Candidate]]-SamplingData[[#This Row],[Candidate 6]])/(SamplingData[[#Totals],[Winning Candidate]]-SamplingData[[#Totals],[Candidate 6]]), 0)</f>
        <v>0</v>
      </c>
      <c r="V179" s="100">
        <f>IF(AND(SamplingData[[#This Row],[Total]]&lt;&gt; 0, NOT(ISBLANK(SamplingData[[#This Row],[Candidate 7]]))),(SamplingData[[#This Row],[Total]]+SamplingData[[#This Row],[Winning Candidate]]-SamplingData[[#This Row],[Candidate 7]])/(SamplingData[[#Totals],[Winning Candidate]]-SamplingData[[#Totals],[Candidate 7]]), 0)</f>
        <v>0</v>
      </c>
      <c r="W179" s="100">
        <f>IF(AND(SamplingData[[#This Row],[Total]]&lt;&gt; 0, NOT(ISBLANK(SamplingData[[#This Row],[Candidate 8]]))),(SamplingData[[#This Row],[Total]]+SamplingData[[#This Row],[Winning Candidate]]-SamplingData[[#This Row],[Candidate 8]])/(SamplingData[[#Totals],[Winning Candidate]]-SamplingData[[#Totals],[Candidate 8]]), 0)</f>
        <v>0</v>
      </c>
      <c r="X1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00">
        <f>MAX(SamplingData[[#This Row],[Error Bound (up) - Max. possible relative overstatement - Losing Candidate]:[Error Bound (up) - Max. possible relative overstatement - Candidate 12]])</f>
        <v>2.8268995194270818E-4</v>
      </c>
      <c r="AC179" s="100">
        <f>IF(SamplingData[[#This Row],[Max Error Bound (up)]] = 0,0,SamplingData[[#This Row],[Max Error Bound (up)]]/SamplingData[[#Totals],[Max Error Bound (up)]])</f>
        <v>1.2114359554191572E-4</v>
      </c>
      <c r="AD179" s="104">
        <f>SUM($AC$5:AC179)</f>
        <v>2.8159155763743081E-2</v>
      </c>
      <c r="AE179" s="100" t="str" cm="1">
        <f t="array" ref="AE179">IF(SamplingData[[#This Row],[up/U Selection Probability]] = 0, "Zero", TEXT(SamplingData[[#This Row],[Lower Range]], REPT("0",LEN('General Info'!$B$42))) &amp; " - " &amp; TEXT(SamplingData[[#This Row],[Upper Range]], REPT("0",LEN('General Info'!$B$42))))</f>
        <v>02804 - 02815</v>
      </c>
      <c r="AF179" s="100">
        <f>SamplingData[[#This Row],[Upper Range]]-SamplingData[[#This Row],[Span]]</f>
        <v>2803.8012168201162</v>
      </c>
      <c r="AG179" s="100">
        <f>IF(ISNUMBER('General Info'!$B$42), ((SamplingData[[#This Row],[up/U Selection Probability]]) * 'General Info'!$B$44) - 1, 0)</f>
        <v>11.114359554191573</v>
      </c>
      <c r="AH179" s="100">
        <f>IF(ISNUMBER('General Info'!$B$42), (SamplingData[[#This Row],[Running (cumulative) sum]] * ('General Info'!$B$42 -'General Info'!$B$43 + 1)) + 'General Info'!$B$43 - 1, 0)</f>
        <v>2814.9155763743079</v>
      </c>
      <c r="AI179" s="100" t="str">
        <f>IF(ISERROR(MATCH(SamplingData[[#This Row],[Batch by Type (p)]],SelectedPrecincts[Batch Name], 0)), "", INDEX(SelectedPrecincts[Draw], MATCH(SamplingData[[#This Row],[Batch by Type (p)]],SelectedPrecincts[Batch Name], 0)))</f>
        <v/>
      </c>
      <c r="AJ179" s="101">
        <f>IF(COUNTIF(SelectedPrecincts[Batch Name],SamplingData[[#This Row],[Batch by Type (p)]]) &lt;&gt; 0, COUNTIF(SelectedPrecincts[Batch Name],SamplingData[[#This Row],[Batch by Type (p)]]), 0)</f>
        <v>0</v>
      </c>
    </row>
    <row r="180" spans="1:36" ht="15" customHeight="1" x14ac:dyDescent="0.35">
      <c r="A180" s="98" t="s">
        <v>392</v>
      </c>
      <c r="B180" s="98">
        <v>1</v>
      </c>
      <c r="C180" s="98">
        <v>0</v>
      </c>
      <c r="D180" s="93"/>
      <c r="E180" s="93"/>
      <c r="F180" s="93"/>
      <c r="G180" s="97"/>
      <c r="H180" s="97"/>
      <c r="I180" s="93"/>
      <c r="J180" s="93"/>
      <c r="K180" s="93"/>
      <c r="L180" s="93"/>
      <c r="M180" s="93"/>
      <c r="N180" s="98">
        <v>0</v>
      </c>
      <c r="O180" s="98">
        <v>1</v>
      </c>
      <c r="P180" s="99">
        <f>SUM(SamplingData[[#This Row],[Winning Candidate]:[Under Votes]])</f>
        <v>2</v>
      </c>
      <c r="Q180" s="100">
        <f>IF(AND(SamplingData[[#This Row],[Total]]&lt;&gt; 0, NOT(ISBLANK(SamplingData[[#This Row],[Losing Candidate]]))),(SamplingData[[#This Row],[Total]]+SamplingData[[#This Row],[Winning Candidate]]-SamplingData[[#This Row],[Losing Candidate]])/(SamplingData[[#Totals],[Winning Candidate]]-SamplingData[[#Totals],[Losing Candidate]]), 0)</f>
        <v>9.4229983980902721E-5</v>
      </c>
      <c r="R180" s="100">
        <f>IF(AND(SamplingData[[#This Row],[Total]]&lt;&gt; 0, NOT(ISBLANK(SamplingData[[#This Row],[Candidate 3]]))),(SamplingData[[#This Row],[Total]]+SamplingData[[#This Row],[Winning Candidate]]-SamplingData[[#This Row],[Candidate 3]])/(SamplingData[[#Totals],[Winning Candidate]]-SamplingData[[#Totals],[Candidate 3]]), 0)</f>
        <v>0</v>
      </c>
      <c r="S180" s="100">
        <f>IF(AND(SamplingData[[#This Row],[Total]]&lt;&gt; 0, NOT(ISBLANK(SamplingData[[#This Row],[Candidate 4]]))),(SamplingData[[#This Row],[Total]]+SamplingData[[#This Row],[Winning Candidate]]-SamplingData[[#This Row],[Candidate 4]])/(SamplingData[[#Totals],[Winning Candidate]]-SamplingData[[#Totals],[Candidate 4]]), 0)</f>
        <v>0</v>
      </c>
      <c r="T180" s="100">
        <f>IF(AND(SamplingData[[#This Row],[Total]]&lt;&gt; 0, NOT(ISBLANK(SamplingData[[#This Row],[Candidate 5]]))),(SamplingData[[#This Row],[Total]]+SamplingData[[#This Row],[Winning Candidate]]-SamplingData[[#This Row],[Candidate 5]])/(SamplingData[[#Totals],[Winning Candidate]]-SamplingData[[#Totals],[Candidate 5]]), 0)</f>
        <v>0</v>
      </c>
      <c r="U180" s="100">
        <f>IF(AND(SamplingData[[#This Row],[Total]]&lt;&gt; 0, NOT(ISBLANK(SamplingData[[#This Row],[Candidate 6]]))),(SamplingData[[#This Row],[Total]]+SamplingData[[#This Row],[Losing Candidate]]-SamplingData[[#This Row],[Candidate 6]])/(SamplingData[[#Totals],[Winning Candidate]]-SamplingData[[#Totals],[Candidate 6]]), 0)</f>
        <v>0</v>
      </c>
      <c r="V180" s="100">
        <f>IF(AND(SamplingData[[#This Row],[Total]]&lt;&gt; 0, NOT(ISBLANK(SamplingData[[#This Row],[Candidate 7]]))),(SamplingData[[#This Row],[Total]]+SamplingData[[#This Row],[Winning Candidate]]-SamplingData[[#This Row],[Candidate 7]])/(SamplingData[[#Totals],[Winning Candidate]]-SamplingData[[#Totals],[Candidate 7]]), 0)</f>
        <v>0</v>
      </c>
      <c r="W180" s="100">
        <f>IF(AND(SamplingData[[#This Row],[Total]]&lt;&gt; 0, NOT(ISBLANK(SamplingData[[#This Row],[Candidate 8]]))),(SamplingData[[#This Row],[Total]]+SamplingData[[#This Row],[Winning Candidate]]-SamplingData[[#This Row],[Candidate 8]])/(SamplingData[[#Totals],[Winning Candidate]]-SamplingData[[#Totals],[Candidate 8]]), 0)</f>
        <v>0</v>
      </c>
      <c r="X1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00">
        <f>MAX(SamplingData[[#This Row],[Error Bound (up) - Max. possible relative overstatement - Losing Candidate]:[Error Bound (up) - Max. possible relative overstatement - Candidate 12]])</f>
        <v>9.4229983980902721E-5</v>
      </c>
      <c r="AC180" s="100">
        <f>IF(SamplingData[[#This Row],[Max Error Bound (up)]] = 0,0,SamplingData[[#This Row],[Max Error Bound (up)]]/SamplingData[[#Totals],[Max Error Bound (up)]])</f>
        <v>4.0381198513971908E-5</v>
      </c>
      <c r="AD180" s="104">
        <f>SUM($AC$5:AC180)</f>
        <v>2.8199536962257053E-2</v>
      </c>
      <c r="AE180" s="100" t="str" cm="1">
        <f t="array" ref="AE180">IF(SamplingData[[#This Row],[up/U Selection Probability]] = 0, "Zero", TEXT(SamplingData[[#This Row],[Lower Range]], REPT("0",LEN('General Info'!$B$42))) &amp; " - " &amp; TEXT(SamplingData[[#This Row],[Upper Range]], REPT("0",LEN('General Info'!$B$42))))</f>
        <v>02816 - 02819</v>
      </c>
      <c r="AF180" s="100">
        <f>SamplingData[[#This Row],[Upper Range]]-SamplingData[[#This Row],[Span]]</f>
        <v>2815.9155763743079</v>
      </c>
      <c r="AG180" s="100">
        <f>IF(ISNUMBER('General Info'!$B$42), ((SamplingData[[#This Row],[up/U Selection Probability]]) * 'General Info'!$B$44) - 1, 0)</f>
        <v>3.038119851397191</v>
      </c>
      <c r="AH180" s="100">
        <f>IF(ISNUMBER('General Info'!$B$42), (SamplingData[[#This Row],[Running (cumulative) sum]] * ('General Info'!$B$42 -'General Info'!$B$43 + 1)) + 'General Info'!$B$43 - 1, 0)</f>
        <v>2818.9536962257052</v>
      </c>
      <c r="AI180" s="100" t="str">
        <f>IF(ISERROR(MATCH(SamplingData[[#This Row],[Batch by Type (p)]],SelectedPrecincts[Batch Name], 0)), "", INDEX(SelectedPrecincts[Draw], MATCH(SamplingData[[#This Row],[Batch by Type (p)]],SelectedPrecincts[Batch Name], 0)))</f>
        <v/>
      </c>
      <c r="AJ180" s="101">
        <f>IF(COUNTIF(SelectedPrecincts[Batch Name],SamplingData[[#This Row],[Batch by Type (p)]]) &lt;&gt; 0, COUNTIF(SelectedPrecincts[Batch Name],SamplingData[[#This Row],[Batch by Type (p)]]), 0)</f>
        <v>0</v>
      </c>
    </row>
    <row r="181" spans="1:36" ht="15" customHeight="1" x14ac:dyDescent="0.35">
      <c r="A181" s="98" t="s">
        <v>393</v>
      </c>
      <c r="B181" s="98">
        <v>3</v>
      </c>
      <c r="C181" s="98">
        <v>1</v>
      </c>
      <c r="D181" s="93"/>
      <c r="E181" s="93"/>
      <c r="F181" s="93"/>
      <c r="G181" s="97"/>
      <c r="H181" s="97"/>
      <c r="I181" s="93"/>
      <c r="J181" s="93"/>
      <c r="K181" s="93"/>
      <c r="L181" s="93"/>
      <c r="M181" s="93"/>
      <c r="N181" s="98">
        <v>0</v>
      </c>
      <c r="O181" s="98">
        <v>0</v>
      </c>
      <c r="P181" s="99">
        <f>SUM(SamplingData[[#This Row],[Winning Candidate]:[Under Votes]])</f>
        <v>4</v>
      </c>
      <c r="Q181"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81" s="100">
        <f>IF(AND(SamplingData[[#This Row],[Total]]&lt;&gt; 0, NOT(ISBLANK(SamplingData[[#This Row],[Candidate 3]]))),(SamplingData[[#This Row],[Total]]+SamplingData[[#This Row],[Winning Candidate]]-SamplingData[[#This Row],[Candidate 3]])/(SamplingData[[#Totals],[Winning Candidate]]-SamplingData[[#Totals],[Candidate 3]]), 0)</f>
        <v>0</v>
      </c>
      <c r="S181" s="100">
        <f>IF(AND(SamplingData[[#This Row],[Total]]&lt;&gt; 0, NOT(ISBLANK(SamplingData[[#This Row],[Candidate 4]]))),(SamplingData[[#This Row],[Total]]+SamplingData[[#This Row],[Winning Candidate]]-SamplingData[[#This Row],[Candidate 4]])/(SamplingData[[#Totals],[Winning Candidate]]-SamplingData[[#Totals],[Candidate 4]]), 0)</f>
        <v>0</v>
      </c>
      <c r="T181" s="100">
        <f>IF(AND(SamplingData[[#This Row],[Total]]&lt;&gt; 0, NOT(ISBLANK(SamplingData[[#This Row],[Candidate 5]]))),(SamplingData[[#This Row],[Total]]+SamplingData[[#This Row],[Winning Candidate]]-SamplingData[[#This Row],[Candidate 5]])/(SamplingData[[#Totals],[Winning Candidate]]-SamplingData[[#Totals],[Candidate 5]]), 0)</f>
        <v>0</v>
      </c>
      <c r="U181" s="100">
        <f>IF(AND(SamplingData[[#This Row],[Total]]&lt;&gt; 0, NOT(ISBLANK(SamplingData[[#This Row],[Candidate 6]]))),(SamplingData[[#This Row],[Total]]+SamplingData[[#This Row],[Losing Candidate]]-SamplingData[[#This Row],[Candidate 6]])/(SamplingData[[#Totals],[Winning Candidate]]-SamplingData[[#Totals],[Candidate 6]]), 0)</f>
        <v>0</v>
      </c>
      <c r="V181" s="100">
        <f>IF(AND(SamplingData[[#This Row],[Total]]&lt;&gt; 0, NOT(ISBLANK(SamplingData[[#This Row],[Candidate 7]]))),(SamplingData[[#This Row],[Total]]+SamplingData[[#This Row],[Winning Candidate]]-SamplingData[[#This Row],[Candidate 7]])/(SamplingData[[#Totals],[Winning Candidate]]-SamplingData[[#Totals],[Candidate 7]]), 0)</f>
        <v>0</v>
      </c>
      <c r="W181" s="100">
        <f>IF(AND(SamplingData[[#This Row],[Total]]&lt;&gt; 0, NOT(ISBLANK(SamplingData[[#This Row],[Candidate 8]]))),(SamplingData[[#This Row],[Total]]+SamplingData[[#This Row],[Winning Candidate]]-SamplingData[[#This Row],[Candidate 8]])/(SamplingData[[#Totals],[Winning Candidate]]-SamplingData[[#Totals],[Candidate 8]]), 0)</f>
        <v>0</v>
      </c>
      <c r="X1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00">
        <f>MAX(SamplingData[[#This Row],[Error Bound (up) - Max. possible relative overstatement - Losing Candidate]:[Error Bound (up) - Max. possible relative overstatement - Candidate 12]])</f>
        <v>1.8845996796180544E-4</v>
      </c>
      <c r="AC181" s="100">
        <f>IF(SamplingData[[#This Row],[Max Error Bound (up)]] = 0,0,SamplingData[[#This Row],[Max Error Bound (up)]]/SamplingData[[#Totals],[Max Error Bound (up)]])</f>
        <v>8.0762397027943816E-5</v>
      </c>
      <c r="AD181" s="104">
        <f>SUM($AC$5:AC181)</f>
        <v>2.8280299359284996E-2</v>
      </c>
      <c r="AE181" s="100" t="str" cm="1">
        <f t="array" ref="AE181">IF(SamplingData[[#This Row],[up/U Selection Probability]] = 0, "Zero", TEXT(SamplingData[[#This Row],[Lower Range]], REPT("0",LEN('General Info'!$B$42))) &amp; " - " &amp; TEXT(SamplingData[[#This Row],[Upper Range]], REPT("0",LEN('General Info'!$B$42))))</f>
        <v>02820 - 02827</v>
      </c>
      <c r="AF181" s="100">
        <f>SamplingData[[#This Row],[Upper Range]]-SamplingData[[#This Row],[Span]]</f>
        <v>2819.9536962257052</v>
      </c>
      <c r="AG181" s="100">
        <f>IF(ISNUMBER('General Info'!$B$42), ((SamplingData[[#This Row],[up/U Selection Probability]]) * 'General Info'!$B$44) - 1, 0)</f>
        <v>7.076239702794382</v>
      </c>
      <c r="AH181" s="100">
        <f>IF(ISNUMBER('General Info'!$B$42), (SamplingData[[#This Row],[Running (cumulative) sum]] * ('General Info'!$B$42 -'General Info'!$B$43 + 1)) + 'General Info'!$B$43 - 1, 0)</f>
        <v>2827.0299359284995</v>
      </c>
      <c r="AI181" s="100" t="str">
        <f>IF(ISERROR(MATCH(SamplingData[[#This Row],[Batch by Type (p)]],SelectedPrecincts[Batch Name], 0)), "", INDEX(SelectedPrecincts[Draw], MATCH(SamplingData[[#This Row],[Batch by Type (p)]],SelectedPrecincts[Batch Name], 0)))</f>
        <v/>
      </c>
      <c r="AJ181" s="101">
        <f>IF(COUNTIF(SelectedPrecincts[Batch Name],SamplingData[[#This Row],[Batch by Type (p)]]) &lt;&gt; 0, COUNTIF(SelectedPrecincts[Batch Name],SamplingData[[#This Row],[Batch by Type (p)]]), 0)</f>
        <v>0</v>
      </c>
    </row>
    <row r="182" spans="1:36" ht="15" customHeight="1" x14ac:dyDescent="0.35">
      <c r="A182" s="98" t="s">
        <v>394</v>
      </c>
      <c r="B182" s="98">
        <v>3</v>
      </c>
      <c r="C182" s="98">
        <v>1</v>
      </c>
      <c r="D182" s="93"/>
      <c r="E182" s="93"/>
      <c r="F182" s="93"/>
      <c r="G182" s="97"/>
      <c r="H182" s="97"/>
      <c r="I182" s="93"/>
      <c r="J182" s="93"/>
      <c r="K182" s="93"/>
      <c r="L182" s="93"/>
      <c r="M182" s="93"/>
      <c r="N182" s="98">
        <v>0</v>
      </c>
      <c r="O182" s="98">
        <v>0</v>
      </c>
      <c r="P182" s="99">
        <f>SUM(SamplingData[[#This Row],[Winning Candidate]:[Under Votes]])</f>
        <v>4</v>
      </c>
      <c r="Q182"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82" s="100">
        <f>IF(AND(SamplingData[[#This Row],[Total]]&lt;&gt; 0, NOT(ISBLANK(SamplingData[[#This Row],[Candidate 3]]))),(SamplingData[[#This Row],[Total]]+SamplingData[[#This Row],[Winning Candidate]]-SamplingData[[#This Row],[Candidate 3]])/(SamplingData[[#Totals],[Winning Candidate]]-SamplingData[[#Totals],[Candidate 3]]), 0)</f>
        <v>0</v>
      </c>
      <c r="S182" s="100">
        <f>IF(AND(SamplingData[[#This Row],[Total]]&lt;&gt; 0, NOT(ISBLANK(SamplingData[[#This Row],[Candidate 4]]))),(SamplingData[[#This Row],[Total]]+SamplingData[[#This Row],[Winning Candidate]]-SamplingData[[#This Row],[Candidate 4]])/(SamplingData[[#Totals],[Winning Candidate]]-SamplingData[[#Totals],[Candidate 4]]), 0)</f>
        <v>0</v>
      </c>
      <c r="T182" s="100">
        <f>IF(AND(SamplingData[[#This Row],[Total]]&lt;&gt; 0, NOT(ISBLANK(SamplingData[[#This Row],[Candidate 5]]))),(SamplingData[[#This Row],[Total]]+SamplingData[[#This Row],[Winning Candidate]]-SamplingData[[#This Row],[Candidate 5]])/(SamplingData[[#Totals],[Winning Candidate]]-SamplingData[[#Totals],[Candidate 5]]), 0)</f>
        <v>0</v>
      </c>
      <c r="U182" s="100">
        <f>IF(AND(SamplingData[[#This Row],[Total]]&lt;&gt; 0, NOT(ISBLANK(SamplingData[[#This Row],[Candidate 6]]))),(SamplingData[[#This Row],[Total]]+SamplingData[[#This Row],[Losing Candidate]]-SamplingData[[#This Row],[Candidate 6]])/(SamplingData[[#Totals],[Winning Candidate]]-SamplingData[[#Totals],[Candidate 6]]), 0)</f>
        <v>0</v>
      </c>
      <c r="V182" s="100">
        <f>IF(AND(SamplingData[[#This Row],[Total]]&lt;&gt; 0, NOT(ISBLANK(SamplingData[[#This Row],[Candidate 7]]))),(SamplingData[[#This Row],[Total]]+SamplingData[[#This Row],[Winning Candidate]]-SamplingData[[#This Row],[Candidate 7]])/(SamplingData[[#Totals],[Winning Candidate]]-SamplingData[[#Totals],[Candidate 7]]), 0)</f>
        <v>0</v>
      </c>
      <c r="W182" s="100">
        <f>IF(AND(SamplingData[[#This Row],[Total]]&lt;&gt; 0, NOT(ISBLANK(SamplingData[[#This Row],[Candidate 8]]))),(SamplingData[[#This Row],[Total]]+SamplingData[[#This Row],[Winning Candidate]]-SamplingData[[#This Row],[Candidate 8]])/(SamplingData[[#Totals],[Winning Candidate]]-SamplingData[[#Totals],[Candidate 8]]), 0)</f>
        <v>0</v>
      </c>
      <c r="X1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00">
        <f>MAX(SamplingData[[#This Row],[Error Bound (up) - Max. possible relative overstatement - Losing Candidate]:[Error Bound (up) - Max. possible relative overstatement - Candidate 12]])</f>
        <v>1.8845996796180544E-4</v>
      </c>
      <c r="AC182" s="100">
        <f>IF(SamplingData[[#This Row],[Max Error Bound (up)]] = 0,0,SamplingData[[#This Row],[Max Error Bound (up)]]/SamplingData[[#Totals],[Max Error Bound (up)]])</f>
        <v>8.0762397027943816E-5</v>
      </c>
      <c r="AD182" s="104">
        <f>SUM($AC$5:AC182)</f>
        <v>2.8361061756312939E-2</v>
      </c>
      <c r="AE182" s="100" t="str" cm="1">
        <f t="array" ref="AE182">IF(SamplingData[[#This Row],[up/U Selection Probability]] = 0, "Zero", TEXT(SamplingData[[#This Row],[Lower Range]], REPT("0",LEN('General Info'!$B$42))) &amp; " - " &amp; TEXT(SamplingData[[#This Row],[Upper Range]], REPT("0",LEN('General Info'!$B$42))))</f>
        <v>02828 - 02835</v>
      </c>
      <c r="AF182" s="100">
        <f>SamplingData[[#This Row],[Upper Range]]-SamplingData[[#This Row],[Span]]</f>
        <v>2828.0299359284995</v>
      </c>
      <c r="AG182" s="100">
        <f>IF(ISNUMBER('General Info'!$B$42), ((SamplingData[[#This Row],[up/U Selection Probability]]) * 'General Info'!$B$44) - 1, 0)</f>
        <v>7.076239702794382</v>
      </c>
      <c r="AH182" s="100">
        <f>IF(ISNUMBER('General Info'!$B$42), (SamplingData[[#This Row],[Running (cumulative) sum]] * ('General Info'!$B$42 -'General Info'!$B$43 + 1)) + 'General Info'!$B$43 - 1, 0)</f>
        <v>2835.1061756312938</v>
      </c>
      <c r="AI182" s="100" t="str">
        <f>IF(ISERROR(MATCH(SamplingData[[#This Row],[Batch by Type (p)]],SelectedPrecincts[Batch Name], 0)), "", INDEX(SelectedPrecincts[Draw], MATCH(SamplingData[[#This Row],[Batch by Type (p)]],SelectedPrecincts[Batch Name], 0)))</f>
        <v/>
      </c>
      <c r="AJ182" s="101">
        <f>IF(COUNTIF(SelectedPrecincts[Batch Name],SamplingData[[#This Row],[Batch by Type (p)]]) &lt;&gt; 0, COUNTIF(SelectedPrecincts[Batch Name],SamplingData[[#This Row],[Batch by Type (p)]]), 0)</f>
        <v>0</v>
      </c>
    </row>
    <row r="183" spans="1:36" ht="15" customHeight="1" x14ac:dyDescent="0.35">
      <c r="A183" s="98" t="s">
        <v>395</v>
      </c>
      <c r="B183" s="98">
        <v>0</v>
      </c>
      <c r="C183" s="98">
        <v>0</v>
      </c>
      <c r="D183" s="93"/>
      <c r="E183" s="93"/>
      <c r="F183" s="93"/>
      <c r="G183" s="97"/>
      <c r="H183" s="97"/>
      <c r="I183" s="93"/>
      <c r="J183" s="93"/>
      <c r="K183" s="93"/>
      <c r="L183" s="93"/>
      <c r="M183" s="93"/>
      <c r="N183" s="98">
        <v>0</v>
      </c>
      <c r="O183" s="98">
        <v>0</v>
      </c>
      <c r="P183" s="99">
        <f>SUM(SamplingData[[#This Row],[Winning Candidate]:[Under Votes]])</f>
        <v>0</v>
      </c>
      <c r="Q183" s="100">
        <f>IF(AND(SamplingData[[#This Row],[Total]]&lt;&gt; 0, NOT(ISBLANK(SamplingData[[#This Row],[Losing Candidate]]))),(SamplingData[[#This Row],[Total]]+SamplingData[[#This Row],[Winning Candidate]]-SamplingData[[#This Row],[Losing Candidate]])/(SamplingData[[#Totals],[Winning Candidate]]-SamplingData[[#Totals],[Losing Candidate]]), 0)</f>
        <v>0</v>
      </c>
      <c r="R183" s="100">
        <f>IF(AND(SamplingData[[#This Row],[Total]]&lt;&gt; 0, NOT(ISBLANK(SamplingData[[#This Row],[Candidate 3]]))),(SamplingData[[#This Row],[Total]]+SamplingData[[#This Row],[Winning Candidate]]-SamplingData[[#This Row],[Candidate 3]])/(SamplingData[[#Totals],[Winning Candidate]]-SamplingData[[#Totals],[Candidate 3]]), 0)</f>
        <v>0</v>
      </c>
      <c r="S183" s="100">
        <f>IF(AND(SamplingData[[#This Row],[Total]]&lt;&gt; 0, NOT(ISBLANK(SamplingData[[#This Row],[Candidate 4]]))),(SamplingData[[#This Row],[Total]]+SamplingData[[#This Row],[Winning Candidate]]-SamplingData[[#This Row],[Candidate 4]])/(SamplingData[[#Totals],[Winning Candidate]]-SamplingData[[#Totals],[Candidate 4]]), 0)</f>
        <v>0</v>
      </c>
      <c r="T183" s="100">
        <f>IF(AND(SamplingData[[#This Row],[Total]]&lt;&gt; 0, NOT(ISBLANK(SamplingData[[#This Row],[Candidate 5]]))),(SamplingData[[#This Row],[Total]]+SamplingData[[#This Row],[Winning Candidate]]-SamplingData[[#This Row],[Candidate 5]])/(SamplingData[[#Totals],[Winning Candidate]]-SamplingData[[#Totals],[Candidate 5]]), 0)</f>
        <v>0</v>
      </c>
      <c r="U183" s="100">
        <f>IF(AND(SamplingData[[#This Row],[Total]]&lt;&gt; 0, NOT(ISBLANK(SamplingData[[#This Row],[Candidate 6]]))),(SamplingData[[#This Row],[Total]]+SamplingData[[#This Row],[Losing Candidate]]-SamplingData[[#This Row],[Candidate 6]])/(SamplingData[[#Totals],[Winning Candidate]]-SamplingData[[#Totals],[Candidate 6]]), 0)</f>
        <v>0</v>
      </c>
      <c r="V183" s="100">
        <f>IF(AND(SamplingData[[#This Row],[Total]]&lt;&gt; 0, NOT(ISBLANK(SamplingData[[#This Row],[Candidate 7]]))),(SamplingData[[#This Row],[Total]]+SamplingData[[#This Row],[Winning Candidate]]-SamplingData[[#This Row],[Candidate 7]])/(SamplingData[[#Totals],[Winning Candidate]]-SamplingData[[#Totals],[Candidate 7]]), 0)</f>
        <v>0</v>
      </c>
      <c r="W183" s="100">
        <f>IF(AND(SamplingData[[#This Row],[Total]]&lt;&gt; 0, NOT(ISBLANK(SamplingData[[#This Row],[Candidate 8]]))),(SamplingData[[#This Row],[Total]]+SamplingData[[#This Row],[Winning Candidate]]-SamplingData[[#This Row],[Candidate 8]])/(SamplingData[[#Totals],[Winning Candidate]]-SamplingData[[#Totals],[Candidate 8]]), 0)</f>
        <v>0</v>
      </c>
      <c r="X1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00">
        <f>MAX(SamplingData[[#This Row],[Error Bound (up) - Max. possible relative overstatement - Losing Candidate]:[Error Bound (up) - Max. possible relative overstatement - Candidate 12]])</f>
        <v>0</v>
      </c>
      <c r="AC183" s="100">
        <f>IF(SamplingData[[#This Row],[Max Error Bound (up)]] = 0,0,SamplingData[[#This Row],[Max Error Bound (up)]]/SamplingData[[#Totals],[Max Error Bound (up)]])</f>
        <v>0</v>
      </c>
      <c r="AD183" s="104">
        <f>SUM($AC$5:AC183)</f>
        <v>2.8361061756312939E-2</v>
      </c>
      <c r="AE183" s="100" t="str" cm="1">
        <f t="array" ref="AE183">IF(SamplingData[[#This Row],[up/U Selection Probability]] = 0, "Zero", TEXT(SamplingData[[#This Row],[Lower Range]], REPT("0",LEN('General Info'!$B$42))) &amp; " - " &amp; TEXT(SamplingData[[#This Row],[Upper Range]], REPT("0",LEN('General Info'!$B$42))))</f>
        <v>Zero</v>
      </c>
      <c r="AF183" s="100">
        <f>SamplingData[[#This Row],[Upper Range]]-SamplingData[[#This Row],[Span]]</f>
        <v>2836.1061756312938</v>
      </c>
      <c r="AG183" s="100">
        <f>IF(ISNUMBER('General Info'!$B$42), ((SamplingData[[#This Row],[up/U Selection Probability]]) * 'General Info'!$B$44) - 1, 0)</f>
        <v>-1</v>
      </c>
      <c r="AH183" s="100">
        <f>IF(ISNUMBER('General Info'!$B$42), (SamplingData[[#This Row],[Running (cumulative) sum]] * ('General Info'!$B$42 -'General Info'!$B$43 + 1)) + 'General Info'!$B$43 - 1, 0)</f>
        <v>2835.1061756312938</v>
      </c>
      <c r="AI183" s="100" t="str">
        <f>IF(ISERROR(MATCH(SamplingData[[#This Row],[Batch by Type (p)]],SelectedPrecincts[Batch Name], 0)), "", INDEX(SelectedPrecincts[Draw], MATCH(SamplingData[[#This Row],[Batch by Type (p)]],SelectedPrecincts[Batch Name], 0)))</f>
        <v/>
      </c>
      <c r="AJ183" s="101">
        <f>IF(COUNTIF(SelectedPrecincts[Batch Name],SamplingData[[#This Row],[Batch by Type (p)]]) &lt;&gt; 0, COUNTIF(SelectedPrecincts[Batch Name],SamplingData[[#This Row],[Batch by Type (p)]]), 0)</f>
        <v>0</v>
      </c>
    </row>
    <row r="184" spans="1:36" ht="15" customHeight="1" x14ac:dyDescent="0.35">
      <c r="A184" s="98" t="s">
        <v>396</v>
      </c>
      <c r="B184" s="98">
        <v>5</v>
      </c>
      <c r="C184" s="98">
        <v>0</v>
      </c>
      <c r="D184" s="93"/>
      <c r="E184" s="93"/>
      <c r="F184" s="93"/>
      <c r="G184" s="97"/>
      <c r="H184" s="97"/>
      <c r="I184" s="93"/>
      <c r="J184" s="93"/>
      <c r="K184" s="93"/>
      <c r="L184" s="93"/>
      <c r="M184" s="93"/>
      <c r="N184" s="98">
        <v>0</v>
      </c>
      <c r="O184" s="98">
        <v>0</v>
      </c>
      <c r="P184" s="99">
        <f>SUM(SamplingData[[#This Row],[Winning Candidate]:[Under Votes]])</f>
        <v>5</v>
      </c>
      <c r="Q184"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184" s="100">
        <f>IF(AND(SamplingData[[#This Row],[Total]]&lt;&gt; 0, NOT(ISBLANK(SamplingData[[#This Row],[Candidate 3]]))),(SamplingData[[#This Row],[Total]]+SamplingData[[#This Row],[Winning Candidate]]-SamplingData[[#This Row],[Candidate 3]])/(SamplingData[[#Totals],[Winning Candidate]]-SamplingData[[#Totals],[Candidate 3]]), 0)</f>
        <v>0</v>
      </c>
      <c r="S184" s="100">
        <f>IF(AND(SamplingData[[#This Row],[Total]]&lt;&gt; 0, NOT(ISBLANK(SamplingData[[#This Row],[Candidate 4]]))),(SamplingData[[#This Row],[Total]]+SamplingData[[#This Row],[Winning Candidate]]-SamplingData[[#This Row],[Candidate 4]])/(SamplingData[[#Totals],[Winning Candidate]]-SamplingData[[#Totals],[Candidate 4]]), 0)</f>
        <v>0</v>
      </c>
      <c r="T184" s="100">
        <f>IF(AND(SamplingData[[#This Row],[Total]]&lt;&gt; 0, NOT(ISBLANK(SamplingData[[#This Row],[Candidate 5]]))),(SamplingData[[#This Row],[Total]]+SamplingData[[#This Row],[Winning Candidate]]-SamplingData[[#This Row],[Candidate 5]])/(SamplingData[[#Totals],[Winning Candidate]]-SamplingData[[#Totals],[Candidate 5]]), 0)</f>
        <v>0</v>
      </c>
      <c r="U184" s="100">
        <f>IF(AND(SamplingData[[#This Row],[Total]]&lt;&gt; 0, NOT(ISBLANK(SamplingData[[#This Row],[Candidate 6]]))),(SamplingData[[#This Row],[Total]]+SamplingData[[#This Row],[Losing Candidate]]-SamplingData[[#This Row],[Candidate 6]])/(SamplingData[[#Totals],[Winning Candidate]]-SamplingData[[#Totals],[Candidate 6]]), 0)</f>
        <v>0</v>
      </c>
      <c r="V184" s="100">
        <f>IF(AND(SamplingData[[#This Row],[Total]]&lt;&gt; 0, NOT(ISBLANK(SamplingData[[#This Row],[Candidate 7]]))),(SamplingData[[#This Row],[Total]]+SamplingData[[#This Row],[Winning Candidate]]-SamplingData[[#This Row],[Candidate 7]])/(SamplingData[[#Totals],[Winning Candidate]]-SamplingData[[#Totals],[Candidate 7]]), 0)</f>
        <v>0</v>
      </c>
      <c r="W184" s="100">
        <f>IF(AND(SamplingData[[#This Row],[Total]]&lt;&gt; 0, NOT(ISBLANK(SamplingData[[#This Row],[Candidate 8]]))),(SamplingData[[#This Row],[Total]]+SamplingData[[#This Row],[Winning Candidate]]-SamplingData[[#This Row],[Candidate 8]])/(SamplingData[[#Totals],[Winning Candidate]]-SamplingData[[#Totals],[Candidate 8]]), 0)</f>
        <v>0</v>
      </c>
      <c r="X1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00">
        <f>MAX(SamplingData[[#This Row],[Error Bound (up) - Max. possible relative overstatement - Losing Candidate]:[Error Bound (up) - Max. possible relative overstatement - Candidate 12]])</f>
        <v>3.1409994660300906E-4</v>
      </c>
      <c r="AC184" s="100">
        <f>IF(SamplingData[[#This Row],[Max Error Bound (up)]] = 0,0,SamplingData[[#This Row],[Max Error Bound (up)]]/SamplingData[[#Totals],[Max Error Bound (up)]])</f>
        <v>1.3460399504657304E-4</v>
      </c>
      <c r="AD184" s="104">
        <f>SUM($AC$5:AC184)</f>
        <v>2.8495665751359513E-2</v>
      </c>
      <c r="AE184" s="100" t="str" cm="1">
        <f t="array" ref="AE184">IF(SamplingData[[#This Row],[up/U Selection Probability]] = 0, "Zero", TEXT(SamplingData[[#This Row],[Lower Range]], REPT("0",LEN('General Info'!$B$42))) &amp; " - " &amp; TEXT(SamplingData[[#This Row],[Upper Range]], REPT("0",LEN('General Info'!$B$42))))</f>
        <v>02836 - 02849</v>
      </c>
      <c r="AF184" s="100">
        <f>SamplingData[[#This Row],[Upper Range]]-SamplingData[[#This Row],[Span]]</f>
        <v>2836.1061756312938</v>
      </c>
      <c r="AG184" s="100">
        <f>IF(ISNUMBER('General Info'!$B$42), ((SamplingData[[#This Row],[up/U Selection Probability]]) * 'General Info'!$B$44) - 1, 0)</f>
        <v>12.460399504657303</v>
      </c>
      <c r="AH184" s="100">
        <f>IF(ISNUMBER('General Info'!$B$42), (SamplingData[[#This Row],[Running (cumulative) sum]] * ('General Info'!$B$42 -'General Info'!$B$43 + 1)) + 'General Info'!$B$43 - 1, 0)</f>
        <v>2848.5665751359511</v>
      </c>
      <c r="AI184" s="100" t="str">
        <f>IF(ISERROR(MATCH(SamplingData[[#This Row],[Batch by Type (p)]],SelectedPrecincts[Batch Name], 0)), "", INDEX(SelectedPrecincts[Draw], MATCH(SamplingData[[#This Row],[Batch by Type (p)]],SelectedPrecincts[Batch Name], 0)))</f>
        <v/>
      </c>
      <c r="AJ184" s="101">
        <f>IF(COUNTIF(SelectedPrecincts[Batch Name],SamplingData[[#This Row],[Batch by Type (p)]]) &lt;&gt; 0, COUNTIF(SelectedPrecincts[Batch Name],SamplingData[[#This Row],[Batch by Type (p)]]), 0)</f>
        <v>0</v>
      </c>
    </row>
    <row r="185" spans="1:36" ht="15" customHeight="1" x14ac:dyDescent="0.35">
      <c r="A185" s="98" t="s">
        <v>397</v>
      </c>
      <c r="B185" s="98">
        <v>5</v>
      </c>
      <c r="C185" s="98">
        <v>0</v>
      </c>
      <c r="D185" s="93"/>
      <c r="E185" s="93"/>
      <c r="F185" s="93"/>
      <c r="G185" s="97"/>
      <c r="H185" s="97"/>
      <c r="I185" s="93"/>
      <c r="J185" s="93"/>
      <c r="K185" s="93"/>
      <c r="L185" s="93"/>
      <c r="M185" s="93"/>
      <c r="N185" s="98">
        <v>0</v>
      </c>
      <c r="O185" s="98">
        <v>0</v>
      </c>
      <c r="P185" s="99">
        <f>SUM(SamplingData[[#This Row],[Winning Candidate]:[Under Votes]])</f>
        <v>5</v>
      </c>
      <c r="Q185"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185" s="100">
        <f>IF(AND(SamplingData[[#This Row],[Total]]&lt;&gt; 0, NOT(ISBLANK(SamplingData[[#This Row],[Candidate 3]]))),(SamplingData[[#This Row],[Total]]+SamplingData[[#This Row],[Winning Candidate]]-SamplingData[[#This Row],[Candidate 3]])/(SamplingData[[#Totals],[Winning Candidate]]-SamplingData[[#Totals],[Candidate 3]]), 0)</f>
        <v>0</v>
      </c>
      <c r="S185" s="100">
        <f>IF(AND(SamplingData[[#This Row],[Total]]&lt;&gt; 0, NOT(ISBLANK(SamplingData[[#This Row],[Candidate 4]]))),(SamplingData[[#This Row],[Total]]+SamplingData[[#This Row],[Winning Candidate]]-SamplingData[[#This Row],[Candidate 4]])/(SamplingData[[#Totals],[Winning Candidate]]-SamplingData[[#Totals],[Candidate 4]]), 0)</f>
        <v>0</v>
      </c>
      <c r="T185" s="100">
        <f>IF(AND(SamplingData[[#This Row],[Total]]&lt;&gt; 0, NOT(ISBLANK(SamplingData[[#This Row],[Candidate 5]]))),(SamplingData[[#This Row],[Total]]+SamplingData[[#This Row],[Winning Candidate]]-SamplingData[[#This Row],[Candidate 5]])/(SamplingData[[#Totals],[Winning Candidate]]-SamplingData[[#Totals],[Candidate 5]]), 0)</f>
        <v>0</v>
      </c>
      <c r="U185" s="100">
        <f>IF(AND(SamplingData[[#This Row],[Total]]&lt;&gt; 0, NOT(ISBLANK(SamplingData[[#This Row],[Candidate 6]]))),(SamplingData[[#This Row],[Total]]+SamplingData[[#This Row],[Losing Candidate]]-SamplingData[[#This Row],[Candidate 6]])/(SamplingData[[#Totals],[Winning Candidate]]-SamplingData[[#Totals],[Candidate 6]]), 0)</f>
        <v>0</v>
      </c>
      <c r="V185" s="100">
        <f>IF(AND(SamplingData[[#This Row],[Total]]&lt;&gt; 0, NOT(ISBLANK(SamplingData[[#This Row],[Candidate 7]]))),(SamplingData[[#This Row],[Total]]+SamplingData[[#This Row],[Winning Candidate]]-SamplingData[[#This Row],[Candidate 7]])/(SamplingData[[#Totals],[Winning Candidate]]-SamplingData[[#Totals],[Candidate 7]]), 0)</f>
        <v>0</v>
      </c>
      <c r="W185" s="100">
        <f>IF(AND(SamplingData[[#This Row],[Total]]&lt;&gt; 0, NOT(ISBLANK(SamplingData[[#This Row],[Candidate 8]]))),(SamplingData[[#This Row],[Total]]+SamplingData[[#This Row],[Winning Candidate]]-SamplingData[[#This Row],[Candidate 8]])/(SamplingData[[#Totals],[Winning Candidate]]-SamplingData[[#Totals],[Candidate 8]]), 0)</f>
        <v>0</v>
      </c>
      <c r="X1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00">
        <f>MAX(SamplingData[[#This Row],[Error Bound (up) - Max. possible relative overstatement - Losing Candidate]:[Error Bound (up) - Max. possible relative overstatement - Candidate 12]])</f>
        <v>3.1409994660300906E-4</v>
      </c>
      <c r="AC185" s="100">
        <f>IF(SamplingData[[#This Row],[Max Error Bound (up)]] = 0,0,SamplingData[[#This Row],[Max Error Bound (up)]]/SamplingData[[#Totals],[Max Error Bound (up)]])</f>
        <v>1.3460399504657304E-4</v>
      </c>
      <c r="AD185" s="104">
        <f>SUM($AC$5:AC185)</f>
        <v>2.8630269746406086E-2</v>
      </c>
      <c r="AE185" s="100" t="str" cm="1">
        <f t="array" ref="AE185">IF(SamplingData[[#This Row],[up/U Selection Probability]] = 0, "Zero", TEXT(SamplingData[[#This Row],[Lower Range]], REPT("0",LEN('General Info'!$B$42))) &amp; " - " &amp; TEXT(SamplingData[[#This Row],[Upper Range]], REPT("0",LEN('General Info'!$B$42))))</f>
        <v>02850 - 02862</v>
      </c>
      <c r="AF185" s="100">
        <f>SamplingData[[#This Row],[Upper Range]]-SamplingData[[#This Row],[Span]]</f>
        <v>2849.5665751359511</v>
      </c>
      <c r="AG185" s="100">
        <f>IF(ISNUMBER('General Info'!$B$42), ((SamplingData[[#This Row],[up/U Selection Probability]]) * 'General Info'!$B$44) - 1, 0)</f>
        <v>12.460399504657303</v>
      </c>
      <c r="AH185" s="100">
        <f>IF(ISNUMBER('General Info'!$B$42), (SamplingData[[#This Row],[Running (cumulative) sum]] * ('General Info'!$B$42 -'General Info'!$B$43 + 1)) + 'General Info'!$B$43 - 1, 0)</f>
        <v>2862.0269746406084</v>
      </c>
      <c r="AI185" s="100" t="str">
        <f>IF(ISERROR(MATCH(SamplingData[[#This Row],[Batch by Type (p)]],SelectedPrecincts[Batch Name], 0)), "", INDEX(SelectedPrecincts[Draw], MATCH(SamplingData[[#This Row],[Batch by Type (p)]],SelectedPrecincts[Batch Name], 0)))</f>
        <v/>
      </c>
      <c r="AJ185" s="101">
        <f>IF(COUNTIF(SelectedPrecincts[Batch Name],SamplingData[[#This Row],[Batch by Type (p)]]) &lt;&gt; 0, COUNTIF(SelectedPrecincts[Batch Name],SamplingData[[#This Row],[Batch by Type (p)]]), 0)</f>
        <v>0</v>
      </c>
    </row>
    <row r="186" spans="1:36" ht="15" customHeight="1" x14ac:dyDescent="0.35">
      <c r="A186" s="98" t="s">
        <v>398</v>
      </c>
      <c r="B186" s="98">
        <v>6</v>
      </c>
      <c r="C186" s="98">
        <v>0</v>
      </c>
      <c r="D186" s="93"/>
      <c r="E186" s="93"/>
      <c r="F186" s="93"/>
      <c r="G186" s="97"/>
      <c r="H186" s="97"/>
      <c r="I186" s="93"/>
      <c r="J186" s="93"/>
      <c r="K186" s="93"/>
      <c r="L186" s="93"/>
      <c r="M186" s="93"/>
      <c r="N186" s="98">
        <v>0</v>
      </c>
      <c r="O186" s="98">
        <v>0</v>
      </c>
      <c r="P186" s="99">
        <f>SUM(SamplingData[[#This Row],[Winning Candidate]:[Under Votes]])</f>
        <v>6</v>
      </c>
      <c r="Q18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86" s="100">
        <f>IF(AND(SamplingData[[#This Row],[Total]]&lt;&gt; 0, NOT(ISBLANK(SamplingData[[#This Row],[Candidate 3]]))),(SamplingData[[#This Row],[Total]]+SamplingData[[#This Row],[Winning Candidate]]-SamplingData[[#This Row],[Candidate 3]])/(SamplingData[[#Totals],[Winning Candidate]]-SamplingData[[#Totals],[Candidate 3]]), 0)</f>
        <v>0</v>
      </c>
      <c r="S186" s="100">
        <f>IF(AND(SamplingData[[#This Row],[Total]]&lt;&gt; 0, NOT(ISBLANK(SamplingData[[#This Row],[Candidate 4]]))),(SamplingData[[#This Row],[Total]]+SamplingData[[#This Row],[Winning Candidate]]-SamplingData[[#This Row],[Candidate 4]])/(SamplingData[[#Totals],[Winning Candidate]]-SamplingData[[#Totals],[Candidate 4]]), 0)</f>
        <v>0</v>
      </c>
      <c r="T186" s="100">
        <f>IF(AND(SamplingData[[#This Row],[Total]]&lt;&gt; 0, NOT(ISBLANK(SamplingData[[#This Row],[Candidate 5]]))),(SamplingData[[#This Row],[Total]]+SamplingData[[#This Row],[Winning Candidate]]-SamplingData[[#This Row],[Candidate 5]])/(SamplingData[[#Totals],[Winning Candidate]]-SamplingData[[#Totals],[Candidate 5]]), 0)</f>
        <v>0</v>
      </c>
      <c r="U186" s="100">
        <f>IF(AND(SamplingData[[#This Row],[Total]]&lt;&gt; 0, NOT(ISBLANK(SamplingData[[#This Row],[Candidate 6]]))),(SamplingData[[#This Row],[Total]]+SamplingData[[#This Row],[Losing Candidate]]-SamplingData[[#This Row],[Candidate 6]])/(SamplingData[[#Totals],[Winning Candidate]]-SamplingData[[#Totals],[Candidate 6]]), 0)</f>
        <v>0</v>
      </c>
      <c r="V186" s="100">
        <f>IF(AND(SamplingData[[#This Row],[Total]]&lt;&gt; 0, NOT(ISBLANK(SamplingData[[#This Row],[Candidate 7]]))),(SamplingData[[#This Row],[Total]]+SamplingData[[#This Row],[Winning Candidate]]-SamplingData[[#This Row],[Candidate 7]])/(SamplingData[[#Totals],[Winning Candidate]]-SamplingData[[#Totals],[Candidate 7]]), 0)</f>
        <v>0</v>
      </c>
      <c r="W186" s="100">
        <f>IF(AND(SamplingData[[#This Row],[Total]]&lt;&gt; 0, NOT(ISBLANK(SamplingData[[#This Row],[Candidate 8]]))),(SamplingData[[#This Row],[Total]]+SamplingData[[#This Row],[Winning Candidate]]-SamplingData[[#This Row],[Candidate 8]])/(SamplingData[[#Totals],[Winning Candidate]]-SamplingData[[#Totals],[Candidate 8]]), 0)</f>
        <v>0</v>
      </c>
      <c r="X1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00">
        <f>MAX(SamplingData[[#This Row],[Error Bound (up) - Max. possible relative overstatement - Losing Candidate]:[Error Bound (up) - Max. possible relative overstatement - Candidate 12]])</f>
        <v>3.7691993592361088E-4</v>
      </c>
      <c r="AC186" s="100">
        <f>IF(SamplingData[[#This Row],[Max Error Bound (up)]] = 0,0,SamplingData[[#This Row],[Max Error Bound (up)]]/SamplingData[[#Totals],[Max Error Bound (up)]])</f>
        <v>1.6152479405588763E-4</v>
      </c>
      <c r="AD186" s="104">
        <f>SUM($AC$5:AC186)</f>
        <v>2.8791794540461973E-2</v>
      </c>
      <c r="AE186" s="100" t="str" cm="1">
        <f t="array" ref="AE186">IF(SamplingData[[#This Row],[up/U Selection Probability]] = 0, "Zero", TEXT(SamplingData[[#This Row],[Lower Range]], REPT("0",LEN('General Info'!$B$42))) &amp; " - " &amp; TEXT(SamplingData[[#This Row],[Upper Range]], REPT("0",LEN('General Info'!$B$42))))</f>
        <v>02863 - 02878</v>
      </c>
      <c r="AF186" s="100">
        <f>SamplingData[[#This Row],[Upper Range]]-SamplingData[[#This Row],[Span]]</f>
        <v>2863.0269746406088</v>
      </c>
      <c r="AG186" s="100">
        <f>IF(ISNUMBER('General Info'!$B$42), ((SamplingData[[#This Row],[up/U Selection Probability]]) * 'General Info'!$B$44) - 1, 0)</f>
        <v>15.152479405588764</v>
      </c>
      <c r="AH186" s="100">
        <f>IF(ISNUMBER('General Info'!$B$42), (SamplingData[[#This Row],[Running (cumulative) sum]] * ('General Info'!$B$42 -'General Info'!$B$43 + 1)) + 'General Info'!$B$43 - 1, 0)</f>
        <v>2878.1794540461974</v>
      </c>
      <c r="AI186" s="100" t="str">
        <f>IF(ISERROR(MATCH(SamplingData[[#This Row],[Batch by Type (p)]],SelectedPrecincts[Batch Name], 0)), "", INDEX(SelectedPrecincts[Draw], MATCH(SamplingData[[#This Row],[Batch by Type (p)]],SelectedPrecincts[Batch Name], 0)))</f>
        <v/>
      </c>
      <c r="AJ186" s="101">
        <f>IF(COUNTIF(SelectedPrecincts[Batch Name],SamplingData[[#This Row],[Batch by Type (p)]]) &lt;&gt; 0, COUNTIF(SelectedPrecincts[Batch Name],SamplingData[[#This Row],[Batch by Type (p)]]), 0)</f>
        <v>0</v>
      </c>
    </row>
    <row r="187" spans="1:36" ht="15" customHeight="1" x14ac:dyDescent="0.35">
      <c r="A187" s="98" t="s">
        <v>399</v>
      </c>
      <c r="B187" s="98">
        <v>7</v>
      </c>
      <c r="C187" s="98">
        <v>0</v>
      </c>
      <c r="D187" s="93"/>
      <c r="E187" s="93"/>
      <c r="F187" s="93"/>
      <c r="G187" s="97"/>
      <c r="H187" s="97"/>
      <c r="I187" s="93"/>
      <c r="J187" s="93"/>
      <c r="K187" s="93"/>
      <c r="L187" s="93"/>
      <c r="M187" s="93"/>
      <c r="N187" s="98">
        <v>0</v>
      </c>
      <c r="O187" s="98">
        <v>0</v>
      </c>
      <c r="P187" s="99">
        <f>SUM(SamplingData[[#This Row],[Winning Candidate]:[Under Votes]])</f>
        <v>7</v>
      </c>
      <c r="Q187"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187" s="100">
        <f>IF(AND(SamplingData[[#This Row],[Total]]&lt;&gt; 0, NOT(ISBLANK(SamplingData[[#This Row],[Candidate 3]]))),(SamplingData[[#This Row],[Total]]+SamplingData[[#This Row],[Winning Candidate]]-SamplingData[[#This Row],[Candidate 3]])/(SamplingData[[#Totals],[Winning Candidate]]-SamplingData[[#Totals],[Candidate 3]]), 0)</f>
        <v>0</v>
      </c>
      <c r="S187" s="100">
        <f>IF(AND(SamplingData[[#This Row],[Total]]&lt;&gt; 0, NOT(ISBLANK(SamplingData[[#This Row],[Candidate 4]]))),(SamplingData[[#This Row],[Total]]+SamplingData[[#This Row],[Winning Candidate]]-SamplingData[[#This Row],[Candidate 4]])/(SamplingData[[#Totals],[Winning Candidate]]-SamplingData[[#Totals],[Candidate 4]]), 0)</f>
        <v>0</v>
      </c>
      <c r="T187" s="100">
        <f>IF(AND(SamplingData[[#This Row],[Total]]&lt;&gt; 0, NOT(ISBLANK(SamplingData[[#This Row],[Candidate 5]]))),(SamplingData[[#This Row],[Total]]+SamplingData[[#This Row],[Winning Candidate]]-SamplingData[[#This Row],[Candidate 5]])/(SamplingData[[#Totals],[Winning Candidate]]-SamplingData[[#Totals],[Candidate 5]]), 0)</f>
        <v>0</v>
      </c>
      <c r="U187" s="100">
        <f>IF(AND(SamplingData[[#This Row],[Total]]&lt;&gt; 0, NOT(ISBLANK(SamplingData[[#This Row],[Candidate 6]]))),(SamplingData[[#This Row],[Total]]+SamplingData[[#This Row],[Losing Candidate]]-SamplingData[[#This Row],[Candidate 6]])/(SamplingData[[#Totals],[Winning Candidate]]-SamplingData[[#Totals],[Candidate 6]]), 0)</f>
        <v>0</v>
      </c>
      <c r="V187" s="100">
        <f>IF(AND(SamplingData[[#This Row],[Total]]&lt;&gt; 0, NOT(ISBLANK(SamplingData[[#This Row],[Candidate 7]]))),(SamplingData[[#This Row],[Total]]+SamplingData[[#This Row],[Winning Candidate]]-SamplingData[[#This Row],[Candidate 7]])/(SamplingData[[#Totals],[Winning Candidate]]-SamplingData[[#Totals],[Candidate 7]]), 0)</f>
        <v>0</v>
      </c>
      <c r="W187" s="100">
        <f>IF(AND(SamplingData[[#This Row],[Total]]&lt;&gt; 0, NOT(ISBLANK(SamplingData[[#This Row],[Candidate 8]]))),(SamplingData[[#This Row],[Total]]+SamplingData[[#This Row],[Winning Candidate]]-SamplingData[[#This Row],[Candidate 8]])/(SamplingData[[#Totals],[Winning Candidate]]-SamplingData[[#Totals],[Candidate 8]]), 0)</f>
        <v>0</v>
      </c>
      <c r="X1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00">
        <f>MAX(SamplingData[[#This Row],[Error Bound (up) - Max. possible relative overstatement - Losing Candidate]:[Error Bound (up) - Max. possible relative overstatement - Candidate 12]])</f>
        <v>4.3973992524421271E-4</v>
      </c>
      <c r="AC187" s="100">
        <f>IF(SamplingData[[#This Row],[Max Error Bound (up)]] = 0,0,SamplingData[[#This Row],[Max Error Bound (up)]]/SamplingData[[#Totals],[Max Error Bound (up)]])</f>
        <v>1.8844559306520223E-4</v>
      </c>
      <c r="AD187" s="104">
        <f>SUM($AC$5:AC187)</f>
        <v>2.8980240133527176E-2</v>
      </c>
      <c r="AE187" s="100" t="str" cm="1">
        <f t="array" ref="AE187">IF(SamplingData[[#This Row],[up/U Selection Probability]] = 0, "Zero", TEXT(SamplingData[[#This Row],[Lower Range]], REPT("0",LEN('General Info'!$B$42))) &amp; " - " &amp; TEXT(SamplingData[[#This Row],[Upper Range]], REPT("0",LEN('General Info'!$B$42))))</f>
        <v>02879 - 02897</v>
      </c>
      <c r="AF187" s="100">
        <f>SamplingData[[#This Row],[Upper Range]]-SamplingData[[#This Row],[Span]]</f>
        <v>2879.1794540461974</v>
      </c>
      <c r="AG187" s="100">
        <f>IF(ISNUMBER('General Info'!$B$42), ((SamplingData[[#This Row],[up/U Selection Probability]]) * 'General Info'!$B$44) - 1, 0)</f>
        <v>17.844559306520225</v>
      </c>
      <c r="AH187" s="100">
        <f>IF(ISNUMBER('General Info'!$B$42), (SamplingData[[#This Row],[Running (cumulative) sum]] * ('General Info'!$B$42 -'General Info'!$B$43 + 1)) + 'General Info'!$B$43 - 1, 0)</f>
        <v>2897.0240133527177</v>
      </c>
      <c r="AI187" s="100">
        <f>IF(ISERROR(MATCH(SamplingData[[#This Row],[Batch by Type (p)]],SelectedPrecincts[Batch Name], 0)), "", INDEX(SelectedPrecincts[Draw], MATCH(SamplingData[[#This Row],[Batch by Type (p)]],SelectedPrecincts[Batch Name], 0)))</f>
        <v>5</v>
      </c>
      <c r="AJ187" s="101">
        <f>IF(COUNTIF(SelectedPrecincts[Batch Name],SamplingData[[#This Row],[Batch by Type (p)]]) &lt;&gt; 0, COUNTIF(SelectedPrecincts[Batch Name],SamplingData[[#This Row],[Batch by Type (p)]]), 0)</f>
        <v>1</v>
      </c>
    </row>
    <row r="188" spans="1:36" ht="15" customHeight="1" x14ac:dyDescent="0.35">
      <c r="A188" s="98" t="s">
        <v>400</v>
      </c>
      <c r="B188" s="98">
        <v>6</v>
      </c>
      <c r="C188" s="98">
        <v>1</v>
      </c>
      <c r="D188" s="93"/>
      <c r="E188" s="93"/>
      <c r="F188" s="93"/>
      <c r="G188" s="97"/>
      <c r="H188" s="97"/>
      <c r="I188" s="93"/>
      <c r="J188" s="93"/>
      <c r="K188" s="93"/>
      <c r="L188" s="93"/>
      <c r="M188" s="93"/>
      <c r="N188" s="98">
        <v>0</v>
      </c>
      <c r="O188" s="98">
        <v>0</v>
      </c>
      <c r="P188" s="99">
        <f>SUM(SamplingData[[#This Row],[Winning Candidate]:[Under Votes]])</f>
        <v>7</v>
      </c>
      <c r="Q188"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88" s="100">
        <f>IF(AND(SamplingData[[#This Row],[Total]]&lt;&gt; 0, NOT(ISBLANK(SamplingData[[#This Row],[Candidate 3]]))),(SamplingData[[#This Row],[Total]]+SamplingData[[#This Row],[Winning Candidate]]-SamplingData[[#This Row],[Candidate 3]])/(SamplingData[[#Totals],[Winning Candidate]]-SamplingData[[#Totals],[Candidate 3]]), 0)</f>
        <v>0</v>
      </c>
      <c r="S188" s="100">
        <f>IF(AND(SamplingData[[#This Row],[Total]]&lt;&gt; 0, NOT(ISBLANK(SamplingData[[#This Row],[Candidate 4]]))),(SamplingData[[#This Row],[Total]]+SamplingData[[#This Row],[Winning Candidate]]-SamplingData[[#This Row],[Candidate 4]])/(SamplingData[[#Totals],[Winning Candidate]]-SamplingData[[#Totals],[Candidate 4]]), 0)</f>
        <v>0</v>
      </c>
      <c r="T188" s="100">
        <f>IF(AND(SamplingData[[#This Row],[Total]]&lt;&gt; 0, NOT(ISBLANK(SamplingData[[#This Row],[Candidate 5]]))),(SamplingData[[#This Row],[Total]]+SamplingData[[#This Row],[Winning Candidate]]-SamplingData[[#This Row],[Candidate 5]])/(SamplingData[[#Totals],[Winning Candidate]]-SamplingData[[#Totals],[Candidate 5]]), 0)</f>
        <v>0</v>
      </c>
      <c r="U188" s="100">
        <f>IF(AND(SamplingData[[#This Row],[Total]]&lt;&gt; 0, NOT(ISBLANK(SamplingData[[#This Row],[Candidate 6]]))),(SamplingData[[#This Row],[Total]]+SamplingData[[#This Row],[Losing Candidate]]-SamplingData[[#This Row],[Candidate 6]])/(SamplingData[[#Totals],[Winning Candidate]]-SamplingData[[#Totals],[Candidate 6]]), 0)</f>
        <v>0</v>
      </c>
      <c r="V188" s="100">
        <f>IF(AND(SamplingData[[#This Row],[Total]]&lt;&gt; 0, NOT(ISBLANK(SamplingData[[#This Row],[Candidate 7]]))),(SamplingData[[#This Row],[Total]]+SamplingData[[#This Row],[Winning Candidate]]-SamplingData[[#This Row],[Candidate 7]])/(SamplingData[[#Totals],[Winning Candidate]]-SamplingData[[#Totals],[Candidate 7]]), 0)</f>
        <v>0</v>
      </c>
      <c r="W188" s="100">
        <f>IF(AND(SamplingData[[#This Row],[Total]]&lt;&gt; 0, NOT(ISBLANK(SamplingData[[#This Row],[Candidate 8]]))),(SamplingData[[#This Row],[Total]]+SamplingData[[#This Row],[Winning Candidate]]-SamplingData[[#This Row],[Candidate 8]])/(SamplingData[[#Totals],[Winning Candidate]]-SamplingData[[#Totals],[Candidate 8]]), 0)</f>
        <v>0</v>
      </c>
      <c r="X1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00">
        <f>MAX(SamplingData[[#This Row],[Error Bound (up) - Max. possible relative overstatement - Losing Candidate]:[Error Bound (up) - Max. possible relative overstatement - Candidate 12]])</f>
        <v>3.7691993592361088E-4</v>
      </c>
      <c r="AC188" s="100">
        <f>IF(SamplingData[[#This Row],[Max Error Bound (up)]] = 0,0,SamplingData[[#This Row],[Max Error Bound (up)]]/SamplingData[[#Totals],[Max Error Bound (up)]])</f>
        <v>1.6152479405588763E-4</v>
      </c>
      <c r="AD188" s="104">
        <f>SUM($AC$5:AC188)</f>
        <v>2.9141764927583063E-2</v>
      </c>
      <c r="AE188" s="100" t="str" cm="1">
        <f t="array" ref="AE188">IF(SamplingData[[#This Row],[up/U Selection Probability]] = 0, "Zero", TEXT(SamplingData[[#This Row],[Lower Range]], REPT("0",LEN('General Info'!$B$42))) &amp; " - " &amp; TEXT(SamplingData[[#This Row],[Upper Range]], REPT("0",LEN('General Info'!$B$42))))</f>
        <v>02898 - 02913</v>
      </c>
      <c r="AF188" s="100">
        <f>SamplingData[[#This Row],[Upper Range]]-SamplingData[[#This Row],[Span]]</f>
        <v>2898.0240133527177</v>
      </c>
      <c r="AG188" s="100">
        <f>IF(ISNUMBER('General Info'!$B$42), ((SamplingData[[#This Row],[up/U Selection Probability]]) * 'General Info'!$B$44) - 1, 0)</f>
        <v>15.152479405588764</v>
      </c>
      <c r="AH188" s="100">
        <f>IF(ISNUMBER('General Info'!$B$42), (SamplingData[[#This Row],[Running (cumulative) sum]] * ('General Info'!$B$42 -'General Info'!$B$43 + 1)) + 'General Info'!$B$43 - 1, 0)</f>
        <v>2913.1764927583063</v>
      </c>
      <c r="AI188" s="100" t="str">
        <f>IF(ISERROR(MATCH(SamplingData[[#This Row],[Batch by Type (p)]],SelectedPrecincts[Batch Name], 0)), "", INDEX(SelectedPrecincts[Draw], MATCH(SamplingData[[#This Row],[Batch by Type (p)]],SelectedPrecincts[Batch Name], 0)))</f>
        <v/>
      </c>
      <c r="AJ188" s="101">
        <f>IF(COUNTIF(SelectedPrecincts[Batch Name],SamplingData[[#This Row],[Batch by Type (p)]]) &lt;&gt; 0, COUNTIF(SelectedPrecincts[Batch Name],SamplingData[[#This Row],[Batch by Type (p)]]), 0)</f>
        <v>0</v>
      </c>
    </row>
    <row r="189" spans="1:36" ht="15" customHeight="1" x14ac:dyDescent="0.35">
      <c r="A189" s="98" t="s">
        <v>401</v>
      </c>
      <c r="B189" s="98">
        <v>3</v>
      </c>
      <c r="C189" s="98">
        <v>0</v>
      </c>
      <c r="D189" s="93"/>
      <c r="E189" s="93"/>
      <c r="F189" s="93"/>
      <c r="G189" s="97"/>
      <c r="H189" s="97"/>
      <c r="I189" s="93"/>
      <c r="J189" s="93"/>
      <c r="K189" s="93"/>
      <c r="L189" s="93"/>
      <c r="M189" s="93"/>
      <c r="N189" s="98">
        <v>0</v>
      </c>
      <c r="O189" s="98">
        <v>0</v>
      </c>
      <c r="P189" s="99">
        <f>SUM(SamplingData[[#This Row],[Winning Candidate]:[Under Votes]])</f>
        <v>3</v>
      </c>
      <c r="Q18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89" s="100">
        <f>IF(AND(SamplingData[[#This Row],[Total]]&lt;&gt; 0, NOT(ISBLANK(SamplingData[[#This Row],[Candidate 3]]))),(SamplingData[[#This Row],[Total]]+SamplingData[[#This Row],[Winning Candidate]]-SamplingData[[#This Row],[Candidate 3]])/(SamplingData[[#Totals],[Winning Candidate]]-SamplingData[[#Totals],[Candidate 3]]), 0)</f>
        <v>0</v>
      </c>
      <c r="S189" s="100">
        <f>IF(AND(SamplingData[[#This Row],[Total]]&lt;&gt; 0, NOT(ISBLANK(SamplingData[[#This Row],[Candidate 4]]))),(SamplingData[[#This Row],[Total]]+SamplingData[[#This Row],[Winning Candidate]]-SamplingData[[#This Row],[Candidate 4]])/(SamplingData[[#Totals],[Winning Candidate]]-SamplingData[[#Totals],[Candidate 4]]), 0)</f>
        <v>0</v>
      </c>
      <c r="T189" s="100">
        <f>IF(AND(SamplingData[[#This Row],[Total]]&lt;&gt; 0, NOT(ISBLANK(SamplingData[[#This Row],[Candidate 5]]))),(SamplingData[[#This Row],[Total]]+SamplingData[[#This Row],[Winning Candidate]]-SamplingData[[#This Row],[Candidate 5]])/(SamplingData[[#Totals],[Winning Candidate]]-SamplingData[[#Totals],[Candidate 5]]), 0)</f>
        <v>0</v>
      </c>
      <c r="U189" s="100">
        <f>IF(AND(SamplingData[[#This Row],[Total]]&lt;&gt; 0, NOT(ISBLANK(SamplingData[[#This Row],[Candidate 6]]))),(SamplingData[[#This Row],[Total]]+SamplingData[[#This Row],[Losing Candidate]]-SamplingData[[#This Row],[Candidate 6]])/(SamplingData[[#Totals],[Winning Candidate]]-SamplingData[[#Totals],[Candidate 6]]), 0)</f>
        <v>0</v>
      </c>
      <c r="V189" s="100">
        <f>IF(AND(SamplingData[[#This Row],[Total]]&lt;&gt; 0, NOT(ISBLANK(SamplingData[[#This Row],[Candidate 7]]))),(SamplingData[[#This Row],[Total]]+SamplingData[[#This Row],[Winning Candidate]]-SamplingData[[#This Row],[Candidate 7]])/(SamplingData[[#Totals],[Winning Candidate]]-SamplingData[[#Totals],[Candidate 7]]), 0)</f>
        <v>0</v>
      </c>
      <c r="W189" s="100">
        <f>IF(AND(SamplingData[[#This Row],[Total]]&lt;&gt; 0, NOT(ISBLANK(SamplingData[[#This Row],[Candidate 8]]))),(SamplingData[[#This Row],[Total]]+SamplingData[[#This Row],[Winning Candidate]]-SamplingData[[#This Row],[Candidate 8]])/(SamplingData[[#Totals],[Winning Candidate]]-SamplingData[[#Totals],[Candidate 8]]), 0)</f>
        <v>0</v>
      </c>
      <c r="X1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00">
        <f>MAX(SamplingData[[#This Row],[Error Bound (up) - Max. possible relative overstatement - Losing Candidate]:[Error Bound (up) - Max. possible relative overstatement - Candidate 12]])</f>
        <v>1.8845996796180544E-4</v>
      </c>
      <c r="AC189" s="100">
        <f>IF(SamplingData[[#This Row],[Max Error Bound (up)]] = 0,0,SamplingData[[#This Row],[Max Error Bound (up)]]/SamplingData[[#Totals],[Max Error Bound (up)]])</f>
        <v>8.0762397027943816E-5</v>
      </c>
      <c r="AD189" s="104">
        <f>SUM($AC$5:AC189)</f>
        <v>2.9222527324611006E-2</v>
      </c>
      <c r="AE189" s="100" t="str" cm="1">
        <f t="array" ref="AE189">IF(SamplingData[[#This Row],[up/U Selection Probability]] = 0, "Zero", TEXT(SamplingData[[#This Row],[Lower Range]], REPT("0",LEN('General Info'!$B$42))) &amp; " - " &amp; TEXT(SamplingData[[#This Row],[Upper Range]], REPT("0",LEN('General Info'!$B$42))))</f>
        <v>02914 - 02921</v>
      </c>
      <c r="AF189" s="100">
        <f>SamplingData[[#This Row],[Upper Range]]-SamplingData[[#This Row],[Span]]</f>
        <v>2914.1764927583063</v>
      </c>
      <c r="AG189" s="100">
        <f>IF(ISNUMBER('General Info'!$B$42), ((SamplingData[[#This Row],[up/U Selection Probability]]) * 'General Info'!$B$44) - 1, 0)</f>
        <v>7.076239702794382</v>
      </c>
      <c r="AH189" s="100">
        <f>IF(ISNUMBER('General Info'!$B$42), (SamplingData[[#This Row],[Running (cumulative) sum]] * ('General Info'!$B$42 -'General Info'!$B$43 + 1)) + 'General Info'!$B$43 - 1, 0)</f>
        <v>2921.2527324611005</v>
      </c>
      <c r="AI189" s="100" t="str">
        <f>IF(ISERROR(MATCH(SamplingData[[#This Row],[Batch by Type (p)]],SelectedPrecincts[Batch Name], 0)), "", INDEX(SelectedPrecincts[Draw], MATCH(SamplingData[[#This Row],[Batch by Type (p)]],SelectedPrecincts[Batch Name], 0)))</f>
        <v/>
      </c>
      <c r="AJ189" s="101">
        <f>IF(COUNTIF(SelectedPrecincts[Batch Name],SamplingData[[#This Row],[Batch by Type (p)]]) &lt;&gt; 0, COUNTIF(SelectedPrecincts[Batch Name],SamplingData[[#This Row],[Batch by Type (p)]]), 0)</f>
        <v>0</v>
      </c>
    </row>
    <row r="190" spans="1:36" ht="15" customHeight="1" x14ac:dyDescent="0.35">
      <c r="A190" s="98" t="s">
        <v>402</v>
      </c>
      <c r="B190" s="98">
        <v>8</v>
      </c>
      <c r="C190" s="98">
        <v>0</v>
      </c>
      <c r="D190" s="93"/>
      <c r="E190" s="93"/>
      <c r="F190" s="93"/>
      <c r="G190" s="97"/>
      <c r="H190" s="97"/>
      <c r="I190" s="93"/>
      <c r="J190" s="93"/>
      <c r="K190" s="93"/>
      <c r="L190" s="93"/>
      <c r="M190" s="93"/>
      <c r="N190" s="98">
        <v>0</v>
      </c>
      <c r="O190" s="98">
        <v>0</v>
      </c>
      <c r="P190" s="99">
        <f>SUM(SamplingData[[#This Row],[Winning Candidate]:[Under Votes]])</f>
        <v>8</v>
      </c>
      <c r="Q190"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190" s="100">
        <f>IF(AND(SamplingData[[#This Row],[Total]]&lt;&gt; 0, NOT(ISBLANK(SamplingData[[#This Row],[Candidate 3]]))),(SamplingData[[#This Row],[Total]]+SamplingData[[#This Row],[Winning Candidate]]-SamplingData[[#This Row],[Candidate 3]])/(SamplingData[[#Totals],[Winning Candidate]]-SamplingData[[#Totals],[Candidate 3]]), 0)</f>
        <v>0</v>
      </c>
      <c r="S190" s="100">
        <f>IF(AND(SamplingData[[#This Row],[Total]]&lt;&gt; 0, NOT(ISBLANK(SamplingData[[#This Row],[Candidate 4]]))),(SamplingData[[#This Row],[Total]]+SamplingData[[#This Row],[Winning Candidate]]-SamplingData[[#This Row],[Candidate 4]])/(SamplingData[[#Totals],[Winning Candidate]]-SamplingData[[#Totals],[Candidate 4]]), 0)</f>
        <v>0</v>
      </c>
      <c r="T190" s="100">
        <f>IF(AND(SamplingData[[#This Row],[Total]]&lt;&gt; 0, NOT(ISBLANK(SamplingData[[#This Row],[Candidate 5]]))),(SamplingData[[#This Row],[Total]]+SamplingData[[#This Row],[Winning Candidate]]-SamplingData[[#This Row],[Candidate 5]])/(SamplingData[[#Totals],[Winning Candidate]]-SamplingData[[#Totals],[Candidate 5]]), 0)</f>
        <v>0</v>
      </c>
      <c r="U190" s="100">
        <f>IF(AND(SamplingData[[#This Row],[Total]]&lt;&gt; 0, NOT(ISBLANK(SamplingData[[#This Row],[Candidate 6]]))),(SamplingData[[#This Row],[Total]]+SamplingData[[#This Row],[Losing Candidate]]-SamplingData[[#This Row],[Candidate 6]])/(SamplingData[[#Totals],[Winning Candidate]]-SamplingData[[#Totals],[Candidate 6]]), 0)</f>
        <v>0</v>
      </c>
      <c r="V190" s="100">
        <f>IF(AND(SamplingData[[#This Row],[Total]]&lt;&gt; 0, NOT(ISBLANK(SamplingData[[#This Row],[Candidate 7]]))),(SamplingData[[#This Row],[Total]]+SamplingData[[#This Row],[Winning Candidate]]-SamplingData[[#This Row],[Candidate 7]])/(SamplingData[[#Totals],[Winning Candidate]]-SamplingData[[#Totals],[Candidate 7]]), 0)</f>
        <v>0</v>
      </c>
      <c r="W190" s="100">
        <f>IF(AND(SamplingData[[#This Row],[Total]]&lt;&gt; 0, NOT(ISBLANK(SamplingData[[#This Row],[Candidate 8]]))),(SamplingData[[#This Row],[Total]]+SamplingData[[#This Row],[Winning Candidate]]-SamplingData[[#This Row],[Candidate 8]])/(SamplingData[[#Totals],[Winning Candidate]]-SamplingData[[#Totals],[Candidate 8]]), 0)</f>
        <v>0</v>
      </c>
      <c r="X1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00">
        <f>MAX(SamplingData[[#This Row],[Error Bound (up) - Max. possible relative overstatement - Losing Candidate]:[Error Bound (up) - Max. possible relative overstatement - Candidate 12]])</f>
        <v>5.0255991456481448E-4</v>
      </c>
      <c r="AC190" s="100">
        <f>IF(SamplingData[[#This Row],[Max Error Bound (up)]] = 0,0,SamplingData[[#This Row],[Max Error Bound (up)]]/SamplingData[[#Totals],[Max Error Bound (up)]])</f>
        <v>2.1536639207451683E-4</v>
      </c>
      <c r="AD190" s="104">
        <f>SUM($AC$5:AC190)</f>
        <v>2.9437893716685523E-2</v>
      </c>
      <c r="AE190" s="100" t="str" cm="1">
        <f t="array" ref="AE190">IF(SamplingData[[#This Row],[up/U Selection Probability]] = 0, "Zero", TEXT(SamplingData[[#This Row],[Lower Range]], REPT("0",LEN('General Info'!$B$42))) &amp; " - " &amp; TEXT(SamplingData[[#This Row],[Upper Range]], REPT("0",LEN('General Info'!$B$42))))</f>
        <v>02922 - 02943</v>
      </c>
      <c r="AF190" s="100">
        <f>SamplingData[[#This Row],[Upper Range]]-SamplingData[[#This Row],[Span]]</f>
        <v>2922.2527324611005</v>
      </c>
      <c r="AG190" s="100">
        <f>IF(ISNUMBER('General Info'!$B$42), ((SamplingData[[#This Row],[up/U Selection Probability]]) * 'General Info'!$B$44) - 1, 0)</f>
        <v>20.536639207451682</v>
      </c>
      <c r="AH190" s="100">
        <f>IF(ISNUMBER('General Info'!$B$42), (SamplingData[[#This Row],[Running (cumulative) sum]] * ('General Info'!$B$42 -'General Info'!$B$43 + 1)) + 'General Info'!$B$43 - 1, 0)</f>
        <v>2942.7893716685521</v>
      </c>
      <c r="AI190" s="100" t="str">
        <f>IF(ISERROR(MATCH(SamplingData[[#This Row],[Batch by Type (p)]],SelectedPrecincts[Batch Name], 0)), "", INDEX(SelectedPrecincts[Draw], MATCH(SamplingData[[#This Row],[Batch by Type (p)]],SelectedPrecincts[Batch Name], 0)))</f>
        <v/>
      </c>
      <c r="AJ190" s="101">
        <f>IF(COUNTIF(SelectedPrecincts[Batch Name],SamplingData[[#This Row],[Batch by Type (p)]]) &lt;&gt; 0, COUNTIF(SelectedPrecincts[Batch Name],SamplingData[[#This Row],[Batch by Type (p)]]), 0)</f>
        <v>0</v>
      </c>
    </row>
    <row r="191" spans="1:36" ht="15" customHeight="1" x14ac:dyDescent="0.35">
      <c r="A191" s="98" t="s">
        <v>403</v>
      </c>
      <c r="B191" s="98">
        <v>12</v>
      </c>
      <c r="C191" s="98">
        <v>0</v>
      </c>
      <c r="D191" s="93"/>
      <c r="E191" s="93"/>
      <c r="F191" s="93"/>
      <c r="G191" s="97"/>
      <c r="H191" s="97"/>
      <c r="I191" s="93"/>
      <c r="J191" s="93"/>
      <c r="K191" s="93"/>
      <c r="L191" s="93"/>
      <c r="M191" s="93"/>
      <c r="N191" s="98">
        <v>0</v>
      </c>
      <c r="O191" s="98">
        <v>0</v>
      </c>
      <c r="P191" s="99">
        <f>SUM(SamplingData[[#This Row],[Winning Candidate]:[Under Votes]])</f>
        <v>12</v>
      </c>
      <c r="Q191"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191" s="100">
        <f>IF(AND(SamplingData[[#This Row],[Total]]&lt;&gt; 0, NOT(ISBLANK(SamplingData[[#This Row],[Candidate 3]]))),(SamplingData[[#This Row],[Total]]+SamplingData[[#This Row],[Winning Candidate]]-SamplingData[[#This Row],[Candidate 3]])/(SamplingData[[#Totals],[Winning Candidate]]-SamplingData[[#Totals],[Candidate 3]]), 0)</f>
        <v>0</v>
      </c>
      <c r="S191" s="100">
        <f>IF(AND(SamplingData[[#This Row],[Total]]&lt;&gt; 0, NOT(ISBLANK(SamplingData[[#This Row],[Candidate 4]]))),(SamplingData[[#This Row],[Total]]+SamplingData[[#This Row],[Winning Candidate]]-SamplingData[[#This Row],[Candidate 4]])/(SamplingData[[#Totals],[Winning Candidate]]-SamplingData[[#Totals],[Candidate 4]]), 0)</f>
        <v>0</v>
      </c>
      <c r="T191" s="100">
        <f>IF(AND(SamplingData[[#This Row],[Total]]&lt;&gt; 0, NOT(ISBLANK(SamplingData[[#This Row],[Candidate 5]]))),(SamplingData[[#This Row],[Total]]+SamplingData[[#This Row],[Winning Candidate]]-SamplingData[[#This Row],[Candidate 5]])/(SamplingData[[#Totals],[Winning Candidate]]-SamplingData[[#Totals],[Candidate 5]]), 0)</f>
        <v>0</v>
      </c>
      <c r="U191" s="100">
        <f>IF(AND(SamplingData[[#This Row],[Total]]&lt;&gt; 0, NOT(ISBLANK(SamplingData[[#This Row],[Candidate 6]]))),(SamplingData[[#This Row],[Total]]+SamplingData[[#This Row],[Losing Candidate]]-SamplingData[[#This Row],[Candidate 6]])/(SamplingData[[#Totals],[Winning Candidate]]-SamplingData[[#Totals],[Candidate 6]]), 0)</f>
        <v>0</v>
      </c>
      <c r="V191" s="100">
        <f>IF(AND(SamplingData[[#This Row],[Total]]&lt;&gt; 0, NOT(ISBLANK(SamplingData[[#This Row],[Candidate 7]]))),(SamplingData[[#This Row],[Total]]+SamplingData[[#This Row],[Winning Candidate]]-SamplingData[[#This Row],[Candidate 7]])/(SamplingData[[#Totals],[Winning Candidate]]-SamplingData[[#Totals],[Candidate 7]]), 0)</f>
        <v>0</v>
      </c>
      <c r="W191" s="100">
        <f>IF(AND(SamplingData[[#This Row],[Total]]&lt;&gt; 0, NOT(ISBLANK(SamplingData[[#This Row],[Candidate 8]]))),(SamplingData[[#This Row],[Total]]+SamplingData[[#This Row],[Winning Candidate]]-SamplingData[[#This Row],[Candidate 8]])/(SamplingData[[#Totals],[Winning Candidate]]-SamplingData[[#Totals],[Candidate 8]]), 0)</f>
        <v>0</v>
      </c>
      <c r="X1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00">
        <f>MAX(SamplingData[[#This Row],[Error Bound (up) - Max. possible relative overstatement - Losing Candidate]:[Error Bound (up) - Max. possible relative overstatement - Candidate 12]])</f>
        <v>7.5383987184722177E-4</v>
      </c>
      <c r="AC191" s="100">
        <f>IF(SamplingData[[#This Row],[Max Error Bound (up)]] = 0,0,SamplingData[[#This Row],[Max Error Bound (up)]]/SamplingData[[#Totals],[Max Error Bound (up)]])</f>
        <v>3.2304958811177527E-4</v>
      </c>
      <c r="AD191" s="104">
        <f>SUM($AC$5:AC191)</f>
        <v>2.97609433047973E-2</v>
      </c>
      <c r="AE191" s="100" t="str" cm="1">
        <f t="array" ref="AE191">IF(SamplingData[[#This Row],[up/U Selection Probability]] = 0, "Zero", TEXT(SamplingData[[#This Row],[Lower Range]], REPT("0",LEN('General Info'!$B$42))) &amp; " - " &amp; TEXT(SamplingData[[#This Row],[Upper Range]], REPT("0",LEN('General Info'!$B$42))))</f>
        <v>02944 - 02975</v>
      </c>
      <c r="AF191" s="100">
        <f>SamplingData[[#This Row],[Upper Range]]-SamplingData[[#This Row],[Span]]</f>
        <v>2943.7893716685526</v>
      </c>
      <c r="AG191" s="100">
        <f>IF(ISNUMBER('General Info'!$B$42), ((SamplingData[[#This Row],[up/U Selection Probability]]) * 'General Info'!$B$44) - 1, 0)</f>
        <v>31.304958811177528</v>
      </c>
      <c r="AH191" s="100">
        <f>IF(ISNUMBER('General Info'!$B$42), (SamplingData[[#This Row],[Running (cumulative) sum]] * ('General Info'!$B$42 -'General Info'!$B$43 + 1)) + 'General Info'!$B$43 - 1, 0)</f>
        <v>2975.0943304797302</v>
      </c>
      <c r="AI191" s="100" t="str">
        <f>IF(ISERROR(MATCH(SamplingData[[#This Row],[Batch by Type (p)]],SelectedPrecincts[Batch Name], 0)), "", INDEX(SelectedPrecincts[Draw], MATCH(SamplingData[[#This Row],[Batch by Type (p)]],SelectedPrecincts[Batch Name], 0)))</f>
        <v/>
      </c>
      <c r="AJ191" s="101">
        <f>IF(COUNTIF(SelectedPrecincts[Batch Name],SamplingData[[#This Row],[Batch by Type (p)]]) &lt;&gt; 0, COUNTIF(SelectedPrecincts[Batch Name],SamplingData[[#This Row],[Batch by Type (p)]]), 0)</f>
        <v>0</v>
      </c>
    </row>
    <row r="192" spans="1:36" ht="15" customHeight="1" x14ac:dyDescent="0.35">
      <c r="A192" s="98" t="s">
        <v>404</v>
      </c>
      <c r="B192" s="98">
        <v>0</v>
      </c>
      <c r="C192" s="98">
        <v>0</v>
      </c>
      <c r="D192" s="93"/>
      <c r="E192" s="93"/>
      <c r="F192" s="93"/>
      <c r="G192" s="97"/>
      <c r="H192" s="97"/>
      <c r="I192" s="93"/>
      <c r="J192" s="93"/>
      <c r="K192" s="93"/>
      <c r="L192" s="93"/>
      <c r="M192" s="93"/>
      <c r="N192" s="98">
        <v>0</v>
      </c>
      <c r="O192" s="98">
        <v>0</v>
      </c>
      <c r="P192" s="99">
        <f>SUM(SamplingData[[#This Row],[Winning Candidate]:[Under Votes]])</f>
        <v>0</v>
      </c>
      <c r="Q192" s="100">
        <f>IF(AND(SamplingData[[#This Row],[Total]]&lt;&gt; 0, NOT(ISBLANK(SamplingData[[#This Row],[Losing Candidate]]))),(SamplingData[[#This Row],[Total]]+SamplingData[[#This Row],[Winning Candidate]]-SamplingData[[#This Row],[Losing Candidate]])/(SamplingData[[#Totals],[Winning Candidate]]-SamplingData[[#Totals],[Losing Candidate]]), 0)</f>
        <v>0</v>
      </c>
      <c r="R192" s="100">
        <f>IF(AND(SamplingData[[#This Row],[Total]]&lt;&gt; 0, NOT(ISBLANK(SamplingData[[#This Row],[Candidate 3]]))),(SamplingData[[#This Row],[Total]]+SamplingData[[#This Row],[Winning Candidate]]-SamplingData[[#This Row],[Candidate 3]])/(SamplingData[[#Totals],[Winning Candidate]]-SamplingData[[#Totals],[Candidate 3]]), 0)</f>
        <v>0</v>
      </c>
      <c r="S192" s="100">
        <f>IF(AND(SamplingData[[#This Row],[Total]]&lt;&gt; 0, NOT(ISBLANK(SamplingData[[#This Row],[Candidate 4]]))),(SamplingData[[#This Row],[Total]]+SamplingData[[#This Row],[Winning Candidate]]-SamplingData[[#This Row],[Candidate 4]])/(SamplingData[[#Totals],[Winning Candidate]]-SamplingData[[#Totals],[Candidate 4]]), 0)</f>
        <v>0</v>
      </c>
      <c r="T192" s="100">
        <f>IF(AND(SamplingData[[#This Row],[Total]]&lt;&gt; 0, NOT(ISBLANK(SamplingData[[#This Row],[Candidate 5]]))),(SamplingData[[#This Row],[Total]]+SamplingData[[#This Row],[Winning Candidate]]-SamplingData[[#This Row],[Candidate 5]])/(SamplingData[[#Totals],[Winning Candidate]]-SamplingData[[#Totals],[Candidate 5]]), 0)</f>
        <v>0</v>
      </c>
      <c r="U192" s="100">
        <f>IF(AND(SamplingData[[#This Row],[Total]]&lt;&gt; 0, NOT(ISBLANK(SamplingData[[#This Row],[Candidate 6]]))),(SamplingData[[#This Row],[Total]]+SamplingData[[#This Row],[Losing Candidate]]-SamplingData[[#This Row],[Candidate 6]])/(SamplingData[[#Totals],[Winning Candidate]]-SamplingData[[#Totals],[Candidate 6]]), 0)</f>
        <v>0</v>
      </c>
      <c r="V192" s="100">
        <f>IF(AND(SamplingData[[#This Row],[Total]]&lt;&gt; 0, NOT(ISBLANK(SamplingData[[#This Row],[Candidate 7]]))),(SamplingData[[#This Row],[Total]]+SamplingData[[#This Row],[Winning Candidate]]-SamplingData[[#This Row],[Candidate 7]])/(SamplingData[[#Totals],[Winning Candidate]]-SamplingData[[#Totals],[Candidate 7]]), 0)</f>
        <v>0</v>
      </c>
      <c r="W192" s="100">
        <f>IF(AND(SamplingData[[#This Row],[Total]]&lt;&gt; 0, NOT(ISBLANK(SamplingData[[#This Row],[Candidate 8]]))),(SamplingData[[#This Row],[Total]]+SamplingData[[#This Row],[Winning Candidate]]-SamplingData[[#This Row],[Candidate 8]])/(SamplingData[[#Totals],[Winning Candidate]]-SamplingData[[#Totals],[Candidate 8]]), 0)</f>
        <v>0</v>
      </c>
      <c r="X1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00">
        <f>MAX(SamplingData[[#This Row],[Error Bound (up) - Max. possible relative overstatement - Losing Candidate]:[Error Bound (up) - Max. possible relative overstatement - Candidate 12]])</f>
        <v>0</v>
      </c>
      <c r="AC192" s="100">
        <f>IF(SamplingData[[#This Row],[Max Error Bound (up)]] = 0,0,SamplingData[[#This Row],[Max Error Bound (up)]]/SamplingData[[#Totals],[Max Error Bound (up)]])</f>
        <v>0</v>
      </c>
      <c r="AD192" s="104">
        <f>SUM($AC$5:AC192)</f>
        <v>2.97609433047973E-2</v>
      </c>
      <c r="AE192" s="100" t="str" cm="1">
        <f t="array" ref="AE192">IF(SamplingData[[#This Row],[up/U Selection Probability]] = 0, "Zero", TEXT(SamplingData[[#This Row],[Lower Range]], REPT("0",LEN('General Info'!$B$42))) &amp; " - " &amp; TEXT(SamplingData[[#This Row],[Upper Range]], REPT("0",LEN('General Info'!$B$42))))</f>
        <v>Zero</v>
      </c>
      <c r="AF192" s="100">
        <f>SamplingData[[#This Row],[Upper Range]]-SamplingData[[#This Row],[Span]]</f>
        <v>2976.0943304797302</v>
      </c>
      <c r="AG192" s="100">
        <f>IF(ISNUMBER('General Info'!$B$42), ((SamplingData[[#This Row],[up/U Selection Probability]]) * 'General Info'!$B$44) - 1, 0)</f>
        <v>-1</v>
      </c>
      <c r="AH192" s="100">
        <f>IF(ISNUMBER('General Info'!$B$42), (SamplingData[[#This Row],[Running (cumulative) sum]] * ('General Info'!$B$42 -'General Info'!$B$43 + 1)) + 'General Info'!$B$43 - 1, 0)</f>
        <v>2975.0943304797302</v>
      </c>
      <c r="AI192" s="100" t="str">
        <f>IF(ISERROR(MATCH(SamplingData[[#This Row],[Batch by Type (p)]],SelectedPrecincts[Batch Name], 0)), "", INDEX(SelectedPrecincts[Draw], MATCH(SamplingData[[#This Row],[Batch by Type (p)]],SelectedPrecincts[Batch Name], 0)))</f>
        <v/>
      </c>
      <c r="AJ192" s="101">
        <f>IF(COUNTIF(SelectedPrecincts[Batch Name],SamplingData[[#This Row],[Batch by Type (p)]]) &lt;&gt; 0, COUNTIF(SelectedPrecincts[Batch Name],SamplingData[[#This Row],[Batch by Type (p)]]), 0)</f>
        <v>0</v>
      </c>
    </row>
    <row r="193" spans="1:36" ht="15" customHeight="1" x14ac:dyDescent="0.35">
      <c r="A193" s="98" t="s">
        <v>405</v>
      </c>
      <c r="B193" s="98">
        <v>2</v>
      </c>
      <c r="C193" s="98">
        <v>1</v>
      </c>
      <c r="D193" s="93"/>
      <c r="E193" s="93"/>
      <c r="F193" s="93"/>
      <c r="G193" s="97"/>
      <c r="H193" s="97"/>
      <c r="I193" s="93"/>
      <c r="J193" s="93"/>
      <c r="K193" s="93"/>
      <c r="L193" s="93"/>
      <c r="M193" s="93"/>
      <c r="N193" s="98">
        <v>0</v>
      </c>
      <c r="O193" s="98">
        <v>0</v>
      </c>
      <c r="P193" s="99">
        <f>SUM(SamplingData[[#This Row],[Winning Candidate]:[Under Votes]])</f>
        <v>3</v>
      </c>
      <c r="Q19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193" s="100">
        <f>IF(AND(SamplingData[[#This Row],[Total]]&lt;&gt; 0, NOT(ISBLANK(SamplingData[[#This Row],[Candidate 3]]))),(SamplingData[[#This Row],[Total]]+SamplingData[[#This Row],[Winning Candidate]]-SamplingData[[#This Row],[Candidate 3]])/(SamplingData[[#Totals],[Winning Candidate]]-SamplingData[[#Totals],[Candidate 3]]), 0)</f>
        <v>0</v>
      </c>
      <c r="S193" s="100">
        <f>IF(AND(SamplingData[[#This Row],[Total]]&lt;&gt; 0, NOT(ISBLANK(SamplingData[[#This Row],[Candidate 4]]))),(SamplingData[[#This Row],[Total]]+SamplingData[[#This Row],[Winning Candidate]]-SamplingData[[#This Row],[Candidate 4]])/(SamplingData[[#Totals],[Winning Candidate]]-SamplingData[[#Totals],[Candidate 4]]), 0)</f>
        <v>0</v>
      </c>
      <c r="T193" s="100">
        <f>IF(AND(SamplingData[[#This Row],[Total]]&lt;&gt; 0, NOT(ISBLANK(SamplingData[[#This Row],[Candidate 5]]))),(SamplingData[[#This Row],[Total]]+SamplingData[[#This Row],[Winning Candidate]]-SamplingData[[#This Row],[Candidate 5]])/(SamplingData[[#Totals],[Winning Candidate]]-SamplingData[[#Totals],[Candidate 5]]), 0)</f>
        <v>0</v>
      </c>
      <c r="U193" s="100">
        <f>IF(AND(SamplingData[[#This Row],[Total]]&lt;&gt; 0, NOT(ISBLANK(SamplingData[[#This Row],[Candidate 6]]))),(SamplingData[[#This Row],[Total]]+SamplingData[[#This Row],[Losing Candidate]]-SamplingData[[#This Row],[Candidate 6]])/(SamplingData[[#Totals],[Winning Candidate]]-SamplingData[[#Totals],[Candidate 6]]), 0)</f>
        <v>0</v>
      </c>
      <c r="V193" s="100">
        <f>IF(AND(SamplingData[[#This Row],[Total]]&lt;&gt; 0, NOT(ISBLANK(SamplingData[[#This Row],[Candidate 7]]))),(SamplingData[[#This Row],[Total]]+SamplingData[[#This Row],[Winning Candidate]]-SamplingData[[#This Row],[Candidate 7]])/(SamplingData[[#Totals],[Winning Candidate]]-SamplingData[[#Totals],[Candidate 7]]), 0)</f>
        <v>0</v>
      </c>
      <c r="W193" s="100">
        <f>IF(AND(SamplingData[[#This Row],[Total]]&lt;&gt; 0, NOT(ISBLANK(SamplingData[[#This Row],[Candidate 8]]))),(SamplingData[[#This Row],[Total]]+SamplingData[[#This Row],[Winning Candidate]]-SamplingData[[#This Row],[Candidate 8]])/(SamplingData[[#Totals],[Winning Candidate]]-SamplingData[[#Totals],[Candidate 8]]), 0)</f>
        <v>0</v>
      </c>
      <c r="X1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00">
        <f>MAX(SamplingData[[#This Row],[Error Bound (up) - Max. possible relative overstatement - Losing Candidate]:[Error Bound (up) - Max. possible relative overstatement - Candidate 12]])</f>
        <v>1.2563997864120362E-4</v>
      </c>
      <c r="AC193" s="100">
        <f>IF(SamplingData[[#This Row],[Max Error Bound (up)]] = 0,0,SamplingData[[#This Row],[Max Error Bound (up)]]/SamplingData[[#Totals],[Max Error Bound (up)]])</f>
        <v>5.3841598018629206E-5</v>
      </c>
      <c r="AD193" s="104">
        <f>SUM($AC$5:AC193)</f>
        <v>2.981478490281593E-2</v>
      </c>
      <c r="AE193" s="100" t="str" cm="1">
        <f t="array" ref="AE193">IF(SamplingData[[#This Row],[up/U Selection Probability]] = 0, "Zero", TEXT(SamplingData[[#This Row],[Lower Range]], REPT("0",LEN('General Info'!$B$42))) &amp; " - " &amp; TEXT(SamplingData[[#This Row],[Upper Range]], REPT("0",LEN('General Info'!$B$42))))</f>
        <v>02976 - 02980</v>
      </c>
      <c r="AF193" s="100">
        <f>SamplingData[[#This Row],[Upper Range]]-SamplingData[[#This Row],[Span]]</f>
        <v>2976.0943304797302</v>
      </c>
      <c r="AG193" s="100">
        <f>IF(ISNUMBER('General Info'!$B$42), ((SamplingData[[#This Row],[up/U Selection Probability]]) * 'General Info'!$B$44) - 1, 0)</f>
        <v>4.3841598018629204</v>
      </c>
      <c r="AH193" s="100">
        <f>IF(ISNUMBER('General Info'!$B$42), (SamplingData[[#This Row],[Running (cumulative) sum]] * ('General Info'!$B$42 -'General Info'!$B$43 + 1)) + 'General Info'!$B$43 - 1, 0)</f>
        <v>2980.4784902815932</v>
      </c>
      <c r="AI193" s="100" t="str">
        <f>IF(ISERROR(MATCH(SamplingData[[#This Row],[Batch by Type (p)]],SelectedPrecincts[Batch Name], 0)), "", INDEX(SelectedPrecincts[Draw], MATCH(SamplingData[[#This Row],[Batch by Type (p)]],SelectedPrecincts[Batch Name], 0)))</f>
        <v/>
      </c>
      <c r="AJ193" s="101">
        <f>IF(COUNTIF(SelectedPrecincts[Batch Name],SamplingData[[#This Row],[Batch by Type (p)]]) &lt;&gt; 0, COUNTIF(SelectedPrecincts[Batch Name],SamplingData[[#This Row],[Batch by Type (p)]]), 0)</f>
        <v>0</v>
      </c>
    </row>
    <row r="194" spans="1:36" ht="15" customHeight="1" x14ac:dyDescent="0.35">
      <c r="A194" s="98" t="s">
        <v>406</v>
      </c>
      <c r="B194" s="98">
        <v>6</v>
      </c>
      <c r="C194" s="98">
        <v>0</v>
      </c>
      <c r="D194" s="93"/>
      <c r="E194" s="93"/>
      <c r="F194" s="93"/>
      <c r="G194" s="97"/>
      <c r="H194" s="97"/>
      <c r="I194" s="93"/>
      <c r="J194" s="93"/>
      <c r="K194" s="93"/>
      <c r="L194" s="93"/>
      <c r="M194" s="93"/>
      <c r="N194" s="98">
        <v>0</v>
      </c>
      <c r="O194" s="98">
        <v>0</v>
      </c>
      <c r="P194" s="99">
        <f>SUM(SamplingData[[#This Row],[Winning Candidate]:[Under Votes]])</f>
        <v>6</v>
      </c>
      <c r="Q194"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94" s="100">
        <f>IF(AND(SamplingData[[#This Row],[Total]]&lt;&gt; 0, NOT(ISBLANK(SamplingData[[#This Row],[Candidate 3]]))),(SamplingData[[#This Row],[Total]]+SamplingData[[#This Row],[Winning Candidate]]-SamplingData[[#This Row],[Candidate 3]])/(SamplingData[[#Totals],[Winning Candidate]]-SamplingData[[#Totals],[Candidate 3]]), 0)</f>
        <v>0</v>
      </c>
      <c r="S194" s="100">
        <f>IF(AND(SamplingData[[#This Row],[Total]]&lt;&gt; 0, NOT(ISBLANK(SamplingData[[#This Row],[Candidate 4]]))),(SamplingData[[#This Row],[Total]]+SamplingData[[#This Row],[Winning Candidate]]-SamplingData[[#This Row],[Candidate 4]])/(SamplingData[[#Totals],[Winning Candidate]]-SamplingData[[#Totals],[Candidate 4]]), 0)</f>
        <v>0</v>
      </c>
      <c r="T194" s="100">
        <f>IF(AND(SamplingData[[#This Row],[Total]]&lt;&gt; 0, NOT(ISBLANK(SamplingData[[#This Row],[Candidate 5]]))),(SamplingData[[#This Row],[Total]]+SamplingData[[#This Row],[Winning Candidate]]-SamplingData[[#This Row],[Candidate 5]])/(SamplingData[[#Totals],[Winning Candidate]]-SamplingData[[#Totals],[Candidate 5]]), 0)</f>
        <v>0</v>
      </c>
      <c r="U194" s="100">
        <f>IF(AND(SamplingData[[#This Row],[Total]]&lt;&gt; 0, NOT(ISBLANK(SamplingData[[#This Row],[Candidate 6]]))),(SamplingData[[#This Row],[Total]]+SamplingData[[#This Row],[Losing Candidate]]-SamplingData[[#This Row],[Candidate 6]])/(SamplingData[[#Totals],[Winning Candidate]]-SamplingData[[#Totals],[Candidate 6]]), 0)</f>
        <v>0</v>
      </c>
      <c r="V194" s="100">
        <f>IF(AND(SamplingData[[#This Row],[Total]]&lt;&gt; 0, NOT(ISBLANK(SamplingData[[#This Row],[Candidate 7]]))),(SamplingData[[#This Row],[Total]]+SamplingData[[#This Row],[Winning Candidate]]-SamplingData[[#This Row],[Candidate 7]])/(SamplingData[[#Totals],[Winning Candidate]]-SamplingData[[#Totals],[Candidate 7]]), 0)</f>
        <v>0</v>
      </c>
      <c r="W194" s="100">
        <f>IF(AND(SamplingData[[#This Row],[Total]]&lt;&gt; 0, NOT(ISBLANK(SamplingData[[#This Row],[Candidate 8]]))),(SamplingData[[#This Row],[Total]]+SamplingData[[#This Row],[Winning Candidate]]-SamplingData[[#This Row],[Candidate 8]])/(SamplingData[[#Totals],[Winning Candidate]]-SamplingData[[#Totals],[Candidate 8]]), 0)</f>
        <v>0</v>
      </c>
      <c r="X1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00">
        <f>MAX(SamplingData[[#This Row],[Error Bound (up) - Max. possible relative overstatement - Losing Candidate]:[Error Bound (up) - Max. possible relative overstatement - Candidate 12]])</f>
        <v>3.7691993592361088E-4</v>
      </c>
      <c r="AC194" s="100">
        <f>IF(SamplingData[[#This Row],[Max Error Bound (up)]] = 0,0,SamplingData[[#This Row],[Max Error Bound (up)]]/SamplingData[[#Totals],[Max Error Bound (up)]])</f>
        <v>1.6152479405588763E-4</v>
      </c>
      <c r="AD194" s="104">
        <f>SUM($AC$5:AC194)</f>
        <v>2.9976309696871817E-2</v>
      </c>
      <c r="AE194" s="100" t="str" cm="1">
        <f t="array" ref="AE194">IF(SamplingData[[#This Row],[up/U Selection Probability]] = 0, "Zero", TEXT(SamplingData[[#This Row],[Lower Range]], REPT("0",LEN('General Info'!$B$42))) &amp; " - " &amp; TEXT(SamplingData[[#This Row],[Upper Range]], REPT("0",LEN('General Info'!$B$42))))</f>
        <v>02981 - 02997</v>
      </c>
      <c r="AF194" s="100">
        <f>SamplingData[[#This Row],[Upper Range]]-SamplingData[[#This Row],[Span]]</f>
        <v>2981.4784902815932</v>
      </c>
      <c r="AG194" s="100">
        <f>IF(ISNUMBER('General Info'!$B$42), ((SamplingData[[#This Row],[up/U Selection Probability]]) * 'General Info'!$B$44) - 1, 0)</f>
        <v>15.152479405588764</v>
      </c>
      <c r="AH194" s="100">
        <f>IF(ISNUMBER('General Info'!$B$42), (SamplingData[[#This Row],[Running (cumulative) sum]] * ('General Info'!$B$42 -'General Info'!$B$43 + 1)) + 'General Info'!$B$43 - 1, 0)</f>
        <v>2996.6309696871817</v>
      </c>
      <c r="AI194" s="100" t="str">
        <f>IF(ISERROR(MATCH(SamplingData[[#This Row],[Batch by Type (p)]],SelectedPrecincts[Batch Name], 0)), "", INDEX(SelectedPrecincts[Draw], MATCH(SamplingData[[#This Row],[Batch by Type (p)]],SelectedPrecincts[Batch Name], 0)))</f>
        <v/>
      </c>
      <c r="AJ194" s="101">
        <f>IF(COUNTIF(SelectedPrecincts[Batch Name],SamplingData[[#This Row],[Batch by Type (p)]]) &lt;&gt; 0, COUNTIF(SelectedPrecincts[Batch Name],SamplingData[[#This Row],[Batch by Type (p)]]), 0)</f>
        <v>0</v>
      </c>
    </row>
    <row r="195" spans="1:36" ht="15" customHeight="1" x14ac:dyDescent="0.35">
      <c r="A195" s="98" t="s">
        <v>407</v>
      </c>
      <c r="B195" s="98">
        <v>5</v>
      </c>
      <c r="C195" s="98">
        <v>0</v>
      </c>
      <c r="D195" s="93"/>
      <c r="E195" s="93"/>
      <c r="F195" s="93"/>
      <c r="G195" s="97"/>
      <c r="H195" s="97"/>
      <c r="I195" s="93"/>
      <c r="J195" s="93"/>
      <c r="K195" s="93"/>
      <c r="L195" s="93"/>
      <c r="M195" s="93"/>
      <c r="N195" s="98">
        <v>0</v>
      </c>
      <c r="O195" s="98">
        <v>0</v>
      </c>
      <c r="P195" s="99">
        <f>SUM(SamplingData[[#This Row],[Winning Candidate]:[Under Votes]])</f>
        <v>5</v>
      </c>
      <c r="Q195"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195" s="100">
        <f>IF(AND(SamplingData[[#This Row],[Total]]&lt;&gt; 0, NOT(ISBLANK(SamplingData[[#This Row],[Candidate 3]]))),(SamplingData[[#This Row],[Total]]+SamplingData[[#This Row],[Winning Candidate]]-SamplingData[[#This Row],[Candidate 3]])/(SamplingData[[#Totals],[Winning Candidate]]-SamplingData[[#Totals],[Candidate 3]]), 0)</f>
        <v>0</v>
      </c>
      <c r="S195" s="100">
        <f>IF(AND(SamplingData[[#This Row],[Total]]&lt;&gt; 0, NOT(ISBLANK(SamplingData[[#This Row],[Candidate 4]]))),(SamplingData[[#This Row],[Total]]+SamplingData[[#This Row],[Winning Candidate]]-SamplingData[[#This Row],[Candidate 4]])/(SamplingData[[#Totals],[Winning Candidate]]-SamplingData[[#Totals],[Candidate 4]]), 0)</f>
        <v>0</v>
      </c>
      <c r="T195" s="100">
        <f>IF(AND(SamplingData[[#This Row],[Total]]&lt;&gt; 0, NOT(ISBLANK(SamplingData[[#This Row],[Candidate 5]]))),(SamplingData[[#This Row],[Total]]+SamplingData[[#This Row],[Winning Candidate]]-SamplingData[[#This Row],[Candidate 5]])/(SamplingData[[#Totals],[Winning Candidate]]-SamplingData[[#Totals],[Candidate 5]]), 0)</f>
        <v>0</v>
      </c>
      <c r="U195" s="100">
        <f>IF(AND(SamplingData[[#This Row],[Total]]&lt;&gt; 0, NOT(ISBLANK(SamplingData[[#This Row],[Candidate 6]]))),(SamplingData[[#This Row],[Total]]+SamplingData[[#This Row],[Losing Candidate]]-SamplingData[[#This Row],[Candidate 6]])/(SamplingData[[#Totals],[Winning Candidate]]-SamplingData[[#Totals],[Candidate 6]]), 0)</f>
        <v>0</v>
      </c>
      <c r="V195" s="100">
        <f>IF(AND(SamplingData[[#This Row],[Total]]&lt;&gt; 0, NOT(ISBLANK(SamplingData[[#This Row],[Candidate 7]]))),(SamplingData[[#This Row],[Total]]+SamplingData[[#This Row],[Winning Candidate]]-SamplingData[[#This Row],[Candidate 7]])/(SamplingData[[#Totals],[Winning Candidate]]-SamplingData[[#Totals],[Candidate 7]]), 0)</f>
        <v>0</v>
      </c>
      <c r="W195" s="100">
        <f>IF(AND(SamplingData[[#This Row],[Total]]&lt;&gt; 0, NOT(ISBLANK(SamplingData[[#This Row],[Candidate 8]]))),(SamplingData[[#This Row],[Total]]+SamplingData[[#This Row],[Winning Candidate]]-SamplingData[[#This Row],[Candidate 8]])/(SamplingData[[#Totals],[Winning Candidate]]-SamplingData[[#Totals],[Candidate 8]]), 0)</f>
        <v>0</v>
      </c>
      <c r="X1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00">
        <f>MAX(SamplingData[[#This Row],[Error Bound (up) - Max. possible relative overstatement - Losing Candidate]:[Error Bound (up) - Max. possible relative overstatement - Candidate 12]])</f>
        <v>3.1409994660300906E-4</v>
      </c>
      <c r="AC195" s="100">
        <f>IF(SamplingData[[#This Row],[Max Error Bound (up)]] = 0,0,SamplingData[[#This Row],[Max Error Bound (up)]]/SamplingData[[#Totals],[Max Error Bound (up)]])</f>
        <v>1.3460399504657304E-4</v>
      </c>
      <c r="AD195" s="104">
        <f>SUM($AC$5:AC195)</f>
        <v>3.011091369191839E-2</v>
      </c>
      <c r="AE195" s="100" t="str" cm="1">
        <f t="array" ref="AE195">IF(SamplingData[[#This Row],[up/U Selection Probability]] = 0, "Zero", TEXT(SamplingData[[#This Row],[Lower Range]], REPT("0",LEN('General Info'!$B$42))) &amp; " - " &amp; TEXT(SamplingData[[#This Row],[Upper Range]], REPT("0",LEN('General Info'!$B$42))))</f>
        <v>02998 - 03010</v>
      </c>
      <c r="AF195" s="100">
        <f>SamplingData[[#This Row],[Upper Range]]-SamplingData[[#This Row],[Span]]</f>
        <v>2997.6309696871817</v>
      </c>
      <c r="AG195" s="100">
        <f>IF(ISNUMBER('General Info'!$B$42), ((SamplingData[[#This Row],[up/U Selection Probability]]) * 'General Info'!$B$44) - 1, 0)</f>
        <v>12.460399504657303</v>
      </c>
      <c r="AH195" s="100">
        <f>IF(ISNUMBER('General Info'!$B$42), (SamplingData[[#This Row],[Running (cumulative) sum]] * ('General Info'!$B$42 -'General Info'!$B$43 + 1)) + 'General Info'!$B$43 - 1, 0)</f>
        <v>3010.091369191839</v>
      </c>
      <c r="AI195" s="100" t="str">
        <f>IF(ISERROR(MATCH(SamplingData[[#This Row],[Batch by Type (p)]],SelectedPrecincts[Batch Name], 0)), "", INDEX(SelectedPrecincts[Draw], MATCH(SamplingData[[#This Row],[Batch by Type (p)]],SelectedPrecincts[Batch Name], 0)))</f>
        <v/>
      </c>
      <c r="AJ195" s="101">
        <f>IF(COUNTIF(SelectedPrecincts[Batch Name],SamplingData[[#This Row],[Batch by Type (p)]]) &lt;&gt; 0, COUNTIF(SelectedPrecincts[Batch Name],SamplingData[[#This Row],[Batch by Type (p)]]), 0)</f>
        <v>0</v>
      </c>
    </row>
    <row r="196" spans="1:36" ht="15" customHeight="1" x14ac:dyDescent="0.35">
      <c r="A196" s="98" t="s">
        <v>408</v>
      </c>
      <c r="B196" s="98">
        <v>9</v>
      </c>
      <c r="C196" s="98">
        <v>0</v>
      </c>
      <c r="D196" s="93"/>
      <c r="E196" s="93"/>
      <c r="F196" s="93"/>
      <c r="G196" s="97"/>
      <c r="H196" s="97"/>
      <c r="I196" s="93"/>
      <c r="J196" s="93"/>
      <c r="K196" s="93"/>
      <c r="L196" s="93"/>
      <c r="M196" s="93"/>
      <c r="N196" s="98">
        <v>0</v>
      </c>
      <c r="O196" s="98">
        <v>0</v>
      </c>
      <c r="P196" s="99">
        <f>SUM(SamplingData[[#This Row],[Winning Candidate]:[Under Votes]])</f>
        <v>9</v>
      </c>
      <c r="Q196"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196" s="100">
        <f>IF(AND(SamplingData[[#This Row],[Total]]&lt;&gt; 0, NOT(ISBLANK(SamplingData[[#This Row],[Candidate 3]]))),(SamplingData[[#This Row],[Total]]+SamplingData[[#This Row],[Winning Candidate]]-SamplingData[[#This Row],[Candidate 3]])/(SamplingData[[#Totals],[Winning Candidate]]-SamplingData[[#Totals],[Candidate 3]]), 0)</f>
        <v>0</v>
      </c>
      <c r="S196" s="100">
        <f>IF(AND(SamplingData[[#This Row],[Total]]&lt;&gt; 0, NOT(ISBLANK(SamplingData[[#This Row],[Candidate 4]]))),(SamplingData[[#This Row],[Total]]+SamplingData[[#This Row],[Winning Candidate]]-SamplingData[[#This Row],[Candidate 4]])/(SamplingData[[#Totals],[Winning Candidate]]-SamplingData[[#Totals],[Candidate 4]]), 0)</f>
        <v>0</v>
      </c>
      <c r="T196" s="100">
        <f>IF(AND(SamplingData[[#This Row],[Total]]&lt;&gt; 0, NOT(ISBLANK(SamplingData[[#This Row],[Candidate 5]]))),(SamplingData[[#This Row],[Total]]+SamplingData[[#This Row],[Winning Candidate]]-SamplingData[[#This Row],[Candidate 5]])/(SamplingData[[#Totals],[Winning Candidate]]-SamplingData[[#Totals],[Candidate 5]]), 0)</f>
        <v>0</v>
      </c>
      <c r="U196" s="100">
        <f>IF(AND(SamplingData[[#This Row],[Total]]&lt;&gt; 0, NOT(ISBLANK(SamplingData[[#This Row],[Candidate 6]]))),(SamplingData[[#This Row],[Total]]+SamplingData[[#This Row],[Losing Candidate]]-SamplingData[[#This Row],[Candidate 6]])/(SamplingData[[#Totals],[Winning Candidate]]-SamplingData[[#Totals],[Candidate 6]]), 0)</f>
        <v>0</v>
      </c>
      <c r="V196" s="100">
        <f>IF(AND(SamplingData[[#This Row],[Total]]&lt;&gt; 0, NOT(ISBLANK(SamplingData[[#This Row],[Candidate 7]]))),(SamplingData[[#This Row],[Total]]+SamplingData[[#This Row],[Winning Candidate]]-SamplingData[[#This Row],[Candidate 7]])/(SamplingData[[#Totals],[Winning Candidate]]-SamplingData[[#Totals],[Candidate 7]]), 0)</f>
        <v>0</v>
      </c>
      <c r="W196" s="100">
        <f>IF(AND(SamplingData[[#This Row],[Total]]&lt;&gt; 0, NOT(ISBLANK(SamplingData[[#This Row],[Candidate 8]]))),(SamplingData[[#This Row],[Total]]+SamplingData[[#This Row],[Winning Candidate]]-SamplingData[[#This Row],[Candidate 8]])/(SamplingData[[#Totals],[Winning Candidate]]-SamplingData[[#Totals],[Candidate 8]]), 0)</f>
        <v>0</v>
      </c>
      <c r="X1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00">
        <f>MAX(SamplingData[[#This Row],[Error Bound (up) - Max. possible relative overstatement - Losing Candidate]:[Error Bound (up) - Max. possible relative overstatement - Candidate 12]])</f>
        <v>5.6537990388541635E-4</v>
      </c>
      <c r="AC196" s="100">
        <f>IF(SamplingData[[#This Row],[Max Error Bound (up)]] = 0,0,SamplingData[[#This Row],[Max Error Bound (up)]]/SamplingData[[#Totals],[Max Error Bound (up)]])</f>
        <v>2.4228719108383145E-4</v>
      </c>
      <c r="AD196" s="104">
        <f>SUM($AC$5:AC196)</f>
        <v>3.035320088300222E-2</v>
      </c>
      <c r="AE196" s="100" t="str" cm="1">
        <f t="array" ref="AE196">IF(SamplingData[[#This Row],[up/U Selection Probability]] = 0, "Zero", TEXT(SamplingData[[#This Row],[Lower Range]], REPT("0",LEN('General Info'!$B$42))) &amp; " - " &amp; TEXT(SamplingData[[#This Row],[Upper Range]], REPT("0",LEN('General Info'!$B$42))))</f>
        <v>03011 - 03034</v>
      </c>
      <c r="AF196" s="100">
        <f>SamplingData[[#This Row],[Upper Range]]-SamplingData[[#This Row],[Span]]</f>
        <v>3011.0913691918386</v>
      </c>
      <c r="AG196" s="100">
        <f>IF(ISNUMBER('General Info'!$B$42), ((SamplingData[[#This Row],[up/U Selection Probability]]) * 'General Info'!$B$44) - 1, 0)</f>
        <v>23.228719108383146</v>
      </c>
      <c r="AH196" s="100">
        <f>IF(ISNUMBER('General Info'!$B$42), (SamplingData[[#This Row],[Running (cumulative) sum]] * ('General Info'!$B$42 -'General Info'!$B$43 + 1)) + 'General Info'!$B$43 - 1, 0)</f>
        <v>3034.3200883002219</v>
      </c>
      <c r="AI196" s="100" t="str">
        <f>IF(ISERROR(MATCH(SamplingData[[#This Row],[Batch by Type (p)]],SelectedPrecincts[Batch Name], 0)), "", INDEX(SelectedPrecincts[Draw], MATCH(SamplingData[[#This Row],[Batch by Type (p)]],SelectedPrecincts[Batch Name], 0)))</f>
        <v/>
      </c>
      <c r="AJ196" s="101">
        <f>IF(COUNTIF(SelectedPrecincts[Batch Name],SamplingData[[#This Row],[Batch by Type (p)]]) &lt;&gt; 0, COUNTIF(SelectedPrecincts[Batch Name],SamplingData[[#This Row],[Batch by Type (p)]]), 0)</f>
        <v>0</v>
      </c>
    </row>
    <row r="197" spans="1:36" ht="15" customHeight="1" x14ac:dyDescent="0.35">
      <c r="A197" s="98" t="s">
        <v>409</v>
      </c>
      <c r="B197" s="98">
        <v>15</v>
      </c>
      <c r="C197" s="98">
        <v>0</v>
      </c>
      <c r="D197" s="93"/>
      <c r="E197" s="93"/>
      <c r="F197" s="93"/>
      <c r="G197" s="97"/>
      <c r="H197" s="97"/>
      <c r="I197" s="93"/>
      <c r="J197" s="93"/>
      <c r="K197" s="93"/>
      <c r="L197" s="93"/>
      <c r="M197" s="93"/>
      <c r="N197" s="98">
        <v>0</v>
      </c>
      <c r="O197" s="98">
        <v>0</v>
      </c>
      <c r="P197" s="99">
        <f>SUM(SamplingData[[#This Row],[Winning Candidate]:[Under Votes]])</f>
        <v>15</v>
      </c>
      <c r="Q197"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197" s="100">
        <f>IF(AND(SamplingData[[#This Row],[Total]]&lt;&gt; 0, NOT(ISBLANK(SamplingData[[#This Row],[Candidate 3]]))),(SamplingData[[#This Row],[Total]]+SamplingData[[#This Row],[Winning Candidate]]-SamplingData[[#This Row],[Candidate 3]])/(SamplingData[[#Totals],[Winning Candidate]]-SamplingData[[#Totals],[Candidate 3]]), 0)</f>
        <v>0</v>
      </c>
      <c r="S197" s="100">
        <f>IF(AND(SamplingData[[#This Row],[Total]]&lt;&gt; 0, NOT(ISBLANK(SamplingData[[#This Row],[Candidate 4]]))),(SamplingData[[#This Row],[Total]]+SamplingData[[#This Row],[Winning Candidate]]-SamplingData[[#This Row],[Candidate 4]])/(SamplingData[[#Totals],[Winning Candidate]]-SamplingData[[#Totals],[Candidate 4]]), 0)</f>
        <v>0</v>
      </c>
      <c r="T197" s="100">
        <f>IF(AND(SamplingData[[#This Row],[Total]]&lt;&gt; 0, NOT(ISBLANK(SamplingData[[#This Row],[Candidate 5]]))),(SamplingData[[#This Row],[Total]]+SamplingData[[#This Row],[Winning Candidate]]-SamplingData[[#This Row],[Candidate 5]])/(SamplingData[[#Totals],[Winning Candidate]]-SamplingData[[#Totals],[Candidate 5]]), 0)</f>
        <v>0</v>
      </c>
      <c r="U197" s="100">
        <f>IF(AND(SamplingData[[#This Row],[Total]]&lt;&gt; 0, NOT(ISBLANK(SamplingData[[#This Row],[Candidate 6]]))),(SamplingData[[#This Row],[Total]]+SamplingData[[#This Row],[Losing Candidate]]-SamplingData[[#This Row],[Candidate 6]])/(SamplingData[[#Totals],[Winning Candidate]]-SamplingData[[#Totals],[Candidate 6]]), 0)</f>
        <v>0</v>
      </c>
      <c r="V197" s="100">
        <f>IF(AND(SamplingData[[#This Row],[Total]]&lt;&gt; 0, NOT(ISBLANK(SamplingData[[#This Row],[Candidate 7]]))),(SamplingData[[#This Row],[Total]]+SamplingData[[#This Row],[Winning Candidate]]-SamplingData[[#This Row],[Candidate 7]])/(SamplingData[[#Totals],[Winning Candidate]]-SamplingData[[#Totals],[Candidate 7]]), 0)</f>
        <v>0</v>
      </c>
      <c r="W197" s="100">
        <f>IF(AND(SamplingData[[#This Row],[Total]]&lt;&gt; 0, NOT(ISBLANK(SamplingData[[#This Row],[Candidate 8]]))),(SamplingData[[#This Row],[Total]]+SamplingData[[#This Row],[Winning Candidate]]-SamplingData[[#This Row],[Candidate 8]])/(SamplingData[[#Totals],[Winning Candidate]]-SamplingData[[#Totals],[Candidate 8]]), 0)</f>
        <v>0</v>
      </c>
      <c r="X1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00">
        <f>MAX(SamplingData[[#This Row],[Error Bound (up) - Max. possible relative overstatement - Losing Candidate]:[Error Bound (up) - Max. possible relative overstatement - Candidate 12]])</f>
        <v>9.4229983980902718E-4</v>
      </c>
      <c r="AC197" s="100">
        <f>IF(SamplingData[[#This Row],[Max Error Bound (up)]] = 0,0,SamplingData[[#This Row],[Max Error Bound (up)]]/SamplingData[[#Totals],[Max Error Bound (up)]])</f>
        <v>4.0381198513971905E-4</v>
      </c>
      <c r="AD197" s="104">
        <f>SUM($AC$5:AC197)</f>
        <v>3.0757012868141941E-2</v>
      </c>
      <c r="AE197" s="100" t="str" cm="1">
        <f t="array" ref="AE197">IF(SamplingData[[#This Row],[up/U Selection Probability]] = 0, "Zero", TEXT(SamplingData[[#This Row],[Lower Range]], REPT("0",LEN('General Info'!$B$42))) &amp; " - " &amp; TEXT(SamplingData[[#This Row],[Upper Range]], REPT("0",LEN('General Info'!$B$42))))</f>
        <v>03035 - 03075</v>
      </c>
      <c r="AF197" s="100">
        <f>SamplingData[[#This Row],[Upper Range]]-SamplingData[[#This Row],[Span]]</f>
        <v>3035.3200883002223</v>
      </c>
      <c r="AG197" s="100">
        <f>IF(ISNUMBER('General Info'!$B$42), ((SamplingData[[#This Row],[up/U Selection Probability]]) * 'General Info'!$B$44) - 1, 0)</f>
        <v>39.381198513971903</v>
      </c>
      <c r="AH197" s="100">
        <f>IF(ISNUMBER('General Info'!$B$42), (SamplingData[[#This Row],[Running (cumulative) sum]] * ('General Info'!$B$42 -'General Info'!$B$43 + 1)) + 'General Info'!$B$43 - 1, 0)</f>
        <v>3074.7012868141942</v>
      </c>
      <c r="AI197" s="100" t="str">
        <f>IF(ISERROR(MATCH(SamplingData[[#This Row],[Batch by Type (p)]],SelectedPrecincts[Batch Name], 0)), "", INDEX(SelectedPrecincts[Draw], MATCH(SamplingData[[#This Row],[Batch by Type (p)]],SelectedPrecincts[Batch Name], 0)))</f>
        <v/>
      </c>
      <c r="AJ197" s="101">
        <f>IF(COUNTIF(SelectedPrecincts[Batch Name],SamplingData[[#This Row],[Batch by Type (p)]]) &lt;&gt; 0, COUNTIF(SelectedPrecincts[Batch Name],SamplingData[[#This Row],[Batch by Type (p)]]), 0)</f>
        <v>0</v>
      </c>
    </row>
    <row r="198" spans="1:36" ht="15" customHeight="1" x14ac:dyDescent="0.35">
      <c r="A198" s="98" t="s">
        <v>410</v>
      </c>
      <c r="B198" s="98">
        <v>12</v>
      </c>
      <c r="C198" s="98">
        <v>0</v>
      </c>
      <c r="D198" s="93"/>
      <c r="E198" s="93"/>
      <c r="F198" s="93"/>
      <c r="G198" s="97"/>
      <c r="H198" s="97"/>
      <c r="I198" s="93"/>
      <c r="J198" s="93"/>
      <c r="K198" s="93"/>
      <c r="L198" s="93"/>
      <c r="M198" s="93"/>
      <c r="N198" s="98">
        <v>0</v>
      </c>
      <c r="O198" s="98">
        <v>0</v>
      </c>
      <c r="P198" s="99">
        <f>SUM(SamplingData[[#This Row],[Winning Candidate]:[Under Votes]])</f>
        <v>12</v>
      </c>
      <c r="Q198"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198" s="100">
        <f>IF(AND(SamplingData[[#This Row],[Total]]&lt;&gt; 0, NOT(ISBLANK(SamplingData[[#This Row],[Candidate 3]]))),(SamplingData[[#This Row],[Total]]+SamplingData[[#This Row],[Winning Candidate]]-SamplingData[[#This Row],[Candidate 3]])/(SamplingData[[#Totals],[Winning Candidate]]-SamplingData[[#Totals],[Candidate 3]]), 0)</f>
        <v>0</v>
      </c>
      <c r="S198" s="100">
        <f>IF(AND(SamplingData[[#This Row],[Total]]&lt;&gt; 0, NOT(ISBLANK(SamplingData[[#This Row],[Candidate 4]]))),(SamplingData[[#This Row],[Total]]+SamplingData[[#This Row],[Winning Candidate]]-SamplingData[[#This Row],[Candidate 4]])/(SamplingData[[#Totals],[Winning Candidate]]-SamplingData[[#Totals],[Candidate 4]]), 0)</f>
        <v>0</v>
      </c>
      <c r="T198" s="100">
        <f>IF(AND(SamplingData[[#This Row],[Total]]&lt;&gt; 0, NOT(ISBLANK(SamplingData[[#This Row],[Candidate 5]]))),(SamplingData[[#This Row],[Total]]+SamplingData[[#This Row],[Winning Candidate]]-SamplingData[[#This Row],[Candidate 5]])/(SamplingData[[#Totals],[Winning Candidate]]-SamplingData[[#Totals],[Candidate 5]]), 0)</f>
        <v>0</v>
      </c>
      <c r="U198" s="100">
        <f>IF(AND(SamplingData[[#This Row],[Total]]&lt;&gt; 0, NOT(ISBLANK(SamplingData[[#This Row],[Candidate 6]]))),(SamplingData[[#This Row],[Total]]+SamplingData[[#This Row],[Losing Candidate]]-SamplingData[[#This Row],[Candidate 6]])/(SamplingData[[#Totals],[Winning Candidate]]-SamplingData[[#Totals],[Candidate 6]]), 0)</f>
        <v>0</v>
      </c>
      <c r="V198" s="100">
        <f>IF(AND(SamplingData[[#This Row],[Total]]&lt;&gt; 0, NOT(ISBLANK(SamplingData[[#This Row],[Candidate 7]]))),(SamplingData[[#This Row],[Total]]+SamplingData[[#This Row],[Winning Candidate]]-SamplingData[[#This Row],[Candidate 7]])/(SamplingData[[#Totals],[Winning Candidate]]-SamplingData[[#Totals],[Candidate 7]]), 0)</f>
        <v>0</v>
      </c>
      <c r="W198" s="100">
        <f>IF(AND(SamplingData[[#This Row],[Total]]&lt;&gt; 0, NOT(ISBLANK(SamplingData[[#This Row],[Candidate 8]]))),(SamplingData[[#This Row],[Total]]+SamplingData[[#This Row],[Winning Candidate]]-SamplingData[[#This Row],[Candidate 8]])/(SamplingData[[#Totals],[Winning Candidate]]-SamplingData[[#Totals],[Candidate 8]]), 0)</f>
        <v>0</v>
      </c>
      <c r="X1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00">
        <f>MAX(SamplingData[[#This Row],[Error Bound (up) - Max. possible relative overstatement - Losing Candidate]:[Error Bound (up) - Max. possible relative overstatement - Candidate 12]])</f>
        <v>7.5383987184722177E-4</v>
      </c>
      <c r="AC198" s="100">
        <f>IF(SamplingData[[#This Row],[Max Error Bound (up)]] = 0,0,SamplingData[[#This Row],[Max Error Bound (up)]]/SamplingData[[#Totals],[Max Error Bound (up)]])</f>
        <v>3.2304958811177527E-4</v>
      </c>
      <c r="AD198" s="104">
        <f>SUM($AC$5:AC198)</f>
        <v>3.1080062456253717E-2</v>
      </c>
      <c r="AE198" s="100" t="str" cm="1">
        <f t="array" ref="AE198">IF(SamplingData[[#This Row],[up/U Selection Probability]] = 0, "Zero", TEXT(SamplingData[[#This Row],[Lower Range]], REPT("0",LEN('General Info'!$B$42))) &amp; " - " &amp; TEXT(SamplingData[[#This Row],[Upper Range]], REPT("0",LEN('General Info'!$B$42))))</f>
        <v>03076 - 03107</v>
      </c>
      <c r="AF198" s="100">
        <f>SamplingData[[#This Row],[Upper Range]]-SamplingData[[#This Row],[Span]]</f>
        <v>3075.7012868141942</v>
      </c>
      <c r="AG198" s="100">
        <f>IF(ISNUMBER('General Info'!$B$42), ((SamplingData[[#This Row],[up/U Selection Probability]]) * 'General Info'!$B$44) - 1, 0)</f>
        <v>31.304958811177528</v>
      </c>
      <c r="AH198" s="100">
        <f>IF(ISNUMBER('General Info'!$B$42), (SamplingData[[#This Row],[Running (cumulative) sum]] * ('General Info'!$B$42 -'General Info'!$B$43 + 1)) + 'General Info'!$B$43 - 1, 0)</f>
        <v>3107.0062456253718</v>
      </c>
      <c r="AI198" s="100" t="str">
        <f>IF(ISERROR(MATCH(SamplingData[[#This Row],[Batch by Type (p)]],SelectedPrecincts[Batch Name], 0)), "", INDEX(SelectedPrecincts[Draw], MATCH(SamplingData[[#This Row],[Batch by Type (p)]],SelectedPrecincts[Batch Name], 0)))</f>
        <v/>
      </c>
      <c r="AJ198" s="101">
        <f>IF(COUNTIF(SelectedPrecincts[Batch Name],SamplingData[[#This Row],[Batch by Type (p)]]) &lt;&gt; 0, COUNTIF(SelectedPrecincts[Batch Name],SamplingData[[#This Row],[Batch by Type (p)]]), 0)</f>
        <v>0</v>
      </c>
    </row>
    <row r="199" spans="1:36" ht="15" customHeight="1" x14ac:dyDescent="0.35">
      <c r="A199" s="98" t="s">
        <v>411</v>
      </c>
      <c r="B199" s="98">
        <v>6</v>
      </c>
      <c r="C199" s="98">
        <v>0</v>
      </c>
      <c r="D199" s="93"/>
      <c r="E199" s="93"/>
      <c r="F199" s="93"/>
      <c r="G199" s="97"/>
      <c r="H199" s="97"/>
      <c r="I199" s="93"/>
      <c r="J199" s="93"/>
      <c r="K199" s="93"/>
      <c r="L199" s="93"/>
      <c r="M199" s="93"/>
      <c r="N199" s="98">
        <v>0</v>
      </c>
      <c r="O199" s="98">
        <v>0</v>
      </c>
      <c r="P199" s="99">
        <f>SUM(SamplingData[[#This Row],[Winning Candidate]:[Under Votes]])</f>
        <v>6</v>
      </c>
      <c r="Q199"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199" s="100">
        <f>IF(AND(SamplingData[[#This Row],[Total]]&lt;&gt; 0, NOT(ISBLANK(SamplingData[[#This Row],[Candidate 3]]))),(SamplingData[[#This Row],[Total]]+SamplingData[[#This Row],[Winning Candidate]]-SamplingData[[#This Row],[Candidate 3]])/(SamplingData[[#Totals],[Winning Candidate]]-SamplingData[[#Totals],[Candidate 3]]), 0)</f>
        <v>0</v>
      </c>
      <c r="S199" s="100">
        <f>IF(AND(SamplingData[[#This Row],[Total]]&lt;&gt; 0, NOT(ISBLANK(SamplingData[[#This Row],[Candidate 4]]))),(SamplingData[[#This Row],[Total]]+SamplingData[[#This Row],[Winning Candidate]]-SamplingData[[#This Row],[Candidate 4]])/(SamplingData[[#Totals],[Winning Candidate]]-SamplingData[[#Totals],[Candidate 4]]), 0)</f>
        <v>0</v>
      </c>
      <c r="T199" s="100">
        <f>IF(AND(SamplingData[[#This Row],[Total]]&lt;&gt; 0, NOT(ISBLANK(SamplingData[[#This Row],[Candidate 5]]))),(SamplingData[[#This Row],[Total]]+SamplingData[[#This Row],[Winning Candidate]]-SamplingData[[#This Row],[Candidate 5]])/(SamplingData[[#Totals],[Winning Candidate]]-SamplingData[[#Totals],[Candidate 5]]), 0)</f>
        <v>0</v>
      </c>
      <c r="U199" s="100">
        <f>IF(AND(SamplingData[[#This Row],[Total]]&lt;&gt; 0, NOT(ISBLANK(SamplingData[[#This Row],[Candidate 6]]))),(SamplingData[[#This Row],[Total]]+SamplingData[[#This Row],[Losing Candidate]]-SamplingData[[#This Row],[Candidate 6]])/(SamplingData[[#Totals],[Winning Candidate]]-SamplingData[[#Totals],[Candidate 6]]), 0)</f>
        <v>0</v>
      </c>
      <c r="V199" s="100">
        <f>IF(AND(SamplingData[[#This Row],[Total]]&lt;&gt; 0, NOT(ISBLANK(SamplingData[[#This Row],[Candidate 7]]))),(SamplingData[[#This Row],[Total]]+SamplingData[[#This Row],[Winning Candidate]]-SamplingData[[#This Row],[Candidate 7]])/(SamplingData[[#Totals],[Winning Candidate]]-SamplingData[[#Totals],[Candidate 7]]), 0)</f>
        <v>0</v>
      </c>
      <c r="W199" s="100">
        <f>IF(AND(SamplingData[[#This Row],[Total]]&lt;&gt; 0, NOT(ISBLANK(SamplingData[[#This Row],[Candidate 8]]))),(SamplingData[[#This Row],[Total]]+SamplingData[[#This Row],[Winning Candidate]]-SamplingData[[#This Row],[Candidate 8]])/(SamplingData[[#Totals],[Winning Candidate]]-SamplingData[[#Totals],[Candidate 8]]), 0)</f>
        <v>0</v>
      </c>
      <c r="X1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00">
        <f>MAX(SamplingData[[#This Row],[Error Bound (up) - Max. possible relative overstatement - Losing Candidate]:[Error Bound (up) - Max. possible relative overstatement - Candidate 12]])</f>
        <v>3.7691993592361088E-4</v>
      </c>
      <c r="AC199" s="100">
        <f>IF(SamplingData[[#This Row],[Max Error Bound (up)]] = 0,0,SamplingData[[#This Row],[Max Error Bound (up)]]/SamplingData[[#Totals],[Max Error Bound (up)]])</f>
        <v>1.6152479405588763E-4</v>
      </c>
      <c r="AD199" s="104">
        <f>SUM($AC$5:AC199)</f>
        <v>3.1241587250309604E-2</v>
      </c>
      <c r="AE199" s="100" t="str" cm="1">
        <f t="array" ref="AE199">IF(SamplingData[[#This Row],[up/U Selection Probability]] = 0, "Zero", TEXT(SamplingData[[#This Row],[Lower Range]], REPT("0",LEN('General Info'!$B$42))) &amp; " - " &amp; TEXT(SamplingData[[#This Row],[Upper Range]], REPT("0",LEN('General Info'!$B$42))))</f>
        <v>03108 - 03123</v>
      </c>
      <c r="AF199" s="100">
        <f>SamplingData[[#This Row],[Upper Range]]-SamplingData[[#This Row],[Span]]</f>
        <v>3108.0062456253718</v>
      </c>
      <c r="AG199" s="100">
        <f>IF(ISNUMBER('General Info'!$B$42), ((SamplingData[[#This Row],[up/U Selection Probability]]) * 'General Info'!$B$44) - 1, 0)</f>
        <v>15.152479405588764</v>
      </c>
      <c r="AH199" s="100">
        <f>IF(ISNUMBER('General Info'!$B$42), (SamplingData[[#This Row],[Running (cumulative) sum]] * ('General Info'!$B$42 -'General Info'!$B$43 + 1)) + 'General Info'!$B$43 - 1, 0)</f>
        <v>3123.1587250309603</v>
      </c>
      <c r="AI199" s="100" t="str">
        <f>IF(ISERROR(MATCH(SamplingData[[#This Row],[Batch by Type (p)]],SelectedPrecincts[Batch Name], 0)), "", INDEX(SelectedPrecincts[Draw], MATCH(SamplingData[[#This Row],[Batch by Type (p)]],SelectedPrecincts[Batch Name], 0)))</f>
        <v/>
      </c>
      <c r="AJ199" s="101">
        <f>IF(COUNTIF(SelectedPrecincts[Batch Name],SamplingData[[#This Row],[Batch by Type (p)]]) &lt;&gt; 0, COUNTIF(SelectedPrecincts[Batch Name],SamplingData[[#This Row],[Batch by Type (p)]]), 0)</f>
        <v>0</v>
      </c>
    </row>
    <row r="200" spans="1:36" ht="15" customHeight="1" x14ac:dyDescent="0.35">
      <c r="A200" s="98" t="s">
        <v>412</v>
      </c>
      <c r="B200" s="98">
        <v>20</v>
      </c>
      <c r="C200" s="98">
        <v>3</v>
      </c>
      <c r="D200" s="93"/>
      <c r="E200" s="93"/>
      <c r="F200" s="93"/>
      <c r="G200" s="97"/>
      <c r="H200" s="97"/>
      <c r="I200" s="93"/>
      <c r="J200" s="93"/>
      <c r="K200" s="93"/>
      <c r="L200" s="93"/>
      <c r="M200" s="93"/>
      <c r="N200" s="98">
        <v>0</v>
      </c>
      <c r="O200" s="98">
        <v>1</v>
      </c>
      <c r="P200" s="99">
        <f>SUM(SamplingData[[#This Row],[Winning Candidate]:[Under Votes]])</f>
        <v>24</v>
      </c>
      <c r="Q200" s="100">
        <f>IF(AND(SamplingData[[#This Row],[Total]]&lt;&gt; 0, NOT(ISBLANK(SamplingData[[#This Row],[Losing Candidate]]))),(SamplingData[[#This Row],[Total]]+SamplingData[[#This Row],[Winning Candidate]]-SamplingData[[#This Row],[Losing Candidate]])/(SamplingData[[#Totals],[Winning Candidate]]-SamplingData[[#Totals],[Losing Candidate]]), 0)</f>
        <v>1.2878097810723372E-3</v>
      </c>
      <c r="R200" s="100">
        <f>IF(AND(SamplingData[[#This Row],[Total]]&lt;&gt; 0, NOT(ISBLANK(SamplingData[[#This Row],[Candidate 3]]))),(SamplingData[[#This Row],[Total]]+SamplingData[[#This Row],[Winning Candidate]]-SamplingData[[#This Row],[Candidate 3]])/(SamplingData[[#Totals],[Winning Candidate]]-SamplingData[[#Totals],[Candidate 3]]), 0)</f>
        <v>0</v>
      </c>
      <c r="S200" s="100">
        <f>IF(AND(SamplingData[[#This Row],[Total]]&lt;&gt; 0, NOT(ISBLANK(SamplingData[[#This Row],[Candidate 4]]))),(SamplingData[[#This Row],[Total]]+SamplingData[[#This Row],[Winning Candidate]]-SamplingData[[#This Row],[Candidate 4]])/(SamplingData[[#Totals],[Winning Candidate]]-SamplingData[[#Totals],[Candidate 4]]), 0)</f>
        <v>0</v>
      </c>
      <c r="T200" s="100">
        <f>IF(AND(SamplingData[[#This Row],[Total]]&lt;&gt; 0, NOT(ISBLANK(SamplingData[[#This Row],[Candidate 5]]))),(SamplingData[[#This Row],[Total]]+SamplingData[[#This Row],[Winning Candidate]]-SamplingData[[#This Row],[Candidate 5]])/(SamplingData[[#Totals],[Winning Candidate]]-SamplingData[[#Totals],[Candidate 5]]), 0)</f>
        <v>0</v>
      </c>
      <c r="U200" s="100">
        <f>IF(AND(SamplingData[[#This Row],[Total]]&lt;&gt; 0, NOT(ISBLANK(SamplingData[[#This Row],[Candidate 6]]))),(SamplingData[[#This Row],[Total]]+SamplingData[[#This Row],[Losing Candidate]]-SamplingData[[#This Row],[Candidate 6]])/(SamplingData[[#Totals],[Winning Candidate]]-SamplingData[[#Totals],[Candidate 6]]), 0)</f>
        <v>0</v>
      </c>
      <c r="V200" s="100">
        <f>IF(AND(SamplingData[[#This Row],[Total]]&lt;&gt; 0, NOT(ISBLANK(SamplingData[[#This Row],[Candidate 7]]))),(SamplingData[[#This Row],[Total]]+SamplingData[[#This Row],[Winning Candidate]]-SamplingData[[#This Row],[Candidate 7]])/(SamplingData[[#Totals],[Winning Candidate]]-SamplingData[[#Totals],[Candidate 7]]), 0)</f>
        <v>0</v>
      </c>
      <c r="W200" s="100">
        <f>IF(AND(SamplingData[[#This Row],[Total]]&lt;&gt; 0, NOT(ISBLANK(SamplingData[[#This Row],[Candidate 8]]))),(SamplingData[[#This Row],[Total]]+SamplingData[[#This Row],[Winning Candidate]]-SamplingData[[#This Row],[Candidate 8]])/(SamplingData[[#Totals],[Winning Candidate]]-SamplingData[[#Totals],[Candidate 8]]), 0)</f>
        <v>0</v>
      </c>
      <c r="X2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00">
        <f>MAX(SamplingData[[#This Row],[Error Bound (up) - Max. possible relative overstatement - Losing Candidate]:[Error Bound (up) - Max. possible relative overstatement - Candidate 12]])</f>
        <v>1.2878097810723372E-3</v>
      </c>
      <c r="AC200" s="100">
        <f>IF(SamplingData[[#This Row],[Max Error Bound (up)]] = 0,0,SamplingData[[#This Row],[Max Error Bound (up)]]/SamplingData[[#Totals],[Max Error Bound (up)]])</f>
        <v>5.5187637969094944E-4</v>
      </c>
      <c r="AD200" s="104">
        <f>SUM($AC$5:AC200)</f>
        <v>3.1793463630000553E-2</v>
      </c>
      <c r="AE200" s="100" t="str" cm="1">
        <f t="array" ref="AE200">IF(SamplingData[[#This Row],[up/U Selection Probability]] = 0, "Zero", TEXT(SamplingData[[#This Row],[Lower Range]], REPT("0",LEN('General Info'!$B$42))) &amp; " - " &amp; TEXT(SamplingData[[#This Row],[Upper Range]], REPT("0",LEN('General Info'!$B$42))))</f>
        <v>03124 - 03178</v>
      </c>
      <c r="AF200" s="100">
        <f>SamplingData[[#This Row],[Upper Range]]-SamplingData[[#This Row],[Span]]</f>
        <v>3124.1587250309603</v>
      </c>
      <c r="AG200" s="100">
        <f>IF(ISNUMBER('General Info'!$B$42), ((SamplingData[[#This Row],[up/U Selection Probability]]) * 'General Info'!$B$44) - 1, 0)</f>
        <v>54.187637969094943</v>
      </c>
      <c r="AH200" s="100">
        <f>IF(ISNUMBER('General Info'!$B$42), (SamplingData[[#This Row],[Running (cumulative) sum]] * ('General Info'!$B$42 -'General Info'!$B$43 + 1)) + 'General Info'!$B$43 - 1, 0)</f>
        <v>3178.3463630000551</v>
      </c>
      <c r="AI200" s="100" t="str">
        <f>IF(ISERROR(MATCH(SamplingData[[#This Row],[Batch by Type (p)]],SelectedPrecincts[Batch Name], 0)), "", INDEX(SelectedPrecincts[Draw], MATCH(SamplingData[[#This Row],[Batch by Type (p)]],SelectedPrecincts[Batch Name], 0)))</f>
        <v/>
      </c>
      <c r="AJ200" s="101">
        <f>IF(COUNTIF(SelectedPrecincts[Batch Name],SamplingData[[#This Row],[Batch by Type (p)]]) &lt;&gt; 0, COUNTIF(SelectedPrecincts[Batch Name],SamplingData[[#This Row],[Batch by Type (p)]]), 0)</f>
        <v>0</v>
      </c>
    </row>
    <row r="201" spans="1:36" ht="15" customHeight="1" x14ac:dyDescent="0.35">
      <c r="A201" s="98" t="s">
        <v>413</v>
      </c>
      <c r="B201" s="98">
        <v>4</v>
      </c>
      <c r="C201" s="98">
        <v>0</v>
      </c>
      <c r="D201" s="93"/>
      <c r="E201" s="93"/>
      <c r="F201" s="93"/>
      <c r="G201" s="97"/>
      <c r="H201" s="97"/>
      <c r="I201" s="93"/>
      <c r="J201" s="93"/>
      <c r="K201" s="93"/>
      <c r="L201" s="93"/>
      <c r="M201" s="93"/>
      <c r="N201" s="98">
        <v>0</v>
      </c>
      <c r="O201" s="98">
        <v>0</v>
      </c>
      <c r="P201" s="99">
        <f>SUM(SamplingData[[#This Row],[Winning Candidate]:[Under Votes]])</f>
        <v>4</v>
      </c>
      <c r="Q201"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201" s="100">
        <f>IF(AND(SamplingData[[#This Row],[Total]]&lt;&gt; 0, NOT(ISBLANK(SamplingData[[#This Row],[Candidate 3]]))),(SamplingData[[#This Row],[Total]]+SamplingData[[#This Row],[Winning Candidate]]-SamplingData[[#This Row],[Candidate 3]])/(SamplingData[[#Totals],[Winning Candidate]]-SamplingData[[#Totals],[Candidate 3]]), 0)</f>
        <v>0</v>
      </c>
      <c r="S201" s="100">
        <f>IF(AND(SamplingData[[#This Row],[Total]]&lt;&gt; 0, NOT(ISBLANK(SamplingData[[#This Row],[Candidate 4]]))),(SamplingData[[#This Row],[Total]]+SamplingData[[#This Row],[Winning Candidate]]-SamplingData[[#This Row],[Candidate 4]])/(SamplingData[[#Totals],[Winning Candidate]]-SamplingData[[#Totals],[Candidate 4]]), 0)</f>
        <v>0</v>
      </c>
      <c r="T201" s="100">
        <f>IF(AND(SamplingData[[#This Row],[Total]]&lt;&gt; 0, NOT(ISBLANK(SamplingData[[#This Row],[Candidate 5]]))),(SamplingData[[#This Row],[Total]]+SamplingData[[#This Row],[Winning Candidate]]-SamplingData[[#This Row],[Candidate 5]])/(SamplingData[[#Totals],[Winning Candidate]]-SamplingData[[#Totals],[Candidate 5]]), 0)</f>
        <v>0</v>
      </c>
      <c r="U201" s="100">
        <f>IF(AND(SamplingData[[#This Row],[Total]]&lt;&gt; 0, NOT(ISBLANK(SamplingData[[#This Row],[Candidate 6]]))),(SamplingData[[#This Row],[Total]]+SamplingData[[#This Row],[Losing Candidate]]-SamplingData[[#This Row],[Candidate 6]])/(SamplingData[[#Totals],[Winning Candidate]]-SamplingData[[#Totals],[Candidate 6]]), 0)</f>
        <v>0</v>
      </c>
      <c r="V201" s="100">
        <f>IF(AND(SamplingData[[#This Row],[Total]]&lt;&gt; 0, NOT(ISBLANK(SamplingData[[#This Row],[Candidate 7]]))),(SamplingData[[#This Row],[Total]]+SamplingData[[#This Row],[Winning Candidate]]-SamplingData[[#This Row],[Candidate 7]])/(SamplingData[[#Totals],[Winning Candidate]]-SamplingData[[#Totals],[Candidate 7]]), 0)</f>
        <v>0</v>
      </c>
      <c r="W201" s="100">
        <f>IF(AND(SamplingData[[#This Row],[Total]]&lt;&gt; 0, NOT(ISBLANK(SamplingData[[#This Row],[Candidate 8]]))),(SamplingData[[#This Row],[Total]]+SamplingData[[#This Row],[Winning Candidate]]-SamplingData[[#This Row],[Candidate 8]])/(SamplingData[[#Totals],[Winning Candidate]]-SamplingData[[#Totals],[Candidate 8]]), 0)</f>
        <v>0</v>
      </c>
      <c r="X2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00">
        <f>MAX(SamplingData[[#This Row],[Error Bound (up) - Max. possible relative overstatement - Losing Candidate]:[Error Bound (up) - Max. possible relative overstatement - Candidate 12]])</f>
        <v>2.5127995728240724E-4</v>
      </c>
      <c r="AC201" s="100">
        <f>IF(SamplingData[[#This Row],[Max Error Bound (up)]] = 0,0,SamplingData[[#This Row],[Max Error Bound (up)]]/SamplingData[[#Totals],[Max Error Bound (up)]])</f>
        <v>1.0768319603725841E-4</v>
      </c>
      <c r="AD201" s="104">
        <f>SUM($AC$5:AC201)</f>
        <v>3.1901146826037813E-2</v>
      </c>
      <c r="AE201" s="100" t="str" cm="1">
        <f t="array" ref="AE201">IF(SamplingData[[#This Row],[up/U Selection Probability]] = 0, "Zero", TEXT(SamplingData[[#This Row],[Lower Range]], REPT("0",LEN('General Info'!$B$42))) &amp; " - " &amp; TEXT(SamplingData[[#This Row],[Upper Range]], REPT("0",LEN('General Info'!$B$42))))</f>
        <v>03179 - 03189</v>
      </c>
      <c r="AF201" s="100">
        <f>SamplingData[[#This Row],[Upper Range]]-SamplingData[[#This Row],[Span]]</f>
        <v>3179.3463630000551</v>
      </c>
      <c r="AG201" s="100">
        <f>IF(ISNUMBER('General Info'!$B$42), ((SamplingData[[#This Row],[up/U Selection Probability]]) * 'General Info'!$B$44) - 1, 0)</f>
        <v>9.7683196037258408</v>
      </c>
      <c r="AH201" s="100">
        <f>IF(ISNUMBER('General Info'!$B$42), (SamplingData[[#This Row],[Running (cumulative) sum]] * ('General Info'!$B$42 -'General Info'!$B$43 + 1)) + 'General Info'!$B$43 - 1, 0)</f>
        <v>3189.1146826037811</v>
      </c>
      <c r="AI201" s="100" t="str">
        <f>IF(ISERROR(MATCH(SamplingData[[#This Row],[Batch by Type (p)]],SelectedPrecincts[Batch Name], 0)), "", INDEX(SelectedPrecincts[Draw], MATCH(SamplingData[[#This Row],[Batch by Type (p)]],SelectedPrecincts[Batch Name], 0)))</f>
        <v/>
      </c>
      <c r="AJ201" s="101">
        <f>IF(COUNTIF(SelectedPrecincts[Batch Name],SamplingData[[#This Row],[Batch by Type (p)]]) &lt;&gt; 0, COUNTIF(SelectedPrecincts[Batch Name],SamplingData[[#This Row],[Batch by Type (p)]]), 0)</f>
        <v>0</v>
      </c>
    </row>
    <row r="202" spans="1:36" ht="15" customHeight="1" x14ac:dyDescent="0.35">
      <c r="A202" s="98" t="s">
        <v>414</v>
      </c>
      <c r="B202" s="98">
        <v>5</v>
      </c>
      <c r="C202" s="98">
        <v>0</v>
      </c>
      <c r="D202" s="93"/>
      <c r="E202" s="93"/>
      <c r="F202" s="93"/>
      <c r="G202" s="97"/>
      <c r="H202" s="97"/>
      <c r="I202" s="93"/>
      <c r="J202" s="93"/>
      <c r="K202" s="93"/>
      <c r="L202" s="93"/>
      <c r="M202" s="93"/>
      <c r="N202" s="98">
        <v>0</v>
      </c>
      <c r="O202" s="98">
        <v>0</v>
      </c>
      <c r="P202" s="99">
        <f>SUM(SamplingData[[#This Row],[Winning Candidate]:[Under Votes]])</f>
        <v>5</v>
      </c>
      <c r="Q202"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202" s="100">
        <f>IF(AND(SamplingData[[#This Row],[Total]]&lt;&gt; 0, NOT(ISBLANK(SamplingData[[#This Row],[Candidate 3]]))),(SamplingData[[#This Row],[Total]]+SamplingData[[#This Row],[Winning Candidate]]-SamplingData[[#This Row],[Candidate 3]])/(SamplingData[[#Totals],[Winning Candidate]]-SamplingData[[#Totals],[Candidate 3]]), 0)</f>
        <v>0</v>
      </c>
      <c r="S202" s="100">
        <f>IF(AND(SamplingData[[#This Row],[Total]]&lt;&gt; 0, NOT(ISBLANK(SamplingData[[#This Row],[Candidate 4]]))),(SamplingData[[#This Row],[Total]]+SamplingData[[#This Row],[Winning Candidate]]-SamplingData[[#This Row],[Candidate 4]])/(SamplingData[[#Totals],[Winning Candidate]]-SamplingData[[#Totals],[Candidate 4]]), 0)</f>
        <v>0</v>
      </c>
      <c r="T202" s="100">
        <f>IF(AND(SamplingData[[#This Row],[Total]]&lt;&gt; 0, NOT(ISBLANK(SamplingData[[#This Row],[Candidate 5]]))),(SamplingData[[#This Row],[Total]]+SamplingData[[#This Row],[Winning Candidate]]-SamplingData[[#This Row],[Candidate 5]])/(SamplingData[[#Totals],[Winning Candidate]]-SamplingData[[#Totals],[Candidate 5]]), 0)</f>
        <v>0</v>
      </c>
      <c r="U202" s="100">
        <f>IF(AND(SamplingData[[#This Row],[Total]]&lt;&gt; 0, NOT(ISBLANK(SamplingData[[#This Row],[Candidate 6]]))),(SamplingData[[#This Row],[Total]]+SamplingData[[#This Row],[Losing Candidate]]-SamplingData[[#This Row],[Candidate 6]])/(SamplingData[[#Totals],[Winning Candidate]]-SamplingData[[#Totals],[Candidate 6]]), 0)</f>
        <v>0</v>
      </c>
      <c r="V202" s="100">
        <f>IF(AND(SamplingData[[#This Row],[Total]]&lt;&gt; 0, NOT(ISBLANK(SamplingData[[#This Row],[Candidate 7]]))),(SamplingData[[#This Row],[Total]]+SamplingData[[#This Row],[Winning Candidate]]-SamplingData[[#This Row],[Candidate 7]])/(SamplingData[[#Totals],[Winning Candidate]]-SamplingData[[#Totals],[Candidate 7]]), 0)</f>
        <v>0</v>
      </c>
      <c r="W202" s="100">
        <f>IF(AND(SamplingData[[#This Row],[Total]]&lt;&gt; 0, NOT(ISBLANK(SamplingData[[#This Row],[Candidate 8]]))),(SamplingData[[#This Row],[Total]]+SamplingData[[#This Row],[Winning Candidate]]-SamplingData[[#This Row],[Candidate 8]])/(SamplingData[[#Totals],[Winning Candidate]]-SamplingData[[#Totals],[Candidate 8]]), 0)</f>
        <v>0</v>
      </c>
      <c r="X2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00">
        <f>MAX(SamplingData[[#This Row],[Error Bound (up) - Max. possible relative overstatement - Losing Candidate]:[Error Bound (up) - Max. possible relative overstatement - Candidate 12]])</f>
        <v>3.1409994660300906E-4</v>
      </c>
      <c r="AC202" s="100">
        <f>IF(SamplingData[[#This Row],[Max Error Bound (up)]] = 0,0,SamplingData[[#This Row],[Max Error Bound (up)]]/SamplingData[[#Totals],[Max Error Bound (up)]])</f>
        <v>1.3460399504657304E-4</v>
      </c>
      <c r="AD202" s="104">
        <f>SUM($AC$5:AC202)</f>
        <v>3.2035750821084383E-2</v>
      </c>
      <c r="AE202" s="100" t="str" cm="1">
        <f t="array" ref="AE202">IF(SamplingData[[#This Row],[up/U Selection Probability]] = 0, "Zero", TEXT(SamplingData[[#This Row],[Lower Range]], REPT("0",LEN('General Info'!$B$42))) &amp; " - " &amp; TEXT(SamplingData[[#This Row],[Upper Range]], REPT("0",LEN('General Info'!$B$42))))</f>
        <v>03190 - 03203</v>
      </c>
      <c r="AF202" s="100">
        <f>SamplingData[[#This Row],[Upper Range]]-SamplingData[[#This Row],[Span]]</f>
        <v>3190.1146826037811</v>
      </c>
      <c r="AG202" s="100">
        <f>IF(ISNUMBER('General Info'!$B$42), ((SamplingData[[#This Row],[up/U Selection Probability]]) * 'General Info'!$B$44) - 1, 0)</f>
        <v>12.460399504657303</v>
      </c>
      <c r="AH202" s="100">
        <f>IF(ISNUMBER('General Info'!$B$42), (SamplingData[[#This Row],[Running (cumulative) sum]] * ('General Info'!$B$42 -'General Info'!$B$43 + 1)) + 'General Info'!$B$43 - 1, 0)</f>
        <v>3202.5750821084384</v>
      </c>
      <c r="AI202" s="100" t="str">
        <f>IF(ISERROR(MATCH(SamplingData[[#This Row],[Batch by Type (p)]],SelectedPrecincts[Batch Name], 0)), "", INDEX(SelectedPrecincts[Draw], MATCH(SamplingData[[#This Row],[Batch by Type (p)]],SelectedPrecincts[Batch Name], 0)))</f>
        <v/>
      </c>
      <c r="AJ202" s="101">
        <f>IF(COUNTIF(SelectedPrecincts[Batch Name],SamplingData[[#This Row],[Batch by Type (p)]]) &lt;&gt; 0, COUNTIF(SelectedPrecincts[Batch Name],SamplingData[[#This Row],[Batch by Type (p)]]), 0)</f>
        <v>0</v>
      </c>
    </row>
    <row r="203" spans="1:36" ht="15" customHeight="1" x14ac:dyDescent="0.35">
      <c r="A203" s="98" t="s">
        <v>415</v>
      </c>
      <c r="B203" s="98">
        <v>4</v>
      </c>
      <c r="C203" s="98">
        <v>4</v>
      </c>
      <c r="D203" s="93"/>
      <c r="E203" s="93"/>
      <c r="F203" s="93"/>
      <c r="G203" s="97"/>
      <c r="H203" s="97"/>
      <c r="I203" s="93"/>
      <c r="J203" s="93"/>
      <c r="K203" s="93"/>
      <c r="L203" s="93"/>
      <c r="M203" s="93"/>
      <c r="N203" s="98">
        <v>0</v>
      </c>
      <c r="O203" s="98">
        <v>1</v>
      </c>
      <c r="P203" s="99">
        <f>SUM(SamplingData[[#This Row],[Winning Candidate]:[Under Votes]])</f>
        <v>9</v>
      </c>
      <c r="Q203"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203" s="100">
        <f>IF(AND(SamplingData[[#This Row],[Total]]&lt;&gt; 0, NOT(ISBLANK(SamplingData[[#This Row],[Candidate 3]]))),(SamplingData[[#This Row],[Total]]+SamplingData[[#This Row],[Winning Candidate]]-SamplingData[[#This Row],[Candidate 3]])/(SamplingData[[#Totals],[Winning Candidate]]-SamplingData[[#Totals],[Candidate 3]]), 0)</f>
        <v>0</v>
      </c>
      <c r="S203" s="100">
        <f>IF(AND(SamplingData[[#This Row],[Total]]&lt;&gt; 0, NOT(ISBLANK(SamplingData[[#This Row],[Candidate 4]]))),(SamplingData[[#This Row],[Total]]+SamplingData[[#This Row],[Winning Candidate]]-SamplingData[[#This Row],[Candidate 4]])/(SamplingData[[#Totals],[Winning Candidate]]-SamplingData[[#Totals],[Candidate 4]]), 0)</f>
        <v>0</v>
      </c>
      <c r="T203" s="100">
        <f>IF(AND(SamplingData[[#This Row],[Total]]&lt;&gt; 0, NOT(ISBLANK(SamplingData[[#This Row],[Candidate 5]]))),(SamplingData[[#This Row],[Total]]+SamplingData[[#This Row],[Winning Candidate]]-SamplingData[[#This Row],[Candidate 5]])/(SamplingData[[#Totals],[Winning Candidate]]-SamplingData[[#Totals],[Candidate 5]]), 0)</f>
        <v>0</v>
      </c>
      <c r="U203" s="100">
        <f>IF(AND(SamplingData[[#This Row],[Total]]&lt;&gt; 0, NOT(ISBLANK(SamplingData[[#This Row],[Candidate 6]]))),(SamplingData[[#This Row],[Total]]+SamplingData[[#This Row],[Losing Candidate]]-SamplingData[[#This Row],[Candidate 6]])/(SamplingData[[#Totals],[Winning Candidate]]-SamplingData[[#Totals],[Candidate 6]]), 0)</f>
        <v>0</v>
      </c>
      <c r="V203" s="100">
        <f>IF(AND(SamplingData[[#This Row],[Total]]&lt;&gt; 0, NOT(ISBLANK(SamplingData[[#This Row],[Candidate 7]]))),(SamplingData[[#This Row],[Total]]+SamplingData[[#This Row],[Winning Candidate]]-SamplingData[[#This Row],[Candidate 7]])/(SamplingData[[#Totals],[Winning Candidate]]-SamplingData[[#Totals],[Candidate 7]]), 0)</f>
        <v>0</v>
      </c>
      <c r="W203" s="100">
        <f>IF(AND(SamplingData[[#This Row],[Total]]&lt;&gt; 0, NOT(ISBLANK(SamplingData[[#This Row],[Candidate 8]]))),(SamplingData[[#This Row],[Total]]+SamplingData[[#This Row],[Winning Candidate]]-SamplingData[[#This Row],[Candidate 8]])/(SamplingData[[#Totals],[Winning Candidate]]-SamplingData[[#Totals],[Candidate 8]]), 0)</f>
        <v>0</v>
      </c>
      <c r="X2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00">
        <f>MAX(SamplingData[[#This Row],[Error Bound (up) - Max. possible relative overstatement - Losing Candidate]:[Error Bound (up) - Max. possible relative overstatement - Candidate 12]])</f>
        <v>2.8268995194270818E-4</v>
      </c>
      <c r="AC203" s="100">
        <f>IF(SamplingData[[#This Row],[Max Error Bound (up)]] = 0,0,SamplingData[[#This Row],[Max Error Bound (up)]]/SamplingData[[#Totals],[Max Error Bound (up)]])</f>
        <v>1.2114359554191572E-4</v>
      </c>
      <c r="AD203" s="104">
        <f>SUM($AC$5:AC203)</f>
        <v>3.2156894416626301E-2</v>
      </c>
      <c r="AE203" s="100" t="str" cm="1">
        <f t="array" ref="AE203">IF(SamplingData[[#This Row],[up/U Selection Probability]] = 0, "Zero", TEXT(SamplingData[[#This Row],[Lower Range]], REPT("0",LEN('General Info'!$B$42))) &amp; " - " &amp; TEXT(SamplingData[[#This Row],[Upper Range]], REPT("0",LEN('General Info'!$B$42))))</f>
        <v>03204 - 03215</v>
      </c>
      <c r="AF203" s="100">
        <f>SamplingData[[#This Row],[Upper Range]]-SamplingData[[#This Row],[Span]]</f>
        <v>3203.5750821084384</v>
      </c>
      <c r="AG203" s="100">
        <f>IF(ISNUMBER('General Info'!$B$42), ((SamplingData[[#This Row],[up/U Selection Probability]]) * 'General Info'!$B$44) - 1, 0)</f>
        <v>11.114359554191573</v>
      </c>
      <c r="AH203" s="100">
        <f>IF(ISNUMBER('General Info'!$B$42), (SamplingData[[#This Row],[Running (cumulative) sum]] * ('General Info'!$B$42 -'General Info'!$B$43 + 1)) + 'General Info'!$B$43 - 1, 0)</f>
        <v>3214.6894416626301</v>
      </c>
      <c r="AI203" s="100" t="str">
        <f>IF(ISERROR(MATCH(SamplingData[[#This Row],[Batch by Type (p)]],SelectedPrecincts[Batch Name], 0)), "", INDEX(SelectedPrecincts[Draw], MATCH(SamplingData[[#This Row],[Batch by Type (p)]],SelectedPrecincts[Batch Name], 0)))</f>
        <v/>
      </c>
      <c r="AJ203" s="101">
        <f>IF(COUNTIF(SelectedPrecincts[Batch Name],SamplingData[[#This Row],[Batch by Type (p)]]) &lt;&gt; 0, COUNTIF(SelectedPrecincts[Batch Name],SamplingData[[#This Row],[Batch by Type (p)]]), 0)</f>
        <v>0</v>
      </c>
    </row>
    <row r="204" spans="1:36" ht="15" customHeight="1" x14ac:dyDescent="0.35">
      <c r="A204" s="98" t="s">
        <v>416</v>
      </c>
      <c r="B204" s="98">
        <v>13</v>
      </c>
      <c r="C204" s="98">
        <v>1</v>
      </c>
      <c r="D204" s="93"/>
      <c r="E204" s="93"/>
      <c r="F204" s="93"/>
      <c r="G204" s="97"/>
      <c r="H204" s="97"/>
      <c r="I204" s="93"/>
      <c r="J204" s="93"/>
      <c r="K204" s="93"/>
      <c r="L204" s="93"/>
      <c r="M204" s="93"/>
      <c r="N204" s="98">
        <v>0</v>
      </c>
      <c r="O204" s="98">
        <v>0</v>
      </c>
      <c r="P204" s="99">
        <f>SUM(SamplingData[[#This Row],[Winning Candidate]:[Under Votes]])</f>
        <v>14</v>
      </c>
      <c r="Q204"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204" s="100">
        <f>IF(AND(SamplingData[[#This Row],[Total]]&lt;&gt; 0, NOT(ISBLANK(SamplingData[[#This Row],[Candidate 3]]))),(SamplingData[[#This Row],[Total]]+SamplingData[[#This Row],[Winning Candidate]]-SamplingData[[#This Row],[Candidate 3]])/(SamplingData[[#Totals],[Winning Candidate]]-SamplingData[[#Totals],[Candidate 3]]), 0)</f>
        <v>0</v>
      </c>
      <c r="S204" s="100">
        <f>IF(AND(SamplingData[[#This Row],[Total]]&lt;&gt; 0, NOT(ISBLANK(SamplingData[[#This Row],[Candidate 4]]))),(SamplingData[[#This Row],[Total]]+SamplingData[[#This Row],[Winning Candidate]]-SamplingData[[#This Row],[Candidate 4]])/(SamplingData[[#Totals],[Winning Candidate]]-SamplingData[[#Totals],[Candidate 4]]), 0)</f>
        <v>0</v>
      </c>
      <c r="T204" s="100">
        <f>IF(AND(SamplingData[[#This Row],[Total]]&lt;&gt; 0, NOT(ISBLANK(SamplingData[[#This Row],[Candidate 5]]))),(SamplingData[[#This Row],[Total]]+SamplingData[[#This Row],[Winning Candidate]]-SamplingData[[#This Row],[Candidate 5]])/(SamplingData[[#Totals],[Winning Candidate]]-SamplingData[[#Totals],[Candidate 5]]), 0)</f>
        <v>0</v>
      </c>
      <c r="U204" s="100">
        <f>IF(AND(SamplingData[[#This Row],[Total]]&lt;&gt; 0, NOT(ISBLANK(SamplingData[[#This Row],[Candidate 6]]))),(SamplingData[[#This Row],[Total]]+SamplingData[[#This Row],[Losing Candidate]]-SamplingData[[#This Row],[Candidate 6]])/(SamplingData[[#Totals],[Winning Candidate]]-SamplingData[[#Totals],[Candidate 6]]), 0)</f>
        <v>0</v>
      </c>
      <c r="V204" s="100">
        <f>IF(AND(SamplingData[[#This Row],[Total]]&lt;&gt; 0, NOT(ISBLANK(SamplingData[[#This Row],[Candidate 7]]))),(SamplingData[[#This Row],[Total]]+SamplingData[[#This Row],[Winning Candidate]]-SamplingData[[#This Row],[Candidate 7]])/(SamplingData[[#Totals],[Winning Candidate]]-SamplingData[[#Totals],[Candidate 7]]), 0)</f>
        <v>0</v>
      </c>
      <c r="W204" s="100">
        <f>IF(AND(SamplingData[[#This Row],[Total]]&lt;&gt; 0, NOT(ISBLANK(SamplingData[[#This Row],[Candidate 8]]))),(SamplingData[[#This Row],[Total]]+SamplingData[[#This Row],[Winning Candidate]]-SamplingData[[#This Row],[Candidate 8]])/(SamplingData[[#Totals],[Winning Candidate]]-SamplingData[[#Totals],[Candidate 8]]), 0)</f>
        <v>0</v>
      </c>
      <c r="X2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00">
        <f>MAX(SamplingData[[#This Row],[Error Bound (up) - Max. possible relative overstatement - Losing Candidate]:[Error Bound (up) - Max. possible relative overstatement - Candidate 12]])</f>
        <v>8.1665986116782364E-4</v>
      </c>
      <c r="AC204" s="100">
        <f>IF(SamplingData[[#This Row],[Max Error Bound (up)]] = 0,0,SamplingData[[#This Row],[Max Error Bound (up)]]/SamplingData[[#Totals],[Max Error Bound (up)]])</f>
        <v>3.4997038712108992E-4</v>
      </c>
      <c r="AD204" s="104">
        <f>SUM($AC$5:AC204)</f>
        <v>3.2506864803747391E-2</v>
      </c>
      <c r="AE204" s="100" t="str" cm="1">
        <f t="array" ref="AE204">IF(SamplingData[[#This Row],[up/U Selection Probability]] = 0, "Zero", TEXT(SamplingData[[#This Row],[Lower Range]], REPT("0",LEN('General Info'!$B$42))) &amp; " - " &amp; TEXT(SamplingData[[#This Row],[Upper Range]], REPT("0",LEN('General Info'!$B$42))))</f>
        <v>03216 - 03250</v>
      </c>
      <c r="AF204" s="100">
        <f>SamplingData[[#This Row],[Upper Range]]-SamplingData[[#This Row],[Span]]</f>
        <v>3215.6894416626301</v>
      </c>
      <c r="AG204" s="100">
        <f>IF(ISNUMBER('General Info'!$B$42), ((SamplingData[[#This Row],[up/U Selection Probability]]) * 'General Info'!$B$44) - 1, 0)</f>
        <v>33.997038712108989</v>
      </c>
      <c r="AH204" s="100">
        <f>IF(ISNUMBER('General Info'!$B$42), (SamplingData[[#This Row],[Running (cumulative) sum]] * ('General Info'!$B$42 -'General Info'!$B$43 + 1)) + 'General Info'!$B$43 - 1, 0)</f>
        <v>3249.6864803747389</v>
      </c>
      <c r="AI204" s="100" t="str">
        <f>IF(ISERROR(MATCH(SamplingData[[#This Row],[Batch by Type (p)]],SelectedPrecincts[Batch Name], 0)), "", INDEX(SelectedPrecincts[Draw], MATCH(SamplingData[[#This Row],[Batch by Type (p)]],SelectedPrecincts[Batch Name], 0)))</f>
        <v/>
      </c>
      <c r="AJ204" s="101">
        <f>IF(COUNTIF(SelectedPrecincts[Batch Name],SamplingData[[#This Row],[Batch by Type (p)]]) &lt;&gt; 0, COUNTIF(SelectedPrecincts[Batch Name],SamplingData[[#This Row],[Batch by Type (p)]]), 0)</f>
        <v>0</v>
      </c>
    </row>
    <row r="205" spans="1:36" ht="15" customHeight="1" x14ac:dyDescent="0.35">
      <c r="A205" s="98" t="s">
        <v>417</v>
      </c>
      <c r="B205" s="98">
        <v>15</v>
      </c>
      <c r="C205" s="98">
        <v>0</v>
      </c>
      <c r="D205" s="93"/>
      <c r="E205" s="93"/>
      <c r="F205" s="93"/>
      <c r="G205" s="97"/>
      <c r="H205" s="97"/>
      <c r="I205" s="93"/>
      <c r="J205" s="93"/>
      <c r="K205" s="93"/>
      <c r="L205" s="93"/>
      <c r="M205" s="93"/>
      <c r="N205" s="98">
        <v>0</v>
      </c>
      <c r="O205" s="98">
        <v>0</v>
      </c>
      <c r="P205" s="99">
        <f>SUM(SamplingData[[#This Row],[Winning Candidate]:[Under Votes]])</f>
        <v>15</v>
      </c>
      <c r="Q205"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205" s="100">
        <f>IF(AND(SamplingData[[#This Row],[Total]]&lt;&gt; 0, NOT(ISBLANK(SamplingData[[#This Row],[Candidate 3]]))),(SamplingData[[#This Row],[Total]]+SamplingData[[#This Row],[Winning Candidate]]-SamplingData[[#This Row],[Candidate 3]])/(SamplingData[[#Totals],[Winning Candidate]]-SamplingData[[#Totals],[Candidate 3]]), 0)</f>
        <v>0</v>
      </c>
      <c r="S205" s="100">
        <f>IF(AND(SamplingData[[#This Row],[Total]]&lt;&gt; 0, NOT(ISBLANK(SamplingData[[#This Row],[Candidate 4]]))),(SamplingData[[#This Row],[Total]]+SamplingData[[#This Row],[Winning Candidate]]-SamplingData[[#This Row],[Candidate 4]])/(SamplingData[[#Totals],[Winning Candidate]]-SamplingData[[#Totals],[Candidate 4]]), 0)</f>
        <v>0</v>
      </c>
      <c r="T205" s="100">
        <f>IF(AND(SamplingData[[#This Row],[Total]]&lt;&gt; 0, NOT(ISBLANK(SamplingData[[#This Row],[Candidate 5]]))),(SamplingData[[#This Row],[Total]]+SamplingData[[#This Row],[Winning Candidate]]-SamplingData[[#This Row],[Candidate 5]])/(SamplingData[[#Totals],[Winning Candidate]]-SamplingData[[#Totals],[Candidate 5]]), 0)</f>
        <v>0</v>
      </c>
      <c r="U205" s="100">
        <f>IF(AND(SamplingData[[#This Row],[Total]]&lt;&gt; 0, NOT(ISBLANK(SamplingData[[#This Row],[Candidate 6]]))),(SamplingData[[#This Row],[Total]]+SamplingData[[#This Row],[Losing Candidate]]-SamplingData[[#This Row],[Candidate 6]])/(SamplingData[[#Totals],[Winning Candidate]]-SamplingData[[#Totals],[Candidate 6]]), 0)</f>
        <v>0</v>
      </c>
      <c r="V205" s="100">
        <f>IF(AND(SamplingData[[#This Row],[Total]]&lt;&gt; 0, NOT(ISBLANK(SamplingData[[#This Row],[Candidate 7]]))),(SamplingData[[#This Row],[Total]]+SamplingData[[#This Row],[Winning Candidate]]-SamplingData[[#This Row],[Candidate 7]])/(SamplingData[[#Totals],[Winning Candidate]]-SamplingData[[#Totals],[Candidate 7]]), 0)</f>
        <v>0</v>
      </c>
      <c r="W205" s="100">
        <f>IF(AND(SamplingData[[#This Row],[Total]]&lt;&gt; 0, NOT(ISBLANK(SamplingData[[#This Row],[Candidate 8]]))),(SamplingData[[#This Row],[Total]]+SamplingData[[#This Row],[Winning Candidate]]-SamplingData[[#This Row],[Candidate 8]])/(SamplingData[[#Totals],[Winning Candidate]]-SamplingData[[#Totals],[Candidate 8]]), 0)</f>
        <v>0</v>
      </c>
      <c r="X2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00">
        <f>MAX(SamplingData[[#This Row],[Error Bound (up) - Max. possible relative overstatement - Losing Candidate]:[Error Bound (up) - Max. possible relative overstatement - Candidate 12]])</f>
        <v>9.4229983980902718E-4</v>
      </c>
      <c r="AC205" s="100">
        <f>IF(SamplingData[[#This Row],[Max Error Bound (up)]] = 0,0,SamplingData[[#This Row],[Max Error Bound (up)]]/SamplingData[[#Totals],[Max Error Bound (up)]])</f>
        <v>4.0381198513971905E-4</v>
      </c>
      <c r="AD205" s="104">
        <f>SUM($AC$5:AC205)</f>
        <v>3.2910676788887108E-2</v>
      </c>
      <c r="AE205" s="100" t="str" cm="1">
        <f t="array" ref="AE205">IF(SamplingData[[#This Row],[up/U Selection Probability]] = 0, "Zero", TEXT(SamplingData[[#This Row],[Lower Range]], REPT("0",LEN('General Info'!$B$42))) &amp; " - " &amp; TEXT(SamplingData[[#This Row],[Upper Range]], REPT("0",LEN('General Info'!$B$42))))</f>
        <v>03251 - 03290</v>
      </c>
      <c r="AF205" s="100">
        <f>SamplingData[[#This Row],[Upper Range]]-SamplingData[[#This Row],[Span]]</f>
        <v>3250.6864803747389</v>
      </c>
      <c r="AG205" s="100">
        <f>IF(ISNUMBER('General Info'!$B$42), ((SamplingData[[#This Row],[up/U Selection Probability]]) * 'General Info'!$B$44) - 1, 0)</f>
        <v>39.381198513971903</v>
      </c>
      <c r="AH205" s="100">
        <f>IF(ISNUMBER('General Info'!$B$42), (SamplingData[[#This Row],[Running (cumulative) sum]] * ('General Info'!$B$42 -'General Info'!$B$43 + 1)) + 'General Info'!$B$43 - 1, 0)</f>
        <v>3290.0676788887108</v>
      </c>
      <c r="AI205" s="100" t="str">
        <f>IF(ISERROR(MATCH(SamplingData[[#This Row],[Batch by Type (p)]],SelectedPrecincts[Batch Name], 0)), "", INDEX(SelectedPrecincts[Draw], MATCH(SamplingData[[#This Row],[Batch by Type (p)]],SelectedPrecincts[Batch Name], 0)))</f>
        <v/>
      </c>
      <c r="AJ205" s="101">
        <f>IF(COUNTIF(SelectedPrecincts[Batch Name],SamplingData[[#This Row],[Batch by Type (p)]]) &lt;&gt; 0, COUNTIF(SelectedPrecincts[Batch Name],SamplingData[[#This Row],[Batch by Type (p)]]), 0)</f>
        <v>0</v>
      </c>
    </row>
    <row r="206" spans="1:36" ht="15" customHeight="1" x14ac:dyDescent="0.35">
      <c r="A206" s="98" t="s">
        <v>418</v>
      </c>
      <c r="B206" s="98">
        <v>7</v>
      </c>
      <c r="C206" s="98">
        <v>1</v>
      </c>
      <c r="D206" s="93"/>
      <c r="E206" s="93"/>
      <c r="F206" s="93"/>
      <c r="G206" s="97"/>
      <c r="H206" s="97"/>
      <c r="I206" s="93"/>
      <c r="J206" s="93"/>
      <c r="K206" s="93"/>
      <c r="L206" s="93"/>
      <c r="M206" s="93"/>
      <c r="N206" s="98">
        <v>1</v>
      </c>
      <c r="O206" s="98">
        <v>0</v>
      </c>
      <c r="P206" s="99">
        <f>SUM(SamplingData[[#This Row],[Winning Candidate]:[Under Votes]])</f>
        <v>9</v>
      </c>
      <c r="Q206"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206" s="100">
        <f>IF(AND(SamplingData[[#This Row],[Total]]&lt;&gt; 0, NOT(ISBLANK(SamplingData[[#This Row],[Candidate 3]]))),(SamplingData[[#This Row],[Total]]+SamplingData[[#This Row],[Winning Candidate]]-SamplingData[[#This Row],[Candidate 3]])/(SamplingData[[#Totals],[Winning Candidate]]-SamplingData[[#Totals],[Candidate 3]]), 0)</f>
        <v>0</v>
      </c>
      <c r="S206" s="100">
        <f>IF(AND(SamplingData[[#This Row],[Total]]&lt;&gt; 0, NOT(ISBLANK(SamplingData[[#This Row],[Candidate 4]]))),(SamplingData[[#This Row],[Total]]+SamplingData[[#This Row],[Winning Candidate]]-SamplingData[[#This Row],[Candidate 4]])/(SamplingData[[#Totals],[Winning Candidate]]-SamplingData[[#Totals],[Candidate 4]]), 0)</f>
        <v>0</v>
      </c>
      <c r="T206" s="100">
        <f>IF(AND(SamplingData[[#This Row],[Total]]&lt;&gt; 0, NOT(ISBLANK(SamplingData[[#This Row],[Candidate 5]]))),(SamplingData[[#This Row],[Total]]+SamplingData[[#This Row],[Winning Candidate]]-SamplingData[[#This Row],[Candidate 5]])/(SamplingData[[#Totals],[Winning Candidate]]-SamplingData[[#Totals],[Candidate 5]]), 0)</f>
        <v>0</v>
      </c>
      <c r="U206" s="100">
        <f>IF(AND(SamplingData[[#This Row],[Total]]&lt;&gt; 0, NOT(ISBLANK(SamplingData[[#This Row],[Candidate 6]]))),(SamplingData[[#This Row],[Total]]+SamplingData[[#This Row],[Losing Candidate]]-SamplingData[[#This Row],[Candidate 6]])/(SamplingData[[#Totals],[Winning Candidate]]-SamplingData[[#Totals],[Candidate 6]]), 0)</f>
        <v>0</v>
      </c>
      <c r="V206" s="100">
        <f>IF(AND(SamplingData[[#This Row],[Total]]&lt;&gt; 0, NOT(ISBLANK(SamplingData[[#This Row],[Candidate 7]]))),(SamplingData[[#This Row],[Total]]+SamplingData[[#This Row],[Winning Candidate]]-SamplingData[[#This Row],[Candidate 7]])/(SamplingData[[#Totals],[Winning Candidate]]-SamplingData[[#Totals],[Candidate 7]]), 0)</f>
        <v>0</v>
      </c>
      <c r="W206" s="100">
        <f>IF(AND(SamplingData[[#This Row],[Total]]&lt;&gt; 0, NOT(ISBLANK(SamplingData[[#This Row],[Candidate 8]]))),(SamplingData[[#This Row],[Total]]+SamplingData[[#This Row],[Winning Candidate]]-SamplingData[[#This Row],[Candidate 8]])/(SamplingData[[#Totals],[Winning Candidate]]-SamplingData[[#Totals],[Candidate 8]]), 0)</f>
        <v>0</v>
      </c>
      <c r="X2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00">
        <f>MAX(SamplingData[[#This Row],[Error Bound (up) - Max. possible relative overstatement - Losing Candidate]:[Error Bound (up) - Max. possible relative overstatement - Candidate 12]])</f>
        <v>4.7114991990451359E-4</v>
      </c>
      <c r="AC206" s="100">
        <f>IF(SamplingData[[#This Row],[Max Error Bound (up)]] = 0,0,SamplingData[[#This Row],[Max Error Bound (up)]]/SamplingData[[#Totals],[Max Error Bound (up)]])</f>
        <v>2.0190599256985953E-4</v>
      </c>
      <c r="AD206" s="104">
        <f>SUM($AC$5:AC206)</f>
        <v>3.311258278145697E-2</v>
      </c>
      <c r="AE206" s="100" t="str" cm="1">
        <f t="array" ref="AE206">IF(SamplingData[[#This Row],[up/U Selection Probability]] = 0, "Zero", TEXT(SamplingData[[#This Row],[Lower Range]], REPT("0",LEN('General Info'!$B$42))) &amp; " - " &amp; TEXT(SamplingData[[#This Row],[Upper Range]], REPT("0",LEN('General Info'!$B$42))))</f>
        <v>03291 - 03310</v>
      </c>
      <c r="AF206" s="100">
        <f>SamplingData[[#This Row],[Upper Range]]-SamplingData[[#This Row],[Span]]</f>
        <v>3291.0676788887113</v>
      </c>
      <c r="AG206" s="100">
        <f>IF(ISNUMBER('General Info'!$B$42), ((SamplingData[[#This Row],[up/U Selection Probability]]) * 'General Info'!$B$44) - 1, 0)</f>
        <v>19.190599256985951</v>
      </c>
      <c r="AH206" s="100">
        <f>IF(ISNUMBER('General Info'!$B$42), (SamplingData[[#This Row],[Running (cumulative) sum]] * ('General Info'!$B$42 -'General Info'!$B$43 + 1)) + 'General Info'!$B$43 - 1, 0)</f>
        <v>3310.2582781456972</v>
      </c>
      <c r="AI206" s="100" t="str">
        <f>IF(ISERROR(MATCH(SamplingData[[#This Row],[Batch by Type (p)]],SelectedPrecincts[Batch Name], 0)), "", INDEX(SelectedPrecincts[Draw], MATCH(SamplingData[[#This Row],[Batch by Type (p)]],SelectedPrecincts[Batch Name], 0)))</f>
        <v/>
      </c>
      <c r="AJ206" s="101">
        <f>IF(COUNTIF(SelectedPrecincts[Batch Name],SamplingData[[#This Row],[Batch by Type (p)]]) &lt;&gt; 0, COUNTIF(SelectedPrecincts[Batch Name],SamplingData[[#This Row],[Batch by Type (p)]]), 0)</f>
        <v>0</v>
      </c>
    </row>
    <row r="207" spans="1:36" ht="15" customHeight="1" x14ac:dyDescent="0.35">
      <c r="A207" s="98" t="s">
        <v>419</v>
      </c>
      <c r="B207" s="98">
        <v>6</v>
      </c>
      <c r="C207" s="98">
        <v>1</v>
      </c>
      <c r="D207" s="93"/>
      <c r="E207" s="93"/>
      <c r="F207" s="93"/>
      <c r="G207" s="97"/>
      <c r="H207" s="97"/>
      <c r="I207" s="93"/>
      <c r="J207" s="93"/>
      <c r="K207" s="93"/>
      <c r="L207" s="93"/>
      <c r="M207" s="93"/>
      <c r="N207" s="98">
        <v>0</v>
      </c>
      <c r="O207" s="98">
        <v>0</v>
      </c>
      <c r="P207" s="99">
        <f>SUM(SamplingData[[#This Row],[Winning Candidate]:[Under Votes]])</f>
        <v>7</v>
      </c>
      <c r="Q207"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07" s="100">
        <f>IF(AND(SamplingData[[#This Row],[Total]]&lt;&gt; 0, NOT(ISBLANK(SamplingData[[#This Row],[Candidate 3]]))),(SamplingData[[#This Row],[Total]]+SamplingData[[#This Row],[Winning Candidate]]-SamplingData[[#This Row],[Candidate 3]])/(SamplingData[[#Totals],[Winning Candidate]]-SamplingData[[#Totals],[Candidate 3]]), 0)</f>
        <v>0</v>
      </c>
      <c r="S207" s="100">
        <f>IF(AND(SamplingData[[#This Row],[Total]]&lt;&gt; 0, NOT(ISBLANK(SamplingData[[#This Row],[Candidate 4]]))),(SamplingData[[#This Row],[Total]]+SamplingData[[#This Row],[Winning Candidate]]-SamplingData[[#This Row],[Candidate 4]])/(SamplingData[[#Totals],[Winning Candidate]]-SamplingData[[#Totals],[Candidate 4]]), 0)</f>
        <v>0</v>
      </c>
      <c r="T207" s="100">
        <f>IF(AND(SamplingData[[#This Row],[Total]]&lt;&gt; 0, NOT(ISBLANK(SamplingData[[#This Row],[Candidate 5]]))),(SamplingData[[#This Row],[Total]]+SamplingData[[#This Row],[Winning Candidate]]-SamplingData[[#This Row],[Candidate 5]])/(SamplingData[[#Totals],[Winning Candidate]]-SamplingData[[#Totals],[Candidate 5]]), 0)</f>
        <v>0</v>
      </c>
      <c r="U207" s="100">
        <f>IF(AND(SamplingData[[#This Row],[Total]]&lt;&gt; 0, NOT(ISBLANK(SamplingData[[#This Row],[Candidate 6]]))),(SamplingData[[#This Row],[Total]]+SamplingData[[#This Row],[Losing Candidate]]-SamplingData[[#This Row],[Candidate 6]])/(SamplingData[[#Totals],[Winning Candidate]]-SamplingData[[#Totals],[Candidate 6]]), 0)</f>
        <v>0</v>
      </c>
      <c r="V207" s="100">
        <f>IF(AND(SamplingData[[#This Row],[Total]]&lt;&gt; 0, NOT(ISBLANK(SamplingData[[#This Row],[Candidate 7]]))),(SamplingData[[#This Row],[Total]]+SamplingData[[#This Row],[Winning Candidate]]-SamplingData[[#This Row],[Candidate 7]])/(SamplingData[[#Totals],[Winning Candidate]]-SamplingData[[#Totals],[Candidate 7]]), 0)</f>
        <v>0</v>
      </c>
      <c r="W207" s="100">
        <f>IF(AND(SamplingData[[#This Row],[Total]]&lt;&gt; 0, NOT(ISBLANK(SamplingData[[#This Row],[Candidate 8]]))),(SamplingData[[#This Row],[Total]]+SamplingData[[#This Row],[Winning Candidate]]-SamplingData[[#This Row],[Candidate 8]])/(SamplingData[[#Totals],[Winning Candidate]]-SamplingData[[#Totals],[Candidate 8]]), 0)</f>
        <v>0</v>
      </c>
      <c r="X2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00">
        <f>MAX(SamplingData[[#This Row],[Error Bound (up) - Max. possible relative overstatement - Losing Candidate]:[Error Bound (up) - Max. possible relative overstatement - Candidate 12]])</f>
        <v>3.7691993592361088E-4</v>
      </c>
      <c r="AC207" s="100">
        <f>IF(SamplingData[[#This Row],[Max Error Bound (up)]] = 0,0,SamplingData[[#This Row],[Max Error Bound (up)]]/SamplingData[[#Totals],[Max Error Bound (up)]])</f>
        <v>1.6152479405588763E-4</v>
      </c>
      <c r="AD207" s="104">
        <f>SUM($AC$5:AC207)</f>
        <v>3.3274107575512857E-2</v>
      </c>
      <c r="AE207" s="100" t="str" cm="1">
        <f t="array" ref="AE207">IF(SamplingData[[#This Row],[up/U Selection Probability]] = 0, "Zero", TEXT(SamplingData[[#This Row],[Lower Range]], REPT("0",LEN('General Info'!$B$42))) &amp; " - " &amp; TEXT(SamplingData[[#This Row],[Upper Range]], REPT("0",LEN('General Info'!$B$42))))</f>
        <v>03311 - 03326</v>
      </c>
      <c r="AF207" s="100">
        <f>SamplingData[[#This Row],[Upper Range]]-SamplingData[[#This Row],[Span]]</f>
        <v>3311.2582781456972</v>
      </c>
      <c r="AG207" s="100">
        <f>IF(ISNUMBER('General Info'!$B$42), ((SamplingData[[#This Row],[up/U Selection Probability]]) * 'General Info'!$B$44) - 1, 0)</f>
        <v>15.152479405588764</v>
      </c>
      <c r="AH207" s="100">
        <f>IF(ISNUMBER('General Info'!$B$42), (SamplingData[[#This Row],[Running (cumulative) sum]] * ('General Info'!$B$42 -'General Info'!$B$43 + 1)) + 'General Info'!$B$43 - 1, 0)</f>
        <v>3326.4107575512858</v>
      </c>
      <c r="AI207" s="100" t="str">
        <f>IF(ISERROR(MATCH(SamplingData[[#This Row],[Batch by Type (p)]],SelectedPrecincts[Batch Name], 0)), "", INDEX(SelectedPrecincts[Draw], MATCH(SamplingData[[#This Row],[Batch by Type (p)]],SelectedPrecincts[Batch Name], 0)))</f>
        <v/>
      </c>
      <c r="AJ207" s="101">
        <f>IF(COUNTIF(SelectedPrecincts[Batch Name],SamplingData[[#This Row],[Batch by Type (p)]]) &lt;&gt; 0, COUNTIF(SelectedPrecincts[Batch Name],SamplingData[[#This Row],[Batch by Type (p)]]), 0)</f>
        <v>0</v>
      </c>
    </row>
    <row r="208" spans="1:36" ht="15" customHeight="1" x14ac:dyDescent="0.35">
      <c r="A208" s="98" t="s">
        <v>420</v>
      </c>
      <c r="B208" s="98">
        <v>0</v>
      </c>
      <c r="C208" s="98">
        <v>0</v>
      </c>
      <c r="D208" s="93"/>
      <c r="E208" s="93"/>
      <c r="F208" s="93"/>
      <c r="G208" s="97"/>
      <c r="H208" s="97"/>
      <c r="I208" s="93"/>
      <c r="J208" s="93"/>
      <c r="K208" s="93"/>
      <c r="L208" s="93"/>
      <c r="M208" s="93"/>
      <c r="N208" s="98">
        <v>0</v>
      </c>
      <c r="O208" s="98">
        <v>0</v>
      </c>
      <c r="P208" s="99">
        <f>SUM(SamplingData[[#This Row],[Winning Candidate]:[Under Votes]])</f>
        <v>0</v>
      </c>
      <c r="Q208" s="100">
        <f>IF(AND(SamplingData[[#This Row],[Total]]&lt;&gt; 0, NOT(ISBLANK(SamplingData[[#This Row],[Losing Candidate]]))),(SamplingData[[#This Row],[Total]]+SamplingData[[#This Row],[Winning Candidate]]-SamplingData[[#This Row],[Losing Candidate]])/(SamplingData[[#Totals],[Winning Candidate]]-SamplingData[[#Totals],[Losing Candidate]]), 0)</f>
        <v>0</v>
      </c>
      <c r="R208" s="100">
        <f>IF(AND(SamplingData[[#This Row],[Total]]&lt;&gt; 0, NOT(ISBLANK(SamplingData[[#This Row],[Candidate 3]]))),(SamplingData[[#This Row],[Total]]+SamplingData[[#This Row],[Winning Candidate]]-SamplingData[[#This Row],[Candidate 3]])/(SamplingData[[#Totals],[Winning Candidate]]-SamplingData[[#Totals],[Candidate 3]]), 0)</f>
        <v>0</v>
      </c>
      <c r="S208" s="100">
        <f>IF(AND(SamplingData[[#This Row],[Total]]&lt;&gt; 0, NOT(ISBLANK(SamplingData[[#This Row],[Candidate 4]]))),(SamplingData[[#This Row],[Total]]+SamplingData[[#This Row],[Winning Candidate]]-SamplingData[[#This Row],[Candidate 4]])/(SamplingData[[#Totals],[Winning Candidate]]-SamplingData[[#Totals],[Candidate 4]]), 0)</f>
        <v>0</v>
      </c>
      <c r="T208" s="100">
        <f>IF(AND(SamplingData[[#This Row],[Total]]&lt;&gt; 0, NOT(ISBLANK(SamplingData[[#This Row],[Candidate 5]]))),(SamplingData[[#This Row],[Total]]+SamplingData[[#This Row],[Winning Candidate]]-SamplingData[[#This Row],[Candidate 5]])/(SamplingData[[#Totals],[Winning Candidate]]-SamplingData[[#Totals],[Candidate 5]]), 0)</f>
        <v>0</v>
      </c>
      <c r="U208" s="100">
        <f>IF(AND(SamplingData[[#This Row],[Total]]&lt;&gt; 0, NOT(ISBLANK(SamplingData[[#This Row],[Candidate 6]]))),(SamplingData[[#This Row],[Total]]+SamplingData[[#This Row],[Losing Candidate]]-SamplingData[[#This Row],[Candidate 6]])/(SamplingData[[#Totals],[Winning Candidate]]-SamplingData[[#Totals],[Candidate 6]]), 0)</f>
        <v>0</v>
      </c>
      <c r="V208" s="100">
        <f>IF(AND(SamplingData[[#This Row],[Total]]&lt;&gt; 0, NOT(ISBLANK(SamplingData[[#This Row],[Candidate 7]]))),(SamplingData[[#This Row],[Total]]+SamplingData[[#This Row],[Winning Candidate]]-SamplingData[[#This Row],[Candidate 7]])/(SamplingData[[#Totals],[Winning Candidate]]-SamplingData[[#Totals],[Candidate 7]]), 0)</f>
        <v>0</v>
      </c>
      <c r="W208" s="100">
        <f>IF(AND(SamplingData[[#This Row],[Total]]&lt;&gt; 0, NOT(ISBLANK(SamplingData[[#This Row],[Candidate 8]]))),(SamplingData[[#This Row],[Total]]+SamplingData[[#This Row],[Winning Candidate]]-SamplingData[[#This Row],[Candidate 8]])/(SamplingData[[#Totals],[Winning Candidate]]-SamplingData[[#Totals],[Candidate 8]]), 0)</f>
        <v>0</v>
      </c>
      <c r="X2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00">
        <f>MAX(SamplingData[[#This Row],[Error Bound (up) - Max. possible relative overstatement - Losing Candidate]:[Error Bound (up) - Max. possible relative overstatement - Candidate 12]])</f>
        <v>0</v>
      </c>
      <c r="AC208" s="100">
        <f>IF(SamplingData[[#This Row],[Max Error Bound (up)]] = 0,0,SamplingData[[#This Row],[Max Error Bound (up)]]/SamplingData[[#Totals],[Max Error Bound (up)]])</f>
        <v>0</v>
      </c>
      <c r="AD208" s="104">
        <f>SUM($AC$5:AC208)</f>
        <v>3.3274107575512857E-2</v>
      </c>
      <c r="AE208" s="100" t="str" cm="1">
        <f t="array" ref="AE208">IF(SamplingData[[#This Row],[up/U Selection Probability]] = 0, "Zero", TEXT(SamplingData[[#This Row],[Lower Range]], REPT("0",LEN('General Info'!$B$42))) &amp; " - " &amp; TEXT(SamplingData[[#This Row],[Upper Range]], REPT("0",LEN('General Info'!$B$42))))</f>
        <v>Zero</v>
      </c>
      <c r="AF208" s="100">
        <f>SamplingData[[#This Row],[Upper Range]]-SamplingData[[#This Row],[Span]]</f>
        <v>3327.4107575512858</v>
      </c>
      <c r="AG208" s="100">
        <f>IF(ISNUMBER('General Info'!$B$42), ((SamplingData[[#This Row],[up/U Selection Probability]]) * 'General Info'!$B$44) - 1, 0)</f>
        <v>-1</v>
      </c>
      <c r="AH208" s="100">
        <f>IF(ISNUMBER('General Info'!$B$42), (SamplingData[[#This Row],[Running (cumulative) sum]] * ('General Info'!$B$42 -'General Info'!$B$43 + 1)) + 'General Info'!$B$43 - 1, 0)</f>
        <v>3326.4107575512858</v>
      </c>
      <c r="AI208" s="100" t="str">
        <f>IF(ISERROR(MATCH(SamplingData[[#This Row],[Batch by Type (p)]],SelectedPrecincts[Batch Name], 0)), "", INDEX(SelectedPrecincts[Draw], MATCH(SamplingData[[#This Row],[Batch by Type (p)]],SelectedPrecincts[Batch Name], 0)))</f>
        <v/>
      </c>
      <c r="AJ208" s="101">
        <f>IF(COUNTIF(SelectedPrecincts[Batch Name],SamplingData[[#This Row],[Batch by Type (p)]]) &lt;&gt; 0, COUNTIF(SelectedPrecincts[Batch Name],SamplingData[[#This Row],[Batch by Type (p)]]), 0)</f>
        <v>0</v>
      </c>
    </row>
    <row r="209" spans="1:36" ht="15" customHeight="1" x14ac:dyDescent="0.35">
      <c r="A209" s="98" t="s">
        <v>421</v>
      </c>
      <c r="B209" s="98">
        <v>7</v>
      </c>
      <c r="C209" s="98">
        <v>1</v>
      </c>
      <c r="D209" s="93"/>
      <c r="E209" s="93"/>
      <c r="F209" s="93"/>
      <c r="G209" s="97"/>
      <c r="H209" s="97"/>
      <c r="I209" s="93"/>
      <c r="J209" s="93"/>
      <c r="K209" s="93"/>
      <c r="L209" s="93"/>
      <c r="M209" s="93"/>
      <c r="N209" s="98">
        <v>0</v>
      </c>
      <c r="O209" s="98">
        <v>4</v>
      </c>
      <c r="P209" s="99">
        <f>SUM(SamplingData[[#This Row],[Winning Candidate]:[Under Votes]])</f>
        <v>12</v>
      </c>
      <c r="Q209"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209" s="100">
        <f>IF(AND(SamplingData[[#This Row],[Total]]&lt;&gt; 0, NOT(ISBLANK(SamplingData[[#This Row],[Candidate 3]]))),(SamplingData[[#This Row],[Total]]+SamplingData[[#This Row],[Winning Candidate]]-SamplingData[[#This Row],[Candidate 3]])/(SamplingData[[#Totals],[Winning Candidate]]-SamplingData[[#Totals],[Candidate 3]]), 0)</f>
        <v>0</v>
      </c>
      <c r="S209" s="100">
        <f>IF(AND(SamplingData[[#This Row],[Total]]&lt;&gt; 0, NOT(ISBLANK(SamplingData[[#This Row],[Candidate 4]]))),(SamplingData[[#This Row],[Total]]+SamplingData[[#This Row],[Winning Candidate]]-SamplingData[[#This Row],[Candidate 4]])/(SamplingData[[#Totals],[Winning Candidate]]-SamplingData[[#Totals],[Candidate 4]]), 0)</f>
        <v>0</v>
      </c>
      <c r="T209" s="100">
        <f>IF(AND(SamplingData[[#This Row],[Total]]&lt;&gt; 0, NOT(ISBLANK(SamplingData[[#This Row],[Candidate 5]]))),(SamplingData[[#This Row],[Total]]+SamplingData[[#This Row],[Winning Candidate]]-SamplingData[[#This Row],[Candidate 5]])/(SamplingData[[#Totals],[Winning Candidate]]-SamplingData[[#Totals],[Candidate 5]]), 0)</f>
        <v>0</v>
      </c>
      <c r="U209" s="100">
        <f>IF(AND(SamplingData[[#This Row],[Total]]&lt;&gt; 0, NOT(ISBLANK(SamplingData[[#This Row],[Candidate 6]]))),(SamplingData[[#This Row],[Total]]+SamplingData[[#This Row],[Losing Candidate]]-SamplingData[[#This Row],[Candidate 6]])/(SamplingData[[#Totals],[Winning Candidate]]-SamplingData[[#Totals],[Candidate 6]]), 0)</f>
        <v>0</v>
      </c>
      <c r="V209" s="100">
        <f>IF(AND(SamplingData[[#This Row],[Total]]&lt;&gt; 0, NOT(ISBLANK(SamplingData[[#This Row],[Candidate 7]]))),(SamplingData[[#This Row],[Total]]+SamplingData[[#This Row],[Winning Candidate]]-SamplingData[[#This Row],[Candidate 7]])/(SamplingData[[#Totals],[Winning Candidate]]-SamplingData[[#Totals],[Candidate 7]]), 0)</f>
        <v>0</v>
      </c>
      <c r="W209" s="100">
        <f>IF(AND(SamplingData[[#This Row],[Total]]&lt;&gt; 0, NOT(ISBLANK(SamplingData[[#This Row],[Candidate 8]]))),(SamplingData[[#This Row],[Total]]+SamplingData[[#This Row],[Winning Candidate]]-SamplingData[[#This Row],[Candidate 8]])/(SamplingData[[#Totals],[Winning Candidate]]-SamplingData[[#Totals],[Candidate 8]]), 0)</f>
        <v>0</v>
      </c>
      <c r="X2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00">
        <f>MAX(SamplingData[[#This Row],[Error Bound (up) - Max. possible relative overstatement - Losing Candidate]:[Error Bound (up) - Max. possible relative overstatement - Candidate 12]])</f>
        <v>5.6537990388541635E-4</v>
      </c>
      <c r="AC209" s="100">
        <f>IF(SamplingData[[#This Row],[Max Error Bound (up)]] = 0,0,SamplingData[[#This Row],[Max Error Bound (up)]]/SamplingData[[#Totals],[Max Error Bound (up)]])</f>
        <v>2.4228719108383145E-4</v>
      </c>
      <c r="AD209" s="104">
        <f>SUM($AC$5:AC209)</f>
        <v>3.3516394766596687E-2</v>
      </c>
      <c r="AE209" s="100" t="str" cm="1">
        <f t="array" ref="AE209">IF(SamplingData[[#This Row],[up/U Selection Probability]] = 0, "Zero", TEXT(SamplingData[[#This Row],[Lower Range]], REPT("0",LEN('General Info'!$B$42))) &amp; " - " &amp; TEXT(SamplingData[[#This Row],[Upper Range]], REPT("0",LEN('General Info'!$B$42))))</f>
        <v>03327 - 03351</v>
      </c>
      <c r="AF209" s="100">
        <f>SamplingData[[#This Row],[Upper Range]]-SamplingData[[#This Row],[Span]]</f>
        <v>3327.4107575512853</v>
      </c>
      <c r="AG209" s="100">
        <f>IF(ISNUMBER('General Info'!$B$42), ((SamplingData[[#This Row],[up/U Selection Probability]]) * 'General Info'!$B$44) - 1, 0)</f>
        <v>23.228719108383146</v>
      </c>
      <c r="AH209" s="100">
        <f>IF(ISNUMBER('General Info'!$B$42), (SamplingData[[#This Row],[Running (cumulative) sum]] * ('General Info'!$B$42 -'General Info'!$B$43 + 1)) + 'General Info'!$B$43 - 1, 0)</f>
        <v>3350.6394766596686</v>
      </c>
      <c r="AI209" s="100" t="str">
        <f>IF(ISERROR(MATCH(SamplingData[[#This Row],[Batch by Type (p)]],SelectedPrecincts[Batch Name], 0)), "", INDEX(SelectedPrecincts[Draw], MATCH(SamplingData[[#This Row],[Batch by Type (p)]],SelectedPrecincts[Batch Name], 0)))</f>
        <v/>
      </c>
      <c r="AJ209" s="101">
        <f>IF(COUNTIF(SelectedPrecincts[Batch Name],SamplingData[[#This Row],[Batch by Type (p)]]) &lt;&gt; 0, COUNTIF(SelectedPrecincts[Batch Name],SamplingData[[#This Row],[Batch by Type (p)]]), 0)</f>
        <v>0</v>
      </c>
    </row>
    <row r="210" spans="1:36" ht="15" customHeight="1" x14ac:dyDescent="0.35">
      <c r="A210" s="98" t="s">
        <v>422</v>
      </c>
      <c r="B210" s="98">
        <v>0</v>
      </c>
      <c r="C210" s="98">
        <v>0</v>
      </c>
      <c r="D210" s="93"/>
      <c r="E210" s="93"/>
      <c r="F210" s="93"/>
      <c r="G210" s="97"/>
      <c r="H210" s="97"/>
      <c r="I210" s="93"/>
      <c r="J210" s="93"/>
      <c r="K210" s="93"/>
      <c r="L210" s="93"/>
      <c r="M210" s="93"/>
      <c r="N210" s="98">
        <v>0</v>
      </c>
      <c r="O210" s="98">
        <v>0</v>
      </c>
      <c r="P210" s="99">
        <f>SUM(SamplingData[[#This Row],[Winning Candidate]:[Under Votes]])</f>
        <v>0</v>
      </c>
      <c r="Q210" s="100">
        <f>IF(AND(SamplingData[[#This Row],[Total]]&lt;&gt; 0, NOT(ISBLANK(SamplingData[[#This Row],[Losing Candidate]]))),(SamplingData[[#This Row],[Total]]+SamplingData[[#This Row],[Winning Candidate]]-SamplingData[[#This Row],[Losing Candidate]])/(SamplingData[[#Totals],[Winning Candidate]]-SamplingData[[#Totals],[Losing Candidate]]), 0)</f>
        <v>0</v>
      </c>
      <c r="R210" s="100">
        <f>IF(AND(SamplingData[[#This Row],[Total]]&lt;&gt; 0, NOT(ISBLANK(SamplingData[[#This Row],[Candidate 3]]))),(SamplingData[[#This Row],[Total]]+SamplingData[[#This Row],[Winning Candidate]]-SamplingData[[#This Row],[Candidate 3]])/(SamplingData[[#Totals],[Winning Candidate]]-SamplingData[[#Totals],[Candidate 3]]), 0)</f>
        <v>0</v>
      </c>
      <c r="S210" s="100">
        <f>IF(AND(SamplingData[[#This Row],[Total]]&lt;&gt; 0, NOT(ISBLANK(SamplingData[[#This Row],[Candidate 4]]))),(SamplingData[[#This Row],[Total]]+SamplingData[[#This Row],[Winning Candidate]]-SamplingData[[#This Row],[Candidate 4]])/(SamplingData[[#Totals],[Winning Candidate]]-SamplingData[[#Totals],[Candidate 4]]), 0)</f>
        <v>0</v>
      </c>
      <c r="T210" s="100">
        <f>IF(AND(SamplingData[[#This Row],[Total]]&lt;&gt; 0, NOT(ISBLANK(SamplingData[[#This Row],[Candidate 5]]))),(SamplingData[[#This Row],[Total]]+SamplingData[[#This Row],[Winning Candidate]]-SamplingData[[#This Row],[Candidate 5]])/(SamplingData[[#Totals],[Winning Candidate]]-SamplingData[[#Totals],[Candidate 5]]), 0)</f>
        <v>0</v>
      </c>
      <c r="U210" s="100">
        <f>IF(AND(SamplingData[[#This Row],[Total]]&lt;&gt; 0, NOT(ISBLANK(SamplingData[[#This Row],[Candidate 6]]))),(SamplingData[[#This Row],[Total]]+SamplingData[[#This Row],[Losing Candidate]]-SamplingData[[#This Row],[Candidate 6]])/(SamplingData[[#Totals],[Winning Candidate]]-SamplingData[[#Totals],[Candidate 6]]), 0)</f>
        <v>0</v>
      </c>
      <c r="V210" s="100">
        <f>IF(AND(SamplingData[[#This Row],[Total]]&lt;&gt; 0, NOT(ISBLANK(SamplingData[[#This Row],[Candidate 7]]))),(SamplingData[[#This Row],[Total]]+SamplingData[[#This Row],[Winning Candidate]]-SamplingData[[#This Row],[Candidate 7]])/(SamplingData[[#Totals],[Winning Candidate]]-SamplingData[[#Totals],[Candidate 7]]), 0)</f>
        <v>0</v>
      </c>
      <c r="W210" s="100">
        <f>IF(AND(SamplingData[[#This Row],[Total]]&lt;&gt; 0, NOT(ISBLANK(SamplingData[[#This Row],[Candidate 8]]))),(SamplingData[[#This Row],[Total]]+SamplingData[[#This Row],[Winning Candidate]]-SamplingData[[#This Row],[Candidate 8]])/(SamplingData[[#Totals],[Winning Candidate]]-SamplingData[[#Totals],[Candidate 8]]), 0)</f>
        <v>0</v>
      </c>
      <c r="X2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00">
        <f>MAX(SamplingData[[#This Row],[Error Bound (up) - Max. possible relative overstatement - Losing Candidate]:[Error Bound (up) - Max. possible relative overstatement - Candidate 12]])</f>
        <v>0</v>
      </c>
      <c r="AC210" s="100">
        <f>IF(SamplingData[[#This Row],[Max Error Bound (up)]] = 0,0,SamplingData[[#This Row],[Max Error Bound (up)]]/SamplingData[[#Totals],[Max Error Bound (up)]])</f>
        <v>0</v>
      </c>
      <c r="AD210" s="104">
        <f>SUM($AC$5:AC210)</f>
        <v>3.3516394766596687E-2</v>
      </c>
      <c r="AE210" s="100" t="str" cm="1">
        <f t="array" ref="AE210">IF(SamplingData[[#This Row],[up/U Selection Probability]] = 0, "Zero", TEXT(SamplingData[[#This Row],[Lower Range]], REPT("0",LEN('General Info'!$B$42))) &amp; " - " &amp; TEXT(SamplingData[[#This Row],[Upper Range]], REPT("0",LEN('General Info'!$B$42))))</f>
        <v>Zero</v>
      </c>
      <c r="AF210" s="100">
        <f>SamplingData[[#This Row],[Upper Range]]-SamplingData[[#This Row],[Span]]</f>
        <v>3351.6394766596686</v>
      </c>
      <c r="AG210" s="100">
        <f>IF(ISNUMBER('General Info'!$B$42), ((SamplingData[[#This Row],[up/U Selection Probability]]) * 'General Info'!$B$44) - 1, 0)</f>
        <v>-1</v>
      </c>
      <c r="AH210" s="100">
        <f>IF(ISNUMBER('General Info'!$B$42), (SamplingData[[#This Row],[Running (cumulative) sum]] * ('General Info'!$B$42 -'General Info'!$B$43 + 1)) + 'General Info'!$B$43 - 1, 0)</f>
        <v>3350.6394766596686</v>
      </c>
      <c r="AI210" s="100" t="str">
        <f>IF(ISERROR(MATCH(SamplingData[[#This Row],[Batch by Type (p)]],SelectedPrecincts[Batch Name], 0)), "", INDEX(SelectedPrecincts[Draw], MATCH(SamplingData[[#This Row],[Batch by Type (p)]],SelectedPrecincts[Batch Name], 0)))</f>
        <v/>
      </c>
      <c r="AJ210" s="101">
        <f>IF(COUNTIF(SelectedPrecincts[Batch Name],SamplingData[[#This Row],[Batch by Type (p)]]) &lt;&gt; 0, COUNTIF(SelectedPrecincts[Batch Name],SamplingData[[#This Row],[Batch by Type (p)]]), 0)</f>
        <v>0</v>
      </c>
    </row>
    <row r="211" spans="1:36" ht="15" customHeight="1" x14ac:dyDescent="0.35">
      <c r="A211" s="98" t="s">
        <v>423</v>
      </c>
      <c r="B211" s="98">
        <v>1</v>
      </c>
      <c r="C211" s="98">
        <v>0</v>
      </c>
      <c r="D211" s="93"/>
      <c r="E211" s="93"/>
      <c r="F211" s="93"/>
      <c r="G211" s="97"/>
      <c r="H211" s="97"/>
      <c r="I211" s="93"/>
      <c r="J211" s="93"/>
      <c r="K211" s="93"/>
      <c r="L211" s="93"/>
      <c r="M211" s="93"/>
      <c r="N211" s="98">
        <v>0</v>
      </c>
      <c r="O211" s="98">
        <v>0</v>
      </c>
      <c r="P211" s="99">
        <f>SUM(SamplingData[[#This Row],[Winning Candidate]:[Under Votes]])</f>
        <v>1</v>
      </c>
      <c r="Q211"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211" s="100">
        <f>IF(AND(SamplingData[[#This Row],[Total]]&lt;&gt; 0, NOT(ISBLANK(SamplingData[[#This Row],[Candidate 3]]))),(SamplingData[[#This Row],[Total]]+SamplingData[[#This Row],[Winning Candidate]]-SamplingData[[#This Row],[Candidate 3]])/(SamplingData[[#Totals],[Winning Candidate]]-SamplingData[[#Totals],[Candidate 3]]), 0)</f>
        <v>0</v>
      </c>
      <c r="S211" s="100">
        <f>IF(AND(SamplingData[[#This Row],[Total]]&lt;&gt; 0, NOT(ISBLANK(SamplingData[[#This Row],[Candidate 4]]))),(SamplingData[[#This Row],[Total]]+SamplingData[[#This Row],[Winning Candidate]]-SamplingData[[#This Row],[Candidate 4]])/(SamplingData[[#Totals],[Winning Candidate]]-SamplingData[[#Totals],[Candidate 4]]), 0)</f>
        <v>0</v>
      </c>
      <c r="T211" s="100">
        <f>IF(AND(SamplingData[[#This Row],[Total]]&lt;&gt; 0, NOT(ISBLANK(SamplingData[[#This Row],[Candidate 5]]))),(SamplingData[[#This Row],[Total]]+SamplingData[[#This Row],[Winning Candidate]]-SamplingData[[#This Row],[Candidate 5]])/(SamplingData[[#Totals],[Winning Candidate]]-SamplingData[[#Totals],[Candidate 5]]), 0)</f>
        <v>0</v>
      </c>
      <c r="U211" s="100">
        <f>IF(AND(SamplingData[[#This Row],[Total]]&lt;&gt; 0, NOT(ISBLANK(SamplingData[[#This Row],[Candidate 6]]))),(SamplingData[[#This Row],[Total]]+SamplingData[[#This Row],[Losing Candidate]]-SamplingData[[#This Row],[Candidate 6]])/(SamplingData[[#Totals],[Winning Candidate]]-SamplingData[[#Totals],[Candidate 6]]), 0)</f>
        <v>0</v>
      </c>
      <c r="V211" s="100">
        <f>IF(AND(SamplingData[[#This Row],[Total]]&lt;&gt; 0, NOT(ISBLANK(SamplingData[[#This Row],[Candidate 7]]))),(SamplingData[[#This Row],[Total]]+SamplingData[[#This Row],[Winning Candidate]]-SamplingData[[#This Row],[Candidate 7]])/(SamplingData[[#Totals],[Winning Candidate]]-SamplingData[[#Totals],[Candidate 7]]), 0)</f>
        <v>0</v>
      </c>
      <c r="W211" s="100">
        <f>IF(AND(SamplingData[[#This Row],[Total]]&lt;&gt; 0, NOT(ISBLANK(SamplingData[[#This Row],[Candidate 8]]))),(SamplingData[[#This Row],[Total]]+SamplingData[[#This Row],[Winning Candidate]]-SamplingData[[#This Row],[Candidate 8]])/(SamplingData[[#Totals],[Winning Candidate]]-SamplingData[[#Totals],[Candidate 8]]), 0)</f>
        <v>0</v>
      </c>
      <c r="X2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00">
        <f>MAX(SamplingData[[#This Row],[Error Bound (up) - Max. possible relative overstatement - Losing Candidate]:[Error Bound (up) - Max. possible relative overstatement - Candidate 12]])</f>
        <v>6.2819989320601809E-5</v>
      </c>
      <c r="AC211" s="100">
        <f>IF(SamplingData[[#This Row],[Max Error Bound (up)]] = 0,0,SamplingData[[#This Row],[Max Error Bound (up)]]/SamplingData[[#Totals],[Max Error Bound (up)]])</f>
        <v>2.6920799009314603E-5</v>
      </c>
      <c r="AD211" s="104">
        <f>SUM($AC$5:AC211)</f>
        <v>3.3543315565606004E-2</v>
      </c>
      <c r="AE211" s="100" t="str" cm="1">
        <f t="array" ref="AE211">IF(SamplingData[[#This Row],[up/U Selection Probability]] = 0, "Zero", TEXT(SamplingData[[#This Row],[Lower Range]], REPT("0",LEN('General Info'!$B$42))) &amp; " - " &amp; TEXT(SamplingData[[#This Row],[Upper Range]], REPT("0",LEN('General Info'!$B$42))))</f>
        <v>03352 - 03353</v>
      </c>
      <c r="AF211" s="100">
        <f>SamplingData[[#This Row],[Upper Range]]-SamplingData[[#This Row],[Span]]</f>
        <v>3351.6394766596691</v>
      </c>
      <c r="AG211" s="100">
        <f>IF(ISNUMBER('General Info'!$B$42), ((SamplingData[[#This Row],[up/U Selection Probability]]) * 'General Info'!$B$44) - 1, 0)</f>
        <v>1.6920799009314602</v>
      </c>
      <c r="AH211" s="100">
        <f>IF(ISNUMBER('General Info'!$B$42), (SamplingData[[#This Row],[Running (cumulative) sum]] * ('General Info'!$B$42 -'General Info'!$B$43 + 1)) + 'General Info'!$B$43 - 1, 0)</f>
        <v>3353.3315565606003</v>
      </c>
      <c r="AI211" s="100" t="str">
        <f>IF(ISERROR(MATCH(SamplingData[[#This Row],[Batch by Type (p)]],SelectedPrecincts[Batch Name], 0)), "", INDEX(SelectedPrecincts[Draw], MATCH(SamplingData[[#This Row],[Batch by Type (p)]],SelectedPrecincts[Batch Name], 0)))</f>
        <v/>
      </c>
      <c r="AJ211" s="101">
        <f>IF(COUNTIF(SelectedPrecincts[Batch Name],SamplingData[[#This Row],[Batch by Type (p)]]) &lt;&gt; 0, COUNTIF(SelectedPrecincts[Batch Name],SamplingData[[#This Row],[Batch by Type (p)]]), 0)</f>
        <v>0</v>
      </c>
    </row>
    <row r="212" spans="1:36" ht="15" customHeight="1" x14ac:dyDescent="0.35">
      <c r="A212" s="98" t="s">
        <v>424</v>
      </c>
      <c r="B212" s="98">
        <v>6</v>
      </c>
      <c r="C212" s="98">
        <v>0</v>
      </c>
      <c r="D212" s="93"/>
      <c r="E212" s="93"/>
      <c r="F212" s="93"/>
      <c r="G212" s="97"/>
      <c r="H212" s="97"/>
      <c r="I212" s="93"/>
      <c r="J212" s="93"/>
      <c r="K212" s="93"/>
      <c r="L212" s="93"/>
      <c r="M212" s="93"/>
      <c r="N212" s="98">
        <v>0</v>
      </c>
      <c r="O212" s="98">
        <v>0</v>
      </c>
      <c r="P212" s="99">
        <f>SUM(SamplingData[[#This Row],[Winning Candidate]:[Under Votes]])</f>
        <v>6</v>
      </c>
      <c r="Q212"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12" s="100">
        <f>IF(AND(SamplingData[[#This Row],[Total]]&lt;&gt; 0, NOT(ISBLANK(SamplingData[[#This Row],[Candidate 3]]))),(SamplingData[[#This Row],[Total]]+SamplingData[[#This Row],[Winning Candidate]]-SamplingData[[#This Row],[Candidate 3]])/(SamplingData[[#Totals],[Winning Candidate]]-SamplingData[[#Totals],[Candidate 3]]), 0)</f>
        <v>0</v>
      </c>
      <c r="S212" s="100">
        <f>IF(AND(SamplingData[[#This Row],[Total]]&lt;&gt; 0, NOT(ISBLANK(SamplingData[[#This Row],[Candidate 4]]))),(SamplingData[[#This Row],[Total]]+SamplingData[[#This Row],[Winning Candidate]]-SamplingData[[#This Row],[Candidate 4]])/(SamplingData[[#Totals],[Winning Candidate]]-SamplingData[[#Totals],[Candidate 4]]), 0)</f>
        <v>0</v>
      </c>
      <c r="T212" s="100">
        <f>IF(AND(SamplingData[[#This Row],[Total]]&lt;&gt; 0, NOT(ISBLANK(SamplingData[[#This Row],[Candidate 5]]))),(SamplingData[[#This Row],[Total]]+SamplingData[[#This Row],[Winning Candidate]]-SamplingData[[#This Row],[Candidate 5]])/(SamplingData[[#Totals],[Winning Candidate]]-SamplingData[[#Totals],[Candidate 5]]), 0)</f>
        <v>0</v>
      </c>
      <c r="U212" s="100">
        <f>IF(AND(SamplingData[[#This Row],[Total]]&lt;&gt; 0, NOT(ISBLANK(SamplingData[[#This Row],[Candidate 6]]))),(SamplingData[[#This Row],[Total]]+SamplingData[[#This Row],[Losing Candidate]]-SamplingData[[#This Row],[Candidate 6]])/(SamplingData[[#Totals],[Winning Candidate]]-SamplingData[[#Totals],[Candidate 6]]), 0)</f>
        <v>0</v>
      </c>
      <c r="V212" s="100">
        <f>IF(AND(SamplingData[[#This Row],[Total]]&lt;&gt; 0, NOT(ISBLANK(SamplingData[[#This Row],[Candidate 7]]))),(SamplingData[[#This Row],[Total]]+SamplingData[[#This Row],[Winning Candidate]]-SamplingData[[#This Row],[Candidate 7]])/(SamplingData[[#Totals],[Winning Candidate]]-SamplingData[[#Totals],[Candidate 7]]), 0)</f>
        <v>0</v>
      </c>
      <c r="W212" s="100">
        <f>IF(AND(SamplingData[[#This Row],[Total]]&lt;&gt; 0, NOT(ISBLANK(SamplingData[[#This Row],[Candidate 8]]))),(SamplingData[[#This Row],[Total]]+SamplingData[[#This Row],[Winning Candidate]]-SamplingData[[#This Row],[Candidate 8]])/(SamplingData[[#Totals],[Winning Candidate]]-SamplingData[[#Totals],[Candidate 8]]), 0)</f>
        <v>0</v>
      </c>
      <c r="X2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00">
        <f>MAX(SamplingData[[#This Row],[Error Bound (up) - Max. possible relative overstatement - Losing Candidate]:[Error Bound (up) - Max. possible relative overstatement - Candidate 12]])</f>
        <v>3.7691993592361088E-4</v>
      </c>
      <c r="AC212" s="100">
        <f>IF(SamplingData[[#This Row],[Max Error Bound (up)]] = 0,0,SamplingData[[#This Row],[Max Error Bound (up)]]/SamplingData[[#Totals],[Max Error Bound (up)]])</f>
        <v>1.6152479405588763E-4</v>
      </c>
      <c r="AD212" s="104">
        <f>SUM($AC$5:AC212)</f>
        <v>3.370484035966189E-2</v>
      </c>
      <c r="AE212" s="100" t="str" cm="1">
        <f t="array" ref="AE212">IF(SamplingData[[#This Row],[up/U Selection Probability]] = 0, "Zero", TEXT(SamplingData[[#This Row],[Lower Range]], REPT("0",LEN('General Info'!$B$42))) &amp; " - " &amp; TEXT(SamplingData[[#This Row],[Upper Range]], REPT("0",LEN('General Info'!$B$42))))</f>
        <v>03354 - 03369</v>
      </c>
      <c r="AF212" s="100">
        <f>SamplingData[[#This Row],[Upper Range]]-SamplingData[[#This Row],[Span]]</f>
        <v>3354.3315565606003</v>
      </c>
      <c r="AG212" s="100">
        <f>IF(ISNUMBER('General Info'!$B$42), ((SamplingData[[#This Row],[up/U Selection Probability]]) * 'General Info'!$B$44) - 1, 0)</f>
        <v>15.152479405588764</v>
      </c>
      <c r="AH212" s="100">
        <f>IF(ISNUMBER('General Info'!$B$42), (SamplingData[[#This Row],[Running (cumulative) sum]] * ('General Info'!$B$42 -'General Info'!$B$43 + 1)) + 'General Info'!$B$43 - 1, 0)</f>
        <v>3369.4840359661889</v>
      </c>
      <c r="AI212" s="100" t="str">
        <f>IF(ISERROR(MATCH(SamplingData[[#This Row],[Batch by Type (p)]],SelectedPrecincts[Batch Name], 0)), "", INDEX(SelectedPrecincts[Draw], MATCH(SamplingData[[#This Row],[Batch by Type (p)]],SelectedPrecincts[Batch Name], 0)))</f>
        <v/>
      </c>
      <c r="AJ212" s="101">
        <f>IF(COUNTIF(SelectedPrecincts[Batch Name],SamplingData[[#This Row],[Batch by Type (p)]]) &lt;&gt; 0, COUNTIF(SelectedPrecincts[Batch Name],SamplingData[[#This Row],[Batch by Type (p)]]), 0)</f>
        <v>0</v>
      </c>
    </row>
    <row r="213" spans="1:36" ht="15" customHeight="1" x14ac:dyDescent="0.35">
      <c r="A213" s="98" t="s">
        <v>425</v>
      </c>
      <c r="B213" s="98">
        <v>8</v>
      </c>
      <c r="C213" s="98">
        <v>8</v>
      </c>
      <c r="D213" s="93"/>
      <c r="E213" s="93"/>
      <c r="F213" s="93"/>
      <c r="G213" s="97"/>
      <c r="H213" s="97"/>
      <c r="I213" s="93"/>
      <c r="J213" s="93"/>
      <c r="K213" s="93"/>
      <c r="L213" s="93"/>
      <c r="M213" s="93"/>
      <c r="N213" s="98">
        <v>0</v>
      </c>
      <c r="O213" s="98">
        <v>1</v>
      </c>
      <c r="P213" s="99">
        <f>SUM(SamplingData[[#This Row],[Winning Candidate]:[Under Votes]])</f>
        <v>17</v>
      </c>
      <c r="Q213" s="100">
        <f>IF(AND(SamplingData[[#This Row],[Total]]&lt;&gt; 0, NOT(ISBLANK(SamplingData[[#This Row],[Losing Candidate]]))),(SamplingData[[#This Row],[Total]]+SamplingData[[#This Row],[Winning Candidate]]-SamplingData[[#This Row],[Losing Candidate]])/(SamplingData[[#Totals],[Winning Candidate]]-SamplingData[[#Totals],[Losing Candidate]]), 0)</f>
        <v>5.3396990922511547E-4</v>
      </c>
      <c r="R213" s="100">
        <f>IF(AND(SamplingData[[#This Row],[Total]]&lt;&gt; 0, NOT(ISBLANK(SamplingData[[#This Row],[Candidate 3]]))),(SamplingData[[#This Row],[Total]]+SamplingData[[#This Row],[Winning Candidate]]-SamplingData[[#This Row],[Candidate 3]])/(SamplingData[[#Totals],[Winning Candidate]]-SamplingData[[#Totals],[Candidate 3]]), 0)</f>
        <v>0</v>
      </c>
      <c r="S213" s="100">
        <f>IF(AND(SamplingData[[#This Row],[Total]]&lt;&gt; 0, NOT(ISBLANK(SamplingData[[#This Row],[Candidate 4]]))),(SamplingData[[#This Row],[Total]]+SamplingData[[#This Row],[Winning Candidate]]-SamplingData[[#This Row],[Candidate 4]])/(SamplingData[[#Totals],[Winning Candidate]]-SamplingData[[#Totals],[Candidate 4]]), 0)</f>
        <v>0</v>
      </c>
      <c r="T213" s="100">
        <f>IF(AND(SamplingData[[#This Row],[Total]]&lt;&gt; 0, NOT(ISBLANK(SamplingData[[#This Row],[Candidate 5]]))),(SamplingData[[#This Row],[Total]]+SamplingData[[#This Row],[Winning Candidate]]-SamplingData[[#This Row],[Candidate 5]])/(SamplingData[[#Totals],[Winning Candidate]]-SamplingData[[#Totals],[Candidate 5]]), 0)</f>
        <v>0</v>
      </c>
      <c r="U213" s="100">
        <f>IF(AND(SamplingData[[#This Row],[Total]]&lt;&gt; 0, NOT(ISBLANK(SamplingData[[#This Row],[Candidate 6]]))),(SamplingData[[#This Row],[Total]]+SamplingData[[#This Row],[Losing Candidate]]-SamplingData[[#This Row],[Candidate 6]])/(SamplingData[[#Totals],[Winning Candidate]]-SamplingData[[#Totals],[Candidate 6]]), 0)</f>
        <v>0</v>
      </c>
      <c r="V213" s="100">
        <f>IF(AND(SamplingData[[#This Row],[Total]]&lt;&gt; 0, NOT(ISBLANK(SamplingData[[#This Row],[Candidate 7]]))),(SamplingData[[#This Row],[Total]]+SamplingData[[#This Row],[Winning Candidate]]-SamplingData[[#This Row],[Candidate 7]])/(SamplingData[[#Totals],[Winning Candidate]]-SamplingData[[#Totals],[Candidate 7]]), 0)</f>
        <v>0</v>
      </c>
      <c r="W213" s="100">
        <f>IF(AND(SamplingData[[#This Row],[Total]]&lt;&gt; 0, NOT(ISBLANK(SamplingData[[#This Row],[Candidate 8]]))),(SamplingData[[#This Row],[Total]]+SamplingData[[#This Row],[Winning Candidate]]-SamplingData[[#This Row],[Candidate 8]])/(SamplingData[[#Totals],[Winning Candidate]]-SamplingData[[#Totals],[Candidate 8]]), 0)</f>
        <v>0</v>
      </c>
      <c r="X2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00">
        <f>MAX(SamplingData[[#This Row],[Error Bound (up) - Max. possible relative overstatement - Losing Candidate]:[Error Bound (up) - Max. possible relative overstatement - Candidate 12]])</f>
        <v>5.3396990922511547E-4</v>
      </c>
      <c r="AC213" s="100">
        <f>IF(SamplingData[[#This Row],[Max Error Bound (up)]] = 0,0,SamplingData[[#This Row],[Max Error Bound (up)]]/SamplingData[[#Totals],[Max Error Bound (up)]])</f>
        <v>2.2882679157917418E-4</v>
      </c>
      <c r="AD213" s="104">
        <f>SUM($AC$5:AC213)</f>
        <v>3.3933667151241062E-2</v>
      </c>
      <c r="AE213" s="100" t="str" cm="1">
        <f t="array" ref="AE213">IF(SamplingData[[#This Row],[up/U Selection Probability]] = 0, "Zero", TEXT(SamplingData[[#This Row],[Lower Range]], REPT("0",LEN('General Info'!$B$42))) &amp; " - " &amp; TEXT(SamplingData[[#This Row],[Upper Range]], REPT("0",LEN('General Info'!$B$42))))</f>
        <v>03370 - 03392</v>
      </c>
      <c r="AF213" s="100">
        <f>SamplingData[[#This Row],[Upper Range]]-SamplingData[[#This Row],[Span]]</f>
        <v>3370.4840359661889</v>
      </c>
      <c r="AG213" s="100">
        <f>IF(ISNUMBER('General Info'!$B$42), ((SamplingData[[#This Row],[up/U Selection Probability]]) * 'General Info'!$B$44) - 1, 0)</f>
        <v>21.882679157917419</v>
      </c>
      <c r="AH213" s="100">
        <f>IF(ISNUMBER('General Info'!$B$42), (SamplingData[[#This Row],[Running (cumulative) sum]] * ('General Info'!$B$42 -'General Info'!$B$43 + 1)) + 'General Info'!$B$43 - 1, 0)</f>
        <v>3392.3667151241061</v>
      </c>
      <c r="AI213" s="100" t="str">
        <f>IF(ISERROR(MATCH(SamplingData[[#This Row],[Batch by Type (p)]],SelectedPrecincts[Batch Name], 0)), "", INDEX(SelectedPrecincts[Draw], MATCH(SamplingData[[#This Row],[Batch by Type (p)]],SelectedPrecincts[Batch Name], 0)))</f>
        <v/>
      </c>
      <c r="AJ213" s="101">
        <f>IF(COUNTIF(SelectedPrecincts[Batch Name],SamplingData[[#This Row],[Batch by Type (p)]]) &lt;&gt; 0, COUNTIF(SelectedPrecincts[Batch Name],SamplingData[[#This Row],[Batch by Type (p)]]), 0)</f>
        <v>0</v>
      </c>
    </row>
    <row r="214" spans="1:36" ht="15" customHeight="1" x14ac:dyDescent="0.35">
      <c r="A214" s="98" t="s">
        <v>426</v>
      </c>
      <c r="B214" s="98">
        <v>2</v>
      </c>
      <c r="C214" s="98">
        <v>0</v>
      </c>
      <c r="D214" s="93"/>
      <c r="E214" s="93"/>
      <c r="F214" s="93"/>
      <c r="G214" s="97"/>
      <c r="H214" s="97"/>
      <c r="I214" s="93"/>
      <c r="J214" s="93"/>
      <c r="K214" s="93"/>
      <c r="L214" s="93"/>
      <c r="M214" s="93"/>
      <c r="N214" s="98">
        <v>0</v>
      </c>
      <c r="O214" s="98">
        <v>0</v>
      </c>
      <c r="P214" s="99">
        <f>SUM(SamplingData[[#This Row],[Winning Candidate]:[Under Votes]])</f>
        <v>2</v>
      </c>
      <c r="Q214"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214" s="100">
        <f>IF(AND(SamplingData[[#This Row],[Total]]&lt;&gt; 0, NOT(ISBLANK(SamplingData[[#This Row],[Candidate 3]]))),(SamplingData[[#This Row],[Total]]+SamplingData[[#This Row],[Winning Candidate]]-SamplingData[[#This Row],[Candidate 3]])/(SamplingData[[#Totals],[Winning Candidate]]-SamplingData[[#Totals],[Candidate 3]]), 0)</f>
        <v>0</v>
      </c>
      <c r="S214" s="100">
        <f>IF(AND(SamplingData[[#This Row],[Total]]&lt;&gt; 0, NOT(ISBLANK(SamplingData[[#This Row],[Candidate 4]]))),(SamplingData[[#This Row],[Total]]+SamplingData[[#This Row],[Winning Candidate]]-SamplingData[[#This Row],[Candidate 4]])/(SamplingData[[#Totals],[Winning Candidate]]-SamplingData[[#Totals],[Candidate 4]]), 0)</f>
        <v>0</v>
      </c>
      <c r="T214" s="100">
        <f>IF(AND(SamplingData[[#This Row],[Total]]&lt;&gt; 0, NOT(ISBLANK(SamplingData[[#This Row],[Candidate 5]]))),(SamplingData[[#This Row],[Total]]+SamplingData[[#This Row],[Winning Candidate]]-SamplingData[[#This Row],[Candidate 5]])/(SamplingData[[#Totals],[Winning Candidate]]-SamplingData[[#Totals],[Candidate 5]]), 0)</f>
        <v>0</v>
      </c>
      <c r="U214" s="100">
        <f>IF(AND(SamplingData[[#This Row],[Total]]&lt;&gt; 0, NOT(ISBLANK(SamplingData[[#This Row],[Candidate 6]]))),(SamplingData[[#This Row],[Total]]+SamplingData[[#This Row],[Losing Candidate]]-SamplingData[[#This Row],[Candidate 6]])/(SamplingData[[#Totals],[Winning Candidate]]-SamplingData[[#Totals],[Candidate 6]]), 0)</f>
        <v>0</v>
      </c>
      <c r="V214" s="100">
        <f>IF(AND(SamplingData[[#This Row],[Total]]&lt;&gt; 0, NOT(ISBLANK(SamplingData[[#This Row],[Candidate 7]]))),(SamplingData[[#This Row],[Total]]+SamplingData[[#This Row],[Winning Candidate]]-SamplingData[[#This Row],[Candidate 7]])/(SamplingData[[#Totals],[Winning Candidate]]-SamplingData[[#Totals],[Candidate 7]]), 0)</f>
        <v>0</v>
      </c>
      <c r="W214" s="100">
        <f>IF(AND(SamplingData[[#This Row],[Total]]&lt;&gt; 0, NOT(ISBLANK(SamplingData[[#This Row],[Candidate 8]]))),(SamplingData[[#This Row],[Total]]+SamplingData[[#This Row],[Winning Candidate]]-SamplingData[[#This Row],[Candidate 8]])/(SamplingData[[#Totals],[Winning Candidate]]-SamplingData[[#Totals],[Candidate 8]]), 0)</f>
        <v>0</v>
      </c>
      <c r="X2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00">
        <f>MAX(SamplingData[[#This Row],[Error Bound (up) - Max. possible relative overstatement - Losing Candidate]:[Error Bound (up) - Max. possible relative overstatement - Candidate 12]])</f>
        <v>1.2563997864120362E-4</v>
      </c>
      <c r="AC214" s="100">
        <f>IF(SamplingData[[#This Row],[Max Error Bound (up)]] = 0,0,SamplingData[[#This Row],[Max Error Bound (up)]]/SamplingData[[#Totals],[Max Error Bound (up)]])</f>
        <v>5.3841598018629206E-5</v>
      </c>
      <c r="AD214" s="104">
        <f>SUM($AC$5:AC214)</f>
        <v>3.3987508749259689E-2</v>
      </c>
      <c r="AE214" s="100" t="str" cm="1">
        <f t="array" ref="AE214">IF(SamplingData[[#This Row],[up/U Selection Probability]] = 0, "Zero", TEXT(SamplingData[[#This Row],[Lower Range]], REPT("0",LEN('General Info'!$B$42))) &amp; " - " &amp; TEXT(SamplingData[[#This Row],[Upper Range]], REPT("0",LEN('General Info'!$B$42))))</f>
        <v>03393 - 03398</v>
      </c>
      <c r="AF214" s="100">
        <f>SamplingData[[#This Row],[Upper Range]]-SamplingData[[#This Row],[Span]]</f>
        <v>3393.3667151241057</v>
      </c>
      <c r="AG214" s="100">
        <f>IF(ISNUMBER('General Info'!$B$42), ((SamplingData[[#This Row],[up/U Selection Probability]]) * 'General Info'!$B$44) - 1, 0)</f>
        <v>4.3841598018629204</v>
      </c>
      <c r="AH214" s="100">
        <f>IF(ISNUMBER('General Info'!$B$42), (SamplingData[[#This Row],[Running (cumulative) sum]] * ('General Info'!$B$42 -'General Info'!$B$43 + 1)) + 'General Info'!$B$43 - 1, 0)</f>
        <v>3397.7508749259687</v>
      </c>
      <c r="AI214" s="100" t="str">
        <f>IF(ISERROR(MATCH(SamplingData[[#This Row],[Batch by Type (p)]],SelectedPrecincts[Batch Name], 0)), "", INDEX(SelectedPrecincts[Draw], MATCH(SamplingData[[#This Row],[Batch by Type (p)]],SelectedPrecincts[Batch Name], 0)))</f>
        <v/>
      </c>
      <c r="AJ214" s="101">
        <f>IF(COUNTIF(SelectedPrecincts[Batch Name],SamplingData[[#This Row],[Batch by Type (p)]]) &lt;&gt; 0, COUNTIF(SelectedPrecincts[Batch Name],SamplingData[[#This Row],[Batch by Type (p)]]), 0)</f>
        <v>0</v>
      </c>
    </row>
    <row r="215" spans="1:36" ht="15" customHeight="1" x14ac:dyDescent="0.35">
      <c r="A215" s="98" t="s">
        <v>427</v>
      </c>
      <c r="B215" s="98">
        <v>3</v>
      </c>
      <c r="C215" s="98">
        <v>0</v>
      </c>
      <c r="D215" s="93"/>
      <c r="E215" s="93"/>
      <c r="F215" s="93"/>
      <c r="G215" s="97"/>
      <c r="H215" s="97"/>
      <c r="I215" s="93"/>
      <c r="J215" s="93"/>
      <c r="K215" s="93"/>
      <c r="L215" s="93"/>
      <c r="M215" s="93"/>
      <c r="N215" s="98">
        <v>0</v>
      </c>
      <c r="O215" s="98">
        <v>3</v>
      </c>
      <c r="P215" s="99">
        <f>SUM(SamplingData[[#This Row],[Winning Candidate]:[Under Votes]])</f>
        <v>6</v>
      </c>
      <c r="Q215"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215" s="100">
        <f>IF(AND(SamplingData[[#This Row],[Total]]&lt;&gt; 0, NOT(ISBLANK(SamplingData[[#This Row],[Candidate 3]]))),(SamplingData[[#This Row],[Total]]+SamplingData[[#This Row],[Winning Candidate]]-SamplingData[[#This Row],[Candidate 3]])/(SamplingData[[#Totals],[Winning Candidate]]-SamplingData[[#Totals],[Candidate 3]]), 0)</f>
        <v>0</v>
      </c>
      <c r="S215" s="100">
        <f>IF(AND(SamplingData[[#This Row],[Total]]&lt;&gt; 0, NOT(ISBLANK(SamplingData[[#This Row],[Candidate 4]]))),(SamplingData[[#This Row],[Total]]+SamplingData[[#This Row],[Winning Candidate]]-SamplingData[[#This Row],[Candidate 4]])/(SamplingData[[#Totals],[Winning Candidate]]-SamplingData[[#Totals],[Candidate 4]]), 0)</f>
        <v>0</v>
      </c>
      <c r="T215" s="100">
        <f>IF(AND(SamplingData[[#This Row],[Total]]&lt;&gt; 0, NOT(ISBLANK(SamplingData[[#This Row],[Candidate 5]]))),(SamplingData[[#This Row],[Total]]+SamplingData[[#This Row],[Winning Candidate]]-SamplingData[[#This Row],[Candidate 5]])/(SamplingData[[#Totals],[Winning Candidate]]-SamplingData[[#Totals],[Candidate 5]]), 0)</f>
        <v>0</v>
      </c>
      <c r="U215" s="100">
        <f>IF(AND(SamplingData[[#This Row],[Total]]&lt;&gt; 0, NOT(ISBLANK(SamplingData[[#This Row],[Candidate 6]]))),(SamplingData[[#This Row],[Total]]+SamplingData[[#This Row],[Losing Candidate]]-SamplingData[[#This Row],[Candidate 6]])/(SamplingData[[#Totals],[Winning Candidate]]-SamplingData[[#Totals],[Candidate 6]]), 0)</f>
        <v>0</v>
      </c>
      <c r="V215" s="100">
        <f>IF(AND(SamplingData[[#This Row],[Total]]&lt;&gt; 0, NOT(ISBLANK(SamplingData[[#This Row],[Candidate 7]]))),(SamplingData[[#This Row],[Total]]+SamplingData[[#This Row],[Winning Candidate]]-SamplingData[[#This Row],[Candidate 7]])/(SamplingData[[#Totals],[Winning Candidate]]-SamplingData[[#Totals],[Candidate 7]]), 0)</f>
        <v>0</v>
      </c>
      <c r="W215" s="100">
        <f>IF(AND(SamplingData[[#This Row],[Total]]&lt;&gt; 0, NOT(ISBLANK(SamplingData[[#This Row],[Candidate 8]]))),(SamplingData[[#This Row],[Total]]+SamplingData[[#This Row],[Winning Candidate]]-SamplingData[[#This Row],[Candidate 8]])/(SamplingData[[#Totals],[Winning Candidate]]-SamplingData[[#Totals],[Candidate 8]]), 0)</f>
        <v>0</v>
      </c>
      <c r="X2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00">
        <f>MAX(SamplingData[[#This Row],[Error Bound (up) - Max. possible relative overstatement - Losing Candidate]:[Error Bound (up) - Max. possible relative overstatement - Candidate 12]])</f>
        <v>2.8268995194270818E-4</v>
      </c>
      <c r="AC215" s="100">
        <f>IF(SamplingData[[#This Row],[Max Error Bound (up)]] = 0,0,SamplingData[[#This Row],[Max Error Bound (up)]]/SamplingData[[#Totals],[Max Error Bound (up)]])</f>
        <v>1.2114359554191572E-4</v>
      </c>
      <c r="AD215" s="104">
        <f>SUM($AC$5:AC215)</f>
        <v>3.4108652344801607E-2</v>
      </c>
      <c r="AE215" s="100" t="str" cm="1">
        <f t="array" ref="AE215">IF(SamplingData[[#This Row],[up/U Selection Probability]] = 0, "Zero", TEXT(SamplingData[[#This Row],[Lower Range]], REPT("0",LEN('General Info'!$B$42))) &amp; " - " &amp; TEXT(SamplingData[[#This Row],[Upper Range]], REPT("0",LEN('General Info'!$B$42))))</f>
        <v>03399 - 03410</v>
      </c>
      <c r="AF215" s="100">
        <f>SamplingData[[#This Row],[Upper Range]]-SamplingData[[#This Row],[Span]]</f>
        <v>3398.7508749259691</v>
      </c>
      <c r="AG215" s="100">
        <f>IF(ISNUMBER('General Info'!$B$42), ((SamplingData[[#This Row],[up/U Selection Probability]]) * 'General Info'!$B$44) - 1, 0)</f>
        <v>11.114359554191573</v>
      </c>
      <c r="AH215" s="100">
        <f>IF(ISNUMBER('General Info'!$B$42), (SamplingData[[#This Row],[Running (cumulative) sum]] * ('General Info'!$B$42 -'General Info'!$B$43 + 1)) + 'General Info'!$B$43 - 1, 0)</f>
        <v>3409.8652344801608</v>
      </c>
      <c r="AI215" s="100" t="str">
        <f>IF(ISERROR(MATCH(SamplingData[[#This Row],[Batch by Type (p)]],SelectedPrecincts[Batch Name], 0)), "", INDEX(SelectedPrecincts[Draw], MATCH(SamplingData[[#This Row],[Batch by Type (p)]],SelectedPrecincts[Batch Name], 0)))</f>
        <v/>
      </c>
      <c r="AJ215" s="101">
        <f>IF(COUNTIF(SelectedPrecincts[Batch Name],SamplingData[[#This Row],[Batch by Type (p)]]) &lt;&gt; 0, COUNTIF(SelectedPrecincts[Batch Name],SamplingData[[#This Row],[Batch by Type (p)]]), 0)</f>
        <v>0</v>
      </c>
    </row>
    <row r="216" spans="1:36" ht="15" customHeight="1" x14ac:dyDescent="0.35">
      <c r="A216" s="98" t="s">
        <v>428</v>
      </c>
      <c r="B216" s="98">
        <v>0</v>
      </c>
      <c r="C216" s="98">
        <v>0</v>
      </c>
      <c r="D216" s="93"/>
      <c r="E216" s="93"/>
      <c r="F216" s="93"/>
      <c r="G216" s="97"/>
      <c r="H216" s="97"/>
      <c r="I216" s="93"/>
      <c r="J216" s="93"/>
      <c r="K216" s="93"/>
      <c r="L216" s="93"/>
      <c r="M216" s="93"/>
      <c r="N216" s="98">
        <v>0</v>
      </c>
      <c r="O216" s="98">
        <v>0</v>
      </c>
      <c r="P216" s="99">
        <f>SUM(SamplingData[[#This Row],[Winning Candidate]:[Under Votes]])</f>
        <v>0</v>
      </c>
      <c r="Q216" s="100">
        <f>IF(AND(SamplingData[[#This Row],[Total]]&lt;&gt; 0, NOT(ISBLANK(SamplingData[[#This Row],[Losing Candidate]]))),(SamplingData[[#This Row],[Total]]+SamplingData[[#This Row],[Winning Candidate]]-SamplingData[[#This Row],[Losing Candidate]])/(SamplingData[[#Totals],[Winning Candidate]]-SamplingData[[#Totals],[Losing Candidate]]), 0)</f>
        <v>0</v>
      </c>
      <c r="R216" s="100">
        <f>IF(AND(SamplingData[[#This Row],[Total]]&lt;&gt; 0, NOT(ISBLANK(SamplingData[[#This Row],[Candidate 3]]))),(SamplingData[[#This Row],[Total]]+SamplingData[[#This Row],[Winning Candidate]]-SamplingData[[#This Row],[Candidate 3]])/(SamplingData[[#Totals],[Winning Candidate]]-SamplingData[[#Totals],[Candidate 3]]), 0)</f>
        <v>0</v>
      </c>
      <c r="S216" s="100">
        <f>IF(AND(SamplingData[[#This Row],[Total]]&lt;&gt; 0, NOT(ISBLANK(SamplingData[[#This Row],[Candidate 4]]))),(SamplingData[[#This Row],[Total]]+SamplingData[[#This Row],[Winning Candidate]]-SamplingData[[#This Row],[Candidate 4]])/(SamplingData[[#Totals],[Winning Candidate]]-SamplingData[[#Totals],[Candidate 4]]), 0)</f>
        <v>0</v>
      </c>
      <c r="T216" s="100">
        <f>IF(AND(SamplingData[[#This Row],[Total]]&lt;&gt; 0, NOT(ISBLANK(SamplingData[[#This Row],[Candidate 5]]))),(SamplingData[[#This Row],[Total]]+SamplingData[[#This Row],[Winning Candidate]]-SamplingData[[#This Row],[Candidate 5]])/(SamplingData[[#Totals],[Winning Candidate]]-SamplingData[[#Totals],[Candidate 5]]), 0)</f>
        <v>0</v>
      </c>
      <c r="U216" s="100">
        <f>IF(AND(SamplingData[[#This Row],[Total]]&lt;&gt; 0, NOT(ISBLANK(SamplingData[[#This Row],[Candidate 6]]))),(SamplingData[[#This Row],[Total]]+SamplingData[[#This Row],[Losing Candidate]]-SamplingData[[#This Row],[Candidate 6]])/(SamplingData[[#Totals],[Winning Candidate]]-SamplingData[[#Totals],[Candidate 6]]), 0)</f>
        <v>0</v>
      </c>
      <c r="V216" s="100">
        <f>IF(AND(SamplingData[[#This Row],[Total]]&lt;&gt; 0, NOT(ISBLANK(SamplingData[[#This Row],[Candidate 7]]))),(SamplingData[[#This Row],[Total]]+SamplingData[[#This Row],[Winning Candidate]]-SamplingData[[#This Row],[Candidate 7]])/(SamplingData[[#Totals],[Winning Candidate]]-SamplingData[[#Totals],[Candidate 7]]), 0)</f>
        <v>0</v>
      </c>
      <c r="W216" s="100">
        <f>IF(AND(SamplingData[[#This Row],[Total]]&lt;&gt; 0, NOT(ISBLANK(SamplingData[[#This Row],[Candidate 8]]))),(SamplingData[[#This Row],[Total]]+SamplingData[[#This Row],[Winning Candidate]]-SamplingData[[#This Row],[Candidate 8]])/(SamplingData[[#Totals],[Winning Candidate]]-SamplingData[[#Totals],[Candidate 8]]), 0)</f>
        <v>0</v>
      </c>
      <c r="X2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00">
        <f>MAX(SamplingData[[#This Row],[Error Bound (up) - Max. possible relative overstatement - Losing Candidate]:[Error Bound (up) - Max. possible relative overstatement - Candidate 12]])</f>
        <v>0</v>
      </c>
      <c r="AC216" s="100">
        <f>IF(SamplingData[[#This Row],[Max Error Bound (up)]] = 0,0,SamplingData[[#This Row],[Max Error Bound (up)]]/SamplingData[[#Totals],[Max Error Bound (up)]])</f>
        <v>0</v>
      </c>
      <c r="AD216" s="104">
        <f>SUM($AC$5:AC216)</f>
        <v>3.4108652344801607E-2</v>
      </c>
      <c r="AE216" s="100" t="str" cm="1">
        <f t="array" ref="AE216">IF(SamplingData[[#This Row],[up/U Selection Probability]] = 0, "Zero", TEXT(SamplingData[[#This Row],[Lower Range]], REPT("0",LEN('General Info'!$B$42))) &amp; " - " &amp; TEXT(SamplingData[[#This Row],[Upper Range]], REPT("0",LEN('General Info'!$B$42))))</f>
        <v>Zero</v>
      </c>
      <c r="AF216" s="100">
        <f>SamplingData[[#This Row],[Upper Range]]-SamplingData[[#This Row],[Span]]</f>
        <v>3410.8652344801608</v>
      </c>
      <c r="AG216" s="100">
        <f>IF(ISNUMBER('General Info'!$B$42), ((SamplingData[[#This Row],[up/U Selection Probability]]) * 'General Info'!$B$44) - 1, 0)</f>
        <v>-1</v>
      </c>
      <c r="AH216" s="100">
        <f>IF(ISNUMBER('General Info'!$B$42), (SamplingData[[#This Row],[Running (cumulative) sum]] * ('General Info'!$B$42 -'General Info'!$B$43 + 1)) + 'General Info'!$B$43 - 1, 0)</f>
        <v>3409.8652344801608</v>
      </c>
      <c r="AI216" s="100" t="str">
        <f>IF(ISERROR(MATCH(SamplingData[[#This Row],[Batch by Type (p)]],SelectedPrecincts[Batch Name], 0)), "", INDEX(SelectedPrecincts[Draw], MATCH(SamplingData[[#This Row],[Batch by Type (p)]],SelectedPrecincts[Batch Name], 0)))</f>
        <v/>
      </c>
      <c r="AJ216" s="101">
        <f>IF(COUNTIF(SelectedPrecincts[Batch Name],SamplingData[[#This Row],[Batch by Type (p)]]) &lt;&gt; 0, COUNTIF(SelectedPrecincts[Batch Name],SamplingData[[#This Row],[Batch by Type (p)]]), 0)</f>
        <v>0</v>
      </c>
    </row>
    <row r="217" spans="1:36" ht="15" customHeight="1" x14ac:dyDescent="0.35">
      <c r="A217" s="98" t="s">
        <v>429</v>
      </c>
      <c r="B217" s="98">
        <v>0</v>
      </c>
      <c r="C217" s="98">
        <v>0</v>
      </c>
      <c r="D217" s="93"/>
      <c r="E217" s="93"/>
      <c r="F217" s="93"/>
      <c r="G217" s="97"/>
      <c r="H217" s="97"/>
      <c r="I217" s="93"/>
      <c r="J217" s="93"/>
      <c r="K217" s="93"/>
      <c r="L217" s="93"/>
      <c r="M217" s="93"/>
      <c r="N217" s="98">
        <v>0</v>
      </c>
      <c r="O217" s="98">
        <v>0</v>
      </c>
      <c r="P217" s="99">
        <f>SUM(SamplingData[[#This Row],[Winning Candidate]:[Under Votes]])</f>
        <v>0</v>
      </c>
      <c r="Q217" s="100">
        <f>IF(AND(SamplingData[[#This Row],[Total]]&lt;&gt; 0, NOT(ISBLANK(SamplingData[[#This Row],[Losing Candidate]]))),(SamplingData[[#This Row],[Total]]+SamplingData[[#This Row],[Winning Candidate]]-SamplingData[[#This Row],[Losing Candidate]])/(SamplingData[[#Totals],[Winning Candidate]]-SamplingData[[#Totals],[Losing Candidate]]), 0)</f>
        <v>0</v>
      </c>
      <c r="R217" s="100">
        <f>IF(AND(SamplingData[[#This Row],[Total]]&lt;&gt; 0, NOT(ISBLANK(SamplingData[[#This Row],[Candidate 3]]))),(SamplingData[[#This Row],[Total]]+SamplingData[[#This Row],[Winning Candidate]]-SamplingData[[#This Row],[Candidate 3]])/(SamplingData[[#Totals],[Winning Candidate]]-SamplingData[[#Totals],[Candidate 3]]), 0)</f>
        <v>0</v>
      </c>
      <c r="S217" s="100">
        <f>IF(AND(SamplingData[[#This Row],[Total]]&lt;&gt; 0, NOT(ISBLANK(SamplingData[[#This Row],[Candidate 4]]))),(SamplingData[[#This Row],[Total]]+SamplingData[[#This Row],[Winning Candidate]]-SamplingData[[#This Row],[Candidate 4]])/(SamplingData[[#Totals],[Winning Candidate]]-SamplingData[[#Totals],[Candidate 4]]), 0)</f>
        <v>0</v>
      </c>
      <c r="T217" s="100">
        <f>IF(AND(SamplingData[[#This Row],[Total]]&lt;&gt; 0, NOT(ISBLANK(SamplingData[[#This Row],[Candidate 5]]))),(SamplingData[[#This Row],[Total]]+SamplingData[[#This Row],[Winning Candidate]]-SamplingData[[#This Row],[Candidate 5]])/(SamplingData[[#Totals],[Winning Candidate]]-SamplingData[[#Totals],[Candidate 5]]), 0)</f>
        <v>0</v>
      </c>
      <c r="U217" s="100">
        <f>IF(AND(SamplingData[[#This Row],[Total]]&lt;&gt; 0, NOT(ISBLANK(SamplingData[[#This Row],[Candidate 6]]))),(SamplingData[[#This Row],[Total]]+SamplingData[[#This Row],[Losing Candidate]]-SamplingData[[#This Row],[Candidate 6]])/(SamplingData[[#Totals],[Winning Candidate]]-SamplingData[[#Totals],[Candidate 6]]), 0)</f>
        <v>0</v>
      </c>
      <c r="V217" s="100">
        <f>IF(AND(SamplingData[[#This Row],[Total]]&lt;&gt; 0, NOT(ISBLANK(SamplingData[[#This Row],[Candidate 7]]))),(SamplingData[[#This Row],[Total]]+SamplingData[[#This Row],[Winning Candidate]]-SamplingData[[#This Row],[Candidate 7]])/(SamplingData[[#Totals],[Winning Candidate]]-SamplingData[[#Totals],[Candidate 7]]), 0)</f>
        <v>0</v>
      </c>
      <c r="W217" s="100">
        <f>IF(AND(SamplingData[[#This Row],[Total]]&lt;&gt; 0, NOT(ISBLANK(SamplingData[[#This Row],[Candidate 8]]))),(SamplingData[[#This Row],[Total]]+SamplingData[[#This Row],[Winning Candidate]]-SamplingData[[#This Row],[Candidate 8]])/(SamplingData[[#Totals],[Winning Candidate]]-SamplingData[[#Totals],[Candidate 8]]), 0)</f>
        <v>0</v>
      </c>
      <c r="X2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00">
        <f>MAX(SamplingData[[#This Row],[Error Bound (up) - Max. possible relative overstatement - Losing Candidate]:[Error Bound (up) - Max. possible relative overstatement - Candidate 12]])</f>
        <v>0</v>
      </c>
      <c r="AC217" s="100">
        <f>IF(SamplingData[[#This Row],[Max Error Bound (up)]] = 0,0,SamplingData[[#This Row],[Max Error Bound (up)]]/SamplingData[[#Totals],[Max Error Bound (up)]])</f>
        <v>0</v>
      </c>
      <c r="AD217" s="104">
        <f>SUM($AC$5:AC217)</f>
        <v>3.4108652344801607E-2</v>
      </c>
      <c r="AE217" s="100" t="str" cm="1">
        <f t="array" ref="AE217">IF(SamplingData[[#This Row],[up/U Selection Probability]] = 0, "Zero", TEXT(SamplingData[[#This Row],[Lower Range]], REPT("0",LEN('General Info'!$B$42))) &amp; " - " &amp; TEXT(SamplingData[[#This Row],[Upper Range]], REPT("0",LEN('General Info'!$B$42))))</f>
        <v>Zero</v>
      </c>
      <c r="AF217" s="100">
        <f>SamplingData[[#This Row],[Upper Range]]-SamplingData[[#This Row],[Span]]</f>
        <v>3410.8652344801608</v>
      </c>
      <c r="AG217" s="100">
        <f>IF(ISNUMBER('General Info'!$B$42), ((SamplingData[[#This Row],[up/U Selection Probability]]) * 'General Info'!$B$44) - 1, 0)</f>
        <v>-1</v>
      </c>
      <c r="AH217" s="100">
        <f>IF(ISNUMBER('General Info'!$B$42), (SamplingData[[#This Row],[Running (cumulative) sum]] * ('General Info'!$B$42 -'General Info'!$B$43 + 1)) + 'General Info'!$B$43 - 1, 0)</f>
        <v>3409.8652344801608</v>
      </c>
      <c r="AI217" s="100" t="str">
        <f>IF(ISERROR(MATCH(SamplingData[[#This Row],[Batch by Type (p)]],SelectedPrecincts[Batch Name], 0)), "", INDEX(SelectedPrecincts[Draw], MATCH(SamplingData[[#This Row],[Batch by Type (p)]],SelectedPrecincts[Batch Name], 0)))</f>
        <v/>
      </c>
      <c r="AJ217" s="101">
        <f>IF(COUNTIF(SelectedPrecincts[Batch Name],SamplingData[[#This Row],[Batch by Type (p)]]) &lt;&gt; 0, COUNTIF(SelectedPrecincts[Batch Name],SamplingData[[#This Row],[Batch by Type (p)]]), 0)</f>
        <v>0</v>
      </c>
    </row>
    <row r="218" spans="1:36" ht="15" customHeight="1" x14ac:dyDescent="0.35">
      <c r="A218" s="98" t="s">
        <v>430</v>
      </c>
      <c r="B218" s="98">
        <v>0</v>
      </c>
      <c r="C218" s="98">
        <v>0</v>
      </c>
      <c r="D218" s="93"/>
      <c r="E218" s="93"/>
      <c r="F218" s="93"/>
      <c r="G218" s="97"/>
      <c r="H218" s="97"/>
      <c r="I218" s="93"/>
      <c r="J218" s="93"/>
      <c r="K218" s="93"/>
      <c r="L218" s="93"/>
      <c r="M218" s="93"/>
      <c r="N218" s="98">
        <v>0</v>
      </c>
      <c r="O218" s="98">
        <v>0</v>
      </c>
      <c r="P218" s="99">
        <f>SUM(SamplingData[[#This Row],[Winning Candidate]:[Under Votes]])</f>
        <v>0</v>
      </c>
      <c r="Q218" s="100">
        <f>IF(AND(SamplingData[[#This Row],[Total]]&lt;&gt; 0, NOT(ISBLANK(SamplingData[[#This Row],[Losing Candidate]]))),(SamplingData[[#This Row],[Total]]+SamplingData[[#This Row],[Winning Candidate]]-SamplingData[[#This Row],[Losing Candidate]])/(SamplingData[[#Totals],[Winning Candidate]]-SamplingData[[#Totals],[Losing Candidate]]), 0)</f>
        <v>0</v>
      </c>
      <c r="R218" s="100">
        <f>IF(AND(SamplingData[[#This Row],[Total]]&lt;&gt; 0, NOT(ISBLANK(SamplingData[[#This Row],[Candidate 3]]))),(SamplingData[[#This Row],[Total]]+SamplingData[[#This Row],[Winning Candidate]]-SamplingData[[#This Row],[Candidate 3]])/(SamplingData[[#Totals],[Winning Candidate]]-SamplingData[[#Totals],[Candidate 3]]), 0)</f>
        <v>0</v>
      </c>
      <c r="S218" s="100">
        <f>IF(AND(SamplingData[[#This Row],[Total]]&lt;&gt; 0, NOT(ISBLANK(SamplingData[[#This Row],[Candidate 4]]))),(SamplingData[[#This Row],[Total]]+SamplingData[[#This Row],[Winning Candidate]]-SamplingData[[#This Row],[Candidate 4]])/(SamplingData[[#Totals],[Winning Candidate]]-SamplingData[[#Totals],[Candidate 4]]), 0)</f>
        <v>0</v>
      </c>
      <c r="T218" s="100">
        <f>IF(AND(SamplingData[[#This Row],[Total]]&lt;&gt; 0, NOT(ISBLANK(SamplingData[[#This Row],[Candidate 5]]))),(SamplingData[[#This Row],[Total]]+SamplingData[[#This Row],[Winning Candidate]]-SamplingData[[#This Row],[Candidate 5]])/(SamplingData[[#Totals],[Winning Candidate]]-SamplingData[[#Totals],[Candidate 5]]), 0)</f>
        <v>0</v>
      </c>
      <c r="U218" s="100">
        <f>IF(AND(SamplingData[[#This Row],[Total]]&lt;&gt; 0, NOT(ISBLANK(SamplingData[[#This Row],[Candidate 6]]))),(SamplingData[[#This Row],[Total]]+SamplingData[[#This Row],[Losing Candidate]]-SamplingData[[#This Row],[Candidate 6]])/(SamplingData[[#Totals],[Winning Candidate]]-SamplingData[[#Totals],[Candidate 6]]), 0)</f>
        <v>0</v>
      </c>
      <c r="V218" s="100">
        <f>IF(AND(SamplingData[[#This Row],[Total]]&lt;&gt; 0, NOT(ISBLANK(SamplingData[[#This Row],[Candidate 7]]))),(SamplingData[[#This Row],[Total]]+SamplingData[[#This Row],[Winning Candidate]]-SamplingData[[#This Row],[Candidate 7]])/(SamplingData[[#Totals],[Winning Candidate]]-SamplingData[[#Totals],[Candidate 7]]), 0)</f>
        <v>0</v>
      </c>
      <c r="W218" s="100">
        <f>IF(AND(SamplingData[[#This Row],[Total]]&lt;&gt; 0, NOT(ISBLANK(SamplingData[[#This Row],[Candidate 8]]))),(SamplingData[[#This Row],[Total]]+SamplingData[[#This Row],[Winning Candidate]]-SamplingData[[#This Row],[Candidate 8]])/(SamplingData[[#Totals],[Winning Candidate]]-SamplingData[[#Totals],[Candidate 8]]), 0)</f>
        <v>0</v>
      </c>
      <c r="X2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00">
        <f>MAX(SamplingData[[#This Row],[Error Bound (up) - Max. possible relative overstatement - Losing Candidate]:[Error Bound (up) - Max. possible relative overstatement - Candidate 12]])</f>
        <v>0</v>
      </c>
      <c r="AC218" s="100">
        <f>IF(SamplingData[[#This Row],[Max Error Bound (up)]] = 0,0,SamplingData[[#This Row],[Max Error Bound (up)]]/SamplingData[[#Totals],[Max Error Bound (up)]])</f>
        <v>0</v>
      </c>
      <c r="AD218" s="104">
        <f>SUM($AC$5:AC218)</f>
        <v>3.4108652344801607E-2</v>
      </c>
      <c r="AE218" s="100" t="str" cm="1">
        <f t="array" ref="AE218">IF(SamplingData[[#This Row],[up/U Selection Probability]] = 0, "Zero", TEXT(SamplingData[[#This Row],[Lower Range]], REPT("0",LEN('General Info'!$B$42))) &amp; " - " &amp; TEXT(SamplingData[[#This Row],[Upper Range]], REPT("0",LEN('General Info'!$B$42))))</f>
        <v>Zero</v>
      </c>
      <c r="AF218" s="100">
        <f>SamplingData[[#This Row],[Upper Range]]-SamplingData[[#This Row],[Span]]</f>
        <v>3410.8652344801608</v>
      </c>
      <c r="AG218" s="100">
        <f>IF(ISNUMBER('General Info'!$B$42), ((SamplingData[[#This Row],[up/U Selection Probability]]) * 'General Info'!$B$44) - 1, 0)</f>
        <v>-1</v>
      </c>
      <c r="AH218" s="100">
        <f>IF(ISNUMBER('General Info'!$B$42), (SamplingData[[#This Row],[Running (cumulative) sum]] * ('General Info'!$B$42 -'General Info'!$B$43 + 1)) + 'General Info'!$B$43 - 1, 0)</f>
        <v>3409.8652344801608</v>
      </c>
      <c r="AI218" s="100" t="str">
        <f>IF(ISERROR(MATCH(SamplingData[[#This Row],[Batch by Type (p)]],SelectedPrecincts[Batch Name], 0)), "", INDEX(SelectedPrecincts[Draw], MATCH(SamplingData[[#This Row],[Batch by Type (p)]],SelectedPrecincts[Batch Name], 0)))</f>
        <v/>
      </c>
      <c r="AJ218" s="101">
        <f>IF(COUNTIF(SelectedPrecincts[Batch Name],SamplingData[[#This Row],[Batch by Type (p)]]) &lt;&gt; 0, COUNTIF(SelectedPrecincts[Batch Name],SamplingData[[#This Row],[Batch by Type (p)]]), 0)</f>
        <v>0</v>
      </c>
    </row>
    <row r="219" spans="1:36" ht="15" customHeight="1" x14ac:dyDescent="0.35">
      <c r="A219" s="98" t="s">
        <v>431</v>
      </c>
      <c r="B219" s="98">
        <v>0</v>
      </c>
      <c r="C219" s="98">
        <v>0</v>
      </c>
      <c r="D219" s="93"/>
      <c r="E219" s="93"/>
      <c r="F219" s="93"/>
      <c r="G219" s="97"/>
      <c r="H219" s="97"/>
      <c r="I219" s="93"/>
      <c r="J219" s="93"/>
      <c r="K219" s="93"/>
      <c r="L219" s="93"/>
      <c r="M219" s="93"/>
      <c r="N219" s="98">
        <v>0</v>
      </c>
      <c r="O219" s="98">
        <v>0</v>
      </c>
      <c r="P219" s="99">
        <f>SUM(SamplingData[[#This Row],[Winning Candidate]:[Under Votes]])</f>
        <v>0</v>
      </c>
      <c r="Q219" s="100">
        <f>IF(AND(SamplingData[[#This Row],[Total]]&lt;&gt; 0, NOT(ISBLANK(SamplingData[[#This Row],[Losing Candidate]]))),(SamplingData[[#This Row],[Total]]+SamplingData[[#This Row],[Winning Candidate]]-SamplingData[[#This Row],[Losing Candidate]])/(SamplingData[[#Totals],[Winning Candidate]]-SamplingData[[#Totals],[Losing Candidate]]), 0)</f>
        <v>0</v>
      </c>
      <c r="R219" s="100">
        <f>IF(AND(SamplingData[[#This Row],[Total]]&lt;&gt; 0, NOT(ISBLANK(SamplingData[[#This Row],[Candidate 3]]))),(SamplingData[[#This Row],[Total]]+SamplingData[[#This Row],[Winning Candidate]]-SamplingData[[#This Row],[Candidate 3]])/(SamplingData[[#Totals],[Winning Candidate]]-SamplingData[[#Totals],[Candidate 3]]), 0)</f>
        <v>0</v>
      </c>
      <c r="S219" s="100">
        <f>IF(AND(SamplingData[[#This Row],[Total]]&lt;&gt; 0, NOT(ISBLANK(SamplingData[[#This Row],[Candidate 4]]))),(SamplingData[[#This Row],[Total]]+SamplingData[[#This Row],[Winning Candidate]]-SamplingData[[#This Row],[Candidate 4]])/(SamplingData[[#Totals],[Winning Candidate]]-SamplingData[[#Totals],[Candidate 4]]), 0)</f>
        <v>0</v>
      </c>
      <c r="T219" s="100">
        <f>IF(AND(SamplingData[[#This Row],[Total]]&lt;&gt; 0, NOT(ISBLANK(SamplingData[[#This Row],[Candidate 5]]))),(SamplingData[[#This Row],[Total]]+SamplingData[[#This Row],[Winning Candidate]]-SamplingData[[#This Row],[Candidate 5]])/(SamplingData[[#Totals],[Winning Candidate]]-SamplingData[[#Totals],[Candidate 5]]), 0)</f>
        <v>0</v>
      </c>
      <c r="U219" s="100">
        <f>IF(AND(SamplingData[[#This Row],[Total]]&lt;&gt; 0, NOT(ISBLANK(SamplingData[[#This Row],[Candidate 6]]))),(SamplingData[[#This Row],[Total]]+SamplingData[[#This Row],[Losing Candidate]]-SamplingData[[#This Row],[Candidate 6]])/(SamplingData[[#Totals],[Winning Candidate]]-SamplingData[[#Totals],[Candidate 6]]), 0)</f>
        <v>0</v>
      </c>
      <c r="V219" s="100">
        <f>IF(AND(SamplingData[[#This Row],[Total]]&lt;&gt; 0, NOT(ISBLANK(SamplingData[[#This Row],[Candidate 7]]))),(SamplingData[[#This Row],[Total]]+SamplingData[[#This Row],[Winning Candidate]]-SamplingData[[#This Row],[Candidate 7]])/(SamplingData[[#Totals],[Winning Candidate]]-SamplingData[[#Totals],[Candidate 7]]), 0)</f>
        <v>0</v>
      </c>
      <c r="W219" s="100">
        <f>IF(AND(SamplingData[[#This Row],[Total]]&lt;&gt; 0, NOT(ISBLANK(SamplingData[[#This Row],[Candidate 8]]))),(SamplingData[[#This Row],[Total]]+SamplingData[[#This Row],[Winning Candidate]]-SamplingData[[#This Row],[Candidate 8]])/(SamplingData[[#Totals],[Winning Candidate]]-SamplingData[[#Totals],[Candidate 8]]), 0)</f>
        <v>0</v>
      </c>
      <c r="X2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00">
        <f>MAX(SamplingData[[#This Row],[Error Bound (up) - Max. possible relative overstatement - Losing Candidate]:[Error Bound (up) - Max. possible relative overstatement - Candidate 12]])</f>
        <v>0</v>
      </c>
      <c r="AC219" s="100">
        <f>IF(SamplingData[[#This Row],[Max Error Bound (up)]] = 0,0,SamplingData[[#This Row],[Max Error Bound (up)]]/SamplingData[[#Totals],[Max Error Bound (up)]])</f>
        <v>0</v>
      </c>
      <c r="AD219" s="104">
        <f>SUM($AC$5:AC219)</f>
        <v>3.4108652344801607E-2</v>
      </c>
      <c r="AE219" s="100" t="str" cm="1">
        <f t="array" ref="AE219">IF(SamplingData[[#This Row],[up/U Selection Probability]] = 0, "Zero", TEXT(SamplingData[[#This Row],[Lower Range]], REPT("0",LEN('General Info'!$B$42))) &amp; " - " &amp; TEXT(SamplingData[[#This Row],[Upper Range]], REPT("0",LEN('General Info'!$B$42))))</f>
        <v>Zero</v>
      </c>
      <c r="AF219" s="100">
        <f>SamplingData[[#This Row],[Upper Range]]-SamplingData[[#This Row],[Span]]</f>
        <v>3410.8652344801608</v>
      </c>
      <c r="AG219" s="100">
        <f>IF(ISNUMBER('General Info'!$B$42), ((SamplingData[[#This Row],[up/U Selection Probability]]) * 'General Info'!$B$44) - 1, 0)</f>
        <v>-1</v>
      </c>
      <c r="AH219" s="100">
        <f>IF(ISNUMBER('General Info'!$B$42), (SamplingData[[#This Row],[Running (cumulative) sum]] * ('General Info'!$B$42 -'General Info'!$B$43 + 1)) + 'General Info'!$B$43 - 1, 0)</f>
        <v>3409.8652344801608</v>
      </c>
      <c r="AI219" s="100" t="str">
        <f>IF(ISERROR(MATCH(SamplingData[[#This Row],[Batch by Type (p)]],SelectedPrecincts[Batch Name], 0)), "", INDEX(SelectedPrecincts[Draw], MATCH(SamplingData[[#This Row],[Batch by Type (p)]],SelectedPrecincts[Batch Name], 0)))</f>
        <v/>
      </c>
      <c r="AJ219" s="101">
        <f>IF(COUNTIF(SelectedPrecincts[Batch Name],SamplingData[[#This Row],[Batch by Type (p)]]) &lt;&gt; 0, COUNTIF(SelectedPrecincts[Batch Name],SamplingData[[#This Row],[Batch by Type (p)]]), 0)</f>
        <v>0</v>
      </c>
    </row>
    <row r="220" spans="1:36" ht="15" customHeight="1" x14ac:dyDescent="0.35">
      <c r="A220" s="98" t="s">
        <v>432</v>
      </c>
      <c r="B220" s="98">
        <v>2</v>
      </c>
      <c r="C220" s="98">
        <v>1</v>
      </c>
      <c r="D220" s="93"/>
      <c r="E220" s="93"/>
      <c r="F220" s="93"/>
      <c r="G220" s="97"/>
      <c r="H220" s="97"/>
      <c r="I220" s="93"/>
      <c r="J220" s="93"/>
      <c r="K220" s="93"/>
      <c r="L220" s="93"/>
      <c r="M220" s="93"/>
      <c r="N220" s="98">
        <v>0</v>
      </c>
      <c r="O220" s="98">
        <v>0</v>
      </c>
      <c r="P220" s="99">
        <f>SUM(SamplingData[[#This Row],[Winning Candidate]:[Under Votes]])</f>
        <v>3</v>
      </c>
      <c r="Q220"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220" s="100">
        <f>IF(AND(SamplingData[[#This Row],[Total]]&lt;&gt; 0, NOT(ISBLANK(SamplingData[[#This Row],[Candidate 3]]))),(SamplingData[[#This Row],[Total]]+SamplingData[[#This Row],[Winning Candidate]]-SamplingData[[#This Row],[Candidate 3]])/(SamplingData[[#Totals],[Winning Candidate]]-SamplingData[[#Totals],[Candidate 3]]), 0)</f>
        <v>0</v>
      </c>
      <c r="S220" s="100">
        <f>IF(AND(SamplingData[[#This Row],[Total]]&lt;&gt; 0, NOT(ISBLANK(SamplingData[[#This Row],[Candidate 4]]))),(SamplingData[[#This Row],[Total]]+SamplingData[[#This Row],[Winning Candidate]]-SamplingData[[#This Row],[Candidate 4]])/(SamplingData[[#Totals],[Winning Candidate]]-SamplingData[[#Totals],[Candidate 4]]), 0)</f>
        <v>0</v>
      </c>
      <c r="T220" s="100">
        <f>IF(AND(SamplingData[[#This Row],[Total]]&lt;&gt; 0, NOT(ISBLANK(SamplingData[[#This Row],[Candidate 5]]))),(SamplingData[[#This Row],[Total]]+SamplingData[[#This Row],[Winning Candidate]]-SamplingData[[#This Row],[Candidate 5]])/(SamplingData[[#Totals],[Winning Candidate]]-SamplingData[[#Totals],[Candidate 5]]), 0)</f>
        <v>0</v>
      </c>
      <c r="U220" s="100">
        <f>IF(AND(SamplingData[[#This Row],[Total]]&lt;&gt; 0, NOT(ISBLANK(SamplingData[[#This Row],[Candidate 6]]))),(SamplingData[[#This Row],[Total]]+SamplingData[[#This Row],[Losing Candidate]]-SamplingData[[#This Row],[Candidate 6]])/(SamplingData[[#Totals],[Winning Candidate]]-SamplingData[[#Totals],[Candidate 6]]), 0)</f>
        <v>0</v>
      </c>
      <c r="V220" s="100">
        <f>IF(AND(SamplingData[[#This Row],[Total]]&lt;&gt; 0, NOT(ISBLANK(SamplingData[[#This Row],[Candidate 7]]))),(SamplingData[[#This Row],[Total]]+SamplingData[[#This Row],[Winning Candidate]]-SamplingData[[#This Row],[Candidate 7]])/(SamplingData[[#Totals],[Winning Candidate]]-SamplingData[[#Totals],[Candidate 7]]), 0)</f>
        <v>0</v>
      </c>
      <c r="W220" s="100">
        <f>IF(AND(SamplingData[[#This Row],[Total]]&lt;&gt; 0, NOT(ISBLANK(SamplingData[[#This Row],[Candidate 8]]))),(SamplingData[[#This Row],[Total]]+SamplingData[[#This Row],[Winning Candidate]]-SamplingData[[#This Row],[Candidate 8]])/(SamplingData[[#Totals],[Winning Candidate]]-SamplingData[[#Totals],[Candidate 8]]), 0)</f>
        <v>0</v>
      </c>
      <c r="X2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00">
        <f>MAX(SamplingData[[#This Row],[Error Bound (up) - Max. possible relative overstatement - Losing Candidate]:[Error Bound (up) - Max. possible relative overstatement - Candidate 12]])</f>
        <v>1.2563997864120362E-4</v>
      </c>
      <c r="AC220" s="100">
        <f>IF(SamplingData[[#This Row],[Max Error Bound (up)]] = 0,0,SamplingData[[#This Row],[Max Error Bound (up)]]/SamplingData[[#Totals],[Max Error Bound (up)]])</f>
        <v>5.3841598018629206E-5</v>
      </c>
      <c r="AD220" s="104">
        <f>SUM($AC$5:AC220)</f>
        <v>3.4162493942820234E-2</v>
      </c>
      <c r="AE220" s="100" t="str" cm="1">
        <f t="array" ref="AE220">IF(SamplingData[[#This Row],[up/U Selection Probability]] = 0, "Zero", TEXT(SamplingData[[#This Row],[Lower Range]], REPT("0",LEN('General Info'!$B$42))) &amp; " - " &amp; TEXT(SamplingData[[#This Row],[Upper Range]], REPT("0",LEN('General Info'!$B$42))))</f>
        <v>03411 - 03415</v>
      </c>
      <c r="AF220" s="100">
        <f>SamplingData[[#This Row],[Upper Range]]-SamplingData[[#This Row],[Span]]</f>
        <v>3410.8652344801603</v>
      </c>
      <c r="AG220" s="100">
        <f>IF(ISNUMBER('General Info'!$B$42), ((SamplingData[[#This Row],[up/U Selection Probability]]) * 'General Info'!$B$44) - 1, 0)</f>
        <v>4.3841598018629204</v>
      </c>
      <c r="AH220" s="100">
        <f>IF(ISNUMBER('General Info'!$B$42), (SamplingData[[#This Row],[Running (cumulative) sum]] * ('General Info'!$B$42 -'General Info'!$B$43 + 1)) + 'General Info'!$B$43 - 1, 0)</f>
        <v>3415.2493942820233</v>
      </c>
      <c r="AI220" s="100" t="str">
        <f>IF(ISERROR(MATCH(SamplingData[[#This Row],[Batch by Type (p)]],SelectedPrecincts[Batch Name], 0)), "", INDEX(SelectedPrecincts[Draw], MATCH(SamplingData[[#This Row],[Batch by Type (p)]],SelectedPrecincts[Batch Name], 0)))</f>
        <v/>
      </c>
      <c r="AJ220" s="101">
        <f>IF(COUNTIF(SelectedPrecincts[Batch Name],SamplingData[[#This Row],[Batch by Type (p)]]) &lt;&gt; 0, COUNTIF(SelectedPrecincts[Batch Name],SamplingData[[#This Row],[Batch by Type (p)]]), 0)</f>
        <v>0</v>
      </c>
    </row>
    <row r="221" spans="1:36" ht="15" customHeight="1" x14ac:dyDescent="0.35">
      <c r="A221" s="98" t="s">
        <v>433</v>
      </c>
      <c r="B221" s="98">
        <v>0</v>
      </c>
      <c r="C221" s="98">
        <v>0</v>
      </c>
      <c r="D221" s="93"/>
      <c r="E221" s="93"/>
      <c r="F221" s="93"/>
      <c r="G221" s="97"/>
      <c r="H221" s="97"/>
      <c r="I221" s="93"/>
      <c r="J221" s="93"/>
      <c r="K221" s="93"/>
      <c r="L221" s="93"/>
      <c r="M221" s="93"/>
      <c r="N221" s="98">
        <v>0</v>
      </c>
      <c r="O221" s="98">
        <v>0</v>
      </c>
      <c r="P221" s="99">
        <f>SUM(SamplingData[[#This Row],[Winning Candidate]:[Under Votes]])</f>
        <v>0</v>
      </c>
      <c r="Q221" s="100">
        <f>IF(AND(SamplingData[[#This Row],[Total]]&lt;&gt; 0, NOT(ISBLANK(SamplingData[[#This Row],[Losing Candidate]]))),(SamplingData[[#This Row],[Total]]+SamplingData[[#This Row],[Winning Candidate]]-SamplingData[[#This Row],[Losing Candidate]])/(SamplingData[[#Totals],[Winning Candidate]]-SamplingData[[#Totals],[Losing Candidate]]), 0)</f>
        <v>0</v>
      </c>
      <c r="R221" s="100">
        <f>IF(AND(SamplingData[[#This Row],[Total]]&lt;&gt; 0, NOT(ISBLANK(SamplingData[[#This Row],[Candidate 3]]))),(SamplingData[[#This Row],[Total]]+SamplingData[[#This Row],[Winning Candidate]]-SamplingData[[#This Row],[Candidate 3]])/(SamplingData[[#Totals],[Winning Candidate]]-SamplingData[[#Totals],[Candidate 3]]), 0)</f>
        <v>0</v>
      </c>
      <c r="S221" s="100">
        <f>IF(AND(SamplingData[[#This Row],[Total]]&lt;&gt; 0, NOT(ISBLANK(SamplingData[[#This Row],[Candidate 4]]))),(SamplingData[[#This Row],[Total]]+SamplingData[[#This Row],[Winning Candidate]]-SamplingData[[#This Row],[Candidate 4]])/(SamplingData[[#Totals],[Winning Candidate]]-SamplingData[[#Totals],[Candidate 4]]), 0)</f>
        <v>0</v>
      </c>
      <c r="T221" s="100">
        <f>IF(AND(SamplingData[[#This Row],[Total]]&lt;&gt; 0, NOT(ISBLANK(SamplingData[[#This Row],[Candidate 5]]))),(SamplingData[[#This Row],[Total]]+SamplingData[[#This Row],[Winning Candidate]]-SamplingData[[#This Row],[Candidate 5]])/(SamplingData[[#Totals],[Winning Candidate]]-SamplingData[[#Totals],[Candidate 5]]), 0)</f>
        <v>0</v>
      </c>
      <c r="U221" s="100">
        <f>IF(AND(SamplingData[[#This Row],[Total]]&lt;&gt; 0, NOT(ISBLANK(SamplingData[[#This Row],[Candidate 6]]))),(SamplingData[[#This Row],[Total]]+SamplingData[[#This Row],[Losing Candidate]]-SamplingData[[#This Row],[Candidate 6]])/(SamplingData[[#Totals],[Winning Candidate]]-SamplingData[[#Totals],[Candidate 6]]), 0)</f>
        <v>0</v>
      </c>
      <c r="V221" s="100">
        <f>IF(AND(SamplingData[[#This Row],[Total]]&lt;&gt; 0, NOT(ISBLANK(SamplingData[[#This Row],[Candidate 7]]))),(SamplingData[[#This Row],[Total]]+SamplingData[[#This Row],[Winning Candidate]]-SamplingData[[#This Row],[Candidate 7]])/(SamplingData[[#Totals],[Winning Candidate]]-SamplingData[[#Totals],[Candidate 7]]), 0)</f>
        <v>0</v>
      </c>
      <c r="W221" s="100">
        <f>IF(AND(SamplingData[[#This Row],[Total]]&lt;&gt; 0, NOT(ISBLANK(SamplingData[[#This Row],[Candidate 8]]))),(SamplingData[[#This Row],[Total]]+SamplingData[[#This Row],[Winning Candidate]]-SamplingData[[#This Row],[Candidate 8]])/(SamplingData[[#Totals],[Winning Candidate]]-SamplingData[[#Totals],[Candidate 8]]), 0)</f>
        <v>0</v>
      </c>
      <c r="X2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00">
        <f>MAX(SamplingData[[#This Row],[Error Bound (up) - Max. possible relative overstatement - Losing Candidate]:[Error Bound (up) - Max. possible relative overstatement - Candidate 12]])</f>
        <v>0</v>
      </c>
      <c r="AC221" s="100">
        <f>IF(SamplingData[[#This Row],[Max Error Bound (up)]] = 0,0,SamplingData[[#This Row],[Max Error Bound (up)]]/SamplingData[[#Totals],[Max Error Bound (up)]])</f>
        <v>0</v>
      </c>
      <c r="AD221" s="104">
        <f>SUM($AC$5:AC221)</f>
        <v>3.4162493942820234E-2</v>
      </c>
      <c r="AE221" s="100" t="str" cm="1">
        <f t="array" ref="AE221">IF(SamplingData[[#This Row],[up/U Selection Probability]] = 0, "Zero", TEXT(SamplingData[[#This Row],[Lower Range]], REPT("0",LEN('General Info'!$B$42))) &amp; " - " &amp; TEXT(SamplingData[[#This Row],[Upper Range]], REPT("0",LEN('General Info'!$B$42))))</f>
        <v>Zero</v>
      </c>
      <c r="AF221" s="100">
        <f>SamplingData[[#This Row],[Upper Range]]-SamplingData[[#This Row],[Span]]</f>
        <v>3416.2493942820233</v>
      </c>
      <c r="AG221" s="100">
        <f>IF(ISNUMBER('General Info'!$B$42), ((SamplingData[[#This Row],[up/U Selection Probability]]) * 'General Info'!$B$44) - 1, 0)</f>
        <v>-1</v>
      </c>
      <c r="AH221" s="100">
        <f>IF(ISNUMBER('General Info'!$B$42), (SamplingData[[#This Row],[Running (cumulative) sum]] * ('General Info'!$B$42 -'General Info'!$B$43 + 1)) + 'General Info'!$B$43 - 1, 0)</f>
        <v>3415.2493942820233</v>
      </c>
      <c r="AI221" s="100" t="str">
        <f>IF(ISERROR(MATCH(SamplingData[[#This Row],[Batch by Type (p)]],SelectedPrecincts[Batch Name], 0)), "", INDEX(SelectedPrecincts[Draw], MATCH(SamplingData[[#This Row],[Batch by Type (p)]],SelectedPrecincts[Batch Name], 0)))</f>
        <v/>
      </c>
      <c r="AJ221" s="101">
        <f>IF(COUNTIF(SelectedPrecincts[Batch Name],SamplingData[[#This Row],[Batch by Type (p)]]) &lt;&gt; 0, COUNTIF(SelectedPrecincts[Batch Name],SamplingData[[#This Row],[Batch by Type (p)]]), 0)</f>
        <v>0</v>
      </c>
    </row>
    <row r="222" spans="1:36" ht="15" customHeight="1" x14ac:dyDescent="0.35">
      <c r="A222" s="98" t="s">
        <v>434</v>
      </c>
      <c r="B222" s="98">
        <v>6</v>
      </c>
      <c r="C222" s="98">
        <v>0</v>
      </c>
      <c r="D222" s="93"/>
      <c r="E222" s="93"/>
      <c r="F222" s="93"/>
      <c r="G222" s="97"/>
      <c r="H222" s="97"/>
      <c r="I222" s="93"/>
      <c r="J222" s="93"/>
      <c r="K222" s="93"/>
      <c r="L222" s="93"/>
      <c r="M222" s="93"/>
      <c r="N222" s="98">
        <v>0</v>
      </c>
      <c r="O222" s="98">
        <v>2</v>
      </c>
      <c r="P222" s="99">
        <f>SUM(SamplingData[[#This Row],[Winning Candidate]:[Under Votes]])</f>
        <v>8</v>
      </c>
      <c r="Q222"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222" s="100">
        <f>IF(AND(SamplingData[[#This Row],[Total]]&lt;&gt; 0, NOT(ISBLANK(SamplingData[[#This Row],[Candidate 3]]))),(SamplingData[[#This Row],[Total]]+SamplingData[[#This Row],[Winning Candidate]]-SamplingData[[#This Row],[Candidate 3]])/(SamplingData[[#Totals],[Winning Candidate]]-SamplingData[[#Totals],[Candidate 3]]), 0)</f>
        <v>0</v>
      </c>
      <c r="S222" s="100">
        <f>IF(AND(SamplingData[[#This Row],[Total]]&lt;&gt; 0, NOT(ISBLANK(SamplingData[[#This Row],[Candidate 4]]))),(SamplingData[[#This Row],[Total]]+SamplingData[[#This Row],[Winning Candidate]]-SamplingData[[#This Row],[Candidate 4]])/(SamplingData[[#Totals],[Winning Candidate]]-SamplingData[[#Totals],[Candidate 4]]), 0)</f>
        <v>0</v>
      </c>
      <c r="T222" s="100">
        <f>IF(AND(SamplingData[[#This Row],[Total]]&lt;&gt; 0, NOT(ISBLANK(SamplingData[[#This Row],[Candidate 5]]))),(SamplingData[[#This Row],[Total]]+SamplingData[[#This Row],[Winning Candidate]]-SamplingData[[#This Row],[Candidate 5]])/(SamplingData[[#Totals],[Winning Candidate]]-SamplingData[[#Totals],[Candidate 5]]), 0)</f>
        <v>0</v>
      </c>
      <c r="U222" s="100">
        <f>IF(AND(SamplingData[[#This Row],[Total]]&lt;&gt; 0, NOT(ISBLANK(SamplingData[[#This Row],[Candidate 6]]))),(SamplingData[[#This Row],[Total]]+SamplingData[[#This Row],[Losing Candidate]]-SamplingData[[#This Row],[Candidate 6]])/(SamplingData[[#Totals],[Winning Candidate]]-SamplingData[[#Totals],[Candidate 6]]), 0)</f>
        <v>0</v>
      </c>
      <c r="V222" s="100">
        <f>IF(AND(SamplingData[[#This Row],[Total]]&lt;&gt; 0, NOT(ISBLANK(SamplingData[[#This Row],[Candidate 7]]))),(SamplingData[[#This Row],[Total]]+SamplingData[[#This Row],[Winning Candidate]]-SamplingData[[#This Row],[Candidate 7]])/(SamplingData[[#Totals],[Winning Candidate]]-SamplingData[[#Totals],[Candidate 7]]), 0)</f>
        <v>0</v>
      </c>
      <c r="W222" s="100">
        <f>IF(AND(SamplingData[[#This Row],[Total]]&lt;&gt; 0, NOT(ISBLANK(SamplingData[[#This Row],[Candidate 8]]))),(SamplingData[[#This Row],[Total]]+SamplingData[[#This Row],[Winning Candidate]]-SamplingData[[#This Row],[Candidate 8]])/(SamplingData[[#Totals],[Winning Candidate]]-SamplingData[[#Totals],[Candidate 8]]), 0)</f>
        <v>0</v>
      </c>
      <c r="X2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00">
        <f>MAX(SamplingData[[#This Row],[Error Bound (up) - Max. possible relative overstatement - Losing Candidate]:[Error Bound (up) - Max. possible relative overstatement - Candidate 12]])</f>
        <v>4.3973992524421271E-4</v>
      </c>
      <c r="AC222" s="100">
        <f>IF(SamplingData[[#This Row],[Max Error Bound (up)]] = 0,0,SamplingData[[#This Row],[Max Error Bound (up)]]/SamplingData[[#Totals],[Max Error Bound (up)]])</f>
        <v>1.8844559306520223E-4</v>
      </c>
      <c r="AD222" s="104">
        <f>SUM($AC$5:AC222)</f>
        <v>3.4350939535885437E-2</v>
      </c>
      <c r="AE222" s="100" t="str" cm="1">
        <f t="array" ref="AE222">IF(SamplingData[[#This Row],[up/U Selection Probability]] = 0, "Zero", TEXT(SamplingData[[#This Row],[Lower Range]], REPT("0",LEN('General Info'!$B$42))) &amp; " - " &amp; TEXT(SamplingData[[#This Row],[Upper Range]], REPT("0",LEN('General Info'!$B$42))))</f>
        <v>03416 - 03434</v>
      </c>
      <c r="AF222" s="100">
        <f>SamplingData[[#This Row],[Upper Range]]-SamplingData[[#This Row],[Span]]</f>
        <v>3416.2493942820233</v>
      </c>
      <c r="AG222" s="100">
        <f>IF(ISNUMBER('General Info'!$B$42), ((SamplingData[[#This Row],[up/U Selection Probability]]) * 'General Info'!$B$44) - 1, 0)</f>
        <v>17.844559306520225</v>
      </c>
      <c r="AH222" s="100">
        <f>IF(ISNUMBER('General Info'!$B$42), (SamplingData[[#This Row],[Running (cumulative) sum]] * ('General Info'!$B$42 -'General Info'!$B$43 + 1)) + 'General Info'!$B$43 - 1, 0)</f>
        <v>3434.0939535885436</v>
      </c>
      <c r="AI222" s="100" t="str">
        <f>IF(ISERROR(MATCH(SamplingData[[#This Row],[Batch by Type (p)]],SelectedPrecincts[Batch Name], 0)), "", INDEX(SelectedPrecincts[Draw], MATCH(SamplingData[[#This Row],[Batch by Type (p)]],SelectedPrecincts[Batch Name], 0)))</f>
        <v/>
      </c>
      <c r="AJ222" s="101">
        <f>IF(COUNTIF(SelectedPrecincts[Batch Name],SamplingData[[#This Row],[Batch by Type (p)]]) &lt;&gt; 0, COUNTIF(SelectedPrecincts[Batch Name],SamplingData[[#This Row],[Batch by Type (p)]]), 0)</f>
        <v>0</v>
      </c>
    </row>
    <row r="223" spans="1:36" ht="15" customHeight="1" x14ac:dyDescent="0.35">
      <c r="A223" s="98" t="s">
        <v>435</v>
      </c>
      <c r="B223" s="98">
        <v>3</v>
      </c>
      <c r="C223" s="98">
        <v>0</v>
      </c>
      <c r="D223" s="93"/>
      <c r="E223" s="93"/>
      <c r="F223" s="93"/>
      <c r="G223" s="97"/>
      <c r="H223" s="97"/>
      <c r="I223" s="93"/>
      <c r="J223" s="93"/>
      <c r="K223" s="93"/>
      <c r="L223" s="93"/>
      <c r="M223" s="93"/>
      <c r="N223" s="98">
        <v>0</v>
      </c>
      <c r="O223" s="98">
        <v>0</v>
      </c>
      <c r="P223" s="99">
        <f>SUM(SamplingData[[#This Row],[Winning Candidate]:[Under Votes]])</f>
        <v>3</v>
      </c>
      <c r="Q223"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223" s="100">
        <f>IF(AND(SamplingData[[#This Row],[Total]]&lt;&gt; 0, NOT(ISBLANK(SamplingData[[#This Row],[Candidate 3]]))),(SamplingData[[#This Row],[Total]]+SamplingData[[#This Row],[Winning Candidate]]-SamplingData[[#This Row],[Candidate 3]])/(SamplingData[[#Totals],[Winning Candidate]]-SamplingData[[#Totals],[Candidate 3]]), 0)</f>
        <v>0</v>
      </c>
      <c r="S223" s="100">
        <f>IF(AND(SamplingData[[#This Row],[Total]]&lt;&gt; 0, NOT(ISBLANK(SamplingData[[#This Row],[Candidate 4]]))),(SamplingData[[#This Row],[Total]]+SamplingData[[#This Row],[Winning Candidate]]-SamplingData[[#This Row],[Candidate 4]])/(SamplingData[[#Totals],[Winning Candidate]]-SamplingData[[#Totals],[Candidate 4]]), 0)</f>
        <v>0</v>
      </c>
      <c r="T223" s="100">
        <f>IF(AND(SamplingData[[#This Row],[Total]]&lt;&gt; 0, NOT(ISBLANK(SamplingData[[#This Row],[Candidate 5]]))),(SamplingData[[#This Row],[Total]]+SamplingData[[#This Row],[Winning Candidate]]-SamplingData[[#This Row],[Candidate 5]])/(SamplingData[[#Totals],[Winning Candidate]]-SamplingData[[#Totals],[Candidate 5]]), 0)</f>
        <v>0</v>
      </c>
      <c r="U223" s="100">
        <f>IF(AND(SamplingData[[#This Row],[Total]]&lt;&gt; 0, NOT(ISBLANK(SamplingData[[#This Row],[Candidate 6]]))),(SamplingData[[#This Row],[Total]]+SamplingData[[#This Row],[Losing Candidate]]-SamplingData[[#This Row],[Candidate 6]])/(SamplingData[[#Totals],[Winning Candidate]]-SamplingData[[#Totals],[Candidate 6]]), 0)</f>
        <v>0</v>
      </c>
      <c r="V223" s="100">
        <f>IF(AND(SamplingData[[#This Row],[Total]]&lt;&gt; 0, NOT(ISBLANK(SamplingData[[#This Row],[Candidate 7]]))),(SamplingData[[#This Row],[Total]]+SamplingData[[#This Row],[Winning Candidate]]-SamplingData[[#This Row],[Candidate 7]])/(SamplingData[[#Totals],[Winning Candidate]]-SamplingData[[#Totals],[Candidate 7]]), 0)</f>
        <v>0</v>
      </c>
      <c r="W223" s="100">
        <f>IF(AND(SamplingData[[#This Row],[Total]]&lt;&gt; 0, NOT(ISBLANK(SamplingData[[#This Row],[Candidate 8]]))),(SamplingData[[#This Row],[Total]]+SamplingData[[#This Row],[Winning Candidate]]-SamplingData[[#This Row],[Candidate 8]])/(SamplingData[[#Totals],[Winning Candidate]]-SamplingData[[#Totals],[Candidate 8]]), 0)</f>
        <v>0</v>
      </c>
      <c r="X2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00">
        <f>MAX(SamplingData[[#This Row],[Error Bound (up) - Max. possible relative overstatement - Losing Candidate]:[Error Bound (up) - Max. possible relative overstatement - Candidate 12]])</f>
        <v>1.8845996796180544E-4</v>
      </c>
      <c r="AC223" s="100">
        <f>IF(SamplingData[[#This Row],[Max Error Bound (up)]] = 0,0,SamplingData[[#This Row],[Max Error Bound (up)]]/SamplingData[[#Totals],[Max Error Bound (up)]])</f>
        <v>8.0762397027943816E-5</v>
      </c>
      <c r="AD223" s="104">
        <f>SUM($AC$5:AC223)</f>
        <v>3.4431701932913381E-2</v>
      </c>
      <c r="AE223" s="100" t="str" cm="1">
        <f t="array" ref="AE223">IF(SamplingData[[#This Row],[up/U Selection Probability]] = 0, "Zero", TEXT(SamplingData[[#This Row],[Lower Range]], REPT("0",LEN('General Info'!$B$42))) &amp; " - " &amp; TEXT(SamplingData[[#This Row],[Upper Range]], REPT("0",LEN('General Info'!$B$42))))</f>
        <v>03435 - 03442</v>
      </c>
      <c r="AF223" s="100">
        <f>SamplingData[[#This Row],[Upper Range]]-SamplingData[[#This Row],[Span]]</f>
        <v>3435.0939535885436</v>
      </c>
      <c r="AG223" s="100">
        <f>IF(ISNUMBER('General Info'!$B$42), ((SamplingData[[#This Row],[up/U Selection Probability]]) * 'General Info'!$B$44) - 1, 0)</f>
        <v>7.076239702794382</v>
      </c>
      <c r="AH223" s="100">
        <f>IF(ISNUMBER('General Info'!$B$42), (SamplingData[[#This Row],[Running (cumulative) sum]] * ('General Info'!$B$42 -'General Info'!$B$43 + 1)) + 'General Info'!$B$43 - 1, 0)</f>
        <v>3442.1701932913379</v>
      </c>
      <c r="AI223" s="100" t="str">
        <f>IF(ISERROR(MATCH(SamplingData[[#This Row],[Batch by Type (p)]],SelectedPrecincts[Batch Name], 0)), "", INDEX(SelectedPrecincts[Draw], MATCH(SamplingData[[#This Row],[Batch by Type (p)]],SelectedPrecincts[Batch Name], 0)))</f>
        <v/>
      </c>
      <c r="AJ223" s="101">
        <f>IF(COUNTIF(SelectedPrecincts[Batch Name],SamplingData[[#This Row],[Batch by Type (p)]]) &lt;&gt; 0, COUNTIF(SelectedPrecincts[Batch Name],SamplingData[[#This Row],[Batch by Type (p)]]), 0)</f>
        <v>0</v>
      </c>
    </row>
    <row r="224" spans="1:36" ht="15" customHeight="1" x14ac:dyDescent="0.35">
      <c r="A224" s="98" t="s">
        <v>436</v>
      </c>
      <c r="B224" s="98">
        <v>1</v>
      </c>
      <c r="C224" s="98">
        <v>1</v>
      </c>
      <c r="D224" s="93"/>
      <c r="E224" s="93"/>
      <c r="F224" s="93"/>
      <c r="G224" s="97"/>
      <c r="H224" s="97"/>
      <c r="I224" s="93"/>
      <c r="J224" s="93"/>
      <c r="K224" s="93"/>
      <c r="L224" s="93"/>
      <c r="M224" s="93"/>
      <c r="N224" s="98">
        <v>0</v>
      </c>
      <c r="O224" s="98">
        <v>0</v>
      </c>
      <c r="P224" s="99">
        <f>SUM(SamplingData[[#This Row],[Winning Candidate]:[Under Votes]])</f>
        <v>2</v>
      </c>
      <c r="Q224"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224" s="100">
        <f>IF(AND(SamplingData[[#This Row],[Total]]&lt;&gt; 0, NOT(ISBLANK(SamplingData[[#This Row],[Candidate 3]]))),(SamplingData[[#This Row],[Total]]+SamplingData[[#This Row],[Winning Candidate]]-SamplingData[[#This Row],[Candidate 3]])/(SamplingData[[#Totals],[Winning Candidate]]-SamplingData[[#Totals],[Candidate 3]]), 0)</f>
        <v>0</v>
      </c>
      <c r="S224" s="100">
        <f>IF(AND(SamplingData[[#This Row],[Total]]&lt;&gt; 0, NOT(ISBLANK(SamplingData[[#This Row],[Candidate 4]]))),(SamplingData[[#This Row],[Total]]+SamplingData[[#This Row],[Winning Candidate]]-SamplingData[[#This Row],[Candidate 4]])/(SamplingData[[#Totals],[Winning Candidate]]-SamplingData[[#Totals],[Candidate 4]]), 0)</f>
        <v>0</v>
      </c>
      <c r="T224" s="100">
        <f>IF(AND(SamplingData[[#This Row],[Total]]&lt;&gt; 0, NOT(ISBLANK(SamplingData[[#This Row],[Candidate 5]]))),(SamplingData[[#This Row],[Total]]+SamplingData[[#This Row],[Winning Candidate]]-SamplingData[[#This Row],[Candidate 5]])/(SamplingData[[#Totals],[Winning Candidate]]-SamplingData[[#Totals],[Candidate 5]]), 0)</f>
        <v>0</v>
      </c>
      <c r="U224" s="100">
        <f>IF(AND(SamplingData[[#This Row],[Total]]&lt;&gt; 0, NOT(ISBLANK(SamplingData[[#This Row],[Candidate 6]]))),(SamplingData[[#This Row],[Total]]+SamplingData[[#This Row],[Losing Candidate]]-SamplingData[[#This Row],[Candidate 6]])/(SamplingData[[#Totals],[Winning Candidate]]-SamplingData[[#Totals],[Candidate 6]]), 0)</f>
        <v>0</v>
      </c>
      <c r="V224" s="100">
        <f>IF(AND(SamplingData[[#This Row],[Total]]&lt;&gt; 0, NOT(ISBLANK(SamplingData[[#This Row],[Candidate 7]]))),(SamplingData[[#This Row],[Total]]+SamplingData[[#This Row],[Winning Candidate]]-SamplingData[[#This Row],[Candidate 7]])/(SamplingData[[#Totals],[Winning Candidate]]-SamplingData[[#Totals],[Candidate 7]]), 0)</f>
        <v>0</v>
      </c>
      <c r="W224" s="100">
        <f>IF(AND(SamplingData[[#This Row],[Total]]&lt;&gt; 0, NOT(ISBLANK(SamplingData[[#This Row],[Candidate 8]]))),(SamplingData[[#This Row],[Total]]+SamplingData[[#This Row],[Winning Candidate]]-SamplingData[[#This Row],[Candidate 8]])/(SamplingData[[#Totals],[Winning Candidate]]-SamplingData[[#Totals],[Candidate 8]]), 0)</f>
        <v>0</v>
      </c>
      <c r="X2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00">
        <f>MAX(SamplingData[[#This Row],[Error Bound (up) - Max. possible relative overstatement - Losing Candidate]:[Error Bound (up) - Max. possible relative overstatement - Candidate 12]])</f>
        <v>6.2819989320601809E-5</v>
      </c>
      <c r="AC224" s="100">
        <f>IF(SamplingData[[#This Row],[Max Error Bound (up)]] = 0,0,SamplingData[[#This Row],[Max Error Bound (up)]]/SamplingData[[#Totals],[Max Error Bound (up)]])</f>
        <v>2.6920799009314603E-5</v>
      </c>
      <c r="AD224" s="104">
        <f>SUM($AC$5:AC224)</f>
        <v>3.4458622731922697E-2</v>
      </c>
      <c r="AE224" s="100" t="str" cm="1">
        <f t="array" ref="AE224">IF(SamplingData[[#This Row],[up/U Selection Probability]] = 0, "Zero", TEXT(SamplingData[[#This Row],[Lower Range]], REPT("0",LEN('General Info'!$B$42))) &amp; " - " &amp; TEXT(SamplingData[[#This Row],[Upper Range]], REPT("0",LEN('General Info'!$B$42))))</f>
        <v>03443 - 03445</v>
      </c>
      <c r="AF224" s="100">
        <f>SamplingData[[#This Row],[Upper Range]]-SamplingData[[#This Row],[Span]]</f>
        <v>3443.1701932913384</v>
      </c>
      <c r="AG224" s="100">
        <f>IF(ISNUMBER('General Info'!$B$42), ((SamplingData[[#This Row],[up/U Selection Probability]]) * 'General Info'!$B$44) - 1, 0)</f>
        <v>1.6920799009314602</v>
      </c>
      <c r="AH224" s="100">
        <f>IF(ISNUMBER('General Info'!$B$42), (SamplingData[[#This Row],[Running (cumulative) sum]] * ('General Info'!$B$42 -'General Info'!$B$43 + 1)) + 'General Info'!$B$43 - 1, 0)</f>
        <v>3444.8622731922696</v>
      </c>
      <c r="AI224" s="100" t="str">
        <f>IF(ISERROR(MATCH(SamplingData[[#This Row],[Batch by Type (p)]],SelectedPrecincts[Batch Name], 0)), "", INDEX(SelectedPrecincts[Draw], MATCH(SamplingData[[#This Row],[Batch by Type (p)]],SelectedPrecincts[Batch Name], 0)))</f>
        <v/>
      </c>
      <c r="AJ224" s="101">
        <f>IF(COUNTIF(SelectedPrecincts[Batch Name],SamplingData[[#This Row],[Batch by Type (p)]]) &lt;&gt; 0, COUNTIF(SelectedPrecincts[Batch Name],SamplingData[[#This Row],[Batch by Type (p)]]), 0)</f>
        <v>0</v>
      </c>
    </row>
    <row r="225" spans="1:36" ht="15" customHeight="1" x14ac:dyDescent="0.35">
      <c r="A225" s="98" t="s">
        <v>437</v>
      </c>
      <c r="B225" s="98">
        <v>4</v>
      </c>
      <c r="C225" s="98">
        <v>1</v>
      </c>
      <c r="D225" s="93"/>
      <c r="E225" s="93"/>
      <c r="F225" s="93"/>
      <c r="G225" s="97"/>
      <c r="H225" s="97"/>
      <c r="I225" s="93"/>
      <c r="J225" s="93"/>
      <c r="K225" s="93"/>
      <c r="L225" s="93"/>
      <c r="M225" s="93"/>
      <c r="N225" s="98">
        <v>0</v>
      </c>
      <c r="O225" s="98">
        <v>0</v>
      </c>
      <c r="P225" s="99">
        <f>SUM(SamplingData[[#This Row],[Winning Candidate]:[Under Votes]])</f>
        <v>5</v>
      </c>
      <c r="Q22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225" s="100">
        <f>IF(AND(SamplingData[[#This Row],[Total]]&lt;&gt; 0, NOT(ISBLANK(SamplingData[[#This Row],[Candidate 3]]))),(SamplingData[[#This Row],[Total]]+SamplingData[[#This Row],[Winning Candidate]]-SamplingData[[#This Row],[Candidate 3]])/(SamplingData[[#Totals],[Winning Candidate]]-SamplingData[[#Totals],[Candidate 3]]), 0)</f>
        <v>0</v>
      </c>
      <c r="S225" s="100">
        <f>IF(AND(SamplingData[[#This Row],[Total]]&lt;&gt; 0, NOT(ISBLANK(SamplingData[[#This Row],[Candidate 4]]))),(SamplingData[[#This Row],[Total]]+SamplingData[[#This Row],[Winning Candidate]]-SamplingData[[#This Row],[Candidate 4]])/(SamplingData[[#Totals],[Winning Candidate]]-SamplingData[[#Totals],[Candidate 4]]), 0)</f>
        <v>0</v>
      </c>
      <c r="T225" s="100">
        <f>IF(AND(SamplingData[[#This Row],[Total]]&lt;&gt; 0, NOT(ISBLANK(SamplingData[[#This Row],[Candidate 5]]))),(SamplingData[[#This Row],[Total]]+SamplingData[[#This Row],[Winning Candidate]]-SamplingData[[#This Row],[Candidate 5]])/(SamplingData[[#Totals],[Winning Candidate]]-SamplingData[[#Totals],[Candidate 5]]), 0)</f>
        <v>0</v>
      </c>
      <c r="U225" s="100">
        <f>IF(AND(SamplingData[[#This Row],[Total]]&lt;&gt; 0, NOT(ISBLANK(SamplingData[[#This Row],[Candidate 6]]))),(SamplingData[[#This Row],[Total]]+SamplingData[[#This Row],[Losing Candidate]]-SamplingData[[#This Row],[Candidate 6]])/(SamplingData[[#Totals],[Winning Candidate]]-SamplingData[[#Totals],[Candidate 6]]), 0)</f>
        <v>0</v>
      </c>
      <c r="V225" s="100">
        <f>IF(AND(SamplingData[[#This Row],[Total]]&lt;&gt; 0, NOT(ISBLANK(SamplingData[[#This Row],[Candidate 7]]))),(SamplingData[[#This Row],[Total]]+SamplingData[[#This Row],[Winning Candidate]]-SamplingData[[#This Row],[Candidate 7]])/(SamplingData[[#Totals],[Winning Candidate]]-SamplingData[[#Totals],[Candidate 7]]), 0)</f>
        <v>0</v>
      </c>
      <c r="W225" s="100">
        <f>IF(AND(SamplingData[[#This Row],[Total]]&lt;&gt; 0, NOT(ISBLANK(SamplingData[[#This Row],[Candidate 8]]))),(SamplingData[[#This Row],[Total]]+SamplingData[[#This Row],[Winning Candidate]]-SamplingData[[#This Row],[Candidate 8]])/(SamplingData[[#Totals],[Winning Candidate]]-SamplingData[[#Totals],[Candidate 8]]), 0)</f>
        <v>0</v>
      </c>
      <c r="X2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00">
        <f>MAX(SamplingData[[#This Row],[Error Bound (up) - Max. possible relative overstatement - Losing Candidate]:[Error Bound (up) - Max. possible relative overstatement - Candidate 12]])</f>
        <v>2.5127995728240724E-4</v>
      </c>
      <c r="AC225" s="100">
        <f>IF(SamplingData[[#This Row],[Max Error Bound (up)]] = 0,0,SamplingData[[#This Row],[Max Error Bound (up)]]/SamplingData[[#Totals],[Max Error Bound (up)]])</f>
        <v>1.0768319603725841E-4</v>
      </c>
      <c r="AD225" s="104">
        <f>SUM($AC$5:AC225)</f>
        <v>3.4566305927959957E-2</v>
      </c>
      <c r="AE225" s="100" t="str" cm="1">
        <f t="array" ref="AE225">IF(SamplingData[[#This Row],[up/U Selection Probability]] = 0, "Zero", TEXT(SamplingData[[#This Row],[Lower Range]], REPT("0",LEN('General Info'!$B$42))) &amp; " - " &amp; TEXT(SamplingData[[#This Row],[Upper Range]], REPT("0",LEN('General Info'!$B$42))))</f>
        <v>03446 - 03456</v>
      </c>
      <c r="AF225" s="100">
        <f>SamplingData[[#This Row],[Upper Range]]-SamplingData[[#This Row],[Span]]</f>
        <v>3445.8622731922696</v>
      </c>
      <c r="AG225" s="100">
        <f>IF(ISNUMBER('General Info'!$B$42), ((SamplingData[[#This Row],[up/U Selection Probability]]) * 'General Info'!$B$44) - 1, 0)</f>
        <v>9.7683196037258408</v>
      </c>
      <c r="AH225" s="100">
        <f>IF(ISNUMBER('General Info'!$B$42), (SamplingData[[#This Row],[Running (cumulative) sum]] * ('General Info'!$B$42 -'General Info'!$B$43 + 1)) + 'General Info'!$B$43 - 1, 0)</f>
        <v>3455.6305927959957</v>
      </c>
      <c r="AI225" s="100" t="str">
        <f>IF(ISERROR(MATCH(SamplingData[[#This Row],[Batch by Type (p)]],SelectedPrecincts[Batch Name], 0)), "", INDEX(SelectedPrecincts[Draw], MATCH(SamplingData[[#This Row],[Batch by Type (p)]],SelectedPrecincts[Batch Name], 0)))</f>
        <v/>
      </c>
      <c r="AJ225" s="101">
        <f>IF(COUNTIF(SelectedPrecincts[Batch Name],SamplingData[[#This Row],[Batch by Type (p)]]) &lt;&gt; 0, COUNTIF(SelectedPrecincts[Batch Name],SamplingData[[#This Row],[Batch by Type (p)]]), 0)</f>
        <v>0</v>
      </c>
    </row>
    <row r="226" spans="1:36" ht="15" customHeight="1" x14ac:dyDescent="0.35">
      <c r="A226" s="98" t="s">
        <v>438</v>
      </c>
      <c r="B226" s="98">
        <v>5</v>
      </c>
      <c r="C226" s="98">
        <v>0</v>
      </c>
      <c r="D226" s="93"/>
      <c r="E226" s="93"/>
      <c r="F226" s="93"/>
      <c r="G226" s="97"/>
      <c r="H226" s="97"/>
      <c r="I226" s="93"/>
      <c r="J226" s="93"/>
      <c r="K226" s="93"/>
      <c r="L226" s="93"/>
      <c r="M226" s="93"/>
      <c r="N226" s="98">
        <v>0</v>
      </c>
      <c r="O226" s="98">
        <v>0</v>
      </c>
      <c r="P226" s="99">
        <f>SUM(SamplingData[[#This Row],[Winning Candidate]:[Under Votes]])</f>
        <v>5</v>
      </c>
      <c r="Q226"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226" s="100">
        <f>IF(AND(SamplingData[[#This Row],[Total]]&lt;&gt; 0, NOT(ISBLANK(SamplingData[[#This Row],[Candidate 3]]))),(SamplingData[[#This Row],[Total]]+SamplingData[[#This Row],[Winning Candidate]]-SamplingData[[#This Row],[Candidate 3]])/(SamplingData[[#Totals],[Winning Candidate]]-SamplingData[[#Totals],[Candidate 3]]), 0)</f>
        <v>0</v>
      </c>
      <c r="S226" s="100">
        <f>IF(AND(SamplingData[[#This Row],[Total]]&lt;&gt; 0, NOT(ISBLANK(SamplingData[[#This Row],[Candidate 4]]))),(SamplingData[[#This Row],[Total]]+SamplingData[[#This Row],[Winning Candidate]]-SamplingData[[#This Row],[Candidate 4]])/(SamplingData[[#Totals],[Winning Candidate]]-SamplingData[[#Totals],[Candidate 4]]), 0)</f>
        <v>0</v>
      </c>
      <c r="T226" s="100">
        <f>IF(AND(SamplingData[[#This Row],[Total]]&lt;&gt; 0, NOT(ISBLANK(SamplingData[[#This Row],[Candidate 5]]))),(SamplingData[[#This Row],[Total]]+SamplingData[[#This Row],[Winning Candidate]]-SamplingData[[#This Row],[Candidate 5]])/(SamplingData[[#Totals],[Winning Candidate]]-SamplingData[[#Totals],[Candidate 5]]), 0)</f>
        <v>0</v>
      </c>
      <c r="U226" s="100">
        <f>IF(AND(SamplingData[[#This Row],[Total]]&lt;&gt; 0, NOT(ISBLANK(SamplingData[[#This Row],[Candidate 6]]))),(SamplingData[[#This Row],[Total]]+SamplingData[[#This Row],[Losing Candidate]]-SamplingData[[#This Row],[Candidate 6]])/(SamplingData[[#Totals],[Winning Candidate]]-SamplingData[[#Totals],[Candidate 6]]), 0)</f>
        <v>0</v>
      </c>
      <c r="V226" s="100">
        <f>IF(AND(SamplingData[[#This Row],[Total]]&lt;&gt; 0, NOT(ISBLANK(SamplingData[[#This Row],[Candidate 7]]))),(SamplingData[[#This Row],[Total]]+SamplingData[[#This Row],[Winning Candidate]]-SamplingData[[#This Row],[Candidate 7]])/(SamplingData[[#Totals],[Winning Candidate]]-SamplingData[[#Totals],[Candidate 7]]), 0)</f>
        <v>0</v>
      </c>
      <c r="W226" s="100">
        <f>IF(AND(SamplingData[[#This Row],[Total]]&lt;&gt; 0, NOT(ISBLANK(SamplingData[[#This Row],[Candidate 8]]))),(SamplingData[[#This Row],[Total]]+SamplingData[[#This Row],[Winning Candidate]]-SamplingData[[#This Row],[Candidate 8]])/(SamplingData[[#Totals],[Winning Candidate]]-SamplingData[[#Totals],[Candidate 8]]), 0)</f>
        <v>0</v>
      </c>
      <c r="X2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00">
        <f>MAX(SamplingData[[#This Row],[Error Bound (up) - Max. possible relative overstatement - Losing Candidate]:[Error Bound (up) - Max. possible relative overstatement - Candidate 12]])</f>
        <v>3.1409994660300906E-4</v>
      </c>
      <c r="AC226" s="100">
        <f>IF(SamplingData[[#This Row],[Max Error Bound (up)]] = 0,0,SamplingData[[#This Row],[Max Error Bound (up)]]/SamplingData[[#Totals],[Max Error Bound (up)]])</f>
        <v>1.3460399504657304E-4</v>
      </c>
      <c r="AD226" s="104">
        <f>SUM($AC$5:AC226)</f>
        <v>3.4700909923006527E-2</v>
      </c>
      <c r="AE226" s="100" t="str" cm="1">
        <f t="array" ref="AE226">IF(SamplingData[[#This Row],[up/U Selection Probability]] = 0, "Zero", TEXT(SamplingData[[#This Row],[Lower Range]], REPT("0",LEN('General Info'!$B$42))) &amp; " - " &amp; TEXT(SamplingData[[#This Row],[Upper Range]], REPT("0",LEN('General Info'!$B$42))))</f>
        <v>03457 - 03469</v>
      </c>
      <c r="AF226" s="100">
        <f>SamplingData[[#This Row],[Upper Range]]-SamplingData[[#This Row],[Span]]</f>
        <v>3456.6305927959957</v>
      </c>
      <c r="AG226" s="100">
        <f>IF(ISNUMBER('General Info'!$B$42), ((SamplingData[[#This Row],[up/U Selection Probability]]) * 'General Info'!$B$44) - 1, 0)</f>
        <v>12.460399504657303</v>
      </c>
      <c r="AH226" s="100">
        <f>IF(ISNUMBER('General Info'!$B$42), (SamplingData[[#This Row],[Running (cumulative) sum]] * ('General Info'!$B$42 -'General Info'!$B$43 + 1)) + 'General Info'!$B$43 - 1, 0)</f>
        <v>3469.0909923006529</v>
      </c>
      <c r="AI226" s="100" t="str">
        <f>IF(ISERROR(MATCH(SamplingData[[#This Row],[Batch by Type (p)]],SelectedPrecincts[Batch Name], 0)), "", INDEX(SelectedPrecincts[Draw], MATCH(SamplingData[[#This Row],[Batch by Type (p)]],SelectedPrecincts[Batch Name], 0)))</f>
        <v/>
      </c>
      <c r="AJ226" s="101">
        <f>IF(COUNTIF(SelectedPrecincts[Batch Name],SamplingData[[#This Row],[Batch by Type (p)]]) &lt;&gt; 0, COUNTIF(SelectedPrecincts[Batch Name],SamplingData[[#This Row],[Batch by Type (p)]]), 0)</f>
        <v>0</v>
      </c>
    </row>
    <row r="227" spans="1:36" ht="15" customHeight="1" x14ac:dyDescent="0.35">
      <c r="A227" s="98" t="s">
        <v>439</v>
      </c>
      <c r="B227" s="98">
        <v>17</v>
      </c>
      <c r="C227" s="98">
        <v>1</v>
      </c>
      <c r="D227" s="93"/>
      <c r="E227" s="93"/>
      <c r="F227" s="93"/>
      <c r="G227" s="97"/>
      <c r="H227" s="97"/>
      <c r="I227" s="93"/>
      <c r="J227" s="93"/>
      <c r="K227" s="93"/>
      <c r="L227" s="93"/>
      <c r="M227" s="93"/>
      <c r="N227" s="98">
        <v>0</v>
      </c>
      <c r="O227" s="98">
        <v>2</v>
      </c>
      <c r="P227" s="99">
        <f>SUM(SamplingData[[#This Row],[Winning Candidate]:[Under Votes]])</f>
        <v>20</v>
      </c>
      <c r="Q227"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227" s="100">
        <f>IF(AND(SamplingData[[#This Row],[Total]]&lt;&gt; 0, NOT(ISBLANK(SamplingData[[#This Row],[Candidate 3]]))),(SamplingData[[#This Row],[Total]]+SamplingData[[#This Row],[Winning Candidate]]-SamplingData[[#This Row],[Candidate 3]])/(SamplingData[[#Totals],[Winning Candidate]]-SamplingData[[#Totals],[Candidate 3]]), 0)</f>
        <v>0</v>
      </c>
      <c r="S227" s="100">
        <f>IF(AND(SamplingData[[#This Row],[Total]]&lt;&gt; 0, NOT(ISBLANK(SamplingData[[#This Row],[Candidate 4]]))),(SamplingData[[#This Row],[Total]]+SamplingData[[#This Row],[Winning Candidate]]-SamplingData[[#This Row],[Candidate 4]])/(SamplingData[[#Totals],[Winning Candidate]]-SamplingData[[#Totals],[Candidate 4]]), 0)</f>
        <v>0</v>
      </c>
      <c r="T227" s="100">
        <f>IF(AND(SamplingData[[#This Row],[Total]]&lt;&gt; 0, NOT(ISBLANK(SamplingData[[#This Row],[Candidate 5]]))),(SamplingData[[#This Row],[Total]]+SamplingData[[#This Row],[Winning Candidate]]-SamplingData[[#This Row],[Candidate 5]])/(SamplingData[[#Totals],[Winning Candidate]]-SamplingData[[#Totals],[Candidate 5]]), 0)</f>
        <v>0</v>
      </c>
      <c r="U227" s="100">
        <f>IF(AND(SamplingData[[#This Row],[Total]]&lt;&gt; 0, NOT(ISBLANK(SamplingData[[#This Row],[Candidate 6]]))),(SamplingData[[#This Row],[Total]]+SamplingData[[#This Row],[Losing Candidate]]-SamplingData[[#This Row],[Candidate 6]])/(SamplingData[[#Totals],[Winning Candidate]]-SamplingData[[#Totals],[Candidate 6]]), 0)</f>
        <v>0</v>
      </c>
      <c r="V227" s="100">
        <f>IF(AND(SamplingData[[#This Row],[Total]]&lt;&gt; 0, NOT(ISBLANK(SamplingData[[#This Row],[Candidate 7]]))),(SamplingData[[#This Row],[Total]]+SamplingData[[#This Row],[Winning Candidate]]-SamplingData[[#This Row],[Candidate 7]])/(SamplingData[[#Totals],[Winning Candidate]]-SamplingData[[#Totals],[Candidate 7]]), 0)</f>
        <v>0</v>
      </c>
      <c r="W227" s="100">
        <f>IF(AND(SamplingData[[#This Row],[Total]]&lt;&gt; 0, NOT(ISBLANK(SamplingData[[#This Row],[Candidate 8]]))),(SamplingData[[#This Row],[Total]]+SamplingData[[#This Row],[Winning Candidate]]-SamplingData[[#This Row],[Candidate 8]])/(SamplingData[[#Totals],[Winning Candidate]]-SamplingData[[#Totals],[Candidate 8]]), 0)</f>
        <v>0</v>
      </c>
      <c r="X2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00">
        <f>MAX(SamplingData[[#This Row],[Error Bound (up) - Max. possible relative overstatement - Losing Candidate]:[Error Bound (up) - Max. possible relative overstatement - Candidate 12]])</f>
        <v>1.1307598077708327E-3</v>
      </c>
      <c r="AC227" s="100">
        <f>IF(SamplingData[[#This Row],[Max Error Bound (up)]] = 0,0,SamplingData[[#This Row],[Max Error Bound (up)]]/SamplingData[[#Totals],[Max Error Bound (up)]])</f>
        <v>4.845743821676629E-4</v>
      </c>
      <c r="AD227" s="104">
        <f>SUM($AC$5:AC227)</f>
        <v>3.5185484305174188E-2</v>
      </c>
      <c r="AE227" s="100" t="str" cm="1">
        <f t="array" ref="AE227">IF(SamplingData[[#This Row],[up/U Selection Probability]] = 0, "Zero", TEXT(SamplingData[[#This Row],[Lower Range]], REPT("0",LEN('General Info'!$B$42))) &amp; " - " &amp; TEXT(SamplingData[[#This Row],[Upper Range]], REPT("0",LEN('General Info'!$B$42))))</f>
        <v>03470 - 03518</v>
      </c>
      <c r="AF227" s="100">
        <f>SamplingData[[#This Row],[Upper Range]]-SamplingData[[#This Row],[Span]]</f>
        <v>3470.0909923006525</v>
      </c>
      <c r="AG227" s="100">
        <f>IF(ISNUMBER('General Info'!$B$42), ((SamplingData[[#This Row],[up/U Selection Probability]]) * 'General Info'!$B$44) - 1, 0)</f>
        <v>47.457438216766292</v>
      </c>
      <c r="AH227" s="100">
        <f>IF(ISNUMBER('General Info'!$B$42), (SamplingData[[#This Row],[Running (cumulative) sum]] * ('General Info'!$B$42 -'General Info'!$B$43 + 1)) + 'General Info'!$B$43 - 1, 0)</f>
        <v>3517.5484305174186</v>
      </c>
      <c r="AI227" s="100" t="str">
        <f>IF(ISERROR(MATCH(SamplingData[[#This Row],[Batch by Type (p)]],SelectedPrecincts[Batch Name], 0)), "", INDEX(SelectedPrecincts[Draw], MATCH(SamplingData[[#This Row],[Batch by Type (p)]],SelectedPrecincts[Batch Name], 0)))</f>
        <v/>
      </c>
      <c r="AJ227" s="101">
        <f>IF(COUNTIF(SelectedPrecincts[Batch Name],SamplingData[[#This Row],[Batch by Type (p)]]) &lt;&gt; 0, COUNTIF(SelectedPrecincts[Batch Name],SamplingData[[#This Row],[Batch by Type (p)]]), 0)</f>
        <v>0</v>
      </c>
    </row>
    <row r="228" spans="1:36" ht="15" customHeight="1" x14ac:dyDescent="0.35">
      <c r="A228" s="98" t="s">
        <v>440</v>
      </c>
      <c r="B228" s="98">
        <v>7</v>
      </c>
      <c r="C228" s="98">
        <v>2</v>
      </c>
      <c r="D228" s="93"/>
      <c r="E228" s="93"/>
      <c r="F228" s="93"/>
      <c r="G228" s="97"/>
      <c r="H228" s="97"/>
      <c r="I228" s="93"/>
      <c r="J228" s="93"/>
      <c r="K228" s="93"/>
      <c r="L228" s="93"/>
      <c r="M228" s="93"/>
      <c r="N228" s="98">
        <v>0</v>
      </c>
      <c r="O228" s="98">
        <v>0</v>
      </c>
      <c r="P228" s="99">
        <f>SUM(SamplingData[[#This Row],[Winning Candidate]:[Under Votes]])</f>
        <v>9</v>
      </c>
      <c r="Q228"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228" s="100">
        <f>IF(AND(SamplingData[[#This Row],[Total]]&lt;&gt; 0, NOT(ISBLANK(SamplingData[[#This Row],[Candidate 3]]))),(SamplingData[[#This Row],[Total]]+SamplingData[[#This Row],[Winning Candidate]]-SamplingData[[#This Row],[Candidate 3]])/(SamplingData[[#Totals],[Winning Candidate]]-SamplingData[[#Totals],[Candidate 3]]), 0)</f>
        <v>0</v>
      </c>
      <c r="S228" s="100">
        <f>IF(AND(SamplingData[[#This Row],[Total]]&lt;&gt; 0, NOT(ISBLANK(SamplingData[[#This Row],[Candidate 4]]))),(SamplingData[[#This Row],[Total]]+SamplingData[[#This Row],[Winning Candidate]]-SamplingData[[#This Row],[Candidate 4]])/(SamplingData[[#Totals],[Winning Candidate]]-SamplingData[[#Totals],[Candidate 4]]), 0)</f>
        <v>0</v>
      </c>
      <c r="T228" s="100">
        <f>IF(AND(SamplingData[[#This Row],[Total]]&lt;&gt; 0, NOT(ISBLANK(SamplingData[[#This Row],[Candidate 5]]))),(SamplingData[[#This Row],[Total]]+SamplingData[[#This Row],[Winning Candidate]]-SamplingData[[#This Row],[Candidate 5]])/(SamplingData[[#Totals],[Winning Candidate]]-SamplingData[[#Totals],[Candidate 5]]), 0)</f>
        <v>0</v>
      </c>
      <c r="U228" s="100">
        <f>IF(AND(SamplingData[[#This Row],[Total]]&lt;&gt; 0, NOT(ISBLANK(SamplingData[[#This Row],[Candidate 6]]))),(SamplingData[[#This Row],[Total]]+SamplingData[[#This Row],[Losing Candidate]]-SamplingData[[#This Row],[Candidate 6]])/(SamplingData[[#Totals],[Winning Candidate]]-SamplingData[[#Totals],[Candidate 6]]), 0)</f>
        <v>0</v>
      </c>
      <c r="V228" s="100">
        <f>IF(AND(SamplingData[[#This Row],[Total]]&lt;&gt; 0, NOT(ISBLANK(SamplingData[[#This Row],[Candidate 7]]))),(SamplingData[[#This Row],[Total]]+SamplingData[[#This Row],[Winning Candidate]]-SamplingData[[#This Row],[Candidate 7]])/(SamplingData[[#Totals],[Winning Candidate]]-SamplingData[[#Totals],[Candidate 7]]), 0)</f>
        <v>0</v>
      </c>
      <c r="W228" s="100">
        <f>IF(AND(SamplingData[[#This Row],[Total]]&lt;&gt; 0, NOT(ISBLANK(SamplingData[[#This Row],[Candidate 8]]))),(SamplingData[[#This Row],[Total]]+SamplingData[[#This Row],[Winning Candidate]]-SamplingData[[#This Row],[Candidate 8]])/(SamplingData[[#Totals],[Winning Candidate]]-SamplingData[[#Totals],[Candidate 8]]), 0)</f>
        <v>0</v>
      </c>
      <c r="X2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00">
        <f>MAX(SamplingData[[#This Row],[Error Bound (up) - Max. possible relative overstatement - Losing Candidate]:[Error Bound (up) - Max. possible relative overstatement - Candidate 12]])</f>
        <v>4.3973992524421271E-4</v>
      </c>
      <c r="AC228" s="100">
        <f>IF(SamplingData[[#This Row],[Max Error Bound (up)]] = 0,0,SamplingData[[#This Row],[Max Error Bound (up)]]/SamplingData[[#Totals],[Max Error Bound (up)]])</f>
        <v>1.8844559306520223E-4</v>
      </c>
      <c r="AD228" s="104">
        <f>SUM($AC$5:AC228)</f>
        <v>3.5373929898239391E-2</v>
      </c>
      <c r="AE228" s="100" t="str" cm="1">
        <f t="array" ref="AE228">IF(SamplingData[[#This Row],[up/U Selection Probability]] = 0, "Zero", TEXT(SamplingData[[#This Row],[Lower Range]], REPT("0",LEN('General Info'!$B$42))) &amp; " - " &amp; TEXT(SamplingData[[#This Row],[Upper Range]], REPT("0",LEN('General Info'!$B$42))))</f>
        <v>03519 - 03536</v>
      </c>
      <c r="AF228" s="100">
        <f>SamplingData[[#This Row],[Upper Range]]-SamplingData[[#This Row],[Span]]</f>
        <v>3518.5484305174186</v>
      </c>
      <c r="AG228" s="100">
        <f>IF(ISNUMBER('General Info'!$B$42), ((SamplingData[[#This Row],[up/U Selection Probability]]) * 'General Info'!$B$44) - 1, 0)</f>
        <v>17.844559306520225</v>
      </c>
      <c r="AH228" s="100">
        <f>IF(ISNUMBER('General Info'!$B$42), (SamplingData[[#This Row],[Running (cumulative) sum]] * ('General Info'!$B$42 -'General Info'!$B$43 + 1)) + 'General Info'!$B$43 - 1, 0)</f>
        <v>3536.3929898239389</v>
      </c>
      <c r="AI228" s="100" t="str">
        <f>IF(ISERROR(MATCH(SamplingData[[#This Row],[Batch by Type (p)]],SelectedPrecincts[Batch Name], 0)), "", INDEX(SelectedPrecincts[Draw], MATCH(SamplingData[[#This Row],[Batch by Type (p)]],SelectedPrecincts[Batch Name], 0)))</f>
        <v/>
      </c>
      <c r="AJ228" s="101">
        <f>IF(COUNTIF(SelectedPrecincts[Batch Name],SamplingData[[#This Row],[Batch by Type (p)]]) &lt;&gt; 0, COUNTIF(SelectedPrecincts[Batch Name],SamplingData[[#This Row],[Batch by Type (p)]]), 0)</f>
        <v>0</v>
      </c>
    </row>
    <row r="229" spans="1:36" ht="15" customHeight="1" x14ac:dyDescent="0.35">
      <c r="A229" s="98" t="s">
        <v>441</v>
      </c>
      <c r="B229" s="98">
        <v>23</v>
      </c>
      <c r="C229" s="98">
        <v>5</v>
      </c>
      <c r="D229" s="93"/>
      <c r="E229" s="93"/>
      <c r="F229" s="93"/>
      <c r="G229" s="97"/>
      <c r="H229" s="97"/>
      <c r="I229" s="93"/>
      <c r="J229" s="93"/>
      <c r="K229" s="93"/>
      <c r="L229" s="93"/>
      <c r="M229" s="93"/>
      <c r="N229" s="98">
        <v>0</v>
      </c>
      <c r="O229" s="98">
        <v>1</v>
      </c>
      <c r="P229" s="99">
        <f>SUM(SamplingData[[#This Row],[Winning Candidate]:[Under Votes]])</f>
        <v>29</v>
      </c>
      <c r="Q229" s="100">
        <f>IF(AND(SamplingData[[#This Row],[Total]]&lt;&gt; 0, NOT(ISBLANK(SamplingData[[#This Row],[Losing Candidate]]))),(SamplingData[[#This Row],[Total]]+SamplingData[[#This Row],[Winning Candidate]]-SamplingData[[#This Row],[Losing Candidate]])/(SamplingData[[#Totals],[Winning Candidate]]-SamplingData[[#Totals],[Losing Candidate]]), 0)</f>
        <v>1.4762697490341428E-3</v>
      </c>
      <c r="R229" s="100">
        <f>IF(AND(SamplingData[[#This Row],[Total]]&lt;&gt; 0, NOT(ISBLANK(SamplingData[[#This Row],[Candidate 3]]))),(SamplingData[[#This Row],[Total]]+SamplingData[[#This Row],[Winning Candidate]]-SamplingData[[#This Row],[Candidate 3]])/(SamplingData[[#Totals],[Winning Candidate]]-SamplingData[[#Totals],[Candidate 3]]), 0)</f>
        <v>0</v>
      </c>
      <c r="S229" s="100">
        <f>IF(AND(SamplingData[[#This Row],[Total]]&lt;&gt; 0, NOT(ISBLANK(SamplingData[[#This Row],[Candidate 4]]))),(SamplingData[[#This Row],[Total]]+SamplingData[[#This Row],[Winning Candidate]]-SamplingData[[#This Row],[Candidate 4]])/(SamplingData[[#Totals],[Winning Candidate]]-SamplingData[[#Totals],[Candidate 4]]), 0)</f>
        <v>0</v>
      </c>
      <c r="T229" s="100">
        <f>IF(AND(SamplingData[[#This Row],[Total]]&lt;&gt; 0, NOT(ISBLANK(SamplingData[[#This Row],[Candidate 5]]))),(SamplingData[[#This Row],[Total]]+SamplingData[[#This Row],[Winning Candidate]]-SamplingData[[#This Row],[Candidate 5]])/(SamplingData[[#Totals],[Winning Candidate]]-SamplingData[[#Totals],[Candidate 5]]), 0)</f>
        <v>0</v>
      </c>
      <c r="U229" s="100">
        <f>IF(AND(SamplingData[[#This Row],[Total]]&lt;&gt; 0, NOT(ISBLANK(SamplingData[[#This Row],[Candidate 6]]))),(SamplingData[[#This Row],[Total]]+SamplingData[[#This Row],[Losing Candidate]]-SamplingData[[#This Row],[Candidate 6]])/(SamplingData[[#Totals],[Winning Candidate]]-SamplingData[[#Totals],[Candidate 6]]), 0)</f>
        <v>0</v>
      </c>
      <c r="V229" s="100">
        <f>IF(AND(SamplingData[[#This Row],[Total]]&lt;&gt; 0, NOT(ISBLANK(SamplingData[[#This Row],[Candidate 7]]))),(SamplingData[[#This Row],[Total]]+SamplingData[[#This Row],[Winning Candidate]]-SamplingData[[#This Row],[Candidate 7]])/(SamplingData[[#Totals],[Winning Candidate]]-SamplingData[[#Totals],[Candidate 7]]), 0)</f>
        <v>0</v>
      </c>
      <c r="W229" s="100">
        <f>IF(AND(SamplingData[[#This Row],[Total]]&lt;&gt; 0, NOT(ISBLANK(SamplingData[[#This Row],[Candidate 8]]))),(SamplingData[[#This Row],[Total]]+SamplingData[[#This Row],[Winning Candidate]]-SamplingData[[#This Row],[Candidate 8]])/(SamplingData[[#Totals],[Winning Candidate]]-SamplingData[[#Totals],[Candidate 8]]), 0)</f>
        <v>0</v>
      </c>
      <c r="X2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00">
        <f>MAX(SamplingData[[#This Row],[Error Bound (up) - Max. possible relative overstatement - Losing Candidate]:[Error Bound (up) - Max. possible relative overstatement - Candidate 12]])</f>
        <v>1.4762697490341428E-3</v>
      </c>
      <c r="AC229" s="100">
        <f>IF(SamplingData[[#This Row],[Max Error Bound (up)]] = 0,0,SamplingData[[#This Row],[Max Error Bound (up)]]/SamplingData[[#Totals],[Max Error Bound (up)]])</f>
        <v>6.3263877671889323E-4</v>
      </c>
      <c r="AD229" s="104">
        <f>SUM($AC$5:AC229)</f>
        <v>3.6006568674958286E-2</v>
      </c>
      <c r="AE229" s="100" t="str" cm="1">
        <f t="array" ref="AE229">IF(SamplingData[[#This Row],[up/U Selection Probability]] = 0, "Zero", TEXT(SamplingData[[#This Row],[Lower Range]], REPT("0",LEN('General Info'!$B$42))) &amp; " - " &amp; TEXT(SamplingData[[#This Row],[Upper Range]], REPT("0",LEN('General Info'!$B$42))))</f>
        <v>03537 - 03600</v>
      </c>
      <c r="AF229" s="100">
        <f>SamplingData[[#This Row],[Upper Range]]-SamplingData[[#This Row],[Span]]</f>
        <v>3537.3929898239389</v>
      </c>
      <c r="AG229" s="100">
        <f>IF(ISNUMBER('General Info'!$B$42), ((SamplingData[[#This Row],[up/U Selection Probability]]) * 'General Info'!$B$44) - 1, 0)</f>
        <v>62.263877671889325</v>
      </c>
      <c r="AH229" s="100">
        <f>IF(ISNUMBER('General Info'!$B$42), (SamplingData[[#This Row],[Running (cumulative) sum]] * ('General Info'!$B$42 -'General Info'!$B$43 + 1)) + 'General Info'!$B$43 - 1, 0)</f>
        <v>3599.6568674958285</v>
      </c>
      <c r="AI229" s="100" t="str">
        <f>IF(ISERROR(MATCH(SamplingData[[#This Row],[Batch by Type (p)]],SelectedPrecincts[Batch Name], 0)), "", INDEX(SelectedPrecincts[Draw], MATCH(SamplingData[[#This Row],[Batch by Type (p)]],SelectedPrecincts[Batch Name], 0)))</f>
        <v/>
      </c>
      <c r="AJ229" s="101">
        <f>IF(COUNTIF(SelectedPrecincts[Batch Name],SamplingData[[#This Row],[Batch by Type (p)]]) &lt;&gt; 0, COUNTIF(SelectedPrecincts[Batch Name],SamplingData[[#This Row],[Batch by Type (p)]]), 0)</f>
        <v>0</v>
      </c>
    </row>
    <row r="230" spans="1:36" ht="15" customHeight="1" x14ac:dyDescent="0.35">
      <c r="A230" s="98" t="s">
        <v>442</v>
      </c>
      <c r="B230" s="98">
        <v>19</v>
      </c>
      <c r="C230" s="98">
        <v>3</v>
      </c>
      <c r="D230" s="93"/>
      <c r="E230" s="93"/>
      <c r="F230" s="93"/>
      <c r="G230" s="97"/>
      <c r="H230" s="97"/>
      <c r="I230" s="93"/>
      <c r="J230" s="93"/>
      <c r="K230" s="93"/>
      <c r="L230" s="93"/>
      <c r="M230" s="93"/>
      <c r="N230" s="98">
        <v>0</v>
      </c>
      <c r="O230" s="98">
        <v>0</v>
      </c>
      <c r="P230" s="99">
        <f>SUM(SamplingData[[#This Row],[Winning Candidate]:[Under Votes]])</f>
        <v>22</v>
      </c>
      <c r="Q230"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230" s="100">
        <f>IF(AND(SamplingData[[#This Row],[Total]]&lt;&gt; 0, NOT(ISBLANK(SamplingData[[#This Row],[Candidate 3]]))),(SamplingData[[#This Row],[Total]]+SamplingData[[#This Row],[Winning Candidate]]-SamplingData[[#This Row],[Candidate 3]])/(SamplingData[[#Totals],[Winning Candidate]]-SamplingData[[#Totals],[Candidate 3]]), 0)</f>
        <v>0</v>
      </c>
      <c r="S230" s="100">
        <f>IF(AND(SamplingData[[#This Row],[Total]]&lt;&gt; 0, NOT(ISBLANK(SamplingData[[#This Row],[Candidate 4]]))),(SamplingData[[#This Row],[Total]]+SamplingData[[#This Row],[Winning Candidate]]-SamplingData[[#This Row],[Candidate 4]])/(SamplingData[[#Totals],[Winning Candidate]]-SamplingData[[#Totals],[Candidate 4]]), 0)</f>
        <v>0</v>
      </c>
      <c r="T230" s="100">
        <f>IF(AND(SamplingData[[#This Row],[Total]]&lt;&gt; 0, NOT(ISBLANK(SamplingData[[#This Row],[Candidate 5]]))),(SamplingData[[#This Row],[Total]]+SamplingData[[#This Row],[Winning Candidate]]-SamplingData[[#This Row],[Candidate 5]])/(SamplingData[[#Totals],[Winning Candidate]]-SamplingData[[#Totals],[Candidate 5]]), 0)</f>
        <v>0</v>
      </c>
      <c r="U230" s="100">
        <f>IF(AND(SamplingData[[#This Row],[Total]]&lt;&gt; 0, NOT(ISBLANK(SamplingData[[#This Row],[Candidate 6]]))),(SamplingData[[#This Row],[Total]]+SamplingData[[#This Row],[Losing Candidate]]-SamplingData[[#This Row],[Candidate 6]])/(SamplingData[[#Totals],[Winning Candidate]]-SamplingData[[#Totals],[Candidate 6]]), 0)</f>
        <v>0</v>
      </c>
      <c r="V230" s="100">
        <f>IF(AND(SamplingData[[#This Row],[Total]]&lt;&gt; 0, NOT(ISBLANK(SamplingData[[#This Row],[Candidate 7]]))),(SamplingData[[#This Row],[Total]]+SamplingData[[#This Row],[Winning Candidate]]-SamplingData[[#This Row],[Candidate 7]])/(SamplingData[[#Totals],[Winning Candidate]]-SamplingData[[#Totals],[Candidate 7]]), 0)</f>
        <v>0</v>
      </c>
      <c r="W230" s="100">
        <f>IF(AND(SamplingData[[#This Row],[Total]]&lt;&gt; 0, NOT(ISBLANK(SamplingData[[#This Row],[Candidate 8]]))),(SamplingData[[#This Row],[Total]]+SamplingData[[#This Row],[Winning Candidate]]-SamplingData[[#This Row],[Candidate 8]])/(SamplingData[[#Totals],[Winning Candidate]]-SamplingData[[#Totals],[Candidate 8]]), 0)</f>
        <v>0</v>
      </c>
      <c r="X2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00">
        <f>MAX(SamplingData[[#This Row],[Error Bound (up) - Max. possible relative overstatement - Losing Candidate]:[Error Bound (up) - Max. possible relative overstatement - Candidate 12]])</f>
        <v>1.1935797970914345E-3</v>
      </c>
      <c r="AC230" s="100">
        <f>IF(SamplingData[[#This Row],[Max Error Bound (up)]] = 0,0,SamplingData[[#This Row],[Max Error Bound (up)]]/SamplingData[[#Totals],[Max Error Bound (up)]])</f>
        <v>5.1149518117697755E-4</v>
      </c>
      <c r="AD230" s="104">
        <f>SUM($AC$5:AC230)</f>
        <v>3.6518063856135263E-2</v>
      </c>
      <c r="AE230" s="100" t="str" cm="1">
        <f t="array" ref="AE230">IF(SamplingData[[#This Row],[up/U Selection Probability]] = 0, "Zero", TEXT(SamplingData[[#This Row],[Lower Range]], REPT("0",LEN('General Info'!$B$42))) &amp; " - " &amp; TEXT(SamplingData[[#This Row],[Upper Range]], REPT("0",LEN('General Info'!$B$42))))</f>
        <v>03601 - 03651</v>
      </c>
      <c r="AF230" s="100">
        <f>SamplingData[[#This Row],[Upper Range]]-SamplingData[[#This Row],[Span]]</f>
        <v>3600.6568674958285</v>
      </c>
      <c r="AG230" s="100">
        <f>IF(ISNUMBER('General Info'!$B$42), ((SamplingData[[#This Row],[up/U Selection Probability]]) * 'General Info'!$B$44) - 1, 0)</f>
        <v>50.149518117697752</v>
      </c>
      <c r="AH230" s="100">
        <f>IF(ISNUMBER('General Info'!$B$42), (SamplingData[[#This Row],[Running (cumulative) sum]] * ('General Info'!$B$42 -'General Info'!$B$43 + 1)) + 'General Info'!$B$43 - 1, 0)</f>
        <v>3650.8063856135263</v>
      </c>
      <c r="AI230" s="100" t="str">
        <f>IF(ISERROR(MATCH(SamplingData[[#This Row],[Batch by Type (p)]],SelectedPrecincts[Batch Name], 0)), "", INDEX(SelectedPrecincts[Draw], MATCH(SamplingData[[#This Row],[Batch by Type (p)]],SelectedPrecincts[Batch Name], 0)))</f>
        <v/>
      </c>
      <c r="AJ230" s="101">
        <f>IF(COUNTIF(SelectedPrecincts[Batch Name],SamplingData[[#This Row],[Batch by Type (p)]]) &lt;&gt; 0, COUNTIF(SelectedPrecincts[Batch Name],SamplingData[[#This Row],[Batch by Type (p)]]), 0)</f>
        <v>0</v>
      </c>
    </row>
    <row r="231" spans="1:36" ht="15" customHeight="1" x14ac:dyDescent="0.35">
      <c r="A231" s="98" t="s">
        <v>443</v>
      </c>
      <c r="B231" s="98">
        <v>17</v>
      </c>
      <c r="C231" s="98">
        <v>1</v>
      </c>
      <c r="D231" s="93"/>
      <c r="E231" s="93"/>
      <c r="F231" s="93"/>
      <c r="G231" s="97"/>
      <c r="H231" s="97"/>
      <c r="I231" s="93"/>
      <c r="J231" s="93"/>
      <c r="K231" s="93"/>
      <c r="L231" s="93"/>
      <c r="M231" s="93"/>
      <c r="N231" s="98">
        <v>0</v>
      </c>
      <c r="O231" s="98">
        <v>0</v>
      </c>
      <c r="P231" s="99">
        <f>SUM(SamplingData[[#This Row],[Winning Candidate]:[Under Votes]])</f>
        <v>18</v>
      </c>
      <c r="Q231"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231" s="100">
        <f>IF(AND(SamplingData[[#This Row],[Total]]&lt;&gt; 0, NOT(ISBLANK(SamplingData[[#This Row],[Candidate 3]]))),(SamplingData[[#This Row],[Total]]+SamplingData[[#This Row],[Winning Candidate]]-SamplingData[[#This Row],[Candidate 3]])/(SamplingData[[#Totals],[Winning Candidate]]-SamplingData[[#Totals],[Candidate 3]]), 0)</f>
        <v>0</v>
      </c>
      <c r="S231" s="100">
        <f>IF(AND(SamplingData[[#This Row],[Total]]&lt;&gt; 0, NOT(ISBLANK(SamplingData[[#This Row],[Candidate 4]]))),(SamplingData[[#This Row],[Total]]+SamplingData[[#This Row],[Winning Candidate]]-SamplingData[[#This Row],[Candidate 4]])/(SamplingData[[#Totals],[Winning Candidate]]-SamplingData[[#Totals],[Candidate 4]]), 0)</f>
        <v>0</v>
      </c>
      <c r="T231" s="100">
        <f>IF(AND(SamplingData[[#This Row],[Total]]&lt;&gt; 0, NOT(ISBLANK(SamplingData[[#This Row],[Candidate 5]]))),(SamplingData[[#This Row],[Total]]+SamplingData[[#This Row],[Winning Candidate]]-SamplingData[[#This Row],[Candidate 5]])/(SamplingData[[#Totals],[Winning Candidate]]-SamplingData[[#Totals],[Candidate 5]]), 0)</f>
        <v>0</v>
      </c>
      <c r="U231" s="100">
        <f>IF(AND(SamplingData[[#This Row],[Total]]&lt;&gt; 0, NOT(ISBLANK(SamplingData[[#This Row],[Candidate 6]]))),(SamplingData[[#This Row],[Total]]+SamplingData[[#This Row],[Losing Candidate]]-SamplingData[[#This Row],[Candidate 6]])/(SamplingData[[#Totals],[Winning Candidate]]-SamplingData[[#Totals],[Candidate 6]]), 0)</f>
        <v>0</v>
      </c>
      <c r="V231" s="100">
        <f>IF(AND(SamplingData[[#This Row],[Total]]&lt;&gt; 0, NOT(ISBLANK(SamplingData[[#This Row],[Candidate 7]]))),(SamplingData[[#This Row],[Total]]+SamplingData[[#This Row],[Winning Candidate]]-SamplingData[[#This Row],[Candidate 7]])/(SamplingData[[#Totals],[Winning Candidate]]-SamplingData[[#Totals],[Candidate 7]]), 0)</f>
        <v>0</v>
      </c>
      <c r="W231" s="100">
        <f>IF(AND(SamplingData[[#This Row],[Total]]&lt;&gt; 0, NOT(ISBLANK(SamplingData[[#This Row],[Candidate 8]]))),(SamplingData[[#This Row],[Total]]+SamplingData[[#This Row],[Winning Candidate]]-SamplingData[[#This Row],[Candidate 8]])/(SamplingData[[#Totals],[Winning Candidate]]-SamplingData[[#Totals],[Candidate 8]]), 0)</f>
        <v>0</v>
      </c>
      <c r="X2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00">
        <f>MAX(SamplingData[[#This Row],[Error Bound (up) - Max. possible relative overstatement - Losing Candidate]:[Error Bound (up) - Max. possible relative overstatement - Candidate 12]])</f>
        <v>1.0679398184502309E-3</v>
      </c>
      <c r="AC231" s="100">
        <f>IF(SamplingData[[#This Row],[Max Error Bound (up)]] = 0,0,SamplingData[[#This Row],[Max Error Bound (up)]]/SamplingData[[#Totals],[Max Error Bound (up)]])</f>
        <v>4.5765358315834836E-4</v>
      </c>
      <c r="AD231" s="104">
        <f>SUM($AC$5:AC231)</f>
        <v>3.6975717439293614E-2</v>
      </c>
      <c r="AE231" s="100" t="str" cm="1">
        <f t="array" ref="AE231">IF(SamplingData[[#This Row],[up/U Selection Probability]] = 0, "Zero", TEXT(SamplingData[[#This Row],[Lower Range]], REPT("0",LEN('General Info'!$B$42))) &amp; " - " &amp; TEXT(SamplingData[[#This Row],[Upper Range]], REPT("0",LEN('General Info'!$B$42))))</f>
        <v>03652 - 03697</v>
      </c>
      <c r="AF231" s="100">
        <f>SamplingData[[#This Row],[Upper Range]]-SamplingData[[#This Row],[Span]]</f>
        <v>3651.8063856135263</v>
      </c>
      <c r="AG231" s="100">
        <f>IF(ISNUMBER('General Info'!$B$42), ((SamplingData[[#This Row],[up/U Selection Probability]]) * 'General Info'!$B$44) - 1, 0)</f>
        <v>44.765358315834838</v>
      </c>
      <c r="AH231" s="100">
        <f>IF(ISNUMBER('General Info'!$B$42), (SamplingData[[#This Row],[Running (cumulative) sum]] * ('General Info'!$B$42 -'General Info'!$B$43 + 1)) + 'General Info'!$B$43 - 1, 0)</f>
        <v>3696.5717439293612</v>
      </c>
      <c r="AI231" s="100" t="str">
        <f>IF(ISERROR(MATCH(SamplingData[[#This Row],[Batch by Type (p)]],SelectedPrecincts[Batch Name], 0)), "", INDEX(SelectedPrecincts[Draw], MATCH(SamplingData[[#This Row],[Batch by Type (p)]],SelectedPrecincts[Batch Name], 0)))</f>
        <v/>
      </c>
      <c r="AJ231" s="101">
        <f>IF(COUNTIF(SelectedPrecincts[Batch Name],SamplingData[[#This Row],[Batch by Type (p)]]) &lt;&gt; 0, COUNTIF(SelectedPrecincts[Batch Name],SamplingData[[#This Row],[Batch by Type (p)]]), 0)</f>
        <v>0</v>
      </c>
    </row>
    <row r="232" spans="1:36" ht="15" customHeight="1" x14ac:dyDescent="0.35">
      <c r="A232" s="98" t="s">
        <v>444</v>
      </c>
      <c r="B232" s="98">
        <v>18</v>
      </c>
      <c r="C232" s="98">
        <v>0</v>
      </c>
      <c r="D232" s="93"/>
      <c r="E232" s="93"/>
      <c r="F232" s="93"/>
      <c r="G232" s="97"/>
      <c r="H232" s="97"/>
      <c r="I232" s="93"/>
      <c r="J232" s="93"/>
      <c r="K232" s="93"/>
      <c r="L232" s="93"/>
      <c r="M232" s="93"/>
      <c r="N232" s="98">
        <v>0</v>
      </c>
      <c r="O232" s="98">
        <v>1</v>
      </c>
      <c r="P232" s="99">
        <f>SUM(SamplingData[[#This Row],[Winning Candidate]:[Under Votes]])</f>
        <v>19</v>
      </c>
      <c r="Q232"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232" s="100">
        <f>IF(AND(SamplingData[[#This Row],[Total]]&lt;&gt; 0, NOT(ISBLANK(SamplingData[[#This Row],[Candidate 3]]))),(SamplingData[[#This Row],[Total]]+SamplingData[[#This Row],[Winning Candidate]]-SamplingData[[#This Row],[Candidate 3]])/(SamplingData[[#Totals],[Winning Candidate]]-SamplingData[[#Totals],[Candidate 3]]), 0)</f>
        <v>0</v>
      </c>
      <c r="S232" s="100">
        <f>IF(AND(SamplingData[[#This Row],[Total]]&lt;&gt; 0, NOT(ISBLANK(SamplingData[[#This Row],[Candidate 4]]))),(SamplingData[[#This Row],[Total]]+SamplingData[[#This Row],[Winning Candidate]]-SamplingData[[#This Row],[Candidate 4]])/(SamplingData[[#Totals],[Winning Candidate]]-SamplingData[[#Totals],[Candidate 4]]), 0)</f>
        <v>0</v>
      </c>
      <c r="T232" s="100">
        <f>IF(AND(SamplingData[[#This Row],[Total]]&lt;&gt; 0, NOT(ISBLANK(SamplingData[[#This Row],[Candidate 5]]))),(SamplingData[[#This Row],[Total]]+SamplingData[[#This Row],[Winning Candidate]]-SamplingData[[#This Row],[Candidate 5]])/(SamplingData[[#Totals],[Winning Candidate]]-SamplingData[[#Totals],[Candidate 5]]), 0)</f>
        <v>0</v>
      </c>
      <c r="U232" s="100">
        <f>IF(AND(SamplingData[[#This Row],[Total]]&lt;&gt; 0, NOT(ISBLANK(SamplingData[[#This Row],[Candidate 6]]))),(SamplingData[[#This Row],[Total]]+SamplingData[[#This Row],[Losing Candidate]]-SamplingData[[#This Row],[Candidate 6]])/(SamplingData[[#Totals],[Winning Candidate]]-SamplingData[[#Totals],[Candidate 6]]), 0)</f>
        <v>0</v>
      </c>
      <c r="V232" s="100">
        <f>IF(AND(SamplingData[[#This Row],[Total]]&lt;&gt; 0, NOT(ISBLANK(SamplingData[[#This Row],[Candidate 7]]))),(SamplingData[[#This Row],[Total]]+SamplingData[[#This Row],[Winning Candidate]]-SamplingData[[#This Row],[Candidate 7]])/(SamplingData[[#Totals],[Winning Candidate]]-SamplingData[[#Totals],[Candidate 7]]), 0)</f>
        <v>0</v>
      </c>
      <c r="W232" s="100">
        <f>IF(AND(SamplingData[[#This Row],[Total]]&lt;&gt; 0, NOT(ISBLANK(SamplingData[[#This Row],[Candidate 8]]))),(SamplingData[[#This Row],[Total]]+SamplingData[[#This Row],[Winning Candidate]]-SamplingData[[#This Row],[Candidate 8]])/(SamplingData[[#Totals],[Winning Candidate]]-SamplingData[[#Totals],[Candidate 8]]), 0)</f>
        <v>0</v>
      </c>
      <c r="X2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00">
        <f>MAX(SamplingData[[#This Row],[Error Bound (up) - Max. possible relative overstatement - Losing Candidate]:[Error Bound (up) - Max. possible relative overstatement - Candidate 12]])</f>
        <v>1.1621698024311335E-3</v>
      </c>
      <c r="AC232" s="100">
        <f>IF(SamplingData[[#This Row],[Max Error Bound (up)]] = 0,0,SamplingData[[#This Row],[Max Error Bound (up)]]/SamplingData[[#Totals],[Max Error Bound (up)]])</f>
        <v>4.9803478167232014E-4</v>
      </c>
      <c r="AD232" s="104">
        <f>SUM($AC$5:AC232)</f>
        <v>3.7473752220965932E-2</v>
      </c>
      <c r="AE232" s="100" t="str" cm="1">
        <f t="array" ref="AE232">IF(SamplingData[[#This Row],[up/U Selection Probability]] = 0, "Zero", TEXT(SamplingData[[#This Row],[Lower Range]], REPT("0",LEN('General Info'!$B$42))) &amp; " - " &amp; TEXT(SamplingData[[#This Row],[Upper Range]], REPT("0",LEN('General Info'!$B$42))))</f>
        <v>03698 - 03746</v>
      </c>
      <c r="AF232" s="100">
        <f>SamplingData[[#This Row],[Upper Range]]-SamplingData[[#This Row],[Span]]</f>
        <v>3697.5717439293612</v>
      </c>
      <c r="AG232" s="100">
        <f>IF(ISNUMBER('General Info'!$B$42), ((SamplingData[[#This Row],[up/U Selection Probability]]) * 'General Info'!$B$44) - 1, 0)</f>
        <v>48.803478167232015</v>
      </c>
      <c r="AH232" s="100">
        <f>IF(ISNUMBER('General Info'!$B$42), (SamplingData[[#This Row],[Running (cumulative) sum]] * ('General Info'!$B$42 -'General Info'!$B$43 + 1)) + 'General Info'!$B$43 - 1, 0)</f>
        <v>3746.375222096593</v>
      </c>
      <c r="AI232" s="100" t="str">
        <f>IF(ISERROR(MATCH(SamplingData[[#This Row],[Batch by Type (p)]],SelectedPrecincts[Batch Name], 0)), "", INDEX(SelectedPrecincts[Draw], MATCH(SamplingData[[#This Row],[Batch by Type (p)]],SelectedPrecincts[Batch Name], 0)))</f>
        <v/>
      </c>
      <c r="AJ232" s="101">
        <f>IF(COUNTIF(SelectedPrecincts[Batch Name],SamplingData[[#This Row],[Batch by Type (p)]]) &lt;&gt; 0, COUNTIF(SelectedPrecincts[Batch Name],SamplingData[[#This Row],[Batch by Type (p)]]), 0)</f>
        <v>0</v>
      </c>
    </row>
    <row r="233" spans="1:36" ht="15" customHeight="1" x14ac:dyDescent="0.35">
      <c r="A233" s="98" t="s">
        <v>445</v>
      </c>
      <c r="B233" s="98">
        <v>7</v>
      </c>
      <c r="C233" s="98">
        <v>2</v>
      </c>
      <c r="D233" s="93"/>
      <c r="E233" s="93"/>
      <c r="F233" s="93"/>
      <c r="G233" s="97"/>
      <c r="H233" s="97"/>
      <c r="I233" s="93"/>
      <c r="J233" s="93"/>
      <c r="K233" s="93"/>
      <c r="L233" s="93"/>
      <c r="M233" s="93"/>
      <c r="N233" s="98">
        <v>0</v>
      </c>
      <c r="O233" s="98">
        <v>1</v>
      </c>
      <c r="P233" s="99">
        <f>SUM(SamplingData[[#This Row],[Winning Candidate]:[Under Votes]])</f>
        <v>10</v>
      </c>
      <c r="Q233"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233" s="100">
        <f>IF(AND(SamplingData[[#This Row],[Total]]&lt;&gt; 0, NOT(ISBLANK(SamplingData[[#This Row],[Candidate 3]]))),(SamplingData[[#This Row],[Total]]+SamplingData[[#This Row],[Winning Candidate]]-SamplingData[[#This Row],[Candidate 3]])/(SamplingData[[#Totals],[Winning Candidate]]-SamplingData[[#Totals],[Candidate 3]]), 0)</f>
        <v>0</v>
      </c>
      <c r="S233" s="100">
        <f>IF(AND(SamplingData[[#This Row],[Total]]&lt;&gt; 0, NOT(ISBLANK(SamplingData[[#This Row],[Candidate 4]]))),(SamplingData[[#This Row],[Total]]+SamplingData[[#This Row],[Winning Candidate]]-SamplingData[[#This Row],[Candidate 4]])/(SamplingData[[#Totals],[Winning Candidate]]-SamplingData[[#Totals],[Candidate 4]]), 0)</f>
        <v>0</v>
      </c>
      <c r="T233" s="100">
        <f>IF(AND(SamplingData[[#This Row],[Total]]&lt;&gt; 0, NOT(ISBLANK(SamplingData[[#This Row],[Candidate 5]]))),(SamplingData[[#This Row],[Total]]+SamplingData[[#This Row],[Winning Candidate]]-SamplingData[[#This Row],[Candidate 5]])/(SamplingData[[#Totals],[Winning Candidate]]-SamplingData[[#Totals],[Candidate 5]]), 0)</f>
        <v>0</v>
      </c>
      <c r="U233" s="100">
        <f>IF(AND(SamplingData[[#This Row],[Total]]&lt;&gt; 0, NOT(ISBLANK(SamplingData[[#This Row],[Candidate 6]]))),(SamplingData[[#This Row],[Total]]+SamplingData[[#This Row],[Losing Candidate]]-SamplingData[[#This Row],[Candidate 6]])/(SamplingData[[#Totals],[Winning Candidate]]-SamplingData[[#Totals],[Candidate 6]]), 0)</f>
        <v>0</v>
      </c>
      <c r="V233" s="100">
        <f>IF(AND(SamplingData[[#This Row],[Total]]&lt;&gt; 0, NOT(ISBLANK(SamplingData[[#This Row],[Candidate 7]]))),(SamplingData[[#This Row],[Total]]+SamplingData[[#This Row],[Winning Candidate]]-SamplingData[[#This Row],[Candidate 7]])/(SamplingData[[#Totals],[Winning Candidate]]-SamplingData[[#Totals],[Candidate 7]]), 0)</f>
        <v>0</v>
      </c>
      <c r="W233" s="100">
        <f>IF(AND(SamplingData[[#This Row],[Total]]&lt;&gt; 0, NOT(ISBLANK(SamplingData[[#This Row],[Candidate 8]]))),(SamplingData[[#This Row],[Total]]+SamplingData[[#This Row],[Winning Candidate]]-SamplingData[[#This Row],[Candidate 8]])/(SamplingData[[#Totals],[Winning Candidate]]-SamplingData[[#Totals],[Candidate 8]]), 0)</f>
        <v>0</v>
      </c>
      <c r="X2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00">
        <f>MAX(SamplingData[[#This Row],[Error Bound (up) - Max. possible relative overstatement - Losing Candidate]:[Error Bound (up) - Max. possible relative overstatement - Candidate 12]])</f>
        <v>4.7114991990451359E-4</v>
      </c>
      <c r="AC233" s="100">
        <f>IF(SamplingData[[#This Row],[Max Error Bound (up)]] = 0,0,SamplingData[[#This Row],[Max Error Bound (up)]]/SamplingData[[#Totals],[Max Error Bound (up)]])</f>
        <v>2.0190599256985953E-4</v>
      </c>
      <c r="AD233" s="104">
        <f>SUM($AC$5:AC233)</f>
        <v>3.7675658213535794E-2</v>
      </c>
      <c r="AE233" s="100" t="str" cm="1">
        <f t="array" ref="AE233">IF(SamplingData[[#This Row],[up/U Selection Probability]] = 0, "Zero", TEXT(SamplingData[[#This Row],[Lower Range]], REPT("0",LEN('General Info'!$B$42))) &amp; " - " &amp; TEXT(SamplingData[[#This Row],[Upper Range]], REPT("0",LEN('General Info'!$B$42))))</f>
        <v>03747 - 03767</v>
      </c>
      <c r="AF233" s="100">
        <f>SamplingData[[#This Row],[Upper Range]]-SamplingData[[#This Row],[Span]]</f>
        <v>3747.3752220965935</v>
      </c>
      <c r="AG233" s="100">
        <f>IF(ISNUMBER('General Info'!$B$42), ((SamplingData[[#This Row],[up/U Selection Probability]]) * 'General Info'!$B$44) - 1, 0)</f>
        <v>19.190599256985951</v>
      </c>
      <c r="AH233" s="100">
        <f>IF(ISNUMBER('General Info'!$B$42), (SamplingData[[#This Row],[Running (cumulative) sum]] * ('General Info'!$B$42 -'General Info'!$B$43 + 1)) + 'General Info'!$B$43 - 1, 0)</f>
        <v>3766.5658213535794</v>
      </c>
      <c r="AI233" s="100" t="str">
        <f>IF(ISERROR(MATCH(SamplingData[[#This Row],[Batch by Type (p)]],SelectedPrecincts[Batch Name], 0)), "", INDEX(SelectedPrecincts[Draw], MATCH(SamplingData[[#This Row],[Batch by Type (p)]],SelectedPrecincts[Batch Name], 0)))</f>
        <v/>
      </c>
      <c r="AJ233" s="101">
        <f>IF(COUNTIF(SelectedPrecincts[Batch Name],SamplingData[[#This Row],[Batch by Type (p)]]) &lt;&gt; 0, COUNTIF(SelectedPrecincts[Batch Name],SamplingData[[#This Row],[Batch by Type (p)]]), 0)</f>
        <v>0</v>
      </c>
    </row>
    <row r="234" spans="1:36" ht="15" customHeight="1" x14ac:dyDescent="0.35">
      <c r="A234" s="98" t="s">
        <v>446</v>
      </c>
      <c r="B234" s="98">
        <v>5</v>
      </c>
      <c r="C234" s="98">
        <v>0</v>
      </c>
      <c r="D234" s="93"/>
      <c r="E234" s="93"/>
      <c r="F234" s="93"/>
      <c r="G234" s="97"/>
      <c r="H234" s="97"/>
      <c r="I234" s="93"/>
      <c r="J234" s="93"/>
      <c r="K234" s="93"/>
      <c r="L234" s="93"/>
      <c r="M234" s="93"/>
      <c r="N234" s="98">
        <v>0</v>
      </c>
      <c r="O234" s="98">
        <v>1</v>
      </c>
      <c r="P234" s="99">
        <f>SUM(SamplingData[[#This Row],[Winning Candidate]:[Under Votes]])</f>
        <v>6</v>
      </c>
      <c r="Q234"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234" s="100">
        <f>IF(AND(SamplingData[[#This Row],[Total]]&lt;&gt; 0, NOT(ISBLANK(SamplingData[[#This Row],[Candidate 3]]))),(SamplingData[[#This Row],[Total]]+SamplingData[[#This Row],[Winning Candidate]]-SamplingData[[#This Row],[Candidate 3]])/(SamplingData[[#Totals],[Winning Candidate]]-SamplingData[[#Totals],[Candidate 3]]), 0)</f>
        <v>0</v>
      </c>
      <c r="S234" s="100">
        <f>IF(AND(SamplingData[[#This Row],[Total]]&lt;&gt; 0, NOT(ISBLANK(SamplingData[[#This Row],[Candidate 4]]))),(SamplingData[[#This Row],[Total]]+SamplingData[[#This Row],[Winning Candidate]]-SamplingData[[#This Row],[Candidate 4]])/(SamplingData[[#Totals],[Winning Candidate]]-SamplingData[[#Totals],[Candidate 4]]), 0)</f>
        <v>0</v>
      </c>
      <c r="T234" s="100">
        <f>IF(AND(SamplingData[[#This Row],[Total]]&lt;&gt; 0, NOT(ISBLANK(SamplingData[[#This Row],[Candidate 5]]))),(SamplingData[[#This Row],[Total]]+SamplingData[[#This Row],[Winning Candidate]]-SamplingData[[#This Row],[Candidate 5]])/(SamplingData[[#Totals],[Winning Candidate]]-SamplingData[[#Totals],[Candidate 5]]), 0)</f>
        <v>0</v>
      </c>
      <c r="U234" s="100">
        <f>IF(AND(SamplingData[[#This Row],[Total]]&lt;&gt; 0, NOT(ISBLANK(SamplingData[[#This Row],[Candidate 6]]))),(SamplingData[[#This Row],[Total]]+SamplingData[[#This Row],[Losing Candidate]]-SamplingData[[#This Row],[Candidate 6]])/(SamplingData[[#Totals],[Winning Candidate]]-SamplingData[[#Totals],[Candidate 6]]), 0)</f>
        <v>0</v>
      </c>
      <c r="V234" s="100">
        <f>IF(AND(SamplingData[[#This Row],[Total]]&lt;&gt; 0, NOT(ISBLANK(SamplingData[[#This Row],[Candidate 7]]))),(SamplingData[[#This Row],[Total]]+SamplingData[[#This Row],[Winning Candidate]]-SamplingData[[#This Row],[Candidate 7]])/(SamplingData[[#Totals],[Winning Candidate]]-SamplingData[[#Totals],[Candidate 7]]), 0)</f>
        <v>0</v>
      </c>
      <c r="W234" s="100">
        <f>IF(AND(SamplingData[[#This Row],[Total]]&lt;&gt; 0, NOT(ISBLANK(SamplingData[[#This Row],[Candidate 8]]))),(SamplingData[[#This Row],[Total]]+SamplingData[[#This Row],[Winning Candidate]]-SamplingData[[#This Row],[Candidate 8]])/(SamplingData[[#Totals],[Winning Candidate]]-SamplingData[[#Totals],[Candidate 8]]), 0)</f>
        <v>0</v>
      </c>
      <c r="X2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00">
        <f>MAX(SamplingData[[#This Row],[Error Bound (up) - Max. possible relative overstatement - Losing Candidate]:[Error Bound (up) - Max. possible relative overstatement - Candidate 12]])</f>
        <v>3.4550994126331E-4</v>
      </c>
      <c r="AC234" s="100">
        <f>IF(SamplingData[[#This Row],[Max Error Bound (up)]] = 0,0,SamplingData[[#This Row],[Max Error Bound (up)]]/SamplingData[[#Totals],[Max Error Bound (up)]])</f>
        <v>1.4806439455123033E-4</v>
      </c>
      <c r="AD234" s="104">
        <f>SUM($AC$5:AC234)</f>
        <v>3.7823722608087022E-2</v>
      </c>
      <c r="AE234" s="100" t="str" cm="1">
        <f t="array" ref="AE234">IF(SamplingData[[#This Row],[up/U Selection Probability]] = 0, "Zero", TEXT(SamplingData[[#This Row],[Lower Range]], REPT("0",LEN('General Info'!$B$42))) &amp; " - " &amp; TEXT(SamplingData[[#This Row],[Upper Range]], REPT("0",LEN('General Info'!$B$42))))</f>
        <v>03768 - 03781</v>
      </c>
      <c r="AF234" s="100">
        <f>SamplingData[[#This Row],[Upper Range]]-SamplingData[[#This Row],[Span]]</f>
        <v>3767.5658213535794</v>
      </c>
      <c r="AG234" s="100">
        <f>IF(ISNUMBER('General Info'!$B$42), ((SamplingData[[#This Row],[up/U Selection Probability]]) * 'General Info'!$B$44) - 1, 0)</f>
        <v>13.806439455123034</v>
      </c>
      <c r="AH234" s="100">
        <f>IF(ISNUMBER('General Info'!$B$42), (SamplingData[[#This Row],[Running (cumulative) sum]] * ('General Info'!$B$42 -'General Info'!$B$43 + 1)) + 'General Info'!$B$43 - 1, 0)</f>
        <v>3781.3722608087023</v>
      </c>
      <c r="AI234" s="100" t="str">
        <f>IF(ISERROR(MATCH(SamplingData[[#This Row],[Batch by Type (p)]],SelectedPrecincts[Batch Name], 0)), "", INDEX(SelectedPrecincts[Draw], MATCH(SamplingData[[#This Row],[Batch by Type (p)]],SelectedPrecincts[Batch Name], 0)))</f>
        <v/>
      </c>
      <c r="AJ234" s="101">
        <f>IF(COUNTIF(SelectedPrecincts[Batch Name],SamplingData[[#This Row],[Batch by Type (p)]]) &lt;&gt; 0, COUNTIF(SelectedPrecincts[Batch Name],SamplingData[[#This Row],[Batch by Type (p)]]), 0)</f>
        <v>0</v>
      </c>
    </row>
    <row r="235" spans="1:36" ht="15" customHeight="1" x14ac:dyDescent="0.35">
      <c r="A235" s="98" t="s">
        <v>447</v>
      </c>
      <c r="B235" s="98">
        <v>11</v>
      </c>
      <c r="C235" s="98">
        <v>0</v>
      </c>
      <c r="D235" s="93"/>
      <c r="E235" s="93"/>
      <c r="F235" s="93"/>
      <c r="G235" s="97"/>
      <c r="H235" s="97"/>
      <c r="I235" s="93"/>
      <c r="J235" s="93"/>
      <c r="K235" s="93"/>
      <c r="L235" s="93"/>
      <c r="M235" s="93"/>
      <c r="N235" s="98">
        <v>0</v>
      </c>
      <c r="O235" s="98">
        <v>0</v>
      </c>
      <c r="P235" s="99">
        <f>SUM(SamplingData[[#This Row],[Winning Candidate]:[Under Votes]])</f>
        <v>11</v>
      </c>
      <c r="Q235"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235" s="100">
        <f>IF(AND(SamplingData[[#This Row],[Total]]&lt;&gt; 0, NOT(ISBLANK(SamplingData[[#This Row],[Candidate 3]]))),(SamplingData[[#This Row],[Total]]+SamplingData[[#This Row],[Winning Candidate]]-SamplingData[[#This Row],[Candidate 3]])/(SamplingData[[#Totals],[Winning Candidate]]-SamplingData[[#Totals],[Candidate 3]]), 0)</f>
        <v>0</v>
      </c>
      <c r="S235" s="100">
        <f>IF(AND(SamplingData[[#This Row],[Total]]&lt;&gt; 0, NOT(ISBLANK(SamplingData[[#This Row],[Candidate 4]]))),(SamplingData[[#This Row],[Total]]+SamplingData[[#This Row],[Winning Candidate]]-SamplingData[[#This Row],[Candidate 4]])/(SamplingData[[#Totals],[Winning Candidate]]-SamplingData[[#Totals],[Candidate 4]]), 0)</f>
        <v>0</v>
      </c>
      <c r="T235" s="100">
        <f>IF(AND(SamplingData[[#This Row],[Total]]&lt;&gt; 0, NOT(ISBLANK(SamplingData[[#This Row],[Candidate 5]]))),(SamplingData[[#This Row],[Total]]+SamplingData[[#This Row],[Winning Candidate]]-SamplingData[[#This Row],[Candidate 5]])/(SamplingData[[#Totals],[Winning Candidate]]-SamplingData[[#Totals],[Candidate 5]]), 0)</f>
        <v>0</v>
      </c>
      <c r="U235" s="100">
        <f>IF(AND(SamplingData[[#This Row],[Total]]&lt;&gt; 0, NOT(ISBLANK(SamplingData[[#This Row],[Candidate 6]]))),(SamplingData[[#This Row],[Total]]+SamplingData[[#This Row],[Losing Candidate]]-SamplingData[[#This Row],[Candidate 6]])/(SamplingData[[#Totals],[Winning Candidate]]-SamplingData[[#Totals],[Candidate 6]]), 0)</f>
        <v>0</v>
      </c>
      <c r="V235" s="100">
        <f>IF(AND(SamplingData[[#This Row],[Total]]&lt;&gt; 0, NOT(ISBLANK(SamplingData[[#This Row],[Candidate 7]]))),(SamplingData[[#This Row],[Total]]+SamplingData[[#This Row],[Winning Candidate]]-SamplingData[[#This Row],[Candidate 7]])/(SamplingData[[#Totals],[Winning Candidate]]-SamplingData[[#Totals],[Candidate 7]]), 0)</f>
        <v>0</v>
      </c>
      <c r="W235" s="100">
        <f>IF(AND(SamplingData[[#This Row],[Total]]&lt;&gt; 0, NOT(ISBLANK(SamplingData[[#This Row],[Candidate 8]]))),(SamplingData[[#This Row],[Total]]+SamplingData[[#This Row],[Winning Candidate]]-SamplingData[[#This Row],[Candidate 8]])/(SamplingData[[#Totals],[Winning Candidate]]-SamplingData[[#Totals],[Candidate 8]]), 0)</f>
        <v>0</v>
      </c>
      <c r="X2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00">
        <f>MAX(SamplingData[[#This Row],[Error Bound (up) - Max. possible relative overstatement - Losing Candidate]:[Error Bound (up) - Max. possible relative overstatement - Candidate 12]])</f>
        <v>6.9101988252662E-4</v>
      </c>
      <c r="AC235" s="100">
        <f>IF(SamplingData[[#This Row],[Max Error Bound (up)]] = 0,0,SamplingData[[#This Row],[Max Error Bound (up)]]/SamplingData[[#Totals],[Max Error Bound (up)]])</f>
        <v>2.9612878910246067E-4</v>
      </c>
      <c r="AD235" s="104">
        <f>SUM($AC$5:AC235)</f>
        <v>3.8119851397189486E-2</v>
      </c>
      <c r="AE235" s="100" t="str" cm="1">
        <f t="array" ref="AE235">IF(SamplingData[[#This Row],[up/U Selection Probability]] = 0, "Zero", TEXT(SamplingData[[#This Row],[Lower Range]], REPT("0",LEN('General Info'!$B$42))) &amp; " - " &amp; TEXT(SamplingData[[#This Row],[Upper Range]], REPT("0",LEN('General Info'!$B$42))))</f>
        <v>03782 - 03811</v>
      </c>
      <c r="AF235" s="100">
        <f>SamplingData[[#This Row],[Upper Range]]-SamplingData[[#This Row],[Span]]</f>
        <v>3782.3722608087028</v>
      </c>
      <c r="AG235" s="100">
        <f>IF(ISNUMBER('General Info'!$B$42), ((SamplingData[[#This Row],[up/U Selection Probability]]) * 'General Info'!$B$44) - 1, 0)</f>
        <v>28.612878910246067</v>
      </c>
      <c r="AH235" s="100">
        <f>IF(ISNUMBER('General Info'!$B$42), (SamplingData[[#This Row],[Running (cumulative) sum]] * ('General Info'!$B$42 -'General Info'!$B$43 + 1)) + 'General Info'!$B$43 - 1, 0)</f>
        <v>3810.9851397189486</v>
      </c>
      <c r="AI235" s="100" t="str">
        <f>IF(ISERROR(MATCH(SamplingData[[#This Row],[Batch by Type (p)]],SelectedPrecincts[Batch Name], 0)), "", INDEX(SelectedPrecincts[Draw], MATCH(SamplingData[[#This Row],[Batch by Type (p)]],SelectedPrecincts[Batch Name], 0)))</f>
        <v/>
      </c>
      <c r="AJ235" s="101">
        <f>IF(COUNTIF(SelectedPrecincts[Batch Name],SamplingData[[#This Row],[Batch by Type (p)]]) &lt;&gt; 0, COUNTIF(SelectedPrecincts[Batch Name],SamplingData[[#This Row],[Batch by Type (p)]]), 0)</f>
        <v>0</v>
      </c>
    </row>
    <row r="236" spans="1:36" ht="15" customHeight="1" x14ac:dyDescent="0.35">
      <c r="A236" s="98" t="s">
        <v>448</v>
      </c>
      <c r="B236" s="98">
        <v>16</v>
      </c>
      <c r="C236" s="98">
        <v>0</v>
      </c>
      <c r="D236" s="93"/>
      <c r="E236" s="93"/>
      <c r="F236" s="93"/>
      <c r="G236" s="97"/>
      <c r="H236" s="97"/>
      <c r="I236" s="93"/>
      <c r="J236" s="93"/>
      <c r="K236" s="93"/>
      <c r="L236" s="93"/>
      <c r="M236" s="93"/>
      <c r="N236" s="98">
        <v>0</v>
      </c>
      <c r="O236" s="98">
        <v>2</v>
      </c>
      <c r="P236" s="99">
        <f>SUM(SamplingData[[#This Row],[Winning Candidate]:[Under Votes]])</f>
        <v>18</v>
      </c>
      <c r="Q236"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236" s="100">
        <f>IF(AND(SamplingData[[#This Row],[Total]]&lt;&gt; 0, NOT(ISBLANK(SamplingData[[#This Row],[Candidate 3]]))),(SamplingData[[#This Row],[Total]]+SamplingData[[#This Row],[Winning Candidate]]-SamplingData[[#This Row],[Candidate 3]])/(SamplingData[[#Totals],[Winning Candidate]]-SamplingData[[#Totals],[Candidate 3]]), 0)</f>
        <v>0</v>
      </c>
      <c r="S236" s="100">
        <f>IF(AND(SamplingData[[#This Row],[Total]]&lt;&gt; 0, NOT(ISBLANK(SamplingData[[#This Row],[Candidate 4]]))),(SamplingData[[#This Row],[Total]]+SamplingData[[#This Row],[Winning Candidate]]-SamplingData[[#This Row],[Candidate 4]])/(SamplingData[[#Totals],[Winning Candidate]]-SamplingData[[#Totals],[Candidate 4]]), 0)</f>
        <v>0</v>
      </c>
      <c r="T236" s="100">
        <f>IF(AND(SamplingData[[#This Row],[Total]]&lt;&gt; 0, NOT(ISBLANK(SamplingData[[#This Row],[Candidate 5]]))),(SamplingData[[#This Row],[Total]]+SamplingData[[#This Row],[Winning Candidate]]-SamplingData[[#This Row],[Candidate 5]])/(SamplingData[[#Totals],[Winning Candidate]]-SamplingData[[#Totals],[Candidate 5]]), 0)</f>
        <v>0</v>
      </c>
      <c r="U236" s="100">
        <f>IF(AND(SamplingData[[#This Row],[Total]]&lt;&gt; 0, NOT(ISBLANK(SamplingData[[#This Row],[Candidate 6]]))),(SamplingData[[#This Row],[Total]]+SamplingData[[#This Row],[Losing Candidate]]-SamplingData[[#This Row],[Candidate 6]])/(SamplingData[[#Totals],[Winning Candidate]]-SamplingData[[#Totals],[Candidate 6]]), 0)</f>
        <v>0</v>
      </c>
      <c r="V236" s="100">
        <f>IF(AND(SamplingData[[#This Row],[Total]]&lt;&gt; 0, NOT(ISBLANK(SamplingData[[#This Row],[Candidate 7]]))),(SamplingData[[#This Row],[Total]]+SamplingData[[#This Row],[Winning Candidate]]-SamplingData[[#This Row],[Candidate 7]])/(SamplingData[[#Totals],[Winning Candidate]]-SamplingData[[#Totals],[Candidate 7]]), 0)</f>
        <v>0</v>
      </c>
      <c r="W236" s="100">
        <f>IF(AND(SamplingData[[#This Row],[Total]]&lt;&gt; 0, NOT(ISBLANK(SamplingData[[#This Row],[Candidate 8]]))),(SamplingData[[#This Row],[Total]]+SamplingData[[#This Row],[Winning Candidate]]-SamplingData[[#This Row],[Candidate 8]])/(SamplingData[[#Totals],[Winning Candidate]]-SamplingData[[#Totals],[Candidate 8]]), 0)</f>
        <v>0</v>
      </c>
      <c r="X2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00">
        <f>MAX(SamplingData[[#This Row],[Error Bound (up) - Max. possible relative overstatement - Losing Candidate]:[Error Bound (up) - Max. possible relative overstatement - Candidate 12]])</f>
        <v>1.0679398184502309E-3</v>
      </c>
      <c r="AC236" s="100">
        <f>IF(SamplingData[[#This Row],[Max Error Bound (up)]] = 0,0,SamplingData[[#This Row],[Max Error Bound (up)]]/SamplingData[[#Totals],[Max Error Bound (up)]])</f>
        <v>4.5765358315834836E-4</v>
      </c>
      <c r="AD236" s="104">
        <f>SUM($AC$5:AC236)</f>
        <v>3.8577504980347836E-2</v>
      </c>
      <c r="AE236" s="100" t="str" cm="1">
        <f t="array" ref="AE236">IF(SamplingData[[#This Row],[up/U Selection Probability]] = 0, "Zero", TEXT(SamplingData[[#This Row],[Lower Range]], REPT("0",LEN('General Info'!$B$42))) &amp; " - " &amp; TEXT(SamplingData[[#This Row],[Upper Range]], REPT("0",LEN('General Info'!$B$42))))</f>
        <v>03812 - 03857</v>
      </c>
      <c r="AF236" s="100">
        <f>SamplingData[[#This Row],[Upper Range]]-SamplingData[[#This Row],[Span]]</f>
        <v>3811.9851397189486</v>
      </c>
      <c r="AG236" s="100">
        <f>IF(ISNUMBER('General Info'!$B$42), ((SamplingData[[#This Row],[up/U Selection Probability]]) * 'General Info'!$B$44) - 1, 0)</f>
        <v>44.765358315834838</v>
      </c>
      <c r="AH236" s="100">
        <f>IF(ISNUMBER('General Info'!$B$42), (SamplingData[[#This Row],[Running (cumulative) sum]] * ('General Info'!$B$42 -'General Info'!$B$43 + 1)) + 'General Info'!$B$43 - 1, 0)</f>
        <v>3856.7504980347835</v>
      </c>
      <c r="AI236" s="100" t="str">
        <f>IF(ISERROR(MATCH(SamplingData[[#This Row],[Batch by Type (p)]],SelectedPrecincts[Batch Name], 0)), "", INDEX(SelectedPrecincts[Draw], MATCH(SamplingData[[#This Row],[Batch by Type (p)]],SelectedPrecincts[Batch Name], 0)))</f>
        <v/>
      </c>
      <c r="AJ236" s="101">
        <f>IF(COUNTIF(SelectedPrecincts[Batch Name],SamplingData[[#This Row],[Batch by Type (p)]]) &lt;&gt; 0, COUNTIF(SelectedPrecincts[Batch Name],SamplingData[[#This Row],[Batch by Type (p)]]), 0)</f>
        <v>0</v>
      </c>
    </row>
    <row r="237" spans="1:36" ht="15" customHeight="1" x14ac:dyDescent="0.35">
      <c r="A237" s="98" t="s">
        <v>449</v>
      </c>
      <c r="B237" s="98">
        <v>11</v>
      </c>
      <c r="C237" s="98">
        <v>0</v>
      </c>
      <c r="D237" s="93"/>
      <c r="E237" s="93"/>
      <c r="F237" s="93"/>
      <c r="G237" s="97"/>
      <c r="H237" s="97"/>
      <c r="I237" s="93"/>
      <c r="J237" s="93"/>
      <c r="K237" s="93"/>
      <c r="L237" s="93"/>
      <c r="M237" s="93"/>
      <c r="N237" s="98">
        <v>0</v>
      </c>
      <c r="O237" s="98">
        <v>0</v>
      </c>
      <c r="P237" s="99">
        <f>SUM(SamplingData[[#This Row],[Winning Candidate]:[Under Votes]])</f>
        <v>11</v>
      </c>
      <c r="Q237"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237" s="100">
        <f>IF(AND(SamplingData[[#This Row],[Total]]&lt;&gt; 0, NOT(ISBLANK(SamplingData[[#This Row],[Candidate 3]]))),(SamplingData[[#This Row],[Total]]+SamplingData[[#This Row],[Winning Candidate]]-SamplingData[[#This Row],[Candidate 3]])/(SamplingData[[#Totals],[Winning Candidate]]-SamplingData[[#Totals],[Candidate 3]]), 0)</f>
        <v>0</v>
      </c>
      <c r="S237" s="100">
        <f>IF(AND(SamplingData[[#This Row],[Total]]&lt;&gt; 0, NOT(ISBLANK(SamplingData[[#This Row],[Candidate 4]]))),(SamplingData[[#This Row],[Total]]+SamplingData[[#This Row],[Winning Candidate]]-SamplingData[[#This Row],[Candidate 4]])/(SamplingData[[#Totals],[Winning Candidate]]-SamplingData[[#Totals],[Candidate 4]]), 0)</f>
        <v>0</v>
      </c>
      <c r="T237" s="100">
        <f>IF(AND(SamplingData[[#This Row],[Total]]&lt;&gt; 0, NOT(ISBLANK(SamplingData[[#This Row],[Candidate 5]]))),(SamplingData[[#This Row],[Total]]+SamplingData[[#This Row],[Winning Candidate]]-SamplingData[[#This Row],[Candidate 5]])/(SamplingData[[#Totals],[Winning Candidate]]-SamplingData[[#Totals],[Candidate 5]]), 0)</f>
        <v>0</v>
      </c>
      <c r="U237" s="100">
        <f>IF(AND(SamplingData[[#This Row],[Total]]&lt;&gt; 0, NOT(ISBLANK(SamplingData[[#This Row],[Candidate 6]]))),(SamplingData[[#This Row],[Total]]+SamplingData[[#This Row],[Losing Candidate]]-SamplingData[[#This Row],[Candidate 6]])/(SamplingData[[#Totals],[Winning Candidate]]-SamplingData[[#Totals],[Candidate 6]]), 0)</f>
        <v>0</v>
      </c>
      <c r="V237" s="100">
        <f>IF(AND(SamplingData[[#This Row],[Total]]&lt;&gt; 0, NOT(ISBLANK(SamplingData[[#This Row],[Candidate 7]]))),(SamplingData[[#This Row],[Total]]+SamplingData[[#This Row],[Winning Candidate]]-SamplingData[[#This Row],[Candidate 7]])/(SamplingData[[#Totals],[Winning Candidate]]-SamplingData[[#Totals],[Candidate 7]]), 0)</f>
        <v>0</v>
      </c>
      <c r="W237" s="100">
        <f>IF(AND(SamplingData[[#This Row],[Total]]&lt;&gt; 0, NOT(ISBLANK(SamplingData[[#This Row],[Candidate 8]]))),(SamplingData[[#This Row],[Total]]+SamplingData[[#This Row],[Winning Candidate]]-SamplingData[[#This Row],[Candidate 8]])/(SamplingData[[#Totals],[Winning Candidate]]-SamplingData[[#Totals],[Candidate 8]]), 0)</f>
        <v>0</v>
      </c>
      <c r="X2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00">
        <f>MAX(SamplingData[[#This Row],[Error Bound (up) - Max. possible relative overstatement - Losing Candidate]:[Error Bound (up) - Max. possible relative overstatement - Candidate 12]])</f>
        <v>6.9101988252662E-4</v>
      </c>
      <c r="AC237" s="100">
        <f>IF(SamplingData[[#This Row],[Max Error Bound (up)]] = 0,0,SamplingData[[#This Row],[Max Error Bound (up)]]/SamplingData[[#Totals],[Max Error Bound (up)]])</f>
        <v>2.9612878910246067E-4</v>
      </c>
      <c r="AD237" s="104">
        <f>SUM($AC$5:AC237)</f>
        <v>3.88736337694503E-2</v>
      </c>
      <c r="AE237" s="100" t="str" cm="1">
        <f t="array" ref="AE237">IF(SamplingData[[#This Row],[up/U Selection Probability]] = 0, "Zero", TEXT(SamplingData[[#This Row],[Lower Range]], REPT("0",LEN('General Info'!$B$42))) &amp; " - " &amp; TEXT(SamplingData[[#This Row],[Upper Range]], REPT("0",LEN('General Info'!$B$42))))</f>
        <v>03858 - 03886</v>
      </c>
      <c r="AF237" s="100">
        <f>SamplingData[[#This Row],[Upper Range]]-SamplingData[[#This Row],[Span]]</f>
        <v>3857.750498034784</v>
      </c>
      <c r="AG237" s="100">
        <f>IF(ISNUMBER('General Info'!$B$42), ((SamplingData[[#This Row],[up/U Selection Probability]]) * 'General Info'!$B$44) - 1, 0)</f>
        <v>28.612878910246067</v>
      </c>
      <c r="AH237" s="100">
        <f>IF(ISNUMBER('General Info'!$B$42), (SamplingData[[#This Row],[Running (cumulative) sum]] * ('General Info'!$B$42 -'General Info'!$B$43 + 1)) + 'General Info'!$B$43 - 1, 0)</f>
        <v>3886.3633769450298</v>
      </c>
      <c r="AI237" s="100" t="str">
        <f>IF(ISERROR(MATCH(SamplingData[[#This Row],[Batch by Type (p)]],SelectedPrecincts[Batch Name], 0)), "", INDEX(SelectedPrecincts[Draw], MATCH(SamplingData[[#This Row],[Batch by Type (p)]],SelectedPrecincts[Batch Name], 0)))</f>
        <v/>
      </c>
      <c r="AJ237" s="101">
        <f>IF(COUNTIF(SelectedPrecincts[Batch Name],SamplingData[[#This Row],[Batch by Type (p)]]) &lt;&gt; 0, COUNTIF(SelectedPrecincts[Batch Name],SamplingData[[#This Row],[Batch by Type (p)]]), 0)</f>
        <v>0</v>
      </c>
    </row>
    <row r="238" spans="1:36" ht="15" customHeight="1" x14ac:dyDescent="0.35">
      <c r="A238" s="98" t="s">
        <v>450</v>
      </c>
      <c r="B238" s="98">
        <v>7</v>
      </c>
      <c r="C238" s="98">
        <v>3</v>
      </c>
      <c r="D238" s="93"/>
      <c r="E238" s="93"/>
      <c r="F238" s="93"/>
      <c r="G238" s="97"/>
      <c r="H238" s="97"/>
      <c r="I238" s="93"/>
      <c r="J238" s="93"/>
      <c r="K238" s="93"/>
      <c r="L238" s="93"/>
      <c r="M238" s="93"/>
      <c r="N238" s="98">
        <v>0</v>
      </c>
      <c r="O238" s="98">
        <v>1</v>
      </c>
      <c r="P238" s="99">
        <f>SUM(SamplingData[[#This Row],[Winning Candidate]:[Under Votes]])</f>
        <v>11</v>
      </c>
      <c r="Q238"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238" s="100">
        <f>IF(AND(SamplingData[[#This Row],[Total]]&lt;&gt; 0, NOT(ISBLANK(SamplingData[[#This Row],[Candidate 3]]))),(SamplingData[[#This Row],[Total]]+SamplingData[[#This Row],[Winning Candidate]]-SamplingData[[#This Row],[Candidate 3]])/(SamplingData[[#Totals],[Winning Candidate]]-SamplingData[[#Totals],[Candidate 3]]), 0)</f>
        <v>0</v>
      </c>
      <c r="S238" s="100">
        <f>IF(AND(SamplingData[[#This Row],[Total]]&lt;&gt; 0, NOT(ISBLANK(SamplingData[[#This Row],[Candidate 4]]))),(SamplingData[[#This Row],[Total]]+SamplingData[[#This Row],[Winning Candidate]]-SamplingData[[#This Row],[Candidate 4]])/(SamplingData[[#Totals],[Winning Candidate]]-SamplingData[[#Totals],[Candidate 4]]), 0)</f>
        <v>0</v>
      </c>
      <c r="T238" s="100">
        <f>IF(AND(SamplingData[[#This Row],[Total]]&lt;&gt; 0, NOT(ISBLANK(SamplingData[[#This Row],[Candidate 5]]))),(SamplingData[[#This Row],[Total]]+SamplingData[[#This Row],[Winning Candidate]]-SamplingData[[#This Row],[Candidate 5]])/(SamplingData[[#Totals],[Winning Candidate]]-SamplingData[[#Totals],[Candidate 5]]), 0)</f>
        <v>0</v>
      </c>
      <c r="U238" s="100">
        <f>IF(AND(SamplingData[[#This Row],[Total]]&lt;&gt; 0, NOT(ISBLANK(SamplingData[[#This Row],[Candidate 6]]))),(SamplingData[[#This Row],[Total]]+SamplingData[[#This Row],[Losing Candidate]]-SamplingData[[#This Row],[Candidate 6]])/(SamplingData[[#Totals],[Winning Candidate]]-SamplingData[[#Totals],[Candidate 6]]), 0)</f>
        <v>0</v>
      </c>
      <c r="V238" s="100">
        <f>IF(AND(SamplingData[[#This Row],[Total]]&lt;&gt; 0, NOT(ISBLANK(SamplingData[[#This Row],[Candidate 7]]))),(SamplingData[[#This Row],[Total]]+SamplingData[[#This Row],[Winning Candidate]]-SamplingData[[#This Row],[Candidate 7]])/(SamplingData[[#Totals],[Winning Candidate]]-SamplingData[[#Totals],[Candidate 7]]), 0)</f>
        <v>0</v>
      </c>
      <c r="W238" s="100">
        <f>IF(AND(SamplingData[[#This Row],[Total]]&lt;&gt; 0, NOT(ISBLANK(SamplingData[[#This Row],[Candidate 8]]))),(SamplingData[[#This Row],[Total]]+SamplingData[[#This Row],[Winning Candidate]]-SamplingData[[#This Row],[Candidate 8]])/(SamplingData[[#Totals],[Winning Candidate]]-SamplingData[[#Totals],[Candidate 8]]), 0)</f>
        <v>0</v>
      </c>
      <c r="X2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00">
        <f>MAX(SamplingData[[#This Row],[Error Bound (up) - Max. possible relative overstatement - Losing Candidate]:[Error Bound (up) - Max. possible relative overstatement - Candidate 12]])</f>
        <v>4.7114991990451359E-4</v>
      </c>
      <c r="AC238" s="100">
        <f>IF(SamplingData[[#This Row],[Max Error Bound (up)]] = 0,0,SamplingData[[#This Row],[Max Error Bound (up)]]/SamplingData[[#Totals],[Max Error Bound (up)]])</f>
        <v>2.0190599256985953E-4</v>
      </c>
      <c r="AD238" s="104">
        <f>SUM($AC$5:AC238)</f>
        <v>3.9075539762020162E-2</v>
      </c>
      <c r="AE238" s="100" t="str" cm="1">
        <f t="array" ref="AE238">IF(SamplingData[[#This Row],[up/U Selection Probability]] = 0, "Zero", TEXT(SamplingData[[#This Row],[Lower Range]], REPT("0",LEN('General Info'!$B$42))) &amp; " - " &amp; TEXT(SamplingData[[#This Row],[Upper Range]], REPT("0",LEN('General Info'!$B$42))))</f>
        <v>03887 - 03907</v>
      </c>
      <c r="AF238" s="100">
        <f>SamplingData[[#This Row],[Upper Range]]-SamplingData[[#This Row],[Span]]</f>
        <v>3887.3633769450303</v>
      </c>
      <c r="AG238" s="100">
        <f>IF(ISNUMBER('General Info'!$B$42), ((SamplingData[[#This Row],[up/U Selection Probability]]) * 'General Info'!$B$44) - 1, 0)</f>
        <v>19.190599256985951</v>
      </c>
      <c r="AH238" s="100">
        <f>IF(ISNUMBER('General Info'!$B$42), (SamplingData[[#This Row],[Running (cumulative) sum]] * ('General Info'!$B$42 -'General Info'!$B$43 + 1)) + 'General Info'!$B$43 - 1, 0)</f>
        <v>3906.5539762020162</v>
      </c>
      <c r="AI238" s="100" t="str">
        <f>IF(ISERROR(MATCH(SamplingData[[#This Row],[Batch by Type (p)]],SelectedPrecincts[Batch Name], 0)), "", INDEX(SelectedPrecincts[Draw], MATCH(SamplingData[[#This Row],[Batch by Type (p)]],SelectedPrecincts[Batch Name], 0)))</f>
        <v/>
      </c>
      <c r="AJ238" s="101">
        <f>IF(COUNTIF(SelectedPrecincts[Batch Name],SamplingData[[#This Row],[Batch by Type (p)]]) &lt;&gt; 0, COUNTIF(SelectedPrecincts[Batch Name],SamplingData[[#This Row],[Batch by Type (p)]]), 0)</f>
        <v>0</v>
      </c>
    </row>
    <row r="239" spans="1:36" ht="15" customHeight="1" x14ac:dyDescent="0.35">
      <c r="A239" s="98" t="s">
        <v>451</v>
      </c>
      <c r="B239" s="98">
        <v>2</v>
      </c>
      <c r="C239" s="98">
        <v>1</v>
      </c>
      <c r="D239" s="93"/>
      <c r="E239" s="93"/>
      <c r="F239" s="93"/>
      <c r="G239" s="97"/>
      <c r="H239" s="97"/>
      <c r="I239" s="93"/>
      <c r="J239" s="93"/>
      <c r="K239" s="93"/>
      <c r="L239" s="93"/>
      <c r="M239" s="93"/>
      <c r="N239" s="98">
        <v>0</v>
      </c>
      <c r="O239" s="98">
        <v>0</v>
      </c>
      <c r="P239" s="99">
        <f>SUM(SamplingData[[#This Row],[Winning Candidate]:[Under Votes]])</f>
        <v>3</v>
      </c>
      <c r="Q239"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239" s="100">
        <f>IF(AND(SamplingData[[#This Row],[Total]]&lt;&gt; 0, NOT(ISBLANK(SamplingData[[#This Row],[Candidate 3]]))),(SamplingData[[#This Row],[Total]]+SamplingData[[#This Row],[Winning Candidate]]-SamplingData[[#This Row],[Candidate 3]])/(SamplingData[[#Totals],[Winning Candidate]]-SamplingData[[#Totals],[Candidate 3]]), 0)</f>
        <v>0</v>
      </c>
      <c r="S239" s="100">
        <f>IF(AND(SamplingData[[#This Row],[Total]]&lt;&gt; 0, NOT(ISBLANK(SamplingData[[#This Row],[Candidate 4]]))),(SamplingData[[#This Row],[Total]]+SamplingData[[#This Row],[Winning Candidate]]-SamplingData[[#This Row],[Candidate 4]])/(SamplingData[[#Totals],[Winning Candidate]]-SamplingData[[#Totals],[Candidate 4]]), 0)</f>
        <v>0</v>
      </c>
      <c r="T239" s="100">
        <f>IF(AND(SamplingData[[#This Row],[Total]]&lt;&gt; 0, NOT(ISBLANK(SamplingData[[#This Row],[Candidate 5]]))),(SamplingData[[#This Row],[Total]]+SamplingData[[#This Row],[Winning Candidate]]-SamplingData[[#This Row],[Candidate 5]])/(SamplingData[[#Totals],[Winning Candidate]]-SamplingData[[#Totals],[Candidate 5]]), 0)</f>
        <v>0</v>
      </c>
      <c r="U239" s="100">
        <f>IF(AND(SamplingData[[#This Row],[Total]]&lt;&gt; 0, NOT(ISBLANK(SamplingData[[#This Row],[Candidate 6]]))),(SamplingData[[#This Row],[Total]]+SamplingData[[#This Row],[Losing Candidate]]-SamplingData[[#This Row],[Candidate 6]])/(SamplingData[[#Totals],[Winning Candidate]]-SamplingData[[#Totals],[Candidate 6]]), 0)</f>
        <v>0</v>
      </c>
      <c r="V239" s="100">
        <f>IF(AND(SamplingData[[#This Row],[Total]]&lt;&gt; 0, NOT(ISBLANK(SamplingData[[#This Row],[Candidate 7]]))),(SamplingData[[#This Row],[Total]]+SamplingData[[#This Row],[Winning Candidate]]-SamplingData[[#This Row],[Candidate 7]])/(SamplingData[[#Totals],[Winning Candidate]]-SamplingData[[#Totals],[Candidate 7]]), 0)</f>
        <v>0</v>
      </c>
      <c r="W239" s="100">
        <f>IF(AND(SamplingData[[#This Row],[Total]]&lt;&gt; 0, NOT(ISBLANK(SamplingData[[#This Row],[Candidate 8]]))),(SamplingData[[#This Row],[Total]]+SamplingData[[#This Row],[Winning Candidate]]-SamplingData[[#This Row],[Candidate 8]])/(SamplingData[[#Totals],[Winning Candidate]]-SamplingData[[#Totals],[Candidate 8]]), 0)</f>
        <v>0</v>
      </c>
      <c r="X2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00">
        <f>MAX(SamplingData[[#This Row],[Error Bound (up) - Max. possible relative overstatement - Losing Candidate]:[Error Bound (up) - Max. possible relative overstatement - Candidate 12]])</f>
        <v>1.2563997864120362E-4</v>
      </c>
      <c r="AC239" s="100">
        <f>IF(SamplingData[[#This Row],[Max Error Bound (up)]] = 0,0,SamplingData[[#This Row],[Max Error Bound (up)]]/SamplingData[[#Totals],[Max Error Bound (up)]])</f>
        <v>5.3841598018629206E-5</v>
      </c>
      <c r="AD239" s="104">
        <f>SUM($AC$5:AC239)</f>
        <v>3.9129381360038788E-2</v>
      </c>
      <c r="AE239" s="100" t="str" cm="1">
        <f t="array" ref="AE239">IF(SamplingData[[#This Row],[up/U Selection Probability]] = 0, "Zero", TEXT(SamplingData[[#This Row],[Lower Range]], REPT("0",LEN('General Info'!$B$42))) &amp; " - " &amp; TEXT(SamplingData[[#This Row],[Upper Range]], REPT("0",LEN('General Info'!$B$42))))</f>
        <v>03908 - 03912</v>
      </c>
      <c r="AF239" s="100">
        <f>SamplingData[[#This Row],[Upper Range]]-SamplingData[[#This Row],[Span]]</f>
        <v>3907.5539762020157</v>
      </c>
      <c r="AG239" s="100">
        <f>IF(ISNUMBER('General Info'!$B$42), ((SamplingData[[#This Row],[up/U Selection Probability]]) * 'General Info'!$B$44) - 1, 0)</f>
        <v>4.3841598018629204</v>
      </c>
      <c r="AH239" s="100">
        <f>IF(ISNUMBER('General Info'!$B$42), (SamplingData[[#This Row],[Running (cumulative) sum]] * ('General Info'!$B$42 -'General Info'!$B$43 + 1)) + 'General Info'!$B$43 - 1, 0)</f>
        <v>3911.9381360038788</v>
      </c>
      <c r="AI239" s="100" t="str">
        <f>IF(ISERROR(MATCH(SamplingData[[#This Row],[Batch by Type (p)]],SelectedPrecincts[Batch Name], 0)), "", INDEX(SelectedPrecincts[Draw], MATCH(SamplingData[[#This Row],[Batch by Type (p)]],SelectedPrecincts[Batch Name], 0)))</f>
        <v/>
      </c>
      <c r="AJ239" s="101">
        <f>IF(COUNTIF(SelectedPrecincts[Batch Name],SamplingData[[#This Row],[Batch by Type (p)]]) &lt;&gt; 0, COUNTIF(SelectedPrecincts[Batch Name],SamplingData[[#This Row],[Batch by Type (p)]]), 0)</f>
        <v>0</v>
      </c>
    </row>
    <row r="240" spans="1:36" ht="15" customHeight="1" x14ac:dyDescent="0.35">
      <c r="A240" s="98" t="s">
        <v>452</v>
      </c>
      <c r="B240" s="98">
        <v>7</v>
      </c>
      <c r="C240" s="98">
        <v>1</v>
      </c>
      <c r="D240" s="93"/>
      <c r="E240" s="93"/>
      <c r="F240" s="93"/>
      <c r="G240" s="97"/>
      <c r="H240" s="97"/>
      <c r="I240" s="93"/>
      <c r="J240" s="93"/>
      <c r="K240" s="93"/>
      <c r="L240" s="93"/>
      <c r="M240" s="93"/>
      <c r="N240" s="98">
        <v>0</v>
      </c>
      <c r="O240" s="98">
        <v>1</v>
      </c>
      <c r="P240" s="99">
        <f>SUM(SamplingData[[#This Row],[Winning Candidate]:[Under Votes]])</f>
        <v>9</v>
      </c>
      <c r="Q240"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240" s="100">
        <f>IF(AND(SamplingData[[#This Row],[Total]]&lt;&gt; 0, NOT(ISBLANK(SamplingData[[#This Row],[Candidate 3]]))),(SamplingData[[#This Row],[Total]]+SamplingData[[#This Row],[Winning Candidate]]-SamplingData[[#This Row],[Candidate 3]])/(SamplingData[[#Totals],[Winning Candidate]]-SamplingData[[#Totals],[Candidate 3]]), 0)</f>
        <v>0</v>
      </c>
      <c r="S240" s="100">
        <f>IF(AND(SamplingData[[#This Row],[Total]]&lt;&gt; 0, NOT(ISBLANK(SamplingData[[#This Row],[Candidate 4]]))),(SamplingData[[#This Row],[Total]]+SamplingData[[#This Row],[Winning Candidate]]-SamplingData[[#This Row],[Candidate 4]])/(SamplingData[[#Totals],[Winning Candidate]]-SamplingData[[#Totals],[Candidate 4]]), 0)</f>
        <v>0</v>
      </c>
      <c r="T240" s="100">
        <f>IF(AND(SamplingData[[#This Row],[Total]]&lt;&gt; 0, NOT(ISBLANK(SamplingData[[#This Row],[Candidate 5]]))),(SamplingData[[#This Row],[Total]]+SamplingData[[#This Row],[Winning Candidate]]-SamplingData[[#This Row],[Candidate 5]])/(SamplingData[[#Totals],[Winning Candidate]]-SamplingData[[#Totals],[Candidate 5]]), 0)</f>
        <v>0</v>
      </c>
      <c r="U240" s="100">
        <f>IF(AND(SamplingData[[#This Row],[Total]]&lt;&gt; 0, NOT(ISBLANK(SamplingData[[#This Row],[Candidate 6]]))),(SamplingData[[#This Row],[Total]]+SamplingData[[#This Row],[Losing Candidate]]-SamplingData[[#This Row],[Candidate 6]])/(SamplingData[[#Totals],[Winning Candidate]]-SamplingData[[#Totals],[Candidate 6]]), 0)</f>
        <v>0</v>
      </c>
      <c r="V240" s="100">
        <f>IF(AND(SamplingData[[#This Row],[Total]]&lt;&gt; 0, NOT(ISBLANK(SamplingData[[#This Row],[Candidate 7]]))),(SamplingData[[#This Row],[Total]]+SamplingData[[#This Row],[Winning Candidate]]-SamplingData[[#This Row],[Candidate 7]])/(SamplingData[[#Totals],[Winning Candidate]]-SamplingData[[#Totals],[Candidate 7]]), 0)</f>
        <v>0</v>
      </c>
      <c r="W240" s="100">
        <f>IF(AND(SamplingData[[#This Row],[Total]]&lt;&gt; 0, NOT(ISBLANK(SamplingData[[#This Row],[Candidate 8]]))),(SamplingData[[#This Row],[Total]]+SamplingData[[#This Row],[Winning Candidate]]-SamplingData[[#This Row],[Candidate 8]])/(SamplingData[[#Totals],[Winning Candidate]]-SamplingData[[#Totals],[Candidate 8]]), 0)</f>
        <v>0</v>
      </c>
      <c r="X2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00">
        <f>MAX(SamplingData[[#This Row],[Error Bound (up) - Max. possible relative overstatement - Losing Candidate]:[Error Bound (up) - Max. possible relative overstatement - Candidate 12]])</f>
        <v>4.7114991990451359E-4</v>
      </c>
      <c r="AC240" s="100">
        <f>IF(SamplingData[[#This Row],[Max Error Bound (up)]] = 0,0,SamplingData[[#This Row],[Max Error Bound (up)]]/SamplingData[[#Totals],[Max Error Bound (up)]])</f>
        <v>2.0190599256985953E-4</v>
      </c>
      <c r="AD240" s="104">
        <f>SUM($AC$5:AC240)</f>
        <v>3.933128735260865E-2</v>
      </c>
      <c r="AE240" s="100" t="str" cm="1">
        <f t="array" ref="AE240">IF(SamplingData[[#This Row],[up/U Selection Probability]] = 0, "Zero", TEXT(SamplingData[[#This Row],[Lower Range]], REPT("0",LEN('General Info'!$B$42))) &amp; " - " &amp; TEXT(SamplingData[[#This Row],[Upper Range]], REPT("0",LEN('General Info'!$B$42))))</f>
        <v>03913 - 03932</v>
      </c>
      <c r="AF240" s="100">
        <f>SamplingData[[#This Row],[Upper Range]]-SamplingData[[#This Row],[Span]]</f>
        <v>3912.9381360038792</v>
      </c>
      <c r="AG240" s="100">
        <f>IF(ISNUMBER('General Info'!$B$42), ((SamplingData[[#This Row],[up/U Selection Probability]]) * 'General Info'!$B$44) - 1, 0)</f>
        <v>19.190599256985951</v>
      </c>
      <c r="AH240" s="100">
        <f>IF(ISNUMBER('General Info'!$B$42), (SamplingData[[#This Row],[Running (cumulative) sum]] * ('General Info'!$B$42 -'General Info'!$B$43 + 1)) + 'General Info'!$B$43 - 1, 0)</f>
        <v>3932.1287352608651</v>
      </c>
      <c r="AI240" s="100" t="str">
        <f>IF(ISERROR(MATCH(SamplingData[[#This Row],[Batch by Type (p)]],SelectedPrecincts[Batch Name], 0)), "", INDEX(SelectedPrecincts[Draw], MATCH(SamplingData[[#This Row],[Batch by Type (p)]],SelectedPrecincts[Batch Name], 0)))</f>
        <v/>
      </c>
      <c r="AJ240" s="101">
        <f>IF(COUNTIF(SelectedPrecincts[Batch Name],SamplingData[[#This Row],[Batch by Type (p)]]) &lt;&gt; 0, COUNTIF(SelectedPrecincts[Batch Name],SamplingData[[#This Row],[Batch by Type (p)]]), 0)</f>
        <v>0</v>
      </c>
    </row>
    <row r="241" spans="1:36" ht="15" customHeight="1" x14ac:dyDescent="0.35">
      <c r="A241" s="98" t="s">
        <v>453</v>
      </c>
      <c r="B241" s="98">
        <v>8</v>
      </c>
      <c r="C241" s="98">
        <v>1</v>
      </c>
      <c r="D241" s="93"/>
      <c r="E241" s="93"/>
      <c r="F241" s="93"/>
      <c r="G241" s="97"/>
      <c r="H241" s="97"/>
      <c r="I241" s="93"/>
      <c r="J241" s="93"/>
      <c r="K241" s="93"/>
      <c r="L241" s="93"/>
      <c r="M241" s="93"/>
      <c r="N241" s="98">
        <v>0</v>
      </c>
      <c r="O241" s="98">
        <v>0</v>
      </c>
      <c r="P241" s="99">
        <f>SUM(SamplingData[[#This Row],[Winning Candidate]:[Under Votes]])</f>
        <v>9</v>
      </c>
      <c r="Q241"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241" s="100">
        <f>IF(AND(SamplingData[[#This Row],[Total]]&lt;&gt; 0, NOT(ISBLANK(SamplingData[[#This Row],[Candidate 3]]))),(SamplingData[[#This Row],[Total]]+SamplingData[[#This Row],[Winning Candidate]]-SamplingData[[#This Row],[Candidate 3]])/(SamplingData[[#Totals],[Winning Candidate]]-SamplingData[[#Totals],[Candidate 3]]), 0)</f>
        <v>0</v>
      </c>
      <c r="S241" s="100">
        <f>IF(AND(SamplingData[[#This Row],[Total]]&lt;&gt; 0, NOT(ISBLANK(SamplingData[[#This Row],[Candidate 4]]))),(SamplingData[[#This Row],[Total]]+SamplingData[[#This Row],[Winning Candidate]]-SamplingData[[#This Row],[Candidate 4]])/(SamplingData[[#Totals],[Winning Candidate]]-SamplingData[[#Totals],[Candidate 4]]), 0)</f>
        <v>0</v>
      </c>
      <c r="T241" s="100">
        <f>IF(AND(SamplingData[[#This Row],[Total]]&lt;&gt; 0, NOT(ISBLANK(SamplingData[[#This Row],[Candidate 5]]))),(SamplingData[[#This Row],[Total]]+SamplingData[[#This Row],[Winning Candidate]]-SamplingData[[#This Row],[Candidate 5]])/(SamplingData[[#Totals],[Winning Candidate]]-SamplingData[[#Totals],[Candidate 5]]), 0)</f>
        <v>0</v>
      </c>
      <c r="U241" s="100">
        <f>IF(AND(SamplingData[[#This Row],[Total]]&lt;&gt; 0, NOT(ISBLANK(SamplingData[[#This Row],[Candidate 6]]))),(SamplingData[[#This Row],[Total]]+SamplingData[[#This Row],[Losing Candidate]]-SamplingData[[#This Row],[Candidate 6]])/(SamplingData[[#Totals],[Winning Candidate]]-SamplingData[[#Totals],[Candidate 6]]), 0)</f>
        <v>0</v>
      </c>
      <c r="V241" s="100">
        <f>IF(AND(SamplingData[[#This Row],[Total]]&lt;&gt; 0, NOT(ISBLANK(SamplingData[[#This Row],[Candidate 7]]))),(SamplingData[[#This Row],[Total]]+SamplingData[[#This Row],[Winning Candidate]]-SamplingData[[#This Row],[Candidate 7]])/(SamplingData[[#Totals],[Winning Candidate]]-SamplingData[[#Totals],[Candidate 7]]), 0)</f>
        <v>0</v>
      </c>
      <c r="W241" s="100">
        <f>IF(AND(SamplingData[[#This Row],[Total]]&lt;&gt; 0, NOT(ISBLANK(SamplingData[[#This Row],[Candidate 8]]))),(SamplingData[[#This Row],[Total]]+SamplingData[[#This Row],[Winning Candidate]]-SamplingData[[#This Row],[Candidate 8]])/(SamplingData[[#Totals],[Winning Candidate]]-SamplingData[[#Totals],[Candidate 8]]), 0)</f>
        <v>0</v>
      </c>
      <c r="X2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00">
        <f>MAX(SamplingData[[#This Row],[Error Bound (up) - Max. possible relative overstatement - Losing Candidate]:[Error Bound (up) - Max. possible relative overstatement - Candidate 12]])</f>
        <v>5.0255991456481448E-4</v>
      </c>
      <c r="AC241" s="100">
        <f>IF(SamplingData[[#This Row],[Max Error Bound (up)]] = 0,0,SamplingData[[#This Row],[Max Error Bound (up)]]/SamplingData[[#Totals],[Max Error Bound (up)]])</f>
        <v>2.1536639207451683E-4</v>
      </c>
      <c r="AD241" s="104">
        <f>SUM($AC$5:AC241)</f>
        <v>3.954665374468317E-2</v>
      </c>
      <c r="AE241" s="100" t="str" cm="1">
        <f t="array" ref="AE241">IF(SamplingData[[#This Row],[up/U Selection Probability]] = 0, "Zero", TEXT(SamplingData[[#This Row],[Lower Range]], REPT("0",LEN('General Info'!$B$42))) &amp; " - " &amp; TEXT(SamplingData[[#This Row],[Upper Range]], REPT("0",LEN('General Info'!$B$42))))</f>
        <v>03933 - 03954</v>
      </c>
      <c r="AF241" s="100">
        <f>SamplingData[[#This Row],[Upper Range]]-SamplingData[[#This Row],[Span]]</f>
        <v>3933.1287352608656</v>
      </c>
      <c r="AG241" s="100">
        <f>IF(ISNUMBER('General Info'!$B$42), ((SamplingData[[#This Row],[up/U Selection Probability]]) * 'General Info'!$B$44) - 1, 0)</f>
        <v>20.536639207451682</v>
      </c>
      <c r="AH241" s="100">
        <f>IF(ISNUMBER('General Info'!$B$42), (SamplingData[[#This Row],[Running (cumulative) sum]] * ('General Info'!$B$42 -'General Info'!$B$43 + 1)) + 'General Info'!$B$43 - 1, 0)</f>
        <v>3953.6653744683172</v>
      </c>
      <c r="AI241" s="100" t="str">
        <f>IF(ISERROR(MATCH(SamplingData[[#This Row],[Batch by Type (p)]],SelectedPrecincts[Batch Name], 0)), "", INDEX(SelectedPrecincts[Draw], MATCH(SamplingData[[#This Row],[Batch by Type (p)]],SelectedPrecincts[Batch Name], 0)))</f>
        <v/>
      </c>
      <c r="AJ241" s="101">
        <f>IF(COUNTIF(SelectedPrecincts[Batch Name],SamplingData[[#This Row],[Batch by Type (p)]]) &lt;&gt; 0, COUNTIF(SelectedPrecincts[Batch Name],SamplingData[[#This Row],[Batch by Type (p)]]), 0)</f>
        <v>0</v>
      </c>
    </row>
    <row r="242" spans="1:36" ht="15" customHeight="1" x14ac:dyDescent="0.35">
      <c r="A242" s="98" t="s">
        <v>454</v>
      </c>
      <c r="B242" s="98">
        <v>17</v>
      </c>
      <c r="C242" s="98">
        <v>0</v>
      </c>
      <c r="D242" s="93"/>
      <c r="E242" s="93"/>
      <c r="F242" s="93"/>
      <c r="G242" s="97"/>
      <c r="H242" s="97"/>
      <c r="I242" s="93"/>
      <c r="J242" s="93"/>
      <c r="K242" s="93"/>
      <c r="L242" s="93"/>
      <c r="M242" s="93"/>
      <c r="N242" s="98">
        <v>0</v>
      </c>
      <c r="O242" s="98">
        <v>0</v>
      </c>
      <c r="P242" s="99">
        <f>SUM(SamplingData[[#This Row],[Winning Candidate]:[Under Votes]])</f>
        <v>17</v>
      </c>
      <c r="Q242"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242" s="100">
        <f>IF(AND(SamplingData[[#This Row],[Total]]&lt;&gt; 0, NOT(ISBLANK(SamplingData[[#This Row],[Candidate 3]]))),(SamplingData[[#This Row],[Total]]+SamplingData[[#This Row],[Winning Candidate]]-SamplingData[[#This Row],[Candidate 3]])/(SamplingData[[#Totals],[Winning Candidate]]-SamplingData[[#Totals],[Candidate 3]]), 0)</f>
        <v>0</v>
      </c>
      <c r="S242" s="100">
        <f>IF(AND(SamplingData[[#This Row],[Total]]&lt;&gt; 0, NOT(ISBLANK(SamplingData[[#This Row],[Candidate 4]]))),(SamplingData[[#This Row],[Total]]+SamplingData[[#This Row],[Winning Candidate]]-SamplingData[[#This Row],[Candidate 4]])/(SamplingData[[#Totals],[Winning Candidate]]-SamplingData[[#Totals],[Candidate 4]]), 0)</f>
        <v>0</v>
      </c>
      <c r="T242" s="100">
        <f>IF(AND(SamplingData[[#This Row],[Total]]&lt;&gt; 0, NOT(ISBLANK(SamplingData[[#This Row],[Candidate 5]]))),(SamplingData[[#This Row],[Total]]+SamplingData[[#This Row],[Winning Candidate]]-SamplingData[[#This Row],[Candidate 5]])/(SamplingData[[#Totals],[Winning Candidate]]-SamplingData[[#Totals],[Candidate 5]]), 0)</f>
        <v>0</v>
      </c>
      <c r="U242" s="100">
        <f>IF(AND(SamplingData[[#This Row],[Total]]&lt;&gt; 0, NOT(ISBLANK(SamplingData[[#This Row],[Candidate 6]]))),(SamplingData[[#This Row],[Total]]+SamplingData[[#This Row],[Losing Candidate]]-SamplingData[[#This Row],[Candidate 6]])/(SamplingData[[#Totals],[Winning Candidate]]-SamplingData[[#Totals],[Candidate 6]]), 0)</f>
        <v>0</v>
      </c>
      <c r="V242" s="100">
        <f>IF(AND(SamplingData[[#This Row],[Total]]&lt;&gt; 0, NOT(ISBLANK(SamplingData[[#This Row],[Candidate 7]]))),(SamplingData[[#This Row],[Total]]+SamplingData[[#This Row],[Winning Candidate]]-SamplingData[[#This Row],[Candidate 7]])/(SamplingData[[#Totals],[Winning Candidate]]-SamplingData[[#Totals],[Candidate 7]]), 0)</f>
        <v>0</v>
      </c>
      <c r="W242" s="100">
        <f>IF(AND(SamplingData[[#This Row],[Total]]&lt;&gt; 0, NOT(ISBLANK(SamplingData[[#This Row],[Candidate 8]]))),(SamplingData[[#This Row],[Total]]+SamplingData[[#This Row],[Winning Candidate]]-SamplingData[[#This Row],[Candidate 8]])/(SamplingData[[#Totals],[Winning Candidate]]-SamplingData[[#Totals],[Candidate 8]]), 0)</f>
        <v>0</v>
      </c>
      <c r="X2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00">
        <f>MAX(SamplingData[[#This Row],[Error Bound (up) - Max. possible relative overstatement - Losing Candidate]:[Error Bound (up) - Max. possible relative overstatement - Candidate 12]])</f>
        <v>1.0679398184502309E-3</v>
      </c>
      <c r="AC242" s="100">
        <f>IF(SamplingData[[#This Row],[Max Error Bound (up)]] = 0,0,SamplingData[[#This Row],[Max Error Bound (up)]]/SamplingData[[#Totals],[Max Error Bound (up)]])</f>
        <v>4.5765358315834836E-4</v>
      </c>
      <c r="AD242" s="104">
        <f>SUM($AC$5:AC242)</f>
        <v>4.0004307327841521E-2</v>
      </c>
      <c r="AE242" s="100" t="str" cm="1">
        <f t="array" ref="AE242">IF(SamplingData[[#This Row],[up/U Selection Probability]] = 0, "Zero", TEXT(SamplingData[[#This Row],[Lower Range]], REPT("0",LEN('General Info'!$B$42))) &amp; " - " &amp; TEXT(SamplingData[[#This Row],[Upper Range]], REPT("0",LEN('General Info'!$B$42))))</f>
        <v>03955 - 03999</v>
      </c>
      <c r="AF242" s="100">
        <f>SamplingData[[#This Row],[Upper Range]]-SamplingData[[#This Row],[Span]]</f>
        <v>3954.6653744683172</v>
      </c>
      <c r="AG242" s="100">
        <f>IF(ISNUMBER('General Info'!$B$42), ((SamplingData[[#This Row],[up/U Selection Probability]]) * 'General Info'!$B$44) - 1, 0)</f>
        <v>44.765358315834838</v>
      </c>
      <c r="AH242" s="100">
        <f>IF(ISNUMBER('General Info'!$B$42), (SamplingData[[#This Row],[Running (cumulative) sum]] * ('General Info'!$B$42 -'General Info'!$B$43 + 1)) + 'General Info'!$B$43 - 1, 0)</f>
        <v>3999.430732784152</v>
      </c>
      <c r="AI242" s="100" t="str">
        <f>IF(ISERROR(MATCH(SamplingData[[#This Row],[Batch by Type (p)]],SelectedPrecincts[Batch Name], 0)), "", INDEX(SelectedPrecincts[Draw], MATCH(SamplingData[[#This Row],[Batch by Type (p)]],SelectedPrecincts[Batch Name], 0)))</f>
        <v/>
      </c>
      <c r="AJ242" s="101">
        <f>IF(COUNTIF(SelectedPrecincts[Batch Name],SamplingData[[#This Row],[Batch by Type (p)]]) &lt;&gt; 0, COUNTIF(SelectedPrecincts[Batch Name],SamplingData[[#This Row],[Batch by Type (p)]]), 0)</f>
        <v>0</v>
      </c>
    </row>
    <row r="243" spans="1:36" ht="15" customHeight="1" x14ac:dyDescent="0.35">
      <c r="A243" s="98" t="s">
        <v>455</v>
      </c>
      <c r="B243" s="98">
        <v>7</v>
      </c>
      <c r="C243" s="98">
        <v>0</v>
      </c>
      <c r="D243" s="93"/>
      <c r="E243" s="93"/>
      <c r="F243" s="93"/>
      <c r="G243" s="97"/>
      <c r="H243" s="97"/>
      <c r="I243" s="93"/>
      <c r="J243" s="93"/>
      <c r="K243" s="93"/>
      <c r="L243" s="93"/>
      <c r="M243" s="93"/>
      <c r="N243" s="98">
        <v>0</v>
      </c>
      <c r="O243" s="98">
        <v>0</v>
      </c>
      <c r="P243" s="99">
        <f>SUM(SamplingData[[#This Row],[Winning Candidate]:[Under Votes]])</f>
        <v>7</v>
      </c>
      <c r="Q243"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243" s="100">
        <f>IF(AND(SamplingData[[#This Row],[Total]]&lt;&gt; 0, NOT(ISBLANK(SamplingData[[#This Row],[Candidate 3]]))),(SamplingData[[#This Row],[Total]]+SamplingData[[#This Row],[Winning Candidate]]-SamplingData[[#This Row],[Candidate 3]])/(SamplingData[[#Totals],[Winning Candidate]]-SamplingData[[#Totals],[Candidate 3]]), 0)</f>
        <v>0</v>
      </c>
      <c r="S243" s="100">
        <f>IF(AND(SamplingData[[#This Row],[Total]]&lt;&gt; 0, NOT(ISBLANK(SamplingData[[#This Row],[Candidate 4]]))),(SamplingData[[#This Row],[Total]]+SamplingData[[#This Row],[Winning Candidate]]-SamplingData[[#This Row],[Candidate 4]])/(SamplingData[[#Totals],[Winning Candidate]]-SamplingData[[#Totals],[Candidate 4]]), 0)</f>
        <v>0</v>
      </c>
      <c r="T243" s="100">
        <f>IF(AND(SamplingData[[#This Row],[Total]]&lt;&gt; 0, NOT(ISBLANK(SamplingData[[#This Row],[Candidate 5]]))),(SamplingData[[#This Row],[Total]]+SamplingData[[#This Row],[Winning Candidate]]-SamplingData[[#This Row],[Candidate 5]])/(SamplingData[[#Totals],[Winning Candidate]]-SamplingData[[#Totals],[Candidate 5]]), 0)</f>
        <v>0</v>
      </c>
      <c r="U243" s="100">
        <f>IF(AND(SamplingData[[#This Row],[Total]]&lt;&gt; 0, NOT(ISBLANK(SamplingData[[#This Row],[Candidate 6]]))),(SamplingData[[#This Row],[Total]]+SamplingData[[#This Row],[Losing Candidate]]-SamplingData[[#This Row],[Candidate 6]])/(SamplingData[[#Totals],[Winning Candidate]]-SamplingData[[#Totals],[Candidate 6]]), 0)</f>
        <v>0</v>
      </c>
      <c r="V243" s="100">
        <f>IF(AND(SamplingData[[#This Row],[Total]]&lt;&gt; 0, NOT(ISBLANK(SamplingData[[#This Row],[Candidate 7]]))),(SamplingData[[#This Row],[Total]]+SamplingData[[#This Row],[Winning Candidate]]-SamplingData[[#This Row],[Candidate 7]])/(SamplingData[[#Totals],[Winning Candidate]]-SamplingData[[#Totals],[Candidate 7]]), 0)</f>
        <v>0</v>
      </c>
      <c r="W243" s="100">
        <f>IF(AND(SamplingData[[#This Row],[Total]]&lt;&gt; 0, NOT(ISBLANK(SamplingData[[#This Row],[Candidate 8]]))),(SamplingData[[#This Row],[Total]]+SamplingData[[#This Row],[Winning Candidate]]-SamplingData[[#This Row],[Candidate 8]])/(SamplingData[[#Totals],[Winning Candidate]]-SamplingData[[#Totals],[Candidate 8]]), 0)</f>
        <v>0</v>
      </c>
      <c r="X2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00">
        <f>MAX(SamplingData[[#This Row],[Error Bound (up) - Max. possible relative overstatement - Losing Candidate]:[Error Bound (up) - Max. possible relative overstatement - Candidate 12]])</f>
        <v>4.3973992524421271E-4</v>
      </c>
      <c r="AC243" s="100">
        <f>IF(SamplingData[[#This Row],[Max Error Bound (up)]] = 0,0,SamplingData[[#This Row],[Max Error Bound (up)]]/SamplingData[[#Totals],[Max Error Bound (up)]])</f>
        <v>1.8844559306520223E-4</v>
      </c>
      <c r="AD243" s="104">
        <f>SUM($AC$5:AC243)</f>
        <v>4.0192752920906724E-2</v>
      </c>
      <c r="AE243" s="100" t="str" cm="1">
        <f t="array" ref="AE243">IF(SamplingData[[#This Row],[up/U Selection Probability]] = 0, "Zero", TEXT(SamplingData[[#This Row],[Lower Range]], REPT("0",LEN('General Info'!$B$42))) &amp; " - " &amp; TEXT(SamplingData[[#This Row],[Upper Range]], REPT("0",LEN('General Info'!$B$42))))</f>
        <v>04000 - 04018</v>
      </c>
      <c r="AF243" s="100">
        <f>SamplingData[[#This Row],[Upper Range]]-SamplingData[[#This Row],[Span]]</f>
        <v>4000.430732784152</v>
      </c>
      <c r="AG243" s="100">
        <f>IF(ISNUMBER('General Info'!$B$42), ((SamplingData[[#This Row],[up/U Selection Probability]]) * 'General Info'!$B$44) - 1, 0)</f>
        <v>17.844559306520225</v>
      </c>
      <c r="AH243" s="100">
        <f>IF(ISNUMBER('General Info'!$B$42), (SamplingData[[#This Row],[Running (cumulative) sum]] * ('General Info'!$B$42 -'General Info'!$B$43 + 1)) + 'General Info'!$B$43 - 1, 0)</f>
        <v>4018.2752920906723</v>
      </c>
      <c r="AI243" s="100" t="str">
        <f>IF(ISERROR(MATCH(SamplingData[[#This Row],[Batch by Type (p)]],SelectedPrecincts[Batch Name], 0)), "", INDEX(SelectedPrecincts[Draw], MATCH(SamplingData[[#This Row],[Batch by Type (p)]],SelectedPrecincts[Batch Name], 0)))</f>
        <v/>
      </c>
      <c r="AJ243" s="101">
        <f>IF(COUNTIF(SelectedPrecincts[Batch Name],SamplingData[[#This Row],[Batch by Type (p)]]) &lt;&gt; 0, COUNTIF(SelectedPrecincts[Batch Name],SamplingData[[#This Row],[Batch by Type (p)]]), 0)</f>
        <v>0</v>
      </c>
    </row>
    <row r="244" spans="1:36" ht="15" customHeight="1" x14ac:dyDescent="0.35">
      <c r="A244" s="98" t="s">
        <v>456</v>
      </c>
      <c r="B244" s="98">
        <v>10</v>
      </c>
      <c r="C244" s="98">
        <v>0</v>
      </c>
      <c r="D244" s="93"/>
      <c r="E244" s="93"/>
      <c r="F244" s="93"/>
      <c r="G244" s="97"/>
      <c r="H244" s="97"/>
      <c r="I244" s="93"/>
      <c r="J244" s="93"/>
      <c r="K244" s="93"/>
      <c r="L244" s="93"/>
      <c r="M244" s="93"/>
      <c r="N244" s="98">
        <v>0</v>
      </c>
      <c r="O244" s="98">
        <v>0</v>
      </c>
      <c r="P244" s="99">
        <f>SUM(SamplingData[[#This Row],[Winning Candidate]:[Under Votes]])</f>
        <v>10</v>
      </c>
      <c r="Q244"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244" s="100">
        <f>IF(AND(SamplingData[[#This Row],[Total]]&lt;&gt; 0, NOT(ISBLANK(SamplingData[[#This Row],[Candidate 3]]))),(SamplingData[[#This Row],[Total]]+SamplingData[[#This Row],[Winning Candidate]]-SamplingData[[#This Row],[Candidate 3]])/(SamplingData[[#Totals],[Winning Candidate]]-SamplingData[[#Totals],[Candidate 3]]), 0)</f>
        <v>0</v>
      </c>
      <c r="S244" s="100">
        <f>IF(AND(SamplingData[[#This Row],[Total]]&lt;&gt; 0, NOT(ISBLANK(SamplingData[[#This Row],[Candidate 4]]))),(SamplingData[[#This Row],[Total]]+SamplingData[[#This Row],[Winning Candidate]]-SamplingData[[#This Row],[Candidate 4]])/(SamplingData[[#Totals],[Winning Candidate]]-SamplingData[[#Totals],[Candidate 4]]), 0)</f>
        <v>0</v>
      </c>
      <c r="T244" s="100">
        <f>IF(AND(SamplingData[[#This Row],[Total]]&lt;&gt; 0, NOT(ISBLANK(SamplingData[[#This Row],[Candidate 5]]))),(SamplingData[[#This Row],[Total]]+SamplingData[[#This Row],[Winning Candidate]]-SamplingData[[#This Row],[Candidate 5]])/(SamplingData[[#Totals],[Winning Candidate]]-SamplingData[[#Totals],[Candidate 5]]), 0)</f>
        <v>0</v>
      </c>
      <c r="U244" s="100">
        <f>IF(AND(SamplingData[[#This Row],[Total]]&lt;&gt; 0, NOT(ISBLANK(SamplingData[[#This Row],[Candidate 6]]))),(SamplingData[[#This Row],[Total]]+SamplingData[[#This Row],[Losing Candidate]]-SamplingData[[#This Row],[Candidate 6]])/(SamplingData[[#Totals],[Winning Candidate]]-SamplingData[[#Totals],[Candidate 6]]), 0)</f>
        <v>0</v>
      </c>
      <c r="V244" s="100">
        <f>IF(AND(SamplingData[[#This Row],[Total]]&lt;&gt; 0, NOT(ISBLANK(SamplingData[[#This Row],[Candidate 7]]))),(SamplingData[[#This Row],[Total]]+SamplingData[[#This Row],[Winning Candidate]]-SamplingData[[#This Row],[Candidate 7]])/(SamplingData[[#Totals],[Winning Candidate]]-SamplingData[[#Totals],[Candidate 7]]), 0)</f>
        <v>0</v>
      </c>
      <c r="W244" s="100">
        <f>IF(AND(SamplingData[[#This Row],[Total]]&lt;&gt; 0, NOT(ISBLANK(SamplingData[[#This Row],[Candidate 8]]))),(SamplingData[[#This Row],[Total]]+SamplingData[[#This Row],[Winning Candidate]]-SamplingData[[#This Row],[Candidate 8]])/(SamplingData[[#Totals],[Winning Candidate]]-SamplingData[[#Totals],[Candidate 8]]), 0)</f>
        <v>0</v>
      </c>
      <c r="X2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00">
        <f>MAX(SamplingData[[#This Row],[Error Bound (up) - Max. possible relative overstatement - Losing Candidate]:[Error Bound (up) - Max. possible relative overstatement - Candidate 12]])</f>
        <v>6.2819989320601812E-4</v>
      </c>
      <c r="AC244" s="100">
        <f>IF(SamplingData[[#This Row],[Max Error Bound (up)]] = 0,0,SamplingData[[#This Row],[Max Error Bound (up)]]/SamplingData[[#Totals],[Max Error Bound (up)]])</f>
        <v>2.6920799009314607E-4</v>
      </c>
      <c r="AD244" s="104">
        <f>SUM($AC$5:AC244)</f>
        <v>4.0461960910999871E-2</v>
      </c>
      <c r="AE244" s="100" t="str" cm="1">
        <f t="array" ref="AE244">IF(SamplingData[[#This Row],[up/U Selection Probability]] = 0, "Zero", TEXT(SamplingData[[#This Row],[Lower Range]], REPT("0",LEN('General Info'!$B$42))) &amp; " - " &amp; TEXT(SamplingData[[#This Row],[Upper Range]], REPT("0",LEN('General Info'!$B$42))))</f>
        <v>04019 - 04045</v>
      </c>
      <c r="AF244" s="100">
        <f>SamplingData[[#This Row],[Upper Range]]-SamplingData[[#This Row],[Span]]</f>
        <v>4019.2752920906723</v>
      </c>
      <c r="AG244" s="100">
        <f>IF(ISNUMBER('General Info'!$B$42), ((SamplingData[[#This Row],[up/U Selection Probability]]) * 'General Info'!$B$44) - 1, 0)</f>
        <v>25.920799009314607</v>
      </c>
      <c r="AH244" s="100">
        <f>IF(ISNUMBER('General Info'!$B$42), (SamplingData[[#This Row],[Running (cumulative) sum]] * ('General Info'!$B$42 -'General Info'!$B$43 + 1)) + 'General Info'!$B$43 - 1, 0)</f>
        <v>4045.1960910999869</v>
      </c>
      <c r="AI244" s="100" t="str">
        <f>IF(ISERROR(MATCH(SamplingData[[#This Row],[Batch by Type (p)]],SelectedPrecincts[Batch Name], 0)), "", INDEX(SelectedPrecincts[Draw], MATCH(SamplingData[[#This Row],[Batch by Type (p)]],SelectedPrecincts[Batch Name], 0)))</f>
        <v/>
      </c>
      <c r="AJ244" s="101">
        <f>IF(COUNTIF(SelectedPrecincts[Batch Name],SamplingData[[#This Row],[Batch by Type (p)]]) &lt;&gt; 0, COUNTIF(SelectedPrecincts[Batch Name],SamplingData[[#This Row],[Batch by Type (p)]]), 0)</f>
        <v>0</v>
      </c>
    </row>
    <row r="245" spans="1:36" ht="15" customHeight="1" x14ac:dyDescent="0.35">
      <c r="A245" s="98" t="s">
        <v>457</v>
      </c>
      <c r="B245" s="98">
        <v>4</v>
      </c>
      <c r="C245" s="98">
        <v>0</v>
      </c>
      <c r="D245" s="93"/>
      <c r="E245" s="93"/>
      <c r="F245" s="93"/>
      <c r="G245" s="97"/>
      <c r="H245" s="97"/>
      <c r="I245" s="93"/>
      <c r="J245" s="93"/>
      <c r="K245" s="93"/>
      <c r="L245" s="93"/>
      <c r="M245" s="93"/>
      <c r="N245" s="98">
        <v>0</v>
      </c>
      <c r="O245" s="98">
        <v>3</v>
      </c>
      <c r="P245" s="99">
        <f>SUM(SamplingData[[#This Row],[Winning Candidate]:[Under Votes]])</f>
        <v>7</v>
      </c>
      <c r="Q245"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245" s="100">
        <f>IF(AND(SamplingData[[#This Row],[Total]]&lt;&gt; 0, NOT(ISBLANK(SamplingData[[#This Row],[Candidate 3]]))),(SamplingData[[#This Row],[Total]]+SamplingData[[#This Row],[Winning Candidate]]-SamplingData[[#This Row],[Candidate 3]])/(SamplingData[[#Totals],[Winning Candidate]]-SamplingData[[#Totals],[Candidate 3]]), 0)</f>
        <v>0</v>
      </c>
      <c r="S245" s="100">
        <f>IF(AND(SamplingData[[#This Row],[Total]]&lt;&gt; 0, NOT(ISBLANK(SamplingData[[#This Row],[Candidate 4]]))),(SamplingData[[#This Row],[Total]]+SamplingData[[#This Row],[Winning Candidate]]-SamplingData[[#This Row],[Candidate 4]])/(SamplingData[[#Totals],[Winning Candidate]]-SamplingData[[#Totals],[Candidate 4]]), 0)</f>
        <v>0</v>
      </c>
      <c r="T245" s="100">
        <f>IF(AND(SamplingData[[#This Row],[Total]]&lt;&gt; 0, NOT(ISBLANK(SamplingData[[#This Row],[Candidate 5]]))),(SamplingData[[#This Row],[Total]]+SamplingData[[#This Row],[Winning Candidate]]-SamplingData[[#This Row],[Candidate 5]])/(SamplingData[[#Totals],[Winning Candidate]]-SamplingData[[#Totals],[Candidate 5]]), 0)</f>
        <v>0</v>
      </c>
      <c r="U245" s="100">
        <f>IF(AND(SamplingData[[#This Row],[Total]]&lt;&gt; 0, NOT(ISBLANK(SamplingData[[#This Row],[Candidate 6]]))),(SamplingData[[#This Row],[Total]]+SamplingData[[#This Row],[Losing Candidate]]-SamplingData[[#This Row],[Candidate 6]])/(SamplingData[[#Totals],[Winning Candidate]]-SamplingData[[#Totals],[Candidate 6]]), 0)</f>
        <v>0</v>
      </c>
      <c r="V245" s="100">
        <f>IF(AND(SamplingData[[#This Row],[Total]]&lt;&gt; 0, NOT(ISBLANK(SamplingData[[#This Row],[Candidate 7]]))),(SamplingData[[#This Row],[Total]]+SamplingData[[#This Row],[Winning Candidate]]-SamplingData[[#This Row],[Candidate 7]])/(SamplingData[[#Totals],[Winning Candidate]]-SamplingData[[#Totals],[Candidate 7]]), 0)</f>
        <v>0</v>
      </c>
      <c r="W245" s="100">
        <f>IF(AND(SamplingData[[#This Row],[Total]]&lt;&gt; 0, NOT(ISBLANK(SamplingData[[#This Row],[Candidate 8]]))),(SamplingData[[#This Row],[Total]]+SamplingData[[#This Row],[Winning Candidate]]-SamplingData[[#This Row],[Candidate 8]])/(SamplingData[[#Totals],[Winning Candidate]]-SamplingData[[#Totals],[Candidate 8]]), 0)</f>
        <v>0</v>
      </c>
      <c r="X2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00">
        <f>MAX(SamplingData[[#This Row],[Error Bound (up) - Max. possible relative overstatement - Losing Candidate]:[Error Bound (up) - Max. possible relative overstatement - Candidate 12]])</f>
        <v>3.4550994126331E-4</v>
      </c>
      <c r="AC245" s="100">
        <f>IF(SamplingData[[#This Row],[Max Error Bound (up)]] = 0,0,SamplingData[[#This Row],[Max Error Bound (up)]]/SamplingData[[#Totals],[Max Error Bound (up)]])</f>
        <v>1.4806439455123033E-4</v>
      </c>
      <c r="AD245" s="104">
        <f>SUM($AC$5:AC245)</f>
        <v>4.0610025305551099E-2</v>
      </c>
      <c r="AE245" s="100" t="str" cm="1">
        <f t="array" ref="AE245">IF(SamplingData[[#This Row],[up/U Selection Probability]] = 0, "Zero", TEXT(SamplingData[[#This Row],[Lower Range]], REPT("0",LEN('General Info'!$B$42))) &amp; " - " &amp; TEXT(SamplingData[[#This Row],[Upper Range]], REPT("0",LEN('General Info'!$B$42))))</f>
        <v>04046 - 04060</v>
      </c>
      <c r="AF245" s="100">
        <f>SamplingData[[#This Row],[Upper Range]]-SamplingData[[#This Row],[Span]]</f>
        <v>4046.1960910999869</v>
      </c>
      <c r="AG245" s="100">
        <f>IF(ISNUMBER('General Info'!$B$42), ((SamplingData[[#This Row],[up/U Selection Probability]]) * 'General Info'!$B$44) - 1, 0)</f>
        <v>13.806439455123034</v>
      </c>
      <c r="AH245" s="100">
        <f>IF(ISNUMBER('General Info'!$B$42), (SamplingData[[#This Row],[Running (cumulative) sum]] * ('General Info'!$B$42 -'General Info'!$B$43 + 1)) + 'General Info'!$B$43 - 1, 0)</f>
        <v>4060.0025305551098</v>
      </c>
      <c r="AI245" s="100" t="str">
        <f>IF(ISERROR(MATCH(SamplingData[[#This Row],[Batch by Type (p)]],SelectedPrecincts[Batch Name], 0)), "", INDEX(SelectedPrecincts[Draw], MATCH(SamplingData[[#This Row],[Batch by Type (p)]],SelectedPrecincts[Batch Name], 0)))</f>
        <v/>
      </c>
      <c r="AJ245" s="101">
        <f>IF(COUNTIF(SelectedPrecincts[Batch Name],SamplingData[[#This Row],[Batch by Type (p)]]) &lt;&gt; 0, COUNTIF(SelectedPrecincts[Batch Name],SamplingData[[#This Row],[Batch by Type (p)]]), 0)</f>
        <v>0</v>
      </c>
    </row>
    <row r="246" spans="1:36" ht="15" customHeight="1" x14ac:dyDescent="0.35">
      <c r="A246" s="98" t="s">
        <v>458</v>
      </c>
      <c r="B246" s="98">
        <v>5</v>
      </c>
      <c r="C246" s="98">
        <v>1</v>
      </c>
      <c r="D246" s="93"/>
      <c r="E246" s="93"/>
      <c r="F246" s="93"/>
      <c r="G246" s="97"/>
      <c r="H246" s="97"/>
      <c r="I246" s="93"/>
      <c r="J246" s="93"/>
      <c r="K246" s="93"/>
      <c r="L246" s="93"/>
      <c r="M246" s="93"/>
      <c r="N246" s="98">
        <v>0</v>
      </c>
      <c r="O246" s="98">
        <v>0</v>
      </c>
      <c r="P246" s="99">
        <f>SUM(SamplingData[[#This Row],[Winning Candidate]:[Under Votes]])</f>
        <v>6</v>
      </c>
      <c r="Q246"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246" s="100">
        <f>IF(AND(SamplingData[[#This Row],[Total]]&lt;&gt; 0, NOT(ISBLANK(SamplingData[[#This Row],[Candidate 3]]))),(SamplingData[[#This Row],[Total]]+SamplingData[[#This Row],[Winning Candidate]]-SamplingData[[#This Row],[Candidate 3]])/(SamplingData[[#Totals],[Winning Candidate]]-SamplingData[[#Totals],[Candidate 3]]), 0)</f>
        <v>0</v>
      </c>
      <c r="S246" s="100">
        <f>IF(AND(SamplingData[[#This Row],[Total]]&lt;&gt; 0, NOT(ISBLANK(SamplingData[[#This Row],[Candidate 4]]))),(SamplingData[[#This Row],[Total]]+SamplingData[[#This Row],[Winning Candidate]]-SamplingData[[#This Row],[Candidate 4]])/(SamplingData[[#Totals],[Winning Candidate]]-SamplingData[[#Totals],[Candidate 4]]), 0)</f>
        <v>0</v>
      </c>
      <c r="T246" s="100">
        <f>IF(AND(SamplingData[[#This Row],[Total]]&lt;&gt; 0, NOT(ISBLANK(SamplingData[[#This Row],[Candidate 5]]))),(SamplingData[[#This Row],[Total]]+SamplingData[[#This Row],[Winning Candidate]]-SamplingData[[#This Row],[Candidate 5]])/(SamplingData[[#Totals],[Winning Candidate]]-SamplingData[[#Totals],[Candidate 5]]), 0)</f>
        <v>0</v>
      </c>
      <c r="U246" s="100">
        <f>IF(AND(SamplingData[[#This Row],[Total]]&lt;&gt; 0, NOT(ISBLANK(SamplingData[[#This Row],[Candidate 6]]))),(SamplingData[[#This Row],[Total]]+SamplingData[[#This Row],[Losing Candidate]]-SamplingData[[#This Row],[Candidate 6]])/(SamplingData[[#Totals],[Winning Candidate]]-SamplingData[[#Totals],[Candidate 6]]), 0)</f>
        <v>0</v>
      </c>
      <c r="V246" s="100">
        <f>IF(AND(SamplingData[[#This Row],[Total]]&lt;&gt; 0, NOT(ISBLANK(SamplingData[[#This Row],[Candidate 7]]))),(SamplingData[[#This Row],[Total]]+SamplingData[[#This Row],[Winning Candidate]]-SamplingData[[#This Row],[Candidate 7]])/(SamplingData[[#Totals],[Winning Candidate]]-SamplingData[[#Totals],[Candidate 7]]), 0)</f>
        <v>0</v>
      </c>
      <c r="W246" s="100">
        <f>IF(AND(SamplingData[[#This Row],[Total]]&lt;&gt; 0, NOT(ISBLANK(SamplingData[[#This Row],[Candidate 8]]))),(SamplingData[[#This Row],[Total]]+SamplingData[[#This Row],[Winning Candidate]]-SamplingData[[#This Row],[Candidate 8]])/(SamplingData[[#Totals],[Winning Candidate]]-SamplingData[[#Totals],[Candidate 8]]), 0)</f>
        <v>0</v>
      </c>
      <c r="X2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00">
        <f>MAX(SamplingData[[#This Row],[Error Bound (up) - Max. possible relative overstatement - Losing Candidate]:[Error Bound (up) - Max. possible relative overstatement - Candidate 12]])</f>
        <v>3.1409994660300906E-4</v>
      </c>
      <c r="AC246" s="100">
        <f>IF(SamplingData[[#This Row],[Max Error Bound (up)]] = 0,0,SamplingData[[#This Row],[Max Error Bound (up)]]/SamplingData[[#Totals],[Max Error Bound (up)]])</f>
        <v>1.3460399504657304E-4</v>
      </c>
      <c r="AD246" s="104">
        <f>SUM($AC$5:AC246)</f>
        <v>4.0744629300597669E-2</v>
      </c>
      <c r="AE246" s="100" t="str" cm="1">
        <f t="array" ref="AE246">IF(SamplingData[[#This Row],[up/U Selection Probability]] = 0, "Zero", TEXT(SamplingData[[#This Row],[Lower Range]], REPT("0",LEN('General Info'!$B$42))) &amp; " - " &amp; TEXT(SamplingData[[#This Row],[Upper Range]], REPT("0",LEN('General Info'!$B$42))))</f>
        <v>04061 - 04073</v>
      </c>
      <c r="AF246" s="100">
        <f>SamplingData[[#This Row],[Upper Range]]-SamplingData[[#This Row],[Span]]</f>
        <v>4061.0025305551098</v>
      </c>
      <c r="AG246" s="100">
        <f>IF(ISNUMBER('General Info'!$B$42), ((SamplingData[[#This Row],[up/U Selection Probability]]) * 'General Info'!$B$44) - 1, 0)</f>
        <v>12.460399504657303</v>
      </c>
      <c r="AH246" s="100">
        <f>IF(ISNUMBER('General Info'!$B$42), (SamplingData[[#This Row],[Running (cumulative) sum]] * ('General Info'!$B$42 -'General Info'!$B$43 + 1)) + 'General Info'!$B$43 - 1, 0)</f>
        <v>4073.4629300597671</v>
      </c>
      <c r="AI246" s="100" t="str">
        <f>IF(ISERROR(MATCH(SamplingData[[#This Row],[Batch by Type (p)]],SelectedPrecincts[Batch Name], 0)), "", INDEX(SelectedPrecincts[Draw], MATCH(SamplingData[[#This Row],[Batch by Type (p)]],SelectedPrecincts[Batch Name], 0)))</f>
        <v/>
      </c>
      <c r="AJ246" s="101">
        <f>IF(COUNTIF(SelectedPrecincts[Batch Name],SamplingData[[#This Row],[Batch by Type (p)]]) &lt;&gt; 0, COUNTIF(SelectedPrecincts[Batch Name],SamplingData[[#This Row],[Batch by Type (p)]]), 0)</f>
        <v>0</v>
      </c>
    </row>
    <row r="247" spans="1:36" ht="15" customHeight="1" x14ac:dyDescent="0.35">
      <c r="A247" s="98" t="s">
        <v>459</v>
      </c>
      <c r="B247" s="98">
        <v>10</v>
      </c>
      <c r="C247" s="98">
        <v>2</v>
      </c>
      <c r="D247" s="93"/>
      <c r="E247" s="93"/>
      <c r="F247" s="93"/>
      <c r="G247" s="97"/>
      <c r="H247" s="97"/>
      <c r="I247" s="93"/>
      <c r="J247" s="93"/>
      <c r="K247" s="93"/>
      <c r="L247" s="93"/>
      <c r="M247" s="93"/>
      <c r="N247" s="98">
        <v>0</v>
      </c>
      <c r="O247" s="98">
        <v>1</v>
      </c>
      <c r="P247" s="99">
        <f>SUM(SamplingData[[#This Row],[Winning Candidate]:[Under Votes]])</f>
        <v>13</v>
      </c>
      <c r="Q247" s="100">
        <f>IF(AND(SamplingData[[#This Row],[Total]]&lt;&gt; 0, NOT(ISBLANK(SamplingData[[#This Row],[Losing Candidate]]))),(SamplingData[[#This Row],[Total]]+SamplingData[[#This Row],[Winning Candidate]]-SamplingData[[#This Row],[Losing Candidate]])/(SamplingData[[#Totals],[Winning Candidate]]-SamplingData[[#Totals],[Losing Candidate]]), 0)</f>
        <v>6.5960988786631911E-4</v>
      </c>
      <c r="R247" s="100">
        <f>IF(AND(SamplingData[[#This Row],[Total]]&lt;&gt; 0, NOT(ISBLANK(SamplingData[[#This Row],[Candidate 3]]))),(SamplingData[[#This Row],[Total]]+SamplingData[[#This Row],[Winning Candidate]]-SamplingData[[#This Row],[Candidate 3]])/(SamplingData[[#Totals],[Winning Candidate]]-SamplingData[[#Totals],[Candidate 3]]), 0)</f>
        <v>0</v>
      </c>
      <c r="S247" s="100">
        <f>IF(AND(SamplingData[[#This Row],[Total]]&lt;&gt; 0, NOT(ISBLANK(SamplingData[[#This Row],[Candidate 4]]))),(SamplingData[[#This Row],[Total]]+SamplingData[[#This Row],[Winning Candidate]]-SamplingData[[#This Row],[Candidate 4]])/(SamplingData[[#Totals],[Winning Candidate]]-SamplingData[[#Totals],[Candidate 4]]), 0)</f>
        <v>0</v>
      </c>
      <c r="T247" s="100">
        <f>IF(AND(SamplingData[[#This Row],[Total]]&lt;&gt; 0, NOT(ISBLANK(SamplingData[[#This Row],[Candidate 5]]))),(SamplingData[[#This Row],[Total]]+SamplingData[[#This Row],[Winning Candidate]]-SamplingData[[#This Row],[Candidate 5]])/(SamplingData[[#Totals],[Winning Candidate]]-SamplingData[[#Totals],[Candidate 5]]), 0)</f>
        <v>0</v>
      </c>
      <c r="U247" s="100">
        <f>IF(AND(SamplingData[[#This Row],[Total]]&lt;&gt; 0, NOT(ISBLANK(SamplingData[[#This Row],[Candidate 6]]))),(SamplingData[[#This Row],[Total]]+SamplingData[[#This Row],[Losing Candidate]]-SamplingData[[#This Row],[Candidate 6]])/(SamplingData[[#Totals],[Winning Candidate]]-SamplingData[[#Totals],[Candidate 6]]), 0)</f>
        <v>0</v>
      </c>
      <c r="V247" s="100">
        <f>IF(AND(SamplingData[[#This Row],[Total]]&lt;&gt; 0, NOT(ISBLANK(SamplingData[[#This Row],[Candidate 7]]))),(SamplingData[[#This Row],[Total]]+SamplingData[[#This Row],[Winning Candidate]]-SamplingData[[#This Row],[Candidate 7]])/(SamplingData[[#Totals],[Winning Candidate]]-SamplingData[[#Totals],[Candidate 7]]), 0)</f>
        <v>0</v>
      </c>
      <c r="W247" s="100">
        <f>IF(AND(SamplingData[[#This Row],[Total]]&lt;&gt; 0, NOT(ISBLANK(SamplingData[[#This Row],[Candidate 8]]))),(SamplingData[[#This Row],[Total]]+SamplingData[[#This Row],[Winning Candidate]]-SamplingData[[#This Row],[Candidate 8]])/(SamplingData[[#Totals],[Winning Candidate]]-SamplingData[[#Totals],[Candidate 8]]), 0)</f>
        <v>0</v>
      </c>
      <c r="X2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00">
        <f>MAX(SamplingData[[#This Row],[Error Bound (up) - Max. possible relative overstatement - Losing Candidate]:[Error Bound (up) - Max. possible relative overstatement - Candidate 12]])</f>
        <v>6.5960988786631911E-4</v>
      </c>
      <c r="AC247" s="100">
        <f>IF(SamplingData[[#This Row],[Max Error Bound (up)]] = 0,0,SamplingData[[#This Row],[Max Error Bound (up)]]/SamplingData[[#Totals],[Max Error Bound (up)]])</f>
        <v>2.8266838959780337E-4</v>
      </c>
      <c r="AD247" s="104">
        <f>SUM($AC$5:AC247)</f>
        <v>4.1027297690195474E-2</v>
      </c>
      <c r="AE247" s="100" t="str" cm="1">
        <f t="array" ref="AE247">IF(SamplingData[[#This Row],[up/U Selection Probability]] = 0, "Zero", TEXT(SamplingData[[#This Row],[Lower Range]], REPT("0",LEN('General Info'!$B$42))) &amp; " - " &amp; TEXT(SamplingData[[#This Row],[Upper Range]], REPT("0",LEN('General Info'!$B$42))))</f>
        <v>04074 - 04102</v>
      </c>
      <c r="AF247" s="100">
        <f>SamplingData[[#This Row],[Upper Range]]-SamplingData[[#This Row],[Span]]</f>
        <v>4074.4629300597671</v>
      </c>
      <c r="AG247" s="100">
        <f>IF(ISNUMBER('General Info'!$B$42), ((SamplingData[[#This Row],[up/U Selection Probability]]) * 'General Info'!$B$44) - 1, 0)</f>
        <v>27.266838959780337</v>
      </c>
      <c r="AH247" s="100">
        <f>IF(ISNUMBER('General Info'!$B$42), (SamplingData[[#This Row],[Running (cumulative) sum]] * ('General Info'!$B$42 -'General Info'!$B$43 + 1)) + 'General Info'!$B$43 - 1, 0)</f>
        <v>4101.7297690195473</v>
      </c>
      <c r="AI247" s="100" t="str">
        <f>IF(ISERROR(MATCH(SamplingData[[#This Row],[Batch by Type (p)]],SelectedPrecincts[Batch Name], 0)), "", INDEX(SelectedPrecincts[Draw], MATCH(SamplingData[[#This Row],[Batch by Type (p)]],SelectedPrecincts[Batch Name], 0)))</f>
        <v/>
      </c>
      <c r="AJ247" s="101">
        <f>IF(COUNTIF(SelectedPrecincts[Batch Name],SamplingData[[#This Row],[Batch by Type (p)]]) &lt;&gt; 0, COUNTIF(SelectedPrecincts[Batch Name],SamplingData[[#This Row],[Batch by Type (p)]]), 0)</f>
        <v>0</v>
      </c>
    </row>
    <row r="248" spans="1:36" ht="15" customHeight="1" x14ac:dyDescent="0.35">
      <c r="A248" s="98" t="s">
        <v>460</v>
      </c>
      <c r="B248" s="98">
        <v>12</v>
      </c>
      <c r="C248" s="98">
        <v>0</v>
      </c>
      <c r="D248" s="93"/>
      <c r="E248" s="93"/>
      <c r="F248" s="93"/>
      <c r="G248" s="97"/>
      <c r="H248" s="97"/>
      <c r="I248" s="93"/>
      <c r="J248" s="93"/>
      <c r="K248" s="93"/>
      <c r="L248" s="93"/>
      <c r="M248" s="93"/>
      <c r="N248" s="98">
        <v>0</v>
      </c>
      <c r="O248" s="98">
        <v>1</v>
      </c>
      <c r="P248" s="99">
        <f>SUM(SamplingData[[#This Row],[Winning Candidate]:[Under Votes]])</f>
        <v>13</v>
      </c>
      <c r="Q248" s="100">
        <f>IF(AND(SamplingData[[#This Row],[Total]]&lt;&gt; 0, NOT(ISBLANK(SamplingData[[#This Row],[Losing Candidate]]))),(SamplingData[[#This Row],[Total]]+SamplingData[[#This Row],[Winning Candidate]]-SamplingData[[#This Row],[Losing Candidate]])/(SamplingData[[#Totals],[Winning Candidate]]-SamplingData[[#Totals],[Losing Candidate]]), 0)</f>
        <v>7.8524986650752265E-4</v>
      </c>
      <c r="R248" s="100">
        <f>IF(AND(SamplingData[[#This Row],[Total]]&lt;&gt; 0, NOT(ISBLANK(SamplingData[[#This Row],[Candidate 3]]))),(SamplingData[[#This Row],[Total]]+SamplingData[[#This Row],[Winning Candidate]]-SamplingData[[#This Row],[Candidate 3]])/(SamplingData[[#Totals],[Winning Candidate]]-SamplingData[[#Totals],[Candidate 3]]), 0)</f>
        <v>0</v>
      </c>
      <c r="S248" s="100">
        <f>IF(AND(SamplingData[[#This Row],[Total]]&lt;&gt; 0, NOT(ISBLANK(SamplingData[[#This Row],[Candidate 4]]))),(SamplingData[[#This Row],[Total]]+SamplingData[[#This Row],[Winning Candidate]]-SamplingData[[#This Row],[Candidate 4]])/(SamplingData[[#Totals],[Winning Candidate]]-SamplingData[[#Totals],[Candidate 4]]), 0)</f>
        <v>0</v>
      </c>
      <c r="T248" s="100">
        <f>IF(AND(SamplingData[[#This Row],[Total]]&lt;&gt; 0, NOT(ISBLANK(SamplingData[[#This Row],[Candidate 5]]))),(SamplingData[[#This Row],[Total]]+SamplingData[[#This Row],[Winning Candidate]]-SamplingData[[#This Row],[Candidate 5]])/(SamplingData[[#Totals],[Winning Candidate]]-SamplingData[[#Totals],[Candidate 5]]), 0)</f>
        <v>0</v>
      </c>
      <c r="U248" s="100">
        <f>IF(AND(SamplingData[[#This Row],[Total]]&lt;&gt; 0, NOT(ISBLANK(SamplingData[[#This Row],[Candidate 6]]))),(SamplingData[[#This Row],[Total]]+SamplingData[[#This Row],[Losing Candidate]]-SamplingData[[#This Row],[Candidate 6]])/(SamplingData[[#Totals],[Winning Candidate]]-SamplingData[[#Totals],[Candidate 6]]), 0)</f>
        <v>0</v>
      </c>
      <c r="V248" s="100">
        <f>IF(AND(SamplingData[[#This Row],[Total]]&lt;&gt; 0, NOT(ISBLANK(SamplingData[[#This Row],[Candidate 7]]))),(SamplingData[[#This Row],[Total]]+SamplingData[[#This Row],[Winning Candidate]]-SamplingData[[#This Row],[Candidate 7]])/(SamplingData[[#Totals],[Winning Candidate]]-SamplingData[[#Totals],[Candidate 7]]), 0)</f>
        <v>0</v>
      </c>
      <c r="W248" s="100">
        <f>IF(AND(SamplingData[[#This Row],[Total]]&lt;&gt; 0, NOT(ISBLANK(SamplingData[[#This Row],[Candidate 8]]))),(SamplingData[[#This Row],[Total]]+SamplingData[[#This Row],[Winning Candidate]]-SamplingData[[#This Row],[Candidate 8]])/(SamplingData[[#Totals],[Winning Candidate]]-SamplingData[[#Totals],[Candidate 8]]), 0)</f>
        <v>0</v>
      </c>
      <c r="X2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00">
        <f>MAX(SamplingData[[#This Row],[Error Bound (up) - Max. possible relative overstatement - Losing Candidate]:[Error Bound (up) - Max. possible relative overstatement - Candidate 12]])</f>
        <v>7.8524986650752265E-4</v>
      </c>
      <c r="AC248" s="100">
        <f>IF(SamplingData[[#This Row],[Max Error Bound (up)]] = 0,0,SamplingData[[#This Row],[Max Error Bound (up)]]/SamplingData[[#Totals],[Max Error Bound (up)]])</f>
        <v>3.3650998761643256E-4</v>
      </c>
      <c r="AD248" s="104">
        <f>SUM($AC$5:AC248)</f>
        <v>4.1363807677811906E-2</v>
      </c>
      <c r="AE248" s="100" t="str" cm="1">
        <f t="array" ref="AE248">IF(SamplingData[[#This Row],[up/U Selection Probability]] = 0, "Zero", TEXT(SamplingData[[#This Row],[Lower Range]], REPT("0",LEN('General Info'!$B$42))) &amp; " - " &amp; TEXT(SamplingData[[#This Row],[Upper Range]], REPT("0",LEN('General Info'!$B$42))))</f>
        <v>04103 - 04135</v>
      </c>
      <c r="AF248" s="100">
        <f>SamplingData[[#This Row],[Upper Range]]-SamplingData[[#This Row],[Span]]</f>
        <v>4102.7297690195473</v>
      </c>
      <c r="AG248" s="100">
        <f>IF(ISNUMBER('General Info'!$B$42), ((SamplingData[[#This Row],[up/U Selection Probability]]) * 'General Info'!$B$44) - 1, 0)</f>
        <v>32.650998761643258</v>
      </c>
      <c r="AH248" s="100">
        <f>IF(ISNUMBER('General Info'!$B$42), (SamplingData[[#This Row],[Running (cumulative) sum]] * ('General Info'!$B$42 -'General Info'!$B$43 + 1)) + 'General Info'!$B$43 - 1, 0)</f>
        <v>4135.380767781191</v>
      </c>
      <c r="AI248" s="100" t="str">
        <f>IF(ISERROR(MATCH(SamplingData[[#This Row],[Batch by Type (p)]],SelectedPrecincts[Batch Name], 0)), "", INDEX(SelectedPrecincts[Draw], MATCH(SamplingData[[#This Row],[Batch by Type (p)]],SelectedPrecincts[Batch Name], 0)))</f>
        <v/>
      </c>
      <c r="AJ248" s="101">
        <f>IF(COUNTIF(SelectedPrecincts[Batch Name],SamplingData[[#This Row],[Batch by Type (p)]]) &lt;&gt; 0, COUNTIF(SelectedPrecincts[Batch Name],SamplingData[[#This Row],[Batch by Type (p)]]), 0)</f>
        <v>0</v>
      </c>
    </row>
    <row r="249" spans="1:36" ht="15" customHeight="1" x14ac:dyDescent="0.35">
      <c r="A249" s="98" t="s">
        <v>461</v>
      </c>
      <c r="B249" s="98">
        <v>9</v>
      </c>
      <c r="C249" s="98">
        <v>0</v>
      </c>
      <c r="D249" s="93"/>
      <c r="E249" s="93"/>
      <c r="F249" s="93"/>
      <c r="G249" s="97"/>
      <c r="H249" s="97"/>
      <c r="I249" s="93"/>
      <c r="J249" s="93"/>
      <c r="K249" s="93"/>
      <c r="L249" s="93"/>
      <c r="M249" s="93"/>
      <c r="N249" s="98">
        <v>0</v>
      </c>
      <c r="O249" s="98">
        <v>1</v>
      </c>
      <c r="P249" s="99">
        <f>SUM(SamplingData[[#This Row],[Winning Candidate]:[Under Votes]])</f>
        <v>10</v>
      </c>
      <c r="Q249" s="100">
        <f>IF(AND(SamplingData[[#This Row],[Total]]&lt;&gt; 0, NOT(ISBLANK(SamplingData[[#This Row],[Losing Candidate]]))),(SamplingData[[#This Row],[Total]]+SamplingData[[#This Row],[Winning Candidate]]-SamplingData[[#This Row],[Losing Candidate]])/(SamplingData[[#Totals],[Winning Candidate]]-SamplingData[[#Totals],[Losing Candidate]]), 0)</f>
        <v>5.9678989854571724E-4</v>
      </c>
      <c r="R249" s="100">
        <f>IF(AND(SamplingData[[#This Row],[Total]]&lt;&gt; 0, NOT(ISBLANK(SamplingData[[#This Row],[Candidate 3]]))),(SamplingData[[#This Row],[Total]]+SamplingData[[#This Row],[Winning Candidate]]-SamplingData[[#This Row],[Candidate 3]])/(SamplingData[[#Totals],[Winning Candidate]]-SamplingData[[#Totals],[Candidate 3]]), 0)</f>
        <v>0</v>
      </c>
      <c r="S249" s="100">
        <f>IF(AND(SamplingData[[#This Row],[Total]]&lt;&gt; 0, NOT(ISBLANK(SamplingData[[#This Row],[Candidate 4]]))),(SamplingData[[#This Row],[Total]]+SamplingData[[#This Row],[Winning Candidate]]-SamplingData[[#This Row],[Candidate 4]])/(SamplingData[[#Totals],[Winning Candidate]]-SamplingData[[#Totals],[Candidate 4]]), 0)</f>
        <v>0</v>
      </c>
      <c r="T249" s="100">
        <f>IF(AND(SamplingData[[#This Row],[Total]]&lt;&gt; 0, NOT(ISBLANK(SamplingData[[#This Row],[Candidate 5]]))),(SamplingData[[#This Row],[Total]]+SamplingData[[#This Row],[Winning Candidate]]-SamplingData[[#This Row],[Candidate 5]])/(SamplingData[[#Totals],[Winning Candidate]]-SamplingData[[#Totals],[Candidate 5]]), 0)</f>
        <v>0</v>
      </c>
      <c r="U249" s="100">
        <f>IF(AND(SamplingData[[#This Row],[Total]]&lt;&gt; 0, NOT(ISBLANK(SamplingData[[#This Row],[Candidate 6]]))),(SamplingData[[#This Row],[Total]]+SamplingData[[#This Row],[Losing Candidate]]-SamplingData[[#This Row],[Candidate 6]])/(SamplingData[[#Totals],[Winning Candidate]]-SamplingData[[#Totals],[Candidate 6]]), 0)</f>
        <v>0</v>
      </c>
      <c r="V249" s="100">
        <f>IF(AND(SamplingData[[#This Row],[Total]]&lt;&gt; 0, NOT(ISBLANK(SamplingData[[#This Row],[Candidate 7]]))),(SamplingData[[#This Row],[Total]]+SamplingData[[#This Row],[Winning Candidate]]-SamplingData[[#This Row],[Candidate 7]])/(SamplingData[[#Totals],[Winning Candidate]]-SamplingData[[#Totals],[Candidate 7]]), 0)</f>
        <v>0</v>
      </c>
      <c r="W249" s="100">
        <f>IF(AND(SamplingData[[#This Row],[Total]]&lt;&gt; 0, NOT(ISBLANK(SamplingData[[#This Row],[Candidate 8]]))),(SamplingData[[#This Row],[Total]]+SamplingData[[#This Row],[Winning Candidate]]-SamplingData[[#This Row],[Candidate 8]])/(SamplingData[[#Totals],[Winning Candidate]]-SamplingData[[#Totals],[Candidate 8]]), 0)</f>
        <v>0</v>
      </c>
      <c r="X2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00">
        <f>MAX(SamplingData[[#This Row],[Error Bound (up) - Max. possible relative overstatement - Losing Candidate]:[Error Bound (up) - Max. possible relative overstatement - Candidate 12]])</f>
        <v>5.9678989854571724E-4</v>
      </c>
      <c r="AC249" s="100">
        <f>IF(SamplingData[[#This Row],[Max Error Bound (up)]] = 0,0,SamplingData[[#This Row],[Max Error Bound (up)]]/SamplingData[[#Totals],[Max Error Bound (up)]])</f>
        <v>2.5574759058848877E-4</v>
      </c>
      <c r="AD249" s="104">
        <f>SUM($AC$5:AC249)</f>
        <v>4.1619555268400395E-2</v>
      </c>
      <c r="AE249" s="100" t="str" cm="1">
        <f t="array" ref="AE249">IF(SamplingData[[#This Row],[up/U Selection Probability]] = 0, "Zero", TEXT(SamplingData[[#This Row],[Lower Range]], REPT("0",LEN('General Info'!$B$42))) &amp; " - " &amp; TEXT(SamplingData[[#This Row],[Upper Range]], REPT("0",LEN('General Info'!$B$42))))</f>
        <v>04136 - 04161</v>
      </c>
      <c r="AF249" s="100">
        <f>SamplingData[[#This Row],[Upper Range]]-SamplingData[[#This Row],[Span]]</f>
        <v>4136.3807677811901</v>
      </c>
      <c r="AG249" s="100">
        <f>IF(ISNUMBER('General Info'!$B$42), ((SamplingData[[#This Row],[up/U Selection Probability]]) * 'General Info'!$B$44) - 1, 0)</f>
        <v>24.574759058848876</v>
      </c>
      <c r="AH249" s="100">
        <f>IF(ISNUMBER('General Info'!$B$42), (SamplingData[[#This Row],[Running (cumulative) sum]] * ('General Info'!$B$42 -'General Info'!$B$43 + 1)) + 'General Info'!$B$43 - 1, 0)</f>
        <v>4160.9555268400391</v>
      </c>
      <c r="AI249" s="100" t="str">
        <f>IF(ISERROR(MATCH(SamplingData[[#This Row],[Batch by Type (p)]],SelectedPrecincts[Batch Name], 0)), "", INDEX(SelectedPrecincts[Draw], MATCH(SamplingData[[#This Row],[Batch by Type (p)]],SelectedPrecincts[Batch Name], 0)))</f>
        <v/>
      </c>
      <c r="AJ249" s="101">
        <f>IF(COUNTIF(SelectedPrecincts[Batch Name],SamplingData[[#This Row],[Batch by Type (p)]]) &lt;&gt; 0, COUNTIF(SelectedPrecincts[Batch Name],SamplingData[[#This Row],[Batch by Type (p)]]), 0)</f>
        <v>0</v>
      </c>
    </row>
    <row r="250" spans="1:36" ht="15" customHeight="1" x14ac:dyDescent="0.35">
      <c r="A250" s="98" t="s">
        <v>462</v>
      </c>
      <c r="B250" s="98">
        <v>12</v>
      </c>
      <c r="C250" s="98">
        <v>4</v>
      </c>
      <c r="D250" s="93"/>
      <c r="E250" s="93"/>
      <c r="F250" s="93"/>
      <c r="G250" s="97"/>
      <c r="H250" s="97"/>
      <c r="I250" s="93"/>
      <c r="J250" s="93"/>
      <c r="K250" s="93"/>
      <c r="L250" s="93"/>
      <c r="M250" s="93"/>
      <c r="N250" s="98">
        <v>0</v>
      </c>
      <c r="O250" s="98">
        <v>0</v>
      </c>
      <c r="P250" s="99">
        <f>SUM(SamplingData[[#This Row],[Winning Candidate]:[Under Votes]])</f>
        <v>16</v>
      </c>
      <c r="Q250"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250" s="100">
        <f>IF(AND(SamplingData[[#This Row],[Total]]&lt;&gt; 0, NOT(ISBLANK(SamplingData[[#This Row],[Candidate 3]]))),(SamplingData[[#This Row],[Total]]+SamplingData[[#This Row],[Winning Candidate]]-SamplingData[[#This Row],[Candidate 3]])/(SamplingData[[#Totals],[Winning Candidate]]-SamplingData[[#Totals],[Candidate 3]]), 0)</f>
        <v>0</v>
      </c>
      <c r="S250" s="100">
        <f>IF(AND(SamplingData[[#This Row],[Total]]&lt;&gt; 0, NOT(ISBLANK(SamplingData[[#This Row],[Candidate 4]]))),(SamplingData[[#This Row],[Total]]+SamplingData[[#This Row],[Winning Candidate]]-SamplingData[[#This Row],[Candidate 4]])/(SamplingData[[#Totals],[Winning Candidate]]-SamplingData[[#Totals],[Candidate 4]]), 0)</f>
        <v>0</v>
      </c>
      <c r="T250" s="100">
        <f>IF(AND(SamplingData[[#This Row],[Total]]&lt;&gt; 0, NOT(ISBLANK(SamplingData[[#This Row],[Candidate 5]]))),(SamplingData[[#This Row],[Total]]+SamplingData[[#This Row],[Winning Candidate]]-SamplingData[[#This Row],[Candidate 5]])/(SamplingData[[#Totals],[Winning Candidate]]-SamplingData[[#Totals],[Candidate 5]]), 0)</f>
        <v>0</v>
      </c>
      <c r="U250" s="100">
        <f>IF(AND(SamplingData[[#This Row],[Total]]&lt;&gt; 0, NOT(ISBLANK(SamplingData[[#This Row],[Candidate 6]]))),(SamplingData[[#This Row],[Total]]+SamplingData[[#This Row],[Losing Candidate]]-SamplingData[[#This Row],[Candidate 6]])/(SamplingData[[#Totals],[Winning Candidate]]-SamplingData[[#Totals],[Candidate 6]]), 0)</f>
        <v>0</v>
      </c>
      <c r="V250" s="100">
        <f>IF(AND(SamplingData[[#This Row],[Total]]&lt;&gt; 0, NOT(ISBLANK(SamplingData[[#This Row],[Candidate 7]]))),(SamplingData[[#This Row],[Total]]+SamplingData[[#This Row],[Winning Candidate]]-SamplingData[[#This Row],[Candidate 7]])/(SamplingData[[#Totals],[Winning Candidate]]-SamplingData[[#Totals],[Candidate 7]]), 0)</f>
        <v>0</v>
      </c>
      <c r="W250" s="100">
        <f>IF(AND(SamplingData[[#This Row],[Total]]&lt;&gt; 0, NOT(ISBLANK(SamplingData[[#This Row],[Candidate 8]]))),(SamplingData[[#This Row],[Total]]+SamplingData[[#This Row],[Winning Candidate]]-SamplingData[[#This Row],[Candidate 8]])/(SamplingData[[#Totals],[Winning Candidate]]-SamplingData[[#Totals],[Candidate 8]]), 0)</f>
        <v>0</v>
      </c>
      <c r="X2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00">
        <f>MAX(SamplingData[[#This Row],[Error Bound (up) - Max. possible relative overstatement - Losing Candidate]:[Error Bound (up) - Max. possible relative overstatement - Candidate 12]])</f>
        <v>7.5383987184722177E-4</v>
      </c>
      <c r="AC250" s="100">
        <f>IF(SamplingData[[#This Row],[Max Error Bound (up)]] = 0,0,SamplingData[[#This Row],[Max Error Bound (up)]]/SamplingData[[#Totals],[Max Error Bound (up)]])</f>
        <v>3.2304958811177527E-4</v>
      </c>
      <c r="AD250" s="104">
        <f>SUM($AC$5:AC250)</f>
        <v>4.1942604856512168E-2</v>
      </c>
      <c r="AE250" s="100" t="str" cm="1">
        <f t="array" ref="AE250">IF(SamplingData[[#This Row],[up/U Selection Probability]] = 0, "Zero", TEXT(SamplingData[[#This Row],[Lower Range]], REPT("0",LEN('General Info'!$B$42))) &amp; " - " &amp; TEXT(SamplingData[[#This Row],[Upper Range]], REPT("0",LEN('General Info'!$B$42))))</f>
        <v>04162 - 04193</v>
      </c>
      <c r="AF250" s="100">
        <f>SamplingData[[#This Row],[Upper Range]]-SamplingData[[#This Row],[Span]]</f>
        <v>4161.95552684004</v>
      </c>
      <c r="AG250" s="100">
        <f>IF(ISNUMBER('General Info'!$B$42), ((SamplingData[[#This Row],[up/U Selection Probability]]) * 'General Info'!$B$44) - 1, 0)</f>
        <v>31.304958811177528</v>
      </c>
      <c r="AH250" s="100">
        <f>IF(ISNUMBER('General Info'!$B$42), (SamplingData[[#This Row],[Running (cumulative) sum]] * ('General Info'!$B$42 -'General Info'!$B$43 + 1)) + 'General Info'!$B$43 - 1, 0)</f>
        <v>4193.2604856512171</v>
      </c>
      <c r="AI250" s="100" t="str">
        <f>IF(ISERROR(MATCH(SamplingData[[#This Row],[Batch by Type (p)]],SelectedPrecincts[Batch Name], 0)), "", INDEX(SelectedPrecincts[Draw], MATCH(SamplingData[[#This Row],[Batch by Type (p)]],SelectedPrecincts[Batch Name], 0)))</f>
        <v/>
      </c>
      <c r="AJ250" s="101">
        <f>IF(COUNTIF(SelectedPrecincts[Batch Name],SamplingData[[#This Row],[Batch by Type (p)]]) &lt;&gt; 0, COUNTIF(SelectedPrecincts[Batch Name],SamplingData[[#This Row],[Batch by Type (p)]]), 0)</f>
        <v>0</v>
      </c>
    </row>
    <row r="251" spans="1:36" ht="15" customHeight="1" x14ac:dyDescent="0.35">
      <c r="A251" s="98" t="s">
        <v>463</v>
      </c>
      <c r="B251" s="98">
        <v>3</v>
      </c>
      <c r="C251" s="98">
        <v>1</v>
      </c>
      <c r="D251" s="93"/>
      <c r="E251" s="93"/>
      <c r="F251" s="93"/>
      <c r="G251" s="97"/>
      <c r="H251" s="97"/>
      <c r="I251" s="93"/>
      <c r="J251" s="93"/>
      <c r="K251" s="93"/>
      <c r="L251" s="93"/>
      <c r="M251" s="93"/>
      <c r="N251" s="98">
        <v>0</v>
      </c>
      <c r="O251" s="98">
        <v>0</v>
      </c>
      <c r="P251" s="99">
        <f>SUM(SamplingData[[#This Row],[Winning Candidate]:[Under Votes]])</f>
        <v>4</v>
      </c>
      <c r="Q251"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251" s="100">
        <f>IF(AND(SamplingData[[#This Row],[Total]]&lt;&gt; 0, NOT(ISBLANK(SamplingData[[#This Row],[Candidate 3]]))),(SamplingData[[#This Row],[Total]]+SamplingData[[#This Row],[Winning Candidate]]-SamplingData[[#This Row],[Candidate 3]])/(SamplingData[[#Totals],[Winning Candidate]]-SamplingData[[#Totals],[Candidate 3]]), 0)</f>
        <v>0</v>
      </c>
      <c r="S251" s="100">
        <f>IF(AND(SamplingData[[#This Row],[Total]]&lt;&gt; 0, NOT(ISBLANK(SamplingData[[#This Row],[Candidate 4]]))),(SamplingData[[#This Row],[Total]]+SamplingData[[#This Row],[Winning Candidate]]-SamplingData[[#This Row],[Candidate 4]])/(SamplingData[[#Totals],[Winning Candidate]]-SamplingData[[#Totals],[Candidate 4]]), 0)</f>
        <v>0</v>
      </c>
      <c r="T251" s="100">
        <f>IF(AND(SamplingData[[#This Row],[Total]]&lt;&gt; 0, NOT(ISBLANK(SamplingData[[#This Row],[Candidate 5]]))),(SamplingData[[#This Row],[Total]]+SamplingData[[#This Row],[Winning Candidate]]-SamplingData[[#This Row],[Candidate 5]])/(SamplingData[[#Totals],[Winning Candidate]]-SamplingData[[#Totals],[Candidate 5]]), 0)</f>
        <v>0</v>
      </c>
      <c r="U251" s="100">
        <f>IF(AND(SamplingData[[#This Row],[Total]]&lt;&gt; 0, NOT(ISBLANK(SamplingData[[#This Row],[Candidate 6]]))),(SamplingData[[#This Row],[Total]]+SamplingData[[#This Row],[Losing Candidate]]-SamplingData[[#This Row],[Candidate 6]])/(SamplingData[[#Totals],[Winning Candidate]]-SamplingData[[#Totals],[Candidate 6]]), 0)</f>
        <v>0</v>
      </c>
      <c r="V251" s="100">
        <f>IF(AND(SamplingData[[#This Row],[Total]]&lt;&gt; 0, NOT(ISBLANK(SamplingData[[#This Row],[Candidate 7]]))),(SamplingData[[#This Row],[Total]]+SamplingData[[#This Row],[Winning Candidate]]-SamplingData[[#This Row],[Candidate 7]])/(SamplingData[[#Totals],[Winning Candidate]]-SamplingData[[#Totals],[Candidate 7]]), 0)</f>
        <v>0</v>
      </c>
      <c r="W251" s="100">
        <f>IF(AND(SamplingData[[#This Row],[Total]]&lt;&gt; 0, NOT(ISBLANK(SamplingData[[#This Row],[Candidate 8]]))),(SamplingData[[#This Row],[Total]]+SamplingData[[#This Row],[Winning Candidate]]-SamplingData[[#This Row],[Candidate 8]])/(SamplingData[[#Totals],[Winning Candidate]]-SamplingData[[#Totals],[Candidate 8]]), 0)</f>
        <v>0</v>
      </c>
      <c r="X2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00">
        <f>MAX(SamplingData[[#This Row],[Error Bound (up) - Max. possible relative overstatement - Losing Candidate]:[Error Bound (up) - Max. possible relative overstatement - Candidate 12]])</f>
        <v>1.8845996796180544E-4</v>
      </c>
      <c r="AC251" s="100">
        <f>IF(SamplingData[[#This Row],[Max Error Bound (up)]] = 0,0,SamplingData[[#This Row],[Max Error Bound (up)]]/SamplingData[[#Totals],[Max Error Bound (up)]])</f>
        <v>8.0762397027943816E-5</v>
      </c>
      <c r="AD251" s="104">
        <f>SUM($AC$5:AC251)</f>
        <v>4.2023367253540111E-2</v>
      </c>
      <c r="AE251" s="100" t="str" cm="1">
        <f t="array" ref="AE251">IF(SamplingData[[#This Row],[up/U Selection Probability]] = 0, "Zero", TEXT(SamplingData[[#This Row],[Lower Range]], REPT("0",LEN('General Info'!$B$42))) &amp; " - " &amp; TEXT(SamplingData[[#This Row],[Upper Range]], REPT("0",LEN('General Info'!$B$42))))</f>
        <v>04194 - 04201</v>
      </c>
      <c r="AF251" s="100">
        <f>SamplingData[[#This Row],[Upper Range]]-SamplingData[[#This Row],[Span]]</f>
        <v>4194.2604856512162</v>
      </c>
      <c r="AG251" s="100">
        <f>IF(ISNUMBER('General Info'!$B$42), ((SamplingData[[#This Row],[up/U Selection Probability]]) * 'General Info'!$B$44) - 1, 0)</f>
        <v>7.076239702794382</v>
      </c>
      <c r="AH251" s="100">
        <f>IF(ISNUMBER('General Info'!$B$42), (SamplingData[[#This Row],[Running (cumulative) sum]] * ('General Info'!$B$42 -'General Info'!$B$43 + 1)) + 'General Info'!$B$43 - 1, 0)</f>
        <v>4201.3367253540109</v>
      </c>
      <c r="AI251" s="100" t="str">
        <f>IF(ISERROR(MATCH(SamplingData[[#This Row],[Batch by Type (p)]],SelectedPrecincts[Batch Name], 0)), "", INDEX(SelectedPrecincts[Draw], MATCH(SamplingData[[#This Row],[Batch by Type (p)]],SelectedPrecincts[Batch Name], 0)))</f>
        <v/>
      </c>
      <c r="AJ251" s="101">
        <f>IF(COUNTIF(SelectedPrecincts[Batch Name],SamplingData[[#This Row],[Batch by Type (p)]]) &lt;&gt; 0, COUNTIF(SelectedPrecincts[Batch Name],SamplingData[[#This Row],[Batch by Type (p)]]), 0)</f>
        <v>0</v>
      </c>
    </row>
    <row r="252" spans="1:36" ht="15" customHeight="1" x14ac:dyDescent="0.35">
      <c r="A252" s="98" t="s">
        <v>464</v>
      </c>
      <c r="B252" s="98">
        <v>6</v>
      </c>
      <c r="C252" s="98">
        <v>0</v>
      </c>
      <c r="D252" s="93"/>
      <c r="E252" s="93"/>
      <c r="F252" s="93"/>
      <c r="G252" s="97"/>
      <c r="H252" s="97"/>
      <c r="I252" s="93"/>
      <c r="J252" s="93"/>
      <c r="K252" s="93"/>
      <c r="L252" s="93"/>
      <c r="M252" s="93"/>
      <c r="N252" s="98">
        <v>0</v>
      </c>
      <c r="O252" s="98">
        <v>0</v>
      </c>
      <c r="P252" s="99">
        <f>SUM(SamplingData[[#This Row],[Winning Candidate]:[Under Votes]])</f>
        <v>6</v>
      </c>
      <c r="Q252"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52" s="100">
        <f>IF(AND(SamplingData[[#This Row],[Total]]&lt;&gt; 0, NOT(ISBLANK(SamplingData[[#This Row],[Candidate 3]]))),(SamplingData[[#This Row],[Total]]+SamplingData[[#This Row],[Winning Candidate]]-SamplingData[[#This Row],[Candidate 3]])/(SamplingData[[#Totals],[Winning Candidate]]-SamplingData[[#Totals],[Candidate 3]]), 0)</f>
        <v>0</v>
      </c>
      <c r="S252" s="100">
        <f>IF(AND(SamplingData[[#This Row],[Total]]&lt;&gt; 0, NOT(ISBLANK(SamplingData[[#This Row],[Candidate 4]]))),(SamplingData[[#This Row],[Total]]+SamplingData[[#This Row],[Winning Candidate]]-SamplingData[[#This Row],[Candidate 4]])/(SamplingData[[#Totals],[Winning Candidate]]-SamplingData[[#Totals],[Candidate 4]]), 0)</f>
        <v>0</v>
      </c>
      <c r="T252" s="100">
        <f>IF(AND(SamplingData[[#This Row],[Total]]&lt;&gt; 0, NOT(ISBLANK(SamplingData[[#This Row],[Candidate 5]]))),(SamplingData[[#This Row],[Total]]+SamplingData[[#This Row],[Winning Candidate]]-SamplingData[[#This Row],[Candidate 5]])/(SamplingData[[#Totals],[Winning Candidate]]-SamplingData[[#Totals],[Candidate 5]]), 0)</f>
        <v>0</v>
      </c>
      <c r="U252" s="100">
        <f>IF(AND(SamplingData[[#This Row],[Total]]&lt;&gt; 0, NOT(ISBLANK(SamplingData[[#This Row],[Candidate 6]]))),(SamplingData[[#This Row],[Total]]+SamplingData[[#This Row],[Losing Candidate]]-SamplingData[[#This Row],[Candidate 6]])/(SamplingData[[#Totals],[Winning Candidate]]-SamplingData[[#Totals],[Candidate 6]]), 0)</f>
        <v>0</v>
      </c>
      <c r="V252" s="100">
        <f>IF(AND(SamplingData[[#This Row],[Total]]&lt;&gt; 0, NOT(ISBLANK(SamplingData[[#This Row],[Candidate 7]]))),(SamplingData[[#This Row],[Total]]+SamplingData[[#This Row],[Winning Candidate]]-SamplingData[[#This Row],[Candidate 7]])/(SamplingData[[#Totals],[Winning Candidate]]-SamplingData[[#Totals],[Candidate 7]]), 0)</f>
        <v>0</v>
      </c>
      <c r="W252" s="100">
        <f>IF(AND(SamplingData[[#This Row],[Total]]&lt;&gt; 0, NOT(ISBLANK(SamplingData[[#This Row],[Candidate 8]]))),(SamplingData[[#This Row],[Total]]+SamplingData[[#This Row],[Winning Candidate]]-SamplingData[[#This Row],[Candidate 8]])/(SamplingData[[#Totals],[Winning Candidate]]-SamplingData[[#Totals],[Candidate 8]]), 0)</f>
        <v>0</v>
      </c>
      <c r="X2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00">
        <f>MAX(SamplingData[[#This Row],[Error Bound (up) - Max. possible relative overstatement - Losing Candidate]:[Error Bound (up) - Max. possible relative overstatement - Candidate 12]])</f>
        <v>3.7691993592361088E-4</v>
      </c>
      <c r="AC252" s="100">
        <f>IF(SamplingData[[#This Row],[Max Error Bound (up)]] = 0,0,SamplingData[[#This Row],[Max Error Bound (up)]]/SamplingData[[#Totals],[Max Error Bound (up)]])</f>
        <v>1.6152479405588763E-4</v>
      </c>
      <c r="AD252" s="104">
        <f>SUM($AC$5:AC252)</f>
        <v>4.2184892047595998E-2</v>
      </c>
      <c r="AE252" s="100" t="str" cm="1">
        <f t="array" ref="AE252">IF(SamplingData[[#This Row],[up/U Selection Probability]] = 0, "Zero", TEXT(SamplingData[[#This Row],[Lower Range]], REPT("0",LEN('General Info'!$B$42))) &amp; " - " &amp; TEXT(SamplingData[[#This Row],[Upper Range]], REPT("0",LEN('General Info'!$B$42))))</f>
        <v>04202 - 04217</v>
      </c>
      <c r="AF252" s="100">
        <f>SamplingData[[#This Row],[Upper Range]]-SamplingData[[#This Row],[Span]]</f>
        <v>4202.3367253540109</v>
      </c>
      <c r="AG252" s="100">
        <f>IF(ISNUMBER('General Info'!$B$42), ((SamplingData[[#This Row],[up/U Selection Probability]]) * 'General Info'!$B$44) - 1, 0)</f>
        <v>15.152479405588764</v>
      </c>
      <c r="AH252" s="100">
        <f>IF(ISNUMBER('General Info'!$B$42), (SamplingData[[#This Row],[Running (cumulative) sum]] * ('General Info'!$B$42 -'General Info'!$B$43 + 1)) + 'General Info'!$B$43 - 1, 0)</f>
        <v>4217.4892047595995</v>
      </c>
      <c r="AI252" s="100" t="str">
        <f>IF(ISERROR(MATCH(SamplingData[[#This Row],[Batch by Type (p)]],SelectedPrecincts[Batch Name], 0)), "", INDEX(SelectedPrecincts[Draw], MATCH(SamplingData[[#This Row],[Batch by Type (p)]],SelectedPrecincts[Batch Name], 0)))</f>
        <v/>
      </c>
      <c r="AJ252" s="101">
        <f>IF(COUNTIF(SelectedPrecincts[Batch Name],SamplingData[[#This Row],[Batch by Type (p)]]) &lt;&gt; 0, COUNTIF(SelectedPrecincts[Batch Name],SamplingData[[#This Row],[Batch by Type (p)]]), 0)</f>
        <v>0</v>
      </c>
    </row>
    <row r="253" spans="1:36" ht="15" customHeight="1" x14ac:dyDescent="0.35">
      <c r="A253" s="98" t="s">
        <v>465</v>
      </c>
      <c r="B253" s="98">
        <v>6</v>
      </c>
      <c r="C253" s="98">
        <v>0</v>
      </c>
      <c r="D253" s="93"/>
      <c r="E253" s="93"/>
      <c r="F253" s="93"/>
      <c r="G253" s="97"/>
      <c r="H253" s="97"/>
      <c r="I253" s="93"/>
      <c r="J253" s="93"/>
      <c r="K253" s="93"/>
      <c r="L253" s="93"/>
      <c r="M253" s="93"/>
      <c r="N253" s="98">
        <v>0</v>
      </c>
      <c r="O253" s="98">
        <v>1</v>
      </c>
      <c r="P253" s="99">
        <f>SUM(SamplingData[[#This Row],[Winning Candidate]:[Under Votes]])</f>
        <v>7</v>
      </c>
      <c r="Q253" s="100">
        <f>IF(AND(SamplingData[[#This Row],[Total]]&lt;&gt; 0, NOT(ISBLANK(SamplingData[[#This Row],[Losing Candidate]]))),(SamplingData[[#This Row],[Total]]+SamplingData[[#This Row],[Winning Candidate]]-SamplingData[[#This Row],[Losing Candidate]])/(SamplingData[[#Totals],[Winning Candidate]]-SamplingData[[#Totals],[Losing Candidate]]), 0)</f>
        <v>4.0832993058391182E-4</v>
      </c>
      <c r="R253" s="100">
        <f>IF(AND(SamplingData[[#This Row],[Total]]&lt;&gt; 0, NOT(ISBLANK(SamplingData[[#This Row],[Candidate 3]]))),(SamplingData[[#This Row],[Total]]+SamplingData[[#This Row],[Winning Candidate]]-SamplingData[[#This Row],[Candidate 3]])/(SamplingData[[#Totals],[Winning Candidate]]-SamplingData[[#Totals],[Candidate 3]]), 0)</f>
        <v>0</v>
      </c>
      <c r="S253" s="100">
        <f>IF(AND(SamplingData[[#This Row],[Total]]&lt;&gt; 0, NOT(ISBLANK(SamplingData[[#This Row],[Candidate 4]]))),(SamplingData[[#This Row],[Total]]+SamplingData[[#This Row],[Winning Candidate]]-SamplingData[[#This Row],[Candidate 4]])/(SamplingData[[#Totals],[Winning Candidate]]-SamplingData[[#Totals],[Candidate 4]]), 0)</f>
        <v>0</v>
      </c>
      <c r="T253" s="100">
        <f>IF(AND(SamplingData[[#This Row],[Total]]&lt;&gt; 0, NOT(ISBLANK(SamplingData[[#This Row],[Candidate 5]]))),(SamplingData[[#This Row],[Total]]+SamplingData[[#This Row],[Winning Candidate]]-SamplingData[[#This Row],[Candidate 5]])/(SamplingData[[#Totals],[Winning Candidate]]-SamplingData[[#Totals],[Candidate 5]]), 0)</f>
        <v>0</v>
      </c>
      <c r="U253" s="100">
        <f>IF(AND(SamplingData[[#This Row],[Total]]&lt;&gt; 0, NOT(ISBLANK(SamplingData[[#This Row],[Candidate 6]]))),(SamplingData[[#This Row],[Total]]+SamplingData[[#This Row],[Losing Candidate]]-SamplingData[[#This Row],[Candidate 6]])/(SamplingData[[#Totals],[Winning Candidate]]-SamplingData[[#Totals],[Candidate 6]]), 0)</f>
        <v>0</v>
      </c>
      <c r="V253" s="100">
        <f>IF(AND(SamplingData[[#This Row],[Total]]&lt;&gt; 0, NOT(ISBLANK(SamplingData[[#This Row],[Candidate 7]]))),(SamplingData[[#This Row],[Total]]+SamplingData[[#This Row],[Winning Candidate]]-SamplingData[[#This Row],[Candidate 7]])/(SamplingData[[#Totals],[Winning Candidate]]-SamplingData[[#Totals],[Candidate 7]]), 0)</f>
        <v>0</v>
      </c>
      <c r="W253" s="100">
        <f>IF(AND(SamplingData[[#This Row],[Total]]&lt;&gt; 0, NOT(ISBLANK(SamplingData[[#This Row],[Candidate 8]]))),(SamplingData[[#This Row],[Total]]+SamplingData[[#This Row],[Winning Candidate]]-SamplingData[[#This Row],[Candidate 8]])/(SamplingData[[#Totals],[Winning Candidate]]-SamplingData[[#Totals],[Candidate 8]]), 0)</f>
        <v>0</v>
      </c>
      <c r="X2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00">
        <f>MAX(SamplingData[[#This Row],[Error Bound (up) - Max. possible relative overstatement - Losing Candidate]:[Error Bound (up) - Max. possible relative overstatement - Candidate 12]])</f>
        <v>4.0832993058391182E-4</v>
      </c>
      <c r="AC253" s="100">
        <f>IF(SamplingData[[#This Row],[Max Error Bound (up)]] = 0,0,SamplingData[[#This Row],[Max Error Bound (up)]]/SamplingData[[#Totals],[Max Error Bound (up)]])</f>
        <v>1.7498519356054496E-4</v>
      </c>
      <c r="AD253" s="104">
        <f>SUM($AC$5:AC253)</f>
        <v>4.2359877241156543E-2</v>
      </c>
      <c r="AE253" s="100" t="str" cm="1">
        <f t="array" ref="AE253">IF(SamplingData[[#This Row],[up/U Selection Probability]] = 0, "Zero", TEXT(SamplingData[[#This Row],[Lower Range]], REPT("0",LEN('General Info'!$B$42))) &amp; " - " &amp; TEXT(SamplingData[[#This Row],[Upper Range]], REPT("0",LEN('General Info'!$B$42))))</f>
        <v>04218 - 04235</v>
      </c>
      <c r="AF253" s="100">
        <f>SamplingData[[#This Row],[Upper Range]]-SamplingData[[#This Row],[Span]]</f>
        <v>4218.4892047596004</v>
      </c>
      <c r="AG253" s="100">
        <f>IF(ISNUMBER('General Info'!$B$42), ((SamplingData[[#This Row],[up/U Selection Probability]]) * 'General Info'!$B$44) - 1, 0)</f>
        <v>16.498519356054494</v>
      </c>
      <c r="AH253" s="100">
        <f>IF(ISNUMBER('General Info'!$B$42), (SamplingData[[#This Row],[Running (cumulative) sum]] * ('General Info'!$B$42 -'General Info'!$B$43 + 1)) + 'General Info'!$B$43 - 1, 0)</f>
        <v>4234.9877241156546</v>
      </c>
      <c r="AI253" s="100" t="str">
        <f>IF(ISERROR(MATCH(SamplingData[[#This Row],[Batch by Type (p)]],SelectedPrecincts[Batch Name], 0)), "", INDEX(SelectedPrecincts[Draw], MATCH(SamplingData[[#This Row],[Batch by Type (p)]],SelectedPrecincts[Batch Name], 0)))</f>
        <v/>
      </c>
      <c r="AJ253" s="101">
        <f>IF(COUNTIF(SelectedPrecincts[Batch Name],SamplingData[[#This Row],[Batch by Type (p)]]) &lt;&gt; 0, COUNTIF(SelectedPrecincts[Batch Name],SamplingData[[#This Row],[Batch by Type (p)]]), 0)</f>
        <v>0</v>
      </c>
    </row>
    <row r="254" spans="1:36" ht="15" customHeight="1" x14ac:dyDescent="0.35">
      <c r="A254" s="98" t="s">
        <v>466</v>
      </c>
      <c r="B254" s="98">
        <v>16</v>
      </c>
      <c r="C254" s="98">
        <v>1</v>
      </c>
      <c r="D254" s="93"/>
      <c r="E254" s="93"/>
      <c r="F254" s="93"/>
      <c r="G254" s="97"/>
      <c r="H254" s="97"/>
      <c r="I254" s="93"/>
      <c r="J254" s="93"/>
      <c r="K254" s="93"/>
      <c r="L254" s="93"/>
      <c r="M254" s="93"/>
      <c r="N254" s="98">
        <v>0</v>
      </c>
      <c r="O254" s="98">
        <v>0</v>
      </c>
      <c r="P254" s="99">
        <f>SUM(SamplingData[[#This Row],[Winning Candidate]:[Under Votes]])</f>
        <v>17</v>
      </c>
      <c r="Q254"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254" s="100">
        <f>IF(AND(SamplingData[[#This Row],[Total]]&lt;&gt; 0, NOT(ISBLANK(SamplingData[[#This Row],[Candidate 3]]))),(SamplingData[[#This Row],[Total]]+SamplingData[[#This Row],[Winning Candidate]]-SamplingData[[#This Row],[Candidate 3]])/(SamplingData[[#Totals],[Winning Candidate]]-SamplingData[[#Totals],[Candidate 3]]), 0)</f>
        <v>0</v>
      </c>
      <c r="S254" s="100">
        <f>IF(AND(SamplingData[[#This Row],[Total]]&lt;&gt; 0, NOT(ISBLANK(SamplingData[[#This Row],[Candidate 4]]))),(SamplingData[[#This Row],[Total]]+SamplingData[[#This Row],[Winning Candidate]]-SamplingData[[#This Row],[Candidate 4]])/(SamplingData[[#Totals],[Winning Candidate]]-SamplingData[[#Totals],[Candidate 4]]), 0)</f>
        <v>0</v>
      </c>
      <c r="T254" s="100">
        <f>IF(AND(SamplingData[[#This Row],[Total]]&lt;&gt; 0, NOT(ISBLANK(SamplingData[[#This Row],[Candidate 5]]))),(SamplingData[[#This Row],[Total]]+SamplingData[[#This Row],[Winning Candidate]]-SamplingData[[#This Row],[Candidate 5]])/(SamplingData[[#Totals],[Winning Candidate]]-SamplingData[[#Totals],[Candidate 5]]), 0)</f>
        <v>0</v>
      </c>
      <c r="U254" s="100">
        <f>IF(AND(SamplingData[[#This Row],[Total]]&lt;&gt; 0, NOT(ISBLANK(SamplingData[[#This Row],[Candidate 6]]))),(SamplingData[[#This Row],[Total]]+SamplingData[[#This Row],[Losing Candidate]]-SamplingData[[#This Row],[Candidate 6]])/(SamplingData[[#Totals],[Winning Candidate]]-SamplingData[[#Totals],[Candidate 6]]), 0)</f>
        <v>0</v>
      </c>
      <c r="V254" s="100">
        <f>IF(AND(SamplingData[[#This Row],[Total]]&lt;&gt; 0, NOT(ISBLANK(SamplingData[[#This Row],[Candidate 7]]))),(SamplingData[[#This Row],[Total]]+SamplingData[[#This Row],[Winning Candidate]]-SamplingData[[#This Row],[Candidate 7]])/(SamplingData[[#Totals],[Winning Candidate]]-SamplingData[[#Totals],[Candidate 7]]), 0)</f>
        <v>0</v>
      </c>
      <c r="W254" s="100">
        <f>IF(AND(SamplingData[[#This Row],[Total]]&lt;&gt; 0, NOT(ISBLANK(SamplingData[[#This Row],[Candidate 8]]))),(SamplingData[[#This Row],[Total]]+SamplingData[[#This Row],[Winning Candidate]]-SamplingData[[#This Row],[Candidate 8]])/(SamplingData[[#Totals],[Winning Candidate]]-SamplingData[[#Totals],[Candidate 8]]), 0)</f>
        <v>0</v>
      </c>
      <c r="X2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00">
        <f>MAX(SamplingData[[#This Row],[Error Bound (up) - Max. possible relative overstatement - Losing Candidate]:[Error Bound (up) - Max. possible relative overstatement - Candidate 12]])</f>
        <v>1.005119829129629E-3</v>
      </c>
      <c r="AC254" s="100">
        <f>IF(SamplingData[[#This Row],[Max Error Bound (up)]] = 0,0,SamplingData[[#This Row],[Max Error Bound (up)]]/SamplingData[[#Totals],[Max Error Bound (up)]])</f>
        <v>4.3073278414903365E-4</v>
      </c>
      <c r="AD254" s="104">
        <f>SUM($AC$5:AC254)</f>
        <v>4.2790610025305577E-2</v>
      </c>
      <c r="AE254" s="100" t="str" cm="1">
        <f t="array" ref="AE254">IF(SamplingData[[#This Row],[up/U Selection Probability]] = 0, "Zero", TEXT(SamplingData[[#This Row],[Lower Range]], REPT("0",LEN('General Info'!$B$42))) &amp; " - " &amp; TEXT(SamplingData[[#This Row],[Upper Range]], REPT("0",LEN('General Info'!$B$42))))</f>
        <v>04236 - 04278</v>
      </c>
      <c r="AF254" s="100">
        <f>SamplingData[[#This Row],[Upper Range]]-SamplingData[[#This Row],[Span]]</f>
        <v>4235.9877241156546</v>
      </c>
      <c r="AG254" s="100">
        <f>IF(ISNUMBER('General Info'!$B$42), ((SamplingData[[#This Row],[up/U Selection Probability]]) * 'General Info'!$B$44) - 1, 0)</f>
        <v>42.073278414903363</v>
      </c>
      <c r="AH254" s="100">
        <f>IF(ISNUMBER('General Info'!$B$42), (SamplingData[[#This Row],[Running (cumulative) sum]] * ('General Info'!$B$42 -'General Info'!$B$43 + 1)) + 'General Info'!$B$43 - 1, 0)</f>
        <v>4278.0610025305577</v>
      </c>
      <c r="AI254" s="100" t="str">
        <f>IF(ISERROR(MATCH(SamplingData[[#This Row],[Batch by Type (p)]],SelectedPrecincts[Batch Name], 0)), "", INDEX(SelectedPrecincts[Draw], MATCH(SamplingData[[#This Row],[Batch by Type (p)]],SelectedPrecincts[Batch Name], 0)))</f>
        <v/>
      </c>
      <c r="AJ254" s="101">
        <f>IF(COUNTIF(SelectedPrecincts[Batch Name],SamplingData[[#This Row],[Batch by Type (p)]]) &lt;&gt; 0, COUNTIF(SelectedPrecincts[Batch Name],SamplingData[[#This Row],[Batch by Type (p)]]), 0)</f>
        <v>0</v>
      </c>
    </row>
    <row r="255" spans="1:36" ht="15" customHeight="1" x14ac:dyDescent="0.35">
      <c r="A255" s="98" t="s">
        <v>467</v>
      </c>
      <c r="B255" s="98">
        <v>0</v>
      </c>
      <c r="C255" s="98">
        <v>0</v>
      </c>
      <c r="D255" s="93"/>
      <c r="E255" s="93"/>
      <c r="F255" s="93"/>
      <c r="G255" s="97"/>
      <c r="H255" s="97"/>
      <c r="I255" s="93"/>
      <c r="J255" s="93"/>
      <c r="K255" s="93"/>
      <c r="L255" s="93"/>
      <c r="M255" s="93"/>
      <c r="N255" s="98">
        <v>0</v>
      </c>
      <c r="O255" s="98">
        <v>0</v>
      </c>
      <c r="P255" s="99">
        <f>SUM(SamplingData[[#This Row],[Winning Candidate]:[Under Votes]])</f>
        <v>0</v>
      </c>
      <c r="Q255" s="100">
        <f>IF(AND(SamplingData[[#This Row],[Total]]&lt;&gt; 0, NOT(ISBLANK(SamplingData[[#This Row],[Losing Candidate]]))),(SamplingData[[#This Row],[Total]]+SamplingData[[#This Row],[Winning Candidate]]-SamplingData[[#This Row],[Losing Candidate]])/(SamplingData[[#Totals],[Winning Candidate]]-SamplingData[[#Totals],[Losing Candidate]]), 0)</f>
        <v>0</v>
      </c>
      <c r="R255" s="100">
        <f>IF(AND(SamplingData[[#This Row],[Total]]&lt;&gt; 0, NOT(ISBLANK(SamplingData[[#This Row],[Candidate 3]]))),(SamplingData[[#This Row],[Total]]+SamplingData[[#This Row],[Winning Candidate]]-SamplingData[[#This Row],[Candidate 3]])/(SamplingData[[#Totals],[Winning Candidate]]-SamplingData[[#Totals],[Candidate 3]]), 0)</f>
        <v>0</v>
      </c>
      <c r="S255" s="100">
        <f>IF(AND(SamplingData[[#This Row],[Total]]&lt;&gt; 0, NOT(ISBLANK(SamplingData[[#This Row],[Candidate 4]]))),(SamplingData[[#This Row],[Total]]+SamplingData[[#This Row],[Winning Candidate]]-SamplingData[[#This Row],[Candidate 4]])/(SamplingData[[#Totals],[Winning Candidate]]-SamplingData[[#Totals],[Candidate 4]]), 0)</f>
        <v>0</v>
      </c>
      <c r="T255" s="100">
        <f>IF(AND(SamplingData[[#This Row],[Total]]&lt;&gt; 0, NOT(ISBLANK(SamplingData[[#This Row],[Candidate 5]]))),(SamplingData[[#This Row],[Total]]+SamplingData[[#This Row],[Winning Candidate]]-SamplingData[[#This Row],[Candidate 5]])/(SamplingData[[#Totals],[Winning Candidate]]-SamplingData[[#Totals],[Candidate 5]]), 0)</f>
        <v>0</v>
      </c>
      <c r="U255" s="100">
        <f>IF(AND(SamplingData[[#This Row],[Total]]&lt;&gt; 0, NOT(ISBLANK(SamplingData[[#This Row],[Candidate 6]]))),(SamplingData[[#This Row],[Total]]+SamplingData[[#This Row],[Losing Candidate]]-SamplingData[[#This Row],[Candidate 6]])/(SamplingData[[#Totals],[Winning Candidate]]-SamplingData[[#Totals],[Candidate 6]]), 0)</f>
        <v>0</v>
      </c>
      <c r="V255" s="100">
        <f>IF(AND(SamplingData[[#This Row],[Total]]&lt;&gt; 0, NOT(ISBLANK(SamplingData[[#This Row],[Candidate 7]]))),(SamplingData[[#This Row],[Total]]+SamplingData[[#This Row],[Winning Candidate]]-SamplingData[[#This Row],[Candidate 7]])/(SamplingData[[#Totals],[Winning Candidate]]-SamplingData[[#Totals],[Candidate 7]]), 0)</f>
        <v>0</v>
      </c>
      <c r="W255" s="100">
        <f>IF(AND(SamplingData[[#This Row],[Total]]&lt;&gt; 0, NOT(ISBLANK(SamplingData[[#This Row],[Candidate 8]]))),(SamplingData[[#This Row],[Total]]+SamplingData[[#This Row],[Winning Candidate]]-SamplingData[[#This Row],[Candidate 8]])/(SamplingData[[#Totals],[Winning Candidate]]-SamplingData[[#Totals],[Candidate 8]]), 0)</f>
        <v>0</v>
      </c>
      <c r="X2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00">
        <f>MAX(SamplingData[[#This Row],[Error Bound (up) - Max. possible relative overstatement - Losing Candidate]:[Error Bound (up) - Max. possible relative overstatement - Candidate 12]])</f>
        <v>0</v>
      </c>
      <c r="AC255" s="100">
        <f>IF(SamplingData[[#This Row],[Max Error Bound (up)]] = 0,0,SamplingData[[#This Row],[Max Error Bound (up)]]/SamplingData[[#Totals],[Max Error Bound (up)]])</f>
        <v>0</v>
      </c>
      <c r="AD255" s="104">
        <f>SUM($AC$5:AC255)</f>
        <v>4.2790610025305577E-2</v>
      </c>
      <c r="AE255" s="100" t="str" cm="1">
        <f t="array" ref="AE255">IF(SamplingData[[#This Row],[up/U Selection Probability]] = 0, "Zero", TEXT(SamplingData[[#This Row],[Lower Range]], REPT("0",LEN('General Info'!$B$42))) &amp; " - " &amp; TEXT(SamplingData[[#This Row],[Upper Range]], REPT("0",LEN('General Info'!$B$42))))</f>
        <v>Zero</v>
      </c>
      <c r="AF255" s="100">
        <f>SamplingData[[#This Row],[Upper Range]]-SamplingData[[#This Row],[Span]]</f>
        <v>4279.0610025305577</v>
      </c>
      <c r="AG255" s="100">
        <f>IF(ISNUMBER('General Info'!$B$42), ((SamplingData[[#This Row],[up/U Selection Probability]]) * 'General Info'!$B$44) - 1, 0)</f>
        <v>-1</v>
      </c>
      <c r="AH255" s="100">
        <f>IF(ISNUMBER('General Info'!$B$42), (SamplingData[[#This Row],[Running (cumulative) sum]] * ('General Info'!$B$42 -'General Info'!$B$43 + 1)) + 'General Info'!$B$43 - 1, 0)</f>
        <v>4278.0610025305577</v>
      </c>
      <c r="AI255" s="100" t="str">
        <f>IF(ISERROR(MATCH(SamplingData[[#This Row],[Batch by Type (p)]],SelectedPrecincts[Batch Name], 0)), "", INDEX(SelectedPrecincts[Draw], MATCH(SamplingData[[#This Row],[Batch by Type (p)]],SelectedPrecincts[Batch Name], 0)))</f>
        <v/>
      </c>
      <c r="AJ255" s="101">
        <f>IF(COUNTIF(SelectedPrecincts[Batch Name],SamplingData[[#This Row],[Batch by Type (p)]]) &lt;&gt; 0, COUNTIF(SelectedPrecincts[Batch Name],SamplingData[[#This Row],[Batch by Type (p)]]), 0)</f>
        <v>0</v>
      </c>
    </row>
    <row r="256" spans="1:36" ht="15" customHeight="1" x14ac:dyDescent="0.35">
      <c r="A256" s="98" t="s">
        <v>468</v>
      </c>
      <c r="B256" s="98">
        <v>16</v>
      </c>
      <c r="C256" s="98">
        <v>3</v>
      </c>
      <c r="D256" s="93"/>
      <c r="E256" s="93"/>
      <c r="F256" s="93"/>
      <c r="G256" s="97"/>
      <c r="H256" s="97"/>
      <c r="I256" s="93"/>
      <c r="J256" s="93"/>
      <c r="K256" s="93"/>
      <c r="L256" s="93"/>
      <c r="M256" s="93"/>
      <c r="N256" s="98">
        <v>0</v>
      </c>
      <c r="O256" s="98">
        <v>1</v>
      </c>
      <c r="P256" s="99">
        <f>SUM(SamplingData[[#This Row],[Winning Candidate]:[Under Votes]])</f>
        <v>20</v>
      </c>
      <c r="Q256" s="100">
        <f>IF(AND(SamplingData[[#This Row],[Total]]&lt;&gt; 0, NOT(ISBLANK(SamplingData[[#This Row],[Losing Candidate]]))),(SamplingData[[#This Row],[Total]]+SamplingData[[#This Row],[Winning Candidate]]-SamplingData[[#This Row],[Losing Candidate]])/(SamplingData[[#Totals],[Winning Candidate]]-SamplingData[[#Totals],[Losing Candidate]]), 0)</f>
        <v>1.0365298237899299E-3</v>
      </c>
      <c r="R256" s="100">
        <f>IF(AND(SamplingData[[#This Row],[Total]]&lt;&gt; 0, NOT(ISBLANK(SamplingData[[#This Row],[Candidate 3]]))),(SamplingData[[#This Row],[Total]]+SamplingData[[#This Row],[Winning Candidate]]-SamplingData[[#This Row],[Candidate 3]])/(SamplingData[[#Totals],[Winning Candidate]]-SamplingData[[#Totals],[Candidate 3]]), 0)</f>
        <v>0</v>
      </c>
      <c r="S256" s="100">
        <f>IF(AND(SamplingData[[#This Row],[Total]]&lt;&gt; 0, NOT(ISBLANK(SamplingData[[#This Row],[Candidate 4]]))),(SamplingData[[#This Row],[Total]]+SamplingData[[#This Row],[Winning Candidate]]-SamplingData[[#This Row],[Candidate 4]])/(SamplingData[[#Totals],[Winning Candidate]]-SamplingData[[#Totals],[Candidate 4]]), 0)</f>
        <v>0</v>
      </c>
      <c r="T256" s="100">
        <f>IF(AND(SamplingData[[#This Row],[Total]]&lt;&gt; 0, NOT(ISBLANK(SamplingData[[#This Row],[Candidate 5]]))),(SamplingData[[#This Row],[Total]]+SamplingData[[#This Row],[Winning Candidate]]-SamplingData[[#This Row],[Candidate 5]])/(SamplingData[[#Totals],[Winning Candidate]]-SamplingData[[#Totals],[Candidate 5]]), 0)</f>
        <v>0</v>
      </c>
      <c r="U256" s="100">
        <f>IF(AND(SamplingData[[#This Row],[Total]]&lt;&gt; 0, NOT(ISBLANK(SamplingData[[#This Row],[Candidate 6]]))),(SamplingData[[#This Row],[Total]]+SamplingData[[#This Row],[Losing Candidate]]-SamplingData[[#This Row],[Candidate 6]])/(SamplingData[[#Totals],[Winning Candidate]]-SamplingData[[#Totals],[Candidate 6]]), 0)</f>
        <v>0</v>
      </c>
      <c r="V256" s="100">
        <f>IF(AND(SamplingData[[#This Row],[Total]]&lt;&gt; 0, NOT(ISBLANK(SamplingData[[#This Row],[Candidate 7]]))),(SamplingData[[#This Row],[Total]]+SamplingData[[#This Row],[Winning Candidate]]-SamplingData[[#This Row],[Candidate 7]])/(SamplingData[[#Totals],[Winning Candidate]]-SamplingData[[#Totals],[Candidate 7]]), 0)</f>
        <v>0</v>
      </c>
      <c r="W256" s="100">
        <f>IF(AND(SamplingData[[#This Row],[Total]]&lt;&gt; 0, NOT(ISBLANK(SamplingData[[#This Row],[Candidate 8]]))),(SamplingData[[#This Row],[Total]]+SamplingData[[#This Row],[Winning Candidate]]-SamplingData[[#This Row],[Candidate 8]])/(SamplingData[[#Totals],[Winning Candidate]]-SamplingData[[#Totals],[Candidate 8]]), 0)</f>
        <v>0</v>
      </c>
      <c r="X2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00">
        <f>MAX(SamplingData[[#This Row],[Error Bound (up) - Max. possible relative overstatement - Losing Candidate]:[Error Bound (up) - Max. possible relative overstatement - Candidate 12]])</f>
        <v>1.0365298237899299E-3</v>
      </c>
      <c r="AC256" s="100">
        <f>IF(SamplingData[[#This Row],[Max Error Bound (up)]] = 0,0,SamplingData[[#This Row],[Max Error Bound (up)]]/SamplingData[[#Totals],[Max Error Bound (up)]])</f>
        <v>4.44193183653691E-4</v>
      </c>
      <c r="AD256" s="104">
        <f>SUM($AC$5:AC256)</f>
        <v>4.3234803208959269E-2</v>
      </c>
      <c r="AE256" s="100" t="str" cm="1">
        <f t="array" ref="AE256">IF(SamplingData[[#This Row],[up/U Selection Probability]] = 0, "Zero", TEXT(SamplingData[[#This Row],[Lower Range]], REPT("0",LEN('General Info'!$B$42))) &amp; " - " &amp; TEXT(SamplingData[[#This Row],[Upper Range]], REPT("0",LEN('General Info'!$B$42))))</f>
        <v>04279 - 04322</v>
      </c>
      <c r="AF256" s="100">
        <f>SamplingData[[#This Row],[Upper Range]]-SamplingData[[#This Row],[Span]]</f>
        <v>4279.0610025305577</v>
      </c>
      <c r="AG256" s="100">
        <f>IF(ISNUMBER('General Info'!$B$42), ((SamplingData[[#This Row],[up/U Selection Probability]]) * 'General Info'!$B$44) - 1, 0)</f>
        <v>43.419318365369101</v>
      </c>
      <c r="AH256" s="100">
        <f>IF(ISNUMBER('General Info'!$B$42), (SamplingData[[#This Row],[Running (cumulative) sum]] * ('General Info'!$B$42 -'General Info'!$B$43 + 1)) + 'General Info'!$B$43 - 1, 0)</f>
        <v>4322.4803208959265</v>
      </c>
      <c r="AI256" s="100" t="str">
        <f>IF(ISERROR(MATCH(SamplingData[[#This Row],[Batch by Type (p)]],SelectedPrecincts[Batch Name], 0)), "", INDEX(SelectedPrecincts[Draw], MATCH(SamplingData[[#This Row],[Batch by Type (p)]],SelectedPrecincts[Batch Name], 0)))</f>
        <v/>
      </c>
      <c r="AJ256" s="101">
        <f>IF(COUNTIF(SelectedPrecincts[Batch Name],SamplingData[[#This Row],[Batch by Type (p)]]) &lt;&gt; 0, COUNTIF(SelectedPrecincts[Batch Name],SamplingData[[#This Row],[Batch by Type (p)]]), 0)</f>
        <v>0</v>
      </c>
    </row>
    <row r="257" spans="1:36" ht="15" customHeight="1" x14ac:dyDescent="0.35">
      <c r="A257" s="98" t="s">
        <v>469</v>
      </c>
      <c r="B257" s="98">
        <v>8</v>
      </c>
      <c r="C257" s="98">
        <v>0</v>
      </c>
      <c r="D257" s="93"/>
      <c r="E257" s="93"/>
      <c r="F257" s="93"/>
      <c r="G257" s="97"/>
      <c r="H257" s="97"/>
      <c r="I257" s="93"/>
      <c r="J257" s="93"/>
      <c r="K257" s="93"/>
      <c r="L257" s="93"/>
      <c r="M257" s="93"/>
      <c r="N257" s="98">
        <v>0</v>
      </c>
      <c r="O257" s="98">
        <v>0</v>
      </c>
      <c r="P257" s="99">
        <f>SUM(SamplingData[[#This Row],[Winning Candidate]:[Under Votes]])</f>
        <v>8</v>
      </c>
      <c r="Q257"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257" s="100">
        <f>IF(AND(SamplingData[[#This Row],[Total]]&lt;&gt; 0, NOT(ISBLANK(SamplingData[[#This Row],[Candidate 3]]))),(SamplingData[[#This Row],[Total]]+SamplingData[[#This Row],[Winning Candidate]]-SamplingData[[#This Row],[Candidate 3]])/(SamplingData[[#Totals],[Winning Candidate]]-SamplingData[[#Totals],[Candidate 3]]), 0)</f>
        <v>0</v>
      </c>
      <c r="S257" s="100">
        <f>IF(AND(SamplingData[[#This Row],[Total]]&lt;&gt; 0, NOT(ISBLANK(SamplingData[[#This Row],[Candidate 4]]))),(SamplingData[[#This Row],[Total]]+SamplingData[[#This Row],[Winning Candidate]]-SamplingData[[#This Row],[Candidate 4]])/(SamplingData[[#Totals],[Winning Candidate]]-SamplingData[[#Totals],[Candidate 4]]), 0)</f>
        <v>0</v>
      </c>
      <c r="T257" s="100">
        <f>IF(AND(SamplingData[[#This Row],[Total]]&lt;&gt; 0, NOT(ISBLANK(SamplingData[[#This Row],[Candidate 5]]))),(SamplingData[[#This Row],[Total]]+SamplingData[[#This Row],[Winning Candidate]]-SamplingData[[#This Row],[Candidate 5]])/(SamplingData[[#Totals],[Winning Candidate]]-SamplingData[[#Totals],[Candidate 5]]), 0)</f>
        <v>0</v>
      </c>
      <c r="U257" s="100">
        <f>IF(AND(SamplingData[[#This Row],[Total]]&lt;&gt; 0, NOT(ISBLANK(SamplingData[[#This Row],[Candidate 6]]))),(SamplingData[[#This Row],[Total]]+SamplingData[[#This Row],[Losing Candidate]]-SamplingData[[#This Row],[Candidate 6]])/(SamplingData[[#Totals],[Winning Candidate]]-SamplingData[[#Totals],[Candidate 6]]), 0)</f>
        <v>0</v>
      </c>
      <c r="V257" s="100">
        <f>IF(AND(SamplingData[[#This Row],[Total]]&lt;&gt; 0, NOT(ISBLANK(SamplingData[[#This Row],[Candidate 7]]))),(SamplingData[[#This Row],[Total]]+SamplingData[[#This Row],[Winning Candidate]]-SamplingData[[#This Row],[Candidate 7]])/(SamplingData[[#Totals],[Winning Candidate]]-SamplingData[[#Totals],[Candidate 7]]), 0)</f>
        <v>0</v>
      </c>
      <c r="W257" s="100">
        <f>IF(AND(SamplingData[[#This Row],[Total]]&lt;&gt; 0, NOT(ISBLANK(SamplingData[[#This Row],[Candidate 8]]))),(SamplingData[[#This Row],[Total]]+SamplingData[[#This Row],[Winning Candidate]]-SamplingData[[#This Row],[Candidate 8]])/(SamplingData[[#Totals],[Winning Candidate]]-SamplingData[[#Totals],[Candidate 8]]), 0)</f>
        <v>0</v>
      </c>
      <c r="X2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00">
        <f>MAX(SamplingData[[#This Row],[Error Bound (up) - Max. possible relative overstatement - Losing Candidate]:[Error Bound (up) - Max. possible relative overstatement - Candidate 12]])</f>
        <v>5.0255991456481448E-4</v>
      </c>
      <c r="AC257" s="100">
        <f>IF(SamplingData[[#This Row],[Max Error Bound (up)]] = 0,0,SamplingData[[#This Row],[Max Error Bound (up)]]/SamplingData[[#Totals],[Max Error Bound (up)]])</f>
        <v>2.1536639207451683E-4</v>
      </c>
      <c r="AD257" s="104">
        <f>SUM($AC$5:AC257)</f>
        <v>4.3450169601033789E-2</v>
      </c>
      <c r="AE257" s="100" t="str" cm="1">
        <f t="array" ref="AE257">IF(SamplingData[[#This Row],[up/U Selection Probability]] = 0, "Zero", TEXT(SamplingData[[#This Row],[Lower Range]], REPT("0",LEN('General Info'!$B$42))) &amp; " - " &amp; TEXT(SamplingData[[#This Row],[Upper Range]], REPT("0",LEN('General Info'!$B$42))))</f>
        <v>04323 - 04344</v>
      </c>
      <c r="AF257" s="100">
        <f>SamplingData[[#This Row],[Upper Range]]-SamplingData[[#This Row],[Span]]</f>
        <v>4323.4803208959265</v>
      </c>
      <c r="AG257" s="100">
        <f>IF(ISNUMBER('General Info'!$B$42), ((SamplingData[[#This Row],[up/U Selection Probability]]) * 'General Info'!$B$44) - 1, 0)</f>
        <v>20.536639207451682</v>
      </c>
      <c r="AH257" s="100">
        <f>IF(ISNUMBER('General Info'!$B$42), (SamplingData[[#This Row],[Running (cumulative) sum]] * ('General Info'!$B$42 -'General Info'!$B$43 + 1)) + 'General Info'!$B$43 - 1, 0)</f>
        <v>4344.0169601033786</v>
      </c>
      <c r="AI257" s="100" t="str">
        <f>IF(ISERROR(MATCH(SamplingData[[#This Row],[Batch by Type (p)]],SelectedPrecincts[Batch Name], 0)), "", INDEX(SelectedPrecincts[Draw], MATCH(SamplingData[[#This Row],[Batch by Type (p)]],SelectedPrecincts[Batch Name], 0)))</f>
        <v/>
      </c>
      <c r="AJ257" s="101">
        <f>IF(COUNTIF(SelectedPrecincts[Batch Name],SamplingData[[#This Row],[Batch by Type (p)]]) &lt;&gt; 0, COUNTIF(SelectedPrecincts[Batch Name],SamplingData[[#This Row],[Batch by Type (p)]]), 0)</f>
        <v>0</v>
      </c>
    </row>
    <row r="258" spans="1:36" ht="15" customHeight="1" x14ac:dyDescent="0.35">
      <c r="A258" s="98" t="s">
        <v>470</v>
      </c>
      <c r="B258" s="98">
        <v>17</v>
      </c>
      <c r="C258" s="98">
        <v>4</v>
      </c>
      <c r="D258" s="93"/>
      <c r="E258" s="93"/>
      <c r="F258" s="93"/>
      <c r="G258" s="97"/>
      <c r="H258" s="97"/>
      <c r="I258" s="93"/>
      <c r="J258" s="93"/>
      <c r="K258" s="93"/>
      <c r="L258" s="93"/>
      <c r="M258" s="93"/>
      <c r="N258" s="98">
        <v>0</v>
      </c>
      <c r="O258" s="98">
        <v>1</v>
      </c>
      <c r="P258" s="99">
        <f>SUM(SamplingData[[#This Row],[Winning Candidate]:[Under Votes]])</f>
        <v>22</v>
      </c>
      <c r="Q258" s="100">
        <f>IF(AND(SamplingData[[#This Row],[Total]]&lt;&gt; 0, NOT(ISBLANK(SamplingData[[#This Row],[Losing Candidate]]))),(SamplingData[[#This Row],[Total]]+SamplingData[[#This Row],[Winning Candidate]]-SamplingData[[#This Row],[Losing Candidate]])/(SamplingData[[#Totals],[Winning Candidate]]-SamplingData[[#Totals],[Losing Candidate]]), 0)</f>
        <v>1.0993498131105317E-3</v>
      </c>
      <c r="R258" s="100">
        <f>IF(AND(SamplingData[[#This Row],[Total]]&lt;&gt; 0, NOT(ISBLANK(SamplingData[[#This Row],[Candidate 3]]))),(SamplingData[[#This Row],[Total]]+SamplingData[[#This Row],[Winning Candidate]]-SamplingData[[#This Row],[Candidate 3]])/(SamplingData[[#Totals],[Winning Candidate]]-SamplingData[[#Totals],[Candidate 3]]), 0)</f>
        <v>0</v>
      </c>
      <c r="S258" s="100">
        <f>IF(AND(SamplingData[[#This Row],[Total]]&lt;&gt; 0, NOT(ISBLANK(SamplingData[[#This Row],[Candidate 4]]))),(SamplingData[[#This Row],[Total]]+SamplingData[[#This Row],[Winning Candidate]]-SamplingData[[#This Row],[Candidate 4]])/(SamplingData[[#Totals],[Winning Candidate]]-SamplingData[[#Totals],[Candidate 4]]), 0)</f>
        <v>0</v>
      </c>
      <c r="T258" s="100">
        <f>IF(AND(SamplingData[[#This Row],[Total]]&lt;&gt; 0, NOT(ISBLANK(SamplingData[[#This Row],[Candidate 5]]))),(SamplingData[[#This Row],[Total]]+SamplingData[[#This Row],[Winning Candidate]]-SamplingData[[#This Row],[Candidate 5]])/(SamplingData[[#Totals],[Winning Candidate]]-SamplingData[[#Totals],[Candidate 5]]), 0)</f>
        <v>0</v>
      </c>
      <c r="U258" s="100">
        <f>IF(AND(SamplingData[[#This Row],[Total]]&lt;&gt; 0, NOT(ISBLANK(SamplingData[[#This Row],[Candidate 6]]))),(SamplingData[[#This Row],[Total]]+SamplingData[[#This Row],[Losing Candidate]]-SamplingData[[#This Row],[Candidate 6]])/(SamplingData[[#Totals],[Winning Candidate]]-SamplingData[[#Totals],[Candidate 6]]), 0)</f>
        <v>0</v>
      </c>
      <c r="V258" s="100">
        <f>IF(AND(SamplingData[[#This Row],[Total]]&lt;&gt; 0, NOT(ISBLANK(SamplingData[[#This Row],[Candidate 7]]))),(SamplingData[[#This Row],[Total]]+SamplingData[[#This Row],[Winning Candidate]]-SamplingData[[#This Row],[Candidate 7]])/(SamplingData[[#Totals],[Winning Candidate]]-SamplingData[[#Totals],[Candidate 7]]), 0)</f>
        <v>0</v>
      </c>
      <c r="W258" s="100">
        <f>IF(AND(SamplingData[[#This Row],[Total]]&lt;&gt; 0, NOT(ISBLANK(SamplingData[[#This Row],[Candidate 8]]))),(SamplingData[[#This Row],[Total]]+SamplingData[[#This Row],[Winning Candidate]]-SamplingData[[#This Row],[Candidate 8]])/(SamplingData[[#Totals],[Winning Candidate]]-SamplingData[[#Totals],[Candidate 8]]), 0)</f>
        <v>0</v>
      </c>
      <c r="X2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00">
        <f>MAX(SamplingData[[#This Row],[Error Bound (up) - Max. possible relative overstatement - Losing Candidate]:[Error Bound (up) - Max. possible relative overstatement - Candidate 12]])</f>
        <v>1.0993498131105317E-3</v>
      </c>
      <c r="AC258" s="100">
        <f>IF(SamplingData[[#This Row],[Max Error Bound (up)]] = 0,0,SamplingData[[#This Row],[Max Error Bound (up)]]/SamplingData[[#Totals],[Max Error Bound (up)]])</f>
        <v>4.711139826630056E-4</v>
      </c>
      <c r="AD258" s="104">
        <f>SUM($AC$5:AC258)</f>
        <v>4.3921283583696798E-2</v>
      </c>
      <c r="AE258" s="100" t="str" cm="1">
        <f t="array" ref="AE258">IF(SamplingData[[#This Row],[up/U Selection Probability]] = 0, "Zero", TEXT(SamplingData[[#This Row],[Lower Range]], REPT("0",LEN('General Info'!$B$42))) &amp; " - " &amp; TEXT(SamplingData[[#This Row],[Upper Range]], REPT("0",LEN('General Info'!$B$42))))</f>
        <v>04345 - 04391</v>
      </c>
      <c r="AF258" s="100">
        <f>SamplingData[[#This Row],[Upper Range]]-SamplingData[[#This Row],[Span]]</f>
        <v>4345.0169601033786</v>
      </c>
      <c r="AG258" s="100">
        <f>IF(ISNUMBER('General Info'!$B$42), ((SamplingData[[#This Row],[up/U Selection Probability]]) * 'General Info'!$B$44) - 1, 0)</f>
        <v>46.111398266300561</v>
      </c>
      <c r="AH258" s="100">
        <f>IF(ISNUMBER('General Info'!$B$42), (SamplingData[[#This Row],[Running (cumulative) sum]] * ('General Info'!$B$42 -'General Info'!$B$43 + 1)) + 'General Info'!$B$43 - 1, 0)</f>
        <v>4391.1283583696795</v>
      </c>
      <c r="AI258" s="100" t="str">
        <f>IF(ISERROR(MATCH(SamplingData[[#This Row],[Batch by Type (p)]],SelectedPrecincts[Batch Name], 0)), "", INDEX(SelectedPrecincts[Draw], MATCH(SamplingData[[#This Row],[Batch by Type (p)]],SelectedPrecincts[Batch Name], 0)))</f>
        <v/>
      </c>
      <c r="AJ258" s="101">
        <f>IF(COUNTIF(SelectedPrecincts[Batch Name],SamplingData[[#This Row],[Batch by Type (p)]]) &lt;&gt; 0, COUNTIF(SelectedPrecincts[Batch Name],SamplingData[[#This Row],[Batch by Type (p)]]), 0)</f>
        <v>0</v>
      </c>
    </row>
    <row r="259" spans="1:36" ht="15" customHeight="1" x14ac:dyDescent="0.35">
      <c r="A259" s="98" t="s">
        <v>471</v>
      </c>
      <c r="B259" s="98">
        <v>4</v>
      </c>
      <c r="C259" s="98">
        <v>1</v>
      </c>
      <c r="D259" s="93"/>
      <c r="E259" s="93"/>
      <c r="F259" s="93"/>
      <c r="G259" s="97"/>
      <c r="H259" s="97"/>
      <c r="I259" s="93"/>
      <c r="J259" s="93"/>
      <c r="K259" s="93"/>
      <c r="L259" s="93"/>
      <c r="M259" s="93"/>
      <c r="N259" s="98">
        <v>0</v>
      </c>
      <c r="O259" s="98">
        <v>0</v>
      </c>
      <c r="P259" s="99">
        <f>SUM(SamplingData[[#This Row],[Winning Candidate]:[Under Votes]])</f>
        <v>5</v>
      </c>
      <c r="Q259"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259" s="100">
        <f>IF(AND(SamplingData[[#This Row],[Total]]&lt;&gt; 0, NOT(ISBLANK(SamplingData[[#This Row],[Candidate 3]]))),(SamplingData[[#This Row],[Total]]+SamplingData[[#This Row],[Winning Candidate]]-SamplingData[[#This Row],[Candidate 3]])/(SamplingData[[#Totals],[Winning Candidate]]-SamplingData[[#Totals],[Candidate 3]]), 0)</f>
        <v>0</v>
      </c>
      <c r="S259" s="100">
        <f>IF(AND(SamplingData[[#This Row],[Total]]&lt;&gt; 0, NOT(ISBLANK(SamplingData[[#This Row],[Candidate 4]]))),(SamplingData[[#This Row],[Total]]+SamplingData[[#This Row],[Winning Candidate]]-SamplingData[[#This Row],[Candidate 4]])/(SamplingData[[#Totals],[Winning Candidate]]-SamplingData[[#Totals],[Candidate 4]]), 0)</f>
        <v>0</v>
      </c>
      <c r="T259" s="100">
        <f>IF(AND(SamplingData[[#This Row],[Total]]&lt;&gt; 0, NOT(ISBLANK(SamplingData[[#This Row],[Candidate 5]]))),(SamplingData[[#This Row],[Total]]+SamplingData[[#This Row],[Winning Candidate]]-SamplingData[[#This Row],[Candidate 5]])/(SamplingData[[#Totals],[Winning Candidate]]-SamplingData[[#Totals],[Candidate 5]]), 0)</f>
        <v>0</v>
      </c>
      <c r="U259" s="100">
        <f>IF(AND(SamplingData[[#This Row],[Total]]&lt;&gt; 0, NOT(ISBLANK(SamplingData[[#This Row],[Candidate 6]]))),(SamplingData[[#This Row],[Total]]+SamplingData[[#This Row],[Losing Candidate]]-SamplingData[[#This Row],[Candidate 6]])/(SamplingData[[#Totals],[Winning Candidate]]-SamplingData[[#Totals],[Candidate 6]]), 0)</f>
        <v>0</v>
      </c>
      <c r="V259" s="100">
        <f>IF(AND(SamplingData[[#This Row],[Total]]&lt;&gt; 0, NOT(ISBLANK(SamplingData[[#This Row],[Candidate 7]]))),(SamplingData[[#This Row],[Total]]+SamplingData[[#This Row],[Winning Candidate]]-SamplingData[[#This Row],[Candidate 7]])/(SamplingData[[#Totals],[Winning Candidate]]-SamplingData[[#Totals],[Candidate 7]]), 0)</f>
        <v>0</v>
      </c>
      <c r="W259" s="100">
        <f>IF(AND(SamplingData[[#This Row],[Total]]&lt;&gt; 0, NOT(ISBLANK(SamplingData[[#This Row],[Candidate 8]]))),(SamplingData[[#This Row],[Total]]+SamplingData[[#This Row],[Winning Candidate]]-SamplingData[[#This Row],[Candidate 8]])/(SamplingData[[#Totals],[Winning Candidate]]-SamplingData[[#Totals],[Candidate 8]]), 0)</f>
        <v>0</v>
      </c>
      <c r="X2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00">
        <f>MAX(SamplingData[[#This Row],[Error Bound (up) - Max. possible relative overstatement - Losing Candidate]:[Error Bound (up) - Max. possible relative overstatement - Candidate 12]])</f>
        <v>2.5127995728240724E-4</v>
      </c>
      <c r="AC259" s="100">
        <f>IF(SamplingData[[#This Row],[Max Error Bound (up)]] = 0,0,SamplingData[[#This Row],[Max Error Bound (up)]]/SamplingData[[#Totals],[Max Error Bound (up)]])</f>
        <v>1.0768319603725841E-4</v>
      </c>
      <c r="AD259" s="104">
        <f>SUM($AC$5:AC259)</f>
        <v>4.4028966779734058E-2</v>
      </c>
      <c r="AE259" s="100" t="str" cm="1">
        <f t="array" ref="AE259">IF(SamplingData[[#This Row],[up/U Selection Probability]] = 0, "Zero", TEXT(SamplingData[[#This Row],[Lower Range]], REPT("0",LEN('General Info'!$B$42))) &amp; " - " &amp; TEXT(SamplingData[[#This Row],[Upper Range]], REPT("0",LEN('General Info'!$B$42))))</f>
        <v>04392 - 04402</v>
      </c>
      <c r="AF259" s="100">
        <f>SamplingData[[#This Row],[Upper Range]]-SamplingData[[#This Row],[Span]]</f>
        <v>4392.1283583696795</v>
      </c>
      <c r="AG259" s="100">
        <f>IF(ISNUMBER('General Info'!$B$42), ((SamplingData[[#This Row],[up/U Selection Probability]]) * 'General Info'!$B$44) - 1, 0)</f>
        <v>9.7683196037258408</v>
      </c>
      <c r="AH259" s="100">
        <f>IF(ISNUMBER('General Info'!$B$42), (SamplingData[[#This Row],[Running (cumulative) sum]] * ('General Info'!$B$42 -'General Info'!$B$43 + 1)) + 'General Info'!$B$43 - 1, 0)</f>
        <v>4401.8966779734055</v>
      </c>
      <c r="AI259" s="100" t="str">
        <f>IF(ISERROR(MATCH(SamplingData[[#This Row],[Batch by Type (p)]],SelectedPrecincts[Batch Name], 0)), "", INDEX(SelectedPrecincts[Draw], MATCH(SamplingData[[#This Row],[Batch by Type (p)]],SelectedPrecincts[Batch Name], 0)))</f>
        <v/>
      </c>
      <c r="AJ259" s="101">
        <f>IF(COUNTIF(SelectedPrecincts[Batch Name],SamplingData[[#This Row],[Batch by Type (p)]]) &lt;&gt; 0, COUNTIF(SelectedPrecincts[Batch Name],SamplingData[[#This Row],[Batch by Type (p)]]), 0)</f>
        <v>0</v>
      </c>
    </row>
    <row r="260" spans="1:36" ht="15" customHeight="1" x14ac:dyDescent="0.35">
      <c r="A260" s="98" t="s">
        <v>472</v>
      </c>
      <c r="B260" s="98">
        <v>11</v>
      </c>
      <c r="C260" s="98">
        <v>1</v>
      </c>
      <c r="D260" s="93"/>
      <c r="E260" s="93"/>
      <c r="F260" s="93"/>
      <c r="G260" s="97"/>
      <c r="H260" s="97"/>
      <c r="I260" s="93"/>
      <c r="J260" s="93"/>
      <c r="K260" s="93"/>
      <c r="L260" s="93"/>
      <c r="M260" s="93"/>
      <c r="N260" s="98">
        <v>0</v>
      </c>
      <c r="O260" s="98">
        <v>0</v>
      </c>
      <c r="P260" s="99">
        <f>SUM(SamplingData[[#This Row],[Winning Candidate]:[Under Votes]])</f>
        <v>12</v>
      </c>
      <c r="Q260"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260" s="100">
        <f>IF(AND(SamplingData[[#This Row],[Total]]&lt;&gt; 0, NOT(ISBLANK(SamplingData[[#This Row],[Candidate 3]]))),(SamplingData[[#This Row],[Total]]+SamplingData[[#This Row],[Winning Candidate]]-SamplingData[[#This Row],[Candidate 3]])/(SamplingData[[#Totals],[Winning Candidate]]-SamplingData[[#Totals],[Candidate 3]]), 0)</f>
        <v>0</v>
      </c>
      <c r="S260" s="100">
        <f>IF(AND(SamplingData[[#This Row],[Total]]&lt;&gt; 0, NOT(ISBLANK(SamplingData[[#This Row],[Candidate 4]]))),(SamplingData[[#This Row],[Total]]+SamplingData[[#This Row],[Winning Candidate]]-SamplingData[[#This Row],[Candidate 4]])/(SamplingData[[#Totals],[Winning Candidate]]-SamplingData[[#Totals],[Candidate 4]]), 0)</f>
        <v>0</v>
      </c>
      <c r="T260" s="100">
        <f>IF(AND(SamplingData[[#This Row],[Total]]&lt;&gt; 0, NOT(ISBLANK(SamplingData[[#This Row],[Candidate 5]]))),(SamplingData[[#This Row],[Total]]+SamplingData[[#This Row],[Winning Candidate]]-SamplingData[[#This Row],[Candidate 5]])/(SamplingData[[#Totals],[Winning Candidate]]-SamplingData[[#Totals],[Candidate 5]]), 0)</f>
        <v>0</v>
      </c>
      <c r="U260" s="100">
        <f>IF(AND(SamplingData[[#This Row],[Total]]&lt;&gt; 0, NOT(ISBLANK(SamplingData[[#This Row],[Candidate 6]]))),(SamplingData[[#This Row],[Total]]+SamplingData[[#This Row],[Losing Candidate]]-SamplingData[[#This Row],[Candidate 6]])/(SamplingData[[#Totals],[Winning Candidate]]-SamplingData[[#Totals],[Candidate 6]]), 0)</f>
        <v>0</v>
      </c>
      <c r="V260" s="100">
        <f>IF(AND(SamplingData[[#This Row],[Total]]&lt;&gt; 0, NOT(ISBLANK(SamplingData[[#This Row],[Candidate 7]]))),(SamplingData[[#This Row],[Total]]+SamplingData[[#This Row],[Winning Candidate]]-SamplingData[[#This Row],[Candidate 7]])/(SamplingData[[#Totals],[Winning Candidate]]-SamplingData[[#Totals],[Candidate 7]]), 0)</f>
        <v>0</v>
      </c>
      <c r="W260" s="100">
        <f>IF(AND(SamplingData[[#This Row],[Total]]&lt;&gt; 0, NOT(ISBLANK(SamplingData[[#This Row],[Candidate 8]]))),(SamplingData[[#This Row],[Total]]+SamplingData[[#This Row],[Winning Candidate]]-SamplingData[[#This Row],[Candidate 8]])/(SamplingData[[#Totals],[Winning Candidate]]-SamplingData[[#Totals],[Candidate 8]]), 0)</f>
        <v>0</v>
      </c>
      <c r="X2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00">
        <f>MAX(SamplingData[[#This Row],[Error Bound (up) - Max. possible relative overstatement - Losing Candidate]:[Error Bound (up) - Max. possible relative overstatement - Candidate 12]])</f>
        <v>6.9101988252662E-4</v>
      </c>
      <c r="AC260" s="100">
        <f>IF(SamplingData[[#This Row],[Max Error Bound (up)]] = 0,0,SamplingData[[#This Row],[Max Error Bound (up)]]/SamplingData[[#Totals],[Max Error Bound (up)]])</f>
        <v>2.9612878910246067E-4</v>
      </c>
      <c r="AD260" s="104">
        <f>SUM($AC$5:AC260)</f>
        <v>4.4325095568836521E-2</v>
      </c>
      <c r="AE260" s="100" t="str" cm="1">
        <f t="array" ref="AE260">IF(SamplingData[[#This Row],[up/U Selection Probability]] = 0, "Zero", TEXT(SamplingData[[#This Row],[Lower Range]], REPT("0",LEN('General Info'!$B$42))) &amp; " - " &amp; TEXT(SamplingData[[#This Row],[Upper Range]], REPT("0",LEN('General Info'!$B$42))))</f>
        <v>04403 - 04432</v>
      </c>
      <c r="AF260" s="100">
        <f>SamplingData[[#This Row],[Upper Range]]-SamplingData[[#This Row],[Span]]</f>
        <v>4402.8966779734064</v>
      </c>
      <c r="AG260" s="100">
        <f>IF(ISNUMBER('General Info'!$B$42), ((SamplingData[[#This Row],[up/U Selection Probability]]) * 'General Info'!$B$44) - 1, 0)</f>
        <v>28.612878910246067</v>
      </c>
      <c r="AH260" s="100">
        <f>IF(ISNUMBER('General Info'!$B$42), (SamplingData[[#This Row],[Running (cumulative) sum]] * ('General Info'!$B$42 -'General Info'!$B$43 + 1)) + 'General Info'!$B$43 - 1, 0)</f>
        <v>4431.5095568836523</v>
      </c>
      <c r="AI260" s="100" t="str">
        <f>IF(ISERROR(MATCH(SamplingData[[#This Row],[Batch by Type (p)]],SelectedPrecincts[Batch Name], 0)), "", INDEX(SelectedPrecincts[Draw], MATCH(SamplingData[[#This Row],[Batch by Type (p)]],SelectedPrecincts[Batch Name], 0)))</f>
        <v/>
      </c>
      <c r="AJ260" s="101">
        <f>IF(COUNTIF(SelectedPrecincts[Batch Name],SamplingData[[#This Row],[Batch by Type (p)]]) &lt;&gt; 0, COUNTIF(SelectedPrecincts[Batch Name],SamplingData[[#This Row],[Batch by Type (p)]]), 0)</f>
        <v>0</v>
      </c>
    </row>
    <row r="261" spans="1:36" ht="15" customHeight="1" x14ac:dyDescent="0.35">
      <c r="A261" s="98" t="s">
        <v>473</v>
      </c>
      <c r="B261" s="98">
        <v>3</v>
      </c>
      <c r="C261" s="98">
        <v>0</v>
      </c>
      <c r="D261" s="93"/>
      <c r="E261" s="93"/>
      <c r="F261" s="93"/>
      <c r="G261" s="97"/>
      <c r="H261" s="97"/>
      <c r="I261" s="93"/>
      <c r="J261" s="93"/>
      <c r="K261" s="93"/>
      <c r="L261" s="93"/>
      <c r="M261" s="93"/>
      <c r="N261" s="98">
        <v>0</v>
      </c>
      <c r="O261" s="98">
        <v>0</v>
      </c>
      <c r="P261" s="99">
        <f>SUM(SamplingData[[#This Row],[Winning Candidate]:[Under Votes]])</f>
        <v>3</v>
      </c>
      <c r="Q261"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261" s="100">
        <f>IF(AND(SamplingData[[#This Row],[Total]]&lt;&gt; 0, NOT(ISBLANK(SamplingData[[#This Row],[Candidate 3]]))),(SamplingData[[#This Row],[Total]]+SamplingData[[#This Row],[Winning Candidate]]-SamplingData[[#This Row],[Candidate 3]])/(SamplingData[[#Totals],[Winning Candidate]]-SamplingData[[#Totals],[Candidate 3]]), 0)</f>
        <v>0</v>
      </c>
      <c r="S261" s="100">
        <f>IF(AND(SamplingData[[#This Row],[Total]]&lt;&gt; 0, NOT(ISBLANK(SamplingData[[#This Row],[Candidate 4]]))),(SamplingData[[#This Row],[Total]]+SamplingData[[#This Row],[Winning Candidate]]-SamplingData[[#This Row],[Candidate 4]])/(SamplingData[[#Totals],[Winning Candidate]]-SamplingData[[#Totals],[Candidate 4]]), 0)</f>
        <v>0</v>
      </c>
      <c r="T261" s="100">
        <f>IF(AND(SamplingData[[#This Row],[Total]]&lt;&gt; 0, NOT(ISBLANK(SamplingData[[#This Row],[Candidate 5]]))),(SamplingData[[#This Row],[Total]]+SamplingData[[#This Row],[Winning Candidate]]-SamplingData[[#This Row],[Candidate 5]])/(SamplingData[[#Totals],[Winning Candidate]]-SamplingData[[#Totals],[Candidate 5]]), 0)</f>
        <v>0</v>
      </c>
      <c r="U261" s="100">
        <f>IF(AND(SamplingData[[#This Row],[Total]]&lt;&gt; 0, NOT(ISBLANK(SamplingData[[#This Row],[Candidate 6]]))),(SamplingData[[#This Row],[Total]]+SamplingData[[#This Row],[Losing Candidate]]-SamplingData[[#This Row],[Candidate 6]])/(SamplingData[[#Totals],[Winning Candidate]]-SamplingData[[#Totals],[Candidate 6]]), 0)</f>
        <v>0</v>
      </c>
      <c r="V261" s="100">
        <f>IF(AND(SamplingData[[#This Row],[Total]]&lt;&gt; 0, NOT(ISBLANK(SamplingData[[#This Row],[Candidate 7]]))),(SamplingData[[#This Row],[Total]]+SamplingData[[#This Row],[Winning Candidate]]-SamplingData[[#This Row],[Candidate 7]])/(SamplingData[[#Totals],[Winning Candidate]]-SamplingData[[#Totals],[Candidate 7]]), 0)</f>
        <v>0</v>
      </c>
      <c r="W261" s="100">
        <f>IF(AND(SamplingData[[#This Row],[Total]]&lt;&gt; 0, NOT(ISBLANK(SamplingData[[#This Row],[Candidate 8]]))),(SamplingData[[#This Row],[Total]]+SamplingData[[#This Row],[Winning Candidate]]-SamplingData[[#This Row],[Candidate 8]])/(SamplingData[[#Totals],[Winning Candidate]]-SamplingData[[#Totals],[Candidate 8]]), 0)</f>
        <v>0</v>
      </c>
      <c r="X2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00">
        <f>MAX(SamplingData[[#This Row],[Error Bound (up) - Max. possible relative overstatement - Losing Candidate]:[Error Bound (up) - Max. possible relative overstatement - Candidate 12]])</f>
        <v>1.8845996796180544E-4</v>
      </c>
      <c r="AC261" s="100">
        <f>IF(SamplingData[[#This Row],[Max Error Bound (up)]] = 0,0,SamplingData[[#This Row],[Max Error Bound (up)]]/SamplingData[[#Totals],[Max Error Bound (up)]])</f>
        <v>8.0762397027943816E-5</v>
      </c>
      <c r="AD261" s="104">
        <f>SUM($AC$5:AC261)</f>
        <v>4.4405857965864465E-2</v>
      </c>
      <c r="AE261" s="100" t="str" cm="1">
        <f t="array" ref="AE261">IF(SamplingData[[#This Row],[up/U Selection Probability]] = 0, "Zero", TEXT(SamplingData[[#This Row],[Lower Range]], REPT("0",LEN('General Info'!$B$42))) &amp; " - " &amp; TEXT(SamplingData[[#This Row],[Upper Range]], REPT("0",LEN('General Info'!$B$42))))</f>
        <v>04433 - 04440</v>
      </c>
      <c r="AF261" s="100">
        <f>SamplingData[[#This Row],[Upper Range]]-SamplingData[[#This Row],[Span]]</f>
        <v>4432.5095568836514</v>
      </c>
      <c r="AG261" s="100">
        <f>IF(ISNUMBER('General Info'!$B$42), ((SamplingData[[#This Row],[up/U Selection Probability]]) * 'General Info'!$B$44) - 1, 0)</f>
        <v>7.076239702794382</v>
      </c>
      <c r="AH261" s="100">
        <f>IF(ISNUMBER('General Info'!$B$42), (SamplingData[[#This Row],[Running (cumulative) sum]] * ('General Info'!$B$42 -'General Info'!$B$43 + 1)) + 'General Info'!$B$43 - 1, 0)</f>
        <v>4439.5857965864461</v>
      </c>
      <c r="AI261" s="100" t="str">
        <f>IF(ISERROR(MATCH(SamplingData[[#This Row],[Batch by Type (p)]],SelectedPrecincts[Batch Name], 0)), "", INDEX(SelectedPrecincts[Draw], MATCH(SamplingData[[#This Row],[Batch by Type (p)]],SelectedPrecincts[Batch Name], 0)))</f>
        <v/>
      </c>
      <c r="AJ261" s="101">
        <f>IF(COUNTIF(SelectedPrecincts[Batch Name],SamplingData[[#This Row],[Batch by Type (p)]]) &lt;&gt; 0, COUNTIF(SelectedPrecincts[Batch Name],SamplingData[[#This Row],[Batch by Type (p)]]), 0)</f>
        <v>0</v>
      </c>
    </row>
    <row r="262" spans="1:36" ht="15" customHeight="1" x14ac:dyDescent="0.35">
      <c r="A262" s="98" t="s">
        <v>474</v>
      </c>
      <c r="B262" s="98">
        <v>9</v>
      </c>
      <c r="C262" s="98">
        <v>2</v>
      </c>
      <c r="D262" s="93"/>
      <c r="E262" s="93"/>
      <c r="F262" s="93"/>
      <c r="G262" s="97"/>
      <c r="H262" s="97"/>
      <c r="I262" s="93"/>
      <c r="J262" s="93"/>
      <c r="K262" s="93"/>
      <c r="L262" s="93"/>
      <c r="M262" s="93"/>
      <c r="N262" s="98">
        <v>0</v>
      </c>
      <c r="O262" s="98">
        <v>0</v>
      </c>
      <c r="P262" s="99">
        <f>SUM(SamplingData[[#This Row],[Winning Candidate]:[Under Votes]])</f>
        <v>11</v>
      </c>
      <c r="Q262"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262" s="100">
        <f>IF(AND(SamplingData[[#This Row],[Total]]&lt;&gt; 0, NOT(ISBLANK(SamplingData[[#This Row],[Candidate 3]]))),(SamplingData[[#This Row],[Total]]+SamplingData[[#This Row],[Winning Candidate]]-SamplingData[[#This Row],[Candidate 3]])/(SamplingData[[#Totals],[Winning Candidate]]-SamplingData[[#Totals],[Candidate 3]]), 0)</f>
        <v>0</v>
      </c>
      <c r="S262" s="100">
        <f>IF(AND(SamplingData[[#This Row],[Total]]&lt;&gt; 0, NOT(ISBLANK(SamplingData[[#This Row],[Candidate 4]]))),(SamplingData[[#This Row],[Total]]+SamplingData[[#This Row],[Winning Candidate]]-SamplingData[[#This Row],[Candidate 4]])/(SamplingData[[#Totals],[Winning Candidate]]-SamplingData[[#Totals],[Candidate 4]]), 0)</f>
        <v>0</v>
      </c>
      <c r="T262" s="100">
        <f>IF(AND(SamplingData[[#This Row],[Total]]&lt;&gt; 0, NOT(ISBLANK(SamplingData[[#This Row],[Candidate 5]]))),(SamplingData[[#This Row],[Total]]+SamplingData[[#This Row],[Winning Candidate]]-SamplingData[[#This Row],[Candidate 5]])/(SamplingData[[#Totals],[Winning Candidate]]-SamplingData[[#Totals],[Candidate 5]]), 0)</f>
        <v>0</v>
      </c>
      <c r="U262" s="100">
        <f>IF(AND(SamplingData[[#This Row],[Total]]&lt;&gt; 0, NOT(ISBLANK(SamplingData[[#This Row],[Candidate 6]]))),(SamplingData[[#This Row],[Total]]+SamplingData[[#This Row],[Losing Candidate]]-SamplingData[[#This Row],[Candidate 6]])/(SamplingData[[#Totals],[Winning Candidate]]-SamplingData[[#Totals],[Candidate 6]]), 0)</f>
        <v>0</v>
      </c>
      <c r="V262" s="100">
        <f>IF(AND(SamplingData[[#This Row],[Total]]&lt;&gt; 0, NOT(ISBLANK(SamplingData[[#This Row],[Candidate 7]]))),(SamplingData[[#This Row],[Total]]+SamplingData[[#This Row],[Winning Candidate]]-SamplingData[[#This Row],[Candidate 7]])/(SamplingData[[#Totals],[Winning Candidate]]-SamplingData[[#Totals],[Candidate 7]]), 0)</f>
        <v>0</v>
      </c>
      <c r="W262" s="100">
        <f>IF(AND(SamplingData[[#This Row],[Total]]&lt;&gt; 0, NOT(ISBLANK(SamplingData[[#This Row],[Candidate 8]]))),(SamplingData[[#This Row],[Total]]+SamplingData[[#This Row],[Winning Candidate]]-SamplingData[[#This Row],[Candidate 8]])/(SamplingData[[#Totals],[Winning Candidate]]-SamplingData[[#Totals],[Candidate 8]]), 0)</f>
        <v>0</v>
      </c>
      <c r="X2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00">
        <f>MAX(SamplingData[[#This Row],[Error Bound (up) - Max. possible relative overstatement - Losing Candidate]:[Error Bound (up) - Max. possible relative overstatement - Candidate 12]])</f>
        <v>5.6537990388541635E-4</v>
      </c>
      <c r="AC262" s="100">
        <f>IF(SamplingData[[#This Row],[Max Error Bound (up)]] = 0,0,SamplingData[[#This Row],[Max Error Bound (up)]]/SamplingData[[#Totals],[Max Error Bound (up)]])</f>
        <v>2.4228719108383145E-4</v>
      </c>
      <c r="AD262" s="104">
        <f>SUM($AC$5:AC262)</f>
        <v>4.4648145156948295E-2</v>
      </c>
      <c r="AE262" s="100" t="str" cm="1">
        <f t="array" ref="AE262">IF(SamplingData[[#This Row],[up/U Selection Probability]] = 0, "Zero", TEXT(SamplingData[[#This Row],[Lower Range]], REPT("0",LEN('General Info'!$B$42))) &amp; " - " &amp; TEXT(SamplingData[[#This Row],[Upper Range]], REPT("0",LEN('General Info'!$B$42))))</f>
        <v>04441 - 04464</v>
      </c>
      <c r="AF262" s="100">
        <f>SamplingData[[#This Row],[Upper Range]]-SamplingData[[#This Row],[Span]]</f>
        <v>4440.5857965864461</v>
      </c>
      <c r="AG262" s="100">
        <f>IF(ISNUMBER('General Info'!$B$42), ((SamplingData[[#This Row],[up/U Selection Probability]]) * 'General Info'!$B$44) - 1, 0)</f>
        <v>23.228719108383146</v>
      </c>
      <c r="AH262" s="100">
        <f>IF(ISNUMBER('General Info'!$B$42), (SamplingData[[#This Row],[Running (cumulative) sum]] * ('General Info'!$B$42 -'General Info'!$B$43 + 1)) + 'General Info'!$B$43 - 1, 0)</f>
        <v>4463.8145156948294</v>
      </c>
      <c r="AI262" s="100" t="str">
        <f>IF(ISERROR(MATCH(SamplingData[[#This Row],[Batch by Type (p)]],SelectedPrecincts[Batch Name], 0)), "", INDEX(SelectedPrecincts[Draw], MATCH(SamplingData[[#This Row],[Batch by Type (p)]],SelectedPrecincts[Batch Name], 0)))</f>
        <v/>
      </c>
      <c r="AJ262" s="101">
        <f>IF(COUNTIF(SelectedPrecincts[Batch Name],SamplingData[[#This Row],[Batch by Type (p)]]) &lt;&gt; 0, COUNTIF(SelectedPrecincts[Batch Name],SamplingData[[#This Row],[Batch by Type (p)]]), 0)</f>
        <v>0</v>
      </c>
    </row>
    <row r="263" spans="1:36" ht="15" customHeight="1" x14ac:dyDescent="0.35">
      <c r="A263" s="98" t="s">
        <v>475</v>
      </c>
      <c r="B263" s="98">
        <v>17</v>
      </c>
      <c r="C263" s="98">
        <v>0</v>
      </c>
      <c r="D263" s="93"/>
      <c r="E263" s="93"/>
      <c r="F263" s="93"/>
      <c r="G263" s="97"/>
      <c r="H263" s="97"/>
      <c r="I263" s="93"/>
      <c r="J263" s="93"/>
      <c r="K263" s="93"/>
      <c r="L263" s="93"/>
      <c r="M263" s="93"/>
      <c r="N263" s="98">
        <v>0</v>
      </c>
      <c r="O263" s="98">
        <v>0</v>
      </c>
      <c r="P263" s="99">
        <f>SUM(SamplingData[[#This Row],[Winning Candidate]:[Under Votes]])</f>
        <v>17</v>
      </c>
      <c r="Q263"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263" s="100">
        <f>IF(AND(SamplingData[[#This Row],[Total]]&lt;&gt; 0, NOT(ISBLANK(SamplingData[[#This Row],[Candidate 3]]))),(SamplingData[[#This Row],[Total]]+SamplingData[[#This Row],[Winning Candidate]]-SamplingData[[#This Row],[Candidate 3]])/(SamplingData[[#Totals],[Winning Candidate]]-SamplingData[[#Totals],[Candidate 3]]), 0)</f>
        <v>0</v>
      </c>
      <c r="S263" s="100">
        <f>IF(AND(SamplingData[[#This Row],[Total]]&lt;&gt; 0, NOT(ISBLANK(SamplingData[[#This Row],[Candidate 4]]))),(SamplingData[[#This Row],[Total]]+SamplingData[[#This Row],[Winning Candidate]]-SamplingData[[#This Row],[Candidate 4]])/(SamplingData[[#Totals],[Winning Candidate]]-SamplingData[[#Totals],[Candidate 4]]), 0)</f>
        <v>0</v>
      </c>
      <c r="T263" s="100">
        <f>IF(AND(SamplingData[[#This Row],[Total]]&lt;&gt; 0, NOT(ISBLANK(SamplingData[[#This Row],[Candidate 5]]))),(SamplingData[[#This Row],[Total]]+SamplingData[[#This Row],[Winning Candidate]]-SamplingData[[#This Row],[Candidate 5]])/(SamplingData[[#Totals],[Winning Candidate]]-SamplingData[[#Totals],[Candidate 5]]), 0)</f>
        <v>0</v>
      </c>
      <c r="U263" s="100">
        <f>IF(AND(SamplingData[[#This Row],[Total]]&lt;&gt; 0, NOT(ISBLANK(SamplingData[[#This Row],[Candidate 6]]))),(SamplingData[[#This Row],[Total]]+SamplingData[[#This Row],[Losing Candidate]]-SamplingData[[#This Row],[Candidate 6]])/(SamplingData[[#Totals],[Winning Candidate]]-SamplingData[[#Totals],[Candidate 6]]), 0)</f>
        <v>0</v>
      </c>
      <c r="V263" s="100">
        <f>IF(AND(SamplingData[[#This Row],[Total]]&lt;&gt; 0, NOT(ISBLANK(SamplingData[[#This Row],[Candidate 7]]))),(SamplingData[[#This Row],[Total]]+SamplingData[[#This Row],[Winning Candidate]]-SamplingData[[#This Row],[Candidate 7]])/(SamplingData[[#Totals],[Winning Candidate]]-SamplingData[[#Totals],[Candidate 7]]), 0)</f>
        <v>0</v>
      </c>
      <c r="W263" s="100">
        <f>IF(AND(SamplingData[[#This Row],[Total]]&lt;&gt; 0, NOT(ISBLANK(SamplingData[[#This Row],[Candidate 8]]))),(SamplingData[[#This Row],[Total]]+SamplingData[[#This Row],[Winning Candidate]]-SamplingData[[#This Row],[Candidate 8]])/(SamplingData[[#Totals],[Winning Candidate]]-SamplingData[[#Totals],[Candidate 8]]), 0)</f>
        <v>0</v>
      </c>
      <c r="X2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00">
        <f>MAX(SamplingData[[#This Row],[Error Bound (up) - Max. possible relative overstatement - Losing Candidate]:[Error Bound (up) - Max. possible relative overstatement - Candidate 12]])</f>
        <v>1.0679398184502309E-3</v>
      </c>
      <c r="AC263" s="100">
        <f>IF(SamplingData[[#This Row],[Max Error Bound (up)]] = 0,0,SamplingData[[#This Row],[Max Error Bound (up)]]/SamplingData[[#Totals],[Max Error Bound (up)]])</f>
        <v>4.5765358315834836E-4</v>
      </c>
      <c r="AD263" s="104">
        <f>SUM($AC$5:AC263)</f>
        <v>4.5105798740106645E-2</v>
      </c>
      <c r="AE263" s="100" t="str" cm="1">
        <f t="array" ref="AE263">IF(SamplingData[[#This Row],[up/U Selection Probability]] = 0, "Zero", TEXT(SamplingData[[#This Row],[Lower Range]], REPT("0",LEN('General Info'!$B$42))) &amp; " - " &amp; TEXT(SamplingData[[#This Row],[Upper Range]], REPT("0",LEN('General Info'!$B$42))))</f>
        <v>04465 - 04510</v>
      </c>
      <c r="AF263" s="100">
        <f>SamplingData[[#This Row],[Upper Range]]-SamplingData[[#This Row],[Span]]</f>
        <v>4464.8145156948303</v>
      </c>
      <c r="AG263" s="100">
        <f>IF(ISNUMBER('General Info'!$B$42), ((SamplingData[[#This Row],[up/U Selection Probability]]) * 'General Info'!$B$44) - 1, 0)</f>
        <v>44.765358315834838</v>
      </c>
      <c r="AH263" s="100">
        <f>IF(ISNUMBER('General Info'!$B$42), (SamplingData[[#This Row],[Running (cumulative) sum]] * ('General Info'!$B$42 -'General Info'!$B$43 + 1)) + 'General Info'!$B$43 - 1, 0)</f>
        <v>4509.5798740106648</v>
      </c>
      <c r="AI263" s="100" t="str">
        <f>IF(ISERROR(MATCH(SamplingData[[#This Row],[Batch by Type (p)]],SelectedPrecincts[Batch Name], 0)), "", INDEX(SelectedPrecincts[Draw], MATCH(SamplingData[[#This Row],[Batch by Type (p)]],SelectedPrecincts[Batch Name], 0)))</f>
        <v/>
      </c>
      <c r="AJ263" s="101">
        <f>IF(COUNTIF(SelectedPrecincts[Batch Name],SamplingData[[#This Row],[Batch by Type (p)]]) &lt;&gt; 0, COUNTIF(SelectedPrecincts[Batch Name],SamplingData[[#This Row],[Batch by Type (p)]]), 0)</f>
        <v>0</v>
      </c>
    </row>
    <row r="264" spans="1:36" ht="15" customHeight="1" x14ac:dyDescent="0.35">
      <c r="A264" s="98" t="s">
        <v>476</v>
      </c>
      <c r="B264" s="98">
        <v>28</v>
      </c>
      <c r="C264" s="98">
        <v>6</v>
      </c>
      <c r="D264" s="93"/>
      <c r="E264" s="93"/>
      <c r="F264" s="93"/>
      <c r="G264" s="97"/>
      <c r="H264" s="97"/>
      <c r="I264" s="93"/>
      <c r="J264" s="93"/>
      <c r="K264" s="93"/>
      <c r="L264" s="93"/>
      <c r="M264" s="93"/>
      <c r="N264" s="98">
        <v>0</v>
      </c>
      <c r="O264" s="98">
        <v>2</v>
      </c>
      <c r="P264" s="99">
        <f>SUM(SamplingData[[#This Row],[Winning Candidate]:[Under Votes]])</f>
        <v>36</v>
      </c>
      <c r="Q264"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264" s="100">
        <f>IF(AND(SamplingData[[#This Row],[Total]]&lt;&gt; 0, NOT(ISBLANK(SamplingData[[#This Row],[Candidate 3]]))),(SamplingData[[#This Row],[Total]]+SamplingData[[#This Row],[Winning Candidate]]-SamplingData[[#This Row],[Candidate 3]])/(SamplingData[[#Totals],[Winning Candidate]]-SamplingData[[#Totals],[Candidate 3]]), 0)</f>
        <v>0</v>
      </c>
      <c r="S264" s="100">
        <f>IF(AND(SamplingData[[#This Row],[Total]]&lt;&gt; 0, NOT(ISBLANK(SamplingData[[#This Row],[Candidate 4]]))),(SamplingData[[#This Row],[Total]]+SamplingData[[#This Row],[Winning Candidate]]-SamplingData[[#This Row],[Candidate 4]])/(SamplingData[[#Totals],[Winning Candidate]]-SamplingData[[#Totals],[Candidate 4]]), 0)</f>
        <v>0</v>
      </c>
      <c r="T264" s="100">
        <f>IF(AND(SamplingData[[#This Row],[Total]]&lt;&gt; 0, NOT(ISBLANK(SamplingData[[#This Row],[Candidate 5]]))),(SamplingData[[#This Row],[Total]]+SamplingData[[#This Row],[Winning Candidate]]-SamplingData[[#This Row],[Candidate 5]])/(SamplingData[[#Totals],[Winning Candidate]]-SamplingData[[#Totals],[Candidate 5]]), 0)</f>
        <v>0</v>
      </c>
      <c r="U264" s="100">
        <f>IF(AND(SamplingData[[#This Row],[Total]]&lt;&gt; 0, NOT(ISBLANK(SamplingData[[#This Row],[Candidate 6]]))),(SamplingData[[#This Row],[Total]]+SamplingData[[#This Row],[Losing Candidate]]-SamplingData[[#This Row],[Candidate 6]])/(SamplingData[[#Totals],[Winning Candidate]]-SamplingData[[#Totals],[Candidate 6]]), 0)</f>
        <v>0</v>
      </c>
      <c r="V264" s="100">
        <f>IF(AND(SamplingData[[#This Row],[Total]]&lt;&gt; 0, NOT(ISBLANK(SamplingData[[#This Row],[Candidate 7]]))),(SamplingData[[#This Row],[Total]]+SamplingData[[#This Row],[Winning Candidate]]-SamplingData[[#This Row],[Candidate 7]])/(SamplingData[[#Totals],[Winning Candidate]]-SamplingData[[#Totals],[Candidate 7]]), 0)</f>
        <v>0</v>
      </c>
      <c r="W264" s="100">
        <f>IF(AND(SamplingData[[#This Row],[Total]]&lt;&gt; 0, NOT(ISBLANK(SamplingData[[#This Row],[Candidate 8]]))),(SamplingData[[#This Row],[Total]]+SamplingData[[#This Row],[Winning Candidate]]-SamplingData[[#This Row],[Candidate 8]])/(SamplingData[[#Totals],[Winning Candidate]]-SamplingData[[#Totals],[Candidate 8]]), 0)</f>
        <v>0</v>
      </c>
      <c r="X2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00">
        <f>MAX(SamplingData[[#This Row],[Error Bound (up) - Max. possible relative overstatement - Losing Candidate]:[Error Bound (up) - Max. possible relative overstatement - Candidate 12]])</f>
        <v>1.8217796902974526E-3</v>
      </c>
      <c r="AC264" s="100">
        <f>IF(SamplingData[[#This Row],[Max Error Bound (up)]] = 0,0,SamplingData[[#This Row],[Max Error Bound (up)]]/SamplingData[[#Totals],[Max Error Bound (up)]])</f>
        <v>7.8070317127012351E-4</v>
      </c>
      <c r="AD264" s="104">
        <f>SUM($AC$5:AC264)</f>
        <v>4.5886501911376769E-2</v>
      </c>
      <c r="AE264" s="100" t="str" cm="1">
        <f t="array" ref="AE264">IF(SamplingData[[#This Row],[up/U Selection Probability]] = 0, "Zero", TEXT(SamplingData[[#This Row],[Lower Range]], REPT("0",LEN('General Info'!$B$42))) &amp; " - " &amp; TEXT(SamplingData[[#This Row],[Upper Range]], REPT("0",LEN('General Info'!$B$42))))</f>
        <v>04511 - 04588</v>
      </c>
      <c r="AF264" s="100">
        <f>SamplingData[[#This Row],[Upper Range]]-SamplingData[[#This Row],[Span]]</f>
        <v>4510.5798740106648</v>
      </c>
      <c r="AG264" s="100">
        <f>IF(ISNUMBER('General Info'!$B$42), ((SamplingData[[#This Row],[up/U Selection Probability]]) * 'General Info'!$B$44) - 1, 0)</f>
        <v>77.070317127012345</v>
      </c>
      <c r="AH264" s="100">
        <f>IF(ISNUMBER('General Info'!$B$42), (SamplingData[[#This Row],[Running (cumulative) sum]] * ('General Info'!$B$42 -'General Info'!$B$43 + 1)) + 'General Info'!$B$43 - 1, 0)</f>
        <v>4587.6501911376772</v>
      </c>
      <c r="AI264" s="100" t="str">
        <f>IF(ISERROR(MATCH(SamplingData[[#This Row],[Batch by Type (p)]],SelectedPrecincts[Batch Name], 0)), "", INDEX(SelectedPrecincts[Draw], MATCH(SamplingData[[#This Row],[Batch by Type (p)]],SelectedPrecincts[Batch Name], 0)))</f>
        <v/>
      </c>
      <c r="AJ264" s="101">
        <f>IF(COUNTIF(SelectedPrecincts[Batch Name],SamplingData[[#This Row],[Batch by Type (p)]]) &lt;&gt; 0, COUNTIF(SelectedPrecincts[Batch Name],SamplingData[[#This Row],[Batch by Type (p)]]), 0)</f>
        <v>0</v>
      </c>
    </row>
    <row r="265" spans="1:36" ht="15" customHeight="1" x14ac:dyDescent="0.35">
      <c r="A265" s="98" t="s">
        <v>477</v>
      </c>
      <c r="B265" s="98">
        <v>5</v>
      </c>
      <c r="C265" s="98">
        <v>1</v>
      </c>
      <c r="D265" s="93"/>
      <c r="E265" s="93"/>
      <c r="F265" s="93"/>
      <c r="G265" s="97"/>
      <c r="H265" s="97"/>
      <c r="I265" s="93"/>
      <c r="J265" s="93"/>
      <c r="K265" s="93"/>
      <c r="L265" s="93"/>
      <c r="M265" s="93"/>
      <c r="N265" s="98">
        <v>0</v>
      </c>
      <c r="O265" s="98">
        <v>0</v>
      </c>
      <c r="P265" s="99">
        <f>SUM(SamplingData[[#This Row],[Winning Candidate]:[Under Votes]])</f>
        <v>6</v>
      </c>
      <c r="Q265"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265" s="100">
        <f>IF(AND(SamplingData[[#This Row],[Total]]&lt;&gt; 0, NOT(ISBLANK(SamplingData[[#This Row],[Candidate 3]]))),(SamplingData[[#This Row],[Total]]+SamplingData[[#This Row],[Winning Candidate]]-SamplingData[[#This Row],[Candidate 3]])/(SamplingData[[#Totals],[Winning Candidate]]-SamplingData[[#Totals],[Candidate 3]]), 0)</f>
        <v>0</v>
      </c>
      <c r="S265" s="100">
        <f>IF(AND(SamplingData[[#This Row],[Total]]&lt;&gt; 0, NOT(ISBLANK(SamplingData[[#This Row],[Candidate 4]]))),(SamplingData[[#This Row],[Total]]+SamplingData[[#This Row],[Winning Candidate]]-SamplingData[[#This Row],[Candidate 4]])/(SamplingData[[#Totals],[Winning Candidate]]-SamplingData[[#Totals],[Candidate 4]]), 0)</f>
        <v>0</v>
      </c>
      <c r="T265" s="100">
        <f>IF(AND(SamplingData[[#This Row],[Total]]&lt;&gt; 0, NOT(ISBLANK(SamplingData[[#This Row],[Candidate 5]]))),(SamplingData[[#This Row],[Total]]+SamplingData[[#This Row],[Winning Candidate]]-SamplingData[[#This Row],[Candidate 5]])/(SamplingData[[#Totals],[Winning Candidate]]-SamplingData[[#Totals],[Candidate 5]]), 0)</f>
        <v>0</v>
      </c>
      <c r="U265" s="100">
        <f>IF(AND(SamplingData[[#This Row],[Total]]&lt;&gt; 0, NOT(ISBLANK(SamplingData[[#This Row],[Candidate 6]]))),(SamplingData[[#This Row],[Total]]+SamplingData[[#This Row],[Losing Candidate]]-SamplingData[[#This Row],[Candidate 6]])/(SamplingData[[#Totals],[Winning Candidate]]-SamplingData[[#Totals],[Candidate 6]]), 0)</f>
        <v>0</v>
      </c>
      <c r="V265" s="100">
        <f>IF(AND(SamplingData[[#This Row],[Total]]&lt;&gt; 0, NOT(ISBLANK(SamplingData[[#This Row],[Candidate 7]]))),(SamplingData[[#This Row],[Total]]+SamplingData[[#This Row],[Winning Candidate]]-SamplingData[[#This Row],[Candidate 7]])/(SamplingData[[#Totals],[Winning Candidate]]-SamplingData[[#Totals],[Candidate 7]]), 0)</f>
        <v>0</v>
      </c>
      <c r="W265" s="100">
        <f>IF(AND(SamplingData[[#This Row],[Total]]&lt;&gt; 0, NOT(ISBLANK(SamplingData[[#This Row],[Candidate 8]]))),(SamplingData[[#This Row],[Total]]+SamplingData[[#This Row],[Winning Candidate]]-SamplingData[[#This Row],[Candidate 8]])/(SamplingData[[#Totals],[Winning Candidate]]-SamplingData[[#Totals],[Candidate 8]]), 0)</f>
        <v>0</v>
      </c>
      <c r="X2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00">
        <f>MAX(SamplingData[[#This Row],[Error Bound (up) - Max. possible relative overstatement - Losing Candidate]:[Error Bound (up) - Max. possible relative overstatement - Candidate 12]])</f>
        <v>3.1409994660300906E-4</v>
      </c>
      <c r="AC265" s="100">
        <f>IF(SamplingData[[#This Row],[Max Error Bound (up)]] = 0,0,SamplingData[[#This Row],[Max Error Bound (up)]]/SamplingData[[#Totals],[Max Error Bound (up)]])</f>
        <v>1.3460399504657304E-4</v>
      </c>
      <c r="AD265" s="104">
        <f>SUM($AC$5:AC265)</f>
        <v>4.6021105906423339E-2</v>
      </c>
      <c r="AE265" s="100" t="str" cm="1">
        <f t="array" ref="AE265">IF(SamplingData[[#This Row],[up/U Selection Probability]] = 0, "Zero", TEXT(SamplingData[[#This Row],[Lower Range]], REPT("0",LEN('General Info'!$B$42))) &amp; " - " &amp; TEXT(SamplingData[[#This Row],[Upper Range]], REPT("0",LEN('General Info'!$B$42))))</f>
        <v>04589 - 04601</v>
      </c>
      <c r="AF265" s="100">
        <f>SamplingData[[#This Row],[Upper Range]]-SamplingData[[#This Row],[Span]]</f>
        <v>4588.6501911376763</v>
      </c>
      <c r="AG265" s="100">
        <f>IF(ISNUMBER('General Info'!$B$42), ((SamplingData[[#This Row],[up/U Selection Probability]]) * 'General Info'!$B$44) - 1, 0)</f>
        <v>12.460399504657303</v>
      </c>
      <c r="AH265" s="100">
        <f>IF(ISNUMBER('General Info'!$B$42), (SamplingData[[#This Row],[Running (cumulative) sum]] * ('General Info'!$B$42 -'General Info'!$B$43 + 1)) + 'General Info'!$B$43 - 1, 0)</f>
        <v>4601.1105906423336</v>
      </c>
      <c r="AI265" s="100" t="str">
        <f>IF(ISERROR(MATCH(SamplingData[[#This Row],[Batch by Type (p)]],SelectedPrecincts[Batch Name], 0)), "", INDEX(SelectedPrecincts[Draw], MATCH(SamplingData[[#This Row],[Batch by Type (p)]],SelectedPrecincts[Batch Name], 0)))</f>
        <v/>
      </c>
      <c r="AJ265" s="101">
        <f>IF(COUNTIF(SelectedPrecincts[Batch Name],SamplingData[[#This Row],[Batch by Type (p)]]) &lt;&gt; 0, COUNTIF(SelectedPrecincts[Batch Name],SamplingData[[#This Row],[Batch by Type (p)]]), 0)</f>
        <v>0</v>
      </c>
    </row>
    <row r="266" spans="1:36" ht="15" customHeight="1" x14ac:dyDescent="0.35">
      <c r="A266" s="98" t="s">
        <v>478</v>
      </c>
      <c r="B266" s="98">
        <v>6</v>
      </c>
      <c r="C266" s="98">
        <v>1</v>
      </c>
      <c r="D266" s="93"/>
      <c r="E266" s="93"/>
      <c r="F266" s="93"/>
      <c r="G266" s="97"/>
      <c r="H266" s="97"/>
      <c r="I266" s="93"/>
      <c r="J266" s="93"/>
      <c r="K266" s="93"/>
      <c r="L266" s="93"/>
      <c r="M266" s="93"/>
      <c r="N266" s="98">
        <v>0</v>
      </c>
      <c r="O266" s="98">
        <v>0</v>
      </c>
      <c r="P266" s="99">
        <f>SUM(SamplingData[[#This Row],[Winning Candidate]:[Under Votes]])</f>
        <v>7</v>
      </c>
      <c r="Q26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66" s="100">
        <f>IF(AND(SamplingData[[#This Row],[Total]]&lt;&gt; 0, NOT(ISBLANK(SamplingData[[#This Row],[Candidate 3]]))),(SamplingData[[#This Row],[Total]]+SamplingData[[#This Row],[Winning Candidate]]-SamplingData[[#This Row],[Candidate 3]])/(SamplingData[[#Totals],[Winning Candidate]]-SamplingData[[#Totals],[Candidate 3]]), 0)</f>
        <v>0</v>
      </c>
      <c r="S266" s="100">
        <f>IF(AND(SamplingData[[#This Row],[Total]]&lt;&gt; 0, NOT(ISBLANK(SamplingData[[#This Row],[Candidate 4]]))),(SamplingData[[#This Row],[Total]]+SamplingData[[#This Row],[Winning Candidate]]-SamplingData[[#This Row],[Candidate 4]])/(SamplingData[[#Totals],[Winning Candidate]]-SamplingData[[#Totals],[Candidate 4]]), 0)</f>
        <v>0</v>
      </c>
      <c r="T266" s="100">
        <f>IF(AND(SamplingData[[#This Row],[Total]]&lt;&gt; 0, NOT(ISBLANK(SamplingData[[#This Row],[Candidate 5]]))),(SamplingData[[#This Row],[Total]]+SamplingData[[#This Row],[Winning Candidate]]-SamplingData[[#This Row],[Candidate 5]])/(SamplingData[[#Totals],[Winning Candidate]]-SamplingData[[#Totals],[Candidate 5]]), 0)</f>
        <v>0</v>
      </c>
      <c r="U266" s="100">
        <f>IF(AND(SamplingData[[#This Row],[Total]]&lt;&gt; 0, NOT(ISBLANK(SamplingData[[#This Row],[Candidate 6]]))),(SamplingData[[#This Row],[Total]]+SamplingData[[#This Row],[Losing Candidate]]-SamplingData[[#This Row],[Candidate 6]])/(SamplingData[[#Totals],[Winning Candidate]]-SamplingData[[#Totals],[Candidate 6]]), 0)</f>
        <v>0</v>
      </c>
      <c r="V266" s="100">
        <f>IF(AND(SamplingData[[#This Row],[Total]]&lt;&gt; 0, NOT(ISBLANK(SamplingData[[#This Row],[Candidate 7]]))),(SamplingData[[#This Row],[Total]]+SamplingData[[#This Row],[Winning Candidate]]-SamplingData[[#This Row],[Candidate 7]])/(SamplingData[[#Totals],[Winning Candidate]]-SamplingData[[#Totals],[Candidate 7]]), 0)</f>
        <v>0</v>
      </c>
      <c r="W266" s="100">
        <f>IF(AND(SamplingData[[#This Row],[Total]]&lt;&gt; 0, NOT(ISBLANK(SamplingData[[#This Row],[Candidate 8]]))),(SamplingData[[#This Row],[Total]]+SamplingData[[#This Row],[Winning Candidate]]-SamplingData[[#This Row],[Candidate 8]])/(SamplingData[[#Totals],[Winning Candidate]]-SamplingData[[#Totals],[Candidate 8]]), 0)</f>
        <v>0</v>
      </c>
      <c r="X2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00">
        <f>MAX(SamplingData[[#This Row],[Error Bound (up) - Max. possible relative overstatement - Losing Candidate]:[Error Bound (up) - Max. possible relative overstatement - Candidate 12]])</f>
        <v>3.7691993592361088E-4</v>
      </c>
      <c r="AC266" s="100">
        <f>IF(SamplingData[[#This Row],[Max Error Bound (up)]] = 0,0,SamplingData[[#This Row],[Max Error Bound (up)]]/SamplingData[[#Totals],[Max Error Bound (up)]])</f>
        <v>1.6152479405588763E-4</v>
      </c>
      <c r="AD266" s="104">
        <f>SUM($AC$5:AC266)</f>
        <v>4.6182630700479226E-2</v>
      </c>
      <c r="AE266" s="100" t="str" cm="1">
        <f t="array" ref="AE266">IF(SamplingData[[#This Row],[up/U Selection Probability]] = 0, "Zero", TEXT(SamplingData[[#This Row],[Lower Range]], REPT("0",LEN('General Info'!$B$42))) &amp; " - " &amp; TEXT(SamplingData[[#This Row],[Upper Range]], REPT("0",LEN('General Info'!$B$42))))</f>
        <v>04602 - 04617</v>
      </c>
      <c r="AF266" s="100">
        <f>SamplingData[[#This Row],[Upper Range]]-SamplingData[[#This Row],[Span]]</f>
        <v>4602.1105906423336</v>
      </c>
      <c r="AG266" s="100">
        <f>IF(ISNUMBER('General Info'!$B$42), ((SamplingData[[#This Row],[up/U Selection Probability]]) * 'General Info'!$B$44) - 1, 0)</f>
        <v>15.152479405588764</v>
      </c>
      <c r="AH266" s="100">
        <f>IF(ISNUMBER('General Info'!$B$42), (SamplingData[[#This Row],[Running (cumulative) sum]] * ('General Info'!$B$42 -'General Info'!$B$43 + 1)) + 'General Info'!$B$43 - 1, 0)</f>
        <v>4617.2630700479222</v>
      </c>
      <c r="AI266" s="100" t="str">
        <f>IF(ISERROR(MATCH(SamplingData[[#This Row],[Batch by Type (p)]],SelectedPrecincts[Batch Name], 0)), "", INDEX(SelectedPrecincts[Draw], MATCH(SamplingData[[#This Row],[Batch by Type (p)]],SelectedPrecincts[Batch Name], 0)))</f>
        <v/>
      </c>
      <c r="AJ266" s="101">
        <f>IF(COUNTIF(SelectedPrecincts[Batch Name],SamplingData[[#This Row],[Batch by Type (p)]]) &lt;&gt; 0, COUNTIF(SelectedPrecincts[Batch Name],SamplingData[[#This Row],[Batch by Type (p)]]), 0)</f>
        <v>0</v>
      </c>
    </row>
    <row r="267" spans="1:36" ht="15" customHeight="1" x14ac:dyDescent="0.35">
      <c r="A267" s="98" t="s">
        <v>479</v>
      </c>
      <c r="B267" s="98">
        <v>5</v>
      </c>
      <c r="C267" s="98">
        <v>2</v>
      </c>
      <c r="D267" s="93"/>
      <c r="E267" s="93"/>
      <c r="F267" s="93"/>
      <c r="G267" s="97"/>
      <c r="H267" s="97"/>
      <c r="I267" s="93"/>
      <c r="J267" s="93"/>
      <c r="K267" s="93"/>
      <c r="L267" s="93"/>
      <c r="M267" s="93"/>
      <c r="N267" s="98">
        <v>0</v>
      </c>
      <c r="O267" s="98">
        <v>1</v>
      </c>
      <c r="P267" s="99">
        <f>SUM(SamplingData[[#This Row],[Winning Candidate]:[Under Votes]])</f>
        <v>8</v>
      </c>
      <c r="Q267"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267" s="100">
        <f>IF(AND(SamplingData[[#This Row],[Total]]&lt;&gt; 0, NOT(ISBLANK(SamplingData[[#This Row],[Candidate 3]]))),(SamplingData[[#This Row],[Total]]+SamplingData[[#This Row],[Winning Candidate]]-SamplingData[[#This Row],[Candidate 3]])/(SamplingData[[#Totals],[Winning Candidate]]-SamplingData[[#Totals],[Candidate 3]]), 0)</f>
        <v>0</v>
      </c>
      <c r="S267" s="100">
        <f>IF(AND(SamplingData[[#This Row],[Total]]&lt;&gt; 0, NOT(ISBLANK(SamplingData[[#This Row],[Candidate 4]]))),(SamplingData[[#This Row],[Total]]+SamplingData[[#This Row],[Winning Candidate]]-SamplingData[[#This Row],[Candidate 4]])/(SamplingData[[#Totals],[Winning Candidate]]-SamplingData[[#Totals],[Candidate 4]]), 0)</f>
        <v>0</v>
      </c>
      <c r="T267" s="100">
        <f>IF(AND(SamplingData[[#This Row],[Total]]&lt;&gt; 0, NOT(ISBLANK(SamplingData[[#This Row],[Candidate 5]]))),(SamplingData[[#This Row],[Total]]+SamplingData[[#This Row],[Winning Candidate]]-SamplingData[[#This Row],[Candidate 5]])/(SamplingData[[#Totals],[Winning Candidate]]-SamplingData[[#Totals],[Candidate 5]]), 0)</f>
        <v>0</v>
      </c>
      <c r="U267" s="100">
        <f>IF(AND(SamplingData[[#This Row],[Total]]&lt;&gt; 0, NOT(ISBLANK(SamplingData[[#This Row],[Candidate 6]]))),(SamplingData[[#This Row],[Total]]+SamplingData[[#This Row],[Losing Candidate]]-SamplingData[[#This Row],[Candidate 6]])/(SamplingData[[#Totals],[Winning Candidate]]-SamplingData[[#Totals],[Candidate 6]]), 0)</f>
        <v>0</v>
      </c>
      <c r="V267" s="100">
        <f>IF(AND(SamplingData[[#This Row],[Total]]&lt;&gt; 0, NOT(ISBLANK(SamplingData[[#This Row],[Candidate 7]]))),(SamplingData[[#This Row],[Total]]+SamplingData[[#This Row],[Winning Candidate]]-SamplingData[[#This Row],[Candidate 7]])/(SamplingData[[#Totals],[Winning Candidate]]-SamplingData[[#Totals],[Candidate 7]]), 0)</f>
        <v>0</v>
      </c>
      <c r="W267" s="100">
        <f>IF(AND(SamplingData[[#This Row],[Total]]&lt;&gt; 0, NOT(ISBLANK(SamplingData[[#This Row],[Candidate 8]]))),(SamplingData[[#This Row],[Total]]+SamplingData[[#This Row],[Winning Candidate]]-SamplingData[[#This Row],[Candidate 8]])/(SamplingData[[#Totals],[Winning Candidate]]-SamplingData[[#Totals],[Candidate 8]]), 0)</f>
        <v>0</v>
      </c>
      <c r="X2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00">
        <f>MAX(SamplingData[[#This Row],[Error Bound (up) - Max. possible relative overstatement - Losing Candidate]:[Error Bound (up) - Max. possible relative overstatement - Candidate 12]])</f>
        <v>3.4550994126331E-4</v>
      </c>
      <c r="AC267" s="100">
        <f>IF(SamplingData[[#This Row],[Max Error Bound (up)]] = 0,0,SamplingData[[#This Row],[Max Error Bound (up)]]/SamplingData[[#Totals],[Max Error Bound (up)]])</f>
        <v>1.4806439455123033E-4</v>
      </c>
      <c r="AD267" s="104">
        <f>SUM($AC$5:AC267)</f>
        <v>4.6330695095030454E-2</v>
      </c>
      <c r="AE267" s="100" t="str" cm="1">
        <f t="array" ref="AE267">IF(SamplingData[[#This Row],[up/U Selection Probability]] = 0, "Zero", TEXT(SamplingData[[#This Row],[Lower Range]], REPT("0",LEN('General Info'!$B$42))) &amp; " - " &amp; TEXT(SamplingData[[#This Row],[Upper Range]], REPT("0",LEN('General Info'!$B$42))))</f>
        <v>04618 - 04632</v>
      </c>
      <c r="AF267" s="100">
        <f>SamplingData[[#This Row],[Upper Range]]-SamplingData[[#This Row],[Span]]</f>
        <v>4618.2630700479222</v>
      </c>
      <c r="AG267" s="100">
        <f>IF(ISNUMBER('General Info'!$B$42), ((SamplingData[[#This Row],[up/U Selection Probability]]) * 'General Info'!$B$44) - 1, 0)</f>
        <v>13.806439455123034</v>
      </c>
      <c r="AH267" s="100">
        <f>IF(ISNUMBER('General Info'!$B$42), (SamplingData[[#This Row],[Running (cumulative) sum]] * ('General Info'!$B$42 -'General Info'!$B$43 + 1)) + 'General Info'!$B$43 - 1, 0)</f>
        <v>4632.0695095030451</v>
      </c>
      <c r="AI267" s="100" t="str">
        <f>IF(ISERROR(MATCH(SamplingData[[#This Row],[Batch by Type (p)]],SelectedPrecincts[Batch Name], 0)), "", INDEX(SelectedPrecincts[Draw], MATCH(SamplingData[[#This Row],[Batch by Type (p)]],SelectedPrecincts[Batch Name], 0)))</f>
        <v/>
      </c>
      <c r="AJ267" s="101">
        <f>IF(COUNTIF(SelectedPrecincts[Batch Name],SamplingData[[#This Row],[Batch by Type (p)]]) &lt;&gt; 0, COUNTIF(SelectedPrecincts[Batch Name],SamplingData[[#This Row],[Batch by Type (p)]]), 0)</f>
        <v>0</v>
      </c>
    </row>
    <row r="268" spans="1:36" ht="15" customHeight="1" x14ac:dyDescent="0.35">
      <c r="A268" s="98" t="s">
        <v>480</v>
      </c>
      <c r="B268" s="98">
        <v>2</v>
      </c>
      <c r="C268" s="98">
        <v>0</v>
      </c>
      <c r="D268" s="93"/>
      <c r="E268" s="93"/>
      <c r="F268" s="93"/>
      <c r="G268" s="97"/>
      <c r="H268" s="97"/>
      <c r="I268" s="93"/>
      <c r="J268" s="93"/>
      <c r="K268" s="93"/>
      <c r="L268" s="93"/>
      <c r="M268" s="93"/>
      <c r="N268" s="98">
        <v>0</v>
      </c>
      <c r="O268" s="98">
        <v>0</v>
      </c>
      <c r="P268" s="99">
        <f>SUM(SamplingData[[#This Row],[Winning Candidate]:[Under Votes]])</f>
        <v>2</v>
      </c>
      <c r="Q268"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268" s="100">
        <f>IF(AND(SamplingData[[#This Row],[Total]]&lt;&gt; 0, NOT(ISBLANK(SamplingData[[#This Row],[Candidate 3]]))),(SamplingData[[#This Row],[Total]]+SamplingData[[#This Row],[Winning Candidate]]-SamplingData[[#This Row],[Candidate 3]])/(SamplingData[[#Totals],[Winning Candidate]]-SamplingData[[#Totals],[Candidate 3]]), 0)</f>
        <v>0</v>
      </c>
      <c r="S268" s="100">
        <f>IF(AND(SamplingData[[#This Row],[Total]]&lt;&gt; 0, NOT(ISBLANK(SamplingData[[#This Row],[Candidate 4]]))),(SamplingData[[#This Row],[Total]]+SamplingData[[#This Row],[Winning Candidate]]-SamplingData[[#This Row],[Candidate 4]])/(SamplingData[[#Totals],[Winning Candidate]]-SamplingData[[#Totals],[Candidate 4]]), 0)</f>
        <v>0</v>
      </c>
      <c r="T268" s="100">
        <f>IF(AND(SamplingData[[#This Row],[Total]]&lt;&gt; 0, NOT(ISBLANK(SamplingData[[#This Row],[Candidate 5]]))),(SamplingData[[#This Row],[Total]]+SamplingData[[#This Row],[Winning Candidate]]-SamplingData[[#This Row],[Candidate 5]])/(SamplingData[[#Totals],[Winning Candidate]]-SamplingData[[#Totals],[Candidate 5]]), 0)</f>
        <v>0</v>
      </c>
      <c r="U268" s="100">
        <f>IF(AND(SamplingData[[#This Row],[Total]]&lt;&gt; 0, NOT(ISBLANK(SamplingData[[#This Row],[Candidate 6]]))),(SamplingData[[#This Row],[Total]]+SamplingData[[#This Row],[Losing Candidate]]-SamplingData[[#This Row],[Candidate 6]])/(SamplingData[[#Totals],[Winning Candidate]]-SamplingData[[#Totals],[Candidate 6]]), 0)</f>
        <v>0</v>
      </c>
      <c r="V268" s="100">
        <f>IF(AND(SamplingData[[#This Row],[Total]]&lt;&gt; 0, NOT(ISBLANK(SamplingData[[#This Row],[Candidate 7]]))),(SamplingData[[#This Row],[Total]]+SamplingData[[#This Row],[Winning Candidate]]-SamplingData[[#This Row],[Candidate 7]])/(SamplingData[[#Totals],[Winning Candidate]]-SamplingData[[#Totals],[Candidate 7]]), 0)</f>
        <v>0</v>
      </c>
      <c r="W268" s="100">
        <f>IF(AND(SamplingData[[#This Row],[Total]]&lt;&gt; 0, NOT(ISBLANK(SamplingData[[#This Row],[Candidate 8]]))),(SamplingData[[#This Row],[Total]]+SamplingData[[#This Row],[Winning Candidate]]-SamplingData[[#This Row],[Candidate 8]])/(SamplingData[[#Totals],[Winning Candidate]]-SamplingData[[#Totals],[Candidate 8]]), 0)</f>
        <v>0</v>
      </c>
      <c r="X2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00">
        <f>MAX(SamplingData[[#This Row],[Error Bound (up) - Max. possible relative overstatement - Losing Candidate]:[Error Bound (up) - Max. possible relative overstatement - Candidate 12]])</f>
        <v>1.2563997864120362E-4</v>
      </c>
      <c r="AC268" s="100">
        <f>IF(SamplingData[[#This Row],[Max Error Bound (up)]] = 0,0,SamplingData[[#This Row],[Max Error Bound (up)]]/SamplingData[[#Totals],[Max Error Bound (up)]])</f>
        <v>5.3841598018629206E-5</v>
      </c>
      <c r="AD268" s="104">
        <f>SUM($AC$5:AC268)</f>
        <v>4.638453669304908E-2</v>
      </c>
      <c r="AE268" s="100" t="str" cm="1">
        <f t="array" ref="AE268">IF(SamplingData[[#This Row],[up/U Selection Probability]] = 0, "Zero", TEXT(SamplingData[[#This Row],[Lower Range]], REPT("0",LEN('General Info'!$B$42))) &amp; " - " &amp; TEXT(SamplingData[[#This Row],[Upper Range]], REPT("0",LEN('General Info'!$B$42))))</f>
        <v>04633 - 04637</v>
      </c>
      <c r="AF268" s="100">
        <f>SamplingData[[#This Row],[Upper Range]]-SamplingData[[#This Row],[Span]]</f>
        <v>4633.0695095030451</v>
      </c>
      <c r="AG268" s="100">
        <f>IF(ISNUMBER('General Info'!$B$42), ((SamplingData[[#This Row],[up/U Selection Probability]]) * 'General Info'!$B$44) - 1, 0)</f>
        <v>4.3841598018629204</v>
      </c>
      <c r="AH268" s="100">
        <f>IF(ISNUMBER('General Info'!$B$42), (SamplingData[[#This Row],[Running (cumulative) sum]] * ('General Info'!$B$42 -'General Info'!$B$43 + 1)) + 'General Info'!$B$43 - 1, 0)</f>
        <v>4637.4536693049076</v>
      </c>
      <c r="AI268" s="100" t="str">
        <f>IF(ISERROR(MATCH(SamplingData[[#This Row],[Batch by Type (p)]],SelectedPrecincts[Batch Name], 0)), "", INDEX(SelectedPrecincts[Draw], MATCH(SamplingData[[#This Row],[Batch by Type (p)]],SelectedPrecincts[Batch Name], 0)))</f>
        <v/>
      </c>
      <c r="AJ268" s="101">
        <f>IF(COUNTIF(SelectedPrecincts[Batch Name],SamplingData[[#This Row],[Batch by Type (p)]]) &lt;&gt; 0, COUNTIF(SelectedPrecincts[Batch Name],SamplingData[[#This Row],[Batch by Type (p)]]), 0)</f>
        <v>0</v>
      </c>
    </row>
    <row r="269" spans="1:36" ht="15" customHeight="1" x14ac:dyDescent="0.35">
      <c r="A269" s="98" t="s">
        <v>481</v>
      </c>
      <c r="B269" s="98">
        <v>0</v>
      </c>
      <c r="C269" s="98">
        <v>0</v>
      </c>
      <c r="D269" s="93"/>
      <c r="E269" s="93"/>
      <c r="F269" s="93"/>
      <c r="G269" s="97"/>
      <c r="H269" s="97"/>
      <c r="I269" s="93"/>
      <c r="J269" s="93"/>
      <c r="K269" s="93"/>
      <c r="L269" s="93"/>
      <c r="M269" s="93"/>
      <c r="N269" s="98">
        <v>0</v>
      </c>
      <c r="O269" s="98">
        <v>0</v>
      </c>
      <c r="P269" s="99">
        <f>SUM(SamplingData[[#This Row],[Winning Candidate]:[Under Votes]])</f>
        <v>0</v>
      </c>
      <c r="Q269" s="100">
        <f>IF(AND(SamplingData[[#This Row],[Total]]&lt;&gt; 0, NOT(ISBLANK(SamplingData[[#This Row],[Losing Candidate]]))),(SamplingData[[#This Row],[Total]]+SamplingData[[#This Row],[Winning Candidate]]-SamplingData[[#This Row],[Losing Candidate]])/(SamplingData[[#Totals],[Winning Candidate]]-SamplingData[[#Totals],[Losing Candidate]]), 0)</f>
        <v>0</v>
      </c>
      <c r="R269" s="100">
        <f>IF(AND(SamplingData[[#This Row],[Total]]&lt;&gt; 0, NOT(ISBLANK(SamplingData[[#This Row],[Candidate 3]]))),(SamplingData[[#This Row],[Total]]+SamplingData[[#This Row],[Winning Candidate]]-SamplingData[[#This Row],[Candidate 3]])/(SamplingData[[#Totals],[Winning Candidate]]-SamplingData[[#Totals],[Candidate 3]]), 0)</f>
        <v>0</v>
      </c>
      <c r="S269" s="100">
        <f>IF(AND(SamplingData[[#This Row],[Total]]&lt;&gt; 0, NOT(ISBLANK(SamplingData[[#This Row],[Candidate 4]]))),(SamplingData[[#This Row],[Total]]+SamplingData[[#This Row],[Winning Candidate]]-SamplingData[[#This Row],[Candidate 4]])/(SamplingData[[#Totals],[Winning Candidate]]-SamplingData[[#Totals],[Candidate 4]]), 0)</f>
        <v>0</v>
      </c>
      <c r="T269" s="100">
        <f>IF(AND(SamplingData[[#This Row],[Total]]&lt;&gt; 0, NOT(ISBLANK(SamplingData[[#This Row],[Candidate 5]]))),(SamplingData[[#This Row],[Total]]+SamplingData[[#This Row],[Winning Candidate]]-SamplingData[[#This Row],[Candidate 5]])/(SamplingData[[#Totals],[Winning Candidate]]-SamplingData[[#Totals],[Candidate 5]]), 0)</f>
        <v>0</v>
      </c>
      <c r="U269" s="100">
        <f>IF(AND(SamplingData[[#This Row],[Total]]&lt;&gt; 0, NOT(ISBLANK(SamplingData[[#This Row],[Candidate 6]]))),(SamplingData[[#This Row],[Total]]+SamplingData[[#This Row],[Losing Candidate]]-SamplingData[[#This Row],[Candidate 6]])/(SamplingData[[#Totals],[Winning Candidate]]-SamplingData[[#Totals],[Candidate 6]]), 0)</f>
        <v>0</v>
      </c>
      <c r="V269" s="100">
        <f>IF(AND(SamplingData[[#This Row],[Total]]&lt;&gt; 0, NOT(ISBLANK(SamplingData[[#This Row],[Candidate 7]]))),(SamplingData[[#This Row],[Total]]+SamplingData[[#This Row],[Winning Candidate]]-SamplingData[[#This Row],[Candidate 7]])/(SamplingData[[#Totals],[Winning Candidate]]-SamplingData[[#Totals],[Candidate 7]]), 0)</f>
        <v>0</v>
      </c>
      <c r="W269" s="100">
        <f>IF(AND(SamplingData[[#This Row],[Total]]&lt;&gt; 0, NOT(ISBLANK(SamplingData[[#This Row],[Candidate 8]]))),(SamplingData[[#This Row],[Total]]+SamplingData[[#This Row],[Winning Candidate]]-SamplingData[[#This Row],[Candidate 8]])/(SamplingData[[#Totals],[Winning Candidate]]-SamplingData[[#Totals],[Candidate 8]]), 0)</f>
        <v>0</v>
      </c>
      <c r="X2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00">
        <f>MAX(SamplingData[[#This Row],[Error Bound (up) - Max. possible relative overstatement - Losing Candidate]:[Error Bound (up) - Max. possible relative overstatement - Candidate 12]])</f>
        <v>0</v>
      </c>
      <c r="AC269" s="100">
        <f>IF(SamplingData[[#This Row],[Max Error Bound (up)]] = 0,0,SamplingData[[#This Row],[Max Error Bound (up)]]/SamplingData[[#Totals],[Max Error Bound (up)]])</f>
        <v>0</v>
      </c>
      <c r="AD269" s="104">
        <f>SUM($AC$5:AC269)</f>
        <v>4.638453669304908E-2</v>
      </c>
      <c r="AE269" s="100" t="str" cm="1">
        <f t="array" ref="AE269">IF(SamplingData[[#This Row],[up/U Selection Probability]] = 0, "Zero", TEXT(SamplingData[[#This Row],[Lower Range]], REPT("0",LEN('General Info'!$B$42))) &amp; " - " &amp; TEXT(SamplingData[[#This Row],[Upper Range]], REPT("0",LEN('General Info'!$B$42))))</f>
        <v>Zero</v>
      </c>
      <c r="AF269" s="100">
        <f>SamplingData[[#This Row],[Upper Range]]-SamplingData[[#This Row],[Span]]</f>
        <v>4638.4536693049076</v>
      </c>
      <c r="AG269" s="100">
        <f>IF(ISNUMBER('General Info'!$B$42), ((SamplingData[[#This Row],[up/U Selection Probability]]) * 'General Info'!$B$44) - 1, 0)</f>
        <v>-1</v>
      </c>
      <c r="AH269" s="100">
        <f>IF(ISNUMBER('General Info'!$B$42), (SamplingData[[#This Row],[Running (cumulative) sum]] * ('General Info'!$B$42 -'General Info'!$B$43 + 1)) + 'General Info'!$B$43 - 1, 0)</f>
        <v>4637.4536693049076</v>
      </c>
      <c r="AI269" s="100" t="str">
        <f>IF(ISERROR(MATCH(SamplingData[[#This Row],[Batch by Type (p)]],SelectedPrecincts[Batch Name], 0)), "", INDEX(SelectedPrecincts[Draw], MATCH(SamplingData[[#This Row],[Batch by Type (p)]],SelectedPrecincts[Batch Name], 0)))</f>
        <v/>
      </c>
      <c r="AJ269" s="101">
        <f>IF(COUNTIF(SelectedPrecincts[Batch Name],SamplingData[[#This Row],[Batch by Type (p)]]) &lt;&gt; 0, COUNTIF(SelectedPrecincts[Batch Name],SamplingData[[#This Row],[Batch by Type (p)]]), 0)</f>
        <v>0</v>
      </c>
    </row>
    <row r="270" spans="1:36" ht="15" customHeight="1" x14ac:dyDescent="0.35">
      <c r="A270" s="98" t="s">
        <v>482</v>
      </c>
      <c r="B270" s="98">
        <v>7</v>
      </c>
      <c r="C270" s="98">
        <v>0</v>
      </c>
      <c r="D270" s="93"/>
      <c r="E270" s="93"/>
      <c r="F270" s="93"/>
      <c r="G270" s="97"/>
      <c r="H270" s="97"/>
      <c r="I270" s="93"/>
      <c r="J270" s="93"/>
      <c r="K270" s="93"/>
      <c r="L270" s="93"/>
      <c r="M270" s="93"/>
      <c r="N270" s="98">
        <v>0</v>
      </c>
      <c r="O270" s="98">
        <v>0</v>
      </c>
      <c r="P270" s="99">
        <f>SUM(SamplingData[[#This Row],[Winning Candidate]:[Under Votes]])</f>
        <v>7</v>
      </c>
      <c r="Q270"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270" s="100">
        <f>IF(AND(SamplingData[[#This Row],[Total]]&lt;&gt; 0, NOT(ISBLANK(SamplingData[[#This Row],[Candidate 3]]))),(SamplingData[[#This Row],[Total]]+SamplingData[[#This Row],[Winning Candidate]]-SamplingData[[#This Row],[Candidate 3]])/(SamplingData[[#Totals],[Winning Candidate]]-SamplingData[[#Totals],[Candidate 3]]), 0)</f>
        <v>0</v>
      </c>
      <c r="S270" s="100">
        <f>IF(AND(SamplingData[[#This Row],[Total]]&lt;&gt; 0, NOT(ISBLANK(SamplingData[[#This Row],[Candidate 4]]))),(SamplingData[[#This Row],[Total]]+SamplingData[[#This Row],[Winning Candidate]]-SamplingData[[#This Row],[Candidate 4]])/(SamplingData[[#Totals],[Winning Candidate]]-SamplingData[[#Totals],[Candidate 4]]), 0)</f>
        <v>0</v>
      </c>
      <c r="T270" s="100">
        <f>IF(AND(SamplingData[[#This Row],[Total]]&lt;&gt; 0, NOT(ISBLANK(SamplingData[[#This Row],[Candidate 5]]))),(SamplingData[[#This Row],[Total]]+SamplingData[[#This Row],[Winning Candidate]]-SamplingData[[#This Row],[Candidate 5]])/(SamplingData[[#Totals],[Winning Candidate]]-SamplingData[[#Totals],[Candidate 5]]), 0)</f>
        <v>0</v>
      </c>
      <c r="U270" s="100">
        <f>IF(AND(SamplingData[[#This Row],[Total]]&lt;&gt; 0, NOT(ISBLANK(SamplingData[[#This Row],[Candidate 6]]))),(SamplingData[[#This Row],[Total]]+SamplingData[[#This Row],[Losing Candidate]]-SamplingData[[#This Row],[Candidate 6]])/(SamplingData[[#Totals],[Winning Candidate]]-SamplingData[[#Totals],[Candidate 6]]), 0)</f>
        <v>0</v>
      </c>
      <c r="V270" s="100">
        <f>IF(AND(SamplingData[[#This Row],[Total]]&lt;&gt; 0, NOT(ISBLANK(SamplingData[[#This Row],[Candidate 7]]))),(SamplingData[[#This Row],[Total]]+SamplingData[[#This Row],[Winning Candidate]]-SamplingData[[#This Row],[Candidate 7]])/(SamplingData[[#Totals],[Winning Candidate]]-SamplingData[[#Totals],[Candidate 7]]), 0)</f>
        <v>0</v>
      </c>
      <c r="W270" s="100">
        <f>IF(AND(SamplingData[[#This Row],[Total]]&lt;&gt; 0, NOT(ISBLANK(SamplingData[[#This Row],[Candidate 8]]))),(SamplingData[[#This Row],[Total]]+SamplingData[[#This Row],[Winning Candidate]]-SamplingData[[#This Row],[Candidate 8]])/(SamplingData[[#Totals],[Winning Candidate]]-SamplingData[[#Totals],[Candidate 8]]), 0)</f>
        <v>0</v>
      </c>
      <c r="X2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00">
        <f>MAX(SamplingData[[#This Row],[Error Bound (up) - Max. possible relative overstatement - Losing Candidate]:[Error Bound (up) - Max. possible relative overstatement - Candidate 12]])</f>
        <v>4.3973992524421271E-4</v>
      </c>
      <c r="AC270" s="100">
        <f>IF(SamplingData[[#This Row],[Max Error Bound (up)]] = 0,0,SamplingData[[#This Row],[Max Error Bound (up)]]/SamplingData[[#Totals],[Max Error Bound (up)]])</f>
        <v>1.8844559306520223E-4</v>
      </c>
      <c r="AD270" s="104">
        <f>SUM($AC$5:AC270)</f>
        <v>4.6572982286114284E-2</v>
      </c>
      <c r="AE270" s="100" t="str" cm="1">
        <f t="array" ref="AE270">IF(SamplingData[[#This Row],[up/U Selection Probability]] = 0, "Zero", TEXT(SamplingData[[#This Row],[Lower Range]], REPT("0",LEN('General Info'!$B$42))) &amp; " - " &amp; TEXT(SamplingData[[#This Row],[Upper Range]], REPT("0",LEN('General Info'!$B$42))))</f>
        <v>04638 - 04656</v>
      </c>
      <c r="AF270" s="100">
        <f>SamplingData[[#This Row],[Upper Range]]-SamplingData[[#This Row],[Span]]</f>
        <v>4638.4536693049085</v>
      </c>
      <c r="AG270" s="100">
        <f>IF(ISNUMBER('General Info'!$B$42), ((SamplingData[[#This Row],[up/U Selection Probability]]) * 'General Info'!$B$44) - 1, 0)</f>
        <v>17.844559306520225</v>
      </c>
      <c r="AH270" s="100">
        <f>IF(ISNUMBER('General Info'!$B$42), (SamplingData[[#This Row],[Running (cumulative) sum]] * ('General Info'!$B$42 -'General Info'!$B$43 + 1)) + 'General Info'!$B$43 - 1, 0)</f>
        <v>4656.2982286114284</v>
      </c>
      <c r="AI270" s="100" t="str">
        <f>IF(ISERROR(MATCH(SamplingData[[#This Row],[Batch by Type (p)]],SelectedPrecincts[Batch Name], 0)), "", INDEX(SelectedPrecincts[Draw], MATCH(SamplingData[[#This Row],[Batch by Type (p)]],SelectedPrecincts[Batch Name], 0)))</f>
        <v/>
      </c>
      <c r="AJ270" s="101">
        <f>IF(COUNTIF(SelectedPrecincts[Batch Name],SamplingData[[#This Row],[Batch by Type (p)]]) &lt;&gt; 0, COUNTIF(SelectedPrecincts[Batch Name],SamplingData[[#This Row],[Batch by Type (p)]]), 0)</f>
        <v>0</v>
      </c>
    </row>
    <row r="271" spans="1:36" ht="15" customHeight="1" x14ac:dyDescent="0.35">
      <c r="A271" s="98" t="s">
        <v>483</v>
      </c>
      <c r="B271" s="98">
        <v>4</v>
      </c>
      <c r="C271" s="98">
        <v>0</v>
      </c>
      <c r="D271" s="93"/>
      <c r="E271" s="93"/>
      <c r="F271" s="93"/>
      <c r="G271" s="97"/>
      <c r="H271" s="97"/>
      <c r="I271" s="93"/>
      <c r="J271" s="93"/>
      <c r="K271" s="93"/>
      <c r="L271" s="93"/>
      <c r="M271" s="93"/>
      <c r="N271" s="98">
        <v>0</v>
      </c>
      <c r="O271" s="98">
        <v>0</v>
      </c>
      <c r="P271" s="99">
        <f>SUM(SamplingData[[#This Row],[Winning Candidate]:[Under Votes]])</f>
        <v>4</v>
      </c>
      <c r="Q271"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271" s="100">
        <f>IF(AND(SamplingData[[#This Row],[Total]]&lt;&gt; 0, NOT(ISBLANK(SamplingData[[#This Row],[Candidate 3]]))),(SamplingData[[#This Row],[Total]]+SamplingData[[#This Row],[Winning Candidate]]-SamplingData[[#This Row],[Candidate 3]])/(SamplingData[[#Totals],[Winning Candidate]]-SamplingData[[#Totals],[Candidate 3]]), 0)</f>
        <v>0</v>
      </c>
      <c r="S271" s="100">
        <f>IF(AND(SamplingData[[#This Row],[Total]]&lt;&gt; 0, NOT(ISBLANK(SamplingData[[#This Row],[Candidate 4]]))),(SamplingData[[#This Row],[Total]]+SamplingData[[#This Row],[Winning Candidate]]-SamplingData[[#This Row],[Candidate 4]])/(SamplingData[[#Totals],[Winning Candidate]]-SamplingData[[#Totals],[Candidate 4]]), 0)</f>
        <v>0</v>
      </c>
      <c r="T271" s="100">
        <f>IF(AND(SamplingData[[#This Row],[Total]]&lt;&gt; 0, NOT(ISBLANK(SamplingData[[#This Row],[Candidate 5]]))),(SamplingData[[#This Row],[Total]]+SamplingData[[#This Row],[Winning Candidate]]-SamplingData[[#This Row],[Candidate 5]])/(SamplingData[[#Totals],[Winning Candidate]]-SamplingData[[#Totals],[Candidate 5]]), 0)</f>
        <v>0</v>
      </c>
      <c r="U271" s="100">
        <f>IF(AND(SamplingData[[#This Row],[Total]]&lt;&gt; 0, NOT(ISBLANK(SamplingData[[#This Row],[Candidate 6]]))),(SamplingData[[#This Row],[Total]]+SamplingData[[#This Row],[Losing Candidate]]-SamplingData[[#This Row],[Candidate 6]])/(SamplingData[[#Totals],[Winning Candidate]]-SamplingData[[#Totals],[Candidate 6]]), 0)</f>
        <v>0</v>
      </c>
      <c r="V271" s="100">
        <f>IF(AND(SamplingData[[#This Row],[Total]]&lt;&gt; 0, NOT(ISBLANK(SamplingData[[#This Row],[Candidate 7]]))),(SamplingData[[#This Row],[Total]]+SamplingData[[#This Row],[Winning Candidate]]-SamplingData[[#This Row],[Candidate 7]])/(SamplingData[[#Totals],[Winning Candidate]]-SamplingData[[#Totals],[Candidate 7]]), 0)</f>
        <v>0</v>
      </c>
      <c r="W271" s="100">
        <f>IF(AND(SamplingData[[#This Row],[Total]]&lt;&gt; 0, NOT(ISBLANK(SamplingData[[#This Row],[Candidate 8]]))),(SamplingData[[#This Row],[Total]]+SamplingData[[#This Row],[Winning Candidate]]-SamplingData[[#This Row],[Candidate 8]])/(SamplingData[[#Totals],[Winning Candidate]]-SamplingData[[#Totals],[Candidate 8]]), 0)</f>
        <v>0</v>
      </c>
      <c r="X2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00">
        <f>MAX(SamplingData[[#This Row],[Error Bound (up) - Max. possible relative overstatement - Losing Candidate]:[Error Bound (up) - Max. possible relative overstatement - Candidate 12]])</f>
        <v>2.5127995728240724E-4</v>
      </c>
      <c r="AC271" s="100">
        <f>IF(SamplingData[[#This Row],[Max Error Bound (up)]] = 0,0,SamplingData[[#This Row],[Max Error Bound (up)]]/SamplingData[[#Totals],[Max Error Bound (up)]])</f>
        <v>1.0768319603725841E-4</v>
      </c>
      <c r="AD271" s="104">
        <f>SUM($AC$5:AC271)</f>
        <v>4.6680665482151544E-2</v>
      </c>
      <c r="AE271" s="100" t="str" cm="1">
        <f t="array" ref="AE271">IF(SamplingData[[#This Row],[up/U Selection Probability]] = 0, "Zero", TEXT(SamplingData[[#This Row],[Lower Range]], REPT("0",LEN('General Info'!$B$42))) &amp; " - " &amp; TEXT(SamplingData[[#This Row],[Upper Range]], REPT("0",LEN('General Info'!$B$42))))</f>
        <v>04657 - 04667</v>
      </c>
      <c r="AF271" s="100">
        <f>SamplingData[[#This Row],[Upper Range]]-SamplingData[[#This Row],[Span]]</f>
        <v>4657.2982286114284</v>
      </c>
      <c r="AG271" s="100">
        <f>IF(ISNUMBER('General Info'!$B$42), ((SamplingData[[#This Row],[up/U Selection Probability]]) * 'General Info'!$B$44) - 1, 0)</f>
        <v>9.7683196037258408</v>
      </c>
      <c r="AH271" s="100">
        <f>IF(ISNUMBER('General Info'!$B$42), (SamplingData[[#This Row],[Running (cumulative) sum]] * ('General Info'!$B$42 -'General Info'!$B$43 + 1)) + 'General Info'!$B$43 - 1, 0)</f>
        <v>4667.0665482151544</v>
      </c>
      <c r="AI271" s="100" t="str">
        <f>IF(ISERROR(MATCH(SamplingData[[#This Row],[Batch by Type (p)]],SelectedPrecincts[Batch Name], 0)), "", INDEX(SelectedPrecincts[Draw], MATCH(SamplingData[[#This Row],[Batch by Type (p)]],SelectedPrecincts[Batch Name], 0)))</f>
        <v/>
      </c>
      <c r="AJ271" s="101">
        <f>IF(COUNTIF(SelectedPrecincts[Batch Name],SamplingData[[#This Row],[Batch by Type (p)]]) &lt;&gt; 0, COUNTIF(SelectedPrecincts[Batch Name],SamplingData[[#This Row],[Batch by Type (p)]]), 0)</f>
        <v>0</v>
      </c>
    </row>
    <row r="272" spans="1:36" ht="15" customHeight="1" x14ac:dyDescent="0.35">
      <c r="A272" s="98" t="s">
        <v>484</v>
      </c>
      <c r="B272" s="98">
        <v>6</v>
      </c>
      <c r="C272" s="98">
        <v>0</v>
      </c>
      <c r="D272" s="93"/>
      <c r="E272" s="93"/>
      <c r="F272" s="93"/>
      <c r="G272" s="97"/>
      <c r="H272" s="97"/>
      <c r="I272" s="93"/>
      <c r="J272" s="93"/>
      <c r="K272" s="93"/>
      <c r="L272" s="93"/>
      <c r="M272" s="93"/>
      <c r="N272" s="98">
        <v>0</v>
      </c>
      <c r="O272" s="98">
        <v>0</v>
      </c>
      <c r="P272" s="99">
        <f>SUM(SamplingData[[#This Row],[Winning Candidate]:[Under Votes]])</f>
        <v>6</v>
      </c>
      <c r="Q272"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72" s="100">
        <f>IF(AND(SamplingData[[#This Row],[Total]]&lt;&gt; 0, NOT(ISBLANK(SamplingData[[#This Row],[Candidate 3]]))),(SamplingData[[#This Row],[Total]]+SamplingData[[#This Row],[Winning Candidate]]-SamplingData[[#This Row],[Candidate 3]])/(SamplingData[[#Totals],[Winning Candidate]]-SamplingData[[#Totals],[Candidate 3]]), 0)</f>
        <v>0</v>
      </c>
      <c r="S272" s="100">
        <f>IF(AND(SamplingData[[#This Row],[Total]]&lt;&gt; 0, NOT(ISBLANK(SamplingData[[#This Row],[Candidate 4]]))),(SamplingData[[#This Row],[Total]]+SamplingData[[#This Row],[Winning Candidate]]-SamplingData[[#This Row],[Candidate 4]])/(SamplingData[[#Totals],[Winning Candidate]]-SamplingData[[#Totals],[Candidate 4]]), 0)</f>
        <v>0</v>
      </c>
      <c r="T272" s="100">
        <f>IF(AND(SamplingData[[#This Row],[Total]]&lt;&gt; 0, NOT(ISBLANK(SamplingData[[#This Row],[Candidate 5]]))),(SamplingData[[#This Row],[Total]]+SamplingData[[#This Row],[Winning Candidate]]-SamplingData[[#This Row],[Candidate 5]])/(SamplingData[[#Totals],[Winning Candidate]]-SamplingData[[#Totals],[Candidate 5]]), 0)</f>
        <v>0</v>
      </c>
      <c r="U272" s="100">
        <f>IF(AND(SamplingData[[#This Row],[Total]]&lt;&gt; 0, NOT(ISBLANK(SamplingData[[#This Row],[Candidate 6]]))),(SamplingData[[#This Row],[Total]]+SamplingData[[#This Row],[Losing Candidate]]-SamplingData[[#This Row],[Candidate 6]])/(SamplingData[[#Totals],[Winning Candidate]]-SamplingData[[#Totals],[Candidate 6]]), 0)</f>
        <v>0</v>
      </c>
      <c r="V272" s="100">
        <f>IF(AND(SamplingData[[#This Row],[Total]]&lt;&gt; 0, NOT(ISBLANK(SamplingData[[#This Row],[Candidate 7]]))),(SamplingData[[#This Row],[Total]]+SamplingData[[#This Row],[Winning Candidate]]-SamplingData[[#This Row],[Candidate 7]])/(SamplingData[[#Totals],[Winning Candidate]]-SamplingData[[#Totals],[Candidate 7]]), 0)</f>
        <v>0</v>
      </c>
      <c r="W272" s="100">
        <f>IF(AND(SamplingData[[#This Row],[Total]]&lt;&gt; 0, NOT(ISBLANK(SamplingData[[#This Row],[Candidate 8]]))),(SamplingData[[#This Row],[Total]]+SamplingData[[#This Row],[Winning Candidate]]-SamplingData[[#This Row],[Candidate 8]])/(SamplingData[[#Totals],[Winning Candidate]]-SamplingData[[#Totals],[Candidate 8]]), 0)</f>
        <v>0</v>
      </c>
      <c r="X2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00">
        <f>MAX(SamplingData[[#This Row],[Error Bound (up) - Max. possible relative overstatement - Losing Candidate]:[Error Bound (up) - Max. possible relative overstatement - Candidate 12]])</f>
        <v>3.7691993592361088E-4</v>
      </c>
      <c r="AC272" s="100">
        <f>IF(SamplingData[[#This Row],[Max Error Bound (up)]] = 0,0,SamplingData[[#This Row],[Max Error Bound (up)]]/SamplingData[[#Totals],[Max Error Bound (up)]])</f>
        <v>1.6152479405588763E-4</v>
      </c>
      <c r="AD272" s="104">
        <f>SUM($AC$5:AC272)</f>
        <v>4.6842190276207431E-2</v>
      </c>
      <c r="AE272" s="100" t="str" cm="1">
        <f t="array" ref="AE272">IF(SamplingData[[#This Row],[up/U Selection Probability]] = 0, "Zero", TEXT(SamplingData[[#This Row],[Lower Range]], REPT("0",LEN('General Info'!$B$42))) &amp; " - " &amp; TEXT(SamplingData[[#This Row],[Upper Range]], REPT("0",LEN('General Info'!$B$42))))</f>
        <v>04668 - 04683</v>
      </c>
      <c r="AF272" s="100">
        <f>SamplingData[[#This Row],[Upper Range]]-SamplingData[[#This Row],[Span]]</f>
        <v>4668.0665482151544</v>
      </c>
      <c r="AG272" s="100">
        <f>IF(ISNUMBER('General Info'!$B$42), ((SamplingData[[#This Row],[up/U Selection Probability]]) * 'General Info'!$B$44) - 1, 0)</f>
        <v>15.152479405588764</v>
      </c>
      <c r="AH272" s="100">
        <f>IF(ISNUMBER('General Info'!$B$42), (SamplingData[[#This Row],[Running (cumulative) sum]] * ('General Info'!$B$42 -'General Info'!$B$43 + 1)) + 'General Info'!$B$43 - 1, 0)</f>
        <v>4683.219027620743</v>
      </c>
      <c r="AI272" s="100" t="str">
        <f>IF(ISERROR(MATCH(SamplingData[[#This Row],[Batch by Type (p)]],SelectedPrecincts[Batch Name], 0)), "", INDEX(SelectedPrecincts[Draw], MATCH(SamplingData[[#This Row],[Batch by Type (p)]],SelectedPrecincts[Batch Name], 0)))</f>
        <v/>
      </c>
      <c r="AJ272" s="101">
        <f>IF(COUNTIF(SelectedPrecincts[Batch Name],SamplingData[[#This Row],[Batch by Type (p)]]) &lt;&gt; 0, COUNTIF(SelectedPrecincts[Batch Name],SamplingData[[#This Row],[Batch by Type (p)]]), 0)</f>
        <v>0</v>
      </c>
    </row>
    <row r="273" spans="1:36" ht="15" customHeight="1" x14ac:dyDescent="0.35">
      <c r="A273" s="98" t="s">
        <v>485</v>
      </c>
      <c r="B273" s="98">
        <v>9</v>
      </c>
      <c r="C273" s="98">
        <v>1</v>
      </c>
      <c r="D273" s="93"/>
      <c r="E273" s="93"/>
      <c r="F273" s="93"/>
      <c r="G273" s="97"/>
      <c r="H273" s="97"/>
      <c r="I273" s="93"/>
      <c r="J273" s="93"/>
      <c r="K273" s="93"/>
      <c r="L273" s="93"/>
      <c r="M273" s="93"/>
      <c r="N273" s="98">
        <v>0</v>
      </c>
      <c r="O273" s="98">
        <v>0</v>
      </c>
      <c r="P273" s="99">
        <f>SUM(SamplingData[[#This Row],[Winning Candidate]:[Under Votes]])</f>
        <v>10</v>
      </c>
      <c r="Q273"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273" s="100">
        <f>IF(AND(SamplingData[[#This Row],[Total]]&lt;&gt; 0, NOT(ISBLANK(SamplingData[[#This Row],[Candidate 3]]))),(SamplingData[[#This Row],[Total]]+SamplingData[[#This Row],[Winning Candidate]]-SamplingData[[#This Row],[Candidate 3]])/(SamplingData[[#Totals],[Winning Candidate]]-SamplingData[[#Totals],[Candidate 3]]), 0)</f>
        <v>0</v>
      </c>
      <c r="S273" s="100">
        <f>IF(AND(SamplingData[[#This Row],[Total]]&lt;&gt; 0, NOT(ISBLANK(SamplingData[[#This Row],[Candidate 4]]))),(SamplingData[[#This Row],[Total]]+SamplingData[[#This Row],[Winning Candidate]]-SamplingData[[#This Row],[Candidate 4]])/(SamplingData[[#Totals],[Winning Candidate]]-SamplingData[[#Totals],[Candidate 4]]), 0)</f>
        <v>0</v>
      </c>
      <c r="T273" s="100">
        <f>IF(AND(SamplingData[[#This Row],[Total]]&lt;&gt; 0, NOT(ISBLANK(SamplingData[[#This Row],[Candidate 5]]))),(SamplingData[[#This Row],[Total]]+SamplingData[[#This Row],[Winning Candidate]]-SamplingData[[#This Row],[Candidate 5]])/(SamplingData[[#Totals],[Winning Candidate]]-SamplingData[[#Totals],[Candidate 5]]), 0)</f>
        <v>0</v>
      </c>
      <c r="U273" s="100">
        <f>IF(AND(SamplingData[[#This Row],[Total]]&lt;&gt; 0, NOT(ISBLANK(SamplingData[[#This Row],[Candidate 6]]))),(SamplingData[[#This Row],[Total]]+SamplingData[[#This Row],[Losing Candidate]]-SamplingData[[#This Row],[Candidate 6]])/(SamplingData[[#Totals],[Winning Candidate]]-SamplingData[[#Totals],[Candidate 6]]), 0)</f>
        <v>0</v>
      </c>
      <c r="V273" s="100">
        <f>IF(AND(SamplingData[[#This Row],[Total]]&lt;&gt; 0, NOT(ISBLANK(SamplingData[[#This Row],[Candidate 7]]))),(SamplingData[[#This Row],[Total]]+SamplingData[[#This Row],[Winning Candidate]]-SamplingData[[#This Row],[Candidate 7]])/(SamplingData[[#Totals],[Winning Candidate]]-SamplingData[[#Totals],[Candidate 7]]), 0)</f>
        <v>0</v>
      </c>
      <c r="W273" s="100">
        <f>IF(AND(SamplingData[[#This Row],[Total]]&lt;&gt; 0, NOT(ISBLANK(SamplingData[[#This Row],[Candidate 8]]))),(SamplingData[[#This Row],[Total]]+SamplingData[[#This Row],[Winning Candidate]]-SamplingData[[#This Row],[Candidate 8]])/(SamplingData[[#Totals],[Winning Candidate]]-SamplingData[[#Totals],[Candidate 8]]), 0)</f>
        <v>0</v>
      </c>
      <c r="X2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00">
        <f>MAX(SamplingData[[#This Row],[Error Bound (up) - Max. possible relative overstatement - Losing Candidate]:[Error Bound (up) - Max. possible relative overstatement - Candidate 12]])</f>
        <v>5.6537990388541635E-4</v>
      </c>
      <c r="AC273" s="100">
        <f>IF(SamplingData[[#This Row],[Max Error Bound (up)]] = 0,0,SamplingData[[#This Row],[Max Error Bound (up)]]/SamplingData[[#Totals],[Max Error Bound (up)]])</f>
        <v>2.4228719108383145E-4</v>
      </c>
      <c r="AD273" s="104">
        <f>SUM($AC$5:AC273)</f>
        <v>4.7084477467291261E-2</v>
      </c>
      <c r="AE273" s="100" t="str" cm="1">
        <f t="array" ref="AE273">IF(SamplingData[[#This Row],[up/U Selection Probability]] = 0, "Zero", TEXT(SamplingData[[#This Row],[Lower Range]], REPT("0",LEN('General Info'!$B$42))) &amp; " - " &amp; TEXT(SamplingData[[#This Row],[Upper Range]], REPT("0",LEN('General Info'!$B$42))))</f>
        <v>04684 - 04707</v>
      </c>
      <c r="AF273" s="100">
        <f>SamplingData[[#This Row],[Upper Range]]-SamplingData[[#This Row],[Span]]</f>
        <v>4684.219027620743</v>
      </c>
      <c r="AG273" s="100">
        <f>IF(ISNUMBER('General Info'!$B$42), ((SamplingData[[#This Row],[up/U Selection Probability]]) * 'General Info'!$B$44) - 1, 0)</f>
        <v>23.228719108383146</v>
      </c>
      <c r="AH273" s="100">
        <f>IF(ISNUMBER('General Info'!$B$42), (SamplingData[[#This Row],[Running (cumulative) sum]] * ('General Info'!$B$42 -'General Info'!$B$43 + 1)) + 'General Info'!$B$43 - 1, 0)</f>
        <v>4707.4477467291263</v>
      </c>
      <c r="AI273" s="100" t="str">
        <f>IF(ISERROR(MATCH(SamplingData[[#This Row],[Batch by Type (p)]],SelectedPrecincts[Batch Name], 0)), "", INDEX(SelectedPrecincts[Draw], MATCH(SamplingData[[#This Row],[Batch by Type (p)]],SelectedPrecincts[Batch Name], 0)))</f>
        <v/>
      </c>
      <c r="AJ273" s="101">
        <f>IF(COUNTIF(SelectedPrecincts[Batch Name],SamplingData[[#This Row],[Batch by Type (p)]]) &lt;&gt; 0, COUNTIF(SelectedPrecincts[Batch Name],SamplingData[[#This Row],[Batch by Type (p)]]), 0)</f>
        <v>0</v>
      </c>
    </row>
    <row r="274" spans="1:36" ht="15" customHeight="1" x14ac:dyDescent="0.35">
      <c r="A274" s="98" t="s">
        <v>486</v>
      </c>
      <c r="B274" s="98">
        <v>4</v>
      </c>
      <c r="C274" s="98">
        <v>0</v>
      </c>
      <c r="D274" s="93"/>
      <c r="E274" s="93"/>
      <c r="F274" s="93"/>
      <c r="G274" s="97"/>
      <c r="H274" s="97"/>
      <c r="I274" s="93"/>
      <c r="J274" s="93"/>
      <c r="K274" s="93"/>
      <c r="L274" s="93"/>
      <c r="M274" s="93"/>
      <c r="N274" s="98">
        <v>0</v>
      </c>
      <c r="O274" s="98">
        <v>0</v>
      </c>
      <c r="P274" s="99">
        <f>SUM(SamplingData[[#This Row],[Winning Candidate]:[Under Votes]])</f>
        <v>4</v>
      </c>
      <c r="Q274"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274" s="100">
        <f>IF(AND(SamplingData[[#This Row],[Total]]&lt;&gt; 0, NOT(ISBLANK(SamplingData[[#This Row],[Candidate 3]]))),(SamplingData[[#This Row],[Total]]+SamplingData[[#This Row],[Winning Candidate]]-SamplingData[[#This Row],[Candidate 3]])/(SamplingData[[#Totals],[Winning Candidate]]-SamplingData[[#Totals],[Candidate 3]]), 0)</f>
        <v>0</v>
      </c>
      <c r="S274" s="100">
        <f>IF(AND(SamplingData[[#This Row],[Total]]&lt;&gt; 0, NOT(ISBLANK(SamplingData[[#This Row],[Candidate 4]]))),(SamplingData[[#This Row],[Total]]+SamplingData[[#This Row],[Winning Candidate]]-SamplingData[[#This Row],[Candidate 4]])/(SamplingData[[#Totals],[Winning Candidate]]-SamplingData[[#Totals],[Candidate 4]]), 0)</f>
        <v>0</v>
      </c>
      <c r="T274" s="100">
        <f>IF(AND(SamplingData[[#This Row],[Total]]&lt;&gt; 0, NOT(ISBLANK(SamplingData[[#This Row],[Candidate 5]]))),(SamplingData[[#This Row],[Total]]+SamplingData[[#This Row],[Winning Candidate]]-SamplingData[[#This Row],[Candidate 5]])/(SamplingData[[#Totals],[Winning Candidate]]-SamplingData[[#Totals],[Candidate 5]]), 0)</f>
        <v>0</v>
      </c>
      <c r="U274" s="100">
        <f>IF(AND(SamplingData[[#This Row],[Total]]&lt;&gt; 0, NOT(ISBLANK(SamplingData[[#This Row],[Candidate 6]]))),(SamplingData[[#This Row],[Total]]+SamplingData[[#This Row],[Losing Candidate]]-SamplingData[[#This Row],[Candidate 6]])/(SamplingData[[#Totals],[Winning Candidate]]-SamplingData[[#Totals],[Candidate 6]]), 0)</f>
        <v>0</v>
      </c>
      <c r="V274" s="100">
        <f>IF(AND(SamplingData[[#This Row],[Total]]&lt;&gt; 0, NOT(ISBLANK(SamplingData[[#This Row],[Candidate 7]]))),(SamplingData[[#This Row],[Total]]+SamplingData[[#This Row],[Winning Candidate]]-SamplingData[[#This Row],[Candidate 7]])/(SamplingData[[#Totals],[Winning Candidate]]-SamplingData[[#Totals],[Candidate 7]]), 0)</f>
        <v>0</v>
      </c>
      <c r="W274" s="100">
        <f>IF(AND(SamplingData[[#This Row],[Total]]&lt;&gt; 0, NOT(ISBLANK(SamplingData[[#This Row],[Candidate 8]]))),(SamplingData[[#This Row],[Total]]+SamplingData[[#This Row],[Winning Candidate]]-SamplingData[[#This Row],[Candidate 8]])/(SamplingData[[#Totals],[Winning Candidate]]-SamplingData[[#Totals],[Candidate 8]]), 0)</f>
        <v>0</v>
      </c>
      <c r="X2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00">
        <f>MAX(SamplingData[[#This Row],[Error Bound (up) - Max. possible relative overstatement - Losing Candidate]:[Error Bound (up) - Max. possible relative overstatement - Candidate 12]])</f>
        <v>2.5127995728240724E-4</v>
      </c>
      <c r="AC274" s="100">
        <f>IF(SamplingData[[#This Row],[Max Error Bound (up)]] = 0,0,SamplingData[[#This Row],[Max Error Bound (up)]]/SamplingData[[#Totals],[Max Error Bound (up)]])</f>
        <v>1.0768319603725841E-4</v>
      </c>
      <c r="AD274" s="104">
        <f>SUM($AC$5:AC274)</f>
        <v>4.7192160663328521E-2</v>
      </c>
      <c r="AE274" s="100" t="str" cm="1">
        <f t="array" ref="AE274">IF(SamplingData[[#This Row],[up/U Selection Probability]] = 0, "Zero", TEXT(SamplingData[[#This Row],[Lower Range]], REPT("0",LEN('General Info'!$B$42))) &amp; " - " &amp; TEXT(SamplingData[[#This Row],[Upper Range]], REPT("0",LEN('General Info'!$B$42))))</f>
        <v>04708 - 04718</v>
      </c>
      <c r="AF274" s="100">
        <f>SamplingData[[#This Row],[Upper Range]]-SamplingData[[#This Row],[Span]]</f>
        <v>4708.4477467291263</v>
      </c>
      <c r="AG274" s="100">
        <f>IF(ISNUMBER('General Info'!$B$42), ((SamplingData[[#This Row],[up/U Selection Probability]]) * 'General Info'!$B$44) - 1, 0)</f>
        <v>9.7683196037258408</v>
      </c>
      <c r="AH274" s="100">
        <f>IF(ISNUMBER('General Info'!$B$42), (SamplingData[[#This Row],[Running (cumulative) sum]] * ('General Info'!$B$42 -'General Info'!$B$43 + 1)) + 'General Info'!$B$43 - 1, 0)</f>
        <v>4718.2160663328523</v>
      </c>
      <c r="AI274" s="100" t="str">
        <f>IF(ISERROR(MATCH(SamplingData[[#This Row],[Batch by Type (p)]],SelectedPrecincts[Batch Name], 0)), "", INDEX(SelectedPrecincts[Draw], MATCH(SamplingData[[#This Row],[Batch by Type (p)]],SelectedPrecincts[Batch Name], 0)))</f>
        <v/>
      </c>
      <c r="AJ274" s="101">
        <f>IF(COUNTIF(SelectedPrecincts[Batch Name],SamplingData[[#This Row],[Batch by Type (p)]]) &lt;&gt; 0, COUNTIF(SelectedPrecincts[Batch Name],SamplingData[[#This Row],[Batch by Type (p)]]), 0)</f>
        <v>0</v>
      </c>
    </row>
    <row r="275" spans="1:36" ht="15" customHeight="1" x14ac:dyDescent="0.35">
      <c r="A275" s="98" t="s">
        <v>487</v>
      </c>
      <c r="B275" s="98">
        <v>0</v>
      </c>
      <c r="C275" s="98">
        <v>0</v>
      </c>
      <c r="D275" s="93"/>
      <c r="E275" s="93"/>
      <c r="F275" s="93"/>
      <c r="G275" s="97"/>
      <c r="H275" s="97"/>
      <c r="I275" s="93"/>
      <c r="J275" s="93"/>
      <c r="K275" s="93"/>
      <c r="L275" s="93"/>
      <c r="M275" s="93"/>
      <c r="N275" s="98">
        <v>0</v>
      </c>
      <c r="O275" s="98">
        <v>0</v>
      </c>
      <c r="P275" s="99">
        <f>SUM(SamplingData[[#This Row],[Winning Candidate]:[Under Votes]])</f>
        <v>0</v>
      </c>
      <c r="Q275" s="100">
        <f>IF(AND(SamplingData[[#This Row],[Total]]&lt;&gt; 0, NOT(ISBLANK(SamplingData[[#This Row],[Losing Candidate]]))),(SamplingData[[#This Row],[Total]]+SamplingData[[#This Row],[Winning Candidate]]-SamplingData[[#This Row],[Losing Candidate]])/(SamplingData[[#Totals],[Winning Candidate]]-SamplingData[[#Totals],[Losing Candidate]]), 0)</f>
        <v>0</v>
      </c>
      <c r="R275" s="100">
        <f>IF(AND(SamplingData[[#This Row],[Total]]&lt;&gt; 0, NOT(ISBLANK(SamplingData[[#This Row],[Candidate 3]]))),(SamplingData[[#This Row],[Total]]+SamplingData[[#This Row],[Winning Candidate]]-SamplingData[[#This Row],[Candidate 3]])/(SamplingData[[#Totals],[Winning Candidate]]-SamplingData[[#Totals],[Candidate 3]]), 0)</f>
        <v>0</v>
      </c>
      <c r="S275" s="100">
        <f>IF(AND(SamplingData[[#This Row],[Total]]&lt;&gt; 0, NOT(ISBLANK(SamplingData[[#This Row],[Candidate 4]]))),(SamplingData[[#This Row],[Total]]+SamplingData[[#This Row],[Winning Candidate]]-SamplingData[[#This Row],[Candidate 4]])/(SamplingData[[#Totals],[Winning Candidate]]-SamplingData[[#Totals],[Candidate 4]]), 0)</f>
        <v>0</v>
      </c>
      <c r="T275" s="100">
        <f>IF(AND(SamplingData[[#This Row],[Total]]&lt;&gt; 0, NOT(ISBLANK(SamplingData[[#This Row],[Candidate 5]]))),(SamplingData[[#This Row],[Total]]+SamplingData[[#This Row],[Winning Candidate]]-SamplingData[[#This Row],[Candidate 5]])/(SamplingData[[#Totals],[Winning Candidate]]-SamplingData[[#Totals],[Candidate 5]]), 0)</f>
        <v>0</v>
      </c>
      <c r="U275" s="100">
        <f>IF(AND(SamplingData[[#This Row],[Total]]&lt;&gt; 0, NOT(ISBLANK(SamplingData[[#This Row],[Candidate 6]]))),(SamplingData[[#This Row],[Total]]+SamplingData[[#This Row],[Losing Candidate]]-SamplingData[[#This Row],[Candidate 6]])/(SamplingData[[#Totals],[Winning Candidate]]-SamplingData[[#Totals],[Candidate 6]]), 0)</f>
        <v>0</v>
      </c>
      <c r="V275" s="100">
        <f>IF(AND(SamplingData[[#This Row],[Total]]&lt;&gt; 0, NOT(ISBLANK(SamplingData[[#This Row],[Candidate 7]]))),(SamplingData[[#This Row],[Total]]+SamplingData[[#This Row],[Winning Candidate]]-SamplingData[[#This Row],[Candidate 7]])/(SamplingData[[#Totals],[Winning Candidate]]-SamplingData[[#Totals],[Candidate 7]]), 0)</f>
        <v>0</v>
      </c>
      <c r="W275" s="100">
        <f>IF(AND(SamplingData[[#This Row],[Total]]&lt;&gt; 0, NOT(ISBLANK(SamplingData[[#This Row],[Candidate 8]]))),(SamplingData[[#This Row],[Total]]+SamplingData[[#This Row],[Winning Candidate]]-SamplingData[[#This Row],[Candidate 8]])/(SamplingData[[#Totals],[Winning Candidate]]-SamplingData[[#Totals],[Candidate 8]]), 0)</f>
        <v>0</v>
      </c>
      <c r="X2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00">
        <f>MAX(SamplingData[[#This Row],[Error Bound (up) - Max. possible relative overstatement - Losing Candidate]:[Error Bound (up) - Max. possible relative overstatement - Candidate 12]])</f>
        <v>0</v>
      </c>
      <c r="AC275" s="100">
        <f>IF(SamplingData[[#This Row],[Max Error Bound (up)]] = 0,0,SamplingData[[#This Row],[Max Error Bound (up)]]/SamplingData[[#Totals],[Max Error Bound (up)]])</f>
        <v>0</v>
      </c>
      <c r="AD275" s="104">
        <f>SUM($AC$5:AC275)</f>
        <v>4.7192160663328521E-2</v>
      </c>
      <c r="AE275" s="100" t="str" cm="1">
        <f t="array" ref="AE275">IF(SamplingData[[#This Row],[up/U Selection Probability]] = 0, "Zero", TEXT(SamplingData[[#This Row],[Lower Range]], REPT("0",LEN('General Info'!$B$42))) &amp; " - " &amp; TEXT(SamplingData[[#This Row],[Upper Range]], REPT("0",LEN('General Info'!$B$42))))</f>
        <v>Zero</v>
      </c>
      <c r="AF275" s="100">
        <f>SamplingData[[#This Row],[Upper Range]]-SamplingData[[#This Row],[Span]]</f>
        <v>4719.2160663328523</v>
      </c>
      <c r="AG275" s="100">
        <f>IF(ISNUMBER('General Info'!$B$42), ((SamplingData[[#This Row],[up/U Selection Probability]]) * 'General Info'!$B$44) - 1, 0)</f>
        <v>-1</v>
      </c>
      <c r="AH275" s="100">
        <f>IF(ISNUMBER('General Info'!$B$42), (SamplingData[[#This Row],[Running (cumulative) sum]] * ('General Info'!$B$42 -'General Info'!$B$43 + 1)) + 'General Info'!$B$43 - 1, 0)</f>
        <v>4718.2160663328523</v>
      </c>
      <c r="AI275" s="100" t="str">
        <f>IF(ISERROR(MATCH(SamplingData[[#This Row],[Batch by Type (p)]],SelectedPrecincts[Batch Name], 0)), "", INDEX(SelectedPrecincts[Draw], MATCH(SamplingData[[#This Row],[Batch by Type (p)]],SelectedPrecincts[Batch Name], 0)))</f>
        <v/>
      </c>
      <c r="AJ275" s="101">
        <f>IF(COUNTIF(SelectedPrecincts[Batch Name],SamplingData[[#This Row],[Batch by Type (p)]]) &lt;&gt; 0, COUNTIF(SelectedPrecincts[Batch Name],SamplingData[[#This Row],[Batch by Type (p)]]), 0)</f>
        <v>0</v>
      </c>
    </row>
    <row r="276" spans="1:36" ht="15" customHeight="1" x14ac:dyDescent="0.35">
      <c r="A276" s="98" t="s">
        <v>488</v>
      </c>
      <c r="B276" s="98">
        <v>4</v>
      </c>
      <c r="C276" s="98">
        <v>3</v>
      </c>
      <c r="D276" s="93"/>
      <c r="E276" s="93"/>
      <c r="F276" s="93"/>
      <c r="G276" s="97"/>
      <c r="H276" s="97"/>
      <c r="I276" s="93"/>
      <c r="J276" s="93"/>
      <c r="K276" s="93"/>
      <c r="L276" s="93"/>
      <c r="M276" s="93"/>
      <c r="N276" s="98">
        <v>0</v>
      </c>
      <c r="O276" s="98">
        <v>1</v>
      </c>
      <c r="P276" s="99">
        <f>SUM(SamplingData[[#This Row],[Winning Candidate]:[Under Votes]])</f>
        <v>8</v>
      </c>
      <c r="Q276"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276" s="100">
        <f>IF(AND(SamplingData[[#This Row],[Total]]&lt;&gt; 0, NOT(ISBLANK(SamplingData[[#This Row],[Candidate 3]]))),(SamplingData[[#This Row],[Total]]+SamplingData[[#This Row],[Winning Candidate]]-SamplingData[[#This Row],[Candidate 3]])/(SamplingData[[#Totals],[Winning Candidate]]-SamplingData[[#Totals],[Candidate 3]]), 0)</f>
        <v>0</v>
      </c>
      <c r="S276" s="100">
        <f>IF(AND(SamplingData[[#This Row],[Total]]&lt;&gt; 0, NOT(ISBLANK(SamplingData[[#This Row],[Candidate 4]]))),(SamplingData[[#This Row],[Total]]+SamplingData[[#This Row],[Winning Candidate]]-SamplingData[[#This Row],[Candidate 4]])/(SamplingData[[#Totals],[Winning Candidate]]-SamplingData[[#Totals],[Candidate 4]]), 0)</f>
        <v>0</v>
      </c>
      <c r="T276" s="100">
        <f>IF(AND(SamplingData[[#This Row],[Total]]&lt;&gt; 0, NOT(ISBLANK(SamplingData[[#This Row],[Candidate 5]]))),(SamplingData[[#This Row],[Total]]+SamplingData[[#This Row],[Winning Candidate]]-SamplingData[[#This Row],[Candidate 5]])/(SamplingData[[#Totals],[Winning Candidate]]-SamplingData[[#Totals],[Candidate 5]]), 0)</f>
        <v>0</v>
      </c>
      <c r="U276" s="100">
        <f>IF(AND(SamplingData[[#This Row],[Total]]&lt;&gt; 0, NOT(ISBLANK(SamplingData[[#This Row],[Candidate 6]]))),(SamplingData[[#This Row],[Total]]+SamplingData[[#This Row],[Losing Candidate]]-SamplingData[[#This Row],[Candidate 6]])/(SamplingData[[#Totals],[Winning Candidate]]-SamplingData[[#Totals],[Candidate 6]]), 0)</f>
        <v>0</v>
      </c>
      <c r="V276" s="100">
        <f>IF(AND(SamplingData[[#This Row],[Total]]&lt;&gt; 0, NOT(ISBLANK(SamplingData[[#This Row],[Candidate 7]]))),(SamplingData[[#This Row],[Total]]+SamplingData[[#This Row],[Winning Candidate]]-SamplingData[[#This Row],[Candidate 7]])/(SamplingData[[#Totals],[Winning Candidate]]-SamplingData[[#Totals],[Candidate 7]]), 0)</f>
        <v>0</v>
      </c>
      <c r="W276" s="100">
        <f>IF(AND(SamplingData[[#This Row],[Total]]&lt;&gt; 0, NOT(ISBLANK(SamplingData[[#This Row],[Candidate 8]]))),(SamplingData[[#This Row],[Total]]+SamplingData[[#This Row],[Winning Candidate]]-SamplingData[[#This Row],[Candidate 8]])/(SamplingData[[#Totals],[Winning Candidate]]-SamplingData[[#Totals],[Candidate 8]]), 0)</f>
        <v>0</v>
      </c>
      <c r="X2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00">
        <f>MAX(SamplingData[[#This Row],[Error Bound (up) - Max. possible relative overstatement - Losing Candidate]:[Error Bound (up) - Max. possible relative overstatement - Candidate 12]])</f>
        <v>2.8268995194270818E-4</v>
      </c>
      <c r="AC276" s="100">
        <f>IF(SamplingData[[#This Row],[Max Error Bound (up)]] = 0,0,SamplingData[[#This Row],[Max Error Bound (up)]]/SamplingData[[#Totals],[Max Error Bound (up)]])</f>
        <v>1.2114359554191572E-4</v>
      </c>
      <c r="AD276" s="104">
        <f>SUM($AC$5:AC276)</f>
        <v>4.7313304258870439E-2</v>
      </c>
      <c r="AE276" s="100" t="str" cm="1">
        <f t="array" ref="AE276">IF(SamplingData[[#This Row],[up/U Selection Probability]] = 0, "Zero", TEXT(SamplingData[[#This Row],[Lower Range]], REPT("0",LEN('General Info'!$B$42))) &amp; " - " &amp; TEXT(SamplingData[[#This Row],[Upper Range]], REPT("0",LEN('General Info'!$B$42))))</f>
        <v>04719 - 04730</v>
      </c>
      <c r="AF276" s="100">
        <f>SamplingData[[#This Row],[Upper Range]]-SamplingData[[#This Row],[Span]]</f>
        <v>4719.2160663328523</v>
      </c>
      <c r="AG276" s="100">
        <f>IF(ISNUMBER('General Info'!$B$42), ((SamplingData[[#This Row],[up/U Selection Probability]]) * 'General Info'!$B$44) - 1, 0)</f>
        <v>11.114359554191573</v>
      </c>
      <c r="AH276" s="100">
        <f>IF(ISNUMBER('General Info'!$B$42), (SamplingData[[#This Row],[Running (cumulative) sum]] * ('General Info'!$B$42 -'General Info'!$B$43 + 1)) + 'General Info'!$B$43 - 1, 0)</f>
        <v>4730.3304258870439</v>
      </c>
      <c r="AI276" s="100" t="str">
        <f>IF(ISERROR(MATCH(SamplingData[[#This Row],[Batch by Type (p)]],SelectedPrecincts[Batch Name], 0)), "", INDEX(SelectedPrecincts[Draw], MATCH(SamplingData[[#This Row],[Batch by Type (p)]],SelectedPrecincts[Batch Name], 0)))</f>
        <v/>
      </c>
      <c r="AJ276" s="101">
        <f>IF(COUNTIF(SelectedPrecincts[Batch Name],SamplingData[[#This Row],[Batch by Type (p)]]) &lt;&gt; 0, COUNTIF(SelectedPrecincts[Batch Name],SamplingData[[#This Row],[Batch by Type (p)]]), 0)</f>
        <v>0</v>
      </c>
    </row>
    <row r="277" spans="1:36" ht="15" customHeight="1" x14ac:dyDescent="0.35">
      <c r="A277" s="98" t="s">
        <v>489</v>
      </c>
      <c r="B277" s="98">
        <v>9</v>
      </c>
      <c r="C277" s="98">
        <v>1</v>
      </c>
      <c r="D277" s="93"/>
      <c r="E277" s="93"/>
      <c r="F277" s="93"/>
      <c r="G277" s="97"/>
      <c r="H277" s="97"/>
      <c r="I277" s="93"/>
      <c r="J277" s="93"/>
      <c r="K277" s="93"/>
      <c r="L277" s="93"/>
      <c r="M277" s="93"/>
      <c r="N277" s="98">
        <v>0</v>
      </c>
      <c r="O277" s="98">
        <v>0</v>
      </c>
      <c r="P277" s="99">
        <f>SUM(SamplingData[[#This Row],[Winning Candidate]:[Under Votes]])</f>
        <v>10</v>
      </c>
      <c r="Q277"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277" s="100">
        <f>IF(AND(SamplingData[[#This Row],[Total]]&lt;&gt; 0, NOT(ISBLANK(SamplingData[[#This Row],[Candidate 3]]))),(SamplingData[[#This Row],[Total]]+SamplingData[[#This Row],[Winning Candidate]]-SamplingData[[#This Row],[Candidate 3]])/(SamplingData[[#Totals],[Winning Candidate]]-SamplingData[[#Totals],[Candidate 3]]), 0)</f>
        <v>0</v>
      </c>
      <c r="S277" s="100">
        <f>IF(AND(SamplingData[[#This Row],[Total]]&lt;&gt; 0, NOT(ISBLANK(SamplingData[[#This Row],[Candidate 4]]))),(SamplingData[[#This Row],[Total]]+SamplingData[[#This Row],[Winning Candidate]]-SamplingData[[#This Row],[Candidate 4]])/(SamplingData[[#Totals],[Winning Candidate]]-SamplingData[[#Totals],[Candidate 4]]), 0)</f>
        <v>0</v>
      </c>
      <c r="T277" s="100">
        <f>IF(AND(SamplingData[[#This Row],[Total]]&lt;&gt; 0, NOT(ISBLANK(SamplingData[[#This Row],[Candidate 5]]))),(SamplingData[[#This Row],[Total]]+SamplingData[[#This Row],[Winning Candidate]]-SamplingData[[#This Row],[Candidate 5]])/(SamplingData[[#Totals],[Winning Candidate]]-SamplingData[[#Totals],[Candidate 5]]), 0)</f>
        <v>0</v>
      </c>
      <c r="U277" s="100">
        <f>IF(AND(SamplingData[[#This Row],[Total]]&lt;&gt; 0, NOT(ISBLANK(SamplingData[[#This Row],[Candidate 6]]))),(SamplingData[[#This Row],[Total]]+SamplingData[[#This Row],[Losing Candidate]]-SamplingData[[#This Row],[Candidate 6]])/(SamplingData[[#Totals],[Winning Candidate]]-SamplingData[[#Totals],[Candidate 6]]), 0)</f>
        <v>0</v>
      </c>
      <c r="V277" s="100">
        <f>IF(AND(SamplingData[[#This Row],[Total]]&lt;&gt; 0, NOT(ISBLANK(SamplingData[[#This Row],[Candidate 7]]))),(SamplingData[[#This Row],[Total]]+SamplingData[[#This Row],[Winning Candidate]]-SamplingData[[#This Row],[Candidate 7]])/(SamplingData[[#Totals],[Winning Candidate]]-SamplingData[[#Totals],[Candidate 7]]), 0)</f>
        <v>0</v>
      </c>
      <c r="W277" s="100">
        <f>IF(AND(SamplingData[[#This Row],[Total]]&lt;&gt; 0, NOT(ISBLANK(SamplingData[[#This Row],[Candidate 8]]))),(SamplingData[[#This Row],[Total]]+SamplingData[[#This Row],[Winning Candidate]]-SamplingData[[#This Row],[Candidate 8]])/(SamplingData[[#Totals],[Winning Candidate]]-SamplingData[[#Totals],[Candidate 8]]), 0)</f>
        <v>0</v>
      </c>
      <c r="X2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00">
        <f>MAX(SamplingData[[#This Row],[Error Bound (up) - Max. possible relative overstatement - Losing Candidate]:[Error Bound (up) - Max. possible relative overstatement - Candidate 12]])</f>
        <v>5.6537990388541635E-4</v>
      </c>
      <c r="AC277" s="100">
        <f>IF(SamplingData[[#This Row],[Max Error Bound (up)]] = 0,0,SamplingData[[#This Row],[Max Error Bound (up)]]/SamplingData[[#Totals],[Max Error Bound (up)]])</f>
        <v>2.4228719108383145E-4</v>
      </c>
      <c r="AD277" s="104">
        <f>SUM($AC$5:AC277)</f>
        <v>4.755559144995427E-2</v>
      </c>
      <c r="AE277" s="100" t="str" cm="1">
        <f t="array" ref="AE277">IF(SamplingData[[#This Row],[up/U Selection Probability]] = 0, "Zero", TEXT(SamplingData[[#This Row],[Lower Range]], REPT("0",LEN('General Info'!$B$42))) &amp; " - " &amp; TEXT(SamplingData[[#This Row],[Upper Range]], REPT("0",LEN('General Info'!$B$42))))</f>
        <v>04731 - 04755</v>
      </c>
      <c r="AF277" s="100">
        <f>SamplingData[[#This Row],[Upper Range]]-SamplingData[[#This Row],[Span]]</f>
        <v>4731.3304258870439</v>
      </c>
      <c r="AG277" s="100">
        <f>IF(ISNUMBER('General Info'!$B$42), ((SamplingData[[#This Row],[up/U Selection Probability]]) * 'General Info'!$B$44) - 1, 0)</f>
        <v>23.228719108383146</v>
      </c>
      <c r="AH277" s="100">
        <f>IF(ISNUMBER('General Info'!$B$42), (SamplingData[[#This Row],[Running (cumulative) sum]] * ('General Info'!$B$42 -'General Info'!$B$43 + 1)) + 'General Info'!$B$43 - 1, 0)</f>
        <v>4754.5591449954272</v>
      </c>
      <c r="AI277" s="100" t="str">
        <f>IF(ISERROR(MATCH(SamplingData[[#This Row],[Batch by Type (p)]],SelectedPrecincts[Batch Name], 0)), "", INDEX(SelectedPrecincts[Draw], MATCH(SamplingData[[#This Row],[Batch by Type (p)]],SelectedPrecincts[Batch Name], 0)))</f>
        <v/>
      </c>
      <c r="AJ277" s="101">
        <f>IF(COUNTIF(SelectedPrecincts[Batch Name],SamplingData[[#This Row],[Batch by Type (p)]]) &lt;&gt; 0, COUNTIF(SelectedPrecincts[Batch Name],SamplingData[[#This Row],[Batch by Type (p)]]), 0)</f>
        <v>0</v>
      </c>
    </row>
    <row r="278" spans="1:36" ht="15" customHeight="1" x14ac:dyDescent="0.35">
      <c r="A278" s="98" t="s">
        <v>490</v>
      </c>
      <c r="B278" s="98">
        <v>6</v>
      </c>
      <c r="C278" s="98">
        <v>3</v>
      </c>
      <c r="D278" s="93"/>
      <c r="E278" s="93"/>
      <c r="F278" s="93"/>
      <c r="G278" s="97"/>
      <c r="H278" s="97"/>
      <c r="I278" s="93"/>
      <c r="J278" s="93"/>
      <c r="K278" s="93"/>
      <c r="L278" s="93"/>
      <c r="M278" s="93"/>
      <c r="N278" s="98">
        <v>0</v>
      </c>
      <c r="O278" s="98">
        <v>0</v>
      </c>
      <c r="P278" s="99">
        <f>SUM(SamplingData[[#This Row],[Winning Candidate]:[Under Votes]])</f>
        <v>9</v>
      </c>
      <c r="Q278"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78" s="100">
        <f>IF(AND(SamplingData[[#This Row],[Total]]&lt;&gt; 0, NOT(ISBLANK(SamplingData[[#This Row],[Candidate 3]]))),(SamplingData[[#This Row],[Total]]+SamplingData[[#This Row],[Winning Candidate]]-SamplingData[[#This Row],[Candidate 3]])/(SamplingData[[#Totals],[Winning Candidate]]-SamplingData[[#Totals],[Candidate 3]]), 0)</f>
        <v>0</v>
      </c>
      <c r="S278" s="100">
        <f>IF(AND(SamplingData[[#This Row],[Total]]&lt;&gt; 0, NOT(ISBLANK(SamplingData[[#This Row],[Candidate 4]]))),(SamplingData[[#This Row],[Total]]+SamplingData[[#This Row],[Winning Candidate]]-SamplingData[[#This Row],[Candidate 4]])/(SamplingData[[#Totals],[Winning Candidate]]-SamplingData[[#Totals],[Candidate 4]]), 0)</f>
        <v>0</v>
      </c>
      <c r="T278" s="100">
        <f>IF(AND(SamplingData[[#This Row],[Total]]&lt;&gt; 0, NOT(ISBLANK(SamplingData[[#This Row],[Candidate 5]]))),(SamplingData[[#This Row],[Total]]+SamplingData[[#This Row],[Winning Candidate]]-SamplingData[[#This Row],[Candidate 5]])/(SamplingData[[#Totals],[Winning Candidate]]-SamplingData[[#Totals],[Candidate 5]]), 0)</f>
        <v>0</v>
      </c>
      <c r="U278" s="100">
        <f>IF(AND(SamplingData[[#This Row],[Total]]&lt;&gt; 0, NOT(ISBLANK(SamplingData[[#This Row],[Candidate 6]]))),(SamplingData[[#This Row],[Total]]+SamplingData[[#This Row],[Losing Candidate]]-SamplingData[[#This Row],[Candidate 6]])/(SamplingData[[#Totals],[Winning Candidate]]-SamplingData[[#Totals],[Candidate 6]]), 0)</f>
        <v>0</v>
      </c>
      <c r="V278" s="100">
        <f>IF(AND(SamplingData[[#This Row],[Total]]&lt;&gt; 0, NOT(ISBLANK(SamplingData[[#This Row],[Candidate 7]]))),(SamplingData[[#This Row],[Total]]+SamplingData[[#This Row],[Winning Candidate]]-SamplingData[[#This Row],[Candidate 7]])/(SamplingData[[#Totals],[Winning Candidate]]-SamplingData[[#Totals],[Candidate 7]]), 0)</f>
        <v>0</v>
      </c>
      <c r="W278" s="100">
        <f>IF(AND(SamplingData[[#This Row],[Total]]&lt;&gt; 0, NOT(ISBLANK(SamplingData[[#This Row],[Candidate 8]]))),(SamplingData[[#This Row],[Total]]+SamplingData[[#This Row],[Winning Candidate]]-SamplingData[[#This Row],[Candidate 8]])/(SamplingData[[#Totals],[Winning Candidate]]-SamplingData[[#Totals],[Candidate 8]]), 0)</f>
        <v>0</v>
      </c>
      <c r="X2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00">
        <f>MAX(SamplingData[[#This Row],[Error Bound (up) - Max. possible relative overstatement - Losing Candidate]:[Error Bound (up) - Max. possible relative overstatement - Candidate 12]])</f>
        <v>3.7691993592361088E-4</v>
      </c>
      <c r="AC278" s="100">
        <f>IF(SamplingData[[#This Row],[Max Error Bound (up)]] = 0,0,SamplingData[[#This Row],[Max Error Bound (up)]]/SamplingData[[#Totals],[Max Error Bound (up)]])</f>
        <v>1.6152479405588763E-4</v>
      </c>
      <c r="AD278" s="104">
        <f>SUM($AC$5:AC278)</f>
        <v>4.7717116244010156E-2</v>
      </c>
      <c r="AE278" s="100" t="str" cm="1">
        <f t="array" ref="AE278">IF(SamplingData[[#This Row],[up/U Selection Probability]] = 0, "Zero", TEXT(SamplingData[[#This Row],[Lower Range]], REPT("0",LEN('General Info'!$B$42))) &amp; " - " &amp; TEXT(SamplingData[[#This Row],[Upper Range]], REPT("0",LEN('General Info'!$B$42))))</f>
        <v>04756 - 04771</v>
      </c>
      <c r="AF278" s="100">
        <f>SamplingData[[#This Row],[Upper Range]]-SamplingData[[#This Row],[Span]]</f>
        <v>4755.5591449954272</v>
      </c>
      <c r="AG278" s="100">
        <f>IF(ISNUMBER('General Info'!$B$42), ((SamplingData[[#This Row],[up/U Selection Probability]]) * 'General Info'!$B$44) - 1, 0)</f>
        <v>15.152479405588764</v>
      </c>
      <c r="AH278" s="100">
        <f>IF(ISNUMBER('General Info'!$B$42), (SamplingData[[#This Row],[Running (cumulative) sum]] * ('General Info'!$B$42 -'General Info'!$B$43 + 1)) + 'General Info'!$B$43 - 1, 0)</f>
        <v>4770.7116244010158</v>
      </c>
      <c r="AI278" s="100" t="str">
        <f>IF(ISERROR(MATCH(SamplingData[[#This Row],[Batch by Type (p)]],SelectedPrecincts[Batch Name], 0)), "", INDEX(SelectedPrecincts[Draw], MATCH(SamplingData[[#This Row],[Batch by Type (p)]],SelectedPrecincts[Batch Name], 0)))</f>
        <v/>
      </c>
      <c r="AJ278" s="101">
        <f>IF(COUNTIF(SelectedPrecincts[Batch Name],SamplingData[[#This Row],[Batch by Type (p)]]) &lt;&gt; 0, COUNTIF(SelectedPrecincts[Batch Name],SamplingData[[#This Row],[Batch by Type (p)]]), 0)</f>
        <v>0</v>
      </c>
    </row>
    <row r="279" spans="1:36" ht="15" customHeight="1" x14ac:dyDescent="0.35">
      <c r="A279" s="98" t="s">
        <v>491</v>
      </c>
      <c r="B279" s="98">
        <v>7</v>
      </c>
      <c r="C279" s="98">
        <v>2</v>
      </c>
      <c r="D279" s="93"/>
      <c r="E279" s="93"/>
      <c r="F279" s="93"/>
      <c r="G279" s="97"/>
      <c r="H279" s="97"/>
      <c r="I279" s="93"/>
      <c r="J279" s="93"/>
      <c r="K279" s="93"/>
      <c r="L279" s="93"/>
      <c r="M279" s="93"/>
      <c r="N279" s="98">
        <v>0</v>
      </c>
      <c r="O279" s="98">
        <v>0</v>
      </c>
      <c r="P279" s="99">
        <f>SUM(SamplingData[[#This Row],[Winning Candidate]:[Under Votes]])</f>
        <v>9</v>
      </c>
      <c r="Q279"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279" s="100">
        <f>IF(AND(SamplingData[[#This Row],[Total]]&lt;&gt; 0, NOT(ISBLANK(SamplingData[[#This Row],[Candidate 3]]))),(SamplingData[[#This Row],[Total]]+SamplingData[[#This Row],[Winning Candidate]]-SamplingData[[#This Row],[Candidate 3]])/(SamplingData[[#Totals],[Winning Candidate]]-SamplingData[[#Totals],[Candidate 3]]), 0)</f>
        <v>0</v>
      </c>
      <c r="S279" s="100">
        <f>IF(AND(SamplingData[[#This Row],[Total]]&lt;&gt; 0, NOT(ISBLANK(SamplingData[[#This Row],[Candidate 4]]))),(SamplingData[[#This Row],[Total]]+SamplingData[[#This Row],[Winning Candidate]]-SamplingData[[#This Row],[Candidate 4]])/(SamplingData[[#Totals],[Winning Candidate]]-SamplingData[[#Totals],[Candidate 4]]), 0)</f>
        <v>0</v>
      </c>
      <c r="T279" s="100">
        <f>IF(AND(SamplingData[[#This Row],[Total]]&lt;&gt; 0, NOT(ISBLANK(SamplingData[[#This Row],[Candidate 5]]))),(SamplingData[[#This Row],[Total]]+SamplingData[[#This Row],[Winning Candidate]]-SamplingData[[#This Row],[Candidate 5]])/(SamplingData[[#Totals],[Winning Candidate]]-SamplingData[[#Totals],[Candidate 5]]), 0)</f>
        <v>0</v>
      </c>
      <c r="U279" s="100">
        <f>IF(AND(SamplingData[[#This Row],[Total]]&lt;&gt; 0, NOT(ISBLANK(SamplingData[[#This Row],[Candidate 6]]))),(SamplingData[[#This Row],[Total]]+SamplingData[[#This Row],[Losing Candidate]]-SamplingData[[#This Row],[Candidate 6]])/(SamplingData[[#Totals],[Winning Candidate]]-SamplingData[[#Totals],[Candidate 6]]), 0)</f>
        <v>0</v>
      </c>
      <c r="V279" s="100">
        <f>IF(AND(SamplingData[[#This Row],[Total]]&lt;&gt; 0, NOT(ISBLANK(SamplingData[[#This Row],[Candidate 7]]))),(SamplingData[[#This Row],[Total]]+SamplingData[[#This Row],[Winning Candidate]]-SamplingData[[#This Row],[Candidate 7]])/(SamplingData[[#Totals],[Winning Candidate]]-SamplingData[[#Totals],[Candidate 7]]), 0)</f>
        <v>0</v>
      </c>
      <c r="W279" s="100">
        <f>IF(AND(SamplingData[[#This Row],[Total]]&lt;&gt; 0, NOT(ISBLANK(SamplingData[[#This Row],[Candidate 8]]))),(SamplingData[[#This Row],[Total]]+SamplingData[[#This Row],[Winning Candidate]]-SamplingData[[#This Row],[Candidate 8]])/(SamplingData[[#Totals],[Winning Candidate]]-SamplingData[[#Totals],[Candidate 8]]), 0)</f>
        <v>0</v>
      </c>
      <c r="X2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00">
        <f>MAX(SamplingData[[#This Row],[Error Bound (up) - Max. possible relative overstatement - Losing Candidate]:[Error Bound (up) - Max. possible relative overstatement - Candidate 12]])</f>
        <v>4.3973992524421271E-4</v>
      </c>
      <c r="AC279" s="100">
        <f>IF(SamplingData[[#This Row],[Max Error Bound (up)]] = 0,0,SamplingData[[#This Row],[Max Error Bound (up)]]/SamplingData[[#Totals],[Max Error Bound (up)]])</f>
        <v>1.8844559306520223E-4</v>
      </c>
      <c r="AD279" s="104">
        <f>SUM($AC$5:AC279)</f>
        <v>4.790556183707536E-2</v>
      </c>
      <c r="AE279" s="100" t="str" cm="1">
        <f t="array" ref="AE279">IF(SamplingData[[#This Row],[up/U Selection Probability]] = 0, "Zero", TEXT(SamplingData[[#This Row],[Lower Range]], REPT("0",LEN('General Info'!$B$42))) &amp; " - " &amp; TEXT(SamplingData[[#This Row],[Upper Range]], REPT("0",LEN('General Info'!$B$42))))</f>
        <v>04772 - 04790</v>
      </c>
      <c r="AF279" s="100">
        <f>SamplingData[[#This Row],[Upper Range]]-SamplingData[[#This Row],[Span]]</f>
        <v>4771.7116244010158</v>
      </c>
      <c r="AG279" s="100">
        <f>IF(ISNUMBER('General Info'!$B$42), ((SamplingData[[#This Row],[up/U Selection Probability]]) * 'General Info'!$B$44) - 1, 0)</f>
        <v>17.844559306520225</v>
      </c>
      <c r="AH279" s="100">
        <f>IF(ISNUMBER('General Info'!$B$42), (SamplingData[[#This Row],[Running (cumulative) sum]] * ('General Info'!$B$42 -'General Info'!$B$43 + 1)) + 'General Info'!$B$43 - 1, 0)</f>
        <v>4789.5561837075356</v>
      </c>
      <c r="AI279" s="100" t="str">
        <f>IF(ISERROR(MATCH(SamplingData[[#This Row],[Batch by Type (p)]],SelectedPrecincts[Batch Name], 0)), "", INDEX(SelectedPrecincts[Draw], MATCH(SamplingData[[#This Row],[Batch by Type (p)]],SelectedPrecincts[Batch Name], 0)))</f>
        <v/>
      </c>
      <c r="AJ279" s="101">
        <f>IF(COUNTIF(SelectedPrecincts[Batch Name],SamplingData[[#This Row],[Batch by Type (p)]]) &lt;&gt; 0, COUNTIF(SelectedPrecincts[Batch Name],SamplingData[[#This Row],[Batch by Type (p)]]), 0)</f>
        <v>0</v>
      </c>
    </row>
    <row r="280" spans="1:36" ht="15" customHeight="1" x14ac:dyDescent="0.35">
      <c r="A280" s="98" t="s">
        <v>492</v>
      </c>
      <c r="B280" s="98">
        <v>12</v>
      </c>
      <c r="C280" s="98">
        <v>0</v>
      </c>
      <c r="D280" s="93"/>
      <c r="E280" s="93"/>
      <c r="F280" s="93"/>
      <c r="G280" s="97"/>
      <c r="H280" s="97"/>
      <c r="I280" s="93"/>
      <c r="J280" s="93"/>
      <c r="K280" s="93"/>
      <c r="L280" s="93"/>
      <c r="M280" s="93"/>
      <c r="N280" s="98">
        <v>0</v>
      </c>
      <c r="O280" s="98">
        <v>0</v>
      </c>
      <c r="P280" s="99">
        <f>SUM(SamplingData[[#This Row],[Winning Candidate]:[Under Votes]])</f>
        <v>12</v>
      </c>
      <c r="Q280"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280" s="100">
        <f>IF(AND(SamplingData[[#This Row],[Total]]&lt;&gt; 0, NOT(ISBLANK(SamplingData[[#This Row],[Candidate 3]]))),(SamplingData[[#This Row],[Total]]+SamplingData[[#This Row],[Winning Candidate]]-SamplingData[[#This Row],[Candidate 3]])/(SamplingData[[#Totals],[Winning Candidate]]-SamplingData[[#Totals],[Candidate 3]]), 0)</f>
        <v>0</v>
      </c>
      <c r="S280" s="100">
        <f>IF(AND(SamplingData[[#This Row],[Total]]&lt;&gt; 0, NOT(ISBLANK(SamplingData[[#This Row],[Candidate 4]]))),(SamplingData[[#This Row],[Total]]+SamplingData[[#This Row],[Winning Candidate]]-SamplingData[[#This Row],[Candidate 4]])/(SamplingData[[#Totals],[Winning Candidate]]-SamplingData[[#Totals],[Candidate 4]]), 0)</f>
        <v>0</v>
      </c>
      <c r="T280" s="100">
        <f>IF(AND(SamplingData[[#This Row],[Total]]&lt;&gt; 0, NOT(ISBLANK(SamplingData[[#This Row],[Candidate 5]]))),(SamplingData[[#This Row],[Total]]+SamplingData[[#This Row],[Winning Candidate]]-SamplingData[[#This Row],[Candidate 5]])/(SamplingData[[#Totals],[Winning Candidate]]-SamplingData[[#Totals],[Candidate 5]]), 0)</f>
        <v>0</v>
      </c>
      <c r="U280" s="100">
        <f>IF(AND(SamplingData[[#This Row],[Total]]&lt;&gt; 0, NOT(ISBLANK(SamplingData[[#This Row],[Candidate 6]]))),(SamplingData[[#This Row],[Total]]+SamplingData[[#This Row],[Losing Candidate]]-SamplingData[[#This Row],[Candidate 6]])/(SamplingData[[#Totals],[Winning Candidate]]-SamplingData[[#Totals],[Candidate 6]]), 0)</f>
        <v>0</v>
      </c>
      <c r="V280" s="100">
        <f>IF(AND(SamplingData[[#This Row],[Total]]&lt;&gt; 0, NOT(ISBLANK(SamplingData[[#This Row],[Candidate 7]]))),(SamplingData[[#This Row],[Total]]+SamplingData[[#This Row],[Winning Candidate]]-SamplingData[[#This Row],[Candidate 7]])/(SamplingData[[#Totals],[Winning Candidate]]-SamplingData[[#Totals],[Candidate 7]]), 0)</f>
        <v>0</v>
      </c>
      <c r="W280" s="100">
        <f>IF(AND(SamplingData[[#This Row],[Total]]&lt;&gt; 0, NOT(ISBLANK(SamplingData[[#This Row],[Candidate 8]]))),(SamplingData[[#This Row],[Total]]+SamplingData[[#This Row],[Winning Candidate]]-SamplingData[[#This Row],[Candidate 8]])/(SamplingData[[#Totals],[Winning Candidate]]-SamplingData[[#Totals],[Candidate 8]]), 0)</f>
        <v>0</v>
      </c>
      <c r="X2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00">
        <f>MAX(SamplingData[[#This Row],[Error Bound (up) - Max. possible relative overstatement - Losing Candidate]:[Error Bound (up) - Max. possible relative overstatement - Candidate 12]])</f>
        <v>7.5383987184722177E-4</v>
      </c>
      <c r="AC280" s="100">
        <f>IF(SamplingData[[#This Row],[Max Error Bound (up)]] = 0,0,SamplingData[[#This Row],[Max Error Bound (up)]]/SamplingData[[#Totals],[Max Error Bound (up)]])</f>
        <v>3.2304958811177527E-4</v>
      </c>
      <c r="AD280" s="104">
        <f>SUM($AC$5:AC280)</f>
        <v>4.8228611425187133E-2</v>
      </c>
      <c r="AE280" s="100" t="str" cm="1">
        <f t="array" ref="AE280">IF(SamplingData[[#This Row],[up/U Selection Probability]] = 0, "Zero", TEXT(SamplingData[[#This Row],[Lower Range]], REPT("0",LEN('General Info'!$B$42))) &amp; " - " &amp; TEXT(SamplingData[[#This Row],[Upper Range]], REPT("0",LEN('General Info'!$B$42))))</f>
        <v>04791 - 04822</v>
      </c>
      <c r="AF280" s="100">
        <f>SamplingData[[#This Row],[Upper Range]]-SamplingData[[#This Row],[Span]]</f>
        <v>4790.5561837075365</v>
      </c>
      <c r="AG280" s="100">
        <f>IF(ISNUMBER('General Info'!$B$42), ((SamplingData[[#This Row],[up/U Selection Probability]]) * 'General Info'!$B$44) - 1, 0)</f>
        <v>31.304958811177528</v>
      </c>
      <c r="AH280" s="100">
        <f>IF(ISNUMBER('General Info'!$B$42), (SamplingData[[#This Row],[Running (cumulative) sum]] * ('General Info'!$B$42 -'General Info'!$B$43 + 1)) + 'General Info'!$B$43 - 1, 0)</f>
        <v>4821.8611425187137</v>
      </c>
      <c r="AI280" s="100" t="str">
        <f>IF(ISERROR(MATCH(SamplingData[[#This Row],[Batch by Type (p)]],SelectedPrecincts[Batch Name], 0)), "", INDEX(SelectedPrecincts[Draw], MATCH(SamplingData[[#This Row],[Batch by Type (p)]],SelectedPrecincts[Batch Name], 0)))</f>
        <v/>
      </c>
      <c r="AJ280" s="101">
        <f>IF(COUNTIF(SelectedPrecincts[Batch Name],SamplingData[[#This Row],[Batch by Type (p)]]) &lt;&gt; 0, COUNTIF(SelectedPrecincts[Batch Name],SamplingData[[#This Row],[Batch by Type (p)]]), 0)</f>
        <v>0</v>
      </c>
    </row>
    <row r="281" spans="1:36" ht="15" customHeight="1" x14ac:dyDescent="0.35">
      <c r="A281" s="98" t="s">
        <v>493</v>
      </c>
      <c r="B281" s="98">
        <v>10</v>
      </c>
      <c r="C281" s="98">
        <v>3</v>
      </c>
      <c r="D281" s="93"/>
      <c r="E281" s="93"/>
      <c r="F281" s="93"/>
      <c r="G281" s="97"/>
      <c r="H281" s="97"/>
      <c r="I281" s="93"/>
      <c r="J281" s="93"/>
      <c r="K281" s="93"/>
      <c r="L281" s="93"/>
      <c r="M281" s="93"/>
      <c r="N281" s="98">
        <v>0</v>
      </c>
      <c r="O281" s="98">
        <v>0</v>
      </c>
      <c r="P281" s="99">
        <f>SUM(SamplingData[[#This Row],[Winning Candidate]:[Under Votes]])</f>
        <v>13</v>
      </c>
      <c r="Q281"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281" s="100">
        <f>IF(AND(SamplingData[[#This Row],[Total]]&lt;&gt; 0, NOT(ISBLANK(SamplingData[[#This Row],[Candidate 3]]))),(SamplingData[[#This Row],[Total]]+SamplingData[[#This Row],[Winning Candidate]]-SamplingData[[#This Row],[Candidate 3]])/(SamplingData[[#Totals],[Winning Candidate]]-SamplingData[[#Totals],[Candidate 3]]), 0)</f>
        <v>0</v>
      </c>
      <c r="S281" s="100">
        <f>IF(AND(SamplingData[[#This Row],[Total]]&lt;&gt; 0, NOT(ISBLANK(SamplingData[[#This Row],[Candidate 4]]))),(SamplingData[[#This Row],[Total]]+SamplingData[[#This Row],[Winning Candidate]]-SamplingData[[#This Row],[Candidate 4]])/(SamplingData[[#Totals],[Winning Candidate]]-SamplingData[[#Totals],[Candidate 4]]), 0)</f>
        <v>0</v>
      </c>
      <c r="T281" s="100">
        <f>IF(AND(SamplingData[[#This Row],[Total]]&lt;&gt; 0, NOT(ISBLANK(SamplingData[[#This Row],[Candidate 5]]))),(SamplingData[[#This Row],[Total]]+SamplingData[[#This Row],[Winning Candidate]]-SamplingData[[#This Row],[Candidate 5]])/(SamplingData[[#Totals],[Winning Candidate]]-SamplingData[[#Totals],[Candidate 5]]), 0)</f>
        <v>0</v>
      </c>
      <c r="U281" s="100">
        <f>IF(AND(SamplingData[[#This Row],[Total]]&lt;&gt; 0, NOT(ISBLANK(SamplingData[[#This Row],[Candidate 6]]))),(SamplingData[[#This Row],[Total]]+SamplingData[[#This Row],[Losing Candidate]]-SamplingData[[#This Row],[Candidate 6]])/(SamplingData[[#Totals],[Winning Candidate]]-SamplingData[[#Totals],[Candidate 6]]), 0)</f>
        <v>0</v>
      </c>
      <c r="V281" s="100">
        <f>IF(AND(SamplingData[[#This Row],[Total]]&lt;&gt; 0, NOT(ISBLANK(SamplingData[[#This Row],[Candidate 7]]))),(SamplingData[[#This Row],[Total]]+SamplingData[[#This Row],[Winning Candidate]]-SamplingData[[#This Row],[Candidate 7]])/(SamplingData[[#Totals],[Winning Candidate]]-SamplingData[[#Totals],[Candidate 7]]), 0)</f>
        <v>0</v>
      </c>
      <c r="W281" s="100">
        <f>IF(AND(SamplingData[[#This Row],[Total]]&lt;&gt; 0, NOT(ISBLANK(SamplingData[[#This Row],[Candidate 8]]))),(SamplingData[[#This Row],[Total]]+SamplingData[[#This Row],[Winning Candidate]]-SamplingData[[#This Row],[Candidate 8]])/(SamplingData[[#Totals],[Winning Candidate]]-SamplingData[[#Totals],[Candidate 8]]), 0)</f>
        <v>0</v>
      </c>
      <c r="X2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00">
        <f>MAX(SamplingData[[#This Row],[Error Bound (up) - Max. possible relative overstatement - Losing Candidate]:[Error Bound (up) - Max. possible relative overstatement - Candidate 12]])</f>
        <v>6.2819989320601812E-4</v>
      </c>
      <c r="AC281" s="100">
        <f>IF(SamplingData[[#This Row],[Max Error Bound (up)]] = 0,0,SamplingData[[#This Row],[Max Error Bound (up)]]/SamplingData[[#Totals],[Max Error Bound (up)]])</f>
        <v>2.6920799009314607E-4</v>
      </c>
      <c r="AD281" s="104">
        <f>SUM($AC$5:AC281)</f>
        <v>4.849781941528028E-2</v>
      </c>
      <c r="AE281" s="100" t="str" cm="1">
        <f t="array" ref="AE281">IF(SamplingData[[#This Row],[up/U Selection Probability]] = 0, "Zero", TEXT(SamplingData[[#This Row],[Lower Range]], REPT("0",LEN('General Info'!$B$42))) &amp; " - " &amp; TEXT(SamplingData[[#This Row],[Upper Range]], REPT("0",LEN('General Info'!$B$42))))</f>
        <v>04823 - 04849</v>
      </c>
      <c r="AF281" s="100">
        <f>SamplingData[[#This Row],[Upper Range]]-SamplingData[[#This Row],[Span]]</f>
        <v>4822.8611425187137</v>
      </c>
      <c r="AG281" s="100">
        <f>IF(ISNUMBER('General Info'!$B$42), ((SamplingData[[#This Row],[up/U Selection Probability]]) * 'General Info'!$B$44) - 1, 0)</f>
        <v>25.920799009314607</v>
      </c>
      <c r="AH281" s="100">
        <f>IF(ISNUMBER('General Info'!$B$42), (SamplingData[[#This Row],[Running (cumulative) sum]] * ('General Info'!$B$42 -'General Info'!$B$43 + 1)) + 'General Info'!$B$43 - 1, 0)</f>
        <v>4848.7819415280283</v>
      </c>
      <c r="AI281" s="100" t="str">
        <f>IF(ISERROR(MATCH(SamplingData[[#This Row],[Batch by Type (p)]],SelectedPrecincts[Batch Name], 0)), "", INDEX(SelectedPrecincts[Draw], MATCH(SamplingData[[#This Row],[Batch by Type (p)]],SelectedPrecincts[Batch Name], 0)))</f>
        <v/>
      </c>
      <c r="AJ281" s="101">
        <f>IF(COUNTIF(SelectedPrecincts[Batch Name],SamplingData[[#This Row],[Batch by Type (p)]]) &lt;&gt; 0, COUNTIF(SelectedPrecincts[Batch Name],SamplingData[[#This Row],[Batch by Type (p)]]), 0)</f>
        <v>0</v>
      </c>
    </row>
    <row r="282" spans="1:36" ht="15" customHeight="1" x14ac:dyDescent="0.35">
      <c r="A282" s="98" t="s">
        <v>494</v>
      </c>
      <c r="B282" s="98">
        <v>3</v>
      </c>
      <c r="C282" s="98">
        <v>3</v>
      </c>
      <c r="D282" s="93"/>
      <c r="E282" s="93"/>
      <c r="F282" s="93"/>
      <c r="G282" s="97"/>
      <c r="H282" s="97"/>
      <c r="I282" s="93"/>
      <c r="J282" s="93"/>
      <c r="K282" s="93"/>
      <c r="L282" s="93"/>
      <c r="M282" s="93"/>
      <c r="N282" s="98">
        <v>0</v>
      </c>
      <c r="O282" s="98">
        <v>0</v>
      </c>
      <c r="P282" s="99">
        <f>SUM(SamplingData[[#This Row],[Winning Candidate]:[Under Votes]])</f>
        <v>6</v>
      </c>
      <c r="Q282"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282" s="100">
        <f>IF(AND(SamplingData[[#This Row],[Total]]&lt;&gt; 0, NOT(ISBLANK(SamplingData[[#This Row],[Candidate 3]]))),(SamplingData[[#This Row],[Total]]+SamplingData[[#This Row],[Winning Candidate]]-SamplingData[[#This Row],[Candidate 3]])/(SamplingData[[#Totals],[Winning Candidate]]-SamplingData[[#Totals],[Candidate 3]]), 0)</f>
        <v>0</v>
      </c>
      <c r="S282" s="100">
        <f>IF(AND(SamplingData[[#This Row],[Total]]&lt;&gt; 0, NOT(ISBLANK(SamplingData[[#This Row],[Candidate 4]]))),(SamplingData[[#This Row],[Total]]+SamplingData[[#This Row],[Winning Candidate]]-SamplingData[[#This Row],[Candidate 4]])/(SamplingData[[#Totals],[Winning Candidate]]-SamplingData[[#Totals],[Candidate 4]]), 0)</f>
        <v>0</v>
      </c>
      <c r="T282" s="100">
        <f>IF(AND(SamplingData[[#This Row],[Total]]&lt;&gt; 0, NOT(ISBLANK(SamplingData[[#This Row],[Candidate 5]]))),(SamplingData[[#This Row],[Total]]+SamplingData[[#This Row],[Winning Candidate]]-SamplingData[[#This Row],[Candidate 5]])/(SamplingData[[#Totals],[Winning Candidate]]-SamplingData[[#Totals],[Candidate 5]]), 0)</f>
        <v>0</v>
      </c>
      <c r="U282" s="100">
        <f>IF(AND(SamplingData[[#This Row],[Total]]&lt;&gt; 0, NOT(ISBLANK(SamplingData[[#This Row],[Candidate 6]]))),(SamplingData[[#This Row],[Total]]+SamplingData[[#This Row],[Losing Candidate]]-SamplingData[[#This Row],[Candidate 6]])/(SamplingData[[#Totals],[Winning Candidate]]-SamplingData[[#Totals],[Candidate 6]]), 0)</f>
        <v>0</v>
      </c>
      <c r="V282" s="100">
        <f>IF(AND(SamplingData[[#This Row],[Total]]&lt;&gt; 0, NOT(ISBLANK(SamplingData[[#This Row],[Candidate 7]]))),(SamplingData[[#This Row],[Total]]+SamplingData[[#This Row],[Winning Candidate]]-SamplingData[[#This Row],[Candidate 7]])/(SamplingData[[#Totals],[Winning Candidate]]-SamplingData[[#Totals],[Candidate 7]]), 0)</f>
        <v>0</v>
      </c>
      <c r="W282" s="100">
        <f>IF(AND(SamplingData[[#This Row],[Total]]&lt;&gt; 0, NOT(ISBLANK(SamplingData[[#This Row],[Candidate 8]]))),(SamplingData[[#This Row],[Total]]+SamplingData[[#This Row],[Winning Candidate]]-SamplingData[[#This Row],[Candidate 8]])/(SamplingData[[#Totals],[Winning Candidate]]-SamplingData[[#Totals],[Candidate 8]]), 0)</f>
        <v>0</v>
      </c>
      <c r="X2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00">
        <f>MAX(SamplingData[[#This Row],[Error Bound (up) - Max. possible relative overstatement - Losing Candidate]:[Error Bound (up) - Max. possible relative overstatement - Candidate 12]])</f>
        <v>1.8845996796180544E-4</v>
      </c>
      <c r="AC282" s="100">
        <f>IF(SamplingData[[#This Row],[Max Error Bound (up)]] = 0,0,SamplingData[[#This Row],[Max Error Bound (up)]]/SamplingData[[#Totals],[Max Error Bound (up)]])</f>
        <v>8.0762397027943816E-5</v>
      </c>
      <c r="AD282" s="104">
        <f>SUM($AC$5:AC282)</f>
        <v>4.8578581812308223E-2</v>
      </c>
      <c r="AE282" s="100" t="str" cm="1">
        <f t="array" ref="AE282">IF(SamplingData[[#This Row],[up/U Selection Probability]] = 0, "Zero", TEXT(SamplingData[[#This Row],[Lower Range]], REPT("0",LEN('General Info'!$B$42))) &amp; " - " &amp; TEXT(SamplingData[[#This Row],[Upper Range]], REPT("0",LEN('General Info'!$B$42))))</f>
        <v>04850 - 04857</v>
      </c>
      <c r="AF282" s="100">
        <f>SamplingData[[#This Row],[Upper Range]]-SamplingData[[#This Row],[Span]]</f>
        <v>4849.7819415280273</v>
      </c>
      <c r="AG282" s="100">
        <f>IF(ISNUMBER('General Info'!$B$42), ((SamplingData[[#This Row],[up/U Selection Probability]]) * 'General Info'!$B$44) - 1, 0)</f>
        <v>7.076239702794382</v>
      </c>
      <c r="AH282" s="100">
        <f>IF(ISNUMBER('General Info'!$B$42), (SamplingData[[#This Row],[Running (cumulative) sum]] * ('General Info'!$B$42 -'General Info'!$B$43 + 1)) + 'General Info'!$B$43 - 1, 0)</f>
        <v>4856.8581812308221</v>
      </c>
      <c r="AI282" s="100" t="str">
        <f>IF(ISERROR(MATCH(SamplingData[[#This Row],[Batch by Type (p)]],SelectedPrecincts[Batch Name], 0)), "", INDEX(SelectedPrecincts[Draw], MATCH(SamplingData[[#This Row],[Batch by Type (p)]],SelectedPrecincts[Batch Name], 0)))</f>
        <v/>
      </c>
      <c r="AJ282" s="101">
        <f>IF(COUNTIF(SelectedPrecincts[Batch Name],SamplingData[[#This Row],[Batch by Type (p)]]) &lt;&gt; 0, COUNTIF(SelectedPrecincts[Batch Name],SamplingData[[#This Row],[Batch by Type (p)]]), 0)</f>
        <v>0</v>
      </c>
    </row>
    <row r="283" spans="1:36" ht="15" customHeight="1" x14ac:dyDescent="0.35">
      <c r="A283" s="98" t="s">
        <v>495</v>
      </c>
      <c r="B283" s="98">
        <v>8</v>
      </c>
      <c r="C283" s="98">
        <v>1</v>
      </c>
      <c r="D283" s="93"/>
      <c r="E283" s="93"/>
      <c r="F283" s="93"/>
      <c r="G283" s="97"/>
      <c r="H283" s="97"/>
      <c r="I283" s="93"/>
      <c r="J283" s="93"/>
      <c r="K283" s="93"/>
      <c r="L283" s="93"/>
      <c r="M283" s="93"/>
      <c r="N283" s="98">
        <v>0</v>
      </c>
      <c r="O283" s="98">
        <v>0</v>
      </c>
      <c r="P283" s="99">
        <f>SUM(SamplingData[[#This Row],[Winning Candidate]:[Under Votes]])</f>
        <v>9</v>
      </c>
      <c r="Q283"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283" s="100">
        <f>IF(AND(SamplingData[[#This Row],[Total]]&lt;&gt; 0, NOT(ISBLANK(SamplingData[[#This Row],[Candidate 3]]))),(SamplingData[[#This Row],[Total]]+SamplingData[[#This Row],[Winning Candidate]]-SamplingData[[#This Row],[Candidate 3]])/(SamplingData[[#Totals],[Winning Candidate]]-SamplingData[[#Totals],[Candidate 3]]), 0)</f>
        <v>0</v>
      </c>
      <c r="S283" s="100">
        <f>IF(AND(SamplingData[[#This Row],[Total]]&lt;&gt; 0, NOT(ISBLANK(SamplingData[[#This Row],[Candidate 4]]))),(SamplingData[[#This Row],[Total]]+SamplingData[[#This Row],[Winning Candidate]]-SamplingData[[#This Row],[Candidate 4]])/(SamplingData[[#Totals],[Winning Candidate]]-SamplingData[[#Totals],[Candidate 4]]), 0)</f>
        <v>0</v>
      </c>
      <c r="T283" s="100">
        <f>IF(AND(SamplingData[[#This Row],[Total]]&lt;&gt; 0, NOT(ISBLANK(SamplingData[[#This Row],[Candidate 5]]))),(SamplingData[[#This Row],[Total]]+SamplingData[[#This Row],[Winning Candidate]]-SamplingData[[#This Row],[Candidate 5]])/(SamplingData[[#Totals],[Winning Candidate]]-SamplingData[[#Totals],[Candidate 5]]), 0)</f>
        <v>0</v>
      </c>
      <c r="U283" s="100">
        <f>IF(AND(SamplingData[[#This Row],[Total]]&lt;&gt; 0, NOT(ISBLANK(SamplingData[[#This Row],[Candidate 6]]))),(SamplingData[[#This Row],[Total]]+SamplingData[[#This Row],[Losing Candidate]]-SamplingData[[#This Row],[Candidate 6]])/(SamplingData[[#Totals],[Winning Candidate]]-SamplingData[[#Totals],[Candidate 6]]), 0)</f>
        <v>0</v>
      </c>
      <c r="V283" s="100">
        <f>IF(AND(SamplingData[[#This Row],[Total]]&lt;&gt; 0, NOT(ISBLANK(SamplingData[[#This Row],[Candidate 7]]))),(SamplingData[[#This Row],[Total]]+SamplingData[[#This Row],[Winning Candidate]]-SamplingData[[#This Row],[Candidate 7]])/(SamplingData[[#Totals],[Winning Candidate]]-SamplingData[[#Totals],[Candidate 7]]), 0)</f>
        <v>0</v>
      </c>
      <c r="W283" s="100">
        <f>IF(AND(SamplingData[[#This Row],[Total]]&lt;&gt; 0, NOT(ISBLANK(SamplingData[[#This Row],[Candidate 8]]))),(SamplingData[[#This Row],[Total]]+SamplingData[[#This Row],[Winning Candidate]]-SamplingData[[#This Row],[Candidate 8]])/(SamplingData[[#Totals],[Winning Candidate]]-SamplingData[[#Totals],[Candidate 8]]), 0)</f>
        <v>0</v>
      </c>
      <c r="X2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00">
        <f>MAX(SamplingData[[#This Row],[Error Bound (up) - Max. possible relative overstatement - Losing Candidate]:[Error Bound (up) - Max. possible relative overstatement - Candidate 12]])</f>
        <v>5.0255991456481448E-4</v>
      </c>
      <c r="AC283" s="100">
        <f>IF(SamplingData[[#This Row],[Max Error Bound (up)]] = 0,0,SamplingData[[#This Row],[Max Error Bound (up)]]/SamplingData[[#Totals],[Max Error Bound (up)]])</f>
        <v>2.1536639207451683E-4</v>
      </c>
      <c r="AD283" s="104">
        <f>SUM($AC$5:AC283)</f>
        <v>4.8793948204382744E-2</v>
      </c>
      <c r="AE283" s="100" t="str" cm="1">
        <f t="array" ref="AE283">IF(SamplingData[[#This Row],[up/U Selection Probability]] = 0, "Zero", TEXT(SamplingData[[#This Row],[Lower Range]], REPT("0",LEN('General Info'!$B$42))) &amp; " - " &amp; TEXT(SamplingData[[#This Row],[Upper Range]], REPT("0",LEN('General Info'!$B$42))))</f>
        <v>04858 - 04878</v>
      </c>
      <c r="AF283" s="100">
        <f>SamplingData[[#This Row],[Upper Range]]-SamplingData[[#This Row],[Span]]</f>
        <v>4857.8581812308221</v>
      </c>
      <c r="AG283" s="100">
        <f>IF(ISNUMBER('General Info'!$B$42), ((SamplingData[[#This Row],[up/U Selection Probability]]) * 'General Info'!$B$44) - 1, 0)</f>
        <v>20.536639207451682</v>
      </c>
      <c r="AH283" s="100">
        <f>IF(ISNUMBER('General Info'!$B$42), (SamplingData[[#This Row],[Running (cumulative) sum]] * ('General Info'!$B$42 -'General Info'!$B$43 + 1)) + 'General Info'!$B$43 - 1, 0)</f>
        <v>4878.3948204382741</v>
      </c>
      <c r="AI283" s="100" t="str">
        <f>IF(ISERROR(MATCH(SamplingData[[#This Row],[Batch by Type (p)]],SelectedPrecincts[Batch Name], 0)), "", INDEX(SelectedPrecincts[Draw], MATCH(SamplingData[[#This Row],[Batch by Type (p)]],SelectedPrecincts[Batch Name], 0)))</f>
        <v/>
      </c>
      <c r="AJ283" s="101">
        <f>IF(COUNTIF(SelectedPrecincts[Batch Name],SamplingData[[#This Row],[Batch by Type (p)]]) &lt;&gt; 0, COUNTIF(SelectedPrecincts[Batch Name],SamplingData[[#This Row],[Batch by Type (p)]]), 0)</f>
        <v>0</v>
      </c>
    </row>
    <row r="284" spans="1:36" ht="15" customHeight="1" x14ac:dyDescent="0.35">
      <c r="A284" s="98" t="s">
        <v>496</v>
      </c>
      <c r="B284" s="98">
        <v>18</v>
      </c>
      <c r="C284" s="98">
        <v>0</v>
      </c>
      <c r="D284" s="93"/>
      <c r="E284" s="93"/>
      <c r="F284" s="93"/>
      <c r="G284" s="97"/>
      <c r="H284" s="97"/>
      <c r="I284" s="93"/>
      <c r="J284" s="93"/>
      <c r="K284" s="93"/>
      <c r="L284" s="93"/>
      <c r="M284" s="93"/>
      <c r="N284" s="98">
        <v>0</v>
      </c>
      <c r="O284" s="98">
        <v>0</v>
      </c>
      <c r="P284" s="99">
        <f>SUM(SamplingData[[#This Row],[Winning Candidate]:[Under Votes]])</f>
        <v>18</v>
      </c>
      <c r="Q284"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284" s="100">
        <f>IF(AND(SamplingData[[#This Row],[Total]]&lt;&gt; 0, NOT(ISBLANK(SamplingData[[#This Row],[Candidate 3]]))),(SamplingData[[#This Row],[Total]]+SamplingData[[#This Row],[Winning Candidate]]-SamplingData[[#This Row],[Candidate 3]])/(SamplingData[[#Totals],[Winning Candidate]]-SamplingData[[#Totals],[Candidate 3]]), 0)</f>
        <v>0</v>
      </c>
      <c r="S284" s="100">
        <f>IF(AND(SamplingData[[#This Row],[Total]]&lt;&gt; 0, NOT(ISBLANK(SamplingData[[#This Row],[Candidate 4]]))),(SamplingData[[#This Row],[Total]]+SamplingData[[#This Row],[Winning Candidate]]-SamplingData[[#This Row],[Candidate 4]])/(SamplingData[[#Totals],[Winning Candidate]]-SamplingData[[#Totals],[Candidate 4]]), 0)</f>
        <v>0</v>
      </c>
      <c r="T284" s="100">
        <f>IF(AND(SamplingData[[#This Row],[Total]]&lt;&gt; 0, NOT(ISBLANK(SamplingData[[#This Row],[Candidate 5]]))),(SamplingData[[#This Row],[Total]]+SamplingData[[#This Row],[Winning Candidate]]-SamplingData[[#This Row],[Candidate 5]])/(SamplingData[[#Totals],[Winning Candidate]]-SamplingData[[#Totals],[Candidate 5]]), 0)</f>
        <v>0</v>
      </c>
      <c r="U284" s="100">
        <f>IF(AND(SamplingData[[#This Row],[Total]]&lt;&gt; 0, NOT(ISBLANK(SamplingData[[#This Row],[Candidate 6]]))),(SamplingData[[#This Row],[Total]]+SamplingData[[#This Row],[Losing Candidate]]-SamplingData[[#This Row],[Candidate 6]])/(SamplingData[[#Totals],[Winning Candidate]]-SamplingData[[#Totals],[Candidate 6]]), 0)</f>
        <v>0</v>
      </c>
      <c r="V284" s="100">
        <f>IF(AND(SamplingData[[#This Row],[Total]]&lt;&gt; 0, NOT(ISBLANK(SamplingData[[#This Row],[Candidate 7]]))),(SamplingData[[#This Row],[Total]]+SamplingData[[#This Row],[Winning Candidate]]-SamplingData[[#This Row],[Candidate 7]])/(SamplingData[[#Totals],[Winning Candidate]]-SamplingData[[#Totals],[Candidate 7]]), 0)</f>
        <v>0</v>
      </c>
      <c r="W284" s="100">
        <f>IF(AND(SamplingData[[#This Row],[Total]]&lt;&gt; 0, NOT(ISBLANK(SamplingData[[#This Row],[Candidate 8]]))),(SamplingData[[#This Row],[Total]]+SamplingData[[#This Row],[Winning Candidate]]-SamplingData[[#This Row],[Candidate 8]])/(SamplingData[[#Totals],[Winning Candidate]]-SamplingData[[#Totals],[Candidate 8]]), 0)</f>
        <v>0</v>
      </c>
      <c r="X2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00">
        <f>MAX(SamplingData[[#This Row],[Error Bound (up) - Max. possible relative overstatement - Losing Candidate]:[Error Bound (up) - Max. possible relative overstatement - Candidate 12]])</f>
        <v>1.1307598077708327E-3</v>
      </c>
      <c r="AC284" s="100">
        <f>IF(SamplingData[[#This Row],[Max Error Bound (up)]] = 0,0,SamplingData[[#This Row],[Max Error Bound (up)]]/SamplingData[[#Totals],[Max Error Bound (up)]])</f>
        <v>4.845743821676629E-4</v>
      </c>
      <c r="AD284" s="104">
        <f>SUM($AC$5:AC284)</f>
        <v>4.9278522586550404E-2</v>
      </c>
      <c r="AE284" s="100" t="str" cm="1">
        <f t="array" ref="AE284">IF(SamplingData[[#This Row],[up/U Selection Probability]] = 0, "Zero", TEXT(SamplingData[[#This Row],[Lower Range]], REPT("0",LEN('General Info'!$B$42))) &amp; " - " &amp; TEXT(SamplingData[[#This Row],[Upper Range]], REPT("0",LEN('General Info'!$B$42))))</f>
        <v>04879 - 04927</v>
      </c>
      <c r="AF284" s="100">
        <f>SamplingData[[#This Row],[Upper Range]]-SamplingData[[#This Row],[Span]]</f>
        <v>4879.3948204382741</v>
      </c>
      <c r="AG284" s="100">
        <f>IF(ISNUMBER('General Info'!$B$42), ((SamplingData[[#This Row],[up/U Selection Probability]]) * 'General Info'!$B$44) - 1, 0)</f>
        <v>47.457438216766292</v>
      </c>
      <c r="AH284" s="100">
        <f>IF(ISNUMBER('General Info'!$B$42), (SamplingData[[#This Row],[Running (cumulative) sum]] * ('General Info'!$B$42 -'General Info'!$B$43 + 1)) + 'General Info'!$B$43 - 1, 0)</f>
        <v>4926.8522586550407</v>
      </c>
      <c r="AI284" s="100" t="str">
        <f>IF(ISERROR(MATCH(SamplingData[[#This Row],[Batch by Type (p)]],SelectedPrecincts[Batch Name], 0)), "", INDEX(SelectedPrecincts[Draw], MATCH(SamplingData[[#This Row],[Batch by Type (p)]],SelectedPrecincts[Batch Name], 0)))</f>
        <v/>
      </c>
      <c r="AJ284" s="101">
        <f>IF(COUNTIF(SelectedPrecincts[Batch Name],SamplingData[[#This Row],[Batch by Type (p)]]) &lt;&gt; 0, COUNTIF(SelectedPrecincts[Batch Name],SamplingData[[#This Row],[Batch by Type (p)]]), 0)</f>
        <v>0</v>
      </c>
    </row>
    <row r="285" spans="1:36" ht="15" customHeight="1" x14ac:dyDescent="0.35">
      <c r="A285" s="98" t="s">
        <v>497</v>
      </c>
      <c r="B285" s="98">
        <v>7</v>
      </c>
      <c r="C285" s="98">
        <v>1</v>
      </c>
      <c r="D285" s="93"/>
      <c r="E285" s="93"/>
      <c r="F285" s="93"/>
      <c r="G285" s="97"/>
      <c r="H285" s="97"/>
      <c r="I285" s="93"/>
      <c r="J285" s="93"/>
      <c r="K285" s="93"/>
      <c r="L285" s="93"/>
      <c r="M285" s="93"/>
      <c r="N285" s="98">
        <v>0</v>
      </c>
      <c r="O285" s="98">
        <v>0</v>
      </c>
      <c r="P285" s="99">
        <f>SUM(SamplingData[[#This Row],[Winning Candidate]:[Under Votes]])</f>
        <v>8</v>
      </c>
      <c r="Q285"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285" s="100">
        <f>IF(AND(SamplingData[[#This Row],[Total]]&lt;&gt; 0, NOT(ISBLANK(SamplingData[[#This Row],[Candidate 3]]))),(SamplingData[[#This Row],[Total]]+SamplingData[[#This Row],[Winning Candidate]]-SamplingData[[#This Row],[Candidate 3]])/(SamplingData[[#Totals],[Winning Candidate]]-SamplingData[[#Totals],[Candidate 3]]), 0)</f>
        <v>0</v>
      </c>
      <c r="S285" s="100">
        <f>IF(AND(SamplingData[[#This Row],[Total]]&lt;&gt; 0, NOT(ISBLANK(SamplingData[[#This Row],[Candidate 4]]))),(SamplingData[[#This Row],[Total]]+SamplingData[[#This Row],[Winning Candidate]]-SamplingData[[#This Row],[Candidate 4]])/(SamplingData[[#Totals],[Winning Candidate]]-SamplingData[[#Totals],[Candidate 4]]), 0)</f>
        <v>0</v>
      </c>
      <c r="T285" s="100">
        <f>IF(AND(SamplingData[[#This Row],[Total]]&lt;&gt; 0, NOT(ISBLANK(SamplingData[[#This Row],[Candidate 5]]))),(SamplingData[[#This Row],[Total]]+SamplingData[[#This Row],[Winning Candidate]]-SamplingData[[#This Row],[Candidate 5]])/(SamplingData[[#Totals],[Winning Candidate]]-SamplingData[[#Totals],[Candidate 5]]), 0)</f>
        <v>0</v>
      </c>
      <c r="U285" s="100">
        <f>IF(AND(SamplingData[[#This Row],[Total]]&lt;&gt; 0, NOT(ISBLANK(SamplingData[[#This Row],[Candidate 6]]))),(SamplingData[[#This Row],[Total]]+SamplingData[[#This Row],[Losing Candidate]]-SamplingData[[#This Row],[Candidate 6]])/(SamplingData[[#Totals],[Winning Candidate]]-SamplingData[[#Totals],[Candidate 6]]), 0)</f>
        <v>0</v>
      </c>
      <c r="V285" s="100">
        <f>IF(AND(SamplingData[[#This Row],[Total]]&lt;&gt; 0, NOT(ISBLANK(SamplingData[[#This Row],[Candidate 7]]))),(SamplingData[[#This Row],[Total]]+SamplingData[[#This Row],[Winning Candidate]]-SamplingData[[#This Row],[Candidate 7]])/(SamplingData[[#Totals],[Winning Candidate]]-SamplingData[[#Totals],[Candidate 7]]), 0)</f>
        <v>0</v>
      </c>
      <c r="W285" s="100">
        <f>IF(AND(SamplingData[[#This Row],[Total]]&lt;&gt; 0, NOT(ISBLANK(SamplingData[[#This Row],[Candidate 8]]))),(SamplingData[[#This Row],[Total]]+SamplingData[[#This Row],[Winning Candidate]]-SamplingData[[#This Row],[Candidate 8]])/(SamplingData[[#Totals],[Winning Candidate]]-SamplingData[[#Totals],[Candidate 8]]), 0)</f>
        <v>0</v>
      </c>
      <c r="X2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00">
        <f>MAX(SamplingData[[#This Row],[Error Bound (up) - Max. possible relative overstatement - Losing Candidate]:[Error Bound (up) - Max. possible relative overstatement - Candidate 12]])</f>
        <v>4.3973992524421271E-4</v>
      </c>
      <c r="AC285" s="100">
        <f>IF(SamplingData[[#This Row],[Max Error Bound (up)]] = 0,0,SamplingData[[#This Row],[Max Error Bound (up)]]/SamplingData[[#Totals],[Max Error Bound (up)]])</f>
        <v>1.8844559306520223E-4</v>
      </c>
      <c r="AD285" s="104">
        <f>SUM($AC$5:AC285)</f>
        <v>4.9466968179615607E-2</v>
      </c>
      <c r="AE285" s="100" t="str" cm="1">
        <f t="array" ref="AE285">IF(SamplingData[[#This Row],[up/U Selection Probability]] = 0, "Zero", TEXT(SamplingData[[#This Row],[Lower Range]], REPT("0",LEN('General Info'!$B$42))) &amp; " - " &amp; TEXT(SamplingData[[#This Row],[Upper Range]], REPT("0",LEN('General Info'!$B$42))))</f>
        <v>04928 - 04946</v>
      </c>
      <c r="AF285" s="100">
        <f>SamplingData[[#This Row],[Upper Range]]-SamplingData[[#This Row],[Span]]</f>
        <v>4927.8522586550407</v>
      </c>
      <c r="AG285" s="100">
        <f>IF(ISNUMBER('General Info'!$B$42), ((SamplingData[[#This Row],[up/U Selection Probability]]) * 'General Info'!$B$44) - 1, 0)</f>
        <v>17.844559306520225</v>
      </c>
      <c r="AH285" s="100">
        <f>IF(ISNUMBER('General Info'!$B$42), (SamplingData[[#This Row],[Running (cumulative) sum]] * ('General Info'!$B$42 -'General Info'!$B$43 + 1)) + 'General Info'!$B$43 - 1, 0)</f>
        <v>4945.6968179615606</v>
      </c>
      <c r="AI285" s="100" t="str">
        <f>IF(ISERROR(MATCH(SamplingData[[#This Row],[Batch by Type (p)]],SelectedPrecincts[Batch Name], 0)), "", INDEX(SelectedPrecincts[Draw], MATCH(SamplingData[[#This Row],[Batch by Type (p)]],SelectedPrecincts[Batch Name], 0)))</f>
        <v/>
      </c>
      <c r="AJ285" s="101">
        <f>IF(COUNTIF(SelectedPrecincts[Batch Name],SamplingData[[#This Row],[Batch by Type (p)]]) &lt;&gt; 0, COUNTIF(SelectedPrecincts[Batch Name],SamplingData[[#This Row],[Batch by Type (p)]]), 0)</f>
        <v>0</v>
      </c>
    </row>
    <row r="286" spans="1:36" ht="15" customHeight="1" x14ac:dyDescent="0.35">
      <c r="A286" s="98" t="s">
        <v>498</v>
      </c>
      <c r="B286" s="98">
        <v>12</v>
      </c>
      <c r="C286" s="98">
        <v>1</v>
      </c>
      <c r="D286" s="93"/>
      <c r="E286" s="93"/>
      <c r="F286" s="93"/>
      <c r="G286" s="97"/>
      <c r="H286" s="97"/>
      <c r="I286" s="93"/>
      <c r="J286" s="93"/>
      <c r="K286" s="93"/>
      <c r="L286" s="93"/>
      <c r="M286" s="93"/>
      <c r="N286" s="98">
        <v>0</v>
      </c>
      <c r="O286" s="98">
        <v>0</v>
      </c>
      <c r="P286" s="99">
        <f>SUM(SamplingData[[#This Row],[Winning Candidate]:[Under Votes]])</f>
        <v>13</v>
      </c>
      <c r="Q286"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286" s="100">
        <f>IF(AND(SamplingData[[#This Row],[Total]]&lt;&gt; 0, NOT(ISBLANK(SamplingData[[#This Row],[Candidate 3]]))),(SamplingData[[#This Row],[Total]]+SamplingData[[#This Row],[Winning Candidate]]-SamplingData[[#This Row],[Candidate 3]])/(SamplingData[[#Totals],[Winning Candidate]]-SamplingData[[#Totals],[Candidate 3]]), 0)</f>
        <v>0</v>
      </c>
      <c r="S286" s="100">
        <f>IF(AND(SamplingData[[#This Row],[Total]]&lt;&gt; 0, NOT(ISBLANK(SamplingData[[#This Row],[Candidate 4]]))),(SamplingData[[#This Row],[Total]]+SamplingData[[#This Row],[Winning Candidate]]-SamplingData[[#This Row],[Candidate 4]])/(SamplingData[[#Totals],[Winning Candidate]]-SamplingData[[#Totals],[Candidate 4]]), 0)</f>
        <v>0</v>
      </c>
      <c r="T286" s="100">
        <f>IF(AND(SamplingData[[#This Row],[Total]]&lt;&gt; 0, NOT(ISBLANK(SamplingData[[#This Row],[Candidate 5]]))),(SamplingData[[#This Row],[Total]]+SamplingData[[#This Row],[Winning Candidate]]-SamplingData[[#This Row],[Candidate 5]])/(SamplingData[[#Totals],[Winning Candidate]]-SamplingData[[#Totals],[Candidate 5]]), 0)</f>
        <v>0</v>
      </c>
      <c r="U286" s="100">
        <f>IF(AND(SamplingData[[#This Row],[Total]]&lt;&gt; 0, NOT(ISBLANK(SamplingData[[#This Row],[Candidate 6]]))),(SamplingData[[#This Row],[Total]]+SamplingData[[#This Row],[Losing Candidate]]-SamplingData[[#This Row],[Candidate 6]])/(SamplingData[[#Totals],[Winning Candidate]]-SamplingData[[#Totals],[Candidate 6]]), 0)</f>
        <v>0</v>
      </c>
      <c r="V286" s="100">
        <f>IF(AND(SamplingData[[#This Row],[Total]]&lt;&gt; 0, NOT(ISBLANK(SamplingData[[#This Row],[Candidate 7]]))),(SamplingData[[#This Row],[Total]]+SamplingData[[#This Row],[Winning Candidate]]-SamplingData[[#This Row],[Candidate 7]])/(SamplingData[[#Totals],[Winning Candidate]]-SamplingData[[#Totals],[Candidate 7]]), 0)</f>
        <v>0</v>
      </c>
      <c r="W286" s="100">
        <f>IF(AND(SamplingData[[#This Row],[Total]]&lt;&gt; 0, NOT(ISBLANK(SamplingData[[#This Row],[Candidate 8]]))),(SamplingData[[#This Row],[Total]]+SamplingData[[#This Row],[Winning Candidate]]-SamplingData[[#This Row],[Candidate 8]])/(SamplingData[[#Totals],[Winning Candidate]]-SamplingData[[#Totals],[Candidate 8]]), 0)</f>
        <v>0</v>
      </c>
      <c r="X2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00">
        <f>MAX(SamplingData[[#This Row],[Error Bound (up) - Max. possible relative overstatement - Losing Candidate]:[Error Bound (up) - Max. possible relative overstatement - Candidate 12]])</f>
        <v>7.5383987184722177E-4</v>
      </c>
      <c r="AC286" s="100">
        <f>IF(SamplingData[[#This Row],[Max Error Bound (up)]] = 0,0,SamplingData[[#This Row],[Max Error Bound (up)]]/SamplingData[[#Totals],[Max Error Bound (up)]])</f>
        <v>3.2304958811177527E-4</v>
      </c>
      <c r="AD286" s="104">
        <f>SUM($AC$5:AC286)</f>
        <v>4.9790017767727381E-2</v>
      </c>
      <c r="AE286" s="100" t="str" cm="1">
        <f t="array" ref="AE286">IF(SamplingData[[#This Row],[up/U Selection Probability]] = 0, "Zero", TEXT(SamplingData[[#This Row],[Lower Range]], REPT("0",LEN('General Info'!$B$42))) &amp; " - " &amp; TEXT(SamplingData[[#This Row],[Upper Range]], REPT("0",LEN('General Info'!$B$42))))</f>
        <v>04947 - 04978</v>
      </c>
      <c r="AF286" s="100">
        <f>SamplingData[[#This Row],[Upper Range]]-SamplingData[[#This Row],[Span]]</f>
        <v>4946.6968179615606</v>
      </c>
      <c r="AG286" s="100">
        <f>IF(ISNUMBER('General Info'!$B$42), ((SamplingData[[#This Row],[up/U Selection Probability]]) * 'General Info'!$B$44) - 1, 0)</f>
        <v>31.304958811177528</v>
      </c>
      <c r="AH286" s="100">
        <f>IF(ISNUMBER('General Info'!$B$42), (SamplingData[[#This Row],[Running (cumulative) sum]] * ('General Info'!$B$42 -'General Info'!$B$43 + 1)) + 'General Info'!$B$43 - 1, 0)</f>
        <v>4978.0017767727377</v>
      </c>
      <c r="AI286" s="100" t="str">
        <f>IF(ISERROR(MATCH(SamplingData[[#This Row],[Batch by Type (p)]],SelectedPrecincts[Batch Name], 0)), "", INDEX(SelectedPrecincts[Draw], MATCH(SamplingData[[#This Row],[Batch by Type (p)]],SelectedPrecincts[Batch Name], 0)))</f>
        <v/>
      </c>
      <c r="AJ286" s="101">
        <f>IF(COUNTIF(SelectedPrecincts[Batch Name],SamplingData[[#This Row],[Batch by Type (p)]]) &lt;&gt; 0, COUNTIF(SelectedPrecincts[Batch Name],SamplingData[[#This Row],[Batch by Type (p)]]), 0)</f>
        <v>0</v>
      </c>
    </row>
    <row r="287" spans="1:36" ht="15" customHeight="1" x14ac:dyDescent="0.35">
      <c r="A287" s="98" t="s">
        <v>499</v>
      </c>
      <c r="B287" s="98">
        <v>14</v>
      </c>
      <c r="C287" s="98">
        <v>3</v>
      </c>
      <c r="D287" s="93"/>
      <c r="E287" s="93"/>
      <c r="F287" s="93"/>
      <c r="G287" s="97"/>
      <c r="H287" s="97"/>
      <c r="I287" s="93"/>
      <c r="J287" s="93"/>
      <c r="K287" s="93"/>
      <c r="L287" s="93"/>
      <c r="M287" s="93"/>
      <c r="N287" s="98">
        <v>0</v>
      </c>
      <c r="O287" s="98">
        <v>1</v>
      </c>
      <c r="P287" s="99">
        <f>SUM(SamplingData[[#This Row],[Winning Candidate]:[Under Votes]])</f>
        <v>18</v>
      </c>
      <c r="Q287" s="100">
        <f>IF(AND(SamplingData[[#This Row],[Total]]&lt;&gt; 0, NOT(ISBLANK(SamplingData[[#This Row],[Losing Candidate]]))),(SamplingData[[#This Row],[Total]]+SamplingData[[#This Row],[Winning Candidate]]-SamplingData[[#This Row],[Losing Candidate]])/(SamplingData[[#Totals],[Winning Candidate]]-SamplingData[[#Totals],[Losing Candidate]]), 0)</f>
        <v>9.108898451487263E-4</v>
      </c>
      <c r="R287" s="100">
        <f>IF(AND(SamplingData[[#This Row],[Total]]&lt;&gt; 0, NOT(ISBLANK(SamplingData[[#This Row],[Candidate 3]]))),(SamplingData[[#This Row],[Total]]+SamplingData[[#This Row],[Winning Candidate]]-SamplingData[[#This Row],[Candidate 3]])/(SamplingData[[#Totals],[Winning Candidate]]-SamplingData[[#Totals],[Candidate 3]]), 0)</f>
        <v>0</v>
      </c>
      <c r="S287" s="100">
        <f>IF(AND(SamplingData[[#This Row],[Total]]&lt;&gt; 0, NOT(ISBLANK(SamplingData[[#This Row],[Candidate 4]]))),(SamplingData[[#This Row],[Total]]+SamplingData[[#This Row],[Winning Candidate]]-SamplingData[[#This Row],[Candidate 4]])/(SamplingData[[#Totals],[Winning Candidate]]-SamplingData[[#Totals],[Candidate 4]]), 0)</f>
        <v>0</v>
      </c>
      <c r="T287" s="100">
        <f>IF(AND(SamplingData[[#This Row],[Total]]&lt;&gt; 0, NOT(ISBLANK(SamplingData[[#This Row],[Candidate 5]]))),(SamplingData[[#This Row],[Total]]+SamplingData[[#This Row],[Winning Candidate]]-SamplingData[[#This Row],[Candidate 5]])/(SamplingData[[#Totals],[Winning Candidate]]-SamplingData[[#Totals],[Candidate 5]]), 0)</f>
        <v>0</v>
      </c>
      <c r="U287" s="100">
        <f>IF(AND(SamplingData[[#This Row],[Total]]&lt;&gt; 0, NOT(ISBLANK(SamplingData[[#This Row],[Candidate 6]]))),(SamplingData[[#This Row],[Total]]+SamplingData[[#This Row],[Losing Candidate]]-SamplingData[[#This Row],[Candidate 6]])/(SamplingData[[#Totals],[Winning Candidate]]-SamplingData[[#Totals],[Candidate 6]]), 0)</f>
        <v>0</v>
      </c>
      <c r="V287" s="100">
        <f>IF(AND(SamplingData[[#This Row],[Total]]&lt;&gt; 0, NOT(ISBLANK(SamplingData[[#This Row],[Candidate 7]]))),(SamplingData[[#This Row],[Total]]+SamplingData[[#This Row],[Winning Candidate]]-SamplingData[[#This Row],[Candidate 7]])/(SamplingData[[#Totals],[Winning Candidate]]-SamplingData[[#Totals],[Candidate 7]]), 0)</f>
        <v>0</v>
      </c>
      <c r="W287" s="100">
        <f>IF(AND(SamplingData[[#This Row],[Total]]&lt;&gt; 0, NOT(ISBLANK(SamplingData[[#This Row],[Candidate 8]]))),(SamplingData[[#This Row],[Total]]+SamplingData[[#This Row],[Winning Candidate]]-SamplingData[[#This Row],[Candidate 8]])/(SamplingData[[#Totals],[Winning Candidate]]-SamplingData[[#Totals],[Candidate 8]]), 0)</f>
        <v>0</v>
      </c>
      <c r="X2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00">
        <f>MAX(SamplingData[[#This Row],[Error Bound (up) - Max. possible relative overstatement - Losing Candidate]:[Error Bound (up) - Max. possible relative overstatement - Candidate 12]])</f>
        <v>9.108898451487263E-4</v>
      </c>
      <c r="AC287" s="100">
        <f>IF(SamplingData[[#This Row],[Max Error Bound (up)]] = 0,0,SamplingData[[#This Row],[Max Error Bound (up)]]/SamplingData[[#Totals],[Max Error Bound (up)]])</f>
        <v>3.9035158563506176E-4</v>
      </c>
      <c r="AD287" s="104">
        <f>SUM($AC$5:AC287)</f>
        <v>5.0180369353362439E-2</v>
      </c>
      <c r="AE287" s="100" t="str" cm="1">
        <f t="array" ref="AE287">IF(SamplingData[[#This Row],[up/U Selection Probability]] = 0, "Zero", TEXT(SamplingData[[#This Row],[Lower Range]], REPT("0",LEN('General Info'!$B$42))) &amp; " - " &amp; TEXT(SamplingData[[#This Row],[Upper Range]], REPT("0",LEN('General Info'!$B$42))))</f>
        <v>04979 - 05017</v>
      </c>
      <c r="AF287" s="100">
        <f>SamplingData[[#This Row],[Upper Range]]-SamplingData[[#This Row],[Span]]</f>
        <v>4979.0017767727377</v>
      </c>
      <c r="AG287" s="100">
        <f>IF(ISNUMBER('General Info'!$B$42), ((SamplingData[[#This Row],[up/U Selection Probability]]) * 'General Info'!$B$44) - 1, 0)</f>
        <v>38.035158563506172</v>
      </c>
      <c r="AH287" s="100">
        <f>IF(ISNUMBER('General Info'!$B$42), (SamplingData[[#This Row],[Running (cumulative) sum]] * ('General Info'!$B$42 -'General Info'!$B$43 + 1)) + 'General Info'!$B$43 - 1, 0)</f>
        <v>5017.0369353362439</v>
      </c>
      <c r="AI287" s="100" t="str">
        <f>IF(ISERROR(MATCH(SamplingData[[#This Row],[Batch by Type (p)]],SelectedPrecincts[Batch Name], 0)), "", INDEX(SelectedPrecincts[Draw], MATCH(SamplingData[[#This Row],[Batch by Type (p)]],SelectedPrecincts[Batch Name], 0)))</f>
        <v/>
      </c>
      <c r="AJ287" s="101">
        <f>IF(COUNTIF(SelectedPrecincts[Batch Name],SamplingData[[#This Row],[Batch by Type (p)]]) &lt;&gt; 0, COUNTIF(SelectedPrecincts[Batch Name],SamplingData[[#This Row],[Batch by Type (p)]]), 0)</f>
        <v>0</v>
      </c>
    </row>
    <row r="288" spans="1:36" ht="15" customHeight="1" x14ac:dyDescent="0.35">
      <c r="A288" s="98" t="s">
        <v>500</v>
      </c>
      <c r="B288" s="98">
        <v>14</v>
      </c>
      <c r="C288" s="98">
        <v>4</v>
      </c>
      <c r="D288" s="93"/>
      <c r="E288" s="93"/>
      <c r="F288" s="93"/>
      <c r="G288" s="97"/>
      <c r="H288" s="97"/>
      <c r="I288" s="93"/>
      <c r="J288" s="93"/>
      <c r="K288" s="93"/>
      <c r="L288" s="93"/>
      <c r="M288" s="93"/>
      <c r="N288" s="98">
        <v>0</v>
      </c>
      <c r="O288" s="98">
        <v>0</v>
      </c>
      <c r="P288" s="99">
        <f>SUM(SamplingData[[#This Row],[Winning Candidate]:[Under Votes]])</f>
        <v>18</v>
      </c>
      <c r="Q288"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288" s="100">
        <f>IF(AND(SamplingData[[#This Row],[Total]]&lt;&gt; 0, NOT(ISBLANK(SamplingData[[#This Row],[Candidate 3]]))),(SamplingData[[#This Row],[Total]]+SamplingData[[#This Row],[Winning Candidate]]-SamplingData[[#This Row],[Candidate 3]])/(SamplingData[[#Totals],[Winning Candidate]]-SamplingData[[#Totals],[Candidate 3]]), 0)</f>
        <v>0</v>
      </c>
      <c r="S288" s="100">
        <f>IF(AND(SamplingData[[#This Row],[Total]]&lt;&gt; 0, NOT(ISBLANK(SamplingData[[#This Row],[Candidate 4]]))),(SamplingData[[#This Row],[Total]]+SamplingData[[#This Row],[Winning Candidate]]-SamplingData[[#This Row],[Candidate 4]])/(SamplingData[[#Totals],[Winning Candidate]]-SamplingData[[#Totals],[Candidate 4]]), 0)</f>
        <v>0</v>
      </c>
      <c r="T288" s="100">
        <f>IF(AND(SamplingData[[#This Row],[Total]]&lt;&gt; 0, NOT(ISBLANK(SamplingData[[#This Row],[Candidate 5]]))),(SamplingData[[#This Row],[Total]]+SamplingData[[#This Row],[Winning Candidate]]-SamplingData[[#This Row],[Candidate 5]])/(SamplingData[[#Totals],[Winning Candidate]]-SamplingData[[#Totals],[Candidate 5]]), 0)</f>
        <v>0</v>
      </c>
      <c r="U288" s="100">
        <f>IF(AND(SamplingData[[#This Row],[Total]]&lt;&gt; 0, NOT(ISBLANK(SamplingData[[#This Row],[Candidate 6]]))),(SamplingData[[#This Row],[Total]]+SamplingData[[#This Row],[Losing Candidate]]-SamplingData[[#This Row],[Candidate 6]])/(SamplingData[[#Totals],[Winning Candidate]]-SamplingData[[#Totals],[Candidate 6]]), 0)</f>
        <v>0</v>
      </c>
      <c r="V288" s="100">
        <f>IF(AND(SamplingData[[#This Row],[Total]]&lt;&gt; 0, NOT(ISBLANK(SamplingData[[#This Row],[Candidate 7]]))),(SamplingData[[#This Row],[Total]]+SamplingData[[#This Row],[Winning Candidate]]-SamplingData[[#This Row],[Candidate 7]])/(SamplingData[[#Totals],[Winning Candidate]]-SamplingData[[#Totals],[Candidate 7]]), 0)</f>
        <v>0</v>
      </c>
      <c r="W288" s="100">
        <f>IF(AND(SamplingData[[#This Row],[Total]]&lt;&gt; 0, NOT(ISBLANK(SamplingData[[#This Row],[Candidate 8]]))),(SamplingData[[#This Row],[Total]]+SamplingData[[#This Row],[Winning Candidate]]-SamplingData[[#This Row],[Candidate 8]])/(SamplingData[[#Totals],[Winning Candidate]]-SamplingData[[#Totals],[Candidate 8]]), 0)</f>
        <v>0</v>
      </c>
      <c r="X2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00">
        <f>MAX(SamplingData[[#This Row],[Error Bound (up) - Max. possible relative overstatement - Losing Candidate]:[Error Bound (up) - Max. possible relative overstatement - Candidate 12]])</f>
        <v>8.7947985048842541E-4</v>
      </c>
      <c r="AC288" s="100">
        <f>IF(SamplingData[[#This Row],[Max Error Bound (up)]] = 0,0,SamplingData[[#This Row],[Max Error Bound (up)]]/SamplingData[[#Totals],[Max Error Bound (up)]])</f>
        <v>3.7689118613040446E-4</v>
      </c>
      <c r="AD288" s="104">
        <f>SUM($AC$5:AC288)</f>
        <v>5.0557260539492846E-2</v>
      </c>
      <c r="AE288" s="100" t="str" cm="1">
        <f t="array" ref="AE288">IF(SamplingData[[#This Row],[up/U Selection Probability]] = 0, "Zero", TEXT(SamplingData[[#This Row],[Lower Range]], REPT("0",LEN('General Info'!$B$42))) &amp; " - " &amp; TEXT(SamplingData[[#This Row],[Upper Range]], REPT("0",LEN('General Info'!$B$42))))</f>
        <v>05018 - 05055</v>
      </c>
      <c r="AF288" s="100">
        <f>SamplingData[[#This Row],[Upper Range]]-SamplingData[[#This Row],[Span]]</f>
        <v>5018.0369353362439</v>
      </c>
      <c r="AG288" s="100">
        <f>IF(ISNUMBER('General Info'!$B$42), ((SamplingData[[#This Row],[up/U Selection Probability]]) * 'General Info'!$B$44) - 1, 0)</f>
        <v>36.689118613040449</v>
      </c>
      <c r="AH288" s="100">
        <f>IF(ISNUMBER('General Info'!$B$42), (SamplingData[[#This Row],[Running (cumulative) sum]] * ('General Info'!$B$42 -'General Info'!$B$43 + 1)) + 'General Info'!$B$43 - 1, 0)</f>
        <v>5054.7260539492845</v>
      </c>
      <c r="AI288" s="100" t="str">
        <f>IF(ISERROR(MATCH(SamplingData[[#This Row],[Batch by Type (p)]],SelectedPrecincts[Batch Name], 0)), "", INDEX(SelectedPrecincts[Draw], MATCH(SamplingData[[#This Row],[Batch by Type (p)]],SelectedPrecincts[Batch Name], 0)))</f>
        <v/>
      </c>
      <c r="AJ288" s="101">
        <f>IF(COUNTIF(SelectedPrecincts[Batch Name],SamplingData[[#This Row],[Batch by Type (p)]]) &lt;&gt; 0, COUNTIF(SelectedPrecincts[Batch Name],SamplingData[[#This Row],[Batch by Type (p)]]), 0)</f>
        <v>0</v>
      </c>
    </row>
    <row r="289" spans="1:36" ht="15" customHeight="1" x14ac:dyDescent="0.35">
      <c r="A289" s="98" t="s">
        <v>501</v>
      </c>
      <c r="B289" s="98">
        <v>1</v>
      </c>
      <c r="C289" s="98">
        <v>0</v>
      </c>
      <c r="D289" s="93"/>
      <c r="E289" s="93"/>
      <c r="F289" s="93"/>
      <c r="G289" s="97"/>
      <c r="H289" s="97"/>
      <c r="I289" s="93"/>
      <c r="J289" s="93"/>
      <c r="K289" s="93"/>
      <c r="L289" s="93"/>
      <c r="M289" s="93"/>
      <c r="N289" s="98">
        <v>0</v>
      </c>
      <c r="O289" s="98">
        <v>0</v>
      </c>
      <c r="P289" s="99">
        <f>SUM(SamplingData[[#This Row],[Winning Candidate]:[Under Votes]])</f>
        <v>1</v>
      </c>
      <c r="Q289"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289" s="100">
        <f>IF(AND(SamplingData[[#This Row],[Total]]&lt;&gt; 0, NOT(ISBLANK(SamplingData[[#This Row],[Candidate 3]]))),(SamplingData[[#This Row],[Total]]+SamplingData[[#This Row],[Winning Candidate]]-SamplingData[[#This Row],[Candidate 3]])/(SamplingData[[#Totals],[Winning Candidate]]-SamplingData[[#Totals],[Candidate 3]]), 0)</f>
        <v>0</v>
      </c>
      <c r="S289" s="100">
        <f>IF(AND(SamplingData[[#This Row],[Total]]&lt;&gt; 0, NOT(ISBLANK(SamplingData[[#This Row],[Candidate 4]]))),(SamplingData[[#This Row],[Total]]+SamplingData[[#This Row],[Winning Candidate]]-SamplingData[[#This Row],[Candidate 4]])/(SamplingData[[#Totals],[Winning Candidate]]-SamplingData[[#Totals],[Candidate 4]]), 0)</f>
        <v>0</v>
      </c>
      <c r="T289" s="100">
        <f>IF(AND(SamplingData[[#This Row],[Total]]&lt;&gt; 0, NOT(ISBLANK(SamplingData[[#This Row],[Candidate 5]]))),(SamplingData[[#This Row],[Total]]+SamplingData[[#This Row],[Winning Candidate]]-SamplingData[[#This Row],[Candidate 5]])/(SamplingData[[#Totals],[Winning Candidate]]-SamplingData[[#Totals],[Candidate 5]]), 0)</f>
        <v>0</v>
      </c>
      <c r="U289" s="100">
        <f>IF(AND(SamplingData[[#This Row],[Total]]&lt;&gt; 0, NOT(ISBLANK(SamplingData[[#This Row],[Candidate 6]]))),(SamplingData[[#This Row],[Total]]+SamplingData[[#This Row],[Losing Candidate]]-SamplingData[[#This Row],[Candidate 6]])/(SamplingData[[#Totals],[Winning Candidate]]-SamplingData[[#Totals],[Candidate 6]]), 0)</f>
        <v>0</v>
      </c>
      <c r="V289" s="100">
        <f>IF(AND(SamplingData[[#This Row],[Total]]&lt;&gt; 0, NOT(ISBLANK(SamplingData[[#This Row],[Candidate 7]]))),(SamplingData[[#This Row],[Total]]+SamplingData[[#This Row],[Winning Candidate]]-SamplingData[[#This Row],[Candidate 7]])/(SamplingData[[#Totals],[Winning Candidate]]-SamplingData[[#Totals],[Candidate 7]]), 0)</f>
        <v>0</v>
      </c>
      <c r="W289" s="100">
        <f>IF(AND(SamplingData[[#This Row],[Total]]&lt;&gt; 0, NOT(ISBLANK(SamplingData[[#This Row],[Candidate 8]]))),(SamplingData[[#This Row],[Total]]+SamplingData[[#This Row],[Winning Candidate]]-SamplingData[[#This Row],[Candidate 8]])/(SamplingData[[#Totals],[Winning Candidate]]-SamplingData[[#Totals],[Candidate 8]]), 0)</f>
        <v>0</v>
      </c>
      <c r="X2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00">
        <f>MAX(SamplingData[[#This Row],[Error Bound (up) - Max. possible relative overstatement - Losing Candidate]:[Error Bound (up) - Max. possible relative overstatement - Candidate 12]])</f>
        <v>6.2819989320601809E-5</v>
      </c>
      <c r="AC289" s="100">
        <f>IF(SamplingData[[#This Row],[Max Error Bound (up)]] = 0,0,SamplingData[[#This Row],[Max Error Bound (up)]]/SamplingData[[#Totals],[Max Error Bound (up)]])</f>
        <v>2.6920799009314603E-5</v>
      </c>
      <c r="AD289" s="104">
        <f>SUM($AC$5:AC289)</f>
        <v>5.0584181338502163E-2</v>
      </c>
      <c r="AE289" s="100" t="str" cm="1">
        <f t="array" ref="AE289">IF(SamplingData[[#This Row],[up/U Selection Probability]] = 0, "Zero", TEXT(SamplingData[[#This Row],[Lower Range]], REPT("0",LEN('General Info'!$B$42))) &amp; " - " &amp; TEXT(SamplingData[[#This Row],[Upper Range]], REPT("0",LEN('General Info'!$B$42))))</f>
        <v>05056 - 05057</v>
      </c>
      <c r="AF289" s="100">
        <f>SamplingData[[#This Row],[Upper Range]]-SamplingData[[#This Row],[Span]]</f>
        <v>5055.7260539492854</v>
      </c>
      <c r="AG289" s="100">
        <f>IF(ISNUMBER('General Info'!$B$42), ((SamplingData[[#This Row],[up/U Selection Probability]]) * 'General Info'!$B$44) - 1, 0)</f>
        <v>1.6920799009314602</v>
      </c>
      <c r="AH289" s="100">
        <f>IF(ISNUMBER('General Info'!$B$42), (SamplingData[[#This Row],[Running (cumulative) sum]] * ('General Info'!$B$42 -'General Info'!$B$43 + 1)) + 'General Info'!$B$43 - 1, 0)</f>
        <v>5057.4181338502167</v>
      </c>
      <c r="AI289" s="100" t="str">
        <f>IF(ISERROR(MATCH(SamplingData[[#This Row],[Batch by Type (p)]],SelectedPrecincts[Batch Name], 0)), "", INDEX(SelectedPrecincts[Draw], MATCH(SamplingData[[#This Row],[Batch by Type (p)]],SelectedPrecincts[Batch Name], 0)))</f>
        <v/>
      </c>
      <c r="AJ289" s="101">
        <f>IF(COUNTIF(SelectedPrecincts[Batch Name],SamplingData[[#This Row],[Batch by Type (p)]]) &lt;&gt; 0, COUNTIF(SelectedPrecincts[Batch Name],SamplingData[[#This Row],[Batch by Type (p)]]), 0)</f>
        <v>0</v>
      </c>
    </row>
    <row r="290" spans="1:36" ht="15" customHeight="1" x14ac:dyDescent="0.35">
      <c r="A290" s="98" t="s">
        <v>502</v>
      </c>
      <c r="B290" s="98">
        <v>14</v>
      </c>
      <c r="C290" s="98">
        <v>1</v>
      </c>
      <c r="D290" s="93"/>
      <c r="E290" s="93"/>
      <c r="F290" s="93"/>
      <c r="G290" s="97"/>
      <c r="H290" s="97"/>
      <c r="I290" s="93"/>
      <c r="J290" s="93"/>
      <c r="K290" s="93"/>
      <c r="L290" s="93"/>
      <c r="M290" s="93"/>
      <c r="N290" s="98">
        <v>0</v>
      </c>
      <c r="O290" s="98">
        <v>2</v>
      </c>
      <c r="P290" s="99">
        <f>SUM(SamplingData[[#This Row],[Winning Candidate]:[Under Votes]])</f>
        <v>17</v>
      </c>
      <c r="Q290"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290" s="100">
        <f>IF(AND(SamplingData[[#This Row],[Total]]&lt;&gt; 0, NOT(ISBLANK(SamplingData[[#This Row],[Candidate 3]]))),(SamplingData[[#This Row],[Total]]+SamplingData[[#This Row],[Winning Candidate]]-SamplingData[[#This Row],[Candidate 3]])/(SamplingData[[#Totals],[Winning Candidate]]-SamplingData[[#Totals],[Candidate 3]]), 0)</f>
        <v>0</v>
      </c>
      <c r="S290" s="100">
        <f>IF(AND(SamplingData[[#This Row],[Total]]&lt;&gt; 0, NOT(ISBLANK(SamplingData[[#This Row],[Candidate 4]]))),(SamplingData[[#This Row],[Total]]+SamplingData[[#This Row],[Winning Candidate]]-SamplingData[[#This Row],[Candidate 4]])/(SamplingData[[#Totals],[Winning Candidate]]-SamplingData[[#Totals],[Candidate 4]]), 0)</f>
        <v>0</v>
      </c>
      <c r="T290" s="100">
        <f>IF(AND(SamplingData[[#This Row],[Total]]&lt;&gt; 0, NOT(ISBLANK(SamplingData[[#This Row],[Candidate 5]]))),(SamplingData[[#This Row],[Total]]+SamplingData[[#This Row],[Winning Candidate]]-SamplingData[[#This Row],[Candidate 5]])/(SamplingData[[#Totals],[Winning Candidate]]-SamplingData[[#Totals],[Candidate 5]]), 0)</f>
        <v>0</v>
      </c>
      <c r="U290" s="100">
        <f>IF(AND(SamplingData[[#This Row],[Total]]&lt;&gt; 0, NOT(ISBLANK(SamplingData[[#This Row],[Candidate 6]]))),(SamplingData[[#This Row],[Total]]+SamplingData[[#This Row],[Losing Candidate]]-SamplingData[[#This Row],[Candidate 6]])/(SamplingData[[#Totals],[Winning Candidate]]-SamplingData[[#Totals],[Candidate 6]]), 0)</f>
        <v>0</v>
      </c>
      <c r="V290" s="100">
        <f>IF(AND(SamplingData[[#This Row],[Total]]&lt;&gt; 0, NOT(ISBLANK(SamplingData[[#This Row],[Candidate 7]]))),(SamplingData[[#This Row],[Total]]+SamplingData[[#This Row],[Winning Candidate]]-SamplingData[[#This Row],[Candidate 7]])/(SamplingData[[#Totals],[Winning Candidate]]-SamplingData[[#Totals],[Candidate 7]]), 0)</f>
        <v>0</v>
      </c>
      <c r="W290" s="100">
        <f>IF(AND(SamplingData[[#This Row],[Total]]&lt;&gt; 0, NOT(ISBLANK(SamplingData[[#This Row],[Candidate 8]]))),(SamplingData[[#This Row],[Total]]+SamplingData[[#This Row],[Winning Candidate]]-SamplingData[[#This Row],[Candidate 8]])/(SamplingData[[#Totals],[Winning Candidate]]-SamplingData[[#Totals],[Candidate 8]]), 0)</f>
        <v>0</v>
      </c>
      <c r="X2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00">
        <f>MAX(SamplingData[[#This Row],[Error Bound (up) - Max. possible relative overstatement - Losing Candidate]:[Error Bound (up) - Max. possible relative overstatement - Candidate 12]])</f>
        <v>9.4229983980902718E-4</v>
      </c>
      <c r="AC290" s="100">
        <f>IF(SamplingData[[#This Row],[Max Error Bound (up)]] = 0,0,SamplingData[[#This Row],[Max Error Bound (up)]]/SamplingData[[#Totals],[Max Error Bound (up)]])</f>
        <v>4.0381198513971905E-4</v>
      </c>
      <c r="AD290" s="104">
        <f>SUM($AC$5:AC290)</f>
        <v>5.0987993323641879E-2</v>
      </c>
      <c r="AE290" s="100" t="str" cm="1">
        <f t="array" ref="AE290">IF(SamplingData[[#This Row],[up/U Selection Probability]] = 0, "Zero", TEXT(SamplingData[[#This Row],[Lower Range]], REPT("0",LEN('General Info'!$B$42))) &amp; " - " &amp; TEXT(SamplingData[[#This Row],[Upper Range]], REPT("0",LEN('General Info'!$B$42))))</f>
        <v>05058 - 05098</v>
      </c>
      <c r="AF290" s="100">
        <f>SamplingData[[#This Row],[Upper Range]]-SamplingData[[#This Row],[Span]]</f>
        <v>5058.4181338502158</v>
      </c>
      <c r="AG290" s="100">
        <f>IF(ISNUMBER('General Info'!$B$42), ((SamplingData[[#This Row],[up/U Selection Probability]]) * 'General Info'!$B$44) - 1, 0)</f>
        <v>39.381198513971903</v>
      </c>
      <c r="AH290" s="100">
        <f>IF(ISNUMBER('General Info'!$B$42), (SamplingData[[#This Row],[Running (cumulative) sum]] * ('General Info'!$B$42 -'General Info'!$B$43 + 1)) + 'General Info'!$B$43 - 1, 0)</f>
        <v>5097.7993323641876</v>
      </c>
      <c r="AI290" s="100" t="str">
        <f>IF(ISERROR(MATCH(SamplingData[[#This Row],[Batch by Type (p)]],SelectedPrecincts[Batch Name], 0)), "", INDEX(SelectedPrecincts[Draw], MATCH(SamplingData[[#This Row],[Batch by Type (p)]],SelectedPrecincts[Batch Name], 0)))</f>
        <v/>
      </c>
      <c r="AJ290" s="101">
        <f>IF(COUNTIF(SelectedPrecincts[Batch Name],SamplingData[[#This Row],[Batch by Type (p)]]) &lt;&gt; 0, COUNTIF(SelectedPrecincts[Batch Name],SamplingData[[#This Row],[Batch by Type (p)]]), 0)</f>
        <v>0</v>
      </c>
    </row>
    <row r="291" spans="1:36" ht="15" customHeight="1" x14ac:dyDescent="0.35">
      <c r="A291" s="98" t="s">
        <v>503</v>
      </c>
      <c r="B291" s="98">
        <v>3</v>
      </c>
      <c r="C291" s="98">
        <v>3</v>
      </c>
      <c r="D291" s="93"/>
      <c r="E291" s="93"/>
      <c r="F291" s="93"/>
      <c r="G291" s="97"/>
      <c r="H291" s="97"/>
      <c r="I291" s="93"/>
      <c r="J291" s="93"/>
      <c r="K291" s="93"/>
      <c r="L291" s="93"/>
      <c r="M291" s="93"/>
      <c r="N291" s="98">
        <v>0</v>
      </c>
      <c r="O291" s="98">
        <v>0</v>
      </c>
      <c r="P291" s="99">
        <f>SUM(SamplingData[[#This Row],[Winning Candidate]:[Under Votes]])</f>
        <v>6</v>
      </c>
      <c r="Q291"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291" s="100">
        <f>IF(AND(SamplingData[[#This Row],[Total]]&lt;&gt; 0, NOT(ISBLANK(SamplingData[[#This Row],[Candidate 3]]))),(SamplingData[[#This Row],[Total]]+SamplingData[[#This Row],[Winning Candidate]]-SamplingData[[#This Row],[Candidate 3]])/(SamplingData[[#Totals],[Winning Candidate]]-SamplingData[[#Totals],[Candidate 3]]), 0)</f>
        <v>0</v>
      </c>
      <c r="S291" s="100">
        <f>IF(AND(SamplingData[[#This Row],[Total]]&lt;&gt; 0, NOT(ISBLANK(SamplingData[[#This Row],[Candidate 4]]))),(SamplingData[[#This Row],[Total]]+SamplingData[[#This Row],[Winning Candidate]]-SamplingData[[#This Row],[Candidate 4]])/(SamplingData[[#Totals],[Winning Candidate]]-SamplingData[[#Totals],[Candidate 4]]), 0)</f>
        <v>0</v>
      </c>
      <c r="T291" s="100">
        <f>IF(AND(SamplingData[[#This Row],[Total]]&lt;&gt; 0, NOT(ISBLANK(SamplingData[[#This Row],[Candidate 5]]))),(SamplingData[[#This Row],[Total]]+SamplingData[[#This Row],[Winning Candidate]]-SamplingData[[#This Row],[Candidate 5]])/(SamplingData[[#Totals],[Winning Candidate]]-SamplingData[[#Totals],[Candidate 5]]), 0)</f>
        <v>0</v>
      </c>
      <c r="U291" s="100">
        <f>IF(AND(SamplingData[[#This Row],[Total]]&lt;&gt; 0, NOT(ISBLANK(SamplingData[[#This Row],[Candidate 6]]))),(SamplingData[[#This Row],[Total]]+SamplingData[[#This Row],[Losing Candidate]]-SamplingData[[#This Row],[Candidate 6]])/(SamplingData[[#Totals],[Winning Candidate]]-SamplingData[[#Totals],[Candidate 6]]), 0)</f>
        <v>0</v>
      </c>
      <c r="V291" s="100">
        <f>IF(AND(SamplingData[[#This Row],[Total]]&lt;&gt; 0, NOT(ISBLANK(SamplingData[[#This Row],[Candidate 7]]))),(SamplingData[[#This Row],[Total]]+SamplingData[[#This Row],[Winning Candidate]]-SamplingData[[#This Row],[Candidate 7]])/(SamplingData[[#Totals],[Winning Candidate]]-SamplingData[[#Totals],[Candidate 7]]), 0)</f>
        <v>0</v>
      </c>
      <c r="W291" s="100">
        <f>IF(AND(SamplingData[[#This Row],[Total]]&lt;&gt; 0, NOT(ISBLANK(SamplingData[[#This Row],[Candidate 8]]))),(SamplingData[[#This Row],[Total]]+SamplingData[[#This Row],[Winning Candidate]]-SamplingData[[#This Row],[Candidate 8]])/(SamplingData[[#Totals],[Winning Candidate]]-SamplingData[[#Totals],[Candidate 8]]), 0)</f>
        <v>0</v>
      </c>
      <c r="X2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00">
        <f>MAX(SamplingData[[#This Row],[Error Bound (up) - Max. possible relative overstatement - Losing Candidate]:[Error Bound (up) - Max. possible relative overstatement - Candidate 12]])</f>
        <v>1.8845996796180544E-4</v>
      </c>
      <c r="AC291" s="100">
        <f>IF(SamplingData[[#This Row],[Max Error Bound (up)]] = 0,0,SamplingData[[#This Row],[Max Error Bound (up)]]/SamplingData[[#Totals],[Max Error Bound (up)]])</f>
        <v>8.0762397027943816E-5</v>
      </c>
      <c r="AD291" s="104">
        <f>SUM($AC$5:AC291)</f>
        <v>5.1068755720669823E-2</v>
      </c>
      <c r="AE291" s="100" t="str" cm="1">
        <f t="array" ref="AE291">IF(SamplingData[[#This Row],[up/U Selection Probability]] = 0, "Zero", TEXT(SamplingData[[#This Row],[Lower Range]], REPT("0",LEN('General Info'!$B$42))) &amp; " - " &amp; TEXT(SamplingData[[#This Row],[Upper Range]], REPT("0",LEN('General Info'!$B$42))))</f>
        <v>05099 - 05106</v>
      </c>
      <c r="AF291" s="100">
        <f>SamplingData[[#This Row],[Upper Range]]-SamplingData[[#This Row],[Span]]</f>
        <v>5098.7993323641876</v>
      </c>
      <c r="AG291" s="100">
        <f>IF(ISNUMBER('General Info'!$B$42), ((SamplingData[[#This Row],[up/U Selection Probability]]) * 'General Info'!$B$44) - 1, 0)</f>
        <v>7.076239702794382</v>
      </c>
      <c r="AH291" s="100">
        <f>IF(ISNUMBER('General Info'!$B$42), (SamplingData[[#This Row],[Running (cumulative) sum]] * ('General Info'!$B$42 -'General Info'!$B$43 + 1)) + 'General Info'!$B$43 - 1, 0)</f>
        <v>5105.8755720669824</v>
      </c>
      <c r="AI291" s="100" t="str">
        <f>IF(ISERROR(MATCH(SamplingData[[#This Row],[Batch by Type (p)]],SelectedPrecincts[Batch Name], 0)), "", INDEX(SelectedPrecincts[Draw], MATCH(SamplingData[[#This Row],[Batch by Type (p)]],SelectedPrecincts[Batch Name], 0)))</f>
        <v/>
      </c>
      <c r="AJ291" s="101">
        <f>IF(COUNTIF(SelectedPrecincts[Batch Name],SamplingData[[#This Row],[Batch by Type (p)]]) &lt;&gt; 0, COUNTIF(SelectedPrecincts[Batch Name],SamplingData[[#This Row],[Batch by Type (p)]]), 0)</f>
        <v>0</v>
      </c>
    </row>
    <row r="292" spans="1:36" ht="15" customHeight="1" x14ac:dyDescent="0.35">
      <c r="A292" s="98" t="s">
        <v>504</v>
      </c>
      <c r="B292" s="98">
        <v>16</v>
      </c>
      <c r="C292" s="98">
        <v>5</v>
      </c>
      <c r="D292" s="93"/>
      <c r="E292" s="93"/>
      <c r="F292" s="93"/>
      <c r="G292" s="97"/>
      <c r="H292" s="97"/>
      <c r="I292" s="93"/>
      <c r="J292" s="93"/>
      <c r="K292" s="93"/>
      <c r="L292" s="93"/>
      <c r="M292" s="93"/>
      <c r="N292" s="98">
        <v>0</v>
      </c>
      <c r="O292" s="98">
        <v>0</v>
      </c>
      <c r="P292" s="99">
        <f>SUM(SamplingData[[#This Row],[Winning Candidate]:[Under Votes]])</f>
        <v>21</v>
      </c>
      <c r="Q292"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292" s="100">
        <f>IF(AND(SamplingData[[#This Row],[Total]]&lt;&gt; 0, NOT(ISBLANK(SamplingData[[#This Row],[Candidate 3]]))),(SamplingData[[#This Row],[Total]]+SamplingData[[#This Row],[Winning Candidate]]-SamplingData[[#This Row],[Candidate 3]])/(SamplingData[[#Totals],[Winning Candidate]]-SamplingData[[#Totals],[Candidate 3]]), 0)</f>
        <v>0</v>
      </c>
      <c r="S292" s="100">
        <f>IF(AND(SamplingData[[#This Row],[Total]]&lt;&gt; 0, NOT(ISBLANK(SamplingData[[#This Row],[Candidate 4]]))),(SamplingData[[#This Row],[Total]]+SamplingData[[#This Row],[Winning Candidate]]-SamplingData[[#This Row],[Candidate 4]])/(SamplingData[[#Totals],[Winning Candidate]]-SamplingData[[#Totals],[Candidate 4]]), 0)</f>
        <v>0</v>
      </c>
      <c r="T292" s="100">
        <f>IF(AND(SamplingData[[#This Row],[Total]]&lt;&gt; 0, NOT(ISBLANK(SamplingData[[#This Row],[Candidate 5]]))),(SamplingData[[#This Row],[Total]]+SamplingData[[#This Row],[Winning Candidate]]-SamplingData[[#This Row],[Candidate 5]])/(SamplingData[[#Totals],[Winning Candidate]]-SamplingData[[#Totals],[Candidate 5]]), 0)</f>
        <v>0</v>
      </c>
      <c r="U292" s="100">
        <f>IF(AND(SamplingData[[#This Row],[Total]]&lt;&gt; 0, NOT(ISBLANK(SamplingData[[#This Row],[Candidate 6]]))),(SamplingData[[#This Row],[Total]]+SamplingData[[#This Row],[Losing Candidate]]-SamplingData[[#This Row],[Candidate 6]])/(SamplingData[[#Totals],[Winning Candidate]]-SamplingData[[#Totals],[Candidate 6]]), 0)</f>
        <v>0</v>
      </c>
      <c r="V292" s="100">
        <f>IF(AND(SamplingData[[#This Row],[Total]]&lt;&gt; 0, NOT(ISBLANK(SamplingData[[#This Row],[Candidate 7]]))),(SamplingData[[#This Row],[Total]]+SamplingData[[#This Row],[Winning Candidate]]-SamplingData[[#This Row],[Candidate 7]])/(SamplingData[[#Totals],[Winning Candidate]]-SamplingData[[#Totals],[Candidate 7]]), 0)</f>
        <v>0</v>
      </c>
      <c r="W292" s="100">
        <f>IF(AND(SamplingData[[#This Row],[Total]]&lt;&gt; 0, NOT(ISBLANK(SamplingData[[#This Row],[Candidate 8]]))),(SamplingData[[#This Row],[Total]]+SamplingData[[#This Row],[Winning Candidate]]-SamplingData[[#This Row],[Candidate 8]])/(SamplingData[[#Totals],[Winning Candidate]]-SamplingData[[#Totals],[Candidate 8]]), 0)</f>
        <v>0</v>
      </c>
      <c r="X2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00">
        <f>MAX(SamplingData[[#This Row],[Error Bound (up) - Max. possible relative overstatement - Losing Candidate]:[Error Bound (up) - Max. possible relative overstatement - Candidate 12]])</f>
        <v>1.005119829129629E-3</v>
      </c>
      <c r="AC292" s="100">
        <f>IF(SamplingData[[#This Row],[Max Error Bound (up)]] = 0,0,SamplingData[[#This Row],[Max Error Bound (up)]]/SamplingData[[#Totals],[Max Error Bound (up)]])</f>
        <v>4.3073278414903365E-4</v>
      </c>
      <c r="AD292" s="104">
        <f>SUM($AC$5:AC292)</f>
        <v>5.1499488504818856E-2</v>
      </c>
      <c r="AE292" s="100" t="str" cm="1">
        <f t="array" ref="AE292">IF(SamplingData[[#This Row],[up/U Selection Probability]] = 0, "Zero", TEXT(SamplingData[[#This Row],[Lower Range]], REPT("0",LEN('General Info'!$B$42))) &amp; " - " &amp; TEXT(SamplingData[[#This Row],[Upper Range]], REPT("0",LEN('General Info'!$B$42))))</f>
        <v>05107 - 05149</v>
      </c>
      <c r="AF292" s="100">
        <f>SamplingData[[#This Row],[Upper Range]]-SamplingData[[#This Row],[Span]]</f>
        <v>5106.8755720669824</v>
      </c>
      <c r="AG292" s="100">
        <f>IF(ISNUMBER('General Info'!$B$42), ((SamplingData[[#This Row],[up/U Selection Probability]]) * 'General Info'!$B$44) - 1, 0)</f>
        <v>42.073278414903363</v>
      </c>
      <c r="AH292" s="100">
        <f>IF(ISNUMBER('General Info'!$B$42), (SamplingData[[#This Row],[Running (cumulative) sum]] * ('General Info'!$B$42 -'General Info'!$B$43 + 1)) + 'General Info'!$B$43 - 1, 0)</f>
        <v>5148.9488504818855</v>
      </c>
      <c r="AI292" s="100" t="str">
        <f>IF(ISERROR(MATCH(SamplingData[[#This Row],[Batch by Type (p)]],SelectedPrecincts[Batch Name], 0)), "", INDEX(SelectedPrecincts[Draw], MATCH(SamplingData[[#This Row],[Batch by Type (p)]],SelectedPrecincts[Batch Name], 0)))</f>
        <v/>
      </c>
      <c r="AJ292" s="101">
        <f>IF(COUNTIF(SelectedPrecincts[Batch Name],SamplingData[[#This Row],[Batch by Type (p)]]) &lt;&gt; 0, COUNTIF(SelectedPrecincts[Batch Name],SamplingData[[#This Row],[Batch by Type (p)]]), 0)</f>
        <v>0</v>
      </c>
    </row>
    <row r="293" spans="1:36" ht="15" customHeight="1" x14ac:dyDescent="0.35">
      <c r="A293" s="98" t="s">
        <v>505</v>
      </c>
      <c r="B293" s="98">
        <v>20</v>
      </c>
      <c r="C293" s="98">
        <v>1</v>
      </c>
      <c r="D293" s="93"/>
      <c r="E293" s="93"/>
      <c r="F293" s="93"/>
      <c r="G293" s="97"/>
      <c r="H293" s="97"/>
      <c r="I293" s="93"/>
      <c r="J293" s="93"/>
      <c r="K293" s="93"/>
      <c r="L293" s="93"/>
      <c r="M293" s="93"/>
      <c r="N293" s="98">
        <v>0</v>
      </c>
      <c r="O293" s="98">
        <v>0</v>
      </c>
      <c r="P293" s="99">
        <f>SUM(SamplingData[[#This Row],[Winning Candidate]:[Under Votes]])</f>
        <v>21</v>
      </c>
      <c r="Q29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293" s="100">
        <f>IF(AND(SamplingData[[#This Row],[Total]]&lt;&gt; 0, NOT(ISBLANK(SamplingData[[#This Row],[Candidate 3]]))),(SamplingData[[#This Row],[Total]]+SamplingData[[#This Row],[Winning Candidate]]-SamplingData[[#This Row],[Candidate 3]])/(SamplingData[[#Totals],[Winning Candidate]]-SamplingData[[#Totals],[Candidate 3]]), 0)</f>
        <v>0</v>
      </c>
      <c r="S293" s="100">
        <f>IF(AND(SamplingData[[#This Row],[Total]]&lt;&gt; 0, NOT(ISBLANK(SamplingData[[#This Row],[Candidate 4]]))),(SamplingData[[#This Row],[Total]]+SamplingData[[#This Row],[Winning Candidate]]-SamplingData[[#This Row],[Candidate 4]])/(SamplingData[[#Totals],[Winning Candidate]]-SamplingData[[#Totals],[Candidate 4]]), 0)</f>
        <v>0</v>
      </c>
      <c r="T293" s="100">
        <f>IF(AND(SamplingData[[#This Row],[Total]]&lt;&gt; 0, NOT(ISBLANK(SamplingData[[#This Row],[Candidate 5]]))),(SamplingData[[#This Row],[Total]]+SamplingData[[#This Row],[Winning Candidate]]-SamplingData[[#This Row],[Candidate 5]])/(SamplingData[[#Totals],[Winning Candidate]]-SamplingData[[#Totals],[Candidate 5]]), 0)</f>
        <v>0</v>
      </c>
      <c r="U293" s="100">
        <f>IF(AND(SamplingData[[#This Row],[Total]]&lt;&gt; 0, NOT(ISBLANK(SamplingData[[#This Row],[Candidate 6]]))),(SamplingData[[#This Row],[Total]]+SamplingData[[#This Row],[Losing Candidate]]-SamplingData[[#This Row],[Candidate 6]])/(SamplingData[[#Totals],[Winning Candidate]]-SamplingData[[#Totals],[Candidate 6]]), 0)</f>
        <v>0</v>
      </c>
      <c r="V293" s="100">
        <f>IF(AND(SamplingData[[#This Row],[Total]]&lt;&gt; 0, NOT(ISBLANK(SamplingData[[#This Row],[Candidate 7]]))),(SamplingData[[#This Row],[Total]]+SamplingData[[#This Row],[Winning Candidate]]-SamplingData[[#This Row],[Candidate 7]])/(SamplingData[[#Totals],[Winning Candidate]]-SamplingData[[#Totals],[Candidate 7]]), 0)</f>
        <v>0</v>
      </c>
      <c r="W293" s="100">
        <f>IF(AND(SamplingData[[#This Row],[Total]]&lt;&gt; 0, NOT(ISBLANK(SamplingData[[#This Row],[Candidate 8]]))),(SamplingData[[#This Row],[Total]]+SamplingData[[#This Row],[Winning Candidate]]-SamplingData[[#This Row],[Candidate 8]])/(SamplingData[[#Totals],[Winning Candidate]]-SamplingData[[#Totals],[Candidate 8]]), 0)</f>
        <v>0</v>
      </c>
      <c r="X2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00">
        <f>MAX(SamplingData[[#This Row],[Error Bound (up) - Max. possible relative overstatement - Losing Candidate]:[Error Bound (up) - Max. possible relative overstatement - Candidate 12]])</f>
        <v>1.2563997864120362E-3</v>
      </c>
      <c r="AC293" s="100">
        <f>IF(SamplingData[[#This Row],[Max Error Bound (up)]] = 0,0,SamplingData[[#This Row],[Max Error Bound (up)]]/SamplingData[[#Totals],[Max Error Bound (up)]])</f>
        <v>5.3841598018629215E-4</v>
      </c>
      <c r="AD293" s="104">
        <f>SUM($AC$5:AC293)</f>
        <v>5.203790448500515E-2</v>
      </c>
      <c r="AE293" s="100" t="str" cm="1">
        <f t="array" ref="AE293">IF(SamplingData[[#This Row],[up/U Selection Probability]] = 0, "Zero", TEXT(SamplingData[[#This Row],[Lower Range]], REPT("0",LEN('General Info'!$B$42))) &amp; " - " &amp; TEXT(SamplingData[[#This Row],[Upper Range]], REPT("0",LEN('General Info'!$B$42))))</f>
        <v>05150 - 05203</v>
      </c>
      <c r="AF293" s="100">
        <f>SamplingData[[#This Row],[Upper Range]]-SamplingData[[#This Row],[Span]]</f>
        <v>5149.9488504818855</v>
      </c>
      <c r="AG293" s="100">
        <f>IF(ISNUMBER('General Info'!$B$42), ((SamplingData[[#This Row],[up/U Selection Probability]]) * 'General Info'!$B$44) - 1, 0)</f>
        <v>52.841598018629213</v>
      </c>
      <c r="AH293" s="100">
        <f>IF(ISNUMBER('General Info'!$B$42), (SamplingData[[#This Row],[Running (cumulative) sum]] * ('General Info'!$B$42 -'General Info'!$B$43 + 1)) + 'General Info'!$B$43 - 1, 0)</f>
        <v>5202.7904485005147</v>
      </c>
      <c r="AI293" s="100" t="str">
        <f>IF(ISERROR(MATCH(SamplingData[[#This Row],[Batch by Type (p)]],SelectedPrecincts[Batch Name], 0)), "", INDEX(SelectedPrecincts[Draw], MATCH(SamplingData[[#This Row],[Batch by Type (p)]],SelectedPrecincts[Batch Name], 0)))</f>
        <v/>
      </c>
      <c r="AJ293" s="101">
        <f>IF(COUNTIF(SelectedPrecincts[Batch Name],SamplingData[[#This Row],[Batch by Type (p)]]) &lt;&gt; 0, COUNTIF(SelectedPrecincts[Batch Name],SamplingData[[#This Row],[Batch by Type (p)]]), 0)</f>
        <v>0</v>
      </c>
    </row>
    <row r="294" spans="1:36" ht="15" customHeight="1" x14ac:dyDescent="0.35">
      <c r="A294" s="98" t="s">
        <v>506</v>
      </c>
      <c r="B294" s="98">
        <v>14</v>
      </c>
      <c r="C294" s="98">
        <v>1</v>
      </c>
      <c r="D294" s="93"/>
      <c r="E294" s="93"/>
      <c r="F294" s="93"/>
      <c r="G294" s="97"/>
      <c r="H294" s="97"/>
      <c r="I294" s="93"/>
      <c r="J294" s="93"/>
      <c r="K294" s="93"/>
      <c r="L294" s="93"/>
      <c r="M294" s="93"/>
      <c r="N294" s="98">
        <v>0</v>
      </c>
      <c r="O294" s="98">
        <v>1</v>
      </c>
      <c r="P294" s="99">
        <f>SUM(SamplingData[[#This Row],[Winning Candidate]:[Under Votes]])</f>
        <v>16</v>
      </c>
      <c r="Q294" s="100">
        <f>IF(AND(SamplingData[[#This Row],[Total]]&lt;&gt; 0, NOT(ISBLANK(SamplingData[[#This Row],[Losing Candidate]]))),(SamplingData[[#This Row],[Total]]+SamplingData[[#This Row],[Winning Candidate]]-SamplingData[[#This Row],[Losing Candidate]])/(SamplingData[[#Totals],[Winning Candidate]]-SamplingData[[#Totals],[Losing Candidate]]), 0)</f>
        <v>9.108898451487263E-4</v>
      </c>
      <c r="R294" s="100">
        <f>IF(AND(SamplingData[[#This Row],[Total]]&lt;&gt; 0, NOT(ISBLANK(SamplingData[[#This Row],[Candidate 3]]))),(SamplingData[[#This Row],[Total]]+SamplingData[[#This Row],[Winning Candidate]]-SamplingData[[#This Row],[Candidate 3]])/(SamplingData[[#Totals],[Winning Candidate]]-SamplingData[[#Totals],[Candidate 3]]), 0)</f>
        <v>0</v>
      </c>
      <c r="S294" s="100">
        <f>IF(AND(SamplingData[[#This Row],[Total]]&lt;&gt; 0, NOT(ISBLANK(SamplingData[[#This Row],[Candidate 4]]))),(SamplingData[[#This Row],[Total]]+SamplingData[[#This Row],[Winning Candidate]]-SamplingData[[#This Row],[Candidate 4]])/(SamplingData[[#Totals],[Winning Candidate]]-SamplingData[[#Totals],[Candidate 4]]), 0)</f>
        <v>0</v>
      </c>
      <c r="T294" s="100">
        <f>IF(AND(SamplingData[[#This Row],[Total]]&lt;&gt; 0, NOT(ISBLANK(SamplingData[[#This Row],[Candidate 5]]))),(SamplingData[[#This Row],[Total]]+SamplingData[[#This Row],[Winning Candidate]]-SamplingData[[#This Row],[Candidate 5]])/(SamplingData[[#Totals],[Winning Candidate]]-SamplingData[[#Totals],[Candidate 5]]), 0)</f>
        <v>0</v>
      </c>
      <c r="U294" s="100">
        <f>IF(AND(SamplingData[[#This Row],[Total]]&lt;&gt; 0, NOT(ISBLANK(SamplingData[[#This Row],[Candidate 6]]))),(SamplingData[[#This Row],[Total]]+SamplingData[[#This Row],[Losing Candidate]]-SamplingData[[#This Row],[Candidate 6]])/(SamplingData[[#Totals],[Winning Candidate]]-SamplingData[[#Totals],[Candidate 6]]), 0)</f>
        <v>0</v>
      </c>
      <c r="V294" s="100">
        <f>IF(AND(SamplingData[[#This Row],[Total]]&lt;&gt; 0, NOT(ISBLANK(SamplingData[[#This Row],[Candidate 7]]))),(SamplingData[[#This Row],[Total]]+SamplingData[[#This Row],[Winning Candidate]]-SamplingData[[#This Row],[Candidate 7]])/(SamplingData[[#Totals],[Winning Candidate]]-SamplingData[[#Totals],[Candidate 7]]), 0)</f>
        <v>0</v>
      </c>
      <c r="W294" s="100">
        <f>IF(AND(SamplingData[[#This Row],[Total]]&lt;&gt; 0, NOT(ISBLANK(SamplingData[[#This Row],[Candidate 8]]))),(SamplingData[[#This Row],[Total]]+SamplingData[[#This Row],[Winning Candidate]]-SamplingData[[#This Row],[Candidate 8]])/(SamplingData[[#Totals],[Winning Candidate]]-SamplingData[[#Totals],[Candidate 8]]), 0)</f>
        <v>0</v>
      </c>
      <c r="X2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00">
        <f>MAX(SamplingData[[#This Row],[Error Bound (up) - Max. possible relative overstatement - Losing Candidate]:[Error Bound (up) - Max. possible relative overstatement - Candidate 12]])</f>
        <v>9.108898451487263E-4</v>
      </c>
      <c r="AC294" s="100">
        <f>IF(SamplingData[[#This Row],[Max Error Bound (up)]] = 0,0,SamplingData[[#This Row],[Max Error Bound (up)]]/SamplingData[[#Totals],[Max Error Bound (up)]])</f>
        <v>3.9035158563506176E-4</v>
      </c>
      <c r="AD294" s="104">
        <f>SUM($AC$5:AC294)</f>
        <v>5.2428256070640208E-2</v>
      </c>
      <c r="AE294" s="100" t="str" cm="1">
        <f t="array" ref="AE294">IF(SamplingData[[#This Row],[up/U Selection Probability]] = 0, "Zero", TEXT(SamplingData[[#This Row],[Lower Range]], REPT("0",LEN('General Info'!$B$42))) &amp; " - " &amp; TEXT(SamplingData[[#This Row],[Upper Range]], REPT("0",LEN('General Info'!$B$42))))</f>
        <v>05204 - 05242</v>
      </c>
      <c r="AF294" s="100">
        <f>SamplingData[[#This Row],[Upper Range]]-SamplingData[[#This Row],[Span]]</f>
        <v>5203.7904485005147</v>
      </c>
      <c r="AG294" s="100">
        <f>IF(ISNUMBER('General Info'!$B$42), ((SamplingData[[#This Row],[up/U Selection Probability]]) * 'General Info'!$B$44) - 1, 0)</f>
        <v>38.035158563506172</v>
      </c>
      <c r="AH294" s="100">
        <f>IF(ISNUMBER('General Info'!$B$42), (SamplingData[[#This Row],[Running (cumulative) sum]] * ('General Info'!$B$42 -'General Info'!$B$43 + 1)) + 'General Info'!$B$43 - 1, 0)</f>
        <v>5241.8256070640209</v>
      </c>
      <c r="AI294" s="100" t="str">
        <f>IF(ISERROR(MATCH(SamplingData[[#This Row],[Batch by Type (p)]],SelectedPrecincts[Batch Name], 0)), "", INDEX(SelectedPrecincts[Draw], MATCH(SamplingData[[#This Row],[Batch by Type (p)]],SelectedPrecincts[Batch Name], 0)))</f>
        <v/>
      </c>
      <c r="AJ294" s="101">
        <f>IF(COUNTIF(SelectedPrecincts[Batch Name],SamplingData[[#This Row],[Batch by Type (p)]]) &lt;&gt; 0, COUNTIF(SelectedPrecincts[Batch Name],SamplingData[[#This Row],[Batch by Type (p)]]), 0)</f>
        <v>0</v>
      </c>
    </row>
    <row r="295" spans="1:36" ht="15" customHeight="1" x14ac:dyDescent="0.35">
      <c r="A295" s="98" t="s">
        <v>507</v>
      </c>
      <c r="B295" s="98">
        <v>27</v>
      </c>
      <c r="C295" s="98">
        <v>0</v>
      </c>
      <c r="D295" s="93"/>
      <c r="E295" s="93"/>
      <c r="F295" s="93"/>
      <c r="G295" s="97"/>
      <c r="H295" s="97"/>
      <c r="I295" s="93"/>
      <c r="J295" s="93"/>
      <c r="K295" s="93"/>
      <c r="L295" s="93"/>
      <c r="M295" s="93"/>
      <c r="N295" s="98">
        <v>0</v>
      </c>
      <c r="O295" s="98">
        <v>0</v>
      </c>
      <c r="P295" s="99">
        <f>SUM(SamplingData[[#This Row],[Winning Candidate]:[Under Votes]])</f>
        <v>27</v>
      </c>
      <c r="Q295" s="100">
        <f>IF(AND(SamplingData[[#This Row],[Total]]&lt;&gt; 0, NOT(ISBLANK(SamplingData[[#This Row],[Losing Candidate]]))),(SamplingData[[#This Row],[Total]]+SamplingData[[#This Row],[Winning Candidate]]-SamplingData[[#This Row],[Losing Candidate]])/(SamplingData[[#Totals],[Winning Candidate]]-SamplingData[[#Totals],[Losing Candidate]]), 0)</f>
        <v>1.6961397116562491E-3</v>
      </c>
      <c r="R295" s="100">
        <f>IF(AND(SamplingData[[#This Row],[Total]]&lt;&gt; 0, NOT(ISBLANK(SamplingData[[#This Row],[Candidate 3]]))),(SamplingData[[#This Row],[Total]]+SamplingData[[#This Row],[Winning Candidate]]-SamplingData[[#This Row],[Candidate 3]])/(SamplingData[[#Totals],[Winning Candidate]]-SamplingData[[#Totals],[Candidate 3]]), 0)</f>
        <v>0</v>
      </c>
      <c r="S295" s="100">
        <f>IF(AND(SamplingData[[#This Row],[Total]]&lt;&gt; 0, NOT(ISBLANK(SamplingData[[#This Row],[Candidate 4]]))),(SamplingData[[#This Row],[Total]]+SamplingData[[#This Row],[Winning Candidate]]-SamplingData[[#This Row],[Candidate 4]])/(SamplingData[[#Totals],[Winning Candidate]]-SamplingData[[#Totals],[Candidate 4]]), 0)</f>
        <v>0</v>
      </c>
      <c r="T295" s="100">
        <f>IF(AND(SamplingData[[#This Row],[Total]]&lt;&gt; 0, NOT(ISBLANK(SamplingData[[#This Row],[Candidate 5]]))),(SamplingData[[#This Row],[Total]]+SamplingData[[#This Row],[Winning Candidate]]-SamplingData[[#This Row],[Candidate 5]])/(SamplingData[[#Totals],[Winning Candidate]]-SamplingData[[#Totals],[Candidate 5]]), 0)</f>
        <v>0</v>
      </c>
      <c r="U295" s="100">
        <f>IF(AND(SamplingData[[#This Row],[Total]]&lt;&gt; 0, NOT(ISBLANK(SamplingData[[#This Row],[Candidate 6]]))),(SamplingData[[#This Row],[Total]]+SamplingData[[#This Row],[Losing Candidate]]-SamplingData[[#This Row],[Candidate 6]])/(SamplingData[[#Totals],[Winning Candidate]]-SamplingData[[#Totals],[Candidate 6]]), 0)</f>
        <v>0</v>
      </c>
      <c r="V295" s="100">
        <f>IF(AND(SamplingData[[#This Row],[Total]]&lt;&gt; 0, NOT(ISBLANK(SamplingData[[#This Row],[Candidate 7]]))),(SamplingData[[#This Row],[Total]]+SamplingData[[#This Row],[Winning Candidate]]-SamplingData[[#This Row],[Candidate 7]])/(SamplingData[[#Totals],[Winning Candidate]]-SamplingData[[#Totals],[Candidate 7]]), 0)</f>
        <v>0</v>
      </c>
      <c r="W295" s="100">
        <f>IF(AND(SamplingData[[#This Row],[Total]]&lt;&gt; 0, NOT(ISBLANK(SamplingData[[#This Row],[Candidate 8]]))),(SamplingData[[#This Row],[Total]]+SamplingData[[#This Row],[Winning Candidate]]-SamplingData[[#This Row],[Candidate 8]])/(SamplingData[[#Totals],[Winning Candidate]]-SamplingData[[#Totals],[Candidate 8]]), 0)</f>
        <v>0</v>
      </c>
      <c r="X2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00">
        <f>MAX(SamplingData[[#This Row],[Error Bound (up) - Max. possible relative overstatement - Losing Candidate]:[Error Bound (up) - Max. possible relative overstatement - Candidate 12]])</f>
        <v>1.6961397116562491E-3</v>
      </c>
      <c r="AC295" s="100">
        <f>IF(SamplingData[[#This Row],[Max Error Bound (up)]] = 0,0,SamplingData[[#This Row],[Max Error Bound (up)]]/SamplingData[[#Totals],[Max Error Bound (up)]])</f>
        <v>7.2686157325149443E-4</v>
      </c>
      <c r="AD295" s="104">
        <f>SUM($AC$5:AC295)</f>
        <v>5.3155117643891706E-2</v>
      </c>
      <c r="AE295" s="100" t="str" cm="1">
        <f t="array" ref="AE295">IF(SamplingData[[#This Row],[up/U Selection Probability]] = 0, "Zero", TEXT(SamplingData[[#This Row],[Lower Range]], REPT("0",LEN('General Info'!$B$42))) &amp; " - " &amp; TEXT(SamplingData[[#This Row],[Upper Range]], REPT("0",LEN('General Info'!$B$42))))</f>
        <v>05243 - 05315</v>
      </c>
      <c r="AF295" s="100">
        <f>SamplingData[[#This Row],[Upper Range]]-SamplingData[[#This Row],[Span]]</f>
        <v>5242.8256070640218</v>
      </c>
      <c r="AG295" s="100">
        <f>IF(ISNUMBER('General Info'!$B$42), ((SamplingData[[#This Row],[up/U Selection Probability]]) * 'General Info'!$B$44) - 1, 0)</f>
        <v>71.686157325149438</v>
      </c>
      <c r="AH295" s="100">
        <f>IF(ISNUMBER('General Info'!$B$42), (SamplingData[[#This Row],[Running (cumulative) sum]] * ('General Info'!$B$42 -'General Info'!$B$43 + 1)) + 'General Info'!$B$43 - 1, 0)</f>
        <v>5314.5117643891708</v>
      </c>
      <c r="AI295" s="100" t="str">
        <f>IF(ISERROR(MATCH(SamplingData[[#This Row],[Batch by Type (p)]],SelectedPrecincts[Batch Name], 0)), "", INDEX(SelectedPrecincts[Draw], MATCH(SamplingData[[#This Row],[Batch by Type (p)]],SelectedPrecincts[Batch Name], 0)))</f>
        <v/>
      </c>
      <c r="AJ295" s="101">
        <f>IF(COUNTIF(SelectedPrecincts[Batch Name],SamplingData[[#This Row],[Batch by Type (p)]]) &lt;&gt; 0, COUNTIF(SelectedPrecincts[Batch Name],SamplingData[[#This Row],[Batch by Type (p)]]), 0)</f>
        <v>0</v>
      </c>
    </row>
    <row r="296" spans="1:36" ht="15" customHeight="1" x14ac:dyDescent="0.35">
      <c r="A296" s="98" t="s">
        <v>508</v>
      </c>
      <c r="B296" s="98">
        <v>6</v>
      </c>
      <c r="C296" s="98">
        <v>2</v>
      </c>
      <c r="D296" s="93"/>
      <c r="E296" s="93"/>
      <c r="F296" s="93"/>
      <c r="G296" s="97"/>
      <c r="H296" s="97"/>
      <c r="I296" s="93"/>
      <c r="J296" s="93"/>
      <c r="K296" s="93"/>
      <c r="L296" s="93"/>
      <c r="M296" s="93"/>
      <c r="N296" s="98">
        <v>0</v>
      </c>
      <c r="O296" s="98">
        <v>0</v>
      </c>
      <c r="P296" s="99">
        <f>SUM(SamplingData[[#This Row],[Winning Candidate]:[Under Votes]])</f>
        <v>8</v>
      </c>
      <c r="Q29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296" s="100">
        <f>IF(AND(SamplingData[[#This Row],[Total]]&lt;&gt; 0, NOT(ISBLANK(SamplingData[[#This Row],[Candidate 3]]))),(SamplingData[[#This Row],[Total]]+SamplingData[[#This Row],[Winning Candidate]]-SamplingData[[#This Row],[Candidate 3]])/(SamplingData[[#Totals],[Winning Candidate]]-SamplingData[[#Totals],[Candidate 3]]), 0)</f>
        <v>0</v>
      </c>
      <c r="S296" s="100">
        <f>IF(AND(SamplingData[[#This Row],[Total]]&lt;&gt; 0, NOT(ISBLANK(SamplingData[[#This Row],[Candidate 4]]))),(SamplingData[[#This Row],[Total]]+SamplingData[[#This Row],[Winning Candidate]]-SamplingData[[#This Row],[Candidate 4]])/(SamplingData[[#Totals],[Winning Candidate]]-SamplingData[[#Totals],[Candidate 4]]), 0)</f>
        <v>0</v>
      </c>
      <c r="T296" s="100">
        <f>IF(AND(SamplingData[[#This Row],[Total]]&lt;&gt; 0, NOT(ISBLANK(SamplingData[[#This Row],[Candidate 5]]))),(SamplingData[[#This Row],[Total]]+SamplingData[[#This Row],[Winning Candidate]]-SamplingData[[#This Row],[Candidate 5]])/(SamplingData[[#Totals],[Winning Candidate]]-SamplingData[[#Totals],[Candidate 5]]), 0)</f>
        <v>0</v>
      </c>
      <c r="U296" s="100">
        <f>IF(AND(SamplingData[[#This Row],[Total]]&lt;&gt; 0, NOT(ISBLANK(SamplingData[[#This Row],[Candidate 6]]))),(SamplingData[[#This Row],[Total]]+SamplingData[[#This Row],[Losing Candidate]]-SamplingData[[#This Row],[Candidate 6]])/(SamplingData[[#Totals],[Winning Candidate]]-SamplingData[[#Totals],[Candidate 6]]), 0)</f>
        <v>0</v>
      </c>
      <c r="V296" s="100">
        <f>IF(AND(SamplingData[[#This Row],[Total]]&lt;&gt; 0, NOT(ISBLANK(SamplingData[[#This Row],[Candidate 7]]))),(SamplingData[[#This Row],[Total]]+SamplingData[[#This Row],[Winning Candidate]]-SamplingData[[#This Row],[Candidate 7]])/(SamplingData[[#Totals],[Winning Candidate]]-SamplingData[[#Totals],[Candidate 7]]), 0)</f>
        <v>0</v>
      </c>
      <c r="W296" s="100">
        <f>IF(AND(SamplingData[[#This Row],[Total]]&lt;&gt; 0, NOT(ISBLANK(SamplingData[[#This Row],[Candidate 8]]))),(SamplingData[[#This Row],[Total]]+SamplingData[[#This Row],[Winning Candidate]]-SamplingData[[#This Row],[Candidate 8]])/(SamplingData[[#Totals],[Winning Candidate]]-SamplingData[[#Totals],[Candidate 8]]), 0)</f>
        <v>0</v>
      </c>
      <c r="X2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00">
        <f>MAX(SamplingData[[#This Row],[Error Bound (up) - Max. possible relative overstatement - Losing Candidate]:[Error Bound (up) - Max. possible relative overstatement - Candidate 12]])</f>
        <v>3.7691993592361088E-4</v>
      </c>
      <c r="AC296" s="100">
        <f>IF(SamplingData[[#This Row],[Max Error Bound (up)]] = 0,0,SamplingData[[#This Row],[Max Error Bound (up)]]/SamplingData[[#Totals],[Max Error Bound (up)]])</f>
        <v>1.6152479405588763E-4</v>
      </c>
      <c r="AD296" s="104">
        <f>SUM($AC$5:AC296)</f>
        <v>5.3316642437947592E-2</v>
      </c>
      <c r="AE296" s="100" t="str" cm="1">
        <f t="array" ref="AE296">IF(SamplingData[[#This Row],[up/U Selection Probability]] = 0, "Zero", TEXT(SamplingData[[#This Row],[Lower Range]], REPT("0",LEN('General Info'!$B$42))) &amp; " - " &amp; TEXT(SamplingData[[#This Row],[Upper Range]], REPT("0",LEN('General Info'!$B$42))))</f>
        <v>05316 - 05331</v>
      </c>
      <c r="AF296" s="100">
        <f>SamplingData[[#This Row],[Upper Range]]-SamplingData[[#This Row],[Span]]</f>
        <v>5315.5117643891708</v>
      </c>
      <c r="AG296" s="100">
        <f>IF(ISNUMBER('General Info'!$B$42), ((SamplingData[[#This Row],[up/U Selection Probability]]) * 'General Info'!$B$44) - 1, 0)</f>
        <v>15.152479405588764</v>
      </c>
      <c r="AH296" s="100">
        <f>IF(ISNUMBER('General Info'!$B$42), (SamplingData[[#This Row],[Running (cumulative) sum]] * ('General Info'!$B$42 -'General Info'!$B$43 + 1)) + 'General Info'!$B$43 - 1, 0)</f>
        <v>5330.6642437947594</v>
      </c>
      <c r="AI296" s="100" t="str">
        <f>IF(ISERROR(MATCH(SamplingData[[#This Row],[Batch by Type (p)]],SelectedPrecincts[Batch Name], 0)), "", INDEX(SelectedPrecincts[Draw], MATCH(SamplingData[[#This Row],[Batch by Type (p)]],SelectedPrecincts[Batch Name], 0)))</f>
        <v/>
      </c>
      <c r="AJ296" s="101">
        <f>IF(COUNTIF(SelectedPrecincts[Batch Name],SamplingData[[#This Row],[Batch by Type (p)]]) &lt;&gt; 0, COUNTIF(SelectedPrecincts[Batch Name],SamplingData[[#This Row],[Batch by Type (p)]]), 0)</f>
        <v>0</v>
      </c>
    </row>
    <row r="297" spans="1:36" ht="15" customHeight="1" x14ac:dyDescent="0.35">
      <c r="A297" s="98" t="s">
        <v>509</v>
      </c>
      <c r="B297" s="98">
        <v>3</v>
      </c>
      <c r="C297" s="98">
        <v>0</v>
      </c>
      <c r="D297" s="93"/>
      <c r="E297" s="93"/>
      <c r="F297" s="93"/>
      <c r="G297" s="97"/>
      <c r="H297" s="97"/>
      <c r="I297" s="93"/>
      <c r="J297" s="93"/>
      <c r="K297" s="93"/>
      <c r="L297" s="93"/>
      <c r="M297" s="93"/>
      <c r="N297" s="98">
        <v>0</v>
      </c>
      <c r="O297" s="98">
        <v>0</v>
      </c>
      <c r="P297" s="99">
        <f>SUM(SamplingData[[#This Row],[Winning Candidate]:[Under Votes]])</f>
        <v>3</v>
      </c>
      <c r="Q297"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297" s="100">
        <f>IF(AND(SamplingData[[#This Row],[Total]]&lt;&gt; 0, NOT(ISBLANK(SamplingData[[#This Row],[Candidate 3]]))),(SamplingData[[#This Row],[Total]]+SamplingData[[#This Row],[Winning Candidate]]-SamplingData[[#This Row],[Candidate 3]])/(SamplingData[[#Totals],[Winning Candidate]]-SamplingData[[#Totals],[Candidate 3]]), 0)</f>
        <v>0</v>
      </c>
      <c r="S297" s="100">
        <f>IF(AND(SamplingData[[#This Row],[Total]]&lt;&gt; 0, NOT(ISBLANK(SamplingData[[#This Row],[Candidate 4]]))),(SamplingData[[#This Row],[Total]]+SamplingData[[#This Row],[Winning Candidate]]-SamplingData[[#This Row],[Candidate 4]])/(SamplingData[[#Totals],[Winning Candidate]]-SamplingData[[#Totals],[Candidate 4]]), 0)</f>
        <v>0</v>
      </c>
      <c r="T297" s="100">
        <f>IF(AND(SamplingData[[#This Row],[Total]]&lt;&gt; 0, NOT(ISBLANK(SamplingData[[#This Row],[Candidate 5]]))),(SamplingData[[#This Row],[Total]]+SamplingData[[#This Row],[Winning Candidate]]-SamplingData[[#This Row],[Candidate 5]])/(SamplingData[[#Totals],[Winning Candidate]]-SamplingData[[#Totals],[Candidate 5]]), 0)</f>
        <v>0</v>
      </c>
      <c r="U297" s="100">
        <f>IF(AND(SamplingData[[#This Row],[Total]]&lt;&gt; 0, NOT(ISBLANK(SamplingData[[#This Row],[Candidate 6]]))),(SamplingData[[#This Row],[Total]]+SamplingData[[#This Row],[Losing Candidate]]-SamplingData[[#This Row],[Candidate 6]])/(SamplingData[[#Totals],[Winning Candidate]]-SamplingData[[#Totals],[Candidate 6]]), 0)</f>
        <v>0</v>
      </c>
      <c r="V297" s="100">
        <f>IF(AND(SamplingData[[#This Row],[Total]]&lt;&gt; 0, NOT(ISBLANK(SamplingData[[#This Row],[Candidate 7]]))),(SamplingData[[#This Row],[Total]]+SamplingData[[#This Row],[Winning Candidate]]-SamplingData[[#This Row],[Candidate 7]])/(SamplingData[[#Totals],[Winning Candidate]]-SamplingData[[#Totals],[Candidate 7]]), 0)</f>
        <v>0</v>
      </c>
      <c r="W297" s="100">
        <f>IF(AND(SamplingData[[#This Row],[Total]]&lt;&gt; 0, NOT(ISBLANK(SamplingData[[#This Row],[Candidate 8]]))),(SamplingData[[#This Row],[Total]]+SamplingData[[#This Row],[Winning Candidate]]-SamplingData[[#This Row],[Candidate 8]])/(SamplingData[[#Totals],[Winning Candidate]]-SamplingData[[#Totals],[Candidate 8]]), 0)</f>
        <v>0</v>
      </c>
      <c r="X2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00">
        <f>MAX(SamplingData[[#This Row],[Error Bound (up) - Max. possible relative overstatement - Losing Candidate]:[Error Bound (up) - Max. possible relative overstatement - Candidate 12]])</f>
        <v>1.8845996796180544E-4</v>
      </c>
      <c r="AC297" s="100">
        <f>IF(SamplingData[[#This Row],[Max Error Bound (up)]] = 0,0,SamplingData[[#This Row],[Max Error Bound (up)]]/SamplingData[[#Totals],[Max Error Bound (up)]])</f>
        <v>8.0762397027943816E-5</v>
      </c>
      <c r="AD297" s="104">
        <f>SUM($AC$5:AC297)</f>
        <v>5.3397404834975536E-2</v>
      </c>
      <c r="AE297" s="100" t="str" cm="1">
        <f t="array" ref="AE297">IF(SamplingData[[#This Row],[up/U Selection Probability]] = 0, "Zero", TEXT(SamplingData[[#This Row],[Lower Range]], REPT("0",LEN('General Info'!$B$42))) &amp; " - " &amp; TEXT(SamplingData[[#This Row],[Upper Range]], REPT("0",LEN('General Info'!$B$42))))</f>
        <v>05332 - 05339</v>
      </c>
      <c r="AF297" s="100">
        <f>SamplingData[[#This Row],[Upper Range]]-SamplingData[[#This Row],[Span]]</f>
        <v>5331.6642437947585</v>
      </c>
      <c r="AG297" s="100">
        <f>IF(ISNUMBER('General Info'!$B$42), ((SamplingData[[#This Row],[up/U Selection Probability]]) * 'General Info'!$B$44) - 1, 0)</f>
        <v>7.076239702794382</v>
      </c>
      <c r="AH297" s="100">
        <f>IF(ISNUMBER('General Info'!$B$42), (SamplingData[[#This Row],[Running (cumulative) sum]] * ('General Info'!$B$42 -'General Info'!$B$43 + 1)) + 'General Info'!$B$43 - 1, 0)</f>
        <v>5338.7404834975532</v>
      </c>
      <c r="AI297" s="100" t="str">
        <f>IF(ISERROR(MATCH(SamplingData[[#This Row],[Batch by Type (p)]],SelectedPrecincts[Batch Name], 0)), "", INDEX(SelectedPrecincts[Draw], MATCH(SamplingData[[#This Row],[Batch by Type (p)]],SelectedPrecincts[Batch Name], 0)))</f>
        <v/>
      </c>
      <c r="AJ297" s="101">
        <f>IF(COUNTIF(SelectedPrecincts[Batch Name],SamplingData[[#This Row],[Batch by Type (p)]]) &lt;&gt; 0, COUNTIF(SelectedPrecincts[Batch Name],SamplingData[[#This Row],[Batch by Type (p)]]), 0)</f>
        <v>0</v>
      </c>
    </row>
    <row r="298" spans="1:36" ht="15" customHeight="1" x14ac:dyDescent="0.35">
      <c r="A298" s="98" t="s">
        <v>510</v>
      </c>
      <c r="B298" s="98">
        <v>9</v>
      </c>
      <c r="C298" s="98">
        <v>1</v>
      </c>
      <c r="D298" s="93"/>
      <c r="E298" s="93"/>
      <c r="F298" s="93"/>
      <c r="G298" s="97"/>
      <c r="H298" s="97"/>
      <c r="I298" s="93"/>
      <c r="J298" s="93"/>
      <c r="K298" s="93"/>
      <c r="L298" s="93"/>
      <c r="M298" s="93"/>
      <c r="N298" s="98">
        <v>0</v>
      </c>
      <c r="O298" s="98">
        <v>0</v>
      </c>
      <c r="P298" s="99">
        <f>SUM(SamplingData[[#This Row],[Winning Candidate]:[Under Votes]])</f>
        <v>10</v>
      </c>
      <c r="Q298"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298" s="100">
        <f>IF(AND(SamplingData[[#This Row],[Total]]&lt;&gt; 0, NOT(ISBLANK(SamplingData[[#This Row],[Candidate 3]]))),(SamplingData[[#This Row],[Total]]+SamplingData[[#This Row],[Winning Candidate]]-SamplingData[[#This Row],[Candidate 3]])/(SamplingData[[#Totals],[Winning Candidate]]-SamplingData[[#Totals],[Candidate 3]]), 0)</f>
        <v>0</v>
      </c>
      <c r="S298" s="100">
        <f>IF(AND(SamplingData[[#This Row],[Total]]&lt;&gt; 0, NOT(ISBLANK(SamplingData[[#This Row],[Candidate 4]]))),(SamplingData[[#This Row],[Total]]+SamplingData[[#This Row],[Winning Candidate]]-SamplingData[[#This Row],[Candidate 4]])/(SamplingData[[#Totals],[Winning Candidate]]-SamplingData[[#Totals],[Candidate 4]]), 0)</f>
        <v>0</v>
      </c>
      <c r="T298" s="100">
        <f>IF(AND(SamplingData[[#This Row],[Total]]&lt;&gt; 0, NOT(ISBLANK(SamplingData[[#This Row],[Candidate 5]]))),(SamplingData[[#This Row],[Total]]+SamplingData[[#This Row],[Winning Candidate]]-SamplingData[[#This Row],[Candidate 5]])/(SamplingData[[#Totals],[Winning Candidate]]-SamplingData[[#Totals],[Candidate 5]]), 0)</f>
        <v>0</v>
      </c>
      <c r="U298" s="100">
        <f>IF(AND(SamplingData[[#This Row],[Total]]&lt;&gt; 0, NOT(ISBLANK(SamplingData[[#This Row],[Candidate 6]]))),(SamplingData[[#This Row],[Total]]+SamplingData[[#This Row],[Losing Candidate]]-SamplingData[[#This Row],[Candidate 6]])/(SamplingData[[#Totals],[Winning Candidate]]-SamplingData[[#Totals],[Candidate 6]]), 0)</f>
        <v>0</v>
      </c>
      <c r="V298" s="100">
        <f>IF(AND(SamplingData[[#This Row],[Total]]&lt;&gt; 0, NOT(ISBLANK(SamplingData[[#This Row],[Candidate 7]]))),(SamplingData[[#This Row],[Total]]+SamplingData[[#This Row],[Winning Candidate]]-SamplingData[[#This Row],[Candidate 7]])/(SamplingData[[#Totals],[Winning Candidate]]-SamplingData[[#Totals],[Candidate 7]]), 0)</f>
        <v>0</v>
      </c>
      <c r="W298" s="100">
        <f>IF(AND(SamplingData[[#This Row],[Total]]&lt;&gt; 0, NOT(ISBLANK(SamplingData[[#This Row],[Candidate 8]]))),(SamplingData[[#This Row],[Total]]+SamplingData[[#This Row],[Winning Candidate]]-SamplingData[[#This Row],[Candidate 8]])/(SamplingData[[#Totals],[Winning Candidate]]-SamplingData[[#Totals],[Candidate 8]]), 0)</f>
        <v>0</v>
      </c>
      <c r="X2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00">
        <f>MAX(SamplingData[[#This Row],[Error Bound (up) - Max. possible relative overstatement - Losing Candidate]:[Error Bound (up) - Max. possible relative overstatement - Candidate 12]])</f>
        <v>5.6537990388541635E-4</v>
      </c>
      <c r="AC298" s="100">
        <f>IF(SamplingData[[#This Row],[Max Error Bound (up)]] = 0,0,SamplingData[[#This Row],[Max Error Bound (up)]]/SamplingData[[#Totals],[Max Error Bound (up)]])</f>
        <v>2.4228719108383145E-4</v>
      </c>
      <c r="AD298" s="104">
        <f>SUM($AC$5:AC298)</f>
        <v>5.3639692026059366E-2</v>
      </c>
      <c r="AE298" s="100" t="str" cm="1">
        <f t="array" ref="AE298">IF(SamplingData[[#This Row],[up/U Selection Probability]] = 0, "Zero", TEXT(SamplingData[[#This Row],[Lower Range]], REPT("0",LEN('General Info'!$B$42))) &amp; " - " &amp; TEXT(SamplingData[[#This Row],[Upper Range]], REPT("0",LEN('General Info'!$B$42))))</f>
        <v>05340 - 05363</v>
      </c>
      <c r="AF298" s="100">
        <f>SamplingData[[#This Row],[Upper Range]]-SamplingData[[#This Row],[Span]]</f>
        <v>5339.7404834975532</v>
      </c>
      <c r="AG298" s="100">
        <f>IF(ISNUMBER('General Info'!$B$42), ((SamplingData[[#This Row],[up/U Selection Probability]]) * 'General Info'!$B$44) - 1, 0)</f>
        <v>23.228719108383146</v>
      </c>
      <c r="AH298" s="100">
        <f>IF(ISNUMBER('General Info'!$B$42), (SamplingData[[#This Row],[Running (cumulative) sum]] * ('General Info'!$B$42 -'General Info'!$B$43 + 1)) + 'General Info'!$B$43 - 1, 0)</f>
        <v>5362.9692026059365</v>
      </c>
      <c r="AI298" s="100" t="str">
        <f>IF(ISERROR(MATCH(SamplingData[[#This Row],[Batch by Type (p)]],SelectedPrecincts[Batch Name], 0)), "", INDEX(SelectedPrecincts[Draw], MATCH(SamplingData[[#This Row],[Batch by Type (p)]],SelectedPrecincts[Batch Name], 0)))</f>
        <v/>
      </c>
      <c r="AJ298" s="101">
        <f>IF(COUNTIF(SelectedPrecincts[Batch Name],SamplingData[[#This Row],[Batch by Type (p)]]) &lt;&gt; 0, COUNTIF(SelectedPrecincts[Batch Name],SamplingData[[#This Row],[Batch by Type (p)]]), 0)</f>
        <v>0</v>
      </c>
    </row>
    <row r="299" spans="1:36" ht="15" customHeight="1" x14ac:dyDescent="0.35">
      <c r="A299" s="98" t="s">
        <v>511</v>
      </c>
      <c r="B299" s="98">
        <v>10</v>
      </c>
      <c r="C299" s="98">
        <v>4</v>
      </c>
      <c r="D299" s="93"/>
      <c r="E299" s="93"/>
      <c r="F299" s="93"/>
      <c r="G299" s="97"/>
      <c r="H299" s="97"/>
      <c r="I299" s="93"/>
      <c r="J299" s="93"/>
      <c r="K299" s="93"/>
      <c r="L299" s="93"/>
      <c r="M299" s="93"/>
      <c r="N299" s="98">
        <v>0</v>
      </c>
      <c r="O299" s="98">
        <v>0</v>
      </c>
      <c r="P299" s="99">
        <f>SUM(SamplingData[[#This Row],[Winning Candidate]:[Under Votes]])</f>
        <v>14</v>
      </c>
      <c r="Q299"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299" s="100">
        <f>IF(AND(SamplingData[[#This Row],[Total]]&lt;&gt; 0, NOT(ISBLANK(SamplingData[[#This Row],[Candidate 3]]))),(SamplingData[[#This Row],[Total]]+SamplingData[[#This Row],[Winning Candidate]]-SamplingData[[#This Row],[Candidate 3]])/(SamplingData[[#Totals],[Winning Candidate]]-SamplingData[[#Totals],[Candidate 3]]), 0)</f>
        <v>0</v>
      </c>
      <c r="S299" s="100">
        <f>IF(AND(SamplingData[[#This Row],[Total]]&lt;&gt; 0, NOT(ISBLANK(SamplingData[[#This Row],[Candidate 4]]))),(SamplingData[[#This Row],[Total]]+SamplingData[[#This Row],[Winning Candidate]]-SamplingData[[#This Row],[Candidate 4]])/(SamplingData[[#Totals],[Winning Candidate]]-SamplingData[[#Totals],[Candidate 4]]), 0)</f>
        <v>0</v>
      </c>
      <c r="T299" s="100">
        <f>IF(AND(SamplingData[[#This Row],[Total]]&lt;&gt; 0, NOT(ISBLANK(SamplingData[[#This Row],[Candidate 5]]))),(SamplingData[[#This Row],[Total]]+SamplingData[[#This Row],[Winning Candidate]]-SamplingData[[#This Row],[Candidate 5]])/(SamplingData[[#Totals],[Winning Candidate]]-SamplingData[[#Totals],[Candidate 5]]), 0)</f>
        <v>0</v>
      </c>
      <c r="U299" s="100">
        <f>IF(AND(SamplingData[[#This Row],[Total]]&lt;&gt; 0, NOT(ISBLANK(SamplingData[[#This Row],[Candidate 6]]))),(SamplingData[[#This Row],[Total]]+SamplingData[[#This Row],[Losing Candidate]]-SamplingData[[#This Row],[Candidate 6]])/(SamplingData[[#Totals],[Winning Candidate]]-SamplingData[[#Totals],[Candidate 6]]), 0)</f>
        <v>0</v>
      </c>
      <c r="V299" s="100">
        <f>IF(AND(SamplingData[[#This Row],[Total]]&lt;&gt; 0, NOT(ISBLANK(SamplingData[[#This Row],[Candidate 7]]))),(SamplingData[[#This Row],[Total]]+SamplingData[[#This Row],[Winning Candidate]]-SamplingData[[#This Row],[Candidate 7]])/(SamplingData[[#Totals],[Winning Candidate]]-SamplingData[[#Totals],[Candidate 7]]), 0)</f>
        <v>0</v>
      </c>
      <c r="W299" s="100">
        <f>IF(AND(SamplingData[[#This Row],[Total]]&lt;&gt; 0, NOT(ISBLANK(SamplingData[[#This Row],[Candidate 8]]))),(SamplingData[[#This Row],[Total]]+SamplingData[[#This Row],[Winning Candidate]]-SamplingData[[#This Row],[Candidate 8]])/(SamplingData[[#Totals],[Winning Candidate]]-SamplingData[[#Totals],[Candidate 8]]), 0)</f>
        <v>0</v>
      </c>
      <c r="X2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00">
        <f>MAX(SamplingData[[#This Row],[Error Bound (up) - Max. possible relative overstatement - Losing Candidate]:[Error Bound (up) - Max. possible relative overstatement - Candidate 12]])</f>
        <v>6.2819989320601812E-4</v>
      </c>
      <c r="AC299" s="100">
        <f>IF(SamplingData[[#This Row],[Max Error Bound (up)]] = 0,0,SamplingData[[#This Row],[Max Error Bound (up)]]/SamplingData[[#Totals],[Max Error Bound (up)]])</f>
        <v>2.6920799009314607E-4</v>
      </c>
      <c r="AD299" s="104">
        <f>SUM($AC$5:AC299)</f>
        <v>5.3908900016152513E-2</v>
      </c>
      <c r="AE299" s="100" t="str" cm="1">
        <f t="array" ref="AE299">IF(SamplingData[[#This Row],[up/U Selection Probability]] = 0, "Zero", TEXT(SamplingData[[#This Row],[Lower Range]], REPT("0",LEN('General Info'!$B$42))) &amp; " - " &amp; TEXT(SamplingData[[#This Row],[Upper Range]], REPT("0",LEN('General Info'!$B$42))))</f>
        <v>05364 - 05390</v>
      </c>
      <c r="AF299" s="100">
        <f>SamplingData[[#This Row],[Upper Range]]-SamplingData[[#This Row],[Span]]</f>
        <v>5363.9692026059365</v>
      </c>
      <c r="AG299" s="100">
        <f>IF(ISNUMBER('General Info'!$B$42), ((SamplingData[[#This Row],[up/U Selection Probability]]) * 'General Info'!$B$44) - 1, 0)</f>
        <v>25.920799009314607</v>
      </c>
      <c r="AH299" s="100">
        <f>IF(ISNUMBER('General Info'!$B$42), (SamplingData[[#This Row],[Running (cumulative) sum]] * ('General Info'!$B$42 -'General Info'!$B$43 + 1)) + 'General Info'!$B$43 - 1, 0)</f>
        <v>5389.8900016152511</v>
      </c>
      <c r="AI299" s="100" t="str">
        <f>IF(ISERROR(MATCH(SamplingData[[#This Row],[Batch by Type (p)]],SelectedPrecincts[Batch Name], 0)), "", INDEX(SelectedPrecincts[Draw], MATCH(SamplingData[[#This Row],[Batch by Type (p)]],SelectedPrecincts[Batch Name], 0)))</f>
        <v/>
      </c>
      <c r="AJ299" s="101">
        <f>IF(COUNTIF(SelectedPrecincts[Batch Name],SamplingData[[#This Row],[Batch by Type (p)]]) &lt;&gt; 0, COUNTIF(SelectedPrecincts[Batch Name],SamplingData[[#This Row],[Batch by Type (p)]]), 0)</f>
        <v>0</v>
      </c>
    </row>
    <row r="300" spans="1:36" ht="15" customHeight="1" x14ac:dyDescent="0.35">
      <c r="A300" s="98" t="s">
        <v>512</v>
      </c>
      <c r="B300" s="98">
        <v>14</v>
      </c>
      <c r="C300" s="98">
        <v>0</v>
      </c>
      <c r="D300" s="93"/>
      <c r="E300" s="93"/>
      <c r="F300" s="93"/>
      <c r="G300" s="97"/>
      <c r="H300" s="97"/>
      <c r="I300" s="93"/>
      <c r="J300" s="93"/>
      <c r="K300" s="93"/>
      <c r="L300" s="93"/>
      <c r="M300" s="93"/>
      <c r="N300" s="98">
        <v>0</v>
      </c>
      <c r="O300" s="98">
        <v>0</v>
      </c>
      <c r="P300" s="99">
        <f>SUM(SamplingData[[#This Row],[Winning Candidate]:[Under Votes]])</f>
        <v>14</v>
      </c>
      <c r="Q300"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300" s="100">
        <f>IF(AND(SamplingData[[#This Row],[Total]]&lt;&gt; 0, NOT(ISBLANK(SamplingData[[#This Row],[Candidate 3]]))),(SamplingData[[#This Row],[Total]]+SamplingData[[#This Row],[Winning Candidate]]-SamplingData[[#This Row],[Candidate 3]])/(SamplingData[[#Totals],[Winning Candidate]]-SamplingData[[#Totals],[Candidate 3]]), 0)</f>
        <v>0</v>
      </c>
      <c r="S300" s="100">
        <f>IF(AND(SamplingData[[#This Row],[Total]]&lt;&gt; 0, NOT(ISBLANK(SamplingData[[#This Row],[Candidate 4]]))),(SamplingData[[#This Row],[Total]]+SamplingData[[#This Row],[Winning Candidate]]-SamplingData[[#This Row],[Candidate 4]])/(SamplingData[[#Totals],[Winning Candidate]]-SamplingData[[#Totals],[Candidate 4]]), 0)</f>
        <v>0</v>
      </c>
      <c r="T300" s="100">
        <f>IF(AND(SamplingData[[#This Row],[Total]]&lt;&gt; 0, NOT(ISBLANK(SamplingData[[#This Row],[Candidate 5]]))),(SamplingData[[#This Row],[Total]]+SamplingData[[#This Row],[Winning Candidate]]-SamplingData[[#This Row],[Candidate 5]])/(SamplingData[[#Totals],[Winning Candidate]]-SamplingData[[#Totals],[Candidate 5]]), 0)</f>
        <v>0</v>
      </c>
      <c r="U300" s="100">
        <f>IF(AND(SamplingData[[#This Row],[Total]]&lt;&gt; 0, NOT(ISBLANK(SamplingData[[#This Row],[Candidate 6]]))),(SamplingData[[#This Row],[Total]]+SamplingData[[#This Row],[Losing Candidate]]-SamplingData[[#This Row],[Candidate 6]])/(SamplingData[[#Totals],[Winning Candidate]]-SamplingData[[#Totals],[Candidate 6]]), 0)</f>
        <v>0</v>
      </c>
      <c r="V300" s="100">
        <f>IF(AND(SamplingData[[#This Row],[Total]]&lt;&gt; 0, NOT(ISBLANK(SamplingData[[#This Row],[Candidate 7]]))),(SamplingData[[#This Row],[Total]]+SamplingData[[#This Row],[Winning Candidate]]-SamplingData[[#This Row],[Candidate 7]])/(SamplingData[[#Totals],[Winning Candidate]]-SamplingData[[#Totals],[Candidate 7]]), 0)</f>
        <v>0</v>
      </c>
      <c r="W300" s="100">
        <f>IF(AND(SamplingData[[#This Row],[Total]]&lt;&gt; 0, NOT(ISBLANK(SamplingData[[#This Row],[Candidate 8]]))),(SamplingData[[#This Row],[Total]]+SamplingData[[#This Row],[Winning Candidate]]-SamplingData[[#This Row],[Candidate 8]])/(SamplingData[[#Totals],[Winning Candidate]]-SamplingData[[#Totals],[Candidate 8]]), 0)</f>
        <v>0</v>
      </c>
      <c r="X3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00">
        <f>MAX(SamplingData[[#This Row],[Error Bound (up) - Max. possible relative overstatement - Losing Candidate]:[Error Bound (up) - Max. possible relative overstatement - Candidate 12]])</f>
        <v>8.7947985048842541E-4</v>
      </c>
      <c r="AC300" s="100">
        <f>IF(SamplingData[[#This Row],[Max Error Bound (up)]] = 0,0,SamplingData[[#This Row],[Max Error Bound (up)]]/SamplingData[[#Totals],[Max Error Bound (up)]])</f>
        <v>3.7689118613040446E-4</v>
      </c>
      <c r="AD300" s="104">
        <f>SUM($AC$5:AC300)</f>
        <v>5.4285791202282919E-2</v>
      </c>
      <c r="AE300" s="100" t="str" cm="1">
        <f t="array" ref="AE300">IF(SamplingData[[#This Row],[up/U Selection Probability]] = 0, "Zero", TEXT(SamplingData[[#This Row],[Lower Range]], REPT("0",LEN('General Info'!$B$42))) &amp; " - " &amp; TEXT(SamplingData[[#This Row],[Upper Range]], REPT("0",LEN('General Info'!$B$42))))</f>
        <v>05391 - 05428</v>
      </c>
      <c r="AF300" s="100">
        <f>SamplingData[[#This Row],[Upper Range]]-SamplingData[[#This Row],[Span]]</f>
        <v>5390.8900016152511</v>
      </c>
      <c r="AG300" s="100">
        <f>IF(ISNUMBER('General Info'!$B$42), ((SamplingData[[#This Row],[up/U Selection Probability]]) * 'General Info'!$B$44) - 1, 0)</f>
        <v>36.689118613040449</v>
      </c>
      <c r="AH300" s="100">
        <f>IF(ISNUMBER('General Info'!$B$42), (SamplingData[[#This Row],[Running (cumulative) sum]] * ('General Info'!$B$42 -'General Info'!$B$43 + 1)) + 'General Info'!$B$43 - 1, 0)</f>
        <v>5427.5791202282917</v>
      </c>
      <c r="AI300" s="100" t="str">
        <f>IF(ISERROR(MATCH(SamplingData[[#This Row],[Batch by Type (p)]],SelectedPrecincts[Batch Name], 0)), "", INDEX(SelectedPrecincts[Draw], MATCH(SamplingData[[#This Row],[Batch by Type (p)]],SelectedPrecincts[Batch Name], 0)))</f>
        <v/>
      </c>
      <c r="AJ300" s="101">
        <f>IF(COUNTIF(SelectedPrecincts[Batch Name],SamplingData[[#This Row],[Batch by Type (p)]]) &lt;&gt; 0, COUNTIF(SelectedPrecincts[Batch Name],SamplingData[[#This Row],[Batch by Type (p)]]), 0)</f>
        <v>0</v>
      </c>
    </row>
    <row r="301" spans="1:36" ht="15" customHeight="1" x14ac:dyDescent="0.35">
      <c r="A301" s="98" t="s">
        <v>513</v>
      </c>
      <c r="B301" s="98">
        <v>11</v>
      </c>
      <c r="C301" s="98">
        <v>0</v>
      </c>
      <c r="D301" s="93"/>
      <c r="E301" s="93"/>
      <c r="F301" s="93"/>
      <c r="G301" s="97"/>
      <c r="H301" s="97"/>
      <c r="I301" s="93"/>
      <c r="J301" s="93"/>
      <c r="K301" s="93"/>
      <c r="L301" s="93"/>
      <c r="M301" s="93"/>
      <c r="N301" s="98">
        <v>0</v>
      </c>
      <c r="O301" s="98">
        <v>0</v>
      </c>
      <c r="P301" s="99">
        <f>SUM(SamplingData[[#This Row],[Winning Candidate]:[Under Votes]])</f>
        <v>11</v>
      </c>
      <c r="Q301"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301" s="100">
        <f>IF(AND(SamplingData[[#This Row],[Total]]&lt;&gt; 0, NOT(ISBLANK(SamplingData[[#This Row],[Candidate 3]]))),(SamplingData[[#This Row],[Total]]+SamplingData[[#This Row],[Winning Candidate]]-SamplingData[[#This Row],[Candidate 3]])/(SamplingData[[#Totals],[Winning Candidate]]-SamplingData[[#Totals],[Candidate 3]]), 0)</f>
        <v>0</v>
      </c>
      <c r="S301" s="100">
        <f>IF(AND(SamplingData[[#This Row],[Total]]&lt;&gt; 0, NOT(ISBLANK(SamplingData[[#This Row],[Candidate 4]]))),(SamplingData[[#This Row],[Total]]+SamplingData[[#This Row],[Winning Candidate]]-SamplingData[[#This Row],[Candidate 4]])/(SamplingData[[#Totals],[Winning Candidate]]-SamplingData[[#Totals],[Candidate 4]]), 0)</f>
        <v>0</v>
      </c>
      <c r="T301" s="100">
        <f>IF(AND(SamplingData[[#This Row],[Total]]&lt;&gt; 0, NOT(ISBLANK(SamplingData[[#This Row],[Candidate 5]]))),(SamplingData[[#This Row],[Total]]+SamplingData[[#This Row],[Winning Candidate]]-SamplingData[[#This Row],[Candidate 5]])/(SamplingData[[#Totals],[Winning Candidate]]-SamplingData[[#Totals],[Candidate 5]]), 0)</f>
        <v>0</v>
      </c>
      <c r="U301" s="100">
        <f>IF(AND(SamplingData[[#This Row],[Total]]&lt;&gt; 0, NOT(ISBLANK(SamplingData[[#This Row],[Candidate 6]]))),(SamplingData[[#This Row],[Total]]+SamplingData[[#This Row],[Losing Candidate]]-SamplingData[[#This Row],[Candidate 6]])/(SamplingData[[#Totals],[Winning Candidate]]-SamplingData[[#Totals],[Candidate 6]]), 0)</f>
        <v>0</v>
      </c>
      <c r="V301" s="100">
        <f>IF(AND(SamplingData[[#This Row],[Total]]&lt;&gt; 0, NOT(ISBLANK(SamplingData[[#This Row],[Candidate 7]]))),(SamplingData[[#This Row],[Total]]+SamplingData[[#This Row],[Winning Candidate]]-SamplingData[[#This Row],[Candidate 7]])/(SamplingData[[#Totals],[Winning Candidate]]-SamplingData[[#Totals],[Candidate 7]]), 0)</f>
        <v>0</v>
      </c>
      <c r="W301" s="100">
        <f>IF(AND(SamplingData[[#This Row],[Total]]&lt;&gt; 0, NOT(ISBLANK(SamplingData[[#This Row],[Candidate 8]]))),(SamplingData[[#This Row],[Total]]+SamplingData[[#This Row],[Winning Candidate]]-SamplingData[[#This Row],[Candidate 8]])/(SamplingData[[#Totals],[Winning Candidate]]-SamplingData[[#Totals],[Candidate 8]]), 0)</f>
        <v>0</v>
      </c>
      <c r="X3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00">
        <f>MAX(SamplingData[[#This Row],[Error Bound (up) - Max. possible relative overstatement - Losing Candidate]:[Error Bound (up) - Max. possible relative overstatement - Candidate 12]])</f>
        <v>6.9101988252662E-4</v>
      </c>
      <c r="AC301" s="100">
        <f>IF(SamplingData[[#This Row],[Max Error Bound (up)]] = 0,0,SamplingData[[#This Row],[Max Error Bound (up)]]/SamplingData[[#Totals],[Max Error Bound (up)]])</f>
        <v>2.9612878910246067E-4</v>
      </c>
      <c r="AD301" s="104">
        <f>SUM($AC$5:AC301)</f>
        <v>5.4581919991385383E-2</v>
      </c>
      <c r="AE301" s="100" t="str" cm="1">
        <f t="array" ref="AE301">IF(SamplingData[[#This Row],[up/U Selection Probability]] = 0, "Zero", TEXT(SamplingData[[#This Row],[Lower Range]], REPT("0",LEN('General Info'!$B$42))) &amp; " - " &amp; TEXT(SamplingData[[#This Row],[Upper Range]], REPT("0",LEN('General Info'!$B$42))))</f>
        <v>05429 - 05457</v>
      </c>
      <c r="AF301" s="100">
        <f>SamplingData[[#This Row],[Upper Range]]-SamplingData[[#This Row],[Span]]</f>
        <v>5428.5791202282926</v>
      </c>
      <c r="AG301" s="100">
        <f>IF(ISNUMBER('General Info'!$B$42), ((SamplingData[[#This Row],[up/U Selection Probability]]) * 'General Info'!$B$44) - 1, 0)</f>
        <v>28.612878910246067</v>
      </c>
      <c r="AH301" s="100">
        <f>IF(ISNUMBER('General Info'!$B$42), (SamplingData[[#This Row],[Running (cumulative) sum]] * ('General Info'!$B$42 -'General Info'!$B$43 + 1)) + 'General Info'!$B$43 - 1, 0)</f>
        <v>5457.1919991385384</v>
      </c>
      <c r="AI301" s="100" t="str">
        <f>IF(ISERROR(MATCH(SamplingData[[#This Row],[Batch by Type (p)]],SelectedPrecincts[Batch Name], 0)), "", INDEX(SelectedPrecincts[Draw], MATCH(SamplingData[[#This Row],[Batch by Type (p)]],SelectedPrecincts[Batch Name], 0)))</f>
        <v/>
      </c>
      <c r="AJ301" s="101">
        <f>IF(COUNTIF(SelectedPrecincts[Batch Name],SamplingData[[#This Row],[Batch by Type (p)]]) &lt;&gt; 0, COUNTIF(SelectedPrecincts[Batch Name],SamplingData[[#This Row],[Batch by Type (p)]]), 0)</f>
        <v>0</v>
      </c>
    </row>
    <row r="302" spans="1:36" ht="15" customHeight="1" x14ac:dyDescent="0.35">
      <c r="A302" s="98" t="s">
        <v>514</v>
      </c>
      <c r="B302" s="98">
        <v>13</v>
      </c>
      <c r="C302" s="98">
        <v>0</v>
      </c>
      <c r="D302" s="93"/>
      <c r="E302" s="93"/>
      <c r="F302" s="93"/>
      <c r="G302" s="97"/>
      <c r="H302" s="97"/>
      <c r="I302" s="93"/>
      <c r="J302" s="93"/>
      <c r="K302" s="93"/>
      <c r="L302" s="93"/>
      <c r="M302" s="93"/>
      <c r="N302" s="98">
        <v>0</v>
      </c>
      <c r="O302" s="98">
        <v>0</v>
      </c>
      <c r="P302" s="99">
        <f>SUM(SamplingData[[#This Row],[Winning Candidate]:[Under Votes]])</f>
        <v>13</v>
      </c>
      <c r="Q302"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302" s="100">
        <f>IF(AND(SamplingData[[#This Row],[Total]]&lt;&gt; 0, NOT(ISBLANK(SamplingData[[#This Row],[Candidate 3]]))),(SamplingData[[#This Row],[Total]]+SamplingData[[#This Row],[Winning Candidate]]-SamplingData[[#This Row],[Candidate 3]])/(SamplingData[[#Totals],[Winning Candidate]]-SamplingData[[#Totals],[Candidate 3]]), 0)</f>
        <v>0</v>
      </c>
      <c r="S302" s="100">
        <f>IF(AND(SamplingData[[#This Row],[Total]]&lt;&gt; 0, NOT(ISBLANK(SamplingData[[#This Row],[Candidate 4]]))),(SamplingData[[#This Row],[Total]]+SamplingData[[#This Row],[Winning Candidate]]-SamplingData[[#This Row],[Candidate 4]])/(SamplingData[[#Totals],[Winning Candidate]]-SamplingData[[#Totals],[Candidate 4]]), 0)</f>
        <v>0</v>
      </c>
      <c r="T302" s="100">
        <f>IF(AND(SamplingData[[#This Row],[Total]]&lt;&gt; 0, NOT(ISBLANK(SamplingData[[#This Row],[Candidate 5]]))),(SamplingData[[#This Row],[Total]]+SamplingData[[#This Row],[Winning Candidate]]-SamplingData[[#This Row],[Candidate 5]])/(SamplingData[[#Totals],[Winning Candidate]]-SamplingData[[#Totals],[Candidate 5]]), 0)</f>
        <v>0</v>
      </c>
      <c r="U302" s="100">
        <f>IF(AND(SamplingData[[#This Row],[Total]]&lt;&gt; 0, NOT(ISBLANK(SamplingData[[#This Row],[Candidate 6]]))),(SamplingData[[#This Row],[Total]]+SamplingData[[#This Row],[Losing Candidate]]-SamplingData[[#This Row],[Candidate 6]])/(SamplingData[[#Totals],[Winning Candidate]]-SamplingData[[#Totals],[Candidate 6]]), 0)</f>
        <v>0</v>
      </c>
      <c r="V302" s="100">
        <f>IF(AND(SamplingData[[#This Row],[Total]]&lt;&gt; 0, NOT(ISBLANK(SamplingData[[#This Row],[Candidate 7]]))),(SamplingData[[#This Row],[Total]]+SamplingData[[#This Row],[Winning Candidate]]-SamplingData[[#This Row],[Candidate 7]])/(SamplingData[[#Totals],[Winning Candidate]]-SamplingData[[#Totals],[Candidate 7]]), 0)</f>
        <v>0</v>
      </c>
      <c r="W302" s="100">
        <f>IF(AND(SamplingData[[#This Row],[Total]]&lt;&gt; 0, NOT(ISBLANK(SamplingData[[#This Row],[Candidate 8]]))),(SamplingData[[#This Row],[Total]]+SamplingData[[#This Row],[Winning Candidate]]-SamplingData[[#This Row],[Candidate 8]])/(SamplingData[[#Totals],[Winning Candidate]]-SamplingData[[#Totals],[Candidate 8]]), 0)</f>
        <v>0</v>
      </c>
      <c r="X3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00">
        <f>MAX(SamplingData[[#This Row],[Error Bound (up) - Max. possible relative overstatement - Losing Candidate]:[Error Bound (up) - Max. possible relative overstatement - Candidate 12]])</f>
        <v>8.1665986116782364E-4</v>
      </c>
      <c r="AC302" s="100">
        <f>IF(SamplingData[[#This Row],[Max Error Bound (up)]] = 0,0,SamplingData[[#This Row],[Max Error Bound (up)]]/SamplingData[[#Totals],[Max Error Bound (up)]])</f>
        <v>3.4997038712108992E-4</v>
      </c>
      <c r="AD302" s="104">
        <f>SUM($AC$5:AC302)</f>
        <v>5.4931890378506473E-2</v>
      </c>
      <c r="AE302" s="100" t="str" cm="1">
        <f t="array" ref="AE302">IF(SamplingData[[#This Row],[up/U Selection Probability]] = 0, "Zero", TEXT(SamplingData[[#This Row],[Lower Range]], REPT("0",LEN('General Info'!$B$42))) &amp; " - " &amp; TEXT(SamplingData[[#This Row],[Upper Range]], REPT("0",LEN('General Info'!$B$42))))</f>
        <v>05458 - 05492</v>
      </c>
      <c r="AF302" s="100">
        <f>SamplingData[[#This Row],[Upper Range]]-SamplingData[[#This Row],[Span]]</f>
        <v>5458.1919991385384</v>
      </c>
      <c r="AG302" s="100">
        <f>IF(ISNUMBER('General Info'!$B$42), ((SamplingData[[#This Row],[up/U Selection Probability]]) * 'General Info'!$B$44) - 1, 0)</f>
        <v>33.997038712108989</v>
      </c>
      <c r="AH302" s="100">
        <f>IF(ISNUMBER('General Info'!$B$42), (SamplingData[[#This Row],[Running (cumulative) sum]] * ('General Info'!$B$42 -'General Info'!$B$43 + 1)) + 'General Info'!$B$43 - 1, 0)</f>
        <v>5492.1890378506478</v>
      </c>
      <c r="AI302" s="100" t="str">
        <f>IF(ISERROR(MATCH(SamplingData[[#This Row],[Batch by Type (p)]],SelectedPrecincts[Batch Name], 0)), "", INDEX(SelectedPrecincts[Draw], MATCH(SamplingData[[#This Row],[Batch by Type (p)]],SelectedPrecincts[Batch Name], 0)))</f>
        <v/>
      </c>
      <c r="AJ302" s="101">
        <f>IF(COUNTIF(SelectedPrecincts[Batch Name],SamplingData[[#This Row],[Batch by Type (p)]]) &lt;&gt; 0, COUNTIF(SelectedPrecincts[Batch Name],SamplingData[[#This Row],[Batch by Type (p)]]), 0)</f>
        <v>0</v>
      </c>
    </row>
    <row r="303" spans="1:36" ht="15" customHeight="1" x14ac:dyDescent="0.35">
      <c r="A303" s="98" t="s">
        <v>515</v>
      </c>
      <c r="B303" s="98">
        <v>2</v>
      </c>
      <c r="C303" s="98">
        <v>0</v>
      </c>
      <c r="D303" s="93"/>
      <c r="E303" s="93"/>
      <c r="F303" s="93"/>
      <c r="G303" s="97"/>
      <c r="H303" s="97"/>
      <c r="I303" s="93"/>
      <c r="J303" s="93"/>
      <c r="K303" s="93"/>
      <c r="L303" s="93"/>
      <c r="M303" s="93"/>
      <c r="N303" s="98">
        <v>0</v>
      </c>
      <c r="O303" s="98">
        <v>0</v>
      </c>
      <c r="P303" s="99">
        <f>SUM(SamplingData[[#This Row],[Winning Candidate]:[Under Votes]])</f>
        <v>2</v>
      </c>
      <c r="Q30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303" s="100">
        <f>IF(AND(SamplingData[[#This Row],[Total]]&lt;&gt; 0, NOT(ISBLANK(SamplingData[[#This Row],[Candidate 3]]))),(SamplingData[[#This Row],[Total]]+SamplingData[[#This Row],[Winning Candidate]]-SamplingData[[#This Row],[Candidate 3]])/(SamplingData[[#Totals],[Winning Candidate]]-SamplingData[[#Totals],[Candidate 3]]), 0)</f>
        <v>0</v>
      </c>
      <c r="S303" s="100">
        <f>IF(AND(SamplingData[[#This Row],[Total]]&lt;&gt; 0, NOT(ISBLANK(SamplingData[[#This Row],[Candidate 4]]))),(SamplingData[[#This Row],[Total]]+SamplingData[[#This Row],[Winning Candidate]]-SamplingData[[#This Row],[Candidate 4]])/(SamplingData[[#Totals],[Winning Candidate]]-SamplingData[[#Totals],[Candidate 4]]), 0)</f>
        <v>0</v>
      </c>
      <c r="T303" s="100">
        <f>IF(AND(SamplingData[[#This Row],[Total]]&lt;&gt; 0, NOT(ISBLANK(SamplingData[[#This Row],[Candidate 5]]))),(SamplingData[[#This Row],[Total]]+SamplingData[[#This Row],[Winning Candidate]]-SamplingData[[#This Row],[Candidate 5]])/(SamplingData[[#Totals],[Winning Candidate]]-SamplingData[[#Totals],[Candidate 5]]), 0)</f>
        <v>0</v>
      </c>
      <c r="U303" s="100">
        <f>IF(AND(SamplingData[[#This Row],[Total]]&lt;&gt; 0, NOT(ISBLANK(SamplingData[[#This Row],[Candidate 6]]))),(SamplingData[[#This Row],[Total]]+SamplingData[[#This Row],[Losing Candidate]]-SamplingData[[#This Row],[Candidate 6]])/(SamplingData[[#Totals],[Winning Candidate]]-SamplingData[[#Totals],[Candidate 6]]), 0)</f>
        <v>0</v>
      </c>
      <c r="V303" s="100">
        <f>IF(AND(SamplingData[[#This Row],[Total]]&lt;&gt; 0, NOT(ISBLANK(SamplingData[[#This Row],[Candidate 7]]))),(SamplingData[[#This Row],[Total]]+SamplingData[[#This Row],[Winning Candidate]]-SamplingData[[#This Row],[Candidate 7]])/(SamplingData[[#Totals],[Winning Candidate]]-SamplingData[[#Totals],[Candidate 7]]), 0)</f>
        <v>0</v>
      </c>
      <c r="W303" s="100">
        <f>IF(AND(SamplingData[[#This Row],[Total]]&lt;&gt; 0, NOT(ISBLANK(SamplingData[[#This Row],[Candidate 8]]))),(SamplingData[[#This Row],[Total]]+SamplingData[[#This Row],[Winning Candidate]]-SamplingData[[#This Row],[Candidate 8]])/(SamplingData[[#Totals],[Winning Candidate]]-SamplingData[[#Totals],[Candidate 8]]), 0)</f>
        <v>0</v>
      </c>
      <c r="X3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00">
        <f>MAX(SamplingData[[#This Row],[Error Bound (up) - Max. possible relative overstatement - Losing Candidate]:[Error Bound (up) - Max. possible relative overstatement - Candidate 12]])</f>
        <v>1.2563997864120362E-4</v>
      </c>
      <c r="AC303" s="100">
        <f>IF(SamplingData[[#This Row],[Max Error Bound (up)]] = 0,0,SamplingData[[#This Row],[Max Error Bound (up)]]/SamplingData[[#Totals],[Max Error Bound (up)]])</f>
        <v>5.3841598018629206E-5</v>
      </c>
      <c r="AD303" s="104">
        <f>SUM($AC$5:AC303)</f>
        <v>5.49857319765251E-2</v>
      </c>
      <c r="AE303" s="100" t="str" cm="1">
        <f t="array" ref="AE303">IF(SamplingData[[#This Row],[up/U Selection Probability]] = 0, "Zero", TEXT(SamplingData[[#This Row],[Lower Range]], REPT("0",LEN('General Info'!$B$42))) &amp; " - " &amp; TEXT(SamplingData[[#This Row],[Upper Range]], REPT("0",LEN('General Info'!$B$42))))</f>
        <v>05493 - 05498</v>
      </c>
      <c r="AF303" s="100">
        <f>SamplingData[[#This Row],[Upper Range]]-SamplingData[[#This Row],[Span]]</f>
        <v>5493.1890378506478</v>
      </c>
      <c r="AG303" s="100">
        <f>IF(ISNUMBER('General Info'!$B$42), ((SamplingData[[#This Row],[up/U Selection Probability]]) * 'General Info'!$B$44) - 1, 0)</f>
        <v>4.3841598018629204</v>
      </c>
      <c r="AH303" s="100">
        <f>IF(ISNUMBER('General Info'!$B$42), (SamplingData[[#This Row],[Running (cumulative) sum]] * ('General Info'!$B$42 -'General Info'!$B$43 + 1)) + 'General Info'!$B$43 - 1, 0)</f>
        <v>5497.5731976525103</v>
      </c>
      <c r="AI303" s="100" t="str">
        <f>IF(ISERROR(MATCH(SamplingData[[#This Row],[Batch by Type (p)]],SelectedPrecincts[Batch Name], 0)), "", INDEX(SelectedPrecincts[Draw], MATCH(SamplingData[[#This Row],[Batch by Type (p)]],SelectedPrecincts[Batch Name], 0)))</f>
        <v/>
      </c>
      <c r="AJ303" s="101">
        <f>IF(COUNTIF(SelectedPrecincts[Batch Name],SamplingData[[#This Row],[Batch by Type (p)]]) &lt;&gt; 0, COUNTIF(SelectedPrecincts[Batch Name],SamplingData[[#This Row],[Batch by Type (p)]]), 0)</f>
        <v>0</v>
      </c>
    </row>
    <row r="304" spans="1:36" ht="15" customHeight="1" x14ac:dyDescent="0.35">
      <c r="A304" s="98" t="s">
        <v>516</v>
      </c>
      <c r="B304" s="98">
        <v>12</v>
      </c>
      <c r="C304" s="98">
        <v>2</v>
      </c>
      <c r="D304" s="93"/>
      <c r="E304" s="93"/>
      <c r="F304" s="93"/>
      <c r="G304" s="97"/>
      <c r="H304" s="97"/>
      <c r="I304" s="93"/>
      <c r="J304" s="93"/>
      <c r="K304" s="93"/>
      <c r="L304" s="93"/>
      <c r="M304" s="93"/>
      <c r="N304" s="98">
        <v>0</v>
      </c>
      <c r="O304" s="98">
        <v>0</v>
      </c>
      <c r="P304" s="99">
        <f>SUM(SamplingData[[#This Row],[Winning Candidate]:[Under Votes]])</f>
        <v>14</v>
      </c>
      <c r="Q304"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304" s="100">
        <f>IF(AND(SamplingData[[#This Row],[Total]]&lt;&gt; 0, NOT(ISBLANK(SamplingData[[#This Row],[Candidate 3]]))),(SamplingData[[#This Row],[Total]]+SamplingData[[#This Row],[Winning Candidate]]-SamplingData[[#This Row],[Candidate 3]])/(SamplingData[[#Totals],[Winning Candidate]]-SamplingData[[#Totals],[Candidate 3]]), 0)</f>
        <v>0</v>
      </c>
      <c r="S304" s="100">
        <f>IF(AND(SamplingData[[#This Row],[Total]]&lt;&gt; 0, NOT(ISBLANK(SamplingData[[#This Row],[Candidate 4]]))),(SamplingData[[#This Row],[Total]]+SamplingData[[#This Row],[Winning Candidate]]-SamplingData[[#This Row],[Candidate 4]])/(SamplingData[[#Totals],[Winning Candidate]]-SamplingData[[#Totals],[Candidate 4]]), 0)</f>
        <v>0</v>
      </c>
      <c r="T304" s="100">
        <f>IF(AND(SamplingData[[#This Row],[Total]]&lt;&gt; 0, NOT(ISBLANK(SamplingData[[#This Row],[Candidate 5]]))),(SamplingData[[#This Row],[Total]]+SamplingData[[#This Row],[Winning Candidate]]-SamplingData[[#This Row],[Candidate 5]])/(SamplingData[[#Totals],[Winning Candidate]]-SamplingData[[#Totals],[Candidate 5]]), 0)</f>
        <v>0</v>
      </c>
      <c r="U304" s="100">
        <f>IF(AND(SamplingData[[#This Row],[Total]]&lt;&gt; 0, NOT(ISBLANK(SamplingData[[#This Row],[Candidate 6]]))),(SamplingData[[#This Row],[Total]]+SamplingData[[#This Row],[Losing Candidate]]-SamplingData[[#This Row],[Candidate 6]])/(SamplingData[[#Totals],[Winning Candidate]]-SamplingData[[#Totals],[Candidate 6]]), 0)</f>
        <v>0</v>
      </c>
      <c r="V304" s="100">
        <f>IF(AND(SamplingData[[#This Row],[Total]]&lt;&gt; 0, NOT(ISBLANK(SamplingData[[#This Row],[Candidate 7]]))),(SamplingData[[#This Row],[Total]]+SamplingData[[#This Row],[Winning Candidate]]-SamplingData[[#This Row],[Candidate 7]])/(SamplingData[[#Totals],[Winning Candidate]]-SamplingData[[#Totals],[Candidate 7]]), 0)</f>
        <v>0</v>
      </c>
      <c r="W304" s="100">
        <f>IF(AND(SamplingData[[#This Row],[Total]]&lt;&gt; 0, NOT(ISBLANK(SamplingData[[#This Row],[Candidate 8]]))),(SamplingData[[#This Row],[Total]]+SamplingData[[#This Row],[Winning Candidate]]-SamplingData[[#This Row],[Candidate 8]])/(SamplingData[[#Totals],[Winning Candidate]]-SamplingData[[#Totals],[Candidate 8]]), 0)</f>
        <v>0</v>
      </c>
      <c r="X3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00">
        <f>MAX(SamplingData[[#This Row],[Error Bound (up) - Max. possible relative overstatement - Losing Candidate]:[Error Bound (up) - Max. possible relative overstatement - Candidate 12]])</f>
        <v>7.5383987184722177E-4</v>
      </c>
      <c r="AC304" s="100">
        <f>IF(SamplingData[[#This Row],[Max Error Bound (up)]] = 0,0,SamplingData[[#This Row],[Max Error Bound (up)]]/SamplingData[[#Totals],[Max Error Bound (up)]])</f>
        <v>3.2304958811177527E-4</v>
      </c>
      <c r="AD304" s="104">
        <f>SUM($AC$5:AC304)</f>
        <v>5.5308781564636873E-2</v>
      </c>
      <c r="AE304" s="100" t="str" cm="1">
        <f t="array" ref="AE304">IF(SamplingData[[#This Row],[up/U Selection Probability]] = 0, "Zero", TEXT(SamplingData[[#This Row],[Lower Range]], REPT("0",LEN('General Info'!$B$42))) &amp; " - " &amp; TEXT(SamplingData[[#This Row],[Upper Range]], REPT("0",LEN('General Info'!$B$42))))</f>
        <v>05499 - 05530</v>
      </c>
      <c r="AF304" s="100">
        <f>SamplingData[[#This Row],[Upper Range]]-SamplingData[[#This Row],[Span]]</f>
        <v>5498.5731976525103</v>
      </c>
      <c r="AG304" s="100">
        <f>IF(ISNUMBER('General Info'!$B$42), ((SamplingData[[#This Row],[up/U Selection Probability]]) * 'General Info'!$B$44) - 1, 0)</f>
        <v>31.304958811177528</v>
      </c>
      <c r="AH304" s="100">
        <f>IF(ISNUMBER('General Info'!$B$42), (SamplingData[[#This Row],[Running (cumulative) sum]] * ('General Info'!$B$42 -'General Info'!$B$43 + 1)) + 'General Info'!$B$43 - 1, 0)</f>
        <v>5529.8781564636874</v>
      </c>
      <c r="AI304" s="100" t="str">
        <f>IF(ISERROR(MATCH(SamplingData[[#This Row],[Batch by Type (p)]],SelectedPrecincts[Batch Name], 0)), "", INDEX(SelectedPrecincts[Draw], MATCH(SamplingData[[#This Row],[Batch by Type (p)]],SelectedPrecincts[Batch Name], 0)))</f>
        <v/>
      </c>
      <c r="AJ304" s="101">
        <f>IF(COUNTIF(SelectedPrecincts[Batch Name],SamplingData[[#This Row],[Batch by Type (p)]]) &lt;&gt; 0, COUNTIF(SelectedPrecincts[Batch Name],SamplingData[[#This Row],[Batch by Type (p)]]), 0)</f>
        <v>0</v>
      </c>
    </row>
    <row r="305" spans="1:36" ht="15" customHeight="1" x14ac:dyDescent="0.35">
      <c r="A305" s="98" t="s">
        <v>517</v>
      </c>
      <c r="B305" s="98">
        <v>21</v>
      </c>
      <c r="C305" s="98">
        <v>1</v>
      </c>
      <c r="D305" s="93"/>
      <c r="E305" s="93"/>
      <c r="F305" s="93"/>
      <c r="G305" s="97"/>
      <c r="H305" s="97"/>
      <c r="I305" s="93"/>
      <c r="J305" s="93"/>
      <c r="K305" s="93"/>
      <c r="L305" s="93"/>
      <c r="M305" s="93"/>
      <c r="N305" s="98">
        <v>1</v>
      </c>
      <c r="O305" s="98">
        <v>0</v>
      </c>
      <c r="P305" s="99">
        <f>SUM(SamplingData[[#This Row],[Winning Candidate]:[Under Votes]])</f>
        <v>23</v>
      </c>
      <c r="Q305" s="100">
        <f>IF(AND(SamplingData[[#This Row],[Total]]&lt;&gt; 0, NOT(ISBLANK(SamplingData[[#This Row],[Losing Candidate]]))),(SamplingData[[#This Row],[Total]]+SamplingData[[#This Row],[Winning Candidate]]-SamplingData[[#This Row],[Losing Candidate]])/(SamplingData[[#Totals],[Winning Candidate]]-SamplingData[[#Totals],[Losing Candidate]]), 0)</f>
        <v>1.350629770392939E-3</v>
      </c>
      <c r="R305" s="100">
        <f>IF(AND(SamplingData[[#This Row],[Total]]&lt;&gt; 0, NOT(ISBLANK(SamplingData[[#This Row],[Candidate 3]]))),(SamplingData[[#This Row],[Total]]+SamplingData[[#This Row],[Winning Candidate]]-SamplingData[[#This Row],[Candidate 3]])/(SamplingData[[#Totals],[Winning Candidate]]-SamplingData[[#Totals],[Candidate 3]]), 0)</f>
        <v>0</v>
      </c>
      <c r="S305" s="100">
        <f>IF(AND(SamplingData[[#This Row],[Total]]&lt;&gt; 0, NOT(ISBLANK(SamplingData[[#This Row],[Candidate 4]]))),(SamplingData[[#This Row],[Total]]+SamplingData[[#This Row],[Winning Candidate]]-SamplingData[[#This Row],[Candidate 4]])/(SamplingData[[#Totals],[Winning Candidate]]-SamplingData[[#Totals],[Candidate 4]]), 0)</f>
        <v>0</v>
      </c>
      <c r="T305" s="100">
        <f>IF(AND(SamplingData[[#This Row],[Total]]&lt;&gt; 0, NOT(ISBLANK(SamplingData[[#This Row],[Candidate 5]]))),(SamplingData[[#This Row],[Total]]+SamplingData[[#This Row],[Winning Candidate]]-SamplingData[[#This Row],[Candidate 5]])/(SamplingData[[#Totals],[Winning Candidate]]-SamplingData[[#Totals],[Candidate 5]]), 0)</f>
        <v>0</v>
      </c>
      <c r="U305" s="100">
        <f>IF(AND(SamplingData[[#This Row],[Total]]&lt;&gt; 0, NOT(ISBLANK(SamplingData[[#This Row],[Candidate 6]]))),(SamplingData[[#This Row],[Total]]+SamplingData[[#This Row],[Losing Candidate]]-SamplingData[[#This Row],[Candidate 6]])/(SamplingData[[#Totals],[Winning Candidate]]-SamplingData[[#Totals],[Candidate 6]]), 0)</f>
        <v>0</v>
      </c>
      <c r="V305" s="100">
        <f>IF(AND(SamplingData[[#This Row],[Total]]&lt;&gt; 0, NOT(ISBLANK(SamplingData[[#This Row],[Candidate 7]]))),(SamplingData[[#This Row],[Total]]+SamplingData[[#This Row],[Winning Candidate]]-SamplingData[[#This Row],[Candidate 7]])/(SamplingData[[#Totals],[Winning Candidate]]-SamplingData[[#Totals],[Candidate 7]]), 0)</f>
        <v>0</v>
      </c>
      <c r="W305" s="100">
        <f>IF(AND(SamplingData[[#This Row],[Total]]&lt;&gt; 0, NOT(ISBLANK(SamplingData[[#This Row],[Candidate 8]]))),(SamplingData[[#This Row],[Total]]+SamplingData[[#This Row],[Winning Candidate]]-SamplingData[[#This Row],[Candidate 8]])/(SamplingData[[#Totals],[Winning Candidate]]-SamplingData[[#Totals],[Candidate 8]]), 0)</f>
        <v>0</v>
      </c>
      <c r="X3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00">
        <f>MAX(SamplingData[[#This Row],[Error Bound (up) - Max. possible relative overstatement - Losing Candidate]:[Error Bound (up) - Max. possible relative overstatement - Candidate 12]])</f>
        <v>1.350629770392939E-3</v>
      </c>
      <c r="AC305" s="100">
        <f>IF(SamplingData[[#This Row],[Max Error Bound (up)]] = 0,0,SamplingData[[#This Row],[Max Error Bound (up)]]/SamplingData[[#Totals],[Max Error Bound (up)]])</f>
        <v>5.7879717870026404E-4</v>
      </c>
      <c r="AD305" s="104">
        <f>SUM($AC$5:AC305)</f>
        <v>5.5887578743337135E-2</v>
      </c>
      <c r="AE305" s="100" t="str" cm="1">
        <f t="array" ref="AE305">IF(SamplingData[[#This Row],[up/U Selection Probability]] = 0, "Zero", TEXT(SamplingData[[#This Row],[Lower Range]], REPT("0",LEN('General Info'!$B$42))) &amp; " - " &amp; TEXT(SamplingData[[#This Row],[Upper Range]], REPT("0",LEN('General Info'!$B$42))))</f>
        <v>05531 - 05588</v>
      </c>
      <c r="AF305" s="100">
        <f>SamplingData[[#This Row],[Upper Range]]-SamplingData[[#This Row],[Span]]</f>
        <v>5530.8781564636874</v>
      </c>
      <c r="AG305" s="100">
        <f>IF(ISNUMBER('General Info'!$B$42), ((SamplingData[[#This Row],[up/U Selection Probability]]) * 'General Info'!$B$44) - 1, 0)</f>
        <v>56.879717870026404</v>
      </c>
      <c r="AH305" s="100">
        <f>IF(ISNUMBER('General Info'!$B$42), (SamplingData[[#This Row],[Running (cumulative) sum]] * ('General Info'!$B$42 -'General Info'!$B$43 + 1)) + 'General Info'!$B$43 - 1, 0)</f>
        <v>5587.7578743337135</v>
      </c>
      <c r="AI305" s="100" t="str">
        <f>IF(ISERROR(MATCH(SamplingData[[#This Row],[Batch by Type (p)]],SelectedPrecincts[Batch Name], 0)), "", INDEX(SelectedPrecincts[Draw], MATCH(SamplingData[[#This Row],[Batch by Type (p)]],SelectedPrecincts[Batch Name], 0)))</f>
        <v/>
      </c>
      <c r="AJ305" s="101">
        <f>IF(COUNTIF(SelectedPrecincts[Batch Name],SamplingData[[#This Row],[Batch by Type (p)]]) &lt;&gt; 0, COUNTIF(SelectedPrecincts[Batch Name],SamplingData[[#This Row],[Batch by Type (p)]]), 0)</f>
        <v>0</v>
      </c>
    </row>
    <row r="306" spans="1:36" ht="15" customHeight="1" x14ac:dyDescent="0.35">
      <c r="A306" s="98" t="s">
        <v>518</v>
      </c>
      <c r="B306" s="98">
        <v>4</v>
      </c>
      <c r="C306" s="98">
        <v>1</v>
      </c>
      <c r="D306" s="93"/>
      <c r="E306" s="93"/>
      <c r="F306" s="93"/>
      <c r="G306" s="97"/>
      <c r="H306" s="97"/>
      <c r="I306" s="93"/>
      <c r="J306" s="93"/>
      <c r="K306" s="93"/>
      <c r="L306" s="93"/>
      <c r="M306" s="93"/>
      <c r="N306" s="98">
        <v>0</v>
      </c>
      <c r="O306" s="98">
        <v>1</v>
      </c>
      <c r="P306" s="99">
        <f>SUM(SamplingData[[#This Row],[Winning Candidate]:[Under Votes]])</f>
        <v>6</v>
      </c>
      <c r="Q306"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306" s="100">
        <f>IF(AND(SamplingData[[#This Row],[Total]]&lt;&gt; 0, NOT(ISBLANK(SamplingData[[#This Row],[Candidate 3]]))),(SamplingData[[#This Row],[Total]]+SamplingData[[#This Row],[Winning Candidate]]-SamplingData[[#This Row],[Candidate 3]])/(SamplingData[[#Totals],[Winning Candidate]]-SamplingData[[#Totals],[Candidate 3]]), 0)</f>
        <v>0</v>
      </c>
      <c r="S306" s="100">
        <f>IF(AND(SamplingData[[#This Row],[Total]]&lt;&gt; 0, NOT(ISBLANK(SamplingData[[#This Row],[Candidate 4]]))),(SamplingData[[#This Row],[Total]]+SamplingData[[#This Row],[Winning Candidate]]-SamplingData[[#This Row],[Candidate 4]])/(SamplingData[[#Totals],[Winning Candidate]]-SamplingData[[#Totals],[Candidate 4]]), 0)</f>
        <v>0</v>
      </c>
      <c r="T306" s="100">
        <f>IF(AND(SamplingData[[#This Row],[Total]]&lt;&gt; 0, NOT(ISBLANK(SamplingData[[#This Row],[Candidate 5]]))),(SamplingData[[#This Row],[Total]]+SamplingData[[#This Row],[Winning Candidate]]-SamplingData[[#This Row],[Candidate 5]])/(SamplingData[[#Totals],[Winning Candidate]]-SamplingData[[#Totals],[Candidate 5]]), 0)</f>
        <v>0</v>
      </c>
      <c r="U306" s="100">
        <f>IF(AND(SamplingData[[#This Row],[Total]]&lt;&gt; 0, NOT(ISBLANK(SamplingData[[#This Row],[Candidate 6]]))),(SamplingData[[#This Row],[Total]]+SamplingData[[#This Row],[Losing Candidate]]-SamplingData[[#This Row],[Candidate 6]])/(SamplingData[[#Totals],[Winning Candidate]]-SamplingData[[#Totals],[Candidate 6]]), 0)</f>
        <v>0</v>
      </c>
      <c r="V306" s="100">
        <f>IF(AND(SamplingData[[#This Row],[Total]]&lt;&gt; 0, NOT(ISBLANK(SamplingData[[#This Row],[Candidate 7]]))),(SamplingData[[#This Row],[Total]]+SamplingData[[#This Row],[Winning Candidate]]-SamplingData[[#This Row],[Candidate 7]])/(SamplingData[[#Totals],[Winning Candidate]]-SamplingData[[#Totals],[Candidate 7]]), 0)</f>
        <v>0</v>
      </c>
      <c r="W306" s="100">
        <f>IF(AND(SamplingData[[#This Row],[Total]]&lt;&gt; 0, NOT(ISBLANK(SamplingData[[#This Row],[Candidate 8]]))),(SamplingData[[#This Row],[Total]]+SamplingData[[#This Row],[Winning Candidate]]-SamplingData[[#This Row],[Candidate 8]])/(SamplingData[[#Totals],[Winning Candidate]]-SamplingData[[#Totals],[Candidate 8]]), 0)</f>
        <v>0</v>
      </c>
      <c r="X3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00">
        <f>MAX(SamplingData[[#This Row],[Error Bound (up) - Max. possible relative overstatement - Losing Candidate]:[Error Bound (up) - Max. possible relative overstatement - Candidate 12]])</f>
        <v>2.8268995194270818E-4</v>
      </c>
      <c r="AC306" s="100">
        <f>IF(SamplingData[[#This Row],[Max Error Bound (up)]] = 0,0,SamplingData[[#This Row],[Max Error Bound (up)]]/SamplingData[[#Totals],[Max Error Bound (up)]])</f>
        <v>1.2114359554191572E-4</v>
      </c>
      <c r="AD306" s="104">
        <f>SUM($AC$5:AC306)</f>
        <v>5.6008722338879054E-2</v>
      </c>
      <c r="AE306" s="100" t="str" cm="1">
        <f t="array" ref="AE306">IF(SamplingData[[#This Row],[up/U Selection Probability]] = 0, "Zero", TEXT(SamplingData[[#This Row],[Lower Range]], REPT("0",LEN('General Info'!$B$42))) &amp; " - " &amp; TEXT(SamplingData[[#This Row],[Upper Range]], REPT("0",LEN('General Info'!$B$42))))</f>
        <v>05589 - 05600</v>
      </c>
      <c r="AF306" s="100">
        <f>SamplingData[[#This Row],[Upper Range]]-SamplingData[[#This Row],[Span]]</f>
        <v>5588.7578743337135</v>
      </c>
      <c r="AG306" s="100">
        <f>IF(ISNUMBER('General Info'!$B$42), ((SamplingData[[#This Row],[up/U Selection Probability]]) * 'General Info'!$B$44) - 1, 0)</f>
        <v>11.114359554191573</v>
      </c>
      <c r="AH306" s="100">
        <f>IF(ISNUMBER('General Info'!$B$42), (SamplingData[[#This Row],[Running (cumulative) sum]] * ('General Info'!$B$42 -'General Info'!$B$43 + 1)) + 'General Info'!$B$43 - 1, 0)</f>
        <v>5599.8722338879052</v>
      </c>
      <c r="AI306" s="100" t="str">
        <f>IF(ISERROR(MATCH(SamplingData[[#This Row],[Batch by Type (p)]],SelectedPrecincts[Batch Name], 0)), "", INDEX(SelectedPrecincts[Draw], MATCH(SamplingData[[#This Row],[Batch by Type (p)]],SelectedPrecincts[Batch Name], 0)))</f>
        <v/>
      </c>
      <c r="AJ306" s="101">
        <f>IF(COUNTIF(SelectedPrecincts[Batch Name],SamplingData[[#This Row],[Batch by Type (p)]]) &lt;&gt; 0, COUNTIF(SelectedPrecincts[Batch Name],SamplingData[[#This Row],[Batch by Type (p)]]), 0)</f>
        <v>0</v>
      </c>
    </row>
    <row r="307" spans="1:36" ht="15" customHeight="1" x14ac:dyDescent="0.35">
      <c r="A307" s="98" t="s">
        <v>519</v>
      </c>
      <c r="B307" s="98">
        <v>4</v>
      </c>
      <c r="C307" s="98">
        <v>0</v>
      </c>
      <c r="D307" s="93"/>
      <c r="E307" s="93"/>
      <c r="F307" s="93"/>
      <c r="G307" s="97"/>
      <c r="H307" s="97"/>
      <c r="I307" s="93"/>
      <c r="J307" s="93"/>
      <c r="K307" s="93"/>
      <c r="L307" s="93"/>
      <c r="M307" s="93"/>
      <c r="N307" s="98">
        <v>0</v>
      </c>
      <c r="O307" s="98">
        <v>0</v>
      </c>
      <c r="P307" s="99">
        <f>SUM(SamplingData[[#This Row],[Winning Candidate]:[Under Votes]])</f>
        <v>4</v>
      </c>
      <c r="Q307"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307" s="100">
        <f>IF(AND(SamplingData[[#This Row],[Total]]&lt;&gt; 0, NOT(ISBLANK(SamplingData[[#This Row],[Candidate 3]]))),(SamplingData[[#This Row],[Total]]+SamplingData[[#This Row],[Winning Candidate]]-SamplingData[[#This Row],[Candidate 3]])/(SamplingData[[#Totals],[Winning Candidate]]-SamplingData[[#Totals],[Candidate 3]]), 0)</f>
        <v>0</v>
      </c>
      <c r="S307" s="100">
        <f>IF(AND(SamplingData[[#This Row],[Total]]&lt;&gt; 0, NOT(ISBLANK(SamplingData[[#This Row],[Candidate 4]]))),(SamplingData[[#This Row],[Total]]+SamplingData[[#This Row],[Winning Candidate]]-SamplingData[[#This Row],[Candidate 4]])/(SamplingData[[#Totals],[Winning Candidate]]-SamplingData[[#Totals],[Candidate 4]]), 0)</f>
        <v>0</v>
      </c>
      <c r="T307" s="100">
        <f>IF(AND(SamplingData[[#This Row],[Total]]&lt;&gt; 0, NOT(ISBLANK(SamplingData[[#This Row],[Candidate 5]]))),(SamplingData[[#This Row],[Total]]+SamplingData[[#This Row],[Winning Candidate]]-SamplingData[[#This Row],[Candidate 5]])/(SamplingData[[#Totals],[Winning Candidate]]-SamplingData[[#Totals],[Candidate 5]]), 0)</f>
        <v>0</v>
      </c>
      <c r="U307" s="100">
        <f>IF(AND(SamplingData[[#This Row],[Total]]&lt;&gt; 0, NOT(ISBLANK(SamplingData[[#This Row],[Candidate 6]]))),(SamplingData[[#This Row],[Total]]+SamplingData[[#This Row],[Losing Candidate]]-SamplingData[[#This Row],[Candidate 6]])/(SamplingData[[#Totals],[Winning Candidate]]-SamplingData[[#Totals],[Candidate 6]]), 0)</f>
        <v>0</v>
      </c>
      <c r="V307" s="100">
        <f>IF(AND(SamplingData[[#This Row],[Total]]&lt;&gt; 0, NOT(ISBLANK(SamplingData[[#This Row],[Candidate 7]]))),(SamplingData[[#This Row],[Total]]+SamplingData[[#This Row],[Winning Candidate]]-SamplingData[[#This Row],[Candidate 7]])/(SamplingData[[#Totals],[Winning Candidate]]-SamplingData[[#Totals],[Candidate 7]]), 0)</f>
        <v>0</v>
      </c>
      <c r="W307" s="100">
        <f>IF(AND(SamplingData[[#This Row],[Total]]&lt;&gt; 0, NOT(ISBLANK(SamplingData[[#This Row],[Candidate 8]]))),(SamplingData[[#This Row],[Total]]+SamplingData[[#This Row],[Winning Candidate]]-SamplingData[[#This Row],[Candidate 8]])/(SamplingData[[#Totals],[Winning Candidate]]-SamplingData[[#Totals],[Candidate 8]]), 0)</f>
        <v>0</v>
      </c>
      <c r="X3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00">
        <f>MAX(SamplingData[[#This Row],[Error Bound (up) - Max. possible relative overstatement - Losing Candidate]:[Error Bound (up) - Max. possible relative overstatement - Candidate 12]])</f>
        <v>2.5127995728240724E-4</v>
      </c>
      <c r="AC307" s="100">
        <f>IF(SamplingData[[#This Row],[Max Error Bound (up)]] = 0,0,SamplingData[[#This Row],[Max Error Bound (up)]]/SamplingData[[#Totals],[Max Error Bound (up)]])</f>
        <v>1.0768319603725841E-4</v>
      </c>
      <c r="AD307" s="104">
        <f>SUM($AC$5:AC307)</f>
        <v>5.6116405534916314E-2</v>
      </c>
      <c r="AE307" s="100" t="str" cm="1">
        <f t="array" ref="AE307">IF(SamplingData[[#This Row],[up/U Selection Probability]] = 0, "Zero", TEXT(SamplingData[[#This Row],[Lower Range]], REPT("0",LEN('General Info'!$B$42))) &amp; " - " &amp; TEXT(SamplingData[[#This Row],[Upper Range]], REPT("0",LEN('General Info'!$B$42))))</f>
        <v>05601 - 05611</v>
      </c>
      <c r="AF307" s="100">
        <f>SamplingData[[#This Row],[Upper Range]]-SamplingData[[#This Row],[Span]]</f>
        <v>5600.8722338879052</v>
      </c>
      <c r="AG307" s="100">
        <f>IF(ISNUMBER('General Info'!$B$42), ((SamplingData[[#This Row],[up/U Selection Probability]]) * 'General Info'!$B$44) - 1, 0)</f>
        <v>9.7683196037258408</v>
      </c>
      <c r="AH307" s="100">
        <f>IF(ISNUMBER('General Info'!$B$42), (SamplingData[[#This Row],[Running (cumulative) sum]] * ('General Info'!$B$42 -'General Info'!$B$43 + 1)) + 'General Info'!$B$43 - 1, 0)</f>
        <v>5610.6405534916312</v>
      </c>
      <c r="AI307" s="100" t="str">
        <f>IF(ISERROR(MATCH(SamplingData[[#This Row],[Batch by Type (p)]],SelectedPrecincts[Batch Name], 0)), "", INDEX(SelectedPrecincts[Draw], MATCH(SamplingData[[#This Row],[Batch by Type (p)]],SelectedPrecincts[Batch Name], 0)))</f>
        <v/>
      </c>
      <c r="AJ307" s="101">
        <f>IF(COUNTIF(SelectedPrecincts[Batch Name],SamplingData[[#This Row],[Batch by Type (p)]]) &lt;&gt; 0, COUNTIF(SelectedPrecincts[Batch Name],SamplingData[[#This Row],[Batch by Type (p)]]), 0)</f>
        <v>0</v>
      </c>
    </row>
    <row r="308" spans="1:36" ht="15" customHeight="1" x14ac:dyDescent="0.35">
      <c r="A308" s="98" t="s">
        <v>520</v>
      </c>
      <c r="B308" s="98">
        <v>11</v>
      </c>
      <c r="C308" s="98">
        <v>0</v>
      </c>
      <c r="D308" s="93"/>
      <c r="E308" s="93"/>
      <c r="F308" s="93"/>
      <c r="G308" s="97"/>
      <c r="H308" s="97"/>
      <c r="I308" s="93"/>
      <c r="J308" s="93"/>
      <c r="K308" s="93"/>
      <c r="L308" s="93"/>
      <c r="M308" s="93"/>
      <c r="N308" s="98">
        <v>0</v>
      </c>
      <c r="O308" s="98">
        <v>0</v>
      </c>
      <c r="P308" s="99">
        <f>SUM(SamplingData[[#This Row],[Winning Candidate]:[Under Votes]])</f>
        <v>11</v>
      </c>
      <c r="Q308"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308" s="100">
        <f>IF(AND(SamplingData[[#This Row],[Total]]&lt;&gt; 0, NOT(ISBLANK(SamplingData[[#This Row],[Candidate 3]]))),(SamplingData[[#This Row],[Total]]+SamplingData[[#This Row],[Winning Candidate]]-SamplingData[[#This Row],[Candidate 3]])/(SamplingData[[#Totals],[Winning Candidate]]-SamplingData[[#Totals],[Candidate 3]]), 0)</f>
        <v>0</v>
      </c>
      <c r="S308" s="100">
        <f>IF(AND(SamplingData[[#This Row],[Total]]&lt;&gt; 0, NOT(ISBLANK(SamplingData[[#This Row],[Candidate 4]]))),(SamplingData[[#This Row],[Total]]+SamplingData[[#This Row],[Winning Candidate]]-SamplingData[[#This Row],[Candidate 4]])/(SamplingData[[#Totals],[Winning Candidate]]-SamplingData[[#Totals],[Candidate 4]]), 0)</f>
        <v>0</v>
      </c>
      <c r="T308" s="100">
        <f>IF(AND(SamplingData[[#This Row],[Total]]&lt;&gt; 0, NOT(ISBLANK(SamplingData[[#This Row],[Candidate 5]]))),(SamplingData[[#This Row],[Total]]+SamplingData[[#This Row],[Winning Candidate]]-SamplingData[[#This Row],[Candidate 5]])/(SamplingData[[#Totals],[Winning Candidate]]-SamplingData[[#Totals],[Candidate 5]]), 0)</f>
        <v>0</v>
      </c>
      <c r="U308" s="100">
        <f>IF(AND(SamplingData[[#This Row],[Total]]&lt;&gt; 0, NOT(ISBLANK(SamplingData[[#This Row],[Candidate 6]]))),(SamplingData[[#This Row],[Total]]+SamplingData[[#This Row],[Losing Candidate]]-SamplingData[[#This Row],[Candidate 6]])/(SamplingData[[#Totals],[Winning Candidate]]-SamplingData[[#Totals],[Candidate 6]]), 0)</f>
        <v>0</v>
      </c>
      <c r="V308" s="100">
        <f>IF(AND(SamplingData[[#This Row],[Total]]&lt;&gt; 0, NOT(ISBLANK(SamplingData[[#This Row],[Candidate 7]]))),(SamplingData[[#This Row],[Total]]+SamplingData[[#This Row],[Winning Candidate]]-SamplingData[[#This Row],[Candidate 7]])/(SamplingData[[#Totals],[Winning Candidate]]-SamplingData[[#Totals],[Candidate 7]]), 0)</f>
        <v>0</v>
      </c>
      <c r="W308" s="100">
        <f>IF(AND(SamplingData[[#This Row],[Total]]&lt;&gt; 0, NOT(ISBLANK(SamplingData[[#This Row],[Candidate 8]]))),(SamplingData[[#This Row],[Total]]+SamplingData[[#This Row],[Winning Candidate]]-SamplingData[[#This Row],[Candidate 8]])/(SamplingData[[#Totals],[Winning Candidate]]-SamplingData[[#Totals],[Candidate 8]]), 0)</f>
        <v>0</v>
      </c>
      <c r="X3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00">
        <f>MAX(SamplingData[[#This Row],[Error Bound (up) - Max. possible relative overstatement - Losing Candidate]:[Error Bound (up) - Max. possible relative overstatement - Candidate 12]])</f>
        <v>6.9101988252662E-4</v>
      </c>
      <c r="AC308" s="100">
        <f>IF(SamplingData[[#This Row],[Max Error Bound (up)]] = 0,0,SamplingData[[#This Row],[Max Error Bound (up)]]/SamplingData[[#Totals],[Max Error Bound (up)]])</f>
        <v>2.9612878910246067E-4</v>
      </c>
      <c r="AD308" s="104">
        <f>SUM($AC$5:AC308)</f>
        <v>5.6412534324018777E-2</v>
      </c>
      <c r="AE308" s="100" t="str" cm="1">
        <f t="array" ref="AE308">IF(SamplingData[[#This Row],[up/U Selection Probability]] = 0, "Zero", TEXT(SamplingData[[#This Row],[Lower Range]], REPT("0",LEN('General Info'!$B$42))) &amp; " - " &amp; TEXT(SamplingData[[#This Row],[Upper Range]], REPT("0",LEN('General Info'!$B$42))))</f>
        <v>05612 - 05640</v>
      </c>
      <c r="AF308" s="100">
        <f>SamplingData[[#This Row],[Upper Range]]-SamplingData[[#This Row],[Span]]</f>
        <v>5611.6405534916321</v>
      </c>
      <c r="AG308" s="100">
        <f>IF(ISNUMBER('General Info'!$B$42), ((SamplingData[[#This Row],[up/U Selection Probability]]) * 'General Info'!$B$44) - 1, 0)</f>
        <v>28.612878910246067</v>
      </c>
      <c r="AH308" s="100">
        <f>IF(ISNUMBER('General Info'!$B$42), (SamplingData[[#This Row],[Running (cumulative) sum]] * ('General Info'!$B$42 -'General Info'!$B$43 + 1)) + 'General Info'!$B$43 - 1, 0)</f>
        <v>5640.2534324018779</v>
      </c>
      <c r="AI308" s="100" t="str">
        <f>IF(ISERROR(MATCH(SamplingData[[#This Row],[Batch by Type (p)]],SelectedPrecincts[Batch Name], 0)), "", INDEX(SelectedPrecincts[Draw], MATCH(SamplingData[[#This Row],[Batch by Type (p)]],SelectedPrecincts[Batch Name], 0)))</f>
        <v/>
      </c>
      <c r="AJ308" s="101">
        <f>IF(COUNTIF(SelectedPrecincts[Batch Name],SamplingData[[#This Row],[Batch by Type (p)]]) &lt;&gt; 0, COUNTIF(SelectedPrecincts[Batch Name],SamplingData[[#This Row],[Batch by Type (p)]]), 0)</f>
        <v>0</v>
      </c>
    </row>
    <row r="309" spans="1:36" ht="15" customHeight="1" x14ac:dyDescent="0.35">
      <c r="A309" s="98" t="s">
        <v>521</v>
      </c>
      <c r="B309" s="98">
        <v>5</v>
      </c>
      <c r="C309" s="98">
        <v>0</v>
      </c>
      <c r="D309" s="93"/>
      <c r="E309" s="93"/>
      <c r="F309" s="93"/>
      <c r="G309" s="97"/>
      <c r="H309" s="97"/>
      <c r="I309" s="93"/>
      <c r="J309" s="93"/>
      <c r="K309" s="93"/>
      <c r="L309" s="93"/>
      <c r="M309" s="93"/>
      <c r="N309" s="98">
        <v>0</v>
      </c>
      <c r="O309" s="98">
        <v>0</v>
      </c>
      <c r="P309" s="99">
        <f>SUM(SamplingData[[#This Row],[Winning Candidate]:[Under Votes]])</f>
        <v>5</v>
      </c>
      <c r="Q309"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309" s="100">
        <f>IF(AND(SamplingData[[#This Row],[Total]]&lt;&gt; 0, NOT(ISBLANK(SamplingData[[#This Row],[Candidate 3]]))),(SamplingData[[#This Row],[Total]]+SamplingData[[#This Row],[Winning Candidate]]-SamplingData[[#This Row],[Candidate 3]])/(SamplingData[[#Totals],[Winning Candidate]]-SamplingData[[#Totals],[Candidate 3]]), 0)</f>
        <v>0</v>
      </c>
      <c r="S309" s="100">
        <f>IF(AND(SamplingData[[#This Row],[Total]]&lt;&gt; 0, NOT(ISBLANK(SamplingData[[#This Row],[Candidate 4]]))),(SamplingData[[#This Row],[Total]]+SamplingData[[#This Row],[Winning Candidate]]-SamplingData[[#This Row],[Candidate 4]])/(SamplingData[[#Totals],[Winning Candidate]]-SamplingData[[#Totals],[Candidate 4]]), 0)</f>
        <v>0</v>
      </c>
      <c r="T309" s="100">
        <f>IF(AND(SamplingData[[#This Row],[Total]]&lt;&gt; 0, NOT(ISBLANK(SamplingData[[#This Row],[Candidate 5]]))),(SamplingData[[#This Row],[Total]]+SamplingData[[#This Row],[Winning Candidate]]-SamplingData[[#This Row],[Candidate 5]])/(SamplingData[[#Totals],[Winning Candidate]]-SamplingData[[#Totals],[Candidate 5]]), 0)</f>
        <v>0</v>
      </c>
      <c r="U309" s="100">
        <f>IF(AND(SamplingData[[#This Row],[Total]]&lt;&gt; 0, NOT(ISBLANK(SamplingData[[#This Row],[Candidate 6]]))),(SamplingData[[#This Row],[Total]]+SamplingData[[#This Row],[Losing Candidate]]-SamplingData[[#This Row],[Candidate 6]])/(SamplingData[[#Totals],[Winning Candidate]]-SamplingData[[#Totals],[Candidate 6]]), 0)</f>
        <v>0</v>
      </c>
      <c r="V309" s="100">
        <f>IF(AND(SamplingData[[#This Row],[Total]]&lt;&gt; 0, NOT(ISBLANK(SamplingData[[#This Row],[Candidate 7]]))),(SamplingData[[#This Row],[Total]]+SamplingData[[#This Row],[Winning Candidate]]-SamplingData[[#This Row],[Candidate 7]])/(SamplingData[[#Totals],[Winning Candidate]]-SamplingData[[#Totals],[Candidate 7]]), 0)</f>
        <v>0</v>
      </c>
      <c r="W309" s="100">
        <f>IF(AND(SamplingData[[#This Row],[Total]]&lt;&gt; 0, NOT(ISBLANK(SamplingData[[#This Row],[Candidate 8]]))),(SamplingData[[#This Row],[Total]]+SamplingData[[#This Row],[Winning Candidate]]-SamplingData[[#This Row],[Candidate 8]])/(SamplingData[[#Totals],[Winning Candidate]]-SamplingData[[#Totals],[Candidate 8]]), 0)</f>
        <v>0</v>
      </c>
      <c r="X3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00">
        <f>MAX(SamplingData[[#This Row],[Error Bound (up) - Max. possible relative overstatement - Losing Candidate]:[Error Bound (up) - Max. possible relative overstatement - Candidate 12]])</f>
        <v>3.1409994660300906E-4</v>
      </c>
      <c r="AC309" s="100">
        <f>IF(SamplingData[[#This Row],[Max Error Bound (up)]] = 0,0,SamplingData[[#This Row],[Max Error Bound (up)]]/SamplingData[[#Totals],[Max Error Bound (up)]])</f>
        <v>1.3460399504657304E-4</v>
      </c>
      <c r="AD309" s="104">
        <f>SUM($AC$5:AC309)</f>
        <v>5.6547138319065347E-2</v>
      </c>
      <c r="AE309" s="100" t="str" cm="1">
        <f t="array" ref="AE309">IF(SamplingData[[#This Row],[up/U Selection Probability]] = 0, "Zero", TEXT(SamplingData[[#This Row],[Lower Range]], REPT("0",LEN('General Info'!$B$42))) &amp; " - " &amp; TEXT(SamplingData[[#This Row],[Upper Range]], REPT("0",LEN('General Info'!$B$42))))</f>
        <v>05641 - 05654</v>
      </c>
      <c r="AF309" s="100">
        <f>SamplingData[[#This Row],[Upper Range]]-SamplingData[[#This Row],[Span]]</f>
        <v>5641.253432401877</v>
      </c>
      <c r="AG309" s="100">
        <f>IF(ISNUMBER('General Info'!$B$42), ((SamplingData[[#This Row],[up/U Selection Probability]]) * 'General Info'!$B$44) - 1, 0)</f>
        <v>12.460399504657303</v>
      </c>
      <c r="AH309" s="100">
        <f>IF(ISNUMBER('General Info'!$B$42), (SamplingData[[#This Row],[Running (cumulative) sum]] * ('General Info'!$B$42 -'General Info'!$B$43 + 1)) + 'General Info'!$B$43 - 1, 0)</f>
        <v>5653.7138319065343</v>
      </c>
      <c r="AI309" s="100" t="str">
        <f>IF(ISERROR(MATCH(SamplingData[[#This Row],[Batch by Type (p)]],SelectedPrecincts[Batch Name], 0)), "", INDEX(SelectedPrecincts[Draw], MATCH(SamplingData[[#This Row],[Batch by Type (p)]],SelectedPrecincts[Batch Name], 0)))</f>
        <v/>
      </c>
      <c r="AJ309" s="101">
        <f>IF(COUNTIF(SelectedPrecincts[Batch Name],SamplingData[[#This Row],[Batch by Type (p)]]) &lt;&gt; 0, COUNTIF(SelectedPrecincts[Batch Name],SamplingData[[#This Row],[Batch by Type (p)]]), 0)</f>
        <v>0</v>
      </c>
    </row>
    <row r="310" spans="1:36" ht="15" customHeight="1" x14ac:dyDescent="0.35">
      <c r="A310" s="98" t="s">
        <v>522</v>
      </c>
      <c r="B310" s="98">
        <v>0</v>
      </c>
      <c r="C310" s="98">
        <v>0</v>
      </c>
      <c r="D310" s="93"/>
      <c r="E310" s="93"/>
      <c r="F310" s="93"/>
      <c r="G310" s="97"/>
      <c r="H310" s="97"/>
      <c r="I310" s="93"/>
      <c r="J310" s="93"/>
      <c r="K310" s="93"/>
      <c r="L310" s="93"/>
      <c r="M310" s="93"/>
      <c r="N310" s="98">
        <v>0</v>
      </c>
      <c r="O310" s="98">
        <v>0</v>
      </c>
      <c r="P310" s="99">
        <f>SUM(SamplingData[[#This Row],[Winning Candidate]:[Under Votes]])</f>
        <v>0</v>
      </c>
      <c r="Q310" s="100">
        <f>IF(AND(SamplingData[[#This Row],[Total]]&lt;&gt; 0, NOT(ISBLANK(SamplingData[[#This Row],[Losing Candidate]]))),(SamplingData[[#This Row],[Total]]+SamplingData[[#This Row],[Winning Candidate]]-SamplingData[[#This Row],[Losing Candidate]])/(SamplingData[[#Totals],[Winning Candidate]]-SamplingData[[#Totals],[Losing Candidate]]), 0)</f>
        <v>0</v>
      </c>
      <c r="R310" s="100">
        <f>IF(AND(SamplingData[[#This Row],[Total]]&lt;&gt; 0, NOT(ISBLANK(SamplingData[[#This Row],[Candidate 3]]))),(SamplingData[[#This Row],[Total]]+SamplingData[[#This Row],[Winning Candidate]]-SamplingData[[#This Row],[Candidate 3]])/(SamplingData[[#Totals],[Winning Candidate]]-SamplingData[[#Totals],[Candidate 3]]), 0)</f>
        <v>0</v>
      </c>
      <c r="S310" s="100">
        <f>IF(AND(SamplingData[[#This Row],[Total]]&lt;&gt; 0, NOT(ISBLANK(SamplingData[[#This Row],[Candidate 4]]))),(SamplingData[[#This Row],[Total]]+SamplingData[[#This Row],[Winning Candidate]]-SamplingData[[#This Row],[Candidate 4]])/(SamplingData[[#Totals],[Winning Candidate]]-SamplingData[[#Totals],[Candidate 4]]), 0)</f>
        <v>0</v>
      </c>
      <c r="T310" s="100">
        <f>IF(AND(SamplingData[[#This Row],[Total]]&lt;&gt; 0, NOT(ISBLANK(SamplingData[[#This Row],[Candidate 5]]))),(SamplingData[[#This Row],[Total]]+SamplingData[[#This Row],[Winning Candidate]]-SamplingData[[#This Row],[Candidate 5]])/(SamplingData[[#Totals],[Winning Candidate]]-SamplingData[[#Totals],[Candidate 5]]), 0)</f>
        <v>0</v>
      </c>
      <c r="U310" s="100">
        <f>IF(AND(SamplingData[[#This Row],[Total]]&lt;&gt; 0, NOT(ISBLANK(SamplingData[[#This Row],[Candidate 6]]))),(SamplingData[[#This Row],[Total]]+SamplingData[[#This Row],[Losing Candidate]]-SamplingData[[#This Row],[Candidate 6]])/(SamplingData[[#Totals],[Winning Candidate]]-SamplingData[[#Totals],[Candidate 6]]), 0)</f>
        <v>0</v>
      </c>
      <c r="V310" s="100">
        <f>IF(AND(SamplingData[[#This Row],[Total]]&lt;&gt; 0, NOT(ISBLANK(SamplingData[[#This Row],[Candidate 7]]))),(SamplingData[[#This Row],[Total]]+SamplingData[[#This Row],[Winning Candidate]]-SamplingData[[#This Row],[Candidate 7]])/(SamplingData[[#Totals],[Winning Candidate]]-SamplingData[[#Totals],[Candidate 7]]), 0)</f>
        <v>0</v>
      </c>
      <c r="W310" s="100">
        <f>IF(AND(SamplingData[[#This Row],[Total]]&lt;&gt; 0, NOT(ISBLANK(SamplingData[[#This Row],[Candidate 8]]))),(SamplingData[[#This Row],[Total]]+SamplingData[[#This Row],[Winning Candidate]]-SamplingData[[#This Row],[Candidate 8]])/(SamplingData[[#Totals],[Winning Candidate]]-SamplingData[[#Totals],[Candidate 8]]), 0)</f>
        <v>0</v>
      </c>
      <c r="X3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00">
        <f>MAX(SamplingData[[#This Row],[Error Bound (up) - Max. possible relative overstatement - Losing Candidate]:[Error Bound (up) - Max. possible relative overstatement - Candidate 12]])</f>
        <v>0</v>
      </c>
      <c r="AC310" s="100">
        <f>IF(SamplingData[[#This Row],[Max Error Bound (up)]] = 0,0,SamplingData[[#This Row],[Max Error Bound (up)]]/SamplingData[[#Totals],[Max Error Bound (up)]])</f>
        <v>0</v>
      </c>
      <c r="AD310" s="104">
        <f>SUM($AC$5:AC310)</f>
        <v>5.6547138319065347E-2</v>
      </c>
      <c r="AE310" s="100" t="str" cm="1">
        <f t="array" ref="AE310">IF(SamplingData[[#This Row],[up/U Selection Probability]] = 0, "Zero", TEXT(SamplingData[[#This Row],[Lower Range]], REPT("0",LEN('General Info'!$B$42))) &amp; " - " &amp; TEXT(SamplingData[[#This Row],[Upper Range]], REPT("0",LEN('General Info'!$B$42))))</f>
        <v>Zero</v>
      </c>
      <c r="AF310" s="100">
        <f>SamplingData[[#This Row],[Upper Range]]-SamplingData[[#This Row],[Span]]</f>
        <v>5654.7138319065343</v>
      </c>
      <c r="AG310" s="100">
        <f>IF(ISNUMBER('General Info'!$B$42), ((SamplingData[[#This Row],[up/U Selection Probability]]) * 'General Info'!$B$44) - 1, 0)</f>
        <v>-1</v>
      </c>
      <c r="AH310" s="100">
        <f>IF(ISNUMBER('General Info'!$B$42), (SamplingData[[#This Row],[Running (cumulative) sum]] * ('General Info'!$B$42 -'General Info'!$B$43 + 1)) + 'General Info'!$B$43 - 1, 0)</f>
        <v>5653.7138319065343</v>
      </c>
      <c r="AI310" s="100" t="str">
        <f>IF(ISERROR(MATCH(SamplingData[[#This Row],[Batch by Type (p)]],SelectedPrecincts[Batch Name], 0)), "", INDEX(SelectedPrecincts[Draw], MATCH(SamplingData[[#This Row],[Batch by Type (p)]],SelectedPrecincts[Batch Name], 0)))</f>
        <v/>
      </c>
      <c r="AJ310" s="101">
        <f>IF(COUNTIF(SelectedPrecincts[Batch Name],SamplingData[[#This Row],[Batch by Type (p)]]) &lt;&gt; 0, COUNTIF(SelectedPrecincts[Batch Name],SamplingData[[#This Row],[Batch by Type (p)]]), 0)</f>
        <v>0</v>
      </c>
    </row>
    <row r="311" spans="1:36" ht="15" customHeight="1" x14ac:dyDescent="0.35">
      <c r="A311" s="98" t="s">
        <v>523</v>
      </c>
      <c r="B311" s="98">
        <v>11</v>
      </c>
      <c r="C311" s="98">
        <v>2</v>
      </c>
      <c r="D311" s="93"/>
      <c r="E311" s="93"/>
      <c r="F311" s="93"/>
      <c r="G311" s="97"/>
      <c r="H311" s="97"/>
      <c r="I311" s="93"/>
      <c r="J311" s="93"/>
      <c r="K311" s="93"/>
      <c r="L311" s="93"/>
      <c r="M311" s="93"/>
      <c r="N311" s="98">
        <v>0</v>
      </c>
      <c r="O311" s="98">
        <v>0</v>
      </c>
      <c r="P311" s="99">
        <f>SUM(SamplingData[[#This Row],[Winning Candidate]:[Under Votes]])</f>
        <v>13</v>
      </c>
      <c r="Q311"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311" s="100">
        <f>IF(AND(SamplingData[[#This Row],[Total]]&lt;&gt; 0, NOT(ISBLANK(SamplingData[[#This Row],[Candidate 3]]))),(SamplingData[[#This Row],[Total]]+SamplingData[[#This Row],[Winning Candidate]]-SamplingData[[#This Row],[Candidate 3]])/(SamplingData[[#Totals],[Winning Candidate]]-SamplingData[[#Totals],[Candidate 3]]), 0)</f>
        <v>0</v>
      </c>
      <c r="S311" s="100">
        <f>IF(AND(SamplingData[[#This Row],[Total]]&lt;&gt; 0, NOT(ISBLANK(SamplingData[[#This Row],[Candidate 4]]))),(SamplingData[[#This Row],[Total]]+SamplingData[[#This Row],[Winning Candidate]]-SamplingData[[#This Row],[Candidate 4]])/(SamplingData[[#Totals],[Winning Candidate]]-SamplingData[[#Totals],[Candidate 4]]), 0)</f>
        <v>0</v>
      </c>
      <c r="T311" s="100">
        <f>IF(AND(SamplingData[[#This Row],[Total]]&lt;&gt; 0, NOT(ISBLANK(SamplingData[[#This Row],[Candidate 5]]))),(SamplingData[[#This Row],[Total]]+SamplingData[[#This Row],[Winning Candidate]]-SamplingData[[#This Row],[Candidate 5]])/(SamplingData[[#Totals],[Winning Candidate]]-SamplingData[[#Totals],[Candidate 5]]), 0)</f>
        <v>0</v>
      </c>
      <c r="U311" s="100">
        <f>IF(AND(SamplingData[[#This Row],[Total]]&lt;&gt; 0, NOT(ISBLANK(SamplingData[[#This Row],[Candidate 6]]))),(SamplingData[[#This Row],[Total]]+SamplingData[[#This Row],[Losing Candidate]]-SamplingData[[#This Row],[Candidate 6]])/(SamplingData[[#Totals],[Winning Candidate]]-SamplingData[[#Totals],[Candidate 6]]), 0)</f>
        <v>0</v>
      </c>
      <c r="V311" s="100">
        <f>IF(AND(SamplingData[[#This Row],[Total]]&lt;&gt; 0, NOT(ISBLANK(SamplingData[[#This Row],[Candidate 7]]))),(SamplingData[[#This Row],[Total]]+SamplingData[[#This Row],[Winning Candidate]]-SamplingData[[#This Row],[Candidate 7]])/(SamplingData[[#Totals],[Winning Candidate]]-SamplingData[[#Totals],[Candidate 7]]), 0)</f>
        <v>0</v>
      </c>
      <c r="W311" s="100">
        <f>IF(AND(SamplingData[[#This Row],[Total]]&lt;&gt; 0, NOT(ISBLANK(SamplingData[[#This Row],[Candidate 8]]))),(SamplingData[[#This Row],[Total]]+SamplingData[[#This Row],[Winning Candidate]]-SamplingData[[#This Row],[Candidate 8]])/(SamplingData[[#Totals],[Winning Candidate]]-SamplingData[[#Totals],[Candidate 8]]), 0)</f>
        <v>0</v>
      </c>
      <c r="X3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00">
        <f>MAX(SamplingData[[#This Row],[Error Bound (up) - Max. possible relative overstatement - Losing Candidate]:[Error Bound (up) - Max. possible relative overstatement - Candidate 12]])</f>
        <v>6.9101988252662E-4</v>
      </c>
      <c r="AC311" s="100">
        <f>IF(SamplingData[[#This Row],[Max Error Bound (up)]] = 0,0,SamplingData[[#This Row],[Max Error Bound (up)]]/SamplingData[[#Totals],[Max Error Bound (up)]])</f>
        <v>2.9612878910246067E-4</v>
      </c>
      <c r="AD311" s="104">
        <f>SUM($AC$5:AC311)</f>
        <v>5.6843267108167811E-2</v>
      </c>
      <c r="AE311" s="100" t="str" cm="1">
        <f t="array" ref="AE311">IF(SamplingData[[#This Row],[up/U Selection Probability]] = 0, "Zero", TEXT(SamplingData[[#This Row],[Lower Range]], REPT("0",LEN('General Info'!$B$42))) &amp; " - " &amp; TEXT(SamplingData[[#This Row],[Upper Range]], REPT("0",LEN('General Info'!$B$42))))</f>
        <v>05655 - 05683</v>
      </c>
      <c r="AF311" s="100">
        <f>SamplingData[[#This Row],[Upper Range]]-SamplingData[[#This Row],[Span]]</f>
        <v>5654.7138319065352</v>
      </c>
      <c r="AG311" s="100">
        <f>IF(ISNUMBER('General Info'!$B$42), ((SamplingData[[#This Row],[up/U Selection Probability]]) * 'General Info'!$B$44) - 1, 0)</f>
        <v>28.612878910246067</v>
      </c>
      <c r="AH311" s="100">
        <f>IF(ISNUMBER('General Info'!$B$42), (SamplingData[[#This Row],[Running (cumulative) sum]] * ('General Info'!$B$42 -'General Info'!$B$43 + 1)) + 'General Info'!$B$43 - 1, 0)</f>
        <v>5683.3267108167811</v>
      </c>
      <c r="AI311" s="100" t="str">
        <f>IF(ISERROR(MATCH(SamplingData[[#This Row],[Batch by Type (p)]],SelectedPrecincts[Batch Name], 0)), "", INDEX(SelectedPrecincts[Draw], MATCH(SamplingData[[#This Row],[Batch by Type (p)]],SelectedPrecincts[Batch Name], 0)))</f>
        <v/>
      </c>
      <c r="AJ311" s="101">
        <f>IF(COUNTIF(SelectedPrecincts[Batch Name],SamplingData[[#This Row],[Batch by Type (p)]]) &lt;&gt; 0, COUNTIF(SelectedPrecincts[Batch Name],SamplingData[[#This Row],[Batch by Type (p)]]), 0)</f>
        <v>0</v>
      </c>
    </row>
    <row r="312" spans="1:36" ht="15" customHeight="1" x14ac:dyDescent="0.35">
      <c r="A312" s="98" t="s">
        <v>524</v>
      </c>
      <c r="B312" s="98">
        <v>9</v>
      </c>
      <c r="C312" s="98">
        <v>1</v>
      </c>
      <c r="D312" s="93"/>
      <c r="E312" s="93"/>
      <c r="F312" s="93"/>
      <c r="G312" s="97"/>
      <c r="H312" s="97"/>
      <c r="I312" s="93"/>
      <c r="J312" s="93"/>
      <c r="K312" s="93"/>
      <c r="L312" s="93"/>
      <c r="M312" s="93"/>
      <c r="N312" s="98">
        <v>0</v>
      </c>
      <c r="O312" s="98">
        <v>0</v>
      </c>
      <c r="P312" s="99">
        <f>SUM(SamplingData[[#This Row],[Winning Candidate]:[Under Votes]])</f>
        <v>10</v>
      </c>
      <c r="Q312"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312" s="100">
        <f>IF(AND(SamplingData[[#This Row],[Total]]&lt;&gt; 0, NOT(ISBLANK(SamplingData[[#This Row],[Candidate 3]]))),(SamplingData[[#This Row],[Total]]+SamplingData[[#This Row],[Winning Candidate]]-SamplingData[[#This Row],[Candidate 3]])/(SamplingData[[#Totals],[Winning Candidate]]-SamplingData[[#Totals],[Candidate 3]]), 0)</f>
        <v>0</v>
      </c>
      <c r="S312" s="100">
        <f>IF(AND(SamplingData[[#This Row],[Total]]&lt;&gt; 0, NOT(ISBLANK(SamplingData[[#This Row],[Candidate 4]]))),(SamplingData[[#This Row],[Total]]+SamplingData[[#This Row],[Winning Candidate]]-SamplingData[[#This Row],[Candidate 4]])/(SamplingData[[#Totals],[Winning Candidate]]-SamplingData[[#Totals],[Candidate 4]]), 0)</f>
        <v>0</v>
      </c>
      <c r="T312" s="100">
        <f>IF(AND(SamplingData[[#This Row],[Total]]&lt;&gt; 0, NOT(ISBLANK(SamplingData[[#This Row],[Candidate 5]]))),(SamplingData[[#This Row],[Total]]+SamplingData[[#This Row],[Winning Candidate]]-SamplingData[[#This Row],[Candidate 5]])/(SamplingData[[#Totals],[Winning Candidate]]-SamplingData[[#Totals],[Candidate 5]]), 0)</f>
        <v>0</v>
      </c>
      <c r="U312" s="100">
        <f>IF(AND(SamplingData[[#This Row],[Total]]&lt;&gt; 0, NOT(ISBLANK(SamplingData[[#This Row],[Candidate 6]]))),(SamplingData[[#This Row],[Total]]+SamplingData[[#This Row],[Losing Candidate]]-SamplingData[[#This Row],[Candidate 6]])/(SamplingData[[#Totals],[Winning Candidate]]-SamplingData[[#Totals],[Candidate 6]]), 0)</f>
        <v>0</v>
      </c>
      <c r="V312" s="100">
        <f>IF(AND(SamplingData[[#This Row],[Total]]&lt;&gt; 0, NOT(ISBLANK(SamplingData[[#This Row],[Candidate 7]]))),(SamplingData[[#This Row],[Total]]+SamplingData[[#This Row],[Winning Candidate]]-SamplingData[[#This Row],[Candidate 7]])/(SamplingData[[#Totals],[Winning Candidate]]-SamplingData[[#Totals],[Candidate 7]]), 0)</f>
        <v>0</v>
      </c>
      <c r="W312" s="100">
        <f>IF(AND(SamplingData[[#This Row],[Total]]&lt;&gt; 0, NOT(ISBLANK(SamplingData[[#This Row],[Candidate 8]]))),(SamplingData[[#This Row],[Total]]+SamplingData[[#This Row],[Winning Candidate]]-SamplingData[[#This Row],[Candidate 8]])/(SamplingData[[#Totals],[Winning Candidate]]-SamplingData[[#Totals],[Candidate 8]]), 0)</f>
        <v>0</v>
      </c>
      <c r="X3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00">
        <f>MAX(SamplingData[[#This Row],[Error Bound (up) - Max. possible relative overstatement - Losing Candidate]:[Error Bound (up) - Max. possible relative overstatement - Candidate 12]])</f>
        <v>5.6537990388541635E-4</v>
      </c>
      <c r="AC312" s="100">
        <f>IF(SamplingData[[#This Row],[Max Error Bound (up)]] = 0,0,SamplingData[[#This Row],[Max Error Bound (up)]]/SamplingData[[#Totals],[Max Error Bound (up)]])</f>
        <v>2.4228719108383145E-4</v>
      </c>
      <c r="AD312" s="104">
        <f>SUM($AC$5:AC312)</f>
        <v>5.7085554299251641E-2</v>
      </c>
      <c r="AE312" s="100" t="str" cm="1">
        <f t="array" ref="AE312">IF(SamplingData[[#This Row],[up/U Selection Probability]] = 0, "Zero", TEXT(SamplingData[[#This Row],[Lower Range]], REPT("0",LEN('General Info'!$B$42))) &amp; " - " &amp; TEXT(SamplingData[[#This Row],[Upper Range]], REPT("0",LEN('General Info'!$B$42))))</f>
        <v>05684 - 05708</v>
      </c>
      <c r="AF312" s="100">
        <f>SamplingData[[#This Row],[Upper Range]]-SamplingData[[#This Row],[Span]]</f>
        <v>5684.3267108167811</v>
      </c>
      <c r="AG312" s="100">
        <f>IF(ISNUMBER('General Info'!$B$42), ((SamplingData[[#This Row],[up/U Selection Probability]]) * 'General Info'!$B$44) - 1, 0)</f>
        <v>23.228719108383146</v>
      </c>
      <c r="AH312" s="100">
        <f>IF(ISNUMBER('General Info'!$B$42), (SamplingData[[#This Row],[Running (cumulative) sum]] * ('General Info'!$B$42 -'General Info'!$B$43 + 1)) + 'General Info'!$B$43 - 1, 0)</f>
        <v>5707.5554299251644</v>
      </c>
      <c r="AI312" s="100" t="str">
        <f>IF(ISERROR(MATCH(SamplingData[[#This Row],[Batch by Type (p)]],SelectedPrecincts[Batch Name], 0)), "", INDEX(SelectedPrecincts[Draw], MATCH(SamplingData[[#This Row],[Batch by Type (p)]],SelectedPrecincts[Batch Name], 0)))</f>
        <v/>
      </c>
      <c r="AJ312" s="101">
        <f>IF(COUNTIF(SelectedPrecincts[Batch Name],SamplingData[[#This Row],[Batch by Type (p)]]) &lt;&gt; 0, COUNTIF(SelectedPrecincts[Batch Name],SamplingData[[#This Row],[Batch by Type (p)]]), 0)</f>
        <v>0</v>
      </c>
    </row>
    <row r="313" spans="1:36" ht="15" customHeight="1" x14ac:dyDescent="0.35">
      <c r="A313" s="98" t="s">
        <v>525</v>
      </c>
      <c r="B313" s="98">
        <v>12</v>
      </c>
      <c r="C313" s="98">
        <v>1</v>
      </c>
      <c r="D313" s="93"/>
      <c r="E313" s="93"/>
      <c r="F313" s="93"/>
      <c r="G313" s="97"/>
      <c r="H313" s="97"/>
      <c r="I313" s="93"/>
      <c r="J313" s="93"/>
      <c r="K313" s="93"/>
      <c r="L313" s="93"/>
      <c r="M313" s="93"/>
      <c r="N313" s="98">
        <v>0</v>
      </c>
      <c r="O313" s="98">
        <v>0</v>
      </c>
      <c r="P313" s="99">
        <f>SUM(SamplingData[[#This Row],[Winning Candidate]:[Under Votes]])</f>
        <v>13</v>
      </c>
      <c r="Q313"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313" s="100">
        <f>IF(AND(SamplingData[[#This Row],[Total]]&lt;&gt; 0, NOT(ISBLANK(SamplingData[[#This Row],[Candidate 3]]))),(SamplingData[[#This Row],[Total]]+SamplingData[[#This Row],[Winning Candidate]]-SamplingData[[#This Row],[Candidate 3]])/(SamplingData[[#Totals],[Winning Candidate]]-SamplingData[[#Totals],[Candidate 3]]), 0)</f>
        <v>0</v>
      </c>
      <c r="S313" s="100">
        <f>IF(AND(SamplingData[[#This Row],[Total]]&lt;&gt; 0, NOT(ISBLANK(SamplingData[[#This Row],[Candidate 4]]))),(SamplingData[[#This Row],[Total]]+SamplingData[[#This Row],[Winning Candidate]]-SamplingData[[#This Row],[Candidate 4]])/(SamplingData[[#Totals],[Winning Candidate]]-SamplingData[[#Totals],[Candidate 4]]), 0)</f>
        <v>0</v>
      </c>
      <c r="T313" s="100">
        <f>IF(AND(SamplingData[[#This Row],[Total]]&lt;&gt; 0, NOT(ISBLANK(SamplingData[[#This Row],[Candidate 5]]))),(SamplingData[[#This Row],[Total]]+SamplingData[[#This Row],[Winning Candidate]]-SamplingData[[#This Row],[Candidate 5]])/(SamplingData[[#Totals],[Winning Candidate]]-SamplingData[[#Totals],[Candidate 5]]), 0)</f>
        <v>0</v>
      </c>
      <c r="U313" s="100">
        <f>IF(AND(SamplingData[[#This Row],[Total]]&lt;&gt; 0, NOT(ISBLANK(SamplingData[[#This Row],[Candidate 6]]))),(SamplingData[[#This Row],[Total]]+SamplingData[[#This Row],[Losing Candidate]]-SamplingData[[#This Row],[Candidate 6]])/(SamplingData[[#Totals],[Winning Candidate]]-SamplingData[[#Totals],[Candidate 6]]), 0)</f>
        <v>0</v>
      </c>
      <c r="V313" s="100">
        <f>IF(AND(SamplingData[[#This Row],[Total]]&lt;&gt; 0, NOT(ISBLANK(SamplingData[[#This Row],[Candidate 7]]))),(SamplingData[[#This Row],[Total]]+SamplingData[[#This Row],[Winning Candidate]]-SamplingData[[#This Row],[Candidate 7]])/(SamplingData[[#Totals],[Winning Candidate]]-SamplingData[[#Totals],[Candidate 7]]), 0)</f>
        <v>0</v>
      </c>
      <c r="W313" s="100">
        <f>IF(AND(SamplingData[[#This Row],[Total]]&lt;&gt; 0, NOT(ISBLANK(SamplingData[[#This Row],[Candidate 8]]))),(SamplingData[[#This Row],[Total]]+SamplingData[[#This Row],[Winning Candidate]]-SamplingData[[#This Row],[Candidate 8]])/(SamplingData[[#Totals],[Winning Candidate]]-SamplingData[[#Totals],[Candidate 8]]), 0)</f>
        <v>0</v>
      </c>
      <c r="X3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00">
        <f>MAX(SamplingData[[#This Row],[Error Bound (up) - Max. possible relative overstatement - Losing Candidate]:[Error Bound (up) - Max. possible relative overstatement - Candidate 12]])</f>
        <v>7.5383987184722177E-4</v>
      </c>
      <c r="AC313" s="100">
        <f>IF(SamplingData[[#This Row],[Max Error Bound (up)]] = 0,0,SamplingData[[#This Row],[Max Error Bound (up)]]/SamplingData[[#Totals],[Max Error Bound (up)]])</f>
        <v>3.2304958811177527E-4</v>
      </c>
      <c r="AD313" s="104">
        <f>SUM($AC$5:AC313)</f>
        <v>5.7408603887363414E-2</v>
      </c>
      <c r="AE313" s="100" t="str" cm="1">
        <f t="array" ref="AE313">IF(SamplingData[[#This Row],[up/U Selection Probability]] = 0, "Zero", TEXT(SamplingData[[#This Row],[Lower Range]], REPT("0",LEN('General Info'!$B$42))) &amp; " - " &amp; TEXT(SamplingData[[#This Row],[Upper Range]], REPT("0",LEN('General Info'!$B$42))))</f>
        <v>05709 - 05740</v>
      </c>
      <c r="AF313" s="100">
        <f>SamplingData[[#This Row],[Upper Range]]-SamplingData[[#This Row],[Span]]</f>
        <v>5708.5554299251644</v>
      </c>
      <c r="AG313" s="100">
        <f>IF(ISNUMBER('General Info'!$B$42), ((SamplingData[[#This Row],[up/U Selection Probability]]) * 'General Info'!$B$44) - 1, 0)</f>
        <v>31.304958811177528</v>
      </c>
      <c r="AH313" s="100">
        <f>IF(ISNUMBER('General Info'!$B$42), (SamplingData[[#This Row],[Running (cumulative) sum]] * ('General Info'!$B$42 -'General Info'!$B$43 + 1)) + 'General Info'!$B$43 - 1, 0)</f>
        <v>5739.8603887363415</v>
      </c>
      <c r="AI313" s="100" t="str">
        <f>IF(ISERROR(MATCH(SamplingData[[#This Row],[Batch by Type (p)]],SelectedPrecincts[Batch Name], 0)), "", INDEX(SelectedPrecincts[Draw], MATCH(SamplingData[[#This Row],[Batch by Type (p)]],SelectedPrecincts[Batch Name], 0)))</f>
        <v/>
      </c>
      <c r="AJ313" s="101">
        <f>IF(COUNTIF(SelectedPrecincts[Batch Name],SamplingData[[#This Row],[Batch by Type (p)]]) &lt;&gt; 0, COUNTIF(SelectedPrecincts[Batch Name],SamplingData[[#This Row],[Batch by Type (p)]]), 0)</f>
        <v>0</v>
      </c>
    </row>
    <row r="314" spans="1:36" ht="15" customHeight="1" x14ac:dyDescent="0.35">
      <c r="A314" s="98" t="s">
        <v>526</v>
      </c>
      <c r="B314" s="98">
        <v>3</v>
      </c>
      <c r="C314" s="98">
        <v>3</v>
      </c>
      <c r="D314" s="93"/>
      <c r="E314" s="93"/>
      <c r="F314" s="93"/>
      <c r="G314" s="97"/>
      <c r="H314" s="97"/>
      <c r="I314" s="93"/>
      <c r="J314" s="93"/>
      <c r="K314" s="93"/>
      <c r="L314" s="93"/>
      <c r="M314" s="93"/>
      <c r="N314" s="98">
        <v>0</v>
      </c>
      <c r="O314" s="98">
        <v>0</v>
      </c>
      <c r="P314" s="99">
        <f>SUM(SamplingData[[#This Row],[Winning Candidate]:[Under Votes]])</f>
        <v>6</v>
      </c>
      <c r="Q31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314" s="100">
        <f>IF(AND(SamplingData[[#This Row],[Total]]&lt;&gt; 0, NOT(ISBLANK(SamplingData[[#This Row],[Candidate 3]]))),(SamplingData[[#This Row],[Total]]+SamplingData[[#This Row],[Winning Candidate]]-SamplingData[[#This Row],[Candidate 3]])/(SamplingData[[#Totals],[Winning Candidate]]-SamplingData[[#Totals],[Candidate 3]]), 0)</f>
        <v>0</v>
      </c>
      <c r="S314" s="100">
        <f>IF(AND(SamplingData[[#This Row],[Total]]&lt;&gt; 0, NOT(ISBLANK(SamplingData[[#This Row],[Candidate 4]]))),(SamplingData[[#This Row],[Total]]+SamplingData[[#This Row],[Winning Candidate]]-SamplingData[[#This Row],[Candidate 4]])/(SamplingData[[#Totals],[Winning Candidate]]-SamplingData[[#Totals],[Candidate 4]]), 0)</f>
        <v>0</v>
      </c>
      <c r="T314" s="100">
        <f>IF(AND(SamplingData[[#This Row],[Total]]&lt;&gt; 0, NOT(ISBLANK(SamplingData[[#This Row],[Candidate 5]]))),(SamplingData[[#This Row],[Total]]+SamplingData[[#This Row],[Winning Candidate]]-SamplingData[[#This Row],[Candidate 5]])/(SamplingData[[#Totals],[Winning Candidate]]-SamplingData[[#Totals],[Candidate 5]]), 0)</f>
        <v>0</v>
      </c>
      <c r="U314" s="100">
        <f>IF(AND(SamplingData[[#This Row],[Total]]&lt;&gt; 0, NOT(ISBLANK(SamplingData[[#This Row],[Candidate 6]]))),(SamplingData[[#This Row],[Total]]+SamplingData[[#This Row],[Losing Candidate]]-SamplingData[[#This Row],[Candidate 6]])/(SamplingData[[#Totals],[Winning Candidate]]-SamplingData[[#Totals],[Candidate 6]]), 0)</f>
        <v>0</v>
      </c>
      <c r="V314" s="100">
        <f>IF(AND(SamplingData[[#This Row],[Total]]&lt;&gt; 0, NOT(ISBLANK(SamplingData[[#This Row],[Candidate 7]]))),(SamplingData[[#This Row],[Total]]+SamplingData[[#This Row],[Winning Candidate]]-SamplingData[[#This Row],[Candidate 7]])/(SamplingData[[#Totals],[Winning Candidate]]-SamplingData[[#Totals],[Candidate 7]]), 0)</f>
        <v>0</v>
      </c>
      <c r="W314" s="100">
        <f>IF(AND(SamplingData[[#This Row],[Total]]&lt;&gt; 0, NOT(ISBLANK(SamplingData[[#This Row],[Candidate 8]]))),(SamplingData[[#This Row],[Total]]+SamplingData[[#This Row],[Winning Candidate]]-SamplingData[[#This Row],[Candidate 8]])/(SamplingData[[#Totals],[Winning Candidate]]-SamplingData[[#Totals],[Candidate 8]]), 0)</f>
        <v>0</v>
      </c>
      <c r="X3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00">
        <f>MAX(SamplingData[[#This Row],[Error Bound (up) - Max. possible relative overstatement - Losing Candidate]:[Error Bound (up) - Max. possible relative overstatement - Candidate 12]])</f>
        <v>1.8845996796180544E-4</v>
      </c>
      <c r="AC314" s="100">
        <f>IF(SamplingData[[#This Row],[Max Error Bound (up)]] = 0,0,SamplingData[[#This Row],[Max Error Bound (up)]]/SamplingData[[#Totals],[Max Error Bound (up)]])</f>
        <v>8.0762397027943816E-5</v>
      </c>
      <c r="AD314" s="104">
        <f>SUM($AC$5:AC314)</f>
        <v>5.7489366284391358E-2</v>
      </c>
      <c r="AE314" s="100" t="str" cm="1">
        <f t="array" ref="AE314">IF(SamplingData[[#This Row],[up/U Selection Probability]] = 0, "Zero", TEXT(SamplingData[[#This Row],[Lower Range]], REPT("0",LEN('General Info'!$B$42))) &amp; " - " &amp; TEXT(SamplingData[[#This Row],[Upper Range]], REPT("0",LEN('General Info'!$B$42))))</f>
        <v>05741 - 05748</v>
      </c>
      <c r="AF314" s="100">
        <f>SamplingData[[#This Row],[Upper Range]]-SamplingData[[#This Row],[Span]]</f>
        <v>5740.8603887363406</v>
      </c>
      <c r="AG314" s="100">
        <f>IF(ISNUMBER('General Info'!$B$42), ((SamplingData[[#This Row],[up/U Selection Probability]]) * 'General Info'!$B$44) - 1, 0)</f>
        <v>7.076239702794382</v>
      </c>
      <c r="AH314" s="100">
        <f>IF(ISNUMBER('General Info'!$B$42), (SamplingData[[#This Row],[Running (cumulative) sum]] * ('General Info'!$B$42 -'General Info'!$B$43 + 1)) + 'General Info'!$B$43 - 1, 0)</f>
        <v>5747.9366284391353</v>
      </c>
      <c r="AI314" s="100" t="str">
        <f>IF(ISERROR(MATCH(SamplingData[[#This Row],[Batch by Type (p)]],SelectedPrecincts[Batch Name], 0)), "", INDEX(SelectedPrecincts[Draw], MATCH(SamplingData[[#This Row],[Batch by Type (p)]],SelectedPrecincts[Batch Name], 0)))</f>
        <v/>
      </c>
      <c r="AJ314" s="101">
        <f>IF(COUNTIF(SelectedPrecincts[Batch Name],SamplingData[[#This Row],[Batch by Type (p)]]) &lt;&gt; 0, COUNTIF(SelectedPrecincts[Batch Name],SamplingData[[#This Row],[Batch by Type (p)]]), 0)</f>
        <v>0</v>
      </c>
    </row>
    <row r="315" spans="1:36" ht="15" customHeight="1" x14ac:dyDescent="0.35">
      <c r="A315" s="98" t="s">
        <v>527</v>
      </c>
      <c r="B315" s="98">
        <v>9</v>
      </c>
      <c r="C315" s="98">
        <v>1</v>
      </c>
      <c r="D315" s="93"/>
      <c r="E315" s="93"/>
      <c r="F315" s="93"/>
      <c r="G315" s="97"/>
      <c r="H315" s="97"/>
      <c r="I315" s="93"/>
      <c r="J315" s="93"/>
      <c r="K315" s="93"/>
      <c r="L315" s="93"/>
      <c r="M315" s="93"/>
      <c r="N315" s="98">
        <v>0</v>
      </c>
      <c r="O315" s="98">
        <v>0</v>
      </c>
      <c r="P315" s="99">
        <f>SUM(SamplingData[[#This Row],[Winning Candidate]:[Under Votes]])</f>
        <v>10</v>
      </c>
      <c r="Q315"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315" s="100">
        <f>IF(AND(SamplingData[[#This Row],[Total]]&lt;&gt; 0, NOT(ISBLANK(SamplingData[[#This Row],[Candidate 3]]))),(SamplingData[[#This Row],[Total]]+SamplingData[[#This Row],[Winning Candidate]]-SamplingData[[#This Row],[Candidate 3]])/(SamplingData[[#Totals],[Winning Candidate]]-SamplingData[[#Totals],[Candidate 3]]), 0)</f>
        <v>0</v>
      </c>
      <c r="S315" s="100">
        <f>IF(AND(SamplingData[[#This Row],[Total]]&lt;&gt; 0, NOT(ISBLANK(SamplingData[[#This Row],[Candidate 4]]))),(SamplingData[[#This Row],[Total]]+SamplingData[[#This Row],[Winning Candidate]]-SamplingData[[#This Row],[Candidate 4]])/(SamplingData[[#Totals],[Winning Candidate]]-SamplingData[[#Totals],[Candidate 4]]), 0)</f>
        <v>0</v>
      </c>
      <c r="T315" s="100">
        <f>IF(AND(SamplingData[[#This Row],[Total]]&lt;&gt; 0, NOT(ISBLANK(SamplingData[[#This Row],[Candidate 5]]))),(SamplingData[[#This Row],[Total]]+SamplingData[[#This Row],[Winning Candidate]]-SamplingData[[#This Row],[Candidate 5]])/(SamplingData[[#Totals],[Winning Candidate]]-SamplingData[[#Totals],[Candidate 5]]), 0)</f>
        <v>0</v>
      </c>
      <c r="U315" s="100">
        <f>IF(AND(SamplingData[[#This Row],[Total]]&lt;&gt; 0, NOT(ISBLANK(SamplingData[[#This Row],[Candidate 6]]))),(SamplingData[[#This Row],[Total]]+SamplingData[[#This Row],[Losing Candidate]]-SamplingData[[#This Row],[Candidate 6]])/(SamplingData[[#Totals],[Winning Candidate]]-SamplingData[[#Totals],[Candidate 6]]), 0)</f>
        <v>0</v>
      </c>
      <c r="V315" s="100">
        <f>IF(AND(SamplingData[[#This Row],[Total]]&lt;&gt; 0, NOT(ISBLANK(SamplingData[[#This Row],[Candidate 7]]))),(SamplingData[[#This Row],[Total]]+SamplingData[[#This Row],[Winning Candidate]]-SamplingData[[#This Row],[Candidate 7]])/(SamplingData[[#Totals],[Winning Candidate]]-SamplingData[[#Totals],[Candidate 7]]), 0)</f>
        <v>0</v>
      </c>
      <c r="W315" s="100">
        <f>IF(AND(SamplingData[[#This Row],[Total]]&lt;&gt; 0, NOT(ISBLANK(SamplingData[[#This Row],[Candidate 8]]))),(SamplingData[[#This Row],[Total]]+SamplingData[[#This Row],[Winning Candidate]]-SamplingData[[#This Row],[Candidate 8]])/(SamplingData[[#Totals],[Winning Candidate]]-SamplingData[[#Totals],[Candidate 8]]), 0)</f>
        <v>0</v>
      </c>
      <c r="X3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00">
        <f>MAX(SamplingData[[#This Row],[Error Bound (up) - Max. possible relative overstatement - Losing Candidate]:[Error Bound (up) - Max. possible relative overstatement - Candidate 12]])</f>
        <v>5.6537990388541635E-4</v>
      </c>
      <c r="AC315" s="100">
        <f>IF(SamplingData[[#This Row],[Max Error Bound (up)]] = 0,0,SamplingData[[#This Row],[Max Error Bound (up)]]/SamplingData[[#Totals],[Max Error Bound (up)]])</f>
        <v>2.4228719108383145E-4</v>
      </c>
      <c r="AD315" s="104">
        <f>SUM($AC$5:AC315)</f>
        <v>5.7731653475475188E-2</v>
      </c>
      <c r="AE315" s="100" t="str" cm="1">
        <f t="array" ref="AE315">IF(SamplingData[[#This Row],[up/U Selection Probability]] = 0, "Zero", TEXT(SamplingData[[#This Row],[Lower Range]], REPT("0",LEN('General Info'!$B$42))) &amp; " - " &amp; TEXT(SamplingData[[#This Row],[Upper Range]], REPT("0",LEN('General Info'!$B$42))))</f>
        <v>05749 - 05772</v>
      </c>
      <c r="AF315" s="100">
        <f>SamplingData[[#This Row],[Upper Range]]-SamplingData[[#This Row],[Span]]</f>
        <v>5748.9366284391353</v>
      </c>
      <c r="AG315" s="100">
        <f>IF(ISNUMBER('General Info'!$B$42), ((SamplingData[[#This Row],[up/U Selection Probability]]) * 'General Info'!$B$44) - 1, 0)</f>
        <v>23.228719108383146</v>
      </c>
      <c r="AH315" s="100">
        <f>IF(ISNUMBER('General Info'!$B$42), (SamplingData[[#This Row],[Running (cumulative) sum]] * ('General Info'!$B$42 -'General Info'!$B$43 + 1)) + 'General Info'!$B$43 - 1, 0)</f>
        <v>5772.1653475475186</v>
      </c>
      <c r="AI315" s="100" t="str">
        <f>IF(ISERROR(MATCH(SamplingData[[#This Row],[Batch by Type (p)]],SelectedPrecincts[Batch Name], 0)), "", INDEX(SelectedPrecincts[Draw], MATCH(SamplingData[[#This Row],[Batch by Type (p)]],SelectedPrecincts[Batch Name], 0)))</f>
        <v/>
      </c>
      <c r="AJ315" s="101">
        <f>IF(COUNTIF(SelectedPrecincts[Batch Name],SamplingData[[#This Row],[Batch by Type (p)]]) &lt;&gt; 0, COUNTIF(SelectedPrecincts[Batch Name],SamplingData[[#This Row],[Batch by Type (p)]]), 0)</f>
        <v>0</v>
      </c>
    </row>
    <row r="316" spans="1:36" ht="15" customHeight="1" x14ac:dyDescent="0.35">
      <c r="A316" s="98" t="s">
        <v>528</v>
      </c>
      <c r="B316" s="98">
        <v>10</v>
      </c>
      <c r="C316" s="98">
        <v>2</v>
      </c>
      <c r="D316" s="93"/>
      <c r="E316" s="93"/>
      <c r="F316" s="93"/>
      <c r="G316" s="97"/>
      <c r="H316" s="97"/>
      <c r="I316" s="93"/>
      <c r="J316" s="93"/>
      <c r="K316" s="93"/>
      <c r="L316" s="93"/>
      <c r="M316" s="93"/>
      <c r="N316" s="98">
        <v>0</v>
      </c>
      <c r="O316" s="98">
        <v>0</v>
      </c>
      <c r="P316" s="99">
        <f>SUM(SamplingData[[#This Row],[Winning Candidate]:[Under Votes]])</f>
        <v>12</v>
      </c>
      <c r="Q316"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316" s="100">
        <f>IF(AND(SamplingData[[#This Row],[Total]]&lt;&gt; 0, NOT(ISBLANK(SamplingData[[#This Row],[Candidate 3]]))),(SamplingData[[#This Row],[Total]]+SamplingData[[#This Row],[Winning Candidate]]-SamplingData[[#This Row],[Candidate 3]])/(SamplingData[[#Totals],[Winning Candidate]]-SamplingData[[#Totals],[Candidate 3]]), 0)</f>
        <v>0</v>
      </c>
      <c r="S316" s="100">
        <f>IF(AND(SamplingData[[#This Row],[Total]]&lt;&gt; 0, NOT(ISBLANK(SamplingData[[#This Row],[Candidate 4]]))),(SamplingData[[#This Row],[Total]]+SamplingData[[#This Row],[Winning Candidate]]-SamplingData[[#This Row],[Candidate 4]])/(SamplingData[[#Totals],[Winning Candidate]]-SamplingData[[#Totals],[Candidate 4]]), 0)</f>
        <v>0</v>
      </c>
      <c r="T316" s="100">
        <f>IF(AND(SamplingData[[#This Row],[Total]]&lt;&gt; 0, NOT(ISBLANK(SamplingData[[#This Row],[Candidate 5]]))),(SamplingData[[#This Row],[Total]]+SamplingData[[#This Row],[Winning Candidate]]-SamplingData[[#This Row],[Candidate 5]])/(SamplingData[[#Totals],[Winning Candidate]]-SamplingData[[#Totals],[Candidate 5]]), 0)</f>
        <v>0</v>
      </c>
      <c r="U316" s="100">
        <f>IF(AND(SamplingData[[#This Row],[Total]]&lt;&gt; 0, NOT(ISBLANK(SamplingData[[#This Row],[Candidate 6]]))),(SamplingData[[#This Row],[Total]]+SamplingData[[#This Row],[Losing Candidate]]-SamplingData[[#This Row],[Candidate 6]])/(SamplingData[[#Totals],[Winning Candidate]]-SamplingData[[#Totals],[Candidate 6]]), 0)</f>
        <v>0</v>
      </c>
      <c r="V316" s="100">
        <f>IF(AND(SamplingData[[#This Row],[Total]]&lt;&gt; 0, NOT(ISBLANK(SamplingData[[#This Row],[Candidate 7]]))),(SamplingData[[#This Row],[Total]]+SamplingData[[#This Row],[Winning Candidate]]-SamplingData[[#This Row],[Candidate 7]])/(SamplingData[[#Totals],[Winning Candidate]]-SamplingData[[#Totals],[Candidate 7]]), 0)</f>
        <v>0</v>
      </c>
      <c r="W316" s="100">
        <f>IF(AND(SamplingData[[#This Row],[Total]]&lt;&gt; 0, NOT(ISBLANK(SamplingData[[#This Row],[Candidate 8]]))),(SamplingData[[#This Row],[Total]]+SamplingData[[#This Row],[Winning Candidate]]-SamplingData[[#This Row],[Candidate 8]])/(SamplingData[[#Totals],[Winning Candidate]]-SamplingData[[#Totals],[Candidate 8]]), 0)</f>
        <v>0</v>
      </c>
      <c r="X3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00">
        <f>MAX(SamplingData[[#This Row],[Error Bound (up) - Max. possible relative overstatement - Losing Candidate]:[Error Bound (up) - Max. possible relative overstatement - Candidate 12]])</f>
        <v>6.2819989320601812E-4</v>
      </c>
      <c r="AC316" s="100">
        <f>IF(SamplingData[[#This Row],[Max Error Bound (up)]] = 0,0,SamplingData[[#This Row],[Max Error Bound (up)]]/SamplingData[[#Totals],[Max Error Bound (up)]])</f>
        <v>2.6920799009314607E-4</v>
      </c>
      <c r="AD316" s="104">
        <f>SUM($AC$5:AC316)</f>
        <v>5.8000861465568335E-2</v>
      </c>
      <c r="AE316" s="100" t="str" cm="1">
        <f t="array" ref="AE316">IF(SamplingData[[#This Row],[up/U Selection Probability]] = 0, "Zero", TEXT(SamplingData[[#This Row],[Lower Range]], REPT("0",LEN('General Info'!$B$42))) &amp; " - " &amp; TEXT(SamplingData[[#This Row],[Upper Range]], REPT("0",LEN('General Info'!$B$42))))</f>
        <v>05773 - 05799</v>
      </c>
      <c r="AF316" s="100">
        <f>SamplingData[[#This Row],[Upper Range]]-SamplingData[[#This Row],[Span]]</f>
        <v>5773.1653475475186</v>
      </c>
      <c r="AG316" s="100">
        <f>IF(ISNUMBER('General Info'!$B$42), ((SamplingData[[#This Row],[up/U Selection Probability]]) * 'General Info'!$B$44) - 1, 0)</f>
        <v>25.920799009314607</v>
      </c>
      <c r="AH316" s="100">
        <f>IF(ISNUMBER('General Info'!$B$42), (SamplingData[[#This Row],[Running (cumulative) sum]] * ('General Info'!$B$42 -'General Info'!$B$43 + 1)) + 'General Info'!$B$43 - 1, 0)</f>
        <v>5799.0861465568332</v>
      </c>
      <c r="AI316" s="100" t="str">
        <f>IF(ISERROR(MATCH(SamplingData[[#This Row],[Batch by Type (p)]],SelectedPrecincts[Batch Name], 0)), "", INDEX(SelectedPrecincts[Draw], MATCH(SamplingData[[#This Row],[Batch by Type (p)]],SelectedPrecincts[Batch Name], 0)))</f>
        <v/>
      </c>
      <c r="AJ316" s="101">
        <f>IF(COUNTIF(SelectedPrecincts[Batch Name],SamplingData[[#This Row],[Batch by Type (p)]]) &lt;&gt; 0, COUNTIF(SelectedPrecincts[Batch Name],SamplingData[[#This Row],[Batch by Type (p)]]), 0)</f>
        <v>0</v>
      </c>
    </row>
    <row r="317" spans="1:36" ht="15" customHeight="1" x14ac:dyDescent="0.35">
      <c r="A317" s="98" t="s">
        <v>529</v>
      </c>
      <c r="B317" s="98">
        <v>3</v>
      </c>
      <c r="C317" s="98">
        <v>1</v>
      </c>
      <c r="D317" s="93"/>
      <c r="E317" s="93"/>
      <c r="F317" s="93"/>
      <c r="G317" s="97"/>
      <c r="H317" s="97"/>
      <c r="I317" s="93"/>
      <c r="J317" s="93"/>
      <c r="K317" s="93"/>
      <c r="L317" s="93"/>
      <c r="M317" s="93"/>
      <c r="N317" s="98">
        <v>0</v>
      </c>
      <c r="O317" s="98">
        <v>0</v>
      </c>
      <c r="P317" s="99">
        <f>SUM(SamplingData[[#This Row],[Winning Candidate]:[Under Votes]])</f>
        <v>4</v>
      </c>
      <c r="Q317"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317" s="100">
        <f>IF(AND(SamplingData[[#This Row],[Total]]&lt;&gt; 0, NOT(ISBLANK(SamplingData[[#This Row],[Candidate 3]]))),(SamplingData[[#This Row],[Total]]+SamplingData[[#This Row],[Winning Candidate]]-SamplingData[[#This Row],[Candidate 3]])/(SamplingData[[#Totals],[Winning Candidate]]-SamplingData[[#Totals],[Candidate 3]]), 0)</f>
        <v>0</v>
      </c>
      <c r="S317" s="100">
        <f>IF(AND(SamplingData[[#This Row],[Total]]&lt;&gt; 0, NOT(ISBLANK(SamplingData[[#This Row],[Candidate 4]]))),(SamplingData[[#This Row],[Total]]+SamplingData[[#This Row],[Winning Candidate]]-SamplingData[[#This Row],[Candidate 4]])/(SamplingData[[#Totals],[Winning Candidate]]-SamplingData[[#Totals],[Candidate 4]]), 0)</f>
        <v>0</v>
      </c>
      <c r="T317" s="100">
        <f>IF(AND(SamplingData[[#This Row],[Total]]&lt;&gt; 0, NOT(ISBLANK(SamplingData[[#This Row],[Candidate 5]]))),(SamplingData[[#This Row],[Total]]+SamplingData[[#This Row],[Winning Candidate]]-SamplingData[[#This Row],[Candidate 5]])/(SamplingData[[#Totals],[Winning Candidate]]-SamplingData[[#Totals],[Candidate 5]]), 0)</f>
        <v>0</v>
      </c>
      <c r="U317" s="100">
        <f>IF(AND(SamplingData[[#This Row],[Total]]&lt;&gt; 0, NOT(ISBLANK(SamplingData[[#This Row],[Candidate 6]]))),(SamplingData[[#This Row],[Total]]+SamplingData[[#This Row],[Losing Candidate]]-SamplingData[[#This Row],[Candidate 6]])/(SamplingData[[#Totals],[Winning Candidate]]-SamplingData[[#Totals],[Candidate 6]]), 0)</f>
        <v>0</v>
      </c>
      <c r="V317" s="100">
        <f>IF(AND(SamplingData[[#This Row],[Total]]&lt;&gt; 0, NOT(ISBLANK(SamplingData[[#This Row],[Candidate 7]]))),(SamplingData[[#This Row],[Total]]+SamplingData[[#This Row],[Winning Candidate]]-SamplingData[[#This Row],[Candidate 7]])/(SamplingData[[#Totals],[Winning Candidate]]-SamplingData[[#Totals],[Candidate 7]]), 0)</f>
        <v>0</v>
      </c>
      <c r="W317" s="100">
        <f>IF(AND(SamplingData[[#This Row],[Total]]&lt;&gt; 0, NOT(ISBLANK(SamplingData[[#This Row],[Candidate 8]]))),(SamplingData[[#This Row],[Total]]+SamplingData[[#This Row],[Winning Candidate]]-SamplingData[[#This Row],[Candidate 8]])/(SamplingData[[#Totals],[Winning Candidate]]-SamplingData[[#Totals],[Candidate 8]]), 0)</f>
        <v>0</v>
      </c>
      <c r="X3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00">
        <f>MAX(SamplingData[[#This Row],[Error Bound (up) - Max. possible relative overstatement - Losing Candidate]:[Error Bound (up) - Max. possible relative overstatement - Candidate 12]])</f>
        <v>1.8845996796180544E-4</v>
      </c>
      <c r="AC317" s="100">
        <f>IF(SamplingData[[#This Row],[Max Error Bound (up)]] = 0,0,SamplingData[[#This Row],[Max Error Bound (up)]]/SamplingData[[#Totals],[Max Error Bound (up)]])</f>
        <v>8.0762397027943816E-5</v>
      </c>
      <c r="AD317" s="104">
        <f>SUM($AC$5:AC317)</f>
        <v>5.8081623862596278E-2</v>
      </c>
      <c r="AE317" s="100" t="str" cm="1">
        <f t="array" ref="AE317">IF(SamplingData[[#This Row],[up/U Selection Probability]] = 0, "Zero", TEXT(SamplingData[[#This Row],[Lower Range]], REPT("0",LEN('General Info'!$B$42))) &amp; " - " &amp; TEXT(SamplingData[[#This Row],[Upper Range]], REPT("0",LEN('General Info'!$B$42))))</f>
        <v>05800 - 05807</v>
      </c>
      <c r="AF317" s="100">
        <f>SamplingData[[#This Row],[Upper Range]]-SamplingData[[#This Row],[Span]]</f>
        <v>5800.0861465568332</v>
      </c>
      <c r="AG317" s="100">
        <f>IF(ISNUMBER('General Info'!$B$42), ((SamplingData[[#This Row],[up/U Selection Probability]]) * 'General Info'!$B$44) - 1, 0)</f>
        <v>7.076239702794382</v>
      </c>
      <c r="AH317" s="100">
        <f>IF(ISNUMBER('General Info'!$B$42), (SamplingData[[#This Row],[Running (cumulative) sum]] * ('General Info'!$B$42 -'General Info'!$B$43 + 1)) + 'General Info'!$B$43 - 1, 0)</f>
        <v>5807.162386259628</v>
      </c>
      <c r="AI317" s="100" t="str">
        <f>IF(ISERROR(MATCH(SamplingData[[#This Row],[Batch by Type (p)]],SelectedPrecincts[Batch Name], 0)), "", INDEX(SelectedPrecincts[Draw], MATCH(SamplingData[[#This Row],[Batch by Type (p)]],SelectedPrecincts[Batch Name], 0)))</f>
        <v/>
      </c>
      <c r="AJ317" s="101">
        <f>IF(COUNTIF(SelectedPrecincts[Batch Name],SamplingData[[#This Row],[Batch by Type (p)]]) &lt;&gt; 0, COUNTIF(SelectedPrecincts[Batch Name],SamplingData[[#This Row],[Batch by Type (p)]]), 0)</f>
        <v>0</v>
      </c>
    </row>
    <row r="318" spans="1:36" ht="15" customHeight="1" x14ac:dyDescent="0.35">
      <c r="A318" s="98" t="s">
        <v>530</v>
      </c>
      <c r="B318" s="98">
        <v>8</v>
      </c>
      <c r="C318" s="98">
        <v>0</v>
      </c>
      <c r="D318" s="93"/>
      <c r="E318" s="93"/>
      <c r="F318" s="93"/>
      <c r="G318" s="97"/>
      <c r="H318" s="97"/>
      <c r="I318" s="93"/>
      <c r="J318" s="93"/>
      <c r="K318" s="93"/>
      <c r="L318" s="93"/>
      <c r="M318" s="93"/>
      <c r="N318" s="98">
        <v>0</v>
      </c>
      <c r="O318" s="98">
        <v>0</v>
      </c>
      <c r="P318" s="99">
        <f>SUM(SamplingData[[#This Row],[Winning Candidate]:[Under Votes]])</f>
        <v>8</v>
      </c>
      <c r="Q318"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318" s="100">
        <f>IF(AND(SamplingData[[#This Row],[Total]]&lt;&gt; 0, NOT(ISBLANK(SamplingData[[#This Row],[Candidate 3]]))),(SamplingData[[#This Row],[Total]]+SamplingData[[#This Row],[Winning Candidate]]-SamplingData[[#This Row],[Candidate 3]])/(SamplingData[[#Totals],[Winning Candidate]]-SamplingData[[#Totals],[Candidate 3]]), 0)</f>
        <v>0</v>
      </c>
      <c r="S318" s="100">
        <f>IF(AND(SamplingData[[#This Row],[Total]]&lt;&gt; 0, NOT(ISBLANK(SamplingData[[#This Row],[Candidate 4]]))),(SamplingData[[#This Row],[Total]]+SamplingData[[#This Row],[Winning Candidate]]-SamplingData[[#This Row],[Candidate 4]])/(SamplingData[[#Totals],[Winning Candidate]]-SamplingData[[#Totals],[Candidate 4]]), 0)</f>
        <v>0</v>
      </c>
      <c r="T318" s="100">
        <f>IF(AND(SamplingData[[#This Row],[Total]]&lt;&gt; 0, NOT(ISBLANK(SamplingData[[#This Row],[Candidate 5]]))),(SamplingData[[#This Row],[Total]]+SamplingData[[#This Row],[Winning Candidate]]-SamplingData[[#This Row],[Candidate 5]])/(SamplingData[[#Totals],[Winning Candidate]]-SamplingData[[#Totals],[Candidate 5]]), 0)</f>
        <v>0</v>
      </c>
      <c r="U318" s="100">
        <f>IF(AND(SamplingData[[#This Row],[Total]]&lt;&gt; 0, NOT(ISBLANK(SamplingData[[#This Row],[Candidate 6]]))),(SamplingData[[#This Row],[Total]]+SamplingData[[#This Row],[Losing Candidate]]-SamplingData[[#This Row],[Candidate 6]])/(SamplingData[[#Totals],[Winning Candidate]]-SamplingData[[#Totals],[Candidate 6]]), 0)</f>
        <v>0</v>
      </c>
      <c r="V318" s="100">
        <f>IF(AND(SamplingData[[#This Row],[Total]]&lt;&gt; 0, NOT(ISBLANK(SamplingData[[#This Row],[Candidate 7]]))),(SamplingData[[#This Row],[Total]]+SamplingData[[#This Row],[Winning Candidate]]-SamplingData[[#This Row],[Candidate 7]])/(SamplingData[[#Totals],[Winning Candidate]]-SamplingData[[#Totals],[Candidate 7]]), 0)</f>
        <v>0</v>
      </c>
      <c r="W318" s="100">
        <f>IF(AND(SamplingData[[#This Row],[Total]]&lt;&gt; 0, NOT(ISBLANK(SamplingData[[#This Row],[Candidate 8]]))),(SamplingData[[#This Row],[Total]]+SamplingData[[#This Row],[Winning Candidate]]-SamplingData[[#This Row],[Candidate 8]])/(SamplingData[[#Totals],[Winning Candidate]]-SamplingData[[#Totals],[Candidate 8]]), 0)</f>
        <v>0</v>
      </c>
      <c r="X3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00">
        <f>MAX(SamplingData[[#This Row],[Error Bound (up) - Max. possible relative overstatement - Losing Candidate]:[Error Bound (up) - Max. possible relative overstatement - Candidate 12]])</f>
        <v>5.0255991456481448E-4</v>
      </c>
      <c r="AC318" s="100">
        <f>IF(SamplingData[[#This Row],[Max Error Bound (up)]] = 0,0,SamplingData[[#This Row],[Max Error Bound (up)]]/SamplingData[[#Totals],[Max Error Bound (up)]])</f>
        <v>2.1536639207451683E-4</v>
      </c>
      <c r="AD318" s="104">
        <f>SUM($AC$5:AC318)</f>
        <v>5.8296990254670798E-2</v>
      </c>
      <c r="AE318" s="100" t="str" cm="1">
        <f t="array" ref="AE318">IF(SamplingData[[#This Row],[up/U Selection Probability]] = 0, "Zero", TEXT(SamplingData[[#This Row],[Lower Range]], REPT("0",LEN('General Info'!$B$42))) &amp; " - " &amp; TEXT(SamplingData[[#This Row],[Upper Range]], REPT("0",LEN('General Info'!$B$42))))</f>
        <v>05808 - 05829</v>
      </c>
      <c r="AF318" s="100">
        <f>SamplingData[[#This Row],[Upper Range]]-SamplingData[[#This Row],[Span]]</f>
        <v>5808.162386259628</v>
      </c>
      <c r="AG318" s="100">
        <f>IF(ISNUMBER('General Info'!$B$42), ((SamplingData[[#This Row],[up/U Selection Probability]]) * 'General Info'!$B$44) - 1, 0)</f>
        <v>20.536639207451682</v>
      </c>
      <c r="AH318" s="100">
        <f>IF(ISNUMBER('General Info'!$B$42), (SamplingData[[#This Row],[Running (cumulative) sum]] * ('General Info'!$B$42 -'General Info'!$B$43 + 1)) + 'General Info'!$B$43 - 1, 0)</f>
        <v>5828.69902546708</v>
      </c>
      <c r="AI318" s="100" t="str">
        <f>IF(ISERROR(MATCH(SamplingData[[#This Row],[Batch by Type (p)]],SelectedPrecincts[Batch Name], 0)), "", INDEX(SelectedPrecincts[Draw], MATCH(SamplingData[[#This Row],[Batch by Type (p)]],SelectedPrecincts[Batch Name], 0)))</f>
        <v/>
      </c>
      <c r="AJ318" s="101">
        <f>IF(COUNTIF(SelectedPrecincts[Batch Name],SamplingData[[#This Row],[Batch by Type (p)]]) &lt;&gt; 0, COUNTIF(SelectedPrecincts[Batch Name],SamplingData[[#This Row],[Batch by Type (p)]]), 0)</f>
        <v>0</v>
      </c>
    </row>
    <row r="319" spans="1:36" ht="15" customHeight="1" x14ac:dyDescent="0.35">
      <c r="A319" s="98" t="s">
        <v>531</v>
      </c>
      <c r="B319" s="98">
        <v>6</v>
      </c>
      <c r="C319" s="98">
        <v>0</v>
      </c>
      <c r="D319" s="93"/>
      <c r="E319" s="93"/>
      <c r="F319" s="93"/>
      <c r="G319" s="97"/>
      <c r="H319" s="97"/>
      <c r="I319" s="93"/>
      <c r="J319" s="93"/>
      <c r="K319" s="93"/>
      <c r="L319" s="93"/>
      <c r="M319" s="93"/>
      <c r="N319" s="98">
        <v>0</v>
      </c>
      <c r="O319" s="98">
        <v>0</v>
      </c>
      <c r="P319" s="99">
        <f>SUM(SamplingData[[#This Row],[Winning Candidate]:[Under Votes]])</f>
        <v>6</v>
      </c>
      <c r="Q319"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319" s="100">
        <f>IF(AND(SamplingData[[#This Row],[Total]]&lt;&gt; 0, NOT(ISBLANK(SamplingData[[#This Row],[Candidate 3]]))),(SamplingData[[#This Row],[Total]]+SamplingData[[#This Row],[Winning Candidate]]-SamplingData[[#This Row],[Candidate 3]])/(SamplingData[[#Totals],[Winning Candidate]]-SamplingData[[#Totals],[Candidate 3]]), 0)</f>
        <v>0</v>
      </c>
      <c r="S319" s="100">
        <f>IF(AND(SamplingData[[#This Row],[Total]]&lt;&gt; 0, NOT(ISBLANK(SamplingData[[#This Row],[Candidate 4]]))),(SamplingData[[#This Row],[Total]]+SamplingData[[#This Row],[Winning Candidate]]-SamplingData[[#This Row],[Candidate 4]])/(SamplingData[[#Totals],[Winning Candidate]]-SamplingData[[#Totals],[Candidate 4]]), 0)</f>
        <v>0</v>
      </c>
      <c r="T319" s="100">
        <f>IF(AND(SamplingData[[#This Row],[Total]]&lt;&gt; 0, NOT(ISBLANK(SamplingData[[#This Row],[Candidate 5]]))),(SamplingData[[#This Row],[Total]]+SamplingData[[#This Row],[Winning Candidate]]-SamplingData[[#This Row],[Candidate 5]])/(SamplingData[[#Totals],[Winning Candidate]]-SamplingData[[#Totals],[Candidate 5]]), 0)</f>
        <v>0</v>
      </c>
      <c r="U319" s="100">
        <f>IF(AND(SamplingData[[#This Row],[Total]]&lt;&gt; 0, NOT(ISBLANK(SamplingData[[#This Row],[Candidate 6]]))),(SamplingData[[#This Row],[Total]]+SamplingData[[#This Row],[Losing Candidate]]-SamplingData[[#This Row],[Candidate 6]])/(SamplingData[[#Totals],[Winning Candidate]]-SamplingData[[#Totals],[Candidate 6]]), 0)</f>
        <v>0</v>
      </c>
      <c r="V319" s="100">
        <f>IF(AND(SamplingData[[#This Row],[Total]]&lt;&gt; 0, NOT(ISBLANK(SamplingData[[#This Row],[Candidate 7]]))),(SamplingData[[#This Row],[Total]]+SamplingData[[#This Row],[Winning Candidate]]-SamplingData[[#This Row],[Candidate 7]])/(SamplingData[[#Totals],[Winning Candidate]]-SamplingData[[#Totals],[Candidate 7]]), 0)</f>
        <v>0</v>
      </c>
      <c r="W319" s="100">
        <f>IF(AND(SamplingData[[#This Row],[Total]]&lt;&gt; 0, NOT(ISBLANK(SamplingData[[#This Row],[Candidate 8]]))),(SamplingData[[#This Row],[Total]]+SamplingData[[#This Row],[Winning Candidate]]-SamplingData[[#This Row],[Candidate 8]])/(SamplingData[[#Totals],[Winning Candidate]]-SamplingData[[#Totals],[Candidate 8]]), 0)</f>
        <v>0</v>
      </c>
      <c r="X3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00">
        <f>MAX(SamplingData[[#This Row],[Error Bound (up) - Max. possible relative overstatement - Losing Candidate]:[Error Bound (up) - Max. possible relative overstatement - Candidate 12]])</f>
        <v>3.7691993592361088E-4</v>
      </c>
      <c r="AC319" s="100">
        <f>IF(SamplingData[[#This Row],[Max Error Bound (up)]] = 0,0,SamplingData[[#This Row],[Max Error Bound (up)]]/SamplingData[[#Totals],[Max Error Bound (up)]])</f>
        <v>1.6152479405588763E-4</v>
      </c>
      <c r="AD319" s="104">
        <f>SUM($AC$5:AC319)</f>
        <v>5.8458515048726685E-2</v>
      </c>
      <c r="AE319" s="100" t="str" cm="1">
        <f t="array" ref="AE319">IF(SamplingData[[#This Row],[up/U Selection Probability]] = 0, "Zero", TEXT(SamplingData[[#This Row],[Lower Range]], REPT("0",LEN('General Info'!$B$42))) &amp; " - " &amp; TEXT(SamplingData[[#This Row],[Upper Range]], REPT("0",LEN('General Info'!$B$42))))</f>
        <v>05830 - 05845</v>
      </c>
      <c r="AF319" s="100">
        <f>SamplingData[[#This Row],[Upper Range]]-SamplingData[[#This Row],[Span]]</f>
        <v>5829.69902546708</v>
      </c>
      <c r="AG319" s="100">
        <f>IF(ISNUMBER('General Info'!$B$42), ((SamplingData[[#This Row],[up/U Selection Probability]]) * 'General Info'!$B$44) - 1, 0)</f>
        <v>15.152479405588764</v>
      </c>
      <c r="AH319" s="100">
        <f>IF(ISNUMBER('General Info'!$B$42), (SamplingData[[#This Row],[Running (cumulative) sum]] * ('General Info'!$B$42 -'General Info'!$B$43 + 1)) + 'General Info'!$B$43 - 1, 0)</f>
        <v>5844.8515048726686</v>
      </c>
      <c r="AI319" s="100" t="str">
        <f>IF(ISERROR(MATCH(SamplingData[[#This Row],[Batch by Type (p)]],SelectedPrecincts[Batch Name], 0)), "", INDEX(SelectedPrecincts[Draw], MATCH(SamplingData[[#This Row],[Batch by Type (p)]],SelectedPrecincts[Batch Name], 0)))</f>
        <v/>
      </c>
      <c r="AJ319" s="101">
        <f>IF(COUNTIF(SelectedPrecincts[Batch Name],SamplingData[[#This Row],[Batch by Type (p)]]) &lt;&gt; 0, COUNTIF(SelectedPrecincts[Batch Name],SamplingData[[#This Row],[Batch by Type (p)]]), 0)</f>
        <v>0</v>
      </c>
    </row>
    <row r="320" spans="1:36" ht="15" customHeight="1" x14ac:dyDescent="0.35">
      <c r="A320" s="98" t="s">
        <v>532</v>
      </c>
      <c r="B320" s="98">
        <v>12</v>
      </c>
      <c r="C320" s="98">
        <v>0</v>
      </c>
      <c r="D320" s="93"/>
      <c r="E320" s="93"/>
      <c r="F320" s="93"/>
      <c r="G320" s="97"/>
      <c r="H320" s="97"/>
      <c r="I320" s="93"/>
      <c r="J320" s="93"/>
      <c r="K320" s="93"/>
      <c r="L320" s="93"/>
      <c r="M320" s="93"/>
      <c r="N320" s="98">
        <v>0</v>
      </c>
      <c r="O320" s="98">
        <v>2</v>
      </c>
      <c r="P320" s="99">
        <f>SUM(SamplingData[[#This Row],[Winning Candidate]:[Under Votes]])</f>
        <v>14</v>
      </c>
      <c r="Q320"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320" s="100">
        <f>IF(AND(SamplingData[[#This Row],[Total]]&lt;&gt; 0, NOT(ISBLANK(SamplingData[[#This Row],[Candidate 3]]))),(SamplingData[[#This Row],[Total]]+SamplingData[[#This Row],[Winning Candidate]]-SamplingData[[#This Row],[Candidate 3]])/(SamplingData[[#Totals],[Winning Candidate]]-SamplingData[[#Totals],[Candidate 3]]), 0)</f>
        <v>0</v>
      </c>
      <c r="S320" s="100">
        <f>IF(AND(SamplingData[[#This Row],[Total]]&lt;&gt; 0, NOT(ISBLANK(SamplingData[[#This Row],[Candidate 4]]))),(SamplingData[[#This Row],[Total]]+SamplingData[[#This Row],[Winning Candidate]]-SamplingData[[#This Row],[Candidate 4]])/(SamplingData[[#Totals],[Winning Candidate]]-SamplingData[[#Totals],[Candidate 4]]), 0)</f>
        <v>0</v>
      </c>
      <c r="T320" s="100">
        <f>IF(AND(SamplingData[[#This Row],[Total]]&lt;&gt; 0, NOT(ISBLANK(SamplingData[[#This Row],[Candidate 5]]))),(SamplingData[[#This Row],[Total]]+SamplingData[[#This Row],[Winning Candidate]]-SamplingData[[#This Row],[Candidate 5]])/(SamplingData[[#Totals],[Winning Candidate]]-SamplingData[[#Totals],[Candidate 5]]), 0)</f>
        <v>0</v>
      </c>
      <c r="U320" s="100">
        <f>IF(AND(SamplingData[[#This Row],[Total]]&lt;&gt; 0, NOT(ISBLANK(SamplingData[[#This Row],[Candidate 6]]))),(SamplingData[[#This Row],[Total]]+SamplingData[[#This Row],[Losing Candidate]]-SamplingData[[#This Row],[Candidate 6]])/(SamplingData[[#Totals],[Winning Candidate]]-SamplingData[[#Totals],[Candidate 6]]), 0)</f>
        <v>0</v>
      </c>
      <c r="V320" s="100">
        <f>IF(AND(SamplingData[[#This Row],[Total]]&lt;&gt; 0, NOT(ISBLANK(SamplingData[[#This Row],[Candidate 7]]))),(SamplingData[[#This Row],[Total]]+SamplingData[[#This Row],[Winning Candidate]]-SamplingData[[#This Row],[Candidate 7]])/(SamplingData[[#Totals],[Winning Candidate]]-SamplingData[[#Totals],[Candidate 7]]), 0)</f>
        <v>0</v>
      </c>
      <c r="W320" s="100">
        <f>IF(AND(SamplingData[[#This Row],[Total]]&lt;&gt; 0, NOT(ISBLANK(SamplingData[[#This Row],[Candidate 8]]))),(SamplingData[[#This Row],[Total]]+SamplingData[[#This Row],[Winning Candidate]]-SamplingData[[#This Row],[Candidate 8]])/(SamplingData[[#Totals],[Winning Candidate]]-SamplingData[[#Totals],[Candidate 8]]), 0)</f>
        <v>0</v>
      </c>
      <c r="X3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00">
        <f>MAX(SamplingData[[#This Row],[Error Bound (up) - Max. possible relative overstatement - Losing Candidate]:[Error Bound (up) - Max. possible relative overstatement - Candidate 12]])</f>
        <v>8.1665986116782364E-4</v>
      </c>
      <c r="AC320" s="100">
        <f>IF(SamplingData[[#This Row],[Max Error Bound (up)]] = 0,0,SamplingData[[#This Row],[Max Error Bound (up)]]/SamplingData[[#Totals],[Max Error Bound (up)]])</f>
        <v>3.4997038712108992E-4</v>
      </c>
      <c r="AD320" s="104">
        <f>SUM($AC$5:AC320)</f>
        <v>5.8808485435847775E-2</v>
      </c>
      <c r="AE320" s="100" t="str" cm="1">
        <f t="array" ref="AE320">IF(SamplingData[[#This Row],[up/U Selection Probability]] = 0, "Zero", TEXT(SamplingData[[#This Row],[Lower Range]], REPT("0",LEN('General Info'!$B$42))) &amp; " - " &amp; TEXT(SamplingData[[#This Row],[Upper Range]], REPT("0",LEN('General Info'!$B$42))))</f>
        <v>05846 - 05880</v>
      </c>
      <c r="AF320" s="100">
        <f>SamplingData[[#This Row],[Upper Range]]-SamplingData[[#This Row],[Span]]</f>
        <v>5845.8515048726686</v>
      </c>
      <c r="AG320" s="100">
        <f>IF(ISNUMBER('General Info'!$B$42), ((SamplingData[[#This Row],[up/U Selection Probability]]) * 'General Info'!$B$44) - 1, 0)</f>
        <v>33.997038712108989</v>
      </c>
      <c r="AH320" s="100">
        <f>IF(ISNUMBER('General Info'!$B$42), (SamplingData[[#This Row],[Running (cumulative) sum]] * ('General Info'!$B$42 -'General Info'!$B$43 + 1)) + 'General Info'!$B$43 - 1, 0)</f>
        <v>5879.8485435847779</v>
      </c>
      <c r="AI320" s="100" t="str">
        <f>IF(ISERROR(MATCH(SamplingData[[#This Row],[Batch by Type (p)]],SelectedPrecincts[Batch Name], 0)), "", INDEX(SelectedPrecincts[Draw], MATCH(SamplingData[[#This Row],[Batch by Type (p)]],SelectedPrecincts[Batch Name], 0)))</f>
        <v/>
      </c>
      <c r="AJ320" s="101">
        <f>IF(COUNTIF(SelectedPrecincts[Batch Name],SamplingData[[#This Row],[Batch by Type (p)]]) &lt;&gt; 0, COUNTIF(SelectedPrecincts[Batch Name],SamplingData[[#This Row],[Batch by Type (p)]]), 0)</f>
        <v>0</v>
      </c>
    </row>
    <row r="321" spans="1:36" ht="15" customHeight="1" x14ac:dyDescent="0.35">
      <c r="A321" s="98" t="s">
        <v>533</v>
      </c>
      <c r="B321" s="98">
        <v>22</v>
      </c>
      <c r="C321" s="98">
        <v>5</v>
      </c>
      <c r="D321" s="93"/>
      <c r="E321" s="93"/>
      <c r="F321" s="93"/>
      <c r="G321" s="97"/>
      <c r="H321" s="97"/>
      <c r="I321" s="93"/>
      <c r="J321" s="93"/>
      <c r="K321" s="93"/>
      <c r="L321" s="93"/>
      <c r="M321" s="93"/>
      <c r="N321" s="98">
        <v>0</v>
      </c>
      <c r="O321" s="98">
        <v>1</v>
      </c>
      <c r="P321" s="99">
        <f>SUM(SamplingData[[#This Row],[Winning Candidate]:[Under Votes]])</f>
        <v>28</v>
      </c>
      <c r="Q321" s="100">
        <f>IF(AND(SamplingData[[#This Row],[Total]]&lt;&gt; 0, NOT(ISBLANK(SamplingData[[#This Row],[Losing Candidate]]))),(SamplingData[[#This Row],[Total]]+SamplingData[[#This Row],[Winning Candidate]]-SamplingData[[#This Row],[Losing Candidate]])/(SamplingData[[#Totals],[Winning Candidate]]-SamplingData[[#Totals],[Losing Candidate]]), 0)</f>
        <v>1.4134497597135408E-3</v>
      </c>
      <c r="R321" s="100">
        <f>IF(AND(SamplingData[[#This Row],[Total]]&lt;&gt; 0, NOT(ISBLANK(SamplingData[[#This Row],[Candidate 3]]))),(SamplingData[[#This Row],[Total]]+SamplingData[[#This Row],[Winning Candidate]]-SamplingData[[#This Row],[Candidate 3]])/(SamplingData[[#Totals],[Winning Candidate]]-SamplingData[[#Totals],[Candidate 3]]), 0)</f>
        <v>0</v>
      </c>
      <c r="S321" s="100">
        <f>IF(AND(SamplingData[[#This Row],[Total]]&lt;&gt; 0, NOT(ISBLANK(SamplingData[[#This Row],[Candidate 4]]))),(SamplingData[[#This Row],[Total]]+SamplingData[[#This Row],[Winning Candidate]]-SamplingData[[#This Row],[Candidate 4]])/(SamplingData[[#Totals],[Winning Candidate]]-SamplingData[[#Totals],[Candidate 4]]), 0)</f>
        <v>0</v>
      </c>
      <c r="T321" s="100">
        <f>IF(AND(SamplingData[[#This Row],[Total]]&lt;&gt; 0, NOT(ISBLANK(SamplingData[[#This Row],[Candidate 5]]))),(SamplingData[[#This Row],[Total]]+SamplingData[[#This Row],[Winning Candidate]]-SamplingData[[#This Row],[Candidate 5]])/(SamplingData[[#Totals],[Winning Candidate]]-SamplingData[[#Totals],[Candidate 5]]), 0)</f>
        <v>0</v>
      </c>
      <c r="U321" s="100">
        <f>IF(AND(SamplingData[[#This Row],[Total]]&lt;&gt; 0, NOT(ISBLANK(SamplingData[[#This Row],[Candidate 6]]))),(SamplingData[[#This Row],[Total]]+SamplingData[[#This Row],[Losing Candidate]]-SamplingData[[#This Row],[Candidate 6]])/(SamplingData[[#Totals],[Winning Candidate]]-SamplingData[[#Totals],[Candidate 6]]), 0)</f>
        <v>0</v>
      </c>
      <c r="V321" s="100">
        <f>IF(AND(SamplingData[[#This Row],[Total]]&lt;&gt; 0, NOT(ISBLANK(SamplingData[[#This Row],[Candidate 7]]))),(SamplingData[[#This Row],[Total]]+SamplingData[[#This Row],[Winning Candidate]]-SamplingData[[#This Row],[Candidate 7]])/(SamplingData[[#Totals],[Winning Candidate]]-SamplingData[[#Totals],[Candidate 7]]), 0)</f>
        <v>0</v>
      </c>
      <c r="W321" s="100">
        <f>IF(AND(SamplingData[[#This Row],[Total]]&lt;&gt; 0, NOT(ISBLANK(SamplingData[[#This Row],[Candidate 8]]))),(SamplingData[[#This Row],[Total]]+SamplingData[[#This Row],[Winning Candidate]]-SamplingData[[#This Row],[Candidate 8]])/(SamplingData[[#Totals],[Winning Candidate]]-SamplingData[[#Totals],[Candidate 8]]), 0)</f>
        <v>0</v>
      </c>
      <c r="X3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00">
        <f>MAX(SamplingData[[#This Row],[Error Bound (up) - Max. possible relative overstatement - Losing Candidate]:[Error Bound (up) - Max. possible relative overstatement - Candidate 12]])</f>
        <v>1.4134497597135408E-3</v>
      </c>
      <c r="AC321" s="100">
        <f>IF(SamplingData[[#This Row],[Max Error Bound (up)]] = 0,0,SamplingData[[#This Row],[Max Error Bound (up)]]/SamplingData[[#Totals],[Max Error Bound (up)]])</f>
        <v>6.0571797770957864E-4</v>
      </c>
      <c r="AD321" s="104">
        <f>SUM($AC$5:AC321)</f>
        <v>5.9414203413557354E-2</v>
      </c>
      <c r="AE321" s="100" t="str" cm="1">
        <f t="array" ref="AE321">IF(SamplingData[[#This Row],[up/U Selection Probability]] = 0, "Zero", TEXT(SamplingData[[#This Row],[Lower Range]], REPT("0",LEN('General Info'!$B$42))) &amp; " - " &amp; TEXT(SamplingData[[#This Row],[Upper Range]], REPT("0",LEN('General Info'!$B$42))))</f>
        <v>05881 - 05940</v>
      </c>
      <c r="AF321" s="100">
        <f>SamplingData[[#This Row],[Upper Range]]-SamplingData[[#This Row],[Span]]</f>
        <v>5880.848543584777</v>
      </c>
      <c r="AG321" s="100">
        <f>IF(ISNUMBER('General Info'!$B$42), ((SamplingData[[#This Row],[up/U Selection Probability]]) * 'General Info'!$B$44) - 1, 0)</f>
        <v>59.571797770957865</v>
      </c>
      <c r="AH321" s="100">
        <f>IF(ISNUMBER('General Info'!$B$42), (SamplingData[[#This Row],[Running (cumulative) sum]] * ('General Info'!$B$42 -'General Info'!$B$43 + 1)) + 'General Info'!$B$43 - 1, 0)</f>
        <v>5940.4203413557352</v>
      </c>
      <c r="AI321" s="100" t="str">
        <f>IF(ISERROR(MATCH(SamplingData[[#This Row],[Batch by Type (p)]],SelectedPrecincts[Batch Name], 0)), "", INDEX(SelectedPrecincts[Draw], MATCH(SamplingData[[#This Row],[Batch by Type (p)]],SelectedPrecincts[Batch Name], 0)))</f>
        <v/>
      </c>
      <c r="AJ321" s="101">
        <f>IF(COUNTIF(SelectedPrecincts[Batch Name],SamplingData[[#This Row],[Batch by Type (p)]]) &lt;&gt; 0, COUNTIF(SelectedPrecincts[Batch Name],SamplingData[[#This Row],[Batch by Type (p)]]), 0)</f>
        <v>0</v>
      </c>
    </row>
    <row r="322" spans="1:36" ht="15" customHeight="1" x14ac:dyDescent="0.35">
      <c r="A322" s="98" t="s">
        <v>534</v>
      </c>
      <c r="B322" s="98">
        <v>23</v>
      </c>
      <c r="C322" s="98">
        <v>1</v>
      </c>
      <c r="D322" s="93"/>
      <c r="E322" s="93"/>
      <c r="F322" s="93"/>
      <c r="G322" s="97"/>
      <c r="H322" s="97"/>
      <c r="I322" s="93"/>
      <c r="J322" s="93"/>
      <c r="K322" s="93"/>
      <c r="L322" s="93"/>
      <c r="M322" s="93"/>
      <c r="N322" s="98">
        <v>0</v>
      </c>
      <c r="O322" s="98">
        <v>0</v>
      </c>
      <c r="P322" s="99">
        <f>SUM(SamplingData[[#This Row],[Winning Candidate]:[Under Votes]])</f>
        <v>24</v>
      </c>
      <c r="Q322" s="100">
        <f>IF(AND(SamplingData[[#This Row],[Total]]&lt;&gt; 0, NOT(ISBLANK(SamplingData[[#This Row],[Losing Candidate]]))),(SamplingData[[#This Row],[Total]]+SamplingData[[#This Row],[Winning Candidate]]-SamplingData[[#This Row],[Losing Candidate]])/(SamplingData[[#Totals],[Winning Candidate]]-SamplingData[[#Totals],[Losing Candidate]]), 0)</f>
        <v>1.4448597543738418E-3</v>
      </c>
      <c r="R322" s="100">
        <f>IF(AND(SamplingData[[#This Row],[Total]]&lt;&gt; 0, NOT(ISBLANK(SamplingData[[#This Row],[Candidate 3]]))),(SamplingData[[#This Row],[Total]]+SamplingData[[#This Row],[Winning Candidate]]-SamplingData[[#This Row],[Candidate 3]])/(SamplingData[[#Totals],[Winning Candidate]]-SamplingData[[#Totals],[Candidate 3]]), 0)</f>
        <v>0</v>
      </c>
      <c r="S322" s="100">
        <f>IF(AND(SamplingData[[#This Row],[Total]]&lt;&gt; 0, NOT(ISBLANK(SamplingData[[#This Row],[Candidate 4]]))),(SamplingData[[#This Row],[Total]]+SamplingData[[#This Row],[Winning Candidate]]-SamplingData[[#This Row],[Candidate 4]])/(SamplingData[[#Totals],[Winning Candidate]]-SamplingData[[#Totals],[Candidate 4]]), 0)</f>
        <v>0</v>
      </c>
      <c r="T322" s="100">
        <f>IF(AND(SamplingData[[#This Row],[Total]]&lt;&gt; 0, NOT(ISBLANK(SamplingData[[#This Row],[Candidate 5]]))),(SamplingData[[#This Row],[Total]]+SamplingData[[#This Row],[Winning Candidate]]-SamplingData[[#This Row],[Candidate 5]])/(SamplingData[[#Totals],[Winning Candidate]]-SamplingData[[#Totals],[Candidate 5]]), 0)</f>
        <v>0</v>
      </c>
      <c r="U322" s="100">
        <f>IF(AND(SamplingData[[#This Row],[Total]]&lt;&gt; 0, NOT(ISBLANK(SamplingData[[#This Row],[Candidate 6]]))),(SamplingData[[#This Row],[Total]]+SamplingData[[#This Row],[Losing Candidate]]-SamplingData[[#This Row],[Candidate 6]])/(SamplingData[[#Totals],[Winning Candidate]]-SamplingData[[#Totals],[Candidate 6]]), 0)</f>
        <v>0</v>
      </c>
      <c r="V322" s="100">
        <f>IF(AND(SamplingData[[#This Row],[Total]]&lt;&gt; 0, NOT(ISBLANK(SamplingData[[#This Row],[Candidate 7]]))),(SamplingData[[#This Row],[Total]]+SamplingData[[#This Row],[Winning Candidate]]-SamplingData[[#This Row],[Candidate 7]])/(SamplingData[[#Totals],[Winning Candidate]]-SamplingData[[#Totals],[Candidate 7]]), 0)</f>
        <v>0</v>
      </c>
      <c r="W322" s="100">
        <f>IF(AND(SamplingData[[#This Row],[Total]]&lt;&gt; 0, NOT(ISBLANK(SamplingData[[#This Row],[Candidate 8]]))),(SamplingData[[#This Row],[Total]]+SamplingData[[#This Row],[Winning Candidate]]-SamplingData[[#This Row],[Candidate 8]])/(SamplingData[[#Totals],[Winning Candidate]]-SamplingData[[#Totals],[Candidate 8]]), 0)</f>
        <v>0</v>
      </c>
      <c r="X3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00">
        <f>MAX(SamplingData[[#This Row],[Error Bound (up) - Max. possible relative overstatement - Losing Candidate]:[Error Bound (up) - Max. possible relative overstatement - Candidate 12]])</f>
        <v>1.4448597543738418E-3</v>
      </c>
      <c r="AC322" s="100">
        <f>IF(SamplingData[[#This Row],[Max Error Bound (up)]] = 0,0,SamplingData[[#This Row],[Max Error Bound (up)]]/SamplingData[[#Totals],[Max Error Bound (up)]])</f>
        <v>6.1917837721423593E-4</v>
      </c>
      <c r="AD322" s="104">
        <f>SUM($AC$5:AC322)</f>
        <v>6.0033381790771591E-2</v>
      </c>
      <c r="AE322" s="100" t="str" cm="1">
        <f t="array" ref="AE322">IF(SamplingData[[#This Row],[up/U Selection Probability]] = 0, "Zero", TEXT(SamplingData[[#This Row],[Lower Range]], REPT("0",LEN('General Info'!$B$42))) &amp; " - " &amp; TEXT(SamplingData[[#This Row],[Upper Range]], REPT("0",LEN('General Info'!$B$42))))</f>
        <v>05941 - 06002</v>
      </c>
      <c r="AF322" s="100">
        <f>SamplingData[[#This Row],[Upper Range]]-SamplingData[[#This Row],[Span]]</f>
        <v>5941.4203413557352</v>
      </c>
      <c r="AG322" s="100">
        <f>IF(ISNUMBER('General Info'!$B$42), ((SamplingData[[#This Row],[up/U Selection Probability]]) * 'General Info'!$B$44) - 1, 0)</f>
        <v>60.917837721423595</v>
      </c>
      <c r="AH322" s="100">
        <f>IF(ISNUMBER('General Info'!$B$42), (SamplingData[[#This Row],[Running (cumulative) sum]] * ('General Info'!$B$42 -'General Info'!$B$43 + 1)) + 'General Info'!$B$43 - 1, 0)</f>
        <v>6002.3381790771591</v>
      </c>
      <c r="AI322" s="100" t="str">
        <f>IF(ISERROR(MATCH(SamplingData[[#This Row],[Batch by Type (p)]],SelectedPrecincts[Batch Name], 0)), "", INDEX(SelectedPrecincts[Draw], MATCH(SamplingData[[#This Row],[Batch by Type (p)]],SelectedPrecincts[Batch Name], 0)))</f>
        <v/>
      </c>
      <c r="AJ322" s="101">
        <f>IF(COUNTIF(SelectedPrecincts[Batch Name],SamplingData[[#This Row],[Batch by Type (p)]]) &lt;&gt; 0, COUNTIF(SelectedPrecincts[Batch Name],SamplingData[[#This Row],[Batch by Type (p)]]), 0)</f>
        <v>0</v>
      </c>
    </row>
    <row r="323" spans="1:36" ht="15" customHeight="1" x14ac:dyDescent="0.35">
      <c r="A323" s="98" t="s">
        <v>535</v>
      </c>
      <c r="B323" s="98">
        <v>19</v>
      </c>
      <c r="C323" s="98">
        <v>3</v>
      </c>
      <c r="D323" s="93"/>
      <c r="E323" s="93"/>
      <c r="F323" s="93"/>
      <c r="G323" s="97"/>
      <c r="H323" s="97"/>
      <c r="I323" s="93"/>
      <c r="J323" s="93"/>
      <c r="K323" s="93"/>
      <c r="L323" s="93"/>
      <c r="M323" s="93"/>
      <c r="N323" s="98">
        <v>0</v>
      </c>
      <c r="O323" s="98">
        <v>0</v>
      </c>
      <c r="P323" s="99">
        <f>SUM(SamplingData[[#This Row],[Winning Candidate]:[Under Votes]])</f>
        <v>22</v>
      </c>
      <c r="Q323"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323" s="100">
        <f>IF(AND(SamplingData[[#This Row],[Total]]&lt;&gt; 0, NOT(ISBLANK(SamplingData[[#This Row],[Candidate 3]]))),(SamplingData[[#This Row],[Total]]+SamplingData[[#This Row],[Winning Candidate]]-SamplingData[[#This Row],[Candidate 3]])/(SamplingData[[#Totals],[Winning Candidate]]-SamplingData[[#Totals],[Candidate 3]]), 0)</f>
        <v>0</v>
      </c>
      <c r="S323" s="100">
        <f>IF(AND(SamplingData[[#This Row],[Total]]&lt;&gt; 0, NOT(ISBLANK(SamplingData[[#This Row],[Candidate 4]]))),(SamplingData[[#This Row],[Total]]+SamplingData[[#This Row],[Winning Candidate]]-SamplingData[[#This Row],[Candidate 4]])/(SamplingData[[#Totals],[Winning Candidate]]-SamplingData[[#Totals],[Candidate 4]]), 0)</f>
        <v>0</v>
      </c>
      <c r="T323" s="100">
        <f>IF(AND(SamplingData[[#This Row],[Total]]&lt;&gt; 0, NOT(ISBLANK(SamplingData[[#This Row],[Candidate 5]]))),(SamplingData[[#This Row],[Total]]+SamplingData[[#This Row],[Winning Candidate]]-SamplingData[[#This Row],[Candidate 5]])/(SamplingData[[#Totals],[Winning Candidate]]-SamplingData[[#Totals],[Candidate 5]]), 0)</f>
        <v>0</v>
      </c>
      <c r="U323" s="100">
        <f>IF(AND(SamplingData[[#This Row],[Total]]&lt;&gt; 0, NOT(ISBLANK(SamplingData[[#This Row],[Candidate 6]]))),(SamplingData[[#This Row],[Total]]+SamplingData[[#This Row],[Losing Candidate]]-SamplingData[[#This Row],[Candidate 6]])/(SamplingData[[#Totals],[Winning Candidate]]-SamplingData[[#Totals],[Candidate 6]]), 0)</f>
        <v>0</v>
      </c>
      <c r="V323" s="100">
        <f>IF(AND(SamplingData[[#This Row],[Total]]&lt;&gt; 0, NOT(ISBLANK(SamplingData[[#This Row],[Candidate 7]]))),(SamplingData[[#This Row],[Total]]+SamplingData[[#This Row],[Winning Candidate]]-SamplingData[[#This Row],[Candidate 7]])/(SamplingData[[#Totals],[Winning Candidate]]-SamplingData[[#Totals],[Candidate 7]]), 0)</f>
        <v>0</v>
      </c>
      <c r="W323" s="100">
        <f>IF(AND(SamplingData[[#This Row],[Total]]&lt;&gt; 0, NOT(ISBLANK(SamplingData[[#This Row],[Candidate 8]]))),(SamplingData[[#This Row],[Total]]+SamplingData[[#This Row],[Winning Candidate]]-SamplingData[[#This Row],[Candidate 8]])/(SamplingData[[#Totals],[Winning Candidate]]-SamplingData[[#Totals],[Candidate 8]]), 0)</f>
        <v>0</v>
      </c>
      <c r="X3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00">
        <f>MAX(SamplingData[[#This Row],[Error Bound (up) - Max. possible relative overstatement - Losing Candidate]:[Error Bound (up) - Max. possible relative overstatement - Candidate 12]])</f>
        <v>1.1935797970914345E-3</v>
      </c>
      <c r="AC323" s="100">
        <f>IF(SamplingData[[#This Row],[Max Error Bound (up)]] = 0,0,SamplingData[[#This Row],[Max Error Bound (up)]]/SamplingData[[#Totals],[Max Error Bound (up)]])</f>
        <v>5.1149518117697755E-4</v>
      </c>
      <c r="AD323" s="104">
        <f>SUM($AC$5:AC323)</f>
        <v>6.0544876971948568E-2</v>
      </c>
      <c r="AE323" s="100" t="str" cm="1">
        <f t="array" ref="AE323">IF(SamplingData[[#This Row],[up/U Selection Probability]] = 0, "Zero", TEXT(SamplingData[[#This Row],[Lower Range]], REPT("0",LEN('General Info'!$B$42))) &amp; " - " &amp; TEXT(SamplingData[[#This Row],[Upper Range]], REPT("0",LEN('General Info'!$B$42))))</f>
        <v>06003 - 06053</v>
      </c>
      <c r="AF323" s="100">
        <f>SamplingData[[#This Row],[Upper Range]]-SamplingData[[#This Row],[Span]]</f>
        <v>6003.3381790771591</v>
      </c>
      <c r="AG323" s="100">
        <f>IF(ISNUMBER('General Info'!$B$42), ((SamplingData[[#This Row],[up/U Selection Probability]]) * 'General Info'!$B$44) - 1, 0)</f>
        <v>50.149518117697752</v>
      </c>
      <c r="AH323" s="100">
        <f>IF(ISNUMBER('General Info'!$B$42), (SamplingData[[#This Row],[Running (cumulative) sum]] * ('General Info'!$B$42 -'General Info'!$B$43 + 1)) + 'General Info'!$B$43 - 1, 0)</f>
        <v>6053.487697194857</v>
      </c>
      <c r="AI323" s="100" t="str">
        <f>IF(ISERROR(MATCH(SamplingData[[#This Row],[Batch by Type (p)]],SelectedPrecincts[Batch Name], 0)), "", INDEX(SelectedPrecincts[Draw], MATCH(SamplingData[[#This Row],[Batch by Type (p)]],SelectedPrecincts[Batch Name], 0)))</f>
        <v/>
      </c>
      <c r="AJ323" s="101">
        <f>IF(COUNTIF(SelectedPrecincts[Batch Name],SamplingData[[#This Row],[Batch by Type (p)]]) &lt;&gt; 0, COUNTIF(SelectedPrecincts[Batch Name],SamplingData[[#This Row],[Batch by Type (p)]]), 0)</f>
        <v>0</v>
      </c>
    </row>
    <row r="324" spans="1:36" ht="15" customHeight="1" x14ac:dyDescent="0.35">
      <c r="A324" s="98" t="s">
        <v>536</v>
      </c>
      <c r="B324" s="98">
        <v>23</v>
      </c>
      <c r="C324" s="98">
        <v>1</v>
      </c>
      <c r="D324" s="93"/>
      <c r="E324" s="93"/>
      <c r="F324" s="93"/>
      <c r="G324" s="97"/>
      <c r="H324" s="97"/>
      <c r="I324" s="93"/>
      <c r="J324" s="93"/>
      <c r="K324" s="93"/>
      <c r="L324" s="93"/>
      <c r="M324" s="93"/>
      <c r="N324" s="98">
        <v>0</v>
      </c>
      <c r="O324" s="98">
        <v>2</v>
      </c>
      <c r="P324" s="99">
        <f>SUM(SamplingData[[#This Row],[Winning Candidate]:[Under Votes]])</f>
        <v>26</v>
      </c>
      <c r="Q324" s="100">
        <f>IF(AND(SamplingData[[#This Row],[Total]]&lt;&gt; 0, NOT(ISBLANK(SamplingData[[#This Row],[Losing Candidate]]))),(SamplingData[[#This Row],[Total]]+SamplingData[[#This Row],[Winning Candidate]]-SamplingData[[#This Row],[Losing Candidate]])/(SamplingData[[#Totals],[Winning Candidate]]-SamplingData[[#Totals],[Losing Candidate]]), 0)</f>
        <v>1.5076797436944435E-3</v>
      </c>
      <c r="R324" s="100">
        <f>IF(AND(SamplingData[[#This Row],[Total]]&lt;&gt; 0, NOT(ISBLANK(SamplingData[[#This Row],[Candidate 3]]))),(SamplingData[[#This Row],[Total]]+SamplingData[[#This Row],[Winning Candidate]]-SamplingData[[#This Row],[Candidate 3]])/(SamplingData[[#Totals],[Winning Candidate]]-SamplingData[[#Totals],[Candidate 3]]), 0)</f>
        <v>0</v>
      </c>
      <c r="S324" s="100">
        <f>IF(AND(SamplingData[[#This Row],[Total]]&lt;&gt; 0, NOT(ISBLANK(SamplingData[[#This Row],[Candidate 4]]))),(SamplingData[[#This Row],[Total]]+SamplingData[[#This Row],[Winning Candidate]]-SamplingData[[#This Row],[Candidate 4]])/(SamplingData[[#Totals],[Winning Candidate]]-SamplingData[[#Totals],[Candidate 4]]), 0)</f>
        <v>0</v>
      </c>
      <c r="T324" s="100">
        <f>IF(AND(SamplingData[[#This Row],[Total]]&lt;&gt; 0, NOT(ISBLANK(SamplingData[[#This Row],[Candidate 5]]))),(SamplingData[[#This Row],[Total]]+SamplingData[[#This Row],[Winning Candidate]]-SamplingData[[#This Row],[Candidate 5]])/(SamplingData[[#Totals],[Winning Candidate]]-SamplingData[[#Totals],[Candidate 5]]), 0)</f>
        <v>0</v>
      </c>
      <c r="U324" s="100">
        <f>IF(AND(SamplingData[[#This Row],[Total]]&lt;&gt; 0, NOT(ISBLANK(SamplingData[[#This Row],[Candidate 6]]))),(SamplingData[[#This Row],[Total]]+SamplingData[[#This Row],[Losing Candidate]]-SamplingData[[#This Row],[Candidate 6]])/(SamplingData[[#Totals],[Winning Candidate]]-SamplingData[[#Totals],[Candidate 6]]), 0)</f>
        <v>0</v>
      </c>
      <c r="V324" s="100">
        <f>IF(AND(SamplingData[[#This Row],[Total]]&lt;&gt; 0, NOT(ISBLANK(SamplingData[[#This Row],[Candidate 7]]))),(SamplingData[[#This Row],[Total]]+SamplingData[[#This Row],[Winning Candidate]]-SamplingData[[#This Row],[Candidate 7]])/(SamplingData[[#Totals],[Winning Candidate]]-SamplingData[[#Totals],[Candidate 7]]), 0)</f>
        <v>0</v>
      </c>
      <c r="W324" s="100">
        <f>IF(AND(SamplingData[[#This Row],[Total]]&lt;&gt; 0, NOT(ISBLANK(SamplingData[[#This Row],[Candidate 8]]))),(SamplingData[[#This Row],[Total]]+SamplingData[[#This Row],[Winning Candidate]]-SamplingData[[#This Row],[Candidate 8]])/(SamplingData[[#Totals],[Winning Candidate]]-SamplingData[[#Totals],[Candidate 8]]), 0)</f>
        <v>0</v>
      </c>
      <c r="X3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00">
        <f>MAX(SamplingData[[#This Row],[Error Bound (up) - Max. possible relative overstatement - Losing Candidate]:[Error Bound (up) - Max. possible relative overstatement - Candidate 12]])</f>
        <v>1.5076797436944435E-3</v>
      </c>
      <c r="AC324" s="100">
        <f>IF(SamplingData[[#This Row],[Max Error Bound (up)]] = 0,0,SamplingData[[#This Row],[Max Error Bound (up)]]/SamplingData[[#Totals],[Max Error Bound (up)]])</f>
        <v>6.4609917622355053E-4</v>
      </c>
      <c r="AD324" s="104">
        <f>SUM($AC$5:AC324)</f>
        <v>6.1190976148172121E-2</v>
      </c>
      <c r="AE324" s="100" t="str" cm="1">
        <f t="array" ref="AE324">IF(SamplingData[[#This Row],[up/U Selection Probability]] = 0, "Zero", TEXT(SamplingData[[#This Row],[Lower Range]], REPT("0",LEN('General Info'!$B$42))) &amp; " - " &amp; TEXT(SamplingData[[#This Row],[Upper Range]], REPT("0",LEN('General Info'!$B$42))))</f>
        <v>06054 - 06118</v>
      </c>
      <c r="AF324" s="100">
        <f>SamplingData[[#This Row],[Upper Range]]-SamplingData[[#This Row],[Span]]</f>
        <v>6054.487697194857</v>
      </c>
      <c r="AG324" s="100">
        <f>IF(ISNUMBER('General Info'!$B$42), ((SamplingData[[#This Row],[up/U Selection Probability]]) * 'General Info'!$B$44) - 1, 0)</f>
        <v>63.609917622355056</v>
      </c>
      <c r="AH324" s="100">
        <f>IF(ISNUMBER('General Info'!$B$42), (SamplingData[[#This Row],[Running (cumulative) sum]] * ('General Info'!$B$42 -'General Info'!$B$43 + 1)) + 'General Info'!$B$43 - 1, 0)</f>
        <v>6118.0976148172122</v>
      </c>
      <c r="AI324" s="100" t="str">
        <f>IF(ISERROR(MATCH(SamplingData[[#This Row],[Batch by Type (p)]],SelectedPrecincts[Batch Name], 0)), "", INDEX(SelectedPrecincts[Draw], MATCH(SamplingData[[#This Row],[Batch by Type (p)]],SelectedPrecincts[Batch Name], 0)))</f>
        <v/>
      </c>
      <c r="AJ324" s="101">
        <f>IF(COUNTIF(SelectedPrecincts[Batch Name],SamplingData[[#This Row],[Batch by Type (p)]]) &lt;&gt; 0, COUNTIF(SelectedPrecincts[Batch Name],SamplingData[[#This Row],[Batch by Type (p)]]), 0)</f>
        <v>0</v>
      </c>
    </row>
    <row r="325" spans="1:36" ht="15" customHeight="1" x14ac:dyDescent="0.35">
      <c r="A325" s="98" t="s">
        <v>537</v>
      </c>
      <c r="B325" s="98">
        <v>11</v>
      </c>
      <c r="C325" s="98">
        <v>2</v>
      </c>
      <c r="D325" s="93"/>
      <c r="E325" s="93"/>
      <c r="F325" s="93"/>
      <c r="G325" s="97"/>
      <c r="H325" s="97"/>
      <c r="I325" s="93"/>
      <c r="J325" s="93"/>
      <c r="K325" s="93"/>
      <c r="L325" s="93"/>
      <c r="M325" s="93"/>
      <c r="N325" s="98">
        <v>0</v>
      </c>
      <c r="O325" s="98">
        <v>0</v>
      </c>
      <c r="P325" s="99">
        <f>SUM(SamplingData[[#This Row],[Winning Candidate]:[Under Votes]])</f>
        <v>13</v>
      </c>
      <c r="Q325"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325" s="100">
        <f>IF(AND(SamplingData[[#This Row],[Total]]&lt;&gt; 0, NOT(ISBLANK(SamplingData[[#This Row],[Candidate 3]]))),(SamplingData[[#This Row],[Total]]+SamplingData[[#This Row],[Winning Candidate]]-SamplingData[[#This Row],[Candidate 3]])/(SamplingData[[#Totals],[Winning Candidate]]-SamplingData[[#Totals],[Candidate 3]]), 0)</f>
        <v>0</v>
      </c>
      <c r="S325" s="100">
        <f>IF(AND(SamplingData[[#This Row],[Total]]&lt;&gt; 0, NOT(ISBLANK(SamplingData[[#This Row],[Candidate 4]]))),(SamplingData[[#This Row],[Total]]+SamplingData[[#This Row],[Winning Candidate]]-SamplingData[[#This Row],[Candidate 4]])/(SamplingData[[#Totals],[Winning Candidate]]-SamplingData[[#Totals],[Candidate 4]]), 0)</f>
        <v>0</v>
      </c>
      <c r="T325" s="100">
        <f>IF(AND(SamplingData[[#This Row],[Total]]&lt;&gt; 0, NOT(ISBLANK(SamplingData[[#This Row],[Candidate 5]]))),(SamplingData[[#This Row],[Total]]+SamplingData[[#This Row],[Winning Candidate]]-SamplingData[[#This Row],[Candidate 5]])/(SamplingData[[#Totals],[Winning Candidate]]-SamplingData[[#Totals],[Candidate 5]]), 0)</f>
        <v>0</v>
      </c>
      <c r="U325" s="100">
        <f>IF(AND(SamplingData[[#This Row],[Total]]&lt;&gt; 0, NOT(ISBLANK(SamplingData[[#This Row],[Candidate 6]]))),(SamplingData[[#This Row],[Total]]+SamplingData[[#This Row],[Losing Candidate]]-SamplingData[[#This Row],[Candidate 6]])/(SamplingData[[#Totals],[Winning Candidate]]-SamplingData[[#Totals],[Candidate 6]]), 0)</f>
        <v>0</v>
      </c>
      <c r="V325" s="100">
        <f>IF(AND(SamplingData[[#This Row],[Total]]&lt;&gt; 0, NOT(ISBLANK(SamplingData[[#This Row],[Candidate 7]]))),(SamplingData[[#This Row],[Total]]+SamplingData[[#This Row],[Winning Candidate]]-SamplingData[[#This Row],[Candidate 7]])/(SamplingData[[#Totals],[Winning Candidate]]-SamplingData[[#Totals],[Candidate 7]]), 0)</f>
        <v>0</v>
      </c>
      <c r="W325" s="100">
        <f>IF(AND(SamplingData[[#This Row],[Total]]&lt;&gt; 0, NOT(ISBLANK(SamplingData[[#This Row],[Candidate 8]]))),(SamplingData[[#This Row],[Total]]+SamplingData[[#This Row],[Winning Candidate]]-SamplingData[[#This Row],[Candidate 8]])/(SamplingData[[#Totals],[Winning Candidate]]-SamplingData[[#Totals],[Candidate 8]]), 0)</f>
        <v>0</v>
      </c>
      <c r="X3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00">
        <f>MAX(SamplingData[[#This Row],[Error Bound (up) - Max. possible relative overstatement - Losing Candidate]:[Error Bound (up) - Max. possible relative overstatement - Candidate 12]])</f>
        <v>6.9101988252662E-4</v>
      </c>
      <c r="AC325" s="100">
        <f>IF(SamplingData[[#This Row],[Max Error Bound (up)]] = 0,0,SamplingData[[#This Row],[Max Error Bound (up)]]/SamplingData[[#Totals],[Max Error Bound (up)]])</f>
        <v>2.9612878910246067E-4</v>
      </c>
      <c r="AD325" s="104">
        <f>SUM($AC$5:AC325)</f>
        <v>6.1487104937274585E-2</v>
      </c>
      <c r="AE325" s="100" t="str" cm="1">
        <f t="array" ref="AE325">IF(SamplingData[[#This Row],[up/U Selection Probability]] = 0, "Zero", TEXT(SamplingData[[#This Row],[Lower Range]], REPT("0",LEN('General Info'!$B$42))) &amp; " - " &amp; TEXT(SamplingData[[#This Row],[Upper Range]], REPT("0",LEN('General Info'!$B$42))))</f>
        <v>06119 - 06148</v>
      </c>
      <c r="AF325" s="100">
        <f>SamplingData[[#This Row],[Upper Range]]-SamplingData[[#This Row],[Span]]</f>
        <v>6119.0976148172131</v>
      </c>
      <c r="AG325" s="100">
        <f>IF(ISNUMBER('General Info'!$B$42), ((SamplingData[[#This Row],[up/U Selection Probability]]) * 'General Info'!$B$44) - 1, 0)</f>
        <v>28.612878910246067</v>
      </c>
      <c r="AH325" s="100">
        <f>IF(ISNUMBER('General Info'!$B$42), (SamplingData[[#This Row],[Running (cumulative) sum]] * ('General Info'!$B$42 -'General Info'!$B$43 + 1)) + 'General Info'!$B$43 - 1, 0)</f>
        <v>6147.7104937274589</v>
      </c>
      <c r="AI325" s="100" t="str">
        <f>IF(ISERROR(MATCH(SamplingData[[#This Row],[Batch by Type (p)]],SelectedPrecincts[Batch Name], 0)), "", INDEX(SelectedPrecincts[Draw], MATCH(SamplingData[[#This Row],[Batch by Type (p)]],SelectedPrecincts[Batch Name], 0)))</f>
        <v/>
      </c>
      <c r="AJ325" s="101">
        <f>IF(COUNTIF(SelectedPrecincts[Batch Name],SamplingData[[#This Row],[Batch by Type (p)]]) &lt;&gt; 0, COUNTIF(SelectedPrecincts[Batch Name],SamplingData[[#This Row],[Batch by Type (p)]]), 0)</f>
        <v>0</v>
      </c>
    </row>
    <row r="326" spans="1:36" ht="15" customHeight="1" x14ac:dyDescent="0.35">
      <c r="A326" s="98" t="s">
        <v>538</v>
      </c>
      <c r="B326" s="98">
        <v>13</v>
      </c>
      <c r="C326" s="98">
        <v>2</v>
      </c>
      <c r="D326" s="93"/>
      <c r="E326" s="93"/>
      <c r="F326" s="93"/>
      <c r="G326" s="97"/>
      <c r="H326" s="97"/>
      <c r="I326" s="93"/>
      <c r="J326" s="93"/>
      <c r="K326" s="93"/>
      <c r="L326" s="93"/>
      <c r="M326" s="93"/>
      <c r="N326" s="98">
        <v>0</v>
      </c>
      <c r="O326" s="98">
        <v>1</v>
      </c>
      <c r="P326" s="99">
        <f>SUM(SamplingData[[#This Row],[Winning Candidate]:[Under Votes]])</f>
        <v>16</v>
      </c>
      <c r="Q326" s="100">
        <f>IF(AND(SamplingData[[#This Row],[Total]]&lt;&gt; 0, NOT(ISBLANK(SamplingData[[#This Row],[Losing Candidate]]))),(SamplingData[[#This Row],[Total]]+SamplingData[[#This Row],[Winning Candidate]]-SamplingData[[#This Row],[Losing Candidate]])/(SamplingData[[#Totals],[Winning Candidate]]-SamplingData[[#Totals],[Losing Candidate]]), 0)</f>
        <v>8.4806985582812453E-4</v>
      </c>
      <c r="R326" s="100">
        <f>IF(AND(SamplingData[[#This Row],[Total]]&lt;&gt; 0, NOT(ISBLANK(SamplingData[[#This Row],[Candidate 3]]))),(SamplingData[[#This Row],[Total]]+SamplingData[[#This Row],[Winning Candidate]]-SamplingData[[#This Row],[Candidate 3]])/(SamplingData[[#Totals],[Winning Candidate]]-SamplingData[[#Totals],[Candidate 3]]), 0)</f>
        <v>0</v>
      </c>
      <c r="S326" s="100">
        <f>IF(AND(SamplingData[[#This Row],[Total]]&lt;&gt; 0, NOT(ISBLANK(SamplingData[[#This Row],[Candidate 4]]))),(SamplingData[[#This Row],[Total]]+SamplingData[[#This Row],[Winning Candidate]]-SamplingData[[#This Row],[Candidate 4]])/(SamplingData[[#Totals],[Winning Candidate]]-SamplingData[[#Totals],[Candidate 4]]), 0)</f>
        <v>0</v>
      </c>
      <c r="T326" s="100">
        <f>IF(AND(SamplingData[[#This Row],[Total]]&lt;&gt; 0, NOT(ISBLANK(SamplingData[[#This Row],[Candidate 5]]))),(SamplingData[[#This Row],[Total]]+SamplingData[[#This Row],[Winning Candidate]]-SamplingData[[#This Row],[Candidate 5]])/(SamplingData[[#Totals],[Winning Candidate]]-SamplingData[[#Totals],[Candidate 5]]), 0)</f>
        <v>0</v>
      </c>
      <c r="U326" s="100">
        <f>IF(AND(SamplingData[[#This Row],[Total]]&lt;&gt; 0, NOT(ISBLANK(SamplingData[[#This Row],[Candidate 6]]))),(SamplingData[[#This Row],[Total]]+SamplingData[[#This Row],[Losing Candidate]]-SamplingData[[#This Row],[Candidate 6]])/(SamplingData[[#Totals],[Winning Candidate]]-SamplingData[[#Totals],[Candidate 6]]), 0)</f>
        <v>0</v>
      </c>
      <c r="V326" s="100">
        <f>IF(AND(SamplingData[[#This Row],[Total]]&lt;&gt; 0, NOT(ISBLANK(SamplingData[[#This Row],[Candidate 7]]))),(SamplingData[[#This Row],[Total]]+SamplingData[[#This Row],[Winning Candidate]]-SamplingData[[#This Row],[Candidate 7]])/(SamplingData[[#Totals],[Winning Candidate]]-SamplingData[[#Totals],[Candidate 7]]), 0)</f>
        <v>0</v>
      </c>
      <c r="W326" s="100">
        <f>IF(AND(SamplingData[[#This Row],[Total]]&lt;&gt; 0, NOT(ISBLANK(SamplingData[[#This Row],[Candidate 8]]))),(SamplingData[[#This Row],[Total]]+SamplingData[[#This Row],[Winning Candidate]]-SamplingData[[#This Row],[Candidate 8]])/(SamplingData[[#Totals],[Winning Candidate]]-SamplingData[[#Totals],[Candidate 8]]), 0)</f>
        <v>0</v>
      </c>
      <c r="X3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00">
        <f>MAX(SamplingData[[#This Row],[Error Bound (up) - Max. possible relative overstatement - Losing Candidate]:[Error Bound (up) - Max. possible relative overstatement - Candidate 12]])</f>
        <v>8.4806985582812453E-4</v>
      </c>
      <c r="AC326" s="100">
        <f>IF(SamplingData[[#This Row],[Max Error Bound (up)]] = 0,0,SamplingData[[#This Row],[Max Error Bound (up)]]/SamplingData[[#Totals],[Max Error Bound (up)]])</f>
        <v>3.6343078662574721E-4</v>
      </c>
      <c r="AD326" s="104">
        <f>SUM($AC$5:AC326)</f>
        <v>6.1850535723900334E-2</v>
      </c>
      <c r="AE326" s="100" t="str" cm="1">
        <f t="array" ref="AE326">IF(SamplingData[[#This Row],[up/U Selection Probability]] = 0, "Zero", TEXT(SamplingData[[#This Row],[Lower Range]], REPT("0",LEN('General Info'!$B$42))) &amp; " - " &amp; TEXT(SamplingData[[#This Row],[Upper Range]], REPT("0",LEN('General Info'!$B$42))))</f>
        <v>06149 - 06184</v>
      </c>
      <c r="AF326" s="100">
        <f>SamplingData[[#This Row],[Upper Range]]-SamplingData[[#This Row],[Span]]</f>
        <v>6148.710493727458</v>
      </c>
      <c r="AG326" s="100">
        <f>IF(ISNUMBER('General Info'!$B$42), ((SamplingData[[#This Row],[up/U Selection Probability]]) * 'General Info'!$B$44) - 1, 0)</f>
        <v>35.343078662574719</v>
      </c>
      <c r="AH326" s="100">
        <f>IF(ISNUMBER('General Info'!$B$42), (SamplingData[[#This Row],[Running (cumulative) sum]] * ('General Info'!$B$42 -'General Info'!$B$43 + 1)) + 'General Info'!$B$43 - 1, 0)</f>
        <v>6184.053572390033</v>
      </c>
      <c r="AI326" s="100" t="str">
        <f>IF(ISERROR(MATCH(SamplingData[[#This Row],[Batch by Type (p)]],SelectedPrecincts[Batch Name], 0)), "", INDEX(SelectedPrecincts[Draw], MATCH(SamplingData[[#This Row],[Batch by Type (p)]],SelectedPrecincts[Batch Name], 0)))</f>
        <v/>
      </c>
      <c r="AJ326" s="101">
        <f>IF(COUNTIF(SelectedPrecincts[Batch Name],SamplingData[[#This Row],[Batch by Type (p)]]) &lt;&gt; 0, COUNTIF(SelectedPrecincts[Batch Name],SamplingData[[#This Row],[Batch by Type (p)]]), 0)</f>
        <v>0</v>
      </c>
    </row>
    <row r="327" spans="1:36" ht="15" customHeight="1" x14ac:dyDescent="0.35">
      <c r="A327" s="98" t="s">
        <v>539</v>
      </c>
      <c r="B327" s="98">
        <v>21</v>
      </c>
      <c r="C327" s="98">
        <v>2</v>
      </c>
      <c r="D327" s="93"/>
      <c r="E327" s="93"/>
      <c r="F327" s="93"/>
      <c r="G327" s="97"/>
      <c r="H327" s="97"/>
      <c r="I327" s="93"/>
      <c r="J327" s="93"/>
      <c r="K327" s="93"/>
      <c r="L327" s="93"/>
      <c r="M327" s="93"/>
      <c r="N327" s="98">
        <v>0</v>
      </c>
      <c r="O327" s="98">
        <v>0</v>
      </c>
      <c r="P327" s="99">
        <f>SUM(SamplingData[[#This Row],[Winning Candidate]:[Under Votes]])</f>
        <v>23</v>
      </c>
      <c r="Q327"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327" s="100">
        <f>IF(AND(SamplingData[[#This Row],[Total]]&lt;&gt; 0, NOT(ISBLANK(SamplingData[[#This Row],[Candidate 3]]))),(SamplingData[[#This Row],[Total]]+SamplingData[[#This Row],[Winning Candidate]]-SamplingData[[#This Row],[Candidate 3]])/(SamplingData[[#Totals],[Winning Candidate]]-SamplingData[[#Totals],[Candidate 3]]), 0)</f>
        <v>0</v>
      </c>
      <c r="S327" s="100">
        <f>IF(AND(SamplingData[[#This Row],[Total]]&lt;&gt; 0, NOT(ISBLANK(SamplingData[[#This Row],[Candidate 4]]))),(SamplingData[[#This Row],[Total]]+SamplingData[[#This Row],[Winning Candidate]]-SamplingData[[#This Row],[Candidate 4]])/(SamplingData[[#Totals],[Winning Candidate]]-SamplingData[[#Totals],[Candidate 4]]), 0)</f>
        <v>0</v>
      </c>
      <c r="T327" s="100">
        <f>IF(AND(SamplingData[[#This Row],[Total]]&lt;&gt; 0, NOT(ISBLANK(SamplingData[[#This Row],[Candidate 5]]))),(SamplingData[[#This Row],[Total]]+SamplingData[[#This Row],[Winning Candidate]]-SamplingData[[#This Row],[Candidate 5]])/(SamplingData[[#Totals],[Winning Candidate]]-SamplingData[[#Totals],[Candidate 5]]), 0)</f>
        <v>0</v>
      </c>
      <c r="U327" s="100">
        <f>IF(AND(SamplingData[[#This Row],[Total]]&lt;&gt; 0, NOT(ISBLANK(SamplingData[[#This Row],[Candidate 6]]))),(SamplingData[[#This Row],[Total]]+SamplingData[[#This Row],[Losing Candidate]]-SamplingData[[#This Row],[Candidate 6]])/(SamplingData[[#Totals],[Winning Candidate]]-SamplingData[[#Totals],[Candidate 6]]), 0)</f>
        <v>0</v>
      </c>
      <c r="V327" s="100">
        <f>IF(AND(SamplingData[[#This Row],[Total]]&lt;&gt; 0, NOT(ISBLANK(SamplingData[[#This Row],[Candidate 7]]))),(SamplingData[[#This Row],[Total]]+SamplingData[[#This Row],[Winning Candidate]]-SamplingData[[#This Row],[Candidate 7]])/(SamplingData[[#Totals],[Winning Candidate]]-SamplingData[[#Totals],[Candidate 7]]), 0)</f>
        <v>0</v>
      </c>
      <c r="W327" s="100">
        <f>IF(AND(SamplingData[[#This Row],[Total]]&lt;&gt; 0, NOT(ISBLANK(SamplingData[[#This Row],[Candidate 8]]))),(SamplingData[[#This Row],[Total]]+SamplingData[[#This Row],[Winning Candidate]]-SamplingData[[#This Row],[Candidate 8]])/(SamplingData[[#Totals],[Winning Candidate]]-SamplingData[[#Totals],[Candidate 8]]), 0)</f>
        <v>0</v>
      </c>
      <c r="X3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00">
        <f>MAX(SamplingData[[#This Row],[Error Bound (up) - Max. possible relative overstatement - Losing Candidate]:[Error Bound (up) - Max. possible relative overstatement - Candidate 12]])</f>
        <v>1.3192197757326382E-3</v>
      </c>
      <c r="AC327" s="100">
        <f>IF(SamplingData[[#This Row],[Max Error Bound (up)]] = 0,0,SamplingData[[#This Row],[Max Error Bound (up)]]/SamplingData[[#Totals],[Max Error Bound (up)]])</f>
        <v>5.6533677919560674E-4</v>
      </c>
      <c r="AD327" s="104">
        <f>SUM($AC$5:AC327)</f>
        <v>6.2415872503095937E-2</v>
      </c>
      <c r="AE327" s="100" t="str" cm="1">
        <f t="array" ref="AE327">IF(SamplingData[[#This Row],[up/U Selection Probability]] = 0, "Zero", TEXT(SamplingData[[#This Row],[Lower Range]], REPT("0",LEN('General Info'!$B$42))) &amp; " - " &amp; TEXT(SamplingData[[#This Row],[Upper Range]], REPT("0",LEN('General Info'!$B$42))))</f>
        <v>06185 - 06241</v>
      </c>
      <c r="AF327" s="100">
        <f>SamplingData[[#This Row],[Upper Range]]-SamplingData[[#This Row],[Span]]</f>
        <v>6185.053572390033</v>
      </c>
      <c r="AG327" s="100">
        <f>IF(ISNUMBER('General Info'!$B$42), ((SamplingData[[#This Row],[up/U Selection Probability]]) * 'General Info'!$B$44) - 1, 0)</f>
        <v>55.533677919560674</v>
      </c>
      <c r="AH327" s="100">
        <f>IF(ISNUMBER('General Info'!$B$42), (SamplingData[[#This Row],[Running (cumulative) sum]] * ('General Info'!$B$42 -'General Info'!$B$43 + 1)) + 'General Info'!$B$43 - 1, 0)</f>
        <v>6240.5872503095934</v>
      </c>
      <c r="AI327" s="100" t="str">
        <f>IF(ISERROR(MATCH(SamplingData[[#This Row],[Batch by Type (p)]],SelectedPrecincts[Batch Name], 0)), "", INDEX(SelectedPrecincts[Draw], MATCH(SamplingData[[#This Row],[Batch by Type (p)]],SelectedPrecincts[Batch Name], 0)))</f>
        <v/>
      </c>
      <c r="AJ327" s="101">
        <f>IF(COUNTIF(SelectedPrecincts[Batch Name],SamplingData[[#This Row],[Batch by Type (p)]]) &lt;&gt; 0, COUNTIF(SelectedPrecincts[Batch Name],SamplingData[[#This Row],[Batch by Type (p)]]), 0)</f>
        <v>0</v>
      </c>
    </row>
    <row r="328" spans="1:36" ht="15" customHeight="1" x14ac:dyDescent="0.35">
      <c r="A328" s="98" t="s">
        <v>540</v>
      </c>
      <c r="B328" s="98">
        <v>17</v>
      </c>
      <c r="C328" s="98">
        <v>1</v>
      </c>
      <c r="D328" s="93"/>
      <c r="E328" s="93"/>
      <c r="F328" s="93"/>
      <c r="G328" s="97"/>
      <c r="H328" s="97"/>
      <c r="I328" s="93"/>
      <c r="J328" s="93"/>
      <c r="K328" s="93"/>
      <c r="L328" s="93"/>
      <c r="M328" s="93"/>
      <c r="N328" s="98">
        <v>0</v>
      </c>
      <c r="O328" s="98">
        <v>1</v>
      </c>
      <c r="P328" s="99">
        <f>SUM(SamplingData[[#This Row],[Winning Candidate]:[Under Votes]])</f>
        <v>19</v>
      </c>
      <c r="Q328" s="100">
        <f>IF(AND(SamplingData[[#This Row],[Total]]&lt;&gt; 0, NOT(ISBLANK(SamplingData[[#This Row],[Losing Candidate]]))),(SamplingData[[#This Row],[Total]]+SamplingData[[#This Row],[Winning Candidate]]-SamplingData[[#This Row],[Losing Candidate]])/(SamplingData[[#Totals],[Winning Candidate]]-SamplingData[[#Totals],[Losing Candidate]]), 0)</f>
        <v>1.0993498131105317E-3</v>
      </c>
      <c r="R328" s="100">
        <f>IF(AND(SamplingData[[#This Row],[Total]]&lt;&gt; 0, NOT(ISBLANK(SamplingData[[#This Row],[Candidate 3]]))),(SamplingData[[#This Row],[Total]]+SamplingData[[#This Row],[Winning Candidate]]-SamplingData[[#This Row],[Candidate 3]])/(SamplingData[[#Totals],[Winning Candidate]]-SamplingData[[#Totals],[Candidate 3]]), 0)</f>
        <v>0</v>
      </c>
      <c r="S328" s="100">
        <f>IF(AND(SamplingData[[#This Row],[Total]]&lt;&gt; 0, NOT(ISBLANK(SamplingData[[#This Row],[Candidate 4]]))),(SamplingData[[#This Row],[Total]]+SamplingData[[#This Row],[Winning Candidate]]-SamplingData[[#This Row],[Candidate 4]])/(SamplingData[[#Totals],[Winning Candidate]]-SamplingData[[#Totals],[Candidate 4]]), 0)</f>
        <v>0</v>
      </c>
      <c r="T328" s="100">
        <f>IF(AND(SamplingData[[#This Row],[Total]]&lt;&gt; 0, NOT(ISBLANK(SamplingData[[#This Row],[Candidate 5]]))),(SamplingData[[#This Row],[Total]]+SamplingData[[#This Row],[Winning Candidate]]-SamplingData[[#This Row],[Candidate 5]])/(SamplingData[[#Totals],[Winning Candidate]]-SamplingData[[#Totals],[Candidate 5]]), 0)</f>
        <v>0</v>
      </c>
      <c r="U328" s="100">
        <f>IF(AND(SamplingData[[#This Row],[Total]]&lt;&gt; 0, NOT(ISBLANK(SamplingData[[#This Row],[Candidate 6]]))),(SamplingData[[#This Row],[Total]]+SamplingData[[#This Row],[Losing Candidate]]-SamplingData[[#This Row],[Candidate 6]])/(SamplingData[[#Totals],[Winning Candidate]]-SamplingData[[#Totals],[Candidate 6]]), 0)</f>
        <v>0</v>
      </c>
      <c r="V328" s="100">
        <f>IF(AND(SamplingData[[#This Row],[Total]]&lt;&gt; 0, NOT(ISBLANK(SamplingData[[#This Row],[Candidate 7]]))),(SamplingData[[#This Row],[Total]]+SamplingData[[#This Row],[Winning Candidate]]-SamplingData[[#This Row],[Candidate 7]])/(SamplingData[[#Totals],[Winning Candidate]]-SamplingData[[#Totals],[Candidate 7]]), 0)</f>
        <v>0</v>
      </c>
      <c r="W328" s="100">
        <f>IF(AND(SamplingData[[#This Row],[Total]]&lt;&gt; 0, NOT(ISBLANK(SamplingData[[#This Row],[Candidate 8]]))),(SamplingData[[#This Row],[Total]]+SamplingData[[#This Row],[Winning Candidate]]-SamplingData[[#This Row],[Candidate 8]])/(SamplingData[[#Totals],[Winning Candidate]]-SamplingData[[#Totals],[Candidate 8]]), 0)</f>
        <v>0</v>
      </c>
      <c r="X3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00">
        <f>MAX(SamplingData[[#This Row],[Error Bound (up) - Max. possible relative overstatement - Losing Candidate]:[Error Bound (up) - Max. possible relative overstatement - Candidate 12]])</f>
        <v>1.0993498131105317E-3</v>
      </c>
      <c r="AC328" s="100">
        <f>IF(SamplingData[[#This Row],[Max Error Bound (up)]] = 0,0,SamplingData[[#This Row],[Max Error Bound (up)]]/SamplingData[[#Totals],[Max Error Bound (up)]])</f>
        <v>4.711139826630056E-4</v>
      </c>
      <c r="AD328" s="104">
        <f>SUM($AC$5:AC328)</f>
        <v>6.2886986485758939E-2</v>
      </c>
      <c r="AE328" s="100" t="str" cm="1">
        <f t="array" ref="AE328">IF(SamplingData[[#This Row],[up/U Selection Probability]] = 0, "Zero", TEXT(SamplingData[[#This Row],[Lower Range]], REPT("0",LEN('General Info'!$B$42))) &amp; " - " &amp; TEXT(SamplingData[[#This Row],[Upper Range]], REPT("0",LEN('General Info'!$B$42))))</f>
        <v>06242 - 06288</v>
      </c>
      <c r="AF328" s="100">
        <f>SamplingData[[#This Row],[Upper Range]]-SamplingData[[#This Row],[Span]]</f>
        <v>6241.5872503095925</v>
      </c>
      <c r="AG328" s="100">
        <f>IF(ISNUMBER('General Info'!$B$42), ((SamplingData[[#This Row],[up/U Selection Probability]]) * 'General Info'!$B$44) - 1, 0)</f>
        <v>46.111398266300561</v>
      </c>
      <c r="AH328" s="100">
        <f>IF(ISNUMBER('General Info'!$B$42), (SamplingData[[#This Row],[Running (cumulative) sum]] * ('General Info'!$B$42 -'General Info'!$B$43 + 1)) + 'General Info'!$B$43 - 1, 0)</f>
        <v>6287.6986485758935</v>
      </c>
      <c r="AI328" s="100">
        <f>IF(ISERROR(MATCH(SamplingData[[#This Row],[Batch by Type (p)]],SelectedPrecincts[Batch Name], 0)), "", INDEX(SelectedPrecincts[Draw], MATCH(SamplingData[[#This Row],[Batch by Type (p)]],SelectedPrecincts[Batch Name], 0)))</f>
        <v>3</v>
      </c>
      <c r="AJ328" s="101">
        <f>IF(COUNTIF(SelectedPrecincts[Batch Name],SamplingData[[#This Row],[Batch by Type (p)]]) &lt;&gt; 0, COUNTIF(SelectedPrecincts[Batch Name],SamplingData[[#This Row],[Batch by Type (p)]]), 0)</f>
        <v>1</v>
      </c>
    </row>
    <row r="329" spans="1:36" ht="15" customHeight="1" x14ac:dyDescent="0.35">
      <c r="A329" s="98" t="s">
        <v>541</v>
      </c>
      <c r="B329" s="98">
        <v>23</v>
      </c>
      <c r="C329" s="98">
        <v>2</v>
      </c>
      <c r="D329" s="93"/>
      <c r="E329" s="93"/>
      <c r="F329" s="93"/>
      <c r="G329" s="97"/>
      <c r="H329" s="97"/>
      <c r="I329" s="93"/>
      <c r="J329" s="93"/>
      <c r="K329" s="93"/>
      <c r="L329" s="93"/>
      <c r="M329" s="93"/>
      <c r="N329" s="98">
        <v>0</v>
      </c>
      <c r="O329" s="98">
        <v>0</v>
      </c>
      <c r="P329" s="99">
        <f>SUM(SamplingData[[#This Row],[Winning Candidate]:[Under Votes]])</f>
        <v>25</v>
      </c>
      <c r="Q329" s="100">
        <f>IF(AND(SamplingData[[#This Row],[Total]]&lt;&gt; 0, NOT(ISBLANK(SamplingData[[#This Row],[Losing Candidate]]))),(SamplingData[[#This Row],[Total]]+SamplingData[[#This Row],[Winning Candidate]]-SamplingData[[#This Row],[Losing Candidate]])/(SamplingData[[#Totals],[Winning Candidate]]-SamplingData[[#Totals],[Losing Candidate]]), 0)</f>
        <v>1.4448597543738418E-3</v>
      </c>
      <c r="R329" s="100">
        <f>IF(AND(SamplingData[[#This Row],[Total]]&lt;&gt; 0, NOT(ISBLANK(SamplingData[[#This Row],[Candidate 3]]))),(SamplingData[[#This Row],[Total]]+SamplingData[[#This Row],[Winning Candidate]]-SamplingData[[#This Row],[Candidate 3]])/(SamplingData[[#Totals],[Winning Candidate]]-SamplingData[[#Totals],[Candidate 3]]), 0)</f>
        <v>0</v>
      </c>
      <c r="S329" s="100">
        <f>IF(AND(SamplingData[[#This Row],[Total]]&lt;&gt; 0, NOT(ISBLANK(SamplingData[[#This Row],[Candidate 4]]))),(SamplingData[[#This Row],[Total]]+SamplingData[[#This Row],[Winning Candidate]]-SamplingData[[#This Row],[Candidate 4]])/(SamplingData[[#Totals],[Winning Candidate]]-SamplingData[[#Totals],[Candidate 4]]), 0)</f>
        <v>0</v>
      </c>
      <c r="T329" s="100">
        <f>IF(AND(SamplingData[[#This Row],[Total]]&lt;&gt; 0, NOT(ISBLANK(SamplingData[[#This Row],[Candidate 5]]))),(SamplingData[[#This Row],[Total]]+SamplingData[[#This Row],[Winning Candidate]]-SamplingData[[#This Row],[Candidate 5]])/(SamplingData[[#Totals],[Winning Candidate]]-SamplingData[[#Totals],[Candidate 5]]), 0)</f>
        <v>0</v>
      </c>
      <c r="U329" s="100">
        <f>IF(AND(SamplingData[[#This Row],[Total]]&lt;&gt; 0, NOT(ISBLANK(SamplingData[[#This Row],[Candidate 6]]))),(SamplingData[[#This Row],[Total]]+SamplingData[[#This Row],[Losing Candidate]]-SamplingData[[#This Row],[Candidate 6]])/(SamplingData[[#Totals],[Winning Candidate]]-SamplingData[[#Totals],[Candidate 6]]), 0)</f>
        <v>0</v>
      </c>
      <c r="V329" s="100">
        <f>IF(AND(SamplingData[[#This Row],[Total]]&lt;&gt; 0, NOT(ISBLANK(SamplingData[[#This Row],[Candidate 7]]))),(SamplingData[[#This Row],[Total]]+SamplingData[[#This Row],[Winning Candidate]]-SamplingData[[#This Row],[Candidate 7]])/(SamplingData[[#Totals],[Winning Candidate]]-SamplingData[[#Totals],[Candidate 7]]), 0)</f>
        <v>0</v>
      </c>
      <c r="W329" s="100">
        <f>IF(AND(SamplingData[[#This Row],[Total]]&lt;&gt; 0, NOT(ISBLANK(SamplingData[[#This Row],[Candidate 8]]))),(SamplingData[[#This Row],[Total]]+SamplingData[[#This Row],[Winning Candidate]]-SamplingData[[#This Row],[Candidate 8]])/(SamplingData[[#Totals],[Winning Candidate]]-SamplingData[[#Totals],[Candidate 8]]), 0)</f>
        <v>0</v>
      </c>
      <c r="X3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00">
        <f>MAX(SamplingData[[#This Row],[Error Bound (up) - Max. possible relative overstatement - Losing Candidate]:[Error Bound (up) - Max. possible relative overstatement - Candidate 12]])</f>
        <v>1.4448597543738418E-3</v>
      </c>
      <c r="AC329" s="100">
        <f>IF(SamplingData[[#This Row],[Max Error Bound (up)]] = 0,0,SamplingData[[#This Row],[Max Error Bound (up)]]/SamplingData[[#Totals],[Max Error Bound (up)]])</f>
        <v>6.1917837721423593E-4</v>
      </c>
      <c r="AD329" s="104">
        <f>SUM($AC$5:AC329)</f>
        <v>6.3506164862973169E-2</v>
      </c>
      <c r="AE329" s="100" t="str" cm="1">
        <f t="array" ref="AE329">IF(SamplingData[[#This Row],[up/U Selection Probability]] = 0, "Zero", TEXT(SamplingData[[#This Row],[Lower Range]], REPT("0",LEN('General Info'!$B$42))) &amp; " - " &amp; TEXT(SamplingData[[#This Row],[Upper Range]], REPT("0",LEN('General Info'!$B$42))))</f>
        <v>06289 - 06350</v>
      </c>
      <c r="AF329" s="100">
        <f>SamplingData[[#This Row],[Upper Range]]-SamplingData[[#This Row],[Span]]</f>
        <v>6288.6986485758935</v>
      </c>
      <c r="AG329" s="100">
        <f>IF(ISNUMBER('General Info'!$B$42), ((SamplingData[[#This Row],[up/U Selection Probability]]) * 'General Info'!$B$44) - 1, 0)</f>
        <v>60.917837721423595</v>
      </c>
      <c r="AH329" s="100">
        <f>IF(ISNUMBER('General Info'!$B$42), (SamplingData[[#This Row],[Running (cumulative) sum]] * ('General Info'!$B$42 -'General Info'!$B$43 + 1)) + 'General Info'!$B$43 - 1, 0)</f>
        <v>6349.6164862973174</v>
      </c>
      <c r="AI329" s="100" t="str">
        <f>IF(ISERROR(MATCH(SamplingData[[#This Row],[Batch by Type (p)]],SelectedPrecincts[Batch Name], 0)), "", INDEX(SelectedPrecincts[Draw], MATCH(SamplingData[[#This Row],[Batch by Type (p)]],SelectedPrecincts[Batch Name], 0)))</f>
        <v/>
      </c>
      <c r="AJ329" s="101">
        <f>IF(COUNTIF(SelectedPrecincts[Batch Name],SamplingData[[#This Row],[Batch by Type (p)]]) &lt;&gt; 0, COUNTIF(SelectedPrecincts[Batch Name],SamplingData[[#This Row],[Batch by Type (p)]]), 0)</f>
        <v>0</v>
      </c>
    </row>
    <row r="330" spans="1:36" ht="15" customHeight="1" x14ac:dyDescent="0.35">
      <c r="A330" s="98" t="s">
        <v>542</v>
      </c>
      <c r="B330" s="98">
        <v>11</v>
      </c>
      <c r="C330" s="98">
        <v>4</v>
      </c>
      <c r="D330" s="93"/>
      <c r="E330" s="93"/>
      <c r="F330" s="93"/>
      <c r="G330" s="97"/>
      <c r="H330" s="97"/>
      <c r="I330" s="93"/>
      <c r="J330" s="93"/>
      <c r="K330" s="93"/>
      <c r="L330" s="93"/>
      <c r="M330" s="93"/>
      <c r="N330" s="98">
        <v>0</v>
      </c>
      <c r="O330" s="98">
        <v>1</v>
      </c>
      <c r="P330" s="99">
        <f>SUM(SamplingData[[#This Row],[Winning Candidate]:[Under Votes]])</f>
        <v>16</v>
      </c>
      <c r="Q330" s="100">
        <f>IF(AND(SamplingData[[#This Row],[Total]]&lt;&gt; 0, NOT(ISBLANK(SamplingData[[#This Row],[Losing Candidate]]))),(SamplingData[[#This Row],[Total]]+SamplingData[[#This Row],[Winning Candidate]]-SamplingData[[#This Row],[Losing Candidate]])/(SamplingData[[#Totals],[Winning Candidate]]-SamplingData[[#Totals],[Losing Candidate]]), 0)</f>
        <v>7.2242987718692088E-4</v>
      </c>
      <c r="R330" s="100">
        <f>IF(AND(SamplingData[[#This Row],[Total]]&lt;&gt; 0, NOT(ISBLANK(SamplingData[[#This Row],[Candidate 3]]))),(SamplingData[[#This Row],[Total]]+SamplingData[[#This Row],[Winning Candidate]]-SamplingData[[#This Row],[Candidate 3]])/(SamplingData[[#Totals],[Winning Candidate]]-SamplingData[[#Totals],[Candidate 3]]), 0)</f>
        <v>0</v>
      </c>
      <c r="S330" s="100">
        <f>IF(AND(SamplingData[[#This Row],[Total]]&lt;&gt; 0, NOT(ISBLANK(SamplingData[[#This Row],[Candidate 4]]))),(SamplingData[[#This Row],[Total]]+SamplingData[[#This Row],[Winning Candidate]]-SamplingData[[#This Row],[Candidate 4]])/(SamplingData[[#Totals],[Winning Candidate]]-SamplingData[[#Totals],[Candidate 4]]), 0)</f>
        <v>0</v>
      </c>
      <c r="T330" s="100">
        <f>IF(AND(SamplingData[[#This Row],[Total]]&lt;&gt; 0, NOT(ISBLANK(SamplingData[[#This Row],[Candidate 5]]))),(SamplingData[[#This Row],[Total]]+SamplingData[[#This Row],[Winning Candidate]]-SamplingData[[#This Row],[Candidate 5]])/(SamplingData[[#Totals],[Winning Candidate]]-SamplingData[[#Totals],[Candidate 5]]), 0)</f>
        <v>0</v>
      </c>
      <c r="U330" s="100">
        <f>IF(AND(SamplingData[[#This Row],[Total]]&lt;&gt; 0, NOT(ISBLANK(SamplingData[[#This Row],[Candidate 6]]))),(SamplingData[[#This Row],[Total]]+SamplingData[[#This Row],[Losing Candidate]]-SamplingData[[#This Row],[Candidate 6]])/(SamplingData[[#Totals],[Winning Candidate]]-SamplingData[[#Totals],[Candidate 6]]), 0)</f>
        <v>0</v>
      </c>
      <c r="V330" s="100">
        <f>IF(AND(SamplingData[[#This Row],[Total]]&lt;&gt; 0, NOT(ISBLANK(SamplingData[[#This Row],[Candidate 7]]))),(SamplingData[[#This Row],[Total]]+SamplingData[[#This Row],[Winning Candidate]]-SamplingData[[#This Row],[Candidate 7]])/(SamplingData[[#Totals],[Winning Candidate]]-SamplingData[[#Totals],[Candidate 7]]), 0)</f>
        <v>0</v>
      </c>
      <c r="W330" s="100">
        <f>IF(AND(SamplingData[[#This Row],[Total]]&lt;&gt; 0, NOT(ISBLANK(SamplingData[[#This Row],[Candidate 8]]))),(SamplingData[[#This Row],[Total]]+SamplingData[[#This Row],[Winning Candidate]]-SamplingData[[#This Row],[Candidate 8]])/(SamplingData[[#Totals],[Winning Candidate]]-SamplingData[[#Totals],[Candidate 8]]), 0)</f>
        <v>0</v>
      </c>
      <c r="X3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00">
        <f>MAX(SamplingData[[#This Row],[Error Bound (up) - Max. possible relative overstatement - Losing Candidate]:[Error Bound (up) - Max. possible relative overstatement - Candidate 12]])</f>
        <v>7.2242987718692088E-4</v>
      </c>
      <c r="AC330" s="100">
        <f>IF(SamplingData[[#This Row],[Max Error Bound (up)]] = 0,0,SamplingData[[#This Row],[Max Error Bound (up)]]/SamplingData[[#Totals],[Max Error Bound (up)]])</f>
        <v>3.0958918860711797E-4</v>
      </c>
      <c r="AD330" s="104">
        <f>SUM($AC$5:AC330)</f>
        <v>6.3815754051580284E-2</v>
      </c>
      <c r="AE330" s="100" t="str" cm="1">
        <f t="array" ref="AE330">IF(SamplingData[[#This Row],[up/U Selection Probability]] = 0, "Zero", TEXT(SamplingData[[#This Row],[Lower Range]], REPT("0",LEN('General Info'!$B$42))) &amp; " - " &amp; TEXT(SamplingData[[#This Row],[Upper Range]], REPT("0",LEN('General Info'!$B$42))))</f>
        <v>06351 - 06381</v>
      </c>
      <c r="AF330" s="100">
        <f>SamplingData[[#This Row],[Upper Range]]-SamplingData[[#This Row],[Span]]</f>
        <v>6350.6164862973174</v>
      </c>
      <c r="AG330" s="100">
        <f>IF(ISNUMBER('General Info'!$B$42), ((SamplingData[[#This Row],[up/U Selection Probability]]) * 'General Info'!$B$44) - 1, 0)</f>
        <v>29.958918860711798</v>
      </c>
      <c r="AH330" s="100">
        <f>IF(ISNUMBER('General Info'!$B$42), (SamplingData[[#This Row],[Running (cumulative) sum]] * ('General Info'!$B$42 -'General Info'!$B$43 + 1)) + 'General Info'!$B$43 - 1, 0)</f>
        <v>6380.5754051580288</v>
      </c>
      <c r="AI330" s="100" t="str">
        <f>IF(ISERROR(MATCH(SamplingData[[#This Row],[Batch by Type (p)]],SelectedPrecincts[Batch Name], 0)), "", INDEX(SelectedPrecincts[Draw], MATCH(SamplingData[[#This Row],[Batch by Type (p)]],SelectedPrecincts[Batch Name], 0)))</f>
        <v/>
      </c>
      <c r="AJ330" s="101">
        <f>IF(COUNTIF(SelectedPrecincts[Batch Name],SamplingData[[#This Row],[Batch by Type (p)]]) &lt;&gt; 0, COUNTIF(SelectedPrecincts[Batch Name],SamplingData[[#This Row],[Batch by Type (p)]]), 0)</f>
        <v>0</v>
      </c>
    </row>
    <row r="331" spans="1:36" ht="15" customHeight="1" x14ac:dyDescent="0.35">
      <c r="A331" s="98" t="s">
        <v>543</v>
      </c>
      <c r="B331" s="98">
        <v>11</v>
      </c>
      <c r="C331" s="98">
        <v>2</v>
      </c>
      <c r="D331" s="93"/>
      <c r="E331" s="93"/>
      <c r="F331" s="93"/>
      <c r="G331" s="97"/>
      <c r="H331" s="97"/>
      <c r="I331" s="93"/>
      <c r="J331" s="93"/>
      <c r="K331" s="93"/>
      <c r="L331" s="93"/>
      <c r="M331" s="93"/>
      <c r="N331" s="98">
        <v>0</v>
      </c>
      <c r="O331" s="98">
        <v>0</v>
      </c>
      <c r="P331" s="99">
        <f>SUM(SamplingData[[#This Row],[Winning Candidate]:[Under Votes]])</f>
        <v>13</v>
      </c>
      <c r="Q331"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331" s="100">
        <f>IF(AND(SamplingData[[#This Row],[Total]]&lt;&gt; 0, NOT(ISBLANK(SamplingData[[#This Row],[Candidate 3]]))),(SamplingData[[#This Row],[Total]]+SamplingData[[#This Row],[Winning Candidate]]-SamplingData[[#This Row],[Candidate 3]])/(SamplingData[[#Totals],[Winning Candidate]]-SamplingData[[#Totals],[Candidate 3]]), 0)</f>
        <v>0</v>
      </c>
      <c r="S331" s="100">
        <f>IF(AND(SamplingData[[#This Row],[Total]]&lt;&gt; 0, NOT(ISBLANK(SamplingData[[#This Row],[Candidate 4]]))),(SamplingData[[#This Row],[Total]]+SamplingData[[#This Row],[Winning Candidate]]-SamplingData[[#This Row],[Candidate 4]])/(SamplingData[[#Totals],[Winning Candidate]]-SamplingData[[#Totals],[Candidate 4]]), 0)</f>
        <v>0</v>
      </c>
      <c r="T331" s="100">
        <f>IF(AND(SamplingData[[#This Row],[Total]]&lt;&gt; 0, NOT(ISBLANK(SamplingData[[#This Row],[Candidate 5]]))),(SamplingData[[#This Row],[Total]]+SamplingData[[#This Row],[Winning Candidate]]-SamplingData[[#This Row],[Candidate 5]])/(SamplingData[[#Totals],[Winning Candidate]]-SamplingData[[#Totals],[Candidate 5]]), 0)</f>
        <v>0</v>
      </c>
      <c r="U331" s="100">
        <f>IF(AND(SamplingData[[#This Row],[Total]]&lt;&gt; 0, NOT(ISBLANK(SamplingData[[#This Row],[Candidate 6]]))),(SamplingData[[#This Row],[Total]]+SamplingData[[#This Row],[Losing Candidate]]-SamplingData[[#This Row],[Candidate 6]])/(SamplingData[[#Totals],[Winning Candidate]]-SamplingData[[#Totals],[Candidate 6]]), 0)</f>
        <v>0</v>
      </c>
      <c r="V331" s="100">
        <f>IF(AND(SamplingData[[#This Row],[Total]]&lt;&gt; 0, NOT(ISBLANK(SamplingData[[#This Row],[Candidate 7]]))),(SamplingData[[#This Row],[Total]]+SamplingData[[#This Row],[Winning Candidate]]-SamplingData[[#This Row],[Candidate 7]])/(SamplingData[[#Totals],[Winning Candidate]]-SamplingData[[#Totals],[Candidate 7]]), 0)</f>
        <v>0</v>
      </c>
      <c r="W331" s="100">
        <f>IF(AND(SamplingData[[#This Row],[Total]]&lt;&gt; 0, NOT(ISBLANK(SamplingData[[#This Row],[Candidate 8]]))),(SamplingData[[#This Row],[Total]]+SamplingData[[#This Row],[Winning Candidate]]-SamplingData[[#This Row],[Candidate 8]])/(SamplingData[[#Totals],[Winning Candidate]]-SamplingData[[#Totals],[Candidate 8]]), 0)</f>
        <v>0</v>
      </c>
      <c r="X3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00">
        <f>MAX(SamplingData[[#This Row],[Error Bound (up) - Max. possible relative overstatement - Losing Candidate]:[Error Bound (up) - Max. possible relative overstatement - Candidate 12]])</f>
        <v>6.9101988252662E-4</v>
      </c>
      <c r="AC331" s="100">
        <f>IF(SamplingData[[#This Row],[Max Error Bound (up)]] = 0,0,SamplingData[[#This Row],[Max Error Bound (up)]]/SamplingData[[#Totals],[Max Error Bound (up)]])</f>
        <v>2.9612878910246067E-4</v>
      </c>
      <c r="AD331" s="104">
        <f>SUM($AC$5:AC331)</f>
        <v>6.4111882840682741E-2</v>
      </c>
      <c r="AE331" s="100" t="str" cm="1">
        <f t="array" ref="AE331">IF(SamplingData[[#This Row],[up/U Selection Probability]] = 0, "Zero", TEXT(SamplingData[[#This Row],[Lower Range]], REPT("0",LEN('General Info'!$B$42))) &amp; " - " &amp; TEXT(SamplingData[[#This Row],[Upper Range]], REPT("0",LEN('General Info'!$B$42))))</f>
        <v>06382 - 06410</v>
      </c>
      <c r="AF331" s="100">
        <f>SamplingData[[#This Row],[Upper Range]]-SamplingData[[#This Row],[Span]]</f>
        <v>6381.5754051580279</v>
      </c>
      <c r="AG331" s="100">
        <f>IF(ISNUMBER('General Info'!$B$42), ((SamplingData[[#This Row],[up/U Selection Probability]]) * 'General Info'!$B$44) - 1, 0)</f>
        <v>28.612878910246067</v>
      </c>
      <c r="AH331" s="100">
        <f>IF(ISNUMBER('General Info'!$B$42), (SamplingData[[#This Row],[Running (cumulative) sum]] * ('General Info'!$B$42 -'General Info'!$B$43 + 1)) + 'General Info'!$B$43 - 1, 0)</f>
        <v>6410.1882840682738</v>
      </c>
      <c r="AI331" s="100" t="str">
        <f>IF(ISERROR(MATCH(SamplingData[[#This Row],[Batch by Type (p)]],SelectedPrecincts[Batch Name], 0)), "", INDEX(SelectedPrecincts[Draw], MATCH(SamplingData[[#This Row],[Batch by Type (p)]],SelectedPrecincts[Batch Name], 0)))</f>
        <v/>
      </c>
      <c r="AJ331" s="101">
        <f>IF(COUNTIF(SelectedPrecincts[Batch Name],SamplingData[[#This Row],[Batch by Type (p)]]) &lt;&gt; 0, COUNTIF(SelectedPrecincts[Batch Name],SamplingData[[#This Row],[Batch by Type (p)]]), 0)</f>
        <v>0</v>
      </c>
    </row>
    <row r="332" spans="1:36" ht="15" customHeight="1" x14ac:dyDescent="0.35">
      <c r="A332" s="98" t="s">
        <v>544</v>
      </c>
      <c r="B332" s="98">
        <v>6</v>
      </c>
      <c r="C332" s="98">
        <v>0</v>
      </c>
      <c r="D332" s="93"/>
      <c r="E332" s="93"/>
      <c r="F332" s="93"/>
      <c r="G332" s="97"/>
      <c r="H332" s="97"/>
      <c r="I332" s="93"/>
      <c r="J332" s="93"/>
      <c r="K332" s="93"/>
      <c r="L332" s="93"/>
      <c r="M332" s="93"/>
      <c r="N332" s="98">
        <v>0</v>
      </c>
      <c r="O332" s="98">
        <v>0</v>
      </c>
      <c r="P332" s="99">
        <f>SUM(SamplingData[[#This Row],[Winning Candidate]:[Under Votes]])</f>
        <v>6</v>
      </c>
      <c r="Q332"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332" s="100">
        <f>IF(AND(SamplingData[[#This Row],[Total]]&lt;&gt; 0, NOT(ISBLANK(SamplingData[[#This Row],[Candidate 3]]))),(SamplingData[[#This Row],[Total]]+SamplingData[[#This Row],[Winning Candidate]]-SamplingData[[#This Row],[Candidate 3]])/(SamplingData[[#Totals],[Winning Candidate]]-SamplingData[[#Totals],[Candidate 3]]), 0)</f>
        <v>0</v>
      </c>
      <c r="S332" s="100">
        <f>IF(AND(SamplingData[[#This Row],[Total]]&lt;&gt; 0, NOT(ISBLANK(SamplingData[[#This Row],[Candidate 4]]))),(SamplingData[[#This Row],[Total]]+SamplingData[[#This Row],[Winning Candidate]]-SamplingData[[#This Row],[Candidate 4]])/(SamplingData[[#Totals],[Winning Candidate]]-SamplingData[[#Totals],[Candidate 4]]), 0)</f>
        <v>0</v>
      </c>
      <c r="T332" s="100">
        <f>IF(AND(SamplingData[[#This Row],[Total]]&lt;&gt; 0, NOT(ISBLANK(SamplingData[[#This Row],[Candidate 5]]))),(SamplingData[[#This Row],[Total]]+SamplingData[[#This Row],[Winning Candidate]]-SamplingData[[#This Row],[Candidate 5]])/(SamplingData[[#Totals],[Winning Candidate]]-SamplingData[[#Totals],[Candidate 5]]), 0)</f>
        <v>0</v>
      </c>
      <c r="U332" s="100">
        <f>IF(AND(SamplingData[[#This Row],[Total]]&lt;&gt; 0, NOT(ISBLANK(SamplingData[[#This Row],[Candidate 6]]))),(SamplingData[[#This Row],[Total]]+SamplingData[[#This Row],[Losing Candidate]]-SamplingData[[#This Row],[Candidate 6]])/(SamplingData[[#Totals],[Winning Candidate]]-SamplingData[[#Totals],[Candidate 6]]), 0)</f>
        <v>0</v>
      </c>
      <c r="V332" s="100">
        <f>IF(AND(SamplingData[[#This Row],[Total]]&lt;&gt; 0, NOT(ISBLANK(SamplingData[[#This Row],[Candidate 7]]))),(SamplingData[[#This Row],[Total]]+SamplingData[[#This Row],[Winning Candidate]]-SamplingData[[#This Row],[Candidate 7]])/(SamplingData[[#Totals],[Winning Candidate]]-SamplingData[[#Totals],[Candidate 7]]), 0)</f>
        <v>0</v>
      </c>
      <c r="W332" s="100">
        <f>IF(AND(SamplingData[[#This Row],[Total]]&lt;&gt; 0, NOT(ISBLANK(SamplingData[[#This Row],[Candidate 8]]))),(SamplingData[[#This Row],[Total]]+SamplingData[[#This Row],[Winning Candidate]]-SamplingData[[#This Row],[Candidate 8]])/(SamplingData[[#Totals],[Winning Candidate]]-SamplingData[[#Totals],[Candidate 8]]), 0)</f>
        <v>0</v>
      </c>
      <c r="X3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00">
        <f>MAX(SamplingData[[#This Row],[Error Bound (up) - Max. possible relative overstatement - Losing Candidate]:[Error Bound (up) - Max. possible relative overstatement - Candidate 12]])</f>
        <v>3.7691993592361088E-4</v>
      </c>
      <c r="AC332" s="100">
        <f>IF(SamplingData[[#This Row],[Max Error Bound (up)]] = 0,0,SamplingData[[#This Row],[Max Error Bound (up)]]/SamplingData[[#Totals],[Max Error Bound (up)]])</f>
        <v>1.6152479405588763E-4</v>
      </c>
      <c r="AD332" s="104">
        <f>SUM($AC$5:AC332)</f>
        <v>6.4273407634738627E-2</v>
      </c>
      <c r="AE332" s="100" t="str" cm="1">
        <f t="array" ref="AE332">IF(SamplingData[[#This Row],[up/U Selection Probability]] = 0, "Zero", TEXT(SamplingData[[#This Row],[Lower Range]], REPT("0",LEN('General Info'!$B$42))) &amp; " - " &amp; TEXT(SamplingData[[#This Row],[Upper Range]], REPT("0",LEN('General Info'!$B$42))))</f>
        <v>06411 - 06426</v>
      </c>
      <c r="AF332" s="100">
        <f>SamplingData[[#This Row],[Upper Range]]-SamplingData[[#This Row],[Span]]</f>
        <v>6411.1882840682738</v>
      </c>
      <c r="AG332" s="100">
        <f>IF(ISNUMBER('General Info'!$B$42), ((SamplingData[[#This Row],[up/U Selection Probability]]) * 'General Info'!$B$44) - 1, 0)</f>
        <v>15.152479405588764</v>
      </c>
      <c r="AH332" s="100">
        <f>IF(ISNUMBER('General Info'!$B$42), (SamplingData[[#This Row],[Running (cumulative) sum]] * ('General Info'!$B$42 -'General Info'!$B$43 + 1)) + 'General Info'!$B$43 - 1, 0)</f>
        <v>6426.3407634738624</v>
      </c>
      <c r="AI332" s="100" t="str">
        <f>IF(ISERROR(MATCH(SamplingData[[#This Row],[Batch by Type (p)]],SelectedPrecincts[Batch Name], 0)), "", INDEX(SelectedPrecincts[Draw], MATCH(SamplingData[[#This Row],[Batch by Type (p)]],SelectedPrecincts[Batch Name], 0)))</f>
        <v/>
      </c>
      <c r="AJ332" s="101">
        <f>IF(COUNTIF(SelectedPrecincts[Batch Name],SamplingData[[#This Row],[Batch by Type (p)]]) &lt;&gt; 0, COUNTIF(SelectedPrecincts[Batch Name],SamplingData[[#This Row],[Batch by Type (p)]]), 0)</f>
        <v>0</v>
      </c>
    </row>
    <row r="333" spans="1:36" ht="15" customHeight="1" x14ac:dyDescent="0.35">
      <c r="A333" s="98" t="s">
        <v>545</v>
      </c>
      <c r="B333" s="98">
        <v>17</v>
      </c>
      <c r="C333" s="98">
        <v>0</v>
      </c>
      <c r="D333" s="93"/>
      <c r="E333" s="93"/>
      <c r="F333" s="93"/>
      <c r="G333" s="97"/>
      <c r="H333" s="97"/>
      <c r="I333" s="93"/>
      <c r="J333" s="93"/>
      <c r="K333" s="93"/>
      <c r="L333" s="93"/>
      <c r="M333" s="93"/>
      <c r="N333" s="98">
        <v>0</v>
      </c>
      <c r="O333" s="98">
        <v>0</v>
      </c>
      <c r="P333" s="99">
        <f>SUM(SamplingData[[#This Row],[Winning Candidate]:[Under Votes]])</f>
        <v>17</v>
      </c>
      <c r="Q333"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333" s="100">
        <f>IF(AND(SamplingData[[#This Row],[Total]]&lt;&gt; 0, NOT(ISBLANK(SamplingData[[#This Row],[Candidate 3]]))),(SamplingData[[#This Row],[Total]]+SamplingData[[#This Row],[Winning Candidate]]-SamplingData[[#This Row],[Candidate 3]])/(SamplingData[[#Totals],[Winning Candidate]]-SamplingData[[#Totals],[Candidate 3]]), 0)</f>
        <v>0</v>
      </c>
      <c r="S333" s="100">
        <f>IF(AND(SamplingData[[#This Row],[Total]]&lt;&gt; 0, NOT(ISBLANK(SamplingData[[#This Row],[Candidate 4]]))),(SamplingData[[#This Row],[Total]]+SamplingData[[#This Row],[Winning Candidate]]-SamplingData[[#This Row],[Candidate 4]])/(SamplingData[[#Totals],[Winning Candidate]]-SamplingData[[#Totals],[Candidate 4]]), 0)</f>
        <v>0</v>
      </c>
      <c r="T333" s="100">
        <f>IF(AND(SamplingData[[#This Row],[Total]]&lt;&gt; 0, NOT(ISBLANK(SamplingData[[#This Row],[Candidate 5]]))),(SamplingData[[#This Row],[Total]]+SamplingData[[#This Row],[Winning Candidate]]-SamplingData[[#This Row],[Candidate 5]])/(SamplingData[[#Totals],[Winning Candidate]]-SamplingData[[#Totals],[Candidate 5]]), 0)</f>
        <v>0</v>
      </c>
      <c r="U333" s="100">
        <f>IF(AND(SamplingData[[#This Row],[Total]]&lt;&gt; 0, NOT(ISBLANK(SamplingData[[#This Row],[Candidate 6]]))),(SamplingData[[#This Row],[Total]]+SamplingData[[#This Row],[Losing Candidate]]-SamplingData[[#This Row],[Candidate 6]])/(SamplingData[[#Totals],[Winning Candidate]]-SamplingData[[#Totals],[Candidate 6]]), 0)</f>
        <v>0</v>
      </c>
      <c r="V333" s="100">
        <f>IF(AND(SamplingData[[#This Row],[Total]]&lt;&gt; 0, NOT(ISBLANK(SamplingData[[#This Row],[Candidate 7]]))),(SamplingData[[#This Row],[Total]]+SamplingData[[#This Row],[Winning Candidate]]-SamplingData[[#This Row],[Candidate 7]])/(SamplingData[[#Totals],[Winning Candidate]]-SamplingData[[#Totals],[Candidate 7]]), 0)</f>
        <v>0</v>
      </c>
      <c r="W333" s="100">
        <f>IF(AND(SamplingData[[#This Row],[Total]]&lt;&gt; 0, NOT(ISBLANK(SamplingData[[#This Row],[Candidate 8]]))),(SamplingData[[#This Row],[Total]]+SamplingData[[#This Row],[Winning Candidate]]-SamplingData[[#This Row],[Candidate 8]])/(SamplingData[[#Totals],[Winning Candidate]]-SamplingData[[#Totals],[Candidate 8]]), 0)</f>
        <v>0</v>
      </c>
      <c r="X3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00">
        <f>MAX(SamplingData[[#This Row],[Error Bound (up) - Max. possible relative overstatement - Losing Candidate]:[Error Bound (up) - Max. possible relative overstatement - Candidate 12]])</f>
        <v>1.0679398184502309E-3</v>
      </c>
      <c r="AC333" s="100">
        <f>IF(SamplingData[[#This Row],[Max Error Bound (up)]] = 0,0,SamplingData[[#This Row],[Max Error Bound (up)]]/SamplingData[[#Totals],[Max Error Bound (up)]])</f>
        <v>4.5765358315834836E-4</v>
      </c>
      <c r="AD333" s="104">
        <f>SUM($AC$5:AC333)</f>
        <v>6.4731061217896971E-2</v>
      </c>
      <c r="AE333" s="100" t="str" cm="1">
        <f t="array" ref="AE333">IF(SamplingData[[#This Row],[up/U Selection Probability]] = 0, "Zero", TEXT(SamplingData[[#This Row],[Lower Range]], REPT("0",LEN('General Info'!$B$42))) &amp; " - " &amp; TEXT(SamplingData[[#This Row],[Upper Range]], REPT("0",LEN('General Info'!$B$42))))</f>
        <v>06427 - 06472</v>
      </c>
      <c r="AF333" s="100">
        <f>SamplingData[[#This Row],[Upper Range]]-SamplingData[[#This Row],[Span]]</f>
        <v>6427.3407634738624</v>
      </c>
      <c r="AG333" s="100">
        <f>IF(ISNUMBER('General Info'!$B$42), ((SamplingData[[#This Row],[up/U Selection Probability]]) * 'General Info'!$B$44) - 1, 0)</f>
        <v>44.765358315834838</v>
      </c>
      <c r="AH333" s="100">
        <f>IF(ISNUMBER('General Info'!$B$42), (SamplingData[[#This Row],[Running (cumulative) sum]] * ('General Info'!$B$42 -'General Info'!$B$43 + 1)) + 'General Info'!$B$43 - 1, 0)</f>
        <v>6472.1061217896968</v>
      </c>
      <c r="AI333" s="100" t="str">
        <f>IF(ISERROR(MATCH(SamplingData[[#This Row],[Batch by Type (p)]],SelectedPrecincts[Batch Name], 0)), "", INDEX(SelectedPrecincts[Draw], MATCH(SamplingData[[#This Row],[Batch by Type (p)]],SelectedPrecincts[Batch Name], 0)))</f>
        <v/>
      </c>
      <c r="AJ333" s="101">
        <f>IF(COUNTIF(SelectedPrecincts[Batch Name],SamplingData[[#This Row],[Batch by Type (p)]]) &lt;&gt; 0, COUNTIF(SelectedPrecincts[Batch Name],SamplingData[[#This Row],[Batch by Type (p)]]), 0)</f>
        <v>0</v>
      </c>
    </row>
    <row r="334" spans="1:36" ht="15" customHeight="1" x14ac:dyDescent="0.35">
      <c r="A334" s="98" t="s">
        <v>546</v>
      </c>
      <c r="B334" s="98">
        <v>19</v>
      </c>
      <c r="C334" s="98">
        <v>1</v>
      </c>
      <c r="D334" s="93"/>
      <c r="E334" s="93"/>
      <c r="F334" s="93"/>
      <c r="G334" s="97"/>
      <c r="H334" s="97"/>
      <c r="I334" s="93"/>
      <c r="J334" s="93"/>
      <c r="K334" s="93"/>
      <c r="L334" s="93"/>
      <c r="M334" s="93"/>
      <c r="N334" s="98">
        <v>0</v>
      </c>
      <c r="O334" s="98">
        <v>1</v>
      </c>
      <c r="P334" s="99">
        <f>SUM(SamplingData[[#This Row],[Winning Candidate]:[Under Votes]])</f>
        <v>21</v>
      </c>
      <c r="Q334" s="100">
        <f>IF(AND(SamplingData[[#This Row],[Total]]&lt;&gt; 0, NOT(ISBLANK(SamplingData[[#This Row],[Losing Candidate]]))),(SamplingData[[#This Row],[Total]]+SamplingData[[#This Row],[Winning Candidate]]-SamplingData[[#This Row],[Losing Candidate]])/(SamplingData[[#Totals],[Winning Candidate]]-SamplingData[[#Totals],[Losing Candidate]]), 0)</f>
        <v>1.2249897917517355E-3</v>
      </c>
      <c r="R334" s="100">
        <f>IF(AND(SamplingData[[#This Row],[Total]]&lt;&gt; 0, NOT(ISBLANK(SamplingData[[#This Row],[Candidate 3]]))),(SamplingData[[#This Row],[Total]]+SamplingData[[#This Row],[Winning Candidate]]-SamplingData[[#This Row],[Candidate 3]])/(SamplingData[[#Totals],[Winning Candidate]]-SamplingData[[#Totals],[Candidate 3]]), 0)</f>
        <v>0</v>
      </c>
      <c r="S334" s="100">
        <f>IF(AND(SamplingData[[#This Row],[Total]]&lt;&gt; 0, NOT(ISBLANK(SamplingData[[#This Row],[Candidate 4]]))),(SamplingData[[#This Row],[Total]]+SamplingData[[#This Row],[Winning Candidate]]-SamplingData[[#This Row],[Candidate 4]])/(SamplingData[[#Totals],[Winning Candidate]]-SamplingData[[#Totals],[Candidate 4]]), 0)</f>
        <v>0</v>
      </c>
      <c r="T334" s="100">
        <f>IF(AND(SamplingData[[#This Row],[Total]]&lt;&gt; 0, NOT(ISBLANK(SamplingData[[#This Row],[Candidate 5]]))),(SamplingData[[#This Row],[Total]]+SamplingData[[#This Row],[Winning Candidate]]-SamplingData[[#This Row],[Candidate 5]])/(SamplingData[[#Totals],[Winning Candidate]]-SamplingData[[#Totals],[Candidate 5]]), 0)</f>
        <v>0</v>
      </c>
      <c r="U334" s="100">
        <f>IF(AND(SamplingData[[#This Row],[Total]]&lt;&gt; 0, NOT(ISBLANK(SamplingData[[#This Row],[Candidate 6]]))),(SamplingData[[#This Row],[Total]]+SamplingData[[#This Row],[Losing Candidate]]-SamplingData[[#This Row],[Candidate 6]])/(SamplingData[[#Totals],[Winning Candidate]]-SamplingData[[#Totals],[Candidate 6]]), 0)</f>
        <v>0</v>
      </c>
      <c r="V334" s="100">
        <f>IF(AND(SamplingData[[#This Row],[Total]]&lt;&gt; 0, NOT(ISBLANK(SamplingData[[#This Row],[Candidate 7]]))),(SamplingData[[#This Row],[Total]]+SamplingData[[#This Row],[Winning Candidate]]-SamplingData[[#This Row],[Candidate 7]])/(SamplingData[[#Totals],[Winning Candidate]]-SamplingData[[#Totals],[Candidate 7]]), 0)</f>
        <v>0</v>
      </c>
      <c r="W334" s="100">
        <f>IF(AND(SamplingData[[#This Row],[Total]]&lt;&gt; 0, NOT(ISBLANK(SamplingData[[#This Row],[Candidate 8]]))),(SamplingData[[#This Row],[Total]]+SamplingData[[#This Row],[Winning Candidate]]-SamplingData[[#This Row],[Candidate 8]])/(SamplingData[[#Totals],[Winning Candidate]]-SamplingData[[#Totals],[Candidate 8]]), 0)</f>
        <v>0</v>
      </c>
      <c r="X3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00">
        <f>MAX(SamplingData[[#This Row],[Error Bound (up) - Max. possible relative overstatement - Losing Candidate]:[Error Bound (up) - Max. possible relative overstatement - Candidate 12]])</f>
        <v>1.2249897917517355E-3</v>
      </c>
      <c r="AC334" s="100">
        <f>IF(SamplingData[[#This Row],[Max Error Bound (up)]] = 0,0,SamplingData[[#This Row],[Max Error Bound (up)]]/SamplingData[[#Totals],[Max Error Bound (up)]])</f>
        <v>5.2495558068163485E-4</v>
      </c>
      <c r="AD334" s="104">
        <f>SUM($AC$5:AC334)</f>
        <v>6.5256016798578606E-2</v>
      </c>
      <c r="AE334" s="100" t="str" cm="1">
        <f t="array" ref="AE334">IF(SamplingData[[#This Row],[up/U Selection Probability]] = 0, "Zero", TEXT(SamplingData[[#This Row],[Lower Range]], REPT("0",LEN('General Info'!$B$42))) &amp; " - " &amp; TEXT(SamplingData[[#This Row],[Upper Range]], REPT("0",LEN('General Info'!$B$42))))</f>
        <v>06473 - 06525</v>
      </c>
      <c r="AF334" s="100">
        <f>SamplingData[[#This Row],[Upper Range]]-SamplingData[[#This Row],[Span]]</f>
        <v>6473.1061217896968</v>
      </c>
      <c r="AG334" s="100">
        <f>IF(ISNUMBER('General Info'!$B$42), ((SamplingData[[#This Row],[up/U Selection Probability]]) * 'General Info'!$B$44) - 1, 0)</f>
        <v>51.495558068163483</v>
      </c>
      <c r="AH334" s="100">
        <f>IF(ISNUMBER('General Info'!$B$42), (SamplingData[[#This Row],[Running (cumulative) sum]] * ('General Info'!$B$42 -'General Info'!$B$43 + 1)) + 'General Info'!$B$43 - 1, 0)</f>
        <v>6524.6016798578603</v>
      </c>
      <c r="AI334" s="100" t="str">
        <f>IF(ISERROR(MATCH(SamplingData[[#This Row],[Batch by Type (p)]],SelectedPrecincts[Batch Name], 0)), "", INDEX(SelectedPrecincts[Draw], MATCH(SamplingData[[#This Row],[Batch by Type (p)]],SelectedPrecincts[Batch Name], 0)))</f>
        <v/>
      </c>
      <c r="AJ334" s="101">
        <f>IF(COUNTIF(SelectedPrecincts[Batch Name],SamplingData[[#This Row],[Batch by Type (p)]]) &lt;&gt; 0, COUNTIF(SelectedPrecincts[Batch Name],SamplingData[[#This Row],[Batch by Type (p)]]), 0)</f>
        <v>0</v>
      </c>
    </row>
    <row r="335" spans="1:36" ht="15" customHeight="1" x14ac:dyDescent="0.35">
      <c r="A335" s="98" t="s">
        <v>547</v>
      </c>
      <c r="B335" s="98">
        <v>13</v>
      </c>
      <c r="C335" s="98">
        <v>0</v>
      </c>
      <c r="D335" s="93"/>
      <c r="E335" s="93"/>
      <c r="F335" s="93"/>
      <c r="G335" s="97"/>
      <c r="H335" s="97"/>
      <c r="I335" s="93"/>
      <c r="J335" s="93"/>
      <c r="K335" s="93"/>
      <c r="L335" s="93"/>
      <c r="M335" s="93"/>
      <c r="N335" s="98">
        <v>0</v>
      </c>
      <c r="O335" s="98">
        <v>0</v>
      </c>
      <c r="P335" s="99">
        <f>SUM(SamplingData[[#This Row],[Winning Candidate]:[Under Votes]])</f>
        <v>13</v>
      </c>
      <c r="Q335"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335" s="100">
        <f>IF(AND(SamplingData[[#This Row],[Total]]&lt;&gt; 0, NOT(ISBLANK(SamplingData[[#This Row],[Candidate 3]]))),(SamplingData[[#This Row],[Total]]+SamplingData[[#This Row],[Winning Candidate]]-SamplingData[[#This Row],[Candidate 3]])/(SamplingData[[#Totals],[Winning Candidate]]-SamplingData[[#Totals],[Candidate 3]]), 0)</f>
        <v>0</v>
      </c>
      <c r="S335" s="100">
        <f>IF(AND(SamplingData[[#This Row],[Total]]&lt;&gt; 0, NOT(ISBLANK(SamplingData[[#This Row],[Candidate 4]]))),(SamplingData[[#This Row],[Total]]+SamplingData[[#This Row],[Winning Candidate]]-SamplingData[[#This Row],[Candidate 4]])/(SamplingData[[#Totals],[Winning Candidate]]-SamplingData[[#Totals],[Candidate 4]]), 0)</f>
        <v>0</v>
      </c>
      <c r="T335" s="100">
        <f>IF(AND(SamplingData[[#This Row],[Total]]&lt;&gt; 0, NOT(ISBLANK(SamplingData[[#This Row],[Candidate 5]]))),(SamplingData[[#This Row],[Total]]+SamplingData[[#This Row],[Winning Candidate]]-SamplingData[[#This Row],[Candidate 5]])/(SamplingData[[#Totals],[Winning Candidate]]-SamplingData[[#Totals],[Candidate 5]]), 0)</f>
        <v>0</v>
      </c>
      <c r="U335" s="100">
        <f>IF(AND(SamplingData[[#This Row],[Total]]&lt;&gt; 0, NOT(ISBLANK(SamplingData[[#This Row],[Candidate 6]]))),(SamplingData[[#This Row],[Total]]+SamplingData[[#This Row],[Losing Candidate]]-SamplingData[[#This Row],[Candidate 6]])/(SamplingData[[#Totals],[Winning Candidate]]-SamplingData[[#Totals],[Candidate 6]]), 0)</f>
        <v>0</v>
      </c>
      <c r="V335" s="100">
        <f>IF(AND(SamplingData[[#This Row],[Total]]&lt;&gt; 0, NOT(ISBLANK(SamplingData[[#This Row],[Candidate 7]]))),(SamplingData[[#This Row],[Total]]+SamplingData[[#This Row],[Winning Candidate]]-SamplingData[[#This Row],[Candidate 7]])/(SamplingData[[#Totals],[Winning Candidate]]-SamplingData[[#Totals],[Candidate 7]]), 0)</f>
        <v>0</v>
      </c>
      <c r="W335" s="100">
        <f>IF(AND(SamplingData[[#This Row],[Total]]&lt;&gt; 0, NOT(ISBLANK(SamplingData[[#This Row],[Candidate 8]]))),(SamplingData[[#This Row],[Total]]+SamplingData[[#This Row],[Winning Candidate]]-SamplingData[[#This Row],[Candidate 8]])/(SamplingData[[#Totals],[Winning Candidate]]-SamplingData[[#Totals],[Candidate 8]]), 0)</f>
        <v>0</v>
      </c>
      <c r="X3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00">
        <f>MAX(SamplingData[[#This Row],[Error Bound (up) - Max. possible relative overstatement - Losing Candidate]:[Error Bound (up) - Max. possible relative overstatement - Candidate 12]])</f>
        <v>8.1665986116782364E-4</v>
      </c>
      <c r="AC335" s="100">
        <f>IF(SamplingData[[#This Row],[Max Error Bound (up)]] = 0,0,SamplingData[[#This Row],[Max Error Bound (up)]]/SamplingData[[#Totals],[Max Error Bound (up)]])</f>
        <v>3.4997038712108992E-4</v>
      </c>
      <c r="AD335" s="104">
        <f>SUM($AC$5:AC335)</f>
        <v>6.5605987185699696E-2</v>
      </c>
      <c r="AE335" s="100" t="str" cm="1">
        <f t="array" ref="AE335">IF(SamplingData[[#This Row],[up/U Selection Probability]] = 0, "Zero", TEXT(SamplingData[[#This Row],[Lower Range]], REPT("0",LEN('General Info'!$B$42))) &amp; " - " &amp; TEXT(SamplingData[[#This Row],[Upper Range]], REPT("0",LEN('General Info'!$B$42))))</f>
        <v>06526 - 06560</v>
      </c>
      <c r="AF335" s="100">
        <f>SamplingData[[#This Row],[Upper Range]]-SamplingData[[#This Row],[Span]]</f>
        <v>6525.6016798578603</v>
      </c>
      <c r="AG335" s="100">
        <f>IF(ISNUMBER('General Info'!$B$42), ((SamplingData[[#This Row],[up/U Selection Probability]]) * 'General Info'!$B$44) - 1, 0)</f>
        <v>33.997038712108989</v>
      </c>
      <c r="AH335" s="100">
        <f>IF(ISNUMBER('General Info'!$B$42), (SamplingData[[#This Row],[Running (cumulative) sum]] * ('General Info'!$B$42 -'General Info'!$B$43 + 1)) + 'General Info'!$B$43 - 1, 0)</f>
        <v>6559.5987185699696</v>
      </c>
      <c r="AI335" s="100" t="str">
        <f>IF(ISERROR(MATCH(SamplingData[[#This Row],[Batch by Type (p)]],SelectedPrecincts[Batch Name], 0)), "", INDEX(SelectedPrecincts[Draw], MATCH(SamplingData[[#This Row],[Batch by Type (p)]],SelectedPrecincts[Batch Name], 0)))</f>
        <v/>
      </c>
      <c r="AJ335" s="101">
        <f>IF(COUNTIF(SelectedPrecincts[Batch Name],SamplingData[[#This Row],[Batch by Type (p)]]) &lt;&gt; 0, COUNTIF(SelectedPrecincts[Batch Name],SamplingData[[#This Row],[Batch by Type (p)]]), 0)</f>
        <v>0</v>
      </c>
    </row>
    <row r="336" spans="1:36" ht="15" customHeight="1" x14ac:dyDescent="0.35">
      <c r="A336" s="98" t="s">
        <v>548</v>
      </c>
      <c r="B336" s="98">
        <v>11</v>
      </c>
      <c r="C336" s="98">
        <v>3</v>
      </c>
      <c r="D336" s="93"/>
      <c r="E336" s="93"/>
      <c r="F336" s="93"/>
      <c r="G336" s="97"/>
      <c r="H336" s="97"/>
      <c r="I336" s="93"/>
      <c r="J336" s="93"/>
      <c r="K336" s="93"/>
      <c r="L336" s="93"/>
      <c r="M336" s="93"/>
      <c r="N336" s="98">
        <v>0</v>
      </c>
      <c r="O336" s="98">
        <v>0</v>
      </c>
      <c r="P336" s="99">
        <f>SUM(SamplingData[[#This Row],[Winning Candidate]:[Under Votes]])</f>
        <v>14</v>
      </c>
      <c r="Q336"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336" s="100">
        <f>IF(AND(SamplingData[[#This Row],[Total]]&lt;&gt; 0, NOT(ISBLANK(SamplingData[[#This Row],[Candidate 3]]))),(SamplingData[[#This Row],[Total]]+SamplingData[[#This Row],[Winning Candidate]]-SamplingData[[#This Row],[Candidate 3]])/(SamplingData[[#Totals],[Winning Candidate]]-SamplingData[[#Totals],[Candidate 3]]), 0)</f>
        <v>0</v>
      </c>
      <c r="S336" s="100">
        <f>IF(AND(SamplingData[[#This Row],[Total]]&lt;&gt; 0, NOT(ISBLANK(SamplingData[[#This Row],[Candidate 4]]))),(SamplingData[[#This Row],[Total]]+SamplingData[[#This Row],[Winning Candidate]]-SamplingData[[#This Row],[Candidate 4]])/(SamplingData[[#Totals],[Winning Candidate]]-SamplingData[[#Totals],[Candidate 4]]), 0)</f>
        <v>0</v>
      </c>
      <c r="T336" s="100">
        <f>IF(AND(SamplingData[[#This Row],[Total]]&lt;&gt; 0, NOT(ISBLANK(SamplingData[[#This Row],[Candidate 5]]))),(SamplingData[[#This Row],[Total]]+SamplingData[[#This Row],[Winning Candidate]]-SamplingData[[#This Row],[Candidate 5]])/(SamplingData[[#Totals],[Winning Candidate]]-SamplingData[[#Totals],[Candidate 5]]), 0)</f>
        <v>0</v>
      </c>
      <c r="U336" s="100">
        <f>IF(AND(SamplingData[[#This Row],[Total]]&lt;&gt; 0, NOT(ISBLANK(SamplingData[[#This Row],[Candidate 6]]))),(SamplingData[[#This Row],[Total]]+SamplingData[[#This Row],[Losing Candidate]]-SamplingData[[#This Row],[Candidate 6]])/(SamplingData[[#Totals],[Winning Candidate]]-SamplingData[[#Totals],[Candidate 6]]), 0)</f>
        <v>0</v>
      </c>
      <c r="V336" s="100">
        <f>IF(AND(SamplingData[[#This Row],[Total]]&lt;&gt; 0, NOT(ISBLANK(SamplingData[[#This Row],[Candidate 7]]))),(SamplingData[[#This Row],[Total]]+SamplingData[[#This Row],[Winning Candidate]]-SamplingData[[#This Row],[Candidate 7]])/(SamplingData[[#Totals],[Winning Candidate]]-SamplingData[[#Totals],[Candidate 7]]), 0)</f>
        <v>0</v>
      </c>
      <c r="W336" s="100">
        <f>IF(AND(SamplingData[[#This Row],[Total]]&lt;&gt; 0, NOT(ISBLANK(SamplingData[[#This Row],[Candidate 8]]))),(SamplingData[[#This Row],[Total]]+SamplingData[[#This Row],[Winning Candidate]]-SamplingData[[#This Row],[Candidate 8]])/(SamplingData[[#Totals],[Winning Candidate]]-SamplingData[[#Totals],[Candidate 8]]), 0)</f>
        <v>0</v>
      </c>
      <c r="X3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00">
        <f>MAX(SamplingData[[#This Row],[Error Bound (up) - Max. possible relative overstatement - Losing Candidate]:[Error Bound (up) - Max. possible relative overstatement - Candidate 12]])</f>
        <v>6.9101988252662E-4</v>
      </c>
      <c r="AC336" s="100">
        <f>IF(SamplingData[[#This Row],[Max Error Bound (up)]] = 0,0,SamplingData[[#This Row],[Max Error Bound (up)]]/SamplingData[[#Totals],[Max Error Bound (up)]])</f>
        <v>2.9612878910246067E-4</v>
      </c>
      <c r="AD336" s="104">
        <f>SUM($AC$5:AC336)</f>
        <v>6.5902115974802153E-2</v>
      </c>
      <c r="AE336" s="100" t="str" cm="1">
        <f t="array" ref="AE336">IF(SamplingData[[#This Row],[up/U Selection Probability]] = 0, "Zero", TEXT(SamplingData[[#This Row],[Lower Range]], REPT("0",LEN('General Info'!$B$42))) &amp; " - " &amp; TEXT(SamplingData[[#This Row],[Upper Range]], REPT("0",LEN('General Info'!$B$42))))</f>
        <v>06561 - 06589</v>
      </c>
      <c r="AF336" s="100">
        <f>SamplingData[[#This Row],[Upper Range]]-SamplingData[[#This Row],[Span]]</f>
        <v>6560.5987185699696</v>
      </c>
      <c r="AG336" s="100">
        <f>IF(ISNUMBER('General Info'!$B$42), ((SamplingData[[#This Row],[up/U Selection Probability]]) * 'General Info'!$B$44) - 1, 0)</f>
        <v>28.612878910246067</v>
      </c>
      <c r="AH336" s="100">
        <f>IF(ISNUMBER('General Info'!$B$42), (SamplingData[[#This Row],[Running (cumulative) sum]] * ('General Info'!$B$42 -'General Info'!$B$43 + 1)) + 'General Info'!$B$43 - 1, 0)</f>
        <v>6589.2115974802155</v>
      </c>
      <c r="AI336" s="100" t="str">
        <f>IF(ISERROR(MATCH(SamplingData[[#This Row],[Batch by Type (p)]],SelectedPrecincts[Batch Name], 0)), "", INDEX(SelectedPrecincts[Draw], MATCH(SamplingData[[#This Row],[Batch by Type (p)]],SelectedPrecincts[Batch Name], 0)))</f>
        <v/>
      </c>
      <c r="AJ336" s="101">
        <f>IF(COUNTIF(SelectedPrecincts[Batch Name],SamplingData[[#This Row],[Batch by Type (p)]]) &lt;&gt; 0, COUNTIF(SelectedPrecincts[Batch Name],SamplingData[[#This Row],[Batch by Type (p)]]), 0)</f>
        <v>0</v>
      </c>
    </row>
    <row r="337" spans="1:36" ht="15" customHeight="1" x14ac:dyDescent="0.35">
      <c r="A337" s="98" t="s">
        <v>549</v>
      </c>
      <c r="B337" s="98">
        <v>14</v>
      </c>
      <c r="C337" s="98">
        <v>0</v>
      </c>
      <c r="D337" s="93"/>
      <c r="E337" s="93"/>
      <c r="F337" s="93"/>
      <c r="G337" s="97"/>
      <c r="H337" s="97"/>
      <c r="I337" s="93"/>
      <c r="J337" s="93"/>
      <c r="K337" s="93"/>
      <c r="L337" s="93"/>
      <c r="M337" s="93"/>
      <c r="N337" s="98">
        <v>0</v>
      </c>
      <c r="O337" s="98">
        <v>0</v>
      </c>
      <c r="P337" s="99">
        <f>SUM(SamplingData[[#This Row],[Winning Candidate]:[Under Votes]])</f>
        <v>14</v>
      </c>
      <c r="Q337"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337" s="100">
        <f>IF(AND(SamplingData[[#This Row],[Total]]&lt;&gt; 0, NOT(ISBLANK(SamplingData[[#This Row],[Candidate 3]]))),(SamplingData[[#This Row],[Total]]+SamplingData[[#This Row],[Winning Candidate]]-SamplingData[[#This Row],[Candidate 3]])/(SamplingData[[#Totals],[Winning Candidate]]-SamplingData[[#Totals],[Candidate 3]]), 0)</f>
        <v>0</v>
      </c>
      <c r="S337" s="100">
        <f>IF(AND(SamplingData[[#This Row],[Total]]&lt;&gt; 0, NOT(ISBLANK(SamplingData[[#This Row],[Candidate 4]]))),(SamplingData[[#This Row],[Total]]+SamplingData[[#This Row],[Winning Candidate]]-SamplingData[[#This Row],[Candidate 4]])/(SamplingData[[#Totals],[Winning Candidate]]-SamplingData[[#Totals],[Candidate 4]]), 0)</f>
        <v>0</v>
      </c>
      <c r="T337" s="100">
        <f>IF(AND(SamplingData[[#This Row],[Total]]&lt;&gt; 0, NOT(ISBLANK(SamplingData[[#This Row],[Candidate 5]]))),(SamplingData[[#This Row],[Total]]+SamplingData[[#This Row],[Winning Candidate]]-SamplingData[[#This Row],[Candidate 5]])/(SamplingData[[#Totals],[Winning Candidate]]-SamplingData[[#Totals],[Candidate 5]]), 0)</f>
        <v>0</v>
      </c>
      <c r="U337" s="100">
        <f>IF(AND(SamplingData[[#This Row],[Total]]&lt;&gt; 0, NOT(ISBLANK(SamplingData[[#This Row],[Candidate 6]]))),(SamplingData[[#This Row],[Total]]+SamplingData[[#This Row],[Losing Candidate]]-SamplingData[[#This Row],[Candidate 6]])/(SamplingData[[#Totals],[Winning Candidate]]-SamplingData[[#Totals],[Candidate 6]]), 0)</f>
        <v>0</v>
      </c>
      <c r="V337" s="100">
        <f>IF(AND(SamplingData[[#This Row],[Total]]&lt;&gt; 0, NOT(ISBLANK(SamplingData[[#This Row],[Candidate 7]]))),(SamplingData[[#This Row],[Total]]+SamplingData[[#This Row],[Winning Candidate]]-SamplingData[[#This Row],[Candidate 7]])/(SamplingData[[#Totals],[Winning Candidate]]-SamplingData[[#Totals],[Candidate 7]]), 0)</f>
        <v>0</v>
      </c>
      <c r="W337" s="100">
        <f>IF(AND(SamplingData[[#This Row],[Total]]&lt;&gt; 0, NOT(ISBLANK(SamplingData[[#This Row],[Candidate 8]]))),(SamplingData[[#This Row],[Total]]+SamplingData[[#This Row],[Winning Candidate]]-SamplingData[[#This Row],[Candidate 8]])/(SamplingData[[#Totals],[Winning Candidate]]-SamplingData[[#Totals],[Candidate 8]]), 0)</f>
        <v>0</v>
      </c>
      <c r="X3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00">
        <f>MAX(SamplingData[[#This Row],[Error Bound (up) - Max. possible relative overstatement - Losing Candidate]:[Error Bound (up) - Max. possible relative overstatement - Candidate 12]])</f>
        <v>8.7947985048842541E-4</v>
      </c>
      <c r="AC337" s="100">
        <f>IF(SamplingData[[#This Row],[Max Error Bound (up)]] = 0,0,SamplingData[[#This Row],[Max Error Bound (up)]]/SamplingData[[#Totals],[Max Error Bound (up)]])</f>
        <v>3.7689118613040446E-4</v>
      </c>
      <c r="AD337" s="104">
        <f>SUM($AC$5:AC337)</f>
        <v>6.627900716093256E-2</v>
      </c>
      <c r="AE337" s="100" t="str" cm="1">
        <f t="array" ref="AE337">IF(SamplingData[[#This Row],[up/U Selection Probability]] = 0, "Zero", TEXT(SamplingData[[#This Row],[Lower Range]], REPT("0",LEN('General Info'!$B$42))) &amp; " - " &amp; TEXT(SamplingData[[#This Row],[Upper Range]], REPT("0",LEN('General Info'!$B$42))))</f>
        <v>06590 - 06627</v>
      </c>
      <c r="AF337" s="100">
        <f>SamplingData[[#This Row],[Upper Range]]-SamplingData[[#This Row],[Span]]</f>
        <v>6590.2115974802155</v>
      </c>
      <c r="AG337" s="100">
        <f>IF(ISNUMBER('General Info'!$B$42), ((SamplingData[[#This Row],[up/U Selection Probability]]) * 'General Info'!$B$44) - 1, 0)</f>
        <v>36.689118613040449</v>
      </c>
      <c r="AH337" s="100">
        <f>IF(ISNUMBER('General Info'!$B$42), (SamplingData[[#This Row],[Running (cumulative) sum]] * ('General Info'!$B$42 -'General Info'!$B$43 + 1)) + 'General Info'!$B$43 - 1, 0)</f>
        <v>6626.9007160932561</v>
      </c>
      <c r="AI337" s="100" t="str">
        <f>IF(ISERROR(MATCH(SamplingData[[#This Row],[Batch by Type (p)]],SelectedPrecincts[Batch Name], 0)), "", INDEX(SelectedPrecincts[Draw], MATCH(SamplingData[[#This Row],[Batch by Type (p)]],SelectedPrecincts[Batch Name], 0)))</f>
        <v/>
      </c>
      <c r="AJ337" s="101">
        <f>IF(COUNTIF(SelectedPrecincts[Batch Name],SamplingData[[#This Row],[Batch by Type (p)]]) &lt;&gt; 0, COUNTIF(SelectedPrecincts[Batch Name],SamplingData[[#This Row],[Batch by Type (p)]]), 0)</f>
        <v>0</v>
      </c>
    </row>
    <row r="338" spans="1:36" ht="15" customHeight="1" x14ac:dyDescent="0.35">
      <c r="A338" s="98" t="s">
        <v>550</v>
      </c>
      <c r="B338" s="98">
        <v>14</v>
      </c>
      <c r="C338" s="98">
        <v>0</v>
      </c>
      <c r="D338" s="93"/>
      <c r="E338" s="93"/>
      <c r="F338" s="93"/>
      <c r="G338" s="97"/>
      <c r="H338" s="97"/>
      <c r="I338" s="93"/>
      <c r="J338" s="93"/>
      <c r="K338" s="93"/>
      <c r="L338" s="93"/>
      <c r="M338" s="93"/>
      <c r="N338" s="98">
        <v>0</v>
      </c>
      <c r="O338" s="98">
        <v>0</v>
      </c>
      <c r="P338" s="99">
        <f>SUM(SamplingData[[#This Row],[Winning Candidate]:[Under Votes]])</f>
        <v>14</v>
      </c>
      <c r="Q338"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338" s="100">
        <f>IF(AND(SamplingData[[#This Row],[Total]]&lt;&gt; 0, NOT(ISBLANK(SamplingData[[#This Row],[Candidate 3]]))),(SamplingData[[#This Row],[Total]]+SamplingData[[#This Row],[Winning Candidate]]-SamplingData[[#This Row],[Candidate 3]])/(SamplingData[[#Totals],[Winning Candidate]]-SamplingData[[#Totals],[Candidate 3]]), 0)</f>
        <v>0</v>
      </c>
      <c r="S338" s="100">
        <f>IF(AND(SamplingData[[#This Row],[Total]]&lt;&gt; 0, NOT(ISBLANK(SamplingData[[#This Row],[Candidate 4]]))),(SamplingData[[#This Row],[Total]]+SamplingData[[#This Row],[Winning Candidate]]-SamplingData[[#This Row],[Candidate 4]])/(SamplingData[[#Totals],[Winning Candidate]]-SamplingData[[#Totals],[Candidate 4]]), 0)</f>
        <v>0</v>
      </c>
      <c r="T338" s="100">
        <f>IF(AND(SamplingData[[#This Row],[Total]]&lt;&gt; 0, NOT(ISBLANK(SamplingData[[#This Row],[Candidate 5]]))),(SamplingData[[#This Row],[Total]]+SamplingData[[#This Row],[Winning Candidate]]-SamplingData[[#This Row],[Candidate 5]])/(SamplingData[[#Totals],[Winning Candidate]]-SamplingData[[#Totals],[Candidate 5]]), 0)</f>
        <v>0</v>
      </c>
      <c r="U338" s="100">
        <f>IF(AND(SamplingData[[#This Row],[Total]]&lt;&gt; 0, NOT(ISBLANK(SamplingData[[#This Row],[Candidate 6]]))),(SamplingData[[#This Row],[Total]]+SamplingData[[#This Row],[Losing Candidate]]-SamplingData[[#This Row],[Candidate 6]])/(SamplingData[[#Totals],[Winning Candidate]]-SamplingData[[#Totals],[Candidate 6]]), 0)</f>
        <v>0</v>
      </c>
      <c r="V338" s="100">
        <f>IF(AND(SamplingData[[#This Row],[Total]]&lt;&gt; 0, NOT(ISBLANK(SamplingData[[#This Row],[Candidate 7]]))),(SamplingData[[#This Row],[Total]]+SamplingData[[#This Row],[Winning Candidate]]-SamplingData[[#This Row],[Candidate 7]])/(SamplingData[[#Totals],[Winning Candidate]]-SamplingData[[#Totals],[Candidate 7]]), 0)</f>
        <v>0</v>
      </c>
      <c r="W338" s="100">
        <f>IF(AND(SamplingData[[#This Row],[Total]]&lt;&gt; 0, NOT(ISBLANK(SamplingData[[#This Row],[Candidate 8]]))),(SamplingData[[#This Row],[Total]]+SamplingData[[#This Row],[Winning Candidate]]-SamplingData[[#This Row],[Candidate 8]])/(SamplingData[[#Totals],[Winning Candidate]]-SamplingData[[#Totals],[Candidate 8]]), 0)</f>
        <v>0</v>
      </c>
      <c r="X3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00">
        <f>MAX(SamplingData[[#This Row],[Error Bound (up) - Max. possible relative overstatement - Losing Candidate]:[Error Bound (up) - Max. possible relative overstatement - Candidate 12]])</f>
        <v>8.7947985048842541E-4</v>
      </c>
      <c r="AC338" s="100">
        <f>IF(SamplingData[[#This Row],[Max Error Bound (up)]] = 0,0,SamplingData[[#This Row],[Max Error Bound (up)]]/SamplingData[[#Totals],[Max Error Bound (up)]])</f>
        <v>3.7689118613040446E-4</v>
      </c>
      <c r="AD338" s="104">
        <f>SUM($AC$5:AC338)</f>
        <v>6.6655898347062967E-2</v>
      </c>
      <c r="AE338" s="100" t="str" cm="1">
        <f t="array" ref="AE338">IF(SamplingData[[#This Row],[up/U Selection Probability]] = 0, "Zero", TEXT(SamplingData[[#This Row],[Lower Range]], REPT("0",LEN('General Info'!$B$42))) &amp; " - " &amp; TEXT(SamplingData[[#This Row],[Upper Range]], REPT("0",LEN('General Info'!$B$42))))</f>
        <v>06628 - 06665</v>
      </c>
      <c r="AF338" s="100">
        <f>SamplingData[[#This Row],[Upper Range]]-SamplingData[[#This Row],[Span]]</f>
        <v>6627.9007160932561</v>
      </c>
      <c r="AG338" s="100">
        <f>IF(ISNUMBER('General Info'!$B$42), ((SamplingData[[#This Row],[up/U Selection Probability]]) * 'General Info'!$B$44) - 1, 0)</f>
        <v>36.689118613040449</v>
      </c>
      <c r="AH338" s="100">
        <f>IF(ISNUMBER('General Info'!$B$42), (SamplingData[[#This Row],[Running (cumulative) sum]] * ('General Info'!$B$42 -'General Info'!$B$43 + 1)) + 'General Info'!$B$43 - 1, 0)</f>
        <v>6664.5898347062966</v>
      </c>
      <c r="AI338" s="100" t="str">
        <f>IF(ISERROR(MATCH(SamplingData[[#This Row],[Batch by Type (p)]],SelectedPrecincts[Batch Name], 0)), "", INDEX(SelectedPrecincts[Draw], MATCH(SamplingData[[#This Row],[Batch by Type (p)]],SelectedPrecincts[Batch Name], 0)))</f>
        <v/>
      </c>
      <c r="AJ338" s="101">
        <f>IF(COUNTIF(SelectedPrecincts[Batch Name],SamplingData[[#This Row],[Batch by Type (p)]]) &lt;&gt; 0, COUNTIF(SelectedPrecincts[Batch Name],SamplingData[[#This Row],[Batch by Type (p)]]), 0)</f>
        <v>0</v>
      </c>
    </row>
    <row r="339" spans="1:36" ht="15" customHeight="1" x14ac:dyDescent="0.35">
      <c r="A339" s="98" t="s">
        <v>551</v>
      </c>
      <c r="B339" s="98">
        <v>10</v>
      </c>
      <c r="C339" s="98">
        <v>2</v>
      </c>
      <c r="D339" s="93"/>
      <c r="E339" s="93"/>
      <c r="F339" s="93"/>
      <c r="G339" s="97"/>
      <c r="H339" s="97"/>
      <c r="I339" s="93"/>
      <c r="J339" s="93"/>
      <c r="K339" s="93"/>
      <c r="L339" s="93"/>
      <c r="M339" s="93"/>
      <c r="N339" s="98">
        <v>0</v>
      </c>
      <c r="O339" s="98">
        <v>0</v>
      </c>
      <c r="P339" s="99">
        <f>SUM(SamplingData[[#This Row],[Winning Candidate]:[Under Votes]])</f>
        <v>12</v>
      </c>
      <c r="Q339"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339" s="100">
        <f>IF(AND(SamplingData[[#This Row],[Total]]&lt;&gt; 0, NOT(ISBLANK(SamplingData[[#This Row],[Candidate 3]]))),(SamplingData[[#This Row],[Total]]+SamplingData[[#This Row],[Winning Candidate]]-SamplingData[[#This Row],[Candidate 3]])/(SamplingData[[#Totals],[Winning Candidate]]-SamplingData[[#Totals],[Candidate 3]]), 0)</f>
        <v>0</v>
      </c>
      <c r="S339" s="100">
        <f>IF(AND(SamplingData[[#This Row],[Total]]&lt;&gt; 0, NOT(ISBLANK(SamplingData[[#This Row],[Candidate 4]]))),(SamplingData[[#This Row],[Total]]+SamplingData[[#This Row],[Winning Candidate]]-SamplingData[[#This Row],[Candidate 4]])/(SamplingData[[#Totals],[Winning Candidate]]-SamplingData[[#Totals],[Candidate 4]]), 0)</f>
        <v>0</v>
      </c>
      <c r="T339" s="100">
        <f>IF(AND(SamplingData[[#This Row],[Total]]&lt;&gt; 0, NOT(ISBLANK(SamplingData[[#This Row],[Candidate 5]]))),(SamplingData[[#This Row],[Total]]+SamplingData[[#This Row],[Winning Candidate]]-SamplingData[[#This Row],[Candidate 5]])/(SamplingData[[#Totals],[Winning Candidate]]-SamplingData[[#Totals],[Candidate 5]]), 0)</f>
        <v>0</v>
      </c>
      <c r="U339" s="100">
        <f>IF(AND(SamplingData[[#This Row],[Total]]&lt;&gt; 0, NOT(ISBLANK(SamplingData[[#This Row],[Candidate 6]]))),(SamplingData[[#This Row],[Total]]+SamplingData[[#This Row],[Losing Candidate]]-SamplingData[[#This Row],[Candidate 6]])/(SamplingData[[#Totals],[Winning Candidate]]-SamplingData[[#Totals],[Candidate 6]]), 0)</f>
        <v>0</v>
      </c>
      <c r="V339" s="100">
        <f>IF(AND(SamplingData[[#This Row],[Total]]&lt;&gt; 0, NOT(ISBLANK(SamplingData[[#This Row],[Candidate 7]]))),(SamplingData[[#This Row],[Total]]+SamplingData[[#This Row],[Winning Candidate]]-SamplingData[[#This Row],[Candidate 7]])/(SamplingData[[#Totals],[Winning Candidate]]-SamplingData[[#Totals],[Candidate 7]]), 0)</f>
        <v>0</v>
      </c>
      <c r="W339" s="100">
        <f>IF(AND(SamplingData[[#This Row],[Total]]&lt;&gt; 0, NOT(ISBLANK(SamplingData[[#This Row],[Candidate 8]]))),(SamplingData[[#This Row],[Total]]+SamplingData[[#This Row],[Winning Candidate]]-SamplingData[[#This Row],[Candidate 8]])/(SamplingData[[#Totals],[Winning Candidate]]-SamplingData[[#Totals],[Candidate 8]]), 0)</f>
        <v>0</v>
      </c>
      <c r="X3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00">
        <f>MAX(SamplingData[[#This Row],[Error Bound (up) - Max. possible relative overstatement - Losing Candidate]:[Error Bound (up) - Max. possible relative overstatement - Candidate 12]])</f>
        <v>6.2819989320601812E-4</v>
      </c>
      <c r="AC339" s="100">
        <f>IF(SamplingData[[#This Row],[Max Error Bound (up)]] = 0,0,SamplingData[[#This Row],[Max Error Bound (up)]]/SamplingData[[#Totals],[Max Error Bound (up)]])</f>
        <v>2.6920799009314607E-4</v>
      </c>
      <c r="AD339" s="104">
        <f>SUM($AC$5:AC339)</f>
        <v>6.6925106337156107E-2</v>
      </c>
      <c r="AE339" s="100" t="str" cm="1">
        <f t="array" ref="AE339">IF(SamplingData[[#This Row],[up/U Selection Probability]] = 0, "Zero", TEXT(SamplingData[[#This Row],[Lower Range]], REPT("0",LEN('General Info'!$B$42))) &amp; " - " &amp; TEXT(SamplingData[[#This Row],[Upper Range]], REPT("0",LEN('General Info'!$B$42))))</f>
        <v>06666 - 06692</v>
      </c>
      <c r="AF339" s="100">
        <f>SamplingData[[#This Row],[Upper Range]]-SamplingData[[#This Row],[Span]]</f>
        <v>6665.5898347062957</v>
      </c>
      <c r="AG339" s="100">
        <f>IF(ISNUMBER('General Info'!$B$42), ((SamplingData[[#This Row],[up/U Selection Probability]]) * 'General Info'!$B$44) - 1, 0)</f>
        <v>25.920799009314607</v>
      </c>
      <c r="AH339" s="100">
        <f>IF(ISNUMBER('General Info'!$B$42), (SamplingData[[#This Row],[Running (cumulative) sum]] * ('General Info'!$B$42 -'General Info'!$B$43 + 1)) + 'General Info'!$B$43 - 1, 0)</f>
        <v>6691.5106337156103</v>
      </c>
      <c r="AI339" s="100" t="str">
        <f>IF(ISERROR(MATCH(SamplingData[[#This Row],[Batch by Type (p)]],SelectedPrecincts[Batch Name], 0)), "", INDEX(SelectedPrecincts[Draw], MATCH(SamplingData[[#This Row],[Batch by Type (p)]],SelectedPrecincts[Batch Name], 0)))</f>
        <v/>
      </c>
      <c r="AJ339" s="101">
        <f>IF(COUNTIF(SelectedPrecincts[Batch Name],SamplingData[[#This Row],[Batch by Type (p)]]) &lt;&gt; 0, COUNTIF(SelectedPrecincts[Batch Name],SamplingData[[#This Row],[Batch by Type (p)]]), 0)</f>
        <v>0</v>
      </c>
    </row>
    <row r="340" spans="1:36" ht="15" customHeight="1" x14ac:dyDescent="0.35">
      <c r="A340" s="98" t="s">
        <v>552</v>
      </c>
      <c r="B340" s="98">
        <v>8</v>
      </c>
      <c r="C340" s="98">
        <v>0</v>
      </c>
      <c r="D340" s="93"/>
      <c r="E340" s="93"/>
      <c r="F340" s="93"/>
      <c r="G340" s="97"/>
      <c r="H340" s="97"/>
      <c r="I340" s="93"/>
      <c r="J340" s="93"/>
      <c r="K340" s="93"/>
      <c r="L340" s="93"/>
      <c r="M340" s="93"/>
      <c r="N340" s="98">
        <v>0</v>
      </c>
      <c r="O340" s="98">
        <v>1</v>
      </c>
      <c r="P340" s="99">
        <f>SUM(SamplingData[[#This Row],[Winning Candidate]:[Under Votes]])</f>
        <v>9</v>
      </c>
      <c r="Q340" s="100">
        <f>IF(AND(SamplingData[[#This Row],[Total]]&lt;&gt; 0, NOT(ISBLANK(SamplingData[[#This Row],[Losing Candidate]]))),(SamplingData[[#This Row],[Total]]+SamplingData[[#This Row],[Winning Candidate]]-SamplingData[[#This Row],[Losing Candidate]])/(SamplingData[[#Totals],[Winning Candidate]]-SamplingData[[#Totals],[Losing Candidate]]), 0)</f>
        <v>5.3396990922511547E-4</v>
      </c>
      <c r="R340" s="100">
        <f>IF(AND(SamplingData[[#This Row],[Total]]&lt;&gt; 0, NOT(ISBLANK(SamplingData[[#This Row],[Candidate 3]]))),(SamplingData[[#This Row],[Total]]+SamplingData[[#This Row],[Winning Candidate]]-SamplingData[[#This Row],[Candidate 3]])/(SamplingData[[#Totals],[Winning Candidate]]-SamplingData[[#Totals],[Candidate 3]]), 0)</f>
        <v>0</v>
      </c>
      <c r="S340" s="100">
        <f>IF(AND(SamplingData[[#This Row],[Total]]&lt;&gt; 0, NOT(ISBLANK(SamplingData[[#This Row],[Candidate 4]]))),(SamplingData[[#This Row],[Total]]+SamplingData[[#This Row],[Winning Candidate]]-SamplingData[[#This Row],[Candidate 4]])/(SamplingData[[#Totals],[Winning Candidate]]-SamplingData[[#Totals],[Candidate 4]]), 0)</f>
        <v>0</v>
      </c>
      <c r="T340" s="100">
        <f>IF(AND(SamplingData[[#This Row],[Total]]&lt;&gt; 0, NOT(ISBLANK(SamplingData[[#This Row],[Candidate 5]]))),(SamplingData[[#This Row],[Total]]+SamplingData[[#This Row],[Winning Candidate]]-SamplingData[[#This Row],[Candidate 5]])/(SamplingData[[#Totals],[Winning Candidate]]-SamplingData[[#Totals],[Candidate 5]]), 0)</f>
        <v>0</v>
      </c>
      <c r="U340" s="100">
        <f>IF(AND(SamplingData[[#This Row],[Total]]&lt;&gt; 0, NOT(ISBLANK(SamplingData[[#This Row],[Candidate 6]]))),(SamplingData[[#This Row],[Total]]+SamplingData[[#This Row],[Losing Candidate]]-SamplingData[[#This Row],[Candidate 6]])/(SamplingData[[#Totals],[Winning Candidate]]-SamplingData[[#Totals],[Candidate 6]]), 0)</f>
        <v>0</v>
      </c>
      <c r="V340" s="100">
        <f>IF(AND(SamplingData[[#This Row],[Total]]&lt;&gt; 0, NOT(ISBLANK(SamplingData[[#This Row],[Candidate 7]]))),(SamplingData[[#This Row],[Total]]+SamplingData[[#This Row],[Winning Candidate]]-SamplingData[[#This Row],[Candidate 7]])/(SamplingData[[#Totals],[Winning Candidate]]-SamplingData[[#Totals],[Candidate 7]]), 0)</f>
        <v>0</v>
      </c>
      <c r="W340" s="100">
        <f>IF(AND(SamplingData[[#This Row],[Total]]&lt;&gt; 0, NOT(ISBLANK(SamplingData[[#This Row],[Candidate 8]]))),(SamplingData[[#This Row],[Total]]+SamplingData[[#This Row],[Winning Candidate]]-SamplingData[[#This Row],[Candidate 8]])/(SamplingData[[#Totals],[Winning Candidate]]-SamplingData[[#Totals],[Candidate 8]]), 0)</f>
        <v>0</v>
      </c>
      <c r="X3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00">
        <f>MAX(SamplingData[[#This Row],[Error Bound (up) - Max. possible relative overstatement - Losing Candidate]:[Error Bound (up) - Max. possible relative overstatement - Candidate 12]])</f>
        <v>5.3396990922511547E-4</v>
      </c>
      <c r="AC340" s="100">
        <f>IF(SamplingData[[#This Row],[Max Error Bound (up)]] = 0,0,SamplingData[[#This Row],[Max Error Bound (up)]]/SamplingData[[#Totals],[Max Error Bound (up)]])</f>
        <v>2.2882679157917418E-4</v>
      </c>
      <c r="AD340" s="104">
        <f>SUM($AC$5:AC340)</f>
        <v>6.7153933128735285E-2</v>
      </c>
      <c r="AE340" s="100" t="str" cm="1">
        <f t="array" ref="AE340">IF(SamplingData[[#This Row],[up/U Selection Probability]] = 0, "Zero", TEXT(SamplingData[[#This Row],[Lower Range]], REPT("0",LEN('General Info'!$B$42))) &amp; " - " &amp; TEXT(SamplingData[[#This Row],[Upper Range]], REPT("0",LEN('General Info'!$B$42))))</f>
        <v>06693 - 06714</v>
      </c>
      <c r="AF340" s="100">
        <f>SamplingData[[#This Row],[Upper Range]]-SamplingData[[#This Row],[Span]]</f>
        <v>6692.5106337156112</v>
      </c>
      <c r="AG340" s="100">
        <f>IF(ISNUMBER('General Info'!$B$42), ((SamplingData[[#This Row],[up/U Selection Probability]]) * 'General Info'!$B$44) - 1, 0)</f>
        <v>21.882679157917419</v>
      </c>
      <c r="AH340" s="100">
        <f>IF(ISNUMBER('General Info'!$B$42), (SamplingData[[#This Row],[Running (cumulative) sum]] * ('General Info'!$B$42 -'General Info'!$B$43 + 1)) + 'General Info'!$B$43 - 1, 0)</f>
        <v>6714.3933128735289</v>
      </c>
      <c r="AI340" s="100" t="str">
        <f>IF(ISERROR(MATCH(SamplingData[[#This Row],[Batch by Type (p)]],SelectedPrecincts[Batch Name], 0)), "", INDEX(SelectedPrecincts[Draw], MATCH(SamplingData[[#This Row],[Batch by Type (p)]],SelectedPrecincts[Batch Name], 0)))</f>
        <v/>
      </c>
      <c r="AJ340" s="101">
        <f>IF(COUNTIF(SelectedPrecincts[Batch Name],SamplingData[[#This Row],[Batch by Type (p)]]) &lt;&gt; 0, COUNTIF(SelectedPrecincts[Batch Name],SamplingData[[#This Row],[Batch by Type (p)]]), 0)</f>
        <v>0</v>
      </c>
    </row>
    <row r="341" spans="1:36" ht="15" customHeight="1" x14ac:dyDescent="0.35">
      <c r="A341" s="98" t="s">
        <v>553</v>
      </c>
      <c r="B341" s="98">
        <v>5</v>
      </c>
      <c r="C341" s="98">
        <v>0</v>
      </c>
      <c r="D341" s="93"/>
      <c r="E341" s="93"/>
      <c r="F341" s="93"/>
      <c r="G341" s="97"/>
      <c r="H341" s="97"/>
      <c r="I341" s="93"/>
      <c r="J341" s="93"/>
      <c r="K341" s="93"/>
      <c r="L341" s="93"/>
      <c r="M341" s="93"/>
      <c r="N341" s="98">
        <v>0</v>
      </c>
      <c r="O341" s="98">
        <v>0</v>
      </c>
      <c r="P341" s="99">
        <f>SUM(SamplingData[[#This Row],[Winning Candidate]:[Under Votes]])</f>
        <v>5</v>
      </c>
      <c r="Q341"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341" s="100">
        <f>IF(AND(SamplingData[[#This Row],[Total]]&lt;&gt; 0, NOT(ISBLANK(SamplingData[[#This Row],[Candidate 3]]))),(SamplingData[[#This Row],[Total]]+SamplingData[[#This Row],[Winning Candidate]]-SamplingData[[#This Row],[Candidate 3]])/(SamplingData[[#Totals],[Winning Candidate]]-SamplingData[[#Totals],[Candidate 3]]), 0)</f>
        <v>0</v>
      </c>
      <c r="S341" s="100">
        <f>IF(AND(SamplingData[[#This Row],[Total]]&lt;&gt; 0, NOT(ISBLANK(SamplingData[[#This Row],[Candidate 4]]))),(SamplingData[[#This Row],[Total]]+SamplingData[[#This Row],[Winning Candidate]]-SamplingData[[#This Row],[Candidate 4]])/(SamplingData[[#Totals],[Winning Candidate]]-SamplingData[[#Totals],[Candidate 4]]), 0)</f>
        <v>0</v>
      </c>
      <c r="T341" s="100">
        <f>IF(AND(SamplingData[[#This Row],[Total]]&lt;&gt; 0, NOT(ISBLANK(SamplingData[[#This Row],[Candidate 5]]))),(SamplingData[[#This Row],[Total]]+SamplingData[[#This Row],[Winning Candidate]]-SamplingData[[#This Row],[Candidate 5]])/(SamplingData[[#Totals],[Winning Candidate]]-SamplingData[[#Totals],[Candidate 5]]), 0)</f>
        <v>0</v>
      </c>
      <c r="U341" s="100">
        <f>IF(AND(SamplingData[[#This Row],[Total]]&lt;&gt; 0, NOT(ISBLANK(SamplingData[[#This Row],[Candidate 6]]))),(SamplingData[[#This Row],[Total]]+SamplingData[[#This Row],[Losing Candidate]]-SamplingData[[#This Row],[Candidate 6]])/(SamplingData[[#Totals],[Winning Candidate]]-SamplingData[[#Totals],[Candidate 6]]), 0)</f>
        <v>0</v>
      </c>
      <c r="V341" s="100">
        <f>IF(AND(SamplingData[[#This Row],[Total]]&lt;&gt; 0, NOT(ISBLANK(SamplingData[[#This Row],[Candidate 7]]))),(SamplingData[[#This Row],[Total]]+SamplingData[[#This Row],[Winning Candidate]]-SamplingData[[#This Row],[Candidate 7]])/(SamplingData[[#Totals],[Winning Candidate]]-SamplingData[[#Totals],[Candidate 7]]), 0)</f>
        <v>0</v>
      </c>
      <c r="W341" s="100">
        <f>IF(AND(SamplingData[[#This Row],[Total]]&lt;&gt; 0, NOT(ISBLANK(SamplingData[[#This Row],[Candidate 8]]))),(SamplingData[[#This Row],[Total]]+SamplingData[[#This Row],[Winning Candidate]]-SamplingData[[#This Row],[Candidate 8]])/(SamplingData[[#Totals],[Winning Candidate]]-SamplingData[[#Totals],[Candidate 8]]), 0)</f>
        <v>0</v>
      </c>
      <c r="X3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00">
        <f>MAX(SamplingData[[#This Row],[Error Bound (up) - Max. possible relative overstatement - Losing Candidate]:[Error Bound (up) - Max. possible relative overstatement - Candidate 12]])</f>
        <v>3.1409994660300906E-4</v>
      </c>
      <c r="AC341" s="100">
        <f>IF(SamplingData[[#This Row],[Max Error Bound (up)]] = 0,0,SamplingData[[#This Row],[Max Error Bound (up)]]/SamplingData[[#Totals],[Max Error Bound (up)]])</f>
        <v>1.3460399504657304E-4</v>
      </c>
      <c r="AD341" s="104">
        <f>SUM($AC$5:AC341)</f>
        <v>6.7288537123781855E-2</v>
      </c>
      <c r="AE341" s="100" t="str" cm="1">
        <f t="array" ref="AE341">IF(SamplingData[[#This Row],[up/U Selection Probability]] = 0, "Zero", TEXT(SamplingData[[#This Row],[Lower Range]], REPT("0",LEN('General Info'!$B$42))) &amp; " - " &amp; TEXT(SamplingData[[#This Row],[Upper Range]], REPT("0",LEN('General Info'!$B$42))))</f>
        <v>06715 - 06728</v>
      </c>
      <c r="AF341" s="100">
        <f>SamplingData[[#This Row],[Upper Range]]-SamplingData[[#This Row],[Span]]</f>
        <v>6715.393312873528</v>
      </c>
      <c r="AG341" s="100">
        <f>IF(ISNUMBER('General Info'!$B$42), ((SamplingData[[#This Row],[up/U Selection Probability]]) * 'General Info'!$B$44) - 1, 0)</f>
        <v>12.460399504657303</v>
      </c>
      <c r="AH341" s="100">
        <f>IF(ISNUMBER('General Info'!$B$42), (SamplingData[[#This Row],[Running (cumulative) sum]] * ('General Info'!$B$42 -'General Info'!$B$43 + 1)) + 'General Info'!$B$43 - 1, 0)</f>
        <v>6727.8537123781853</v>
      </c>
      <c r="AI341" s="100" t="str">
        <f>IF(ISERROR(MATCH(SamplingData[[#This Row],[Batch by Type (p)]],SelectedPrecincts[Batch Name], 0)), "", INDEX(SelectedPrecincts[Draw], MATCH(SamplingData[[#This Row],[Batch by Type (p)]],SelectedPrecincts[Batch Name], 0)))</f>
        <v/>
      </c>
      <c r="AJ341" s="101">
        <f>IF(COUNTIF(SelectedPrecincts[Batch Name],SamplingData[[#This Row],[Batch by Type (p)]]) &lt;&gt; 0, COUNTIF(SelectedPrecincts[Batch Name],SamplingData[[#This Row],[Batch by Type (p)]]), 0)</f>
        <v>0</v>
      </c>
    </row>
    <row r="342" spans="1:36" ht="15" customHeight="1" x14ac:dyDescent="0.35">
      <c r="A342" s="98" t="s">
        <v>554</v>
      </c>
      <c r="B342" s="98">
        <v>12</v>
      </c>
      <c r="C342" s="98">
        <v>3</v>
      </c>
      <c r="D342" s="93"/>
      <c r="E342" s="93"/>
      <c r="F342" s="93"/>
      <c r="G342" s="97"/>
      <c r="H342" s="97"/>
      <c r="I342" s="93"/>
      <c r="J342" s="93"/>
      <c r="K342" s="93"/>
      <c r="L342" s="93"/>
      <c r="M342" s="93"/>
      <c r="N342" s="98">
        <v>0</v>
      </c>
      <c r="O342" s="98">
        <v>1</v>
      </c>
      <c r="P342" s="99">
        <f>SUM(SamplingData[[#This Row],[Winning Candidate]:[Under Votes]])</f>
        <v>16</v>
      </c>
      <c r="Q342" s="100">
        <f>IF(AND(SamplingData[[#This Row],[Total]]&lt;&gt; 0, NOT(ISBLANK(SamplingData[[#This Row],[Losing Candidate]]))),(SamplingData[[#This Row],[Total]]+SamplingData[[#This Row],[Winning Candidate]]-SamplingData[[#This Row],[Losing Candidate]])/(SamplingData[[#Totals],[Winning Candidate]]-SamplingData[[#Totals],[Losing Candidate]]), 0)</f>
        <v>7.8524986650752265E-4</v>
      </c>
      <c r="R342" s="100">
        <f>IF(AND(SamplingData[[#This Row],[Total]]&lt;&gt; 0, NOT(ISBLANK(SamplingData[[#This Row],[Candidate 3]]))),(SamplingData[[#This Row],[Total]]+SamplingData[[#This Row],[Winning Candidate]]-SamplingData[[#This Row],[Candidate 3]])/(SamplingData[[#Totals],[Winning Candidate]]-SamplingData[[#Totals],[Candidate 3]]), 0)</f>
        <v>0</v>
      </c>
      <c r="S342" s="100">
        <f>IF(AND(SamplingData[[#This Row],[Total]]&lt;&gt; 0, NOT(ISBLANK(SamplingData[[#This Row],[Candidate 4]]))),(SamplingData[[#This Row],[Total]]+SamplingData[[#This Row],[Winning Candidate]]-SamplingData[[#This Row],[Candidate 4]])/(SamplingData[[#Totals],[Winning Candidate]]-SamplingData[[#Totals],[Candidate 4]]), 0)</f>
        <v>0</v>
      </c>
      <c r="T342" s="100">
        <f>IF(AND(SamplingData[[#This Row],[Total]]&lt;&gt; 0, NOT(ISBLANK(SamplingData[[#This Row],[Candidate 5]]))),(SamplingData[[#This Row],[Total]]+SamplingData[[#This Row],[Winning Candidate]]-SamplingData[[#This Row],[Candidate 5]])/(SamplingData[[#Totals],[Winning Candidate]]-SamplingData[[#Totals],[Candidate 5]]), 0)</f>
        <v>0</v>
      </c>
      <c r="U342" s="100">
        <f>IF(AND(SamplingData[[#This Row],[Total]]&lt;&gt; 0, NOT(ISBLANK(SamplingData[[#This Row],[Candidate 6]]))),(SamplingData[[#This Row],[Total]]+SamplingData[[#This Row],[Losing Candidate]]-SamplingData[[#This Row],[Candidate 6]])/(SamplingData[[#Totals],[Winning Candidate]]-SamplingData[[#Totals],[Candidate 6]]), 0)</f>
        <v>0</v>
      </c>
      <c r="V342" s="100">
        <f>IF(AND(SamplingData[[#This Row],[Total]]&lt;&gt; 0, NOT(ISBLANK(SamplingData[[#This Row],[Candidate 7]]))),(SamplingData[[#This Row],[Total]]+SamplingData[[#This Row],[Winning Candidate]]-SamplingData[[#This Row],[Candidate 7]])/(SamplingData[[#Totals],[Winning Candidate]]-SamplingData[[#Totals],[Candidate 7]]), 0)</f>
        <v>0</v>
      </c>
      <c r="W342" s="100">
        <f>IF(AND(SamplingData[[#This Row],[Total]]&lt;&gt; 0, NOT(ISBLANK(SamplingData[[#This Row],[Candidate 8]]))),(SamplingData[[#This Row],[Total]]+SamplingData[[#This Row],[Winning Candidate]]-SamplingData[[#This Row],[Candidate 8]])/(SamplingData[[#Totals],[Winning Candidate]]-SamplingData[[#Totals],[Candidate 8]]), 0)</f>
        <v>0</v>
      </c>
      <c r="X3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00">
        <f>MAX(SamplingData[[#This Row],[Error Bound (up) - Max. possible relative overstatement - Losing Candidate]:[Error Bound (up) - Max. possible relative overstatement - Candidate 12]])</f>
        <v>7.8524986650752265E-4</v>
      </c>
      <c r="AC342" s="100">
        <f>IF(SamplingData[[#This Row],[Max Error Bound (up)]] = 0,0,SamplingData[[#This Row],[Max Error Bound (up)]]/SamplingData[[#Totals],[Max Error Bound (up)]])</f>
        <v>3.3650998761643256E-4</v>
      </c>
      <c r="AD342" s="104">
        <f>SUM($AC$5:AC342)</f>
        <v>6.7625047111398287E-2</v>
      </c>
      <c r="AE342" s="100" t="str" cm="1">
        <f t="array" ref="AE342">IF(SamplingData[[#This Row],[up/U Selection Probability]] = 0, "Zero", TEXT(SamplingData[[#This Row],[Lower Range]], REPT("0",LEN('General Info'!$B$42))) &amp; " - " &amp; TEXT(SamplingData[[#This Row],[Upper Range]], REPT("0",LEN('General Info'!$B$42))))</f>
        <v>06729 - 06762</v>
      </c>
      <c r="AF342" s="100">
        <f>SamplingData[[#This Row],[Upper Range]]-SamplingData[[#This Row],[Span]]</f>
        <v>6728.8537123781853</v>
      </c>
      <c r="AG342" s="100">
        <f>IF(ISNUMBER('General Info'!$B$42), ((SamplingData[[#This Row],[up/U Selection Probability]]) * 'General Info'!$B$44) - 1, 0)</f>
        <v>32.650998761643258</v>
      </c>
      <c r="AH342" s="100">
        <f>IF(ISNUMBER('General Info'!$B$42), (SamplingData[[#This Row],[Running (cumulative) sum]] * ('General Info'!$B$42 -'General Info'!$B$43 + 1)) + 'General Info'!$B$43 - 1, 0)</f>
        <v>6761.5047111398289</v>
      </c>
      <c r="AI342" s="100" t="str">
        <f>IF(ISERROR(MATCH(SamplingData[[#This Row],[Batch by Type (p)]],SelectedPrecincts[Batch Name], 0)), "", INDEX(SelectedPrecincts[Draw], MATCH(SamplingData[[#This Row],[Batch by Type (p)]],SelectedPrecincts[Batch Name], 0)))</f>
        <v/>
      </c>
      <c r="AJ342" s="101">
        <f>IF(COUNTIF(SelectedPrecincts[Batch Name],SamplingData[[#This Row],[Batch by Type (p)]]) &lt;&gt; 0, COUNTIF(SelectedPrecincts[Batch Name],SamplingData[[#This Row],[Batch by Type (p)]]), 0)</f>
        <v>0</v>
      </c>
    </row>
    <row r="343" spans="1:36" ht="15" customHeight="1" x14ac:dyDescent="0.35">
      <c r="A343" s="98" t="s">
        <v>555</v>
      </c>
      <c r="B343" s="98">
        <v>4</v>
      </c>
      <c r="C343" s="98">
        <v>1</v>
      </c>
      <c r="D343" s="93"/>
      <c r="E343" s="93"/>
      <c r="F343" s="93"/>
      <c r="G343" s="97"/>
      <c r="H343" s="97"/>
      <c r="I343" s="93"/>
      <c r="J343" s="93"/>
      <c r="K343" s="93"/>
      <c r="L343" s="93"/>
      <c r="M343" s="93"/>
      <c r="N343" s="98">
        <v>0</v>
      </c>
      <c r="O343" s="98">
        <v>0</v>
      </c>
      <c r="P343" s="99">
        <f>SUM(SamplingData[[#This Row],[Winning Candidate]:[Under Votes]])</f>
        <v>5</v>
      </c>
      <c r="Q343"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343" s="100">
        <f>IF(AND(SamplingData[[#This Row],[Total]]&lt;&gt; 0, NOT(ISBLANK(SamplingData[[#This Row],[Candidate 3]]))),(SamplingData[[#This Row],[Total]]+SamplingData[[#This Row],[Winning Candidate]]-SamplingData[[#This Row],[Candidate 3]])/(SamplingData[[#Totals],[Winning Candidate]]-SamplingData[[#Totals],[Candidate 3]]), 0)</f>
        <v>0</v>
      </c>
      <c r="S343" s="100">
        <f>IF(AND(SamplingData[[#This Row],[Total]]&lt;&gt; 0, NOT(ISBLANK(SamplingData[[#This Row],[Candidate 4]]))),(SamplingData[[#This Row],[Total]]+SamplingData[[#This Row],[Winning Candidate]]-SamplingData[[#This Row],[Candidate 4]])/(SamplingData[[#Totals],[Winning Candidate]]-SamplingData[[#Totals],[Candidate 4]]), 0)</f>
        <v>0</v>
      </c>
      <c r="T343" s="100">
        <f>IF(AND(SamplingData[[#This Row],[Total]]&lt;&gt; 0, NOT(ISBLANK(SamplingData[[#This Row],[Candidate 5]]))),(SamplingData[[#This Row],[Total]]+SamplingData[[#This Row],[Winning Candidate]]-SamplingData[[#This Row],[Candidate 5]])/(SamplingData[[#Totals],[Winning Candidate]]-SamplingData[[#Totals],[Candidate 5]]), 0)</f>
        <v>0</v>
      </c>
      <c r="U343" s="100">
        <f>IF(AND(SamplingData[[#This Row],[Total]]&lt;&gt; 0, NOT(ISBLANK(SamplingData[[#This Row],[Candidate 6]]))),(SamplingData[[#This Row],[Total]]+SamplingData[[#This Row],[Losing Candidate]]-SamplingData[[#This Row],[Candidate 6]])/(SamplingData[[#Totals],[Winning Candidate]]-SamplingData[[#Totals],[Candidate 6]]), 0)</f>
        <v>0</v>
      </c>
      <c r="V343" s="100">
        <f>IF(AND(SamplingData[[#This Row],[Total]]&lt;&gt; 0, NOT(ISBLANK(SamplingData[[#This Row],[Candidate 7]]))),(SamplingData[[#This Row],[Total]]+SamplingData[[#This Row],[Winning Candidate]]-SamplingData[[#This Row],[Candidate 7]])/(SamplingData[[#Totals],[Winning Candidate]]-SamplingData[[#Totals],[Candidate 7]]), 0)</f>
        <v>0</v>
      </c>
      <c r="W343" s="100">
        <f>IF(AND(SamplingData[[#This Row],[Total]]&lt;&gt; 0, NOT(ISBLANK(SamplingData[[#This Row],[Candidate 8]]))),(SamplingData[[#This Row],[Total]]+SamplingData[[#This Row],[Winning Candidate]]-SamplingData[[#This Row],[Candidate 8]])/(SamplingData[[#Totals],[Winning Candidate]]-SamplingData[[#Totals],[Candidate 8]]), 0)</f>
        <v>0</v>
      </c>
      <c r="X3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00">
        <f>MAX(SamplingData[[#This Row],[Error Bound (up) - Max. possible relative overstatement - Losing Candidate]:[Error Bound (up) - Max. possible relative overstatement - Candidate 12]])</f>
        <v>2.5127995728240724E-4</v>
      </c>
      <c r="AC343" s="100">
        <f>IF(SamplingData[[#This Row],[Max Error Bound (up)]] = 0,0,SamplingData[[#This Row],[Max Error Bound (up)]]/SamplingData[[#Totals],[Max Error Bound (up)]])</f>
        <v>1.0768319603725841E-4</v>
      </c>
      <c r="AD343" s="104">
        <f>SUM($AC$5:AC343)</f>
        <v>6.773273030743554E-2</v>
      </c>
      <c r="AE343" s="100" t="str" cm="1">
        <f t="array" ref="AE343">IF(SamplingData[[#This Row],[up/U Selection Probability]] = 0, "Zero", TEXT(SamplingData[[#This Row],[Lower Range]], REPT("0",LEN('General Info'!$B$42))) &amp; " - " &amp; TEXT(SamplingData[[#This Row],[Upper Range]], REPT("0",LEN('General Info'!$B$42))))</f>
        <v>06763 - 06772</v>
      </c>
      <c r="AF343" s="100">
        <f>SamplingData[[#This Row],[Upper Range]]-SamplingData[[#This Row],[Span]]</f>
        <v>6762.504711139828</v>
      </c>
      <c r="AG343" s="100">
        <f>IF(ISNUMBER('General Info'!$B$42), ((SamplingData[[#This Row],[up/U Selection Probability]]) * 'General Info'!$B$44) - 1, 0)</f>
        <v>9.7683196037258408</v>
      </c>
      <c r="AH343" s="100">
        <f>IF(ISNUMBER('General Info'!$B$42), (SamplingData[[#This Row],[Running (cumulative) sum]] * ('General Info'!$B$42 -'General Info'!$B$43 + 1)) + 'General Info'!$B$43 - 1, 0)</f>
        <v>6772.273030743554</v>
      </c>
      <c r="AI343" s="100" t="str">
        <f>IF(ISERROR(MATCH(SamplingData[[#This Row],[Batch by Type (p)]],SelectedPrecincts[Batch Name], 0)), "", INDEX(SelectedPrecincts[Draw], MATCH(SamplingData[[#This Row],[Batch by Type (p)]],SelectedPrecincts[Batch Name], 0)))</f>
        <v/>
      </c>
      <c r="AJ343" s="101">
        <f>IF(COUNTIF(SelectedPrecincts[Batch Name],SamplingData[[#This Row],[Batch by Type (p)]]) &lt;&gt; 0, COUNTIF(SelectedPrecincts[Batch Name],SamplingData[[#This Row],[Batch by Type (p)]]), 0)</f>
        <v>0</v>
      </c>
    </row>
    <row r="344" spans="1:36" ht="15" customHeight="1" x14ac:dyDescent="0.35">
      <c r="A344" s="98" t="s">
        <v>556</v>
      </c>
      <c r="B344" s="98">
        <v>5</v>
      </c>
      <c r="C344" s="98">
        <v>0</v>
      </c>
      <c r="D344" s="93"/>
      <c r="E344" s="93"/>
      <c r="F344" s="93"/>
      <c r="G344" s="97"/>
      <c r="H344" s="97"/>
      <c r="I344" s="93"/>
      <c r="J344" s="93"/>
      <c r="K344" s="93"/>
      <c r="L344" s="93"/>
      <c r="M344" s="93"/>
      <c r="N344" s="98">
        <v>0</v>
      </c>
      <c r="O344" s="98">
        <v>2</v>
      </c>
      <c r="P344" s="99">
        <f>SUM(SamplingData[[#This Row],[Winning Candidate]:[Under Votes]])</f>
        <v>7</v>
      </c>
      <c r="Q344"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344" s="100">
        <f>IF(AND(SamplingData[[#This Row],[Total]]&lt;&gt; 0, NOT(ISBLANK(SamplingData[[#This Row],[Candidate 3]]))),(SamplingData[[#This Row],[Total]]+SamplingData[[#This Row],[Winning Candidate]]-SamplingData[[#This Row],[Candidate 3]])/(SamplingData[[#Totals],[Winning Candidate]]-SamplingData[[#Totals],[Candidate 3]]), 0)</f>
        <v>0</v>
      </c>
      <c r="S344" s="100">
        <f>IF(AND(SamplingData[[#This Row],[Total]]&lt;&gt; 0, NOT(ISBLANK(SamplingData[[#This Row],[Candidate 4]]))),(SamplingData[[#This Row],[Total]]+SamplingData[[#This Row],[Winning Candidate]]-SamplingData[[#This Row],[Candidate 4]])/(SamplingData[[#Totals],[Winning Candidate]]-SamplingData[[#Totals],[Candidate 4]]), 0)</f>
        <v>0</v>
      </c>
      <c r="T344" s="100">
        <f>IF(AND(SamplingData[[#This Row],[Total]]&lt;&gt; 0, NOT(ISBLANK(SamplingData[[#This Row],[Candidate 5]]))),(SamplingData[[#This Row],[Total]]+SamplingData[[#This Row],[Winning Candidate]]-SamplingData[[#This Row],[Candidate 5]])/(SamplingData[[#Totals],[Winning Candidate]]-SamplingData[[#Totals],[Candidate 5]]), 0)</f>
        <v>0</v>
      </c>
      <c r="U344" s="100">
        <f>IF(AND(SamplingData[[#This Row],[Total]]&lt;&gt; 0, NOT(ISBLANK(SamplingData[[#This Row],[Candidate 6]]))),(SamplingData[[#This Row],[Total]]+SamplingData[[#This Row],[Losing Candidate]]-SamplingData[[#This Row],[Candidate 6]])/(SamplingData[[#Totals],[Winning Candidate]]-SamplingData[[#Totals],[Candidate 6]]), 0)</f>
        <v>0</v>
      </c>
      <c r="V344" s="100">
        <f>IF(AND(SamplingData[[#This Row],[Total]]&lt;&gt; 0, NOT(ISBLANK(SamplingData[[#This Row],[Candidate 7]]))),(SamplingData[[#This Row],[Total]]+SamplingData[[#This Row],[Winning Candidate]]-SamplingData[[#This Row],[Candidate 7]])/(SamplingData[[#Totals],[Winning Candidate]]-SamplingData[[#Totals],[Candidate 7]]), 0)</f>
        <v>0</v>
      </c>
      <c r="W344" s="100">
        <f>IF(AND(SamplingData[[#This Row],[Total]]&lt;&gt; 0, NOT(ISBLANK(SamplingData[[#This Row],[Candidate 8]]))),(SamplingData[[#This Row],[Total]]+SamplingData[[#This Row],[Winning Candidate]]-SamplingData[[#This Row],[Candidate 8]])/(SamplingData[[#Totals],[Winning Candidate]]-SamplingData[[#Totals],[Candidate 8]]), 0)</f>
        <v>0</v>
      </c>
      <c r="X3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00">
        <f>MAX(SamplingData[[#This Row],[Error Bound (up) - Max. possible relative overstatement - Losing Candidate]:[Error Bound (up) - Max. possible relative overstatement - Candidate 12]])</f>
        <v>3.7691993592361088E-4</v>
      </c>
      <c r="AC344" s="100">
        <f>IF(SamplingData[[#This Row],[Max Error Bound (up)]] = 0,0,SamplingData[[#This Row],[Max Error Bound (up)]]/SamplingData[[#Totals],[Max Error Bound (up)]])</f>
        <v>1.6152479405588763E-4</v>
      </c>
      <c r="AD344" s="104">
        <f>SUM($AC$5:AC344)</f>
        <v>6.7894255101491427E-2</v>
      </c>
      <c r="AE344" s="100" t="str" cm="1">
        <f t="array" ref="AE344">IF(SamplingData[[#This Row],[up/U Selection Probability]] = 0, "Zero", TEXT(SamplingData[[#This Row],[Lower Range]], REPT("0",LEN('General Info'!$B$42))) &amp; " - " &amp; TEXT(SamplingData[[#This Row],[Upper Range]], REPT("0",LEN('General Info'!$B$42))))</f>
        <v>06773 - 06788</v>
      </c>
      <c r="AF344" s="100">
        <f>SamplingData[[#This Row],[Upper Range]]-SamplingData[[#This Row],[Span]]</f>
        <v>6773.273030743554</v>
      </c>
      <c r="AG344" s="100">
        <f>IF(ISNUMBER('General Info'!$B$42), ((SamplingData[[#This Row],[up/U Selection Probability]]) * 'General Info'!$B$44) - 1, 0)</f>
        <v>15.152479405588764</v>
      </c>
      <c r="AH344" s="100">
        <f>IF(ISNUMBER('General Info'!$B$42), (SamplingData[[#This Row],[Running (cumulative) sum]] * ('General Info'!$B$42 -'General Info'!$B$43 + 1)) + 'General Info'!$B$43 - 1, 0)</f>
        <v>6788.4255101491426</v>
      </c>
      <c r="AI344" s="100" t="str">
        <f>IF(ISERROR(MATCH(SamplingData[[#This Row],[Batch by Type (p)]],SelectedPrecincts[Batch Name], 0)), "", INDEX(SelectedPrecincts[Draw], MATCH(SamplingData[[#This Row],[Batch by Type (p)]],SelectedPrecincts[Batch Name], 0)))</f>
        <v/>
      </c>
      <c r="AJ344" s="101">
        <f>IF(COUNTIF(SelectedPrecincts[Batch Name],SamplingData[[#This Row],[Batch by Type (p)]]) &lt;&gt; 0, COUNTIF(SelectedPrecincts[Batch Name],SamplingData[[#This Row],[Batch by Type (p)]]), 0)</f>
        <v>0</v>
      </c>
    </row>
    <row r="345" spans="1:36" ht="15" customHeight="1" x14ac:dyDescent="0.35">
      <c r="A345" s="98" t="s">
        <v>557</v>
      </c>
      <c r="B345" s="98">
        <v>7</v>
      </c>
      <c r="C345" s="98">
        <v>0</v>
      </c>
      <c r="D345" s="93"/>
      <c r="E345" s="93"/>
      <c r="F345" s="93"/>
      <c r="G345" s="97"/>
      <c r="H345" s="97"/>
      <c r="I345" s="93"/>
      <c r="J345" s="93"/>
      <c r="K345" s="93"/>
      <c r="L345" s="93"/>
      <c r="M345" s="93"/>
      <c r="N345" s="98">
        <v>0</v>
      </c>
      <c r="O345" s="98">
        <v>0</v>
      </c>
      <c r="P345" s="99">
        <f>SUM(SamplingData[[#This Row],[Winning Candidate]:[Under Votes]])</f>
        <v>7</v>
      </c>
      <c r="Q345"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345" s="100">
        <f>IF(AND(SamplingData[[#This Row],[Total]]&lt;&gt; 0, NOT(ISBLANK(SamplingData[[#This Row],[Candidate 3]]))),(SamplingData[[#This Row],[Total]]+SamplingData[[#This Row],[Winning Candidate]]-SamplingData[[#This Row],[Candidate 3]])/(SamplingData[[#Totals],[Winning Candidate]]-SamplingData[[#Totals],[Candidate 3]]), 0)</f>
        <v>0</v>
      </c>
      <c r="S345" s="100">
        <f>IF(AND(SamplingData[[#This Row],[Total]]&lt;&gt; 0, NOT(ISBLANK(SamplingData[[#This Row],[Candidate 4]]))),(SamplingData[[#This Row],[Total]]+SamplingData[[#This Row],[Winning Candidate]]-SamplingData[[#This Row],[Candidate 4]])/(SamplingData[[#Totals],[Winning Candidate]]-SamplingData[[#Totals],[Candidate 4]]), 0)</f>
        <v>0</v>
      </c>
      <c r="T345" s="100">
        <f>IF(AND(SamplingData[[#This Row],[Total]]&lt;&gt; 0, NOT(ISBLANK(SamplingData[[#This Row],[Candidate 5]]))),(SamplingData[[#This Row],[Total]]+SamplingData[[#This Row],[Winning Candidate]]-SamplingData[[#This Row],[Candidate 5]])/(SamplingData[[#Totals],[Winning Candidate]]-SamplingData[[#Totals],[Candidate 5]]), 0)</f>
        <v>0</v>
      </c>
      <c r="U345" s="100">
        <f>IF(AND(SamplingData[[#This Row],[Total]]&lt;&gt; 0, NOT(ISBLANK(SamplingData[[#This Row],[Candidate 6]]))),(SamplingData[[#This Row],[Total]]+SamplingData[[#This Row],[Losing Candidate]]-SamplingData[[#This Row],[Candidate 6]])/(SamplingData[[#Totals],[Winning Candidate]]-SamplingData[[#Totals],[Candidate 6]]), 0)</f>
        <v>0</v>
      </c>
      <c r="V345" s="100">
        <f>IF(AND(SamplingData[[#This Row],[Total]]&lt;&gt; 0, NOT(ISBLANK(SamplingData[[#This Row],[Candidate 7]]))),(SamplingData[[#This Row],[Total]]+SamplingData[[#This Row],[Winning Candidate]]-SamplingData[[#This Row],[Candidate 7]])/(SamplingData[[#Totals],[Winning Candidate]]-SamplingData[[#Totals],[Candidate 7]]), 0)</f>
        <v>0</v>
      </c>
      <c r="W345" s="100">
        <f>IF(AND(SamplingData[[#This Row],[Total]]&lt;&gt; 0, NOT(ISBLANK(SamplingData[[#This Row],[Candidate 8]]))),(SamplingData[[#This Row],[Total]]+SamplingData[[#This Row],[Winning Candidate]]-SamplingData[[#This Row],[Candidate 8]])/(SamplingData[[#Totals],[Winning Candidate]]-SamplingData[[#Totals],[Candidate 8]]), 0)</f>
        <v>0</v>
      </c>
      <c r="X3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00">
        <f>MAX(SamplingData[[#This Row],[Error Bound (up) - Max. possible relative overstatement - Losing Candidate]:[Error Bound (up) - Max. possible relative overstatement - Candidate 12]])</f>
        <v>4.3973992524421271E-4</v>
      </c>
      <c r="AC345" s="100">
        <f>IF(SamplingData[[#This Row],[Max Error Bound (up)]] = 0,0,SamplingData[[#This Row],[Max Error Bound (up)]]/SamplingData[[#Totals],[Max Error Bound (up)]])</f>
        <v>1.8844559306520223E-4</v>
      </c>
      <c r="AD345" s="104">
        <f>SUM($AC$5:AC345)</f>
        <v>6.808270069455663E-2</v>
      </c>
      <c r="AE345" s="100" t="str" cm="1">
        <f t="array" ref="AE345">IF(SamplingData[[#This Row],[up/U Selection Probability]] = 0, "Zero", TEXT(SamplingData[[#This Row],[Lower Range]], REPT("0",LEN('General Info'!$B$42))) &amp; " - " &amp; TEXT(SamplingData[[#This Row],[Upper Range]], REPT("0",LEN('General Info'!$B$42))))</f>
        <v>06789 - 06807</v>
      </c>
      <c r="AF345" s="100">
        <f>SamplingData[[#This Row],[Upper Range]]-SamplingData[[#This Row],[Span]]</f>
        <v>6789.4255101491435</v>
      </c>
      <c r="AG345" s="100">
        <f>IF(ISNUMBER('General Info'!$B$42), ((SamplingData[[#This Row],[up/U Selection Probability]]) * 'General Info'!$B$44) - 1, 0)</f>
        <v>17.844559306520225</v>
      </c>
      <c r="AH345" s="100">
        <f>IF(ISNUMBER('General Info'!$B$42), (SamplingData[[#This Row],[Running (cumulative) sum]] * ('General Info'!$B$42 -'General Info'!$B$43 + 1)) + 'General Info'!$B$43 - 1, 0)</f>
        <v>6807.2700694556634</v>
      </c>
      <c r="AI345" s="100" t="str">
        <f>IF(ISERROR(MATCH(SamplingData[[#This Row],[Batch by Type (p)]],SelectedPrecincts[Batch Name], 0)), "", INDEX(SelectedPrecincts[Draw], MATCH(SamplingData[[#This Row],[Batch by Type (p)]],SelectedPrecincts[Batch Name], 0)))</f>
        <v/>
      </c>
      <c r="AJ345" s="101">
        <f>IF(COUNTIF(SelectedPrecincts[Batch Name],SamplingData[[#This Row],[Batch by Type (p)]]) &lt;&gt; 0, COUNTIF(SelectedPrecincts[Batch Name],SamplingData[[#This Row],[Batch by Type (p)]]), 0)</f>
        <v>0</v>
      </c>
    </row>
    <row r="346" spans="1:36" ht="15" customHeight="1" x14ac:dyDescent="0.35">
      <c r="A346" s="98" t="s">
        <v>558</v>
      </c>
      <c r="B346" s="98">
        <v>12</v>
      </c>
      <c r="C346" s="98">
        <v>1</v>
      </c>
      <c r="D346" s="93"/>
      <c r="E346" s="93"/>
      <c r="F346" s="93"/>
      <c r="G346" s="97"/>
      <c r="H346" s="97"/>
      <c r="I346" s="93"/>
      <c r="J346" s="93"/>
      <c r="K346" s="93"/>
      <c r="L346" s="93"/>
      <c r="M346" s="93"/>
      <c r="N346" s="98">
        <v>0</v>
      </c>
      <c r="O346" s="98">
        <v>0</v>
      </c>
      <c r="P346" s="99">
        <f>SUM(SamplingData[[#This Row],[Winning Candidate]:[Under Votes]])</f>
        <v>13</v>
      </c>
      <c r="Q346"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346" s="100">
        <f>IF(AND(SamplingData[[#This Row],[Total]]&lt;&gt; 0, NOT(ISBLANK(SamplingData[[#This Row],[Candidate 3]]))),(SamplingData[[#This Row],[Total]]+SamplingData[[#This Row],[Winning Candidate]]-SamplingData[[#This Row],[Candidate 3]])/(SamplingData[[#Totals],[Winning Candidate]]-SamplingData[[#Totals],[Candidate 3]]), 0)</f>
        <v>0</v>
      </c>
      <c r="S346" s="100">
        <f>IF(AND(SamplingData[[#This Row],[Total]]&lt;&gt; 0, NOT(ISBLANK(SamplingData[[#This Row],[Candidate 4]]))),(SamplingData[[#This Row],[Total]]+SamplingData[[#This Row],[Winning Candidate]]-SamplingData[[#This Row],[Candidate 4]])/(SamplingData[[#Totals],[Winning Candidate]]-SamplingData[[#Totals],[Candidate 4]]), 0)</f>
        <v>0</v>
      </c>
      <c r="T346" s="100">
        <f>IF(AND(SamplingData[[#This Row],[Total]]&lt;&gt; 0, NOT(ISBLANK(SamplingData[[#This Row],[Candidate 5]]))),(SamplingData[[#This Row],[Total]]+SamplingData[[#This Row],[Winning Candidate]]-SamplingData[[#This Row],[Candidate 5]])/(SamplingData[[#Totals],[Winning Candidate]]-SamplingData[[#Totals],[Candidate 5]]), 0)</f>
        <v>0</v>
      </c>
      <c r="U346" s="100">
        <f>IF(AND(SamplingData[[#This Row],[Total]]&lt;&gt; 0, NOT(ISBLANK(SamplingData[[#This Row],[Candidate 6]]))),(SamplingData[[#This Row],[Total]]+SamplingData[[#This Row],[Losing Candidate]]-SamplingData[[#This Row],[Candidate 6]])/(SamplingData[[#Totals],[Winning Candidate]]-SamplingData[[#Totals],[Candidate 6]]), 0)</f>
        <v>0</v>
      </c>
      <c r="V346" s="100">
        <f>IF(AND(SamplingData[[#This Row],[Total]]&lt;&gt; 0, NOT(ISBLANK(SamplingData[[#This Row],[Candidate 7]]))),(SamplingData[[#This Row],[Total]]+SamplingData[[#This Row],[Winning Candidate]]-SamplingData[[#This Row],[Candidate 7]])/(SamplingData[[#Totals],[Winning Candidate]]-SamplingData[[#Totals],[Candidate 7]]), 0)</f>
        <v>0</v>
      </c>
      <c r="W346" s="100">
        <f>IF(AND(SamplingData[[#This Row],[Total]]&lt;&gt; 0, NOT(ISBLANK(SamplingData[[#This Row],[Candidate 8]]))),(SamplingData[[#This Row],[Total]]+SamplingData[[#This Row],[Winning Candidate]]-SamplingData[[#This Row],[Candidate 8]])/(SamplingData[[#Totals],[Winning Candidate]]-SamplingData[[#Totals],[Candidate 8]]), 0)</f>
        <v>0</v>
      </c>
      <c r="X3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00">
        <f>MAX(SamplingData[[#This Row],[Error Bound (up) - Max. possible relative overstatement - Losing Candidate]:[Error Bound (up) - Max. possible relative overstatement - Candidate 12]])</f>
        <v>7.5383987184722177E-4</v>
      </c>
      <c r="AC346" s="100">
        <f>IF(SamplingData[[#This Row],[Max Error Bound (up)]] = 0,0,SamplingData[[#This Row],[Max Error Bound (up)]]/SamplingData[[#Totals],[Max Error Bound (up)]])</f>
        <v>3.2304958811177527E-4</v>
      </c>
      <c r="AD346" s="104">
        <f>SUM($AC$5:AC346)</f>
        <v>6.8405750282668404E-2</v>
      </c>
      <c r="AE346" s="100" t="str" cm="1">
        <f t="array" ref="AE346">IF(SamplingData[[#This Row],[up/U Selection Probability]] = 0, "Zero", TEXT(SamplingData[[#This Row],[Lower Range]], REPT("0",LEN('General Info'!$B$42))) &amp; " - " &amp; TEXT(SamplingData[[#This Row],[Upper Range]], REPT("0",LEN('General Info'!$B$42))))</f>
        <v>06808 - 06840</v>
      </c>
      <c r="AF346" s="100">
        <f>SamplingData[[#This Row],[Upper Range]]-SamplingData[[#This Row],[Span]]</f>
        <v>6808.2700694556634</v>
      </c>
      <c r="AG346" s="100">
        <f>IF(ISNUMBER('General Info'!$B$42), ((SamplingData[[#This Row],[up/U Selection Probability]]) * 'General Info'!$B$44) - 1, 0)</f>
        <v>31.304958811177528</v>
      </c>
      <c r="AH346" s="100">
        <f>IF(ISNUMBER('General Info'!$B$42), (SamplingData[[#This Row],[Running (cumulative) sum]] * ('General Info'!$B$42 -'General Info'!$B$43 + 1)) + 'General Info'!$B$43 - 1, 0)</f>
        <v>6839.5750282668405</v>
      </c>
      <c r="AI346" s="100" t="str">
        <f>IF(ISERROR(MATCH(SamplingData[[#This Row],[Batch by Type (p)]],SelectedPrecincts[Batch Name], 0)), "", INDEX(SelectedPrecincts[Draw], MATCH(SamplingData[[#This Row],[Batch by Type (p)]],SelectedPrecincts[Batch Name], 0)))</f>
        <v/>
      </c>
      <c r="AJ346" s="101">
        <f>IF(COUNTIF(SelectedPrecincts[Batch Name],SamplingData[[#This Row],[Batch by Type (p)]]) &lt;&gt; 0, COUNTIF(SelectedPrecincts[Batch Name],SamplingData[[#This Row],[Batch by Type (p)]]), 0)</f>
        <v>0</v>
      </c>
    </row>
    <row r="347" spans="1:36" ht="15" customHeight="1" x14ac:dyDescent="0.35">
      <c r="A347" s="98" t="s">
        <v>559</v>
      </c>
      <c r="B347" s="98">
        <v>2</v>
      </c>
      <c r="C347" s="98">
        <v>2</v>
      </c>
      <c r="D347" s="93"/>
      <c r="E347" s="93"/>
      <c r="F347" s="93"/>
      <c r="G347" s="97"/>
      <c r="H347" s="97"/>
      <c r="I347" s="93"/>
      <c r="J347" s="93"/>
      <c r="K347" s="93"/>
      <c r="L347" s="93"/>
      <c r="M347" s="93"/>
      <c r="N347" s="98">
        <v>0</v>
      </c>
      <c r="O347" s="98">
        <v>0</v>
      </c>
      <c r="P347" s="99">
        <f>SUM(SamplingData[[#This Row],[Winning Candidate]:[Under Votes]])</f>
        <v>4</v>
      </c>
      <c r="Q347"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347" s="100">
        <f>IF(AND(SamplingData[[#This Row],[Total]]&lt;&gt; 0, NOT(ISBLANK(SamplingData[[#This Row],[Candidate 3]]))),(SamplingData[[#This Row],[Total]]+SamplingData[[#This Row],[Winning Candidate]]-SamplingData[[#This Row],[Candidate 3]])/(SamplingData[[#Totals],[Winning Candidate]]-SamplingData[[#Totals],[Candidate 3]]), 0)</f>
        <v>0</v>
      </c>
      <c r="S347" s="100">
        <f>IF(AND(SamplingData[[#This Row],[Total]]&lt;&gt; 0, NOT(ISBLANK(SamplingData[[#This Row],[Candidate 4]]))),(SamplingData[[#This Row],[Total]]+SamplingData[[#This Row],[Winning Candidate]]-SamplingData[[#This Row],[Candidate 4]])/(SamplingData[[#Totals],[Winning Candidate]]-SamplingData[[#Totals],[Candidate 4]]), 0)</f>
        <v>0</v>
      </c>
      <c r="T347" s="100">
        <f>IF(AND(SamplingData[[#This Row],[Total]]&lt;&gt; 0, NOT(ISBLANK(SamplingData[[#This Row],[Candidate 5]]))),(SamplingData[[#This Row],[Total]]+SamplingData[[#This Row],[Winning Candidate]]-SamplingData[[#This Row],[Candidate 5]])/(SamplingData[[#Totals],[Winning Candidate]]-SamplingData[[#Totals],[Candidate 5]]), 0)</f>
        <v>0</v>
      </c>
      <c r="U347" s="100">
        <f>IF(AND(SamplingData[[#This Row],[Total]]&lt;&gt; 0, NOT(ISBLANK(SamplingData[[#This Row],[Candidate 6]]))),(SamplingData[[#This Row],[Total]]+SamplingData[[#This Row],[Losing Candidate]]-SamplingData[[#This Row],[Candidate 6]])/(SamplingData[[#Totals],[Winning Candidate]]-SamplingData[[#Totals],[Candidate 6]]), 0)</f>
        <v>0</v>
      </c>
      <c r="V347" s="100">
        <f>IF(AND(SamplingData[[#This Row],[Total]]&lt;&gt; 0, NOT(ISBLANK(SamplingData[[#This Row],[Candidate 7]]))),(SamplingData[[#This Row],[Total]]+SamplingData[[#This Row],[Winning Candidate]]-SamplingData[[#This Row],[Candidate 7]])/(SamplingData[[#Totals],[Winning Candidate]]-SamplingData[[#Totals],[Candidate 7]]), 0)</f>
        <v>0</v>
      </c>
      <c r="W347" s="100">
        <f>IF(AND(SamplingData[[#This Row],[Total]]&lt;&gt; 0, NOT(ISBLANK(SamplingData[[#This Row],[Candidate 8]]))),(SamplingData[[#This Row],[Total]]+SamplingData[[#This Row],[Winning Candidate]]-SamplingData[[#This Row],[Candidate 8]])/(SamplingData[[#Totals],[Winning Candidate]]-SamplingData[[#Totals],[Candidate 8]]), 0)</f>
        <v>0</v>
      </c>
      <c r="X3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00">
        <f>MAX(SamplingData[[#This Row],[Error Bound (up) - Max. possible relative overstatement - Losing Candidate]:[Error Bound (up) - Max. possible relative overstatement - Candidate 12]])</f>
        <v>1.2563997864120362E-4</v>
      </c>
      <c r="AC347" s="100">
        <f>IF(SamplingData[[#This Row],[Max Error Bound (up)]] = 0,0,SamplingData[[#This Row],[Max Error Bound (up)]]/SamplingData[[#Totals],[Max Error Bound (up)]])</f>
        <v>5.3841598018629206E-5</v>
      </c>
      <c r="AD347" s="104">
        <f>SUM($AC$5:AC347)</f>
        <v>6.8459591880687037E-2</v>
      </c>
      <c r="AE347" s="100" t="str" cm="1">
        <f t="array" ref="AE347">IF(SamplingData[[#This Row],[up/U Selection Probability]] = 0, "Zero", TEXT(SamplingData[[#This Row],[Lower Range]], REPT("0",LEN('General Info'!$B$42))) &amp; " - " &amp; TEXT(SamplingData[[#This Row],[Upper Range]], REPT("0",LEN('General Info'!$B$42))))</f>
        <v>06841 - 06845</v>
      </c>
      <c r="AF347" s="100">
        <f>SamplingData[[#This Row],[Upper Range]]-SamplingData[[#This Row],[Span]]</f>
        <v>6840.5750282668414</v>
      </c>
      <c r="AG347" s="100">
        <f>IF(ISNUMBER('General Info'!$B$42), ((SamplingData[[#This Row],[up/U Selection Probability]]) * 'General Info'!$B$44) - 1, 0)</f>
        <v>4.3841598018629204</v>
      </c>
      <c r="AH347" s="100">
        <f>IF(ISNUMBER('General Info'!$B$42), (SamplingData[[#This Row],[Running (cumulative) sum]] * ('General Info'!$B$42 -'General Info'!$B$43 + 1)) + 'General Info'!$B$43 - 1, 0)</f>
        <v>6844.959188068704</v>
      </c>
      <c r="AI347" s="100" t="str">
        <f>IF(ISERROR(MATCH(SamplingData[[#This Row],[Batch by Type (p)]],SelectedPrecincts[Batch Name], 0)), "", INDEX(SelectedPrecincts[Draw], MATCH(SamplingData[[#This Row],[Batch by Type (p)]],SelectedPrecincts[Batch Name], 0)))</f>
        <v/>
      </c>
      <c r="AJ347" s="101">
        <f>IF(COUNTIF(SelectedPrecincts[Batch Name],SamplingData[[#This Row],[Batch by Type (p)]]) &lt;&gt; 0, COUNTIF(SelectedPrecincts[Batch Name],SamplingData[[#This Row],[Batch by Type (p)]]), 0)</f>
        <v>0</v>
      </c>
    </row>
    <row r="348" spans="1:36" ht="15" customHeight="1" x14ac:dyDescent="0.35">
      <c r="A348" s="98" t="s">
        <v>560</v>
      </c>
      <c r="B348" s="98">
        <v>8</v>
      </c>
      <c r="C348" s="98">
        <v>3</v>
      </c>
      <c r="D348" s="93"/>
      <c r="E348" s="93"/>
      <c r="F348" s="93"/>
      <c r="G348" s="97"/>
      <c r="H348" s="97"/>
      <c r="I348" s="93"/>
      <c r="J348" s="93"/>
      <c r="K348" s="93"/>
      <c r="L348" s="93"/>
      <c r="M348" s="93"/>
      <c r="N348" s="98">
        <v>0</v>
      </c>
      <c r="O348" s="98">
        <v>0</v>
      </c>
      <c r="P348" s="99">
        <f>SUM(SamplingData[[#This Row],[Winning Candidate]:[Under Votes]])</f>
        <v>11</v>
      </c>
      <c r="Q348"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348" s="100">
        <f>IF(AND(SamplingData[[#This Row],[Total]]&lt;&gt; 0, NOT(ISBLANK(SamplingData[[#This Row],[Candidate 3]]))),(SamplingData[[#This Row],[Total]]+SamplingData[[#This Row],[Winning Candidate]]-SamplingData[[#This Row],[Candidate 3]])/(SamplingData[[#Totals],[Winning Candidate]]-SamplingData[[#Totals],[Candidate 3]]), 0)</f>
        <v>0</v>
      </c>
      <c r="S348" s="100">
        <f>IF(AND(SamplingData[[#This Row],[Total]]&lt;&gt; 0, NOT(ISBLANK(SamplingData[[#This Row],[Candidate 4]]))),(SamplingData[[#This Row],[Total]]+SamplingData[[#This Row],[Winning Candidate]]-SamplingData[[#This Row],[Candidate 4]])/(SamplingData[[#Totals],[Winning Candidate]]-SamplingData[[#Totals],[Candidate 4]]), 0)</f>
        <v>0</v>
      </c>
      <c r="T348" s="100">
        <f>IF(AND(SamplingData[[#This Row],[Total]]&lt;&gt; 0, NOT(ISBLANK(SamplingData[[#This Row],[Candidate 5]]))),(SamplingData[[#This Row],[Total]]+SamplingData[[#This Row],[Winning Candidate]]-SamplingData[[#This Row],[Candidate 5]])/(SamplingData[[#Totals],[Winning Candidate]]-SamplingData[[#Totals],[Candidate 5]]), 0)</f>
        <v>0</v>
      </c>
      <c r="U348" s="100">
        <f>IF(AND(SamplingData[[#This Row],[Total]]&lt;&gt; 0, NOT(ISBLANK(SamplingData[[#This Row],[Candidate 6]]))),(SamplingData[[#This Row],[Total]]+SamplingData[[#This Row],[Losing Candidate]]-SamplingData[[#This Row],[Candidate 6]])/(SamplingData[[#Totals],[Winning Candidate]]-SamplingData[[#Totals],[Candidate 6]]), 0)</f>
        <v>0</v>
      </c>
      <c r="V348" s="100">
        <f>IF(AND(SamplingData[[#This Row],[Total]]&lt;&gt; 0, NOT(ISBLANK(SamplingData[[#This Row],[Candidate 7]]))),(SamplingData[[#This Row],[Total]]+SamplingData[[#This Row],[Winning Candidate]]-SamplingData[[#This Row],[Candidate 7]])/(SamplingData[[#Totals],[Winning Candidate]]-SamplingData[[#Totals],[Candidate 7]]), 0)</f>
        <v>0</v>
      </c>
      <c r="W348" s="100">
        <f>IF(AND(SamplingData[[#This Row],[Total]]&lt;&gt; 0, NOT(ISBLANK(SamplingData[[#This Row],[Candidate 8]]))),(SamplingData[[#This Row],[Total]]+SamplingData[[#This Row],[Winning Candidate]]-SamplingData[[#This Row],[Candidate 8]])/(SamplingData[[#Totals],[Winning Candidate]]-SamplingData[[#Totals],[Candidate 8]]), 0)</f>
        <v>0</v>
      </c>
      <c r="X3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00">
        <f>MAX(SamplingData[[#This Row],[Error Bound (up) - Max. possible relative overstatement - Losing Candidate]:[Error Bound (up) - Max. possible relative overstatement - Candidate 12]])</f>
        <v>5.0255991456481448E-4</v>
      </c>
      <c r="AC348" s="100">
        <f>IF(SamplingData[[#This Row],[Max Error Bound (up)]] = 0,0,SamplingData[[#This Row],[Max Error Bound (up)]]/SamplingData[[#Totals],[Max Error Bound (up)]])</f>
        <v>2.1536639207451683E-4</v>
      </c>
      <c r="AD348" s="104">
        <f>SUM($AC$5:AC348)</f>
        <v>6.8674958272761558E-2</v>
      </c>
      <c r="AE348" s="100" t="str" cm="1">
        <f t="array" ref="AE348">IF(SamplingData[[#This Row],[up/U Selection Probability]] = 0, "Zero", TEXT(SamplingData[[#This Row],[Lower Range]], REPT("0",LEN('General Info'!$B$42))) &amp; " - " &amp; TEXT(SamplingData[[#This Row],[Upper Range]], REPT("0",LEN('General Info'!$B$42))))</f>
        <v>06846 - 06866</v>
      </c>
      <c r="AF348" s="100">
        <f>SamplingData[[#This Row],[Upper Range]]-SamplingData[[#This Row],[Span]]</f>
        <v>6845.959188068704</v>
      </c>
      <c r="AG348" s="100">
        <f>IF(ISNUMBER('General Info'!$B$42), ((SamplingData[[#This Row],[up/U Selection Probability]]) * 'General Info'!$B$44) - 1, 0)</f>
        <v>20.536639207451682</v>
      </c>
      <c r="AH348" s="100">
        <f>IF(ISNUMBER('General Info'!$B$42), (SamplingData[[#This Row],[Running (cumulative) sum]] * ('General Info'!$B$42 -'General Info'!$B$43 + 1)) + 'General Info'!$B$43 - 1, 0)</f>
        <v>6866.495827276156</v>
      </c>
      <c r="AI348" s="100" t="str">
        <f>IF(ISERROR(MATCH(SamplingData[[#This Row],[Batch by Type (p)]],SelectedPrecincts[Batch Name], 0)), "", INDEX(SelectedPrecincts[Draw], MATCH(SamplingData[[#This Row],[Batch by Type (p)]],SelectedPrecincts[Batch Name], 0)))</f>
        <v/>
      </c>
      <c r="AJ348" s="101">
        <f>IF(COUNTIF(SelectedPrecincts[Batch Name],SamplingData[[#This Row],[Batch by Type (p)]]) &lt;&gt; 0, COUNTIF(SelectedPrecincts[Batch Name],SamplingData[[#This Row],[Batch by Type (p)]]), 0)</f>
        <v>0</v>
      </c>
    </row>
    <row r="349" spans="1:36" ht="15" customHeight="1" x14ac:dyDescent="0.35">
      <c r="A349" s="98" t="s">
        <v>561</v>
      </c>
      <c r="B349" s="98">
        <v>7</v>
      </c>
      <c r="C349" s="98">
        <v>0</v>
      </c>
      <c r="D349" s="93"/>
      <c r="E349" s="93"/>
      <c r="F349" s="93"/>
      <c r="G349" s="97"/>
      <c r="H349" s="97"/>
      <c r="I349" s="93"/>
      <c r="J349" s="93"/>
      <c r="K349" s="93"/>
      <c r="L349" s="93"/>
      <c r="M349" s="93"/>
      <c r="N349" s="98">
        <v>0</v>
      </c>
      <c r="O349" s="98">
        <v>1</v>
      </c>
      <c r="P349" s="99">
        <f>SUM(SamplingData[[#This Row],[Winning Candidate]:[Under Votes]])</f>
        <v>8</v>
      </c>
      <c r="Q349"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349" s="100">
        <f>IF(AND(SamplingData[[#This Row],[Total]]&lt;&gt; 0, NOT(ISBLANK(SamplingData[[#This Row],[Candidate 3]]))),(SamplingData[[#This Row],[Total]]+SamplingData[[#This Row],[Winning Candidate]]-SamplingData[[#This Row],[Candidate 3]])/(SamplingData[[#Totals],[Winning Candidate]]-SamplingData[[#Totals],[Candidate 3]]), 0)</f>
        <v>0</v>
      </c>
      <c r="S349" s="100">
        <f>IF(AND(SamplingData[[#This Row],[Total]]&lt;&gt; 0, NOT(ISBLANK(SamplingData[[#This Row],[Candidate 4]]))),(SamplingData[[#This Row],[Total]]+SamplingData[[#This Row],[Winning Candidate]]-SamplingData[[#This Row],[Candidate 4]])/(SamplingData[[#Totals],[Winning Candidate]]-SamplingData[[#Totals],[Candidate 4]]), 0)</f>
        <v>0</v>
      </c>
      <c r="T349" s="100">
        <f>IF(AND(SamplingData[[#This Row],[Total]]&lt;&gt; 0, NOT(ISBLANK(SamplingData[[#This Row],[Candidate 5]]))),(SamplingData[[#This Row],[Total]]+SamplingData[[#This Row],[Winning Candidate]]-SamplingData[[#This Row],[Candidate 5]])/(SamplingData[[#Totals],[Winning Candidate]]-SamplingData[[#Totals],[Candidate 5]]), 0)</f>
        <v>0</v>
      </c>
      <c r="U349" s="100">
        <f>IF(AND(SamplingData[[#This Row],[Total]]&lt;&gt; 0, NOT(ISBLANK(SamplingData[[#This Row],[Candidate 6]]))),(SamplingData[[#This Row],[Total]]+SamplingData[[#This Row],[Losing Candidate]]-SamplingData[[#This Row],[Candidate 6]])/(SamplingData[[#Totals],[Winning Candidate]]-SamplingData[[#Totals],[Candidate 6]]), 0)</f>
        <v>0</v>
      </c>
      <c r="V349" s="100">
        <f>IF(AND(SamplingData[[#This Row],[Total]]&lt;&gt; 0, NOT(ISBLANK(SamplingData[[#This Row],[Candidate 7]]))),(SamplingData[[#This Row],[Total]]+SamplingData[[#This Row],[Winning Candidate]]-SamplingData[[#This Row],[Candidate 7]])/(SamplingData[[#Totals],[Winning Candidate]]-SamplingData[[#Totals],[Candidate 7]]), 0)</f>
        <v>0</v>
      </c>
      <c r="W349" s="100">
        <f>IF(AND(SamplingData[[#This Row],[Total]]&lt;&gt; 0, NOT(ISBLANK(SamplingData[[#This Row],[Candidate 8]]))),(SamplingData[[#This Row],[Total]]+SamplingData[[#This Row],[Winning Candidate]]-SamplingData[[#This Row],[Candidate 8]])/(SamplingData[[#Totals],[Winning Candidate]]-SamplingData[[#Totals],[Candidate 8]]), 0)</f>
        <v>0</v>
      </c>
      <c r="X3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00">
        <f>MAX(SamplingData[[#This Row],[Error Bound (up) - Max. possible relative overstatement - Losing Candidate]:[Error Bound (up) - Max. possible relative overstatement - Candidate 12]])</f>
        <v>4.7114991990451359E-4</v>
      </c>
      <c r="AC349" s="100">
        <f>IF(SamplingData[[#This Row],[Max Error Bound (up)]] = 0,0,SamplingData[[#This Row],[Max Error Bound (up)]]/SamplingData[[#Totals],[Max Error Bound (up)]])</f>
        <v>2.0190599256985953E-4</v>
      </c>
      <c r="AD349" s="104">
        <f>SUM($AC$5:AC349)</f>
        <v>6.8876864265331419E-2</v>
      </c>
      <c r="AE349" s="100" t="str" cm="1">
        <f t="array" ref="AE349">IF(SamplingData[[#This Row],[up/U Selection Probability]] = 0, "Zero", TEXT(SamplingData[[#This Row],[Lower Range]], REPT("0",LEN('General Info'!$B$42))) &amp; " - " &amp; TEXT(SamplingData[[#This Row],[Upper Range]], REPT("0",LEN('General Info'!$B$42))))</f>
        <v>06867 - 06887</v>
      </c>
      <c r="AF349" s="100">
        <f>SamplingData[[#This Row],[Upper Range]]-SamplingData[[#This Row],[Span]]</f>
        <v>6867.495827276156</v>
      </c>
      <c r="AG349" s="100">
        <f>IF(ISNUMBER('General Info'!$B$42), ((SamplingData[[#This Row],[up/U Selection Probability]]) * 'General Info'!$B$44) - 1, 0)</f>
        <v>19.190599256985951</v>
      </c>
      <c r="AH349" s="100">
        <f>IF(ISNUMBER('General Info'!$B$42), (SamplingData[[#This Row],[Running (cumulative) sum]] * ('General Info'!$B$42 -'General Info'!$B$43 + 1)) + 'General Info'!$B$43 - 1, 0)</f>
        <v>6886.6864265331424</v>
      </c>
      <c r="AI349" s="100" t="str">
        <f>IF(ISERROR(MATCH(SamplingData[[#This Row],[Batch by Type (p)]],SelectedPrecincts[Batch Name], 0)), "", INDEX(SelectedPrecincts[Draw], MATCH(SamplingData[[#This Row],[Batch by Type (p)]],SelectedPrecincts[Batch Name], 0)))</f>
        <v/>
      </c>
      <c r="AJ349" s="101">
        <f>IF(COUNTIF(SelectedPrecincts[Batch Name],SamplingData[[#This Row],[Batch by Type (p)]]) &lt;&gt; 0, COUNTIF(SelectedPrecincts[Batch Name],SamplingData[[#This Row],[Batch by Type (p)]]), 0)</f>
        <v>0</v>
      </c>
    </row>
    <row r="350" spans="1:36" ht="15" customHeight="1" x14ac:dyDescent="0.35">
      <c r="A350" s="98" t="s">
        <v>562</v>
      </c>
      <c r="B350" s="98">
        <v>13</v>
      </c>
      <c r="C350" s="98">
        <v>0</v>
      </c>
      <c r="D350" s="93"/>
      <c r="E350" s="93"/>
      <c r="F350" s="93"/>
      <c r="G350" s="97"/>
      <c r="H350" s="97"/>
      <c r="I350" s="93"/>
      <c r="J350" s="93"/>
      <c r="K350" s="93"/>
      <c r="L350" s="93"/>
      <c r="M350" s="93"/>
      <c r="N350" s="98">
        <v>0</v>
      </c>
      <c r="O350" s="98">
        <v>1</v>
      </c>
      <c r="P350" s="99">
        <f>SUM(SamplingData[[#This Row],[Winning Candidate]:[Under Votes]])</f>
        <v>14</v>
      </c>
      <c r="Q350" s="100">
        <f>IF(AND(SamplingData[[#This Row],[Total]]&lt;&gt; 0, NOT(ISBLANK(SamplingData[[#This Row],[Losing Candidate]]))),(SamplingData[[#This Row],[Total]]+SamplingData[[#This Row],[Winning Candidate]]-SamplingData[[#This Row],[Losing Candidate]])/(SamplingData[[#Totals],[Winning Candidate]]-SamplingData[[#Totals],[Losing Candidate]]), 0)</f>
        <v>8.4806985582812453E-4</v>
      </c>
      <c r="R350" s="100">
        <f>IF(AND(SamplingData[[#This Row],[Total]]&lt;&gt; 0, NOT(ISBLANK(SamplingData[[#This Row],[Candidate 3]]))),(SamplingData[[#This Row],[Total]]+SamplingData[[#This Row],[Winning Candidate]]-SamplingData[[#This Row],[Candidate 3]])/(SamplingData[[#Totals],[Winning Candidate]]-SamplingData[[#Totals],[Candidate 3]]), 0)</f>
        <v>0</v>
      </c>
      <c r="S350" s="100">
        <f>IF(AND(SamplingData[[#This Row],[Total]]&lt;&gt; 0, NOT(ISBLANK(SamplingData[[#This Row],[Candidate 4]]))),(SamplingData[[#This Row],[Total]]+SamplingData[[#This Row],[Winning Candidate]]-SamplingData[[#This Row],[Candidate 4]])/(SamplingData[[#Totals],[Winning Candidate]]-SamplingData[[#Totals],[Candidate 4]]), 0)</f>
        <v>0</v>
      </c>
      <c r="T350" s="100">
        <f>IF(AND(SamplingData[[#This Row],[Total]]&lt;&gt; 0, NOT(ISBLANK(SamplingData[[#This Row],[Candidate 5]]))),(SamplingData[[#This Row],[Total]]+SamplingData[[#This Row],[Winning Candidate]]-SamplingData[[#This Row],[Candidate 5]])/(SamplingData[[#Totals],[Winning Candidate]]-SamplingData[[#Totals],[Candidate 5]]), 0)</f>
        <v>0</v>
      </c>
      <c r="U350" s="100">
        <f>IF(AND(SamplingData[[#This Row],[Total]]&lt;&gt; 0, NOT(ISBLANK(SamplingData[[#This Row],[Candidate 6]]))),(SamplingData[[#This Row],[Total]]+SamplingData[[#This Row],[Losing Candidate]]-SamplingData[[#This Row],[Candidate 6]])/(SamplingData[[#Totals],[Winning Candidate]]-SamplingData[[#Totals],[Candidate 6]]), 0)</f>
        <v>0</v>
      </c>
      <c r="V350" s="100">
        <f>IF(AND(SamplingData[[#This Row],[Total]]&lt;&gt; 0, NOT(ISBLANK(SamplingData[[#This Row],[Candidate 7]]))),(SamplingData[[#This Row],[Total]]+SamplingData[[#This Row],[Winning Candidate]]-SamplingData[[#This Row],[Candidate 7]])/(SamplingData[[#Totals],[Winning Candidate]]-SamplingData[[#Totals],[Candidate 7]]), 0)</f>
        <v>0</v>
      </c>
      <c r="W350" s="100">
        <f>IF(AND(SamplingData[[#This Row],[Total]]&lt;&gt; 0, NOT(ISBLANK(SamplingData[[#This Row],[Candidate 8]]))),(SamplingData[[#This Row],[Total]]+SamplingData[[#This Row],[Winning Candidate]]-SamplingData[[#This Row],[Candidate 8]])/(SamplingData[[#Totals],[Winning Candidate]]-SamplingData[[#Totals],[Candidate 8]]), 0)</f>
        <v>0</v>
      </c>
      <c r="X3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00">
        <f>MAX(SamplingData[[#This Row],[Error Bound (up) - Max. possible relative overstatement - Losing Candidate]:[Error Bound (up) - Max. possible relative overstatement - Candidate 12]])</f>
        <v>8.4806985582812453E-4</v>
      </c>
      <c r="AC350" s="100">
        <f>IF(SamplingData[[#This Row],[Max Error Bound (up)]] = 0,0,SamplingData[[#This Row],[Max Error Bound (up)]]/SamplingData[[#Totals],[Max Error Bound (up)]])</f>
        <v>3.6343078662574721E-4</v>
      </c>
      <c r="AD350" s="104">
        <f>SUM($AC$5:AC350)</f>
        <v>6.9240295051957168E-2</v>
      </c>
      <c r="AE350" s="100" t="str" cm="1">
        <f t="array" ref="AE350">IF(SamplingData[[#This Row],[up/U Selection Probability]] = 0, "Zero", TEXT(SamplingData[[#This Row],[Lower Range]], REPT("0",LEN('General Info'!$B$42))) &amp; " - " &amp; TEXT(SamplingData[[#This Row],[Upper Range]], REPT("0",LEN('General Info'!$B$42))))</f>
        <v>06888 - 06923</v>
      </c>
      <c r="AF350" s="100">
        <f>SamplingData[[#This Row],[Upper Range]]-SamplingData[[#This Row],[Span]]</f>
        <v>6887.6864265331415</v>
      </c>
      <c r="AG350" s="100">
        <f>IF(ISNUMBER('General Info'!$B$42), ((SamplingData[[#This Row],[up/U Selection Probability]]) * 'General Info'!$B$44) - 1, 0)</f>
        <v>35.343078662574719</v>
      </c>
      <c r="AH350" s="100">
        <f>IF(ISNUMBER('General Info'!$B$42), (SamplingData[[#This Row],[Running (cumulative) sum]] * ('General Info'!$B$42 -'General Info'!$B$43 + 1)) + 'General Info'!$B$43 - 1, 0)</f>
        <v>6923.0295051957164</v>
      </c>
      <c r="AI350" s="100" t="str">
        <f>IF(ISERROR(MATCH(SamplingData[[#This Row],[Batch by Type (p)]],SelectedPrecincts[Batch Name], 0)), "", INDEX(SelectedPrecincts[Draw], MATCH(SamplingData[[#This Row],[Batch by Type (p)]],SelectedPrecincts[Batch Name], 0)))</f>
        <v/>
      </c>
      <c r="AJ350" s="101">
        <f>IF(COUNTIF(SelectedPrecincts[Batch Name],SamplingData[[#This Row],[Batch by Type (p)]]) &lt;&gt; 0, COUNTIF(SelectedPrecincts[Batch Name],SamplingData[[#This Row],[Batch by Type (p)]]), 0)</f>
        <v>0</v>
      </c>
    </row>
    <row r="351" spans="1:36" ht="15" customHeight="1" x14ac:dyDescent="0.35">
      <c r="A351" s="98" t="s">
        <v>563</v>
      </c>
      <c r="B351" s="98">
        <v>17</v>
      </c>
      <c r="C351" s="98">
        <v>2</v>
      </c>
      <c r="D351" s="93"/>
      <c r="E351" s="93"/>
      <c r="F351" s="93"/>
      <c r="G351" s="97"/>
      <c r="H351" s="97"/>
      <c r="I351" s="93"/>
      <c r="J351" s="93"/>
      <c r="K351" s="93"/>
      <c r="L351" s="93"/>
      <c r="M351" s="93"/>
      <c r="N351" s="98">
        <v>0</v>
      </c>
      <c r="O351" s="98">
        <v>1</v>
      </c>
      <c r="P351" s="99">
        <f>SUM(SamplingData[[#This Row],[Winning Candidate]:[Under Votes]])</f>
        <v>20</v>
      </c>
      <c r="Q351" s="100">
        <f>IF(AND(SamplingData[[#This Row],[Total]]&lt;&gt; 0, NOT(ISBLANK(SamplingData[[#This Row],[Losing Candidate]]))),(SamplingData[[#This Row],[Total]]+SamplingData[[#This Row],[Winning Candidate]]-SamplingData[[#This Row],[Losing Candidate]])/(SamplingData[[#Totals],[Winning Candidate]]-SamplingData[[#Totals],[Losing Candidate]]), 0)</f>
        <v>1.0993498131105317E-3</v>
      </c>
      <c r="R351" s="100">
        <f>IF(AND(SamplingData[[#This Row],[Total]]&lt;&gt; 0, NOT(ISBLANK(SamplingData[[#This Row],[Candidate 3]]))),(SamplingData[[#This Row],[Total]]+SamplingData[[#This Row],[Winning Candidate]]-SamplingData[[#This Row],[Candidate 3]])/(SamplingData[[#Totals],[Winning Candidate]]-SamplingData[[#Totals],[Candidate 3]]), 0)</f>
        <v>0</v>
      </c>
      <c r="S351" s="100">
        <f>IF(AND(SamplingData[[#This Row],[Total]]&lt;&gt; 0, NOT(ISBLANK(SamplingData[[#This Row],[Candidate 4]]))),(SamplingData[[#This Row],[Total]]+SamplingData[[#This Row],[Winning Candidate]]-SamplingData[[#This Row],[Candidate 4]])/(SamplingData[[#Totals],[Winning Candidate]]-SamplingData[[#Totals],[Candidate 4]]), 0)</f>
        <v>0</v>
      </c>
      <c r="T351" s="100">
        <f>IF(AND(SamplingData[[#This Row],[Total]]&lt;&gt; 0, NOT(ISBLANK(SamplingData[[#This Row],[Candidate 5]]))),(SamplingData[[#This Row],[Total]]+SamplingData[[#This Row],[Winning Candidate]]-SamplingData[[#This Row],[Candidate 5]])/(SamplingData[[#Totals],[Winning Candidate]]-SamplingData[[#Totals],[Candidate 5]]), 0)</f>
        <v>0</v>
      </c>
      <c r="U351" s="100">
        <f>IF(AND(SamplingData[[#This Row],[Total]]&lt;&gt; 0, NOT(ISBLANK(SamplingData[[#This Row],[Candidate 6]]))),(SamplingData[[#This Row],[Total]]+SamplingData[[#This Row],[Losing Candidate]]-SamplingData[[#This Row],[Candidate 6]])/(SamplingData[[#Totals],[Winning Candidate]]-SamplingData[[#Totals],[Candidate 6]]), 0)</f>
        <v>0</v>
      </c>
      <c r="V351" s="100">
        <f>IF(AND(SamplingData[[#This Row],[Total]]&lt;&gt; 0, NOT(ISBLANK(SamplingData[[#This Row],[Candidate 7]]))),(SamplingData[[#This Row],[Total]]+SamplingData[[#This Row],[Winning Candidate]]-SamplingData[[#This Row],[Candidate 7]])/(SamplingData[[#Totals],[Winning Candidate]]-SamplingData[[#Totals],[Candidate 7]]), 0)</f>
        <v>0</v>
      </c>
      <c r="W351" s="100">
        <f>IF(AND(SamplingData[[#This Row],[Total]]&lt;&gt; 0, NOT(ISBLANK(SamplingData[[#This Row],[Candidate 8]]))),(SamplingData[[#This Row],[Total]]+SamplingData[[#This Row],[Winning Candidate]]-SamplingData[[#This Row],[Candidate 8]])/(SamplingData[[#Totals],[Winning Candidate]]-SamplingData[[#Totals],[Candidate 8]]), 0)</f>
        <v>0</v>
      </c>
      <c r="X3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00">
        <f>MAX(SamplingData[[#This Row],[Error Bound (up) - Max. possible relative overstatement - Losing Candidate]:[Error Bound (up) - Max. possible relative overstatement - Candidate 12]])</f>
        <v>1.0993498131105317E-3</v>
      </c>
      <c r="AC351" s="100">
        <f>IF(SamplingData[[#This Row],[Max Error Bound (up)]] = 0,0,SamplingData[[#This Row],[Max Error Bound (up)]]/SamplingData[[#Totals],[Max Error Bound (up)]])</f>
        <v>4.711139826630056E-4</v>
      </c>
      <c r="AD351" s="104">
        <f>SUM($AC$5:AC351)</f>
        <v>6.971140903462017E-2</v>
      </c>
      <c r="AE351" s="100" t="str" cm="1">
        <f t="array" ref="AE351">IF(SamplingData[[#This Row],[up/U Selection Probability]] = 0, "Zero", TEXT(SamplingData[[#This Row],[Lower Range]], REPT("0",LEN('General Info'!$B$42))) &amp; " - " &amp; TEXT(SamplingData[[#This Row],[Upper Range]], REPT("0",LEN('General Info'!$B$42))))</f>
        <v>06924 - 06970</v>
      </c>
      <c r="AF351" s="100">
        <f>SamplingData[[#This Row],[Upper Range]]-SamplingData[[#This Row],[Span]]</f>
        <v>6924.0295051957164</v>
      </c>
      <c r="AG351" s="100">
        <f>IF(ISNUMBER('General Info'!$B$42), ((SamplingData[[#This Row],[up/U Selection Probability]]) * 'General Info'!$B$44) - 1, 0)</f>
        <v>46.111398266300561</v>
      </c>
      <c r="AH351" s="100">
        <f>IF(ISNUMBER('General Info'!$B$42), (SamplingData[[#This Row],[Running (cumulative) sum]] * ('General Info'!$B$42 -'General Info'!$B$43 + 1)) + 'General Info'!$B$43 - 1, 0)</f>
        <v>6970.1409034620174</v>
      </c>
      <c r="AI351" s="100" t="str">
        <f>IF(ISERROR(MATCH(SamplingData[[#This Row],[Batch by Type (p)]],SelectedPrecincts[Batch Name], 0)), "", INDEX(SelectedPrecincts[Draw], MATCH(SamplingData[[#This Row],[Batch by Type (p)]],SelectedPrecincts[Batch Name], 0)))</f>
        <v/>
      </c>
      <c r="AJ351" s="101">
        <f>IF(COUNTIF(SelectedPrecincts[Batch Name],SamplingData[[#This Row],[Batch by Type (p)]]) &lt;&gt; 0, COUNTIF(SelectedPrecincts[Batch Name],SamplingData[[#This Row],[Batch by Type (p)]]), 0)</f>
        <v>0</v>
      </c>
    </row>
    <row r="352" spans="1:36" ht="15" customHeight="1" x14ac:dyDescent="0.35">
      <c r="A352" s="98" t="s">
        <v>564</v>
      </c>
      <c r="B352" s="98">
        <v>6</v>
      </c>
      <c r="C352" s="98">
        <v>0</v>
      </c>
      <c r="D352" s="93"/>
      <c r="E352" s="93"/>
      <c r="F352" s="93"/>
      <c r="G352" s="97"/>
      <c r="H352" s="97"/>
      <c r="I352" s="93"/>
      <c r="J352" s="93"/>
      <c r="K352" s="93"/>
      <c r="L352" s="93"/>
      <c r="M352" s="93"/>
      <c r="N352" s="98">
        <v>0</v>
      </c>
      <c r="O352" s="98">
        <v>0</v>
      </c>
      <c r="P352" s="99">
        <f>SUM(SamplingData[[#This Row],[Winning Candidate]:[Under Votes]])</f>
        <v>6</v>
      </c>
      <c r="Q352"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352" s="100">
        <f>IF(AND(SamplingData[[#This Row],[Total]]&lt;&gt; 0, NOT(ISBLANK(SamplingData[[#This Row],[Candidate 3]]))),(SamplingData[[#This Row],[Total]]+SamplingData[[#This Row],[Winning Candidate]]-SamplingData[[#This Row],[Candidate 3]])/(SamplingData[[#Totals],[Winning Candidate]]-SamplingData[[#Totals],[Candidate 3]]), 0)</f>
        <v>0</v>
      </c>
      <c r="S352" s="100">
        <f>IF(AND(SamplingData[[#This Row],[Total]]&lt;&gt; 0, NOT(ISBLANK(SamplingData[[#This Row],[Candidate 4]]))),(SamplingData[[#This Row],[Total]]+SamplingData[[#This Row],[Winning Candidate]]-SamplingData[[#This Row],[Candidate 4]])/(SamplingData[[#Totals],[Winning Candidate]]-SamplingData[[#Totals],[Candidate 4]]), 0)</f>
        <v>0</v>
      </c>
      <c r="T352" s="100">
        <f>IF(AND(SamplingData[[#This Row],[Total]]&lt;&gt; 0, NOT(ISBLANK(SamplingData[[#This Row],[Candidate 5]]))),(SamplingData[[#This Row],[Total]]+SamplingData[[#This Row],[Winning Candidate]]-SamplingData[[#This Row],[Candidate 5]])/(SamplingData[[#Totals],[Winning Candidate]]-SamplingData[[#Totals],[Candidate 5]]), 0)</f>
        <v>0</v>
      </c>
      <c r="U352" s="100">
        <f>IF(AND(SamplingData[[#This Row],[Total]]&lt;&gt; 0, NOT(ISBLANK(SamplingData[[#This Row],[Candidate 6]]))),(SamplingData[[#This Row],[Total]]+SamplingData[[#This Row],[Losing Candidate]]-SamplingData[[#This Row],[Candidate 6]])/(SamplingData[[#Totals],[Winning Candidate]]-SamplingData[[#Totals],[Candidate 6]]), 0)</f>
        <v>0</v>
      </c>
      <c r="V352" s="100">
        <f>IF(AND(SamplingData[[#This Row],[Total]]&lt;&gt; 0, NOT(ISBLANK(SamplingData[[#This Row],[Candidate 7]]))),(SamplingData[[#This Row],[Total]]+SamplingData[[#This Row],[Winning Candidate]]-SamplingData[[#This Row],[Candidate 7]])/(SamplingData[[#Totals],[Winning Candidate]]-SamplingData[[#Totals],[Candidate 7]]), 0)</f>
        <v>0</v>
      </c>
      <c r="W352" s="100">
        <f>IF(AND(SamplingData[[#This Row],[Total]]&lt;&gt; 0, NOT(ISBLANK(SamplingData[[#This Row],[Candidate 8]]))),(SamplingData[[#This Row],[Total]]+SamplingData[[#This Row],[Winning Candidate]]-SamplingData[[#This Row],[Candidate 8]])/(SamplingData[[#Totals],[Winning Candidate]]-SamplingData[[#Totals],[Candidate 8]]), 0)</f>
        <v>0</v>
      </c>
      <c r="X3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00">
        <f>MAX(SamplingData[[#This Row],[Error Bound (up) - Max. possible relative overstatement - Losing Candidate]:[Error Bound (up) - Max. possible relative overstatement - Candidate 12]])</f>
        <v>3.7691993592361088E-4</v>
      </c>
      <c r="AC352" s="100">
        <f>IF(SamplingData[[#This Row],[Max Error Bound (up)]] = 0,0,SamplingData[[#This Row],[Max Error Bound (up)]]/SamplingData[[#Totals],[Max Error Bound (up)]])</f>
        <v>1.6152479405588763E-4</v>
      </c>
      <c r="AD352" s="104">
        <f>SUM($AC$5:AC352)</f>
        <v>6.9872933828676057E-2</v>
      </c>
      <c r="AE352" s="100" t="str" cm="1">
        <f t="array" ref="AE352">IF(SamplingData[[#This Row],[up/U Selection Probability]] = 0, "Zero", TEXT(SamplingData[[#This Row],[Lower Range]], REPT("0",LEN('General Info'!$B$42))) &amp; " - " &amp; TEXT(SamplingData[[#This Row],[Upper Range]], REPT("0",LEN('General Info'!$B$42))))</f>
        <v>06971 - 06986</v>
      </c>
      <c r="AF352" s="100">
        <f>SamplingData[[#This Row],[Upper Range]]-SamplingData[[#This Row],[Span]]</f>
        <v>6971.1409034620174</v>
      </c>
      <c r="AG352" s="100">
        <f>IF(ISNUMBER('General Info'!$B$42), ((SamplingData[[#This Row],[up/U Selection Probability]]) * 'General Info'!$B$44) - 1, 0)</f>
        <v>15.152479405588764</v>
      </c>
      <c r="AH352" s="100">
        <f>IF(ISNUMBER('General Info'!$B$42), (SamplingData[[#This Row],[Running (cumulative) sum]] * ('General Info'!$B$42 -'General Info'!$B$43 + 1)) + 'General Info'!$B$43 - 1, 0)</f>
        <v>6986.2933828676059</v>
      </c>
      <c r="AI352" s="100" t="str">
        <f>IF(ISERROR(MATCH(SamplingData[[#This Row],[Batch by Type (p)]],SelectedPrecincts[Batch Name], 0)), "", INDEX(SelectedPrecincts[Draw], MATCH(SamplingData[[#This Row],[Batch by Type (p)]],SelectedPrecincts[Batch Name], 0)))</f>
        <v/>
      </c>
      <c r="AJ352" s="101">
        <f>IF(COUNTIF(SelectedPrecincts[Batch Name],SamplingData[[#This Row],[Batch by Type (p)]]) &lt;&gt; 0, COUNTIF(SelectedPrecincts[Batch Name],SamplingData[[#This Row],[Batch by Type (p)]]), 0)</f>
        <v>0</v>
      </c>
    </row>
    <row r="353" spans="1:36" ht="15" customHeight="1" x14ac:dyDescent="0.35">
      <c r="A353" s="98" t="s">
        <v>565</v>
      </c>
      <c r="B353" s="98">
        <v>13</v>
      </c>
      <c r="C353" s="98">
        <v>2</v>
      </c>
      <c r="D353" s="93"/>
      <c r="E353" s="93"/>
      <c r="F353" s="93"/>
      <c r="G353" s="97"/>
      <c r="H353" s="97"/>
      <c r="I353" s="93"/>
      <c r="J353" s="93"/>
      <c r="K353" s="93"/>
      <c r="L353" s="93"/>
      <c r="M353" s="93"/>
      <c r="N353" s="98">
        <v>0</v>
      </c>
      <c r="O353" s="98">
        <v>1</v>
      </c>
      <c r="P353" s="99">
        <f>SUM(SamplingData[[#This Row],[Winning Candidate]:[Under Votes]])</f>
        <v>16</v>
      </c>
      <c r="Q353" s="100">
        <f>IF(AND(SamplingData[[#This Row],[Total]]&lt;&gt; 0, NOT(ISBLANK(SamplingData[[#This Row],[Losing Candidate]]))),(SamplingData[[#This Row],[Total]]+SamplingData[[#This Row],[Winning Candidate]]-SamplingData[[#This Row],[Losing Candidate]])/(SamplingData[[#Totals],[Winning Candidate]]-SamplingData[[#Totals],[Losing Candidate]]), 0)</f>
        <v>8.4806985582812453E-4</v>
      </c>
      <c r="R353" s="100">
        <f>IF(AND(SamplingData[[#This Row],[Total]]&lt;&gt; 0, NOT(ISBLANK(SamplingData[[#This Row],[Candidate 3]]))),(SamplingData[[#This Row],[Total]]+SamplingData[[#This Row],[Winning Candidate]]-SamplingData[[#This Row],[Candidate 3]])/(SamplingData[[#Totals],[Winning Candidate]]-SamplingData[[#Totals],[Candidate 3]]), 0)</f>
        <v>0</v>
      </c>
      <c r="S353" s="100">
        <f>IF(AND(SamplingData[[#This Row],[Total]]&lt;&gt; 0, NOT(ISBLANK(SamplingData[[#This Row],[Candidate 4]]))),(SamplingData[[#This Row],[Total]]+SamplingData[[#This Row],[Winning Candidate]]-SamplingData[[#This Row],[Candidate 4]])/(SamplingData[[#Totals],[Winning Candidate]]-SamplingData[[#Totals],[Candidate 4]]), 0)</f>
        <v>0</v>
      </c>
      <c r="T353" s="100">
        <f>IF(AND(SamplingData[[#This Row],[Total]]&lt;&gt; 0, NOT(ISBLANK(SamplingData[[#This Row],[Candidate 5]]))),(SamplingData[[#This Row],[Total]]+SamplingData[[#This Row],[Winning Candidate]]-SamplingData[[#This Row],[Candidate 5]])/(SamplingData[[#Totals],[Winning Candidate]]-SamplingData[[#Totals],[Candidate 5]]), 0)</f>
        <v>0</v>
      </c>
      <c r="U353" s="100">
        <f>IF(AND(SamplingData[[#This Row],[Total]]&lt;&gt; 0, NOT(ISBLANK(SamplingData[[#This Row],[Candidate 6]]))),(SamplingData[[#This Row],[Total]]+SamplingData[[#This Row],[Losing Candidate]]-SamplingData[[#This Row],[Candidate 6]])/(SamplingData[[#Totals],[Winning Candidate]]-SamplingData[[#Totals],[Candidate 6]]), 0)</f>
        <v>0</v>
      </c>
      <c r="V353" s="100">
        <f>IF(AND(SamplingData[[#This Row],[Total]]&lt;&gt; 0, NOT(ISBLANK(SamplingData[[#This Row],[Candidate 7]]))),(SamplingData[[#This Row],[Total]]+SamplingData[[#This Row],[Winning Candidate]]-SamplingData[[#This Row],[Candidate 7]])/(SamplingData[[#Totals],[Winning Candidate]]-SamplingData[[#Totals],[Candidate 7]]), 0)</f>
        <v>0</v>
      </c>
      <c r="W353" s="100">
        <f>IF(AND(SamplingData[[#This Row],[Total]]&lt;&gt; 0, NOT(ISBLANK(SamplingData[[#This Row],[Candidate 8]]))),(SamplingData[[#This Row],[Total]]+SamplingData[[#This Row],[Winning Candidate]]-SamplingData[[#This Row],[Candidate 8]])/(SamplingData[[#Totals],[Winning Candidate]]-SamplingData[[#Totals],[Candidate 8]]), 0)</f>
        <v>0</v>
      </c>
      <c r="X3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00">
        <f>MAX(SamplingData[[#This Row],[Error Bound (up) - Max. possible relative overstatement - Losing Candidate]:[Error Bound (up) - Max. possible relative overstatement - Candidate 12]])</f>
        <v>8.4806985582812453E-4</v>
      </c>
      <c r="AC353" s="100">
        <f>IF(SamplingData[[#This Row],[Max Error Bound (up)]] = 0,0,SamplingData[[#This Row],[Max Error Bound (up)]]/SamplingData[[#Totals],[Max Error Bound (up)]])</f>
        <v>3.6343078662574721E-4</v>
      </c>
      <c r="AD353" s="104">
        <f>SUM($AC$5:AC353)</f>
        <v>7.0236364615301805E-2</v>
      </c>
      <c r="AE353" s="100" t="str" cm="1">
        <f t="array" ref="AE353">IF(SamplingData[[#This Row],[up/U Selection Probability]] = 0, "Zero", TEXT(SamplingData[[#This Row],[Lower Range]], REPT("0",LEN('General Info'!$B$42))) &amp; " - " &amp; TEXT(SamplingData[[#This Row],[Upper Range]], REPT("0",LEN('General Info'!$B$42))))</f>
        <v>06987 - 07023</v>
      </c>
      <c r="AF353" s="100">
        <f>SamplingData[[#This Row],[Upper Range]]-SamplingData[[#This Row],[Span]]</f>
        <v>6987.2933828676059</v>
      </c>
      <c r="AG353" s="100">
        <f>IF(ISNUMBER('General Info'!$B$42), ((SamplingData[[#This Row],[up/U Selection Probability]]) * 'General Info'!$B$44) - 1, 0)</f>
        <v>35.343078662574719</v>
      </c>
      <c r="AH353" s="100">
        <f>IF(ISNUMBER('General Info'!$B$42), (SamplingData[[#This Row],[Running (cumulative) sum]] * ('General Info'!$B$42 -'General Info'!$B$43 + 1)) + 'General Info'!$B$43 - 1, 0)</f>
        <v>7022.6364615301809</v>
      </c>
      <c r="AI353" s="100" t="str">
        <f>IF(ISERROR(MATCH(SamplingData[[#This Row],[Batch by Type (p)]],SelectedPrecincts[Batch Name], 0)), "", INDEX(SelectedPrecincts[Draw], MATCH(SamplingData[[#This Row],[Batch by Type (p)]],SelectedPrecincts[Batch Name], 0)))</f>
        <v/>
      </c>
      <c r="AJ353" s="101">
        <f>IF(COUNTIF(SelectedPrecincts[Batch Name],SamplingData[[#This Row],[Batch by Type (p)]]) &lt;&gt; 0, COUNTIF(SelectedPrecincts[Batch Name],SamplingData[[#This Row],[Batch by Type (p)]]), 0)</f>
        <v>0</v>
      </c>
    </row>
    <row r="354" spans="1:36" ht="15" customHeight="1" x14ac:dyDescent="0.35">
      <c r="A354" s="98" t="s">
        <v>566</v>
      </c>
      <c r="B354" s="98">
        <v>1</v>
      </c>
      <c r="C354" s="98">
        <v>0</v>
      </c>
      <c r="D354" s="93"/>
      <c r="E354" s="93"/>
      <c r="F354" s="93"/>
      <c r="G354" s="97"/>
      <c r="H354" s="97"/>
      <c r="I354" s="93"/>
      <c r="J354" s="93"/>
      <c r="K354" s="93"/>
      <c r="L354" s="93"/>
      <c r="M354" s="93"/>
      <c r="N354" s="98">
        <v>0</v>
      </c>
      <c r="O354" s="98">
        <v>0</v>
      </c>
      <c r="P354" s="99">
        <f>SUM(SamplingData[[#This Row],[Winning Candidate]:[Under Votes]])</f>
        <v>1</v>
      </c>
      <c r="Q354"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354" s="100">
        <f>IF(AND(SamplingData[[#This Row],[Total]]&lt;&gt; 0, NOT(ISBLANK(SamplingData[[#This Row],[Candidate 3]]))),(SamplingData[[#This Row],[Total]]+SamplingData[[#This Row],[Winning Candidate]]-SamplingData[[#This Row],[Candidate 3]])/(SamplingData[[#Totals],[Winning Candidate]]-SamplingData[[#Totals],[Candidate 3]]), 0)</f>
        <v>0</v>
      </c>
      <c r="S354" s="100">
        <f>IF(AND(SamplingData[[#This Row],[Total]]&lt;&gt; 0, NOT(ISBLANK(SamplingData[[#This Row],[Candidate 4]]))),(SamplingData[[#This Row],[Total]]+SamplingData[[#This Row],[Winning Candidate]]-SamplingData[[#This Row],[Candidate 4]])/(SamplingData[[#Totals],[Winning Candidate]]-SamplingData[[#Totals],[Candidate 4]]), 0)</f>
        <v>0</v>
      </c>
      <c r="T354" s="100">
        <f>IF(AND(SamplingData[[#This Row],[Total]]&lt;&gt; 0, NOT(ISBLANK(SamplingData[[#This Row],[Candidate 5]]))),(SamplingData[[#This Row],[Total]]+SamplingData[[#This Row],[Winning Candidate]]-SamplingData[[#This Row],[Candidate 5]])/(SamplingData[[#Totals],[Winning Candidate]]-SamplingData[[#Totals],[Candidate 5]]), 0)</f>
        <v>0</v>
      </c>
      <c r="U354" s="100">
        <f>IF(AND(SamplingData[[#This Row],[Total]]&lt;&gt; 0, NOT(ISBLANK(SamplingData[[#This Row],[Candidate 6]]))),(SamplingData[[#This Row],[Total]]+SamplingData[[#This Row],[Losing Candidate]]-SamplingData[[#This Row],[Candidate 6]])/(SamplingData[[#Totals],[Winning Candidate]]-SamplingData[[#Totals],[Candidate 6]]), 0)</f>
        <v>0</v>
      </c>
      <c r="V354" s="100">
        <f>IF(AND(SamplingData[[#This Row],[Total]]&lt;&gt; 0, NOT(ISBLANK(SamplingData[[#This Row],[Candidate 7]]))),(SamplingData[[#This Row],[Total]]+SamplingData[[#This Row],[Winning Candidate]]-SamplingData[[#This Row],[Candidate 7]])/(SamplingData[[#Totals],[Winning Candidate]]-SamplingData[[#Totals],[Candidate 7]]), 0)</f>
        <v>0</v>
      </c>
      <c r="W354" s="100">
        <f>IF(AND(SamplingData[[#This Row],[Total]]&lt;&gt; 0, NOT(ISBLANK(SamplingData[[#This Row],[Candidate 8]]))),(SamplingData[[#This Row],[Total]]+SamplingData[[#This Row],[Winning Candidate]]-SamplingData[[#This Row],[Candidate 8]])/(SamplingData[[#Totals],[Winning Candidate]]-SamplingData[[#Totals],[Candidate 8]]), 0)</f>
        <v>0</v>
      </c>
      <c r="X3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00">
        <f>MAX(SamplingData[[#This Row],[Error Bound (up) - Max. possible relative overstatement - Losing Candidate]:[Error Bound (up) - Max. possible relative overstatement - Candidate 12]])</f>
        <v>6.2819989320601809E-5</v>
      </c>
      <c r="AC354" s="100">
        <f>IF(SamplingData[[#This Row],[Max Error Bound (up)]] = 0,0,SamplingData[[#This Row],[Max Error Bound (up)]]/SamplingData[[#Totals],[Max Error Bound (up)]])</f>
        <v>2.6920799009314603E-5</v>
      </c>
      <c r="AD354" s="104">
        <f>SUM($AC$5:AC354)</f>
        <v>7.0263285414311122E-2</v>
      </c>
      <c r="AE354" s="100" t="str" cm="1">
        <f t="array" ref="AE354">IF(SamplingData[[#This Row],[up/U Selection Probability]] = 0, "Zero", TEXT(SamplingData[[#This Row],[Lower Range]], REPT("0",LEN('General Info'!$B$42))) &amp; " - " &amp; TEXT(SamplingData[[#This Row],[Upper Range]], REPT("0",LEN('General Info'!$B$42))))</f>
        <v>07024 - 07025</v>
      </c>
      <c r="AF354" s="100">
        <f>SamplingData[[#This Row],[Upper Range]]-SamplingData[[#This Row],[Span]]</f>
        <v>7023.6364615301809</v>
      </c>
      <c r="AG354" s="100">
        <f>IF(ISNUMBER('General Info'!$B$42), ((SamplingData[[#This Row],[up/U Selection Probability]]) * 'General Info'!$B$44) - 1, 0)</f>
        <v>1.6920799009314602</v>
      </c>
      <c r="AH354" s="100">
        <f>IF(ISNUMBER('General Info'!$B$42), (SamplingData[[#This Row],[Running (cumulative) sum]] * ('General Info'!$B$42 -'General Info'!$B$43 + 1)) + 'General Info'!$B$43 - 1, 0)</f>
        <v>7025.3285414311122</v>
      </c>
      <c r="AI354" s="100" t="str">
        <f>IF(ISERROR(MATCH(SamplingData[[#This Row],[Batch by Type (p)]],SelectedPrecincts[Batch Name], 0)), "", INDEX(SelectedPrecincts[Draw], MATCH(SamplingData[[#This Row],[Batch by Type (p)]],SelectedPrecincts[Batch Name], 0)))</f>
        <v/>
      </c>
      <c r="AJ354" s="101">
        <f>IF(COUNTIF(SelectedPrecincts[Batch Name],SamplingData[[#This Row],[Batch by Type (p)]]) &lt;&gt; 0, COUNTIF(SelectedPrecincts[Batch Name],SamplingData[[#This Row],[Batch by Type (p)]]), 0)</f>
        <v>0</v>
      </c>
    </row>
    <row r="355" spans="1:36" ht="15" customHeight="1" x14ac:dyDescent="0.35">
      <c r="A355" s="98" t="s">
        <v>567</v>
      </c>
      <c r="B355" s="98">
        <v>15</v>
      </c>
      <c r="C355" s="98">
        <v>1</v>
      </c>
      <c r="D355" s="93"/>
      <c r="E355" s="93"/>
      <c r="F355" s="93"/>
      <c r="G355" s="97"/>
      <c r="H355" s="97"/>
      <c r="I355" s="93"/>
      <c r="J355" s="93"/>
      <c r="K355" s="93"/>
      <c r="L355" s="93"/>
      <c r="M355" s="93"/>
      <c r="N355" s="98">
        <v>0</v>
      </c>
      <c r="O355" s="98">
        <v>0</v>
      </c>
      <c r="P355" s="99">
        <f>SUM(SamplingData[[#This Row],[Winning Candidate]:[Under Votes]])</f>
        <v>16</v>
      </c>
      <c r="Q355"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355" s="100">
        <f>IF(AND(SamplingData[[#This Row],[Total]]&lt;&gt; 0, NOT(ISBLANK(SamplingData[[#This Row],[Candidate 3]]))),(SamplingData[[#This Row],[Total]]+SamplingData[[#This Row],[Winning Candidate]]-SamplingData[[#This Row],[Candidate 3]])/(SamplingData[[#Totals],[Winning Candidate]]-SamplingData[[#Totals],[Candidate 3]]), 0)</f>
        <v>0</v>
      </c>
      <c r="S355" s="100">
        <f>IF(AND(SamplingData[[#This Row],[Total]]&lt;&gt; 0, NOT(ISBLANK(SamplingData[[#This Row],[Candidate 4]]))),(SamplingData[[#This Row],[Total]]+SamplingData[[#This Row],[Winning Candidate]]-SamplingData[[#This Row],[Candidate 4]])/(SamplingData[[#Totals],[Winning Candidate]]-SamplingData[[#Totals],[Candidate 4]]), 0)</f>
        <v>0</v>
      </c>
      <c r="T355" s="100">
        <f>IF(AND(SamplingData[[#This Row],[Total]]&lt;&gt; 0, NOT(ISBLANK(SamplingData[[#This Row],[Candidate 5]]))),(SamplingData[[#This Row],[Total]]+SamplingData[[#This Row],[Winning Candidate]]-SamplingData[[#This Row],[Candidate 5]])/(SamplingData[[#Totals],[Winning Candidate]]-SamplingData[[#Totals],[Candidate 5]]), 0)</f>
        <v>0</v>
      </c>
      <c r="U355" s="100">
        <f>IF(AND(SamplingData[[#This Row],[Total]]&lt;&gt; 0, NOT(ISBLANK(SamplingData[[#This Row],[Candidate 6]]))),(SamplingData[[#This Row],[Total]]+SamplingData[[#This Row],[Losing Candidate]]-SamplingData[[#This Row],[Candidate 6]])/(SamplingData[[#Totals],[Winning Candidate]]-SamplingData[[#Totals],[Candidate 6]]), 0)</f>
        <v>0</v>
      </c>
      <c r="V355" s="100">
        <f>IF(AND(SamplingData[[#This Row],[Total]]&lt;&gt; 0, NOT(ISBLANK(SamplingData[[#This Row],[Candidate 7]]))),(SamplingData[[#This Row],[Total]]+SamplingData[[#This Row],[Winning Candidate]]-SamplingData[[#This Row],[Candidate 7]])/(SamplingData[[#Totals],[Winning Candidate]]-SamplingData[[#Totals],[Candidate 7]]), 0)</f>
        <v>0</v>
      </c>
      <c r="W355" s="100">
        <f>IF(AND(SamplingData[[#This Row],[Total]]&lt;&gt; 0, NOT(ISBLANK(SamplingData[[#This Row],[Candidate 8]]))),(SamplingData[[#This Row],[Total]]+SamplingData[[#This Row],[Winning Candidate]]-SamplingData[[#This Row],[Candidate 8]])/(SamplingData[[#Totals],[Winning Candidate]]-SamplingData[[#Totals],[Candidate 8]]), 0)</f>
        <v>0</v>
      </c>
      <c r="X3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00">
        <f>MAX(SamplingData[[#This Row],[Error Bound (up) - Max. possible relative overstatement - Losing Candidate]:[Error Bound (up) - Max. possible relative overstatement - Candidate 12]])</f>
        <v>9.4229983980902718E-4</v>
      </c>
      <c r="AC355" s="100">
        <f>IF(SamplingData[[#This Row],[Max Error Bound (up)]] = 0,0,SamplingData[[#This Row],[Max Error Bound (up)]]/SamplingData[[#Totals],[Max Error Bound (up)]])</f>
        <v>4.0381198513971905E-4</v>
      </c>
      <c r="AD355" s="104">
        <f>SUM($AC$5:AC355)</f>
        <v>7.0667097399450846E-2</v>
      </c>
      <c r="AE355" s="100" t="str" cm="1">
        <f t="array" ref="AE355">IF(SamplingData[[#This Row],[up/U Selection Probability]] = 0, "Zero", TEXT(SamplingData[[#This Row],[Lower Range]], REPT("0",LEN('General Info'!$B$42))) &amp; " - " &amp; TEXT(SamplingData[[#This Row],[Upper Range]], REPT("0",LEN('General Info'!$B$42))))</f>
        <v>07026 - 07066</v>
      </c>
      <c r="AF355" s="100">
        <f>SamplingData[[#This Row],[Upper Range]]-SamplingData[[#This Row],[Span]]</f>
        <v>7026.3285414311131</v>
      </c>
      <c r="AG355" s="100">
        <f>IF(ISNUMBER('General Info'!$B$42), ((SamplingData[[#This Row],[up/U Selection Probability]]) * 'General Info'!$B$44) - 1, 0)</f>
        <v>39.381198513971903</v>
      </c>
      <c r="AH355" s="100">
        <f>IF(ISNUMBER('General Info'!$B$42), (SamplingData[[#This Row],[Running (cumulative) sum]] * ('General Info'!$B$42 -'General Info'!$B$43 + 1)) + 'General Info'!$B$43 - 1, 0)</f>
        <v>7065.7097399450849</v>
      </c>
      <c r="AI355" s="100" t="str">
        <f>IF(ISERROR(MATCH(SamplingData[[#This Row],[Batch by Type (p)]],SelectedPrecincts[Batch Name], 0)), "", INDEX(SelectedPrecincts[Draw], MATCH(SamplingData[[#This Row],[Batch by Type (p)]],SelectedPrecincts[Batch Name], 0)))</f>
        <v/>
      </c>
      <c r="AJ355" s="101">
        <f>IF(COUNTIF(SelectedPrecincts[Batch Name],SamplingData[[#This Row],[Batch by Type (p)]]) &lt;&gt; 0, COUNTIF(SelectedPrecincts[Batch Name],SamplingData[[#This Row],[Batch by Type (p)]]), 0)</f>
        <v>0</v>
      </c>
    </row>
    <row r="356" spans="1:36" ht="15" customHeight="1" x14ac:dyDescent="0.35">
      <c r="A356" s="98" t="s">
        <v>568</v>
      </c>
      <c r="B356" s="98">
        <v>3</v>
      </c>
      <c r="C356" s="98">
        <v>0</v>
      </c>
      <c r="D356" s="93"/>
      <c r="E356" s="93"/>
      <c r="F356" s="93"/>
      <c r="G356" s="97"/>
      <c r="H356" s="97"/>
      <c r="I356" s="93"/>
      <c r="J356" s="93"/>
      <c r="K356" s="93"/>
      <c r="L356" s="93"/>
      <c r="M356" s="93"/>
      <c r="N356" s="98">
        <v>0</v>
      </c>
      <c r="O356" s="98">
        <v>0</v>
      </c>
      <c r="P356" s="99">
        <f>SUM(SamplingData[[#This Row],[Winning Candidate]:[Under Votes]])</f>
        <v>3</v>
      </c>
      <c r="Q356"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356" s="100">
        <f>IF(AND(SamplingData[[#This Row],[Total]]&lt;&gt; 0, NOT(ISBLANK(SamplingData[[#This Row],[Candidate 3]]))),(SamplingData[[#This Row],[Total]]+SamplingData[[#This Row],[Winning Candidate]]-SamplingData[[#This Row],[Candidate 3]])/(SamplingData[[#Totals],[Winning Candidate]]-SamplingData[[#Totals],[Candidate 3]]), 0)</f>
        <v>0</v>
      </c>
      <c r="S356" s="100">
        <f>IF(AND(SamplingData[[#This Row],[Total]]&lt;&gt; 0, NOT(ISBLANK(SamplingData[[#This Row],[Candidate 4]]))),(SamplingData[[#This Row],[Total]]+SamplingData[[#This Row],[Winning Candidate]]-SamplingData[[#This Row],[Candidate 4]])/(SamplingData[[#Totals],[Winning Candidate]]-SamplingData[[#Totals],[Candidate 4]]), 0)</f>
        <v>0</v>
      </c>
      <c r="T356" s="100">
        <f>IF(AND(SamplingData[[#This Row],[Total]]&lt;&gt; 0, NOT(ISBLANK(SamplingData[[#This Row],[Candidate 5]]))),(SamplingData[[#This Row],[Total]]+SamplingData[[#This Row],[Winning Candidate]]-SamplingData[[#This Row],[Candidate 5]])/(SamplingData[[#Totals],[Winning Candidate]]-SamplingData[[#Totals],[Candidate 5]]), 0)</f>
        <v>0</v>
      </c>
      <c r="U356" s="100">
        <f>IF(AND(SamplingData[[#This Row],[Total]]&lt;&gt; 0, NOT(ISBLANK(SamplingData[[#This Row],[Candidate 6]]))),(SamplingData[[#This Row],[Total]]+SamplingData[[#This Row],[Losing Candidate]]-SamplingData[[#This Row],[Candidate 6]])/(SamplingData[[#Totals],[Winning Candidate]]-SamplingData[[#Totals],[Candidate 6]]), 0)</f>
        <v>0</v>
      </c>
      <c r="V356" s="100">
        <f>IF(AND(SamplingData[[#This Row],[Total]]&lt;&gt; 0, NOT(ISBLANK(SamplingData[[#This Row],[Candidate 7]]))),(SamplingData[[#This Row],[Total]]+SamplingData[[#This Row],[Winning Candidate]]-SamplingData[[#This Row],[Candidate 7]])/(SamplingData[[#Totals],[Winning Candidate]]-SamplingData[[#Totals],[Candidate 7]]), 0)</f>
        <v>0</v>
      </c>
      <c r="W356" s="100">
        <f>IF(AND(SamplingData[[#This Row],[Total]]&lt;&gt; 0, NOT(ISBLANK(SamplingData[[#This Row],[Candidate 8]]))),(SamplingData[[#This Row],[Total]]+SamplingData[[#This Row],[Winning Candidate]]-SamplingData[[#This Row],[Candidate 8]])/(SamplingData[[#Totals],[Winning Candidate]]-SamplingData[[#Totals],[Candidate 8]]), 0)</f>
        <v>0</v>
      </c>
      <c r="X3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00">
        <f>MAX(SamplingData[[#This Row],[Error Bound (up) - Max. possible relative overstatement - Losing Candidate]:[Error Bound (up) - Max. possible relative overstatement - Candidate 12]])</f>
        <v>1.8845996796180544E-4</v>
      </c>
      <c r="AC356" s="100">
        <f>IF(SamplingData[[#This Row],[Max Error Bound (up)]] = 0,0,SamplingData[[#This Row],[Max Error Bound (up)]]/SamplingData[[#Totals],[Max Error Bound (up)]])</f>
        <v>8.0762397027943816E-5</v>
      </c>
      <c r="AD356" s="104">
        <f>SUM($AC$5:AC356)</f>
        <v>7.0747859796478796E-2</v>
      </c>
      <c r="AE356" s="100" t="str" cm="1">
        <f t="array" ref="AE356">IF(SamplingData[[#This Row],[up/U Selection Probability]] = 0, "Zero", TEXT(SamplingData[[#This Row],[Lower Range]], REPT("0",LEN('General Info'!$B$42))) &amp; " - " &amp; TEXT(SamplingData[[#This Row],[Upper Range]], REPT("0",LEN('General Info'!$B$42))))</f>
        <v>07067 - 07074</v>
      </c>
      <c r="AF356" s="100">
        <f>SamplingData[[#This Row],[Upper Range]]-SamplingData[[#This Row],[Span]]</f>
        <v>7066.7097399450849</v>
      </c>
      <c r="AG356" s="100">
        <f>IF(ISNUMBER('General Info'!$B$42), ((SamplingData[[#This Row],[up/U Selection Probability]]) * 'General Info'!$B$44) - 1, 0)</f>
        <v>7.076239702794382</v>
      </c>
      <c r="AH356" s="100">
        <f>IF(ISNUMBER('General Info'!$B$42), (SamplingData[[#This Row],[Running (cumulative) sum]] * ('General Info'!$B$42 -'General Info'!$B$43 + 1)) + 'General Info'!$B$43 - 1, 0)</f>
        <v>7073.7859796478797</v>
      </c>
      <c r="AI356" s="100" t="str">
        <f>IF(ISERROR(MATCH(SamplingData[[#This Row],[Batch by Type (p)]],SelectedPrecincts[Batch Name], 0)), "", INDEX(SelectedPrecincts[Draw], MATCH(SamplingData[[#This Row],[Batch by Type (p)]],SelectedPrecincts[Batch Name], 0)))</f>
        <v/>
      </c>
      <c r="AJ356" s="101">
        <f>IF(COUNTIF(SelectedPrecincts[Batch Name],SamplingData[[#This Row],[Batch by Type (p)]]) &lt;&gt; 0, COUNTIF(SelectedPrecincts[Batch Name],SamplingData[[#This Row],[Batch by Type (p)]]), 0)</f>
        <v>0</v>
      </c>
    </row>
    <row r="357" spans="1:36" ht="15" customHeight="1" x14ac:dyDescent="0.35">
      <c r="A357" s="98" t="s">
        <v>569</v>
      </c>
      <c r="B357" s="98">
        <v>18</v>
      </c>
      <c r="C357" s="98">
        <v>4</v>
      </c>
      <c r="D357" s="93"/>
      <c r="E357" s="93"/>
      <c r="F357" s="93"/>
      <c r="G357" s="97"/>
      <c r="H357" s="97"/>
      <c r="I357" s="93"/>
      <c r="J357" s="93"/>
      <c r="K357" s="93"/>
      <c r="L357" s="93"/>
      <c r="M357" s="93"/>
      <c r="N357" s="98">
        <v>0</v>
      </c>
      <c r="O357" s="98">
        <v>0</v>
      </c>
      <c r="P357" s="99">
        <f>SUM(SamplingData[[#This Row],[Winning Candidate]:[Under Votes]])</f>
        <v>22</v>
      </c>
      <c r="Q357"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357" s="100">
        <f>IF(AND(SamplingData[[#This Row],[Total]]&lt;&gt; 0, NOT(ISBLANK(SamplingData[[#This Row],[Candidate 3]]))),(SamplingData[[#This Row],[Total]]+SamplingData[[#This Row],[Winning Candidate]]-SamplingData[[#This Row],[Candidate 3]])/(SamplingData[[#Totals],[Winning Candidate]]-SamplingData[[#Totals],[Candidate 3]]), 0)</f>
        <v>0</v>
      </c>
      <c r="S357" s="100">
        <f>IF(AND(SamplingData[[#This Row],[Total]]&lt;&gt; 0, NOT(ISBLANK(SamplingData[[#This Row],[Candidate 4]]))),(SamplingData[[#This Row],[Total]]+SamplingData[[#This Row],[Winning Candidate]]-SamplingData[[#This Row],[Candidate 4]])/(SamplingData[[#Totals],[Winning Candidate]]-SamplingData[[#Totals],[Candidate 4]]), 0)</f>
        <v>0</v>
      </c>
      <c r="T357" s="100">
        <f>IF(AND(SamplingData[[#This Row],[Total]]&lt;&gt; 0, NOT(ISBLANK(SamplingData[[#This Row],[Candidate 5]]))),(SamplingData[[#This Row],[Total]]+SamplingData[[#This Row],[Winning Candidate]]-SamplingData[[#This Row],[Candidate 5]])/(SamplingData[[#Totals],[Winning Candidate]]-SamplingData[[#Totals],[Candidate 5]]), 0)</f>
        <v>0</v>
      </c>
      <c r="U357" s="100">
        <f>IF(AND(SamplingData[[#This Row],[Total]]&lt;&gt; 0, NOT(ISBLANK(SamplingData[[#This Row],[Candidate 6]]))),(SamplingData[[#This Row],[Total]]+SamplingData[[#This Row],[Losing Candidate]]-SamplingData[[#This Row],[Candidate 6]])/(SamplingData[[#Totals],[Winning Candidate]]-SamplingData[[#Totals],[Candidate 6]]), 0)</f>
        <v>0</v>
      </c>
      <c r="V357" s="100">
        <f>IF(AND(SamplingData[[#This Row],[Total]]&lt;&gt; 0, NOT(ISBLANK(SamplingData[[#This Row],[Candidate 7]]))),(SamplingData[[#This Row],[Total]]+SamplingData[[#This Row],[Winning Candidate]]-SamplingData[[#This Row],[Candidate 7]])/(SamplingData[[#Totals],[Winning Candidate]]-SamplingData[[#Totals],[Candidate 7]]), 0)</f>
        <v>0</v>
      </c>
      <c r="W357" s="100">
        <f>IF(AND(SamplingData[[#This Row],[Total]]&lt;&gt; 0, NOT(ISBLANK(SamplingData[[#This Row],[Candidate 8]]))),(SamplingData[[#This Row],[Total]]+SamplingData[[#This Row],[Winning Candidate]]-SamplingData[[#This Row],[Candidate 8]])/(SamplingData[[#Totals],[Winning Candidate]]-SamplingData[[#Totals],[Candidate 8]]), 0)</f>
        <v>0</v>
      </c>
      <c r="X3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00">
        <f>MAX(SamplingData[[#This Row],[Error Bound (up) - Max. possible relative overstatement - Losing Candidate]:[Error Bound (up) - Max. possible relative overstatement - Candidate 12]])</f>
        <v>1.1307598077708327E-3</v>
      </c>
      <c r="AC357" s="100">
        <f>IF(SamplingData[[#This Row],[Max Error Bound (up)]] = 0,0,SamplingData[[#This Row],[Max Error Bound (up)]]/SamplingData[[#Totals],[Max Error Bound (up)]])</f>
        <v>4.845743821676629E-4</v>
      </c>
      <c r="AD357" s="104">
        <f>SUM($AC$5:AC357)</f>
        <v>7.1232434178646456E-2</v>
      </c>
      <c r="AE357" s="100" t="str" cm="1">
        <f t="array" ref="AE357">IF(SamplingData[[#This Row],[up/U Selection Probability]] = 0, "Zero", TEXT(SamplingData[[#This Row],[Lower Range]], REPT("0",LEN('General Info'!$B$42))) &amp; " - " &amp; TEXT(SamplingData[[#This Row],[Upper Range]], REPT("0",LEN('General Info'!$B$42))))</f>
        <v>07075 - 07122</v>
      </c>
      <c r="AF357" s="100">
        <f>SamplingData[[#This Row],[Upper Range]]-SamplingData[[#This Row],[Span]]</f>
        <v>7074.7859796478788</v>
      </c>
      <c r="AG357" s="100">
        <f>IF(ISNUMBER('General Info'!$B$42), ((SamplingData[[#This Row],[up/U Selection Probability]]) * 'General Info'!$B$44) - 1, 0)</f>
        <v>47.457438216766292</v>
      </c>
      <c r="AH357" s="100">
        <f>IF(ISNUMBER('General Info'!$B$42), (SamplingData[[#This Row],[Running (cumulative) sum]] * ('General Info'!$B$42 -'General Info'!$B$43 + 1)) + 'General Info'!$B$43 - 1, 0)</f>
        <v>7122.2434178646454</v>
      </c>
      <c r="AI357" s="100" t="str">
        <f>IF(ISERROR(MATCH(SamplingData[[#This Row],[Batch by Type (p)]],SelectedPrecincts[Batch Name], 0)), "", INDEX(SelectedPrecincts[Draw], MATCH(SamplingData[[#This Row],[Batch by Type (p)]],SelectedPrecincts[Batch Name], 0)))</f>
        <v/>
      </c>
      <c r="AJ357" s="101">
        <f>IF(COUNTIF(SelectedPrecincts[Batch Name],SamplingData[[#This Row],[Batch by Type (p)]]) &lt;&gt; 0, COUNTIF(SelectedPrecincts[Batch Name],SamplingData[[#This Row],[Batch by Type (p)]]), 0)</f>
        <v>0</v>
      </c>
    </row>
    <row r="358" spans="1:36" ht="15" customHeight="1" x14ac:dyDescent="0.35">
      <c r="A358" s="98" t="s">
        <v>570</v>
      </c>
      <c r="B358" s="98">
        <v>15</v>
      </c>
      <c r="C358" s="98">
        <v>1</v>
      </c>
      <c r="D358" s="93"/>
      <c r="E358" s="93"/>
      <c r="F358" s="93"/>
      <c r="G358" s="97"/>
      <c r="H358" s="97"/>
      <c r="I358" s="93"/>
      <c r="J358" s="93"/>
      <c r="K358" s="93"/>
      <c r="L358" s="93"/>
      <c r="M358" s="93"/>
      <c r="N358" s="98">
        <v>0</v>
      </c>
      <c r="O358" s="98">
        <v>0</v>
      </c>
      <c r="P358" s="99">
        <f>SUM(SamplingData[[#This Row],[Winning Candidate]:[Under Votes]])</f>
        <v>16</v>
      </c>
      <c r="Q358"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358" s="100">
        <f>IF(AND(SamplingData[[#This Row],[Total]]&lt;&gt; 0, NOT(ISBLANK(SamplingData[[#This Row],[Candidate 3]]))),(SamplingData[[#This Row],[Total]]+SamplingData[[#This Row],[Winning Candidate]]-SamplingData[[#This Row],[Candidate 3]])/(SamplingData[[#Totals],[Winning Candidate]]-SamplingData[[#Totals],[Candidate 3]]), 0)</f>
        <v>0</v>
      </c>
      <c r="S358" s="100">
        <f>IF(AND(SamplingData[[#This Row],[Total]]&lt;&gt; 0, NOT(ISBLANK(SamplingData[[#This Row],[Candidate 4]]))),(SamplingData[[#This Row],[Total]]+SamplingData[[#This Row],[Winning Candidate]]-SamplingData[[#This Row],[Candidate 4]])/(SamplingData[[#Totals],[Winning Candidate]]-SamplingData[[#Totals],[Candidate 4]]), 0)</f>
        <v>0</v>
      </c>
      <c r="T358" s="100">
        <f>IF(AND(SamplingData[[#This Row],[Total]]&lt;&gt; 0, NOT(ISBLANK(SamplingData[[#This Row],[Candidate 5]]))),(SamplingData[[#This Row],[Total]]+SamplingData[[#This Row],[Winning Candidate]]-SamplingData[[#This Row],[Candidate 5]])/(SamplingData[[#Totals],[Winning Candidate]]-SamplingData[[#Totals],[Candidate 5]]), 0)</f>
        <v>0</v>
      </c>
      <c r="U358" s="100">
        <f>IF(AND(SamplingData[[#This Row],[Total]]&lt;&gt; 0, NOT(ISBLANK(SamplingData[[#This Row],[Candidate 6]]))),(SamplingData[[#This Row],[Total]]+SamplingData[[#This Row],[Losing Candidate]]-SamplingData[[#This Row],[Candidate 6]])/(SamplingData[[#Totals],[Winning Candidate]]-SamplingData[[#Totals],[Candidate 6]]), 0)</f>
        <v>0</v>
      </c>
      <c r="V358" s="100">
        <f>IF(AND(SamplingData[[#This Row],[Total]]&lt;&gt; 0, NOT(ISBLANK(SamplingData[[#This Row],[Candidate 7]]))),(SamplingData[[#This Row],[Total]]+SamplingData[[#This Row],[Winning Candidate]]-SamplingData[[#This Row],[Candidate 7]])/(SamplingData[[#Totals],[Winning Candidate]]-SamplingData[[#Totals],[Candidate 7]]), 0)</f>
        <v>0</v>
      </c>
      <c r="W358" s="100">
        <f>IF(AND(SamplingData[[#This Row],[Total]]&lt;&gt; 0, NOT(ISBLANK(SamplingData[[#This Row],[Candidate 8]]))),(SamplingData[[#This Row],[Total]]+SamplingData[[#This Row],[Winning Candidate]]-SamplingData[[#This Row],[Candidate 8]])/(SamplingData[[#Totals],[Winning Candidate]]-SamplingData[[#Totals],[Candidate 8]]), 0)</f>
        <v>0</v>
      </c>
      <c r="X3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00">
        <f>MAX(SamplingData[[#This Row],[Error Bound (up) - Max. possible relative overstatement - Losing Candidate]:[Error Bound (up) - Max. possible relative overstatement - Candidate 12]])</f>
        <v>9.4229983980902718E-4</v>
      </c>
      <c r="AC358" s="100">
        <f>IF(SamplingData[[#This Row],[Max Error Bound (up)]] = 0,0,SamplingData[[#This Row],[Max Error Bound (up)]]/SamplingData[[#Totals],[Max Error Bound (up)]])</f>
        <v>4.0381198513971905E-4</v>
      </c>
      <c r="AD358" s="104">
        <f>SUM($AC$5:AC358)</f>
        <v>7.163624616378618E-2</v>
      </c>
      <c r="AE358" s="100" t="str" cm="1">
        <f t="array" ref="AE358">IF(SamplingData[[#This Row],[up/U Selection Probability]] = 0, "Zero", TEXT(SamplingData[[#This Row],[Lower Range]], REPT("0",LEN('General Info'!$B$42))) &amp; " - " &amp; TEXT(SamplingData[[#This Row],[Upper Range]], REPT("0",LEN('General Info'!$B$42))))</f>
        <v>07123 - 07163</v>
      </c>
      <c r="AF358" s="100">
        <f>SamplingData[[#This Row],[Upper Range]]-SamplingData[[#This Row],[Span]]</f>
        <v>7123.2434178646463</v>
      </c>
      <c r="AG358" s="100">
        <f>IF(ISNUMBER('General Info'!$B$42), ((SamplingData[[#This Row],[up/U Selection Probability]]) * 'General Info'!$B$44) - 1, 0)</f>
        <v>39.381198513971903</v>
      </c>
      <c r="AH358" s="100">
        <f>IF(ISNUMBER('General Info'!$B$42), (SamplingData[[#This Row],[Running (cumulative) sum]] * ('General Info'!$B$42 -'General Info'!$B$43 + 1)) + 'General Info'!$B$43 - 1, 0)</f>
        <v>7162.6246163786182</v>
      </c>
      <c r="AI358" s="100" t="str">
        <f>IF(ISERROR(MATCH(SamplingData[[#This Row],[Batch by Type (p)]],SelectedPrecincts[Batch Name], 0)), "", INDEX(SelectedPrecincts[Draw], MATCH(SamplingData[[#This Row],[Batch by Type (p)]],SelectedPrecincts[Batch Name], 0)))</f>
        <v/>
      </c>
      <c r="AJ358" s="101">
        <f>IF(COUNTIF(SelectedPrecincts[Batch Name],SamplingData[[#This Row],[Batch by Type (p)]]) &lt;&gt; 0, COUNTIF(SelectedPrecincts[Batch Name],SamplingData[[#This Row],[Batch by Type (p)]]), 0)</f>
        <v>0</v>
      </c>
    </row>
    <row r="359" spans="1:36" ht="15" customHeight="1" x14ac:dyDescent="0.35">
      <c r="A359" s="98" t="s">
        <v>571</v>
      </c>
      <c r="B359" s="98">
        <v>19</v>
      </c>
      <c r="C359" s="98">
        <v>3</v>
      </c>
      <c r="D359" s="93"/>
      <c r="E359" s="93"/>
      <c r="F359" s="93"/>
      <c r="G359" s="97"/>
      <c r="H359" s="97"/>
      <c r="I359" s="93"/>
      <c r="J359" s="93"/>
      <c r="K359" s="93"/>
      <c r="L359" s="93"/>
      <c r="M359" s="93"/>
      <c r="N359" s="98">
        <v>0</v>
      </c>
      <c r="O359" s="98">
        <v>0</v>
      </c>
      <c r="P359" s="99">
        <f>SUM(SamplingData[[#This Row],[Winning Candidate]:[Under Votes]])</f>
        <v>22</v>
      </c>
      <c r="Q359"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359" s="100">
        <f>IF(AND(SamplingData[[#This Row],[Total]]&lt;&gt; 0, NOT(ISBLANK(SamplingData[[#This Row],[Candidate 3]]))),(SamplingData[[#This Row],[Total]]+SamplingData[[#This Row],[Winning Candidate]]-SamplingData[[#This Row],[Candidate 3]])/(SamplingData[[#Totals],[Winning Candidate]]-SamplingData[[#Totals],[Candidate 3]]), 0)</f>
        <v>0</v>
      </c>
      <c r="S359" s="100">
        <f>IF(AND(SamplingData[[#This Row],[Total]]&lt;&gt; 0, NOT(ISBLANK(SamplingData[[#This Row],[Candidate 4]]))),(SamplingData[[#This Row],[Total]]+SamplingData[[#This Row],[Winning Candidate]]-SamplingData[[#This Row],[Candidate 4]])/(SamplingData[[#Totals],[Winning Candidate]]-SamplingData[[#Totals],[Candidate 4]]), 0)</f>
        <v>0</v>
      </c>
      <c r="T359" s="100">
        <f>IF(AND(SamplingData[[#This Row],[Total]]&lt;&gt; 0, NOT(ISBLANK(SamplingData[[#This Row],[Candidate 5]]))),(SamplingData[[#This Row],[Total]]+SamplingData[[#This Row],[Winning Candidate]]-SamplingData[[#This Row],[Candidate 5]])/(SamplingData[[#Totals],[Winning Candidate]]-SamplingData[[#Totals],[Candidate 5]]), 0)</f>
        <v>0</v>
      </c>
      <c r="U359" s="100">
        <f>IF(AND(SamplingData[[#This Row],[Total]]&lt;&gt; 0, NOT(ISBLANK(SamplingData[[#This Row],[Candidate 6]]))),(SamplingData[[#This Row],[Total]]+SamplingData[[#This Row],[Losing Candidate]]-SamplingData[[#This Row],[Candidate 6]])/(SamplingData[[#Totals],[Winning Candidate]]-SamplingData[[#Totals],[Candidate 6]]), 0)</f>
        <v>0</v>
      </c>
      <c r="V359" s="100">
        <f>IF(AND(SamplingData[[#This Row],[Total]]&lt;&gt; 0, NOT(ISBLANK(SamplingData[[#This Row],[Candidate 7]]))),(SamplingData[[#This Row],[Total]]+SamplingData[[#This Row],[Winning Candidate]]-SamplingData[[#This Row],[Candidate 7]])/(SamplingData[[#Totals],[Winning Candidate]]-SamplingData[[#Totals],[Candidate 7]]), 0)</f>
        <v>0</v>
      </c>
      <c r="W359" s="100">
        <f>IF(AND(SamplingData[[#This Row],[Total]]&lt;&gt; 0, NOT(ISBLANK(SamplingData[[#This Row],[Candidate 8]]))),(SamplingData[[#This Row],[Total]]+SamplingData[[#This Row],[Winning Candidate]]-SamplingData[[#This Row],[Candidate 8]])/(SamplingData[[#Totals],[Winning Candidate]]-SamplingData[[#Totals],[Candidate 8]]), 0)</f>
        <v>0</v>
      </c>
      <c r="X3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00">
        <f>MAX(SamplingData[[#This Row],[Error Bound (up) - Max. possible relative overstatement - Losing Candidate]:[Error Bound (up) - Max. possible relative overstatement - Candidate 12]])</f>
        <v>1.1935797970914345E-3</v>
      </c>
      <c r="AC359" s="100">
        <f>IF(SamplingData[[#This Row],[Max Error Bound (up)]] = 0,0,SamplingData[[#This Row],[Max Error Bound (up)]]/SamplingData[[#Totals],[Max Error Bound (up)]])</f>
        <v>5.1149518117697755E-4</v>
      </c>
      <c r="AD359" s="104">
        <f>SUM($AC$5:AC359)</f>
        <v>7.2147741344963157E-2</v>
      </c>
      <c r="AE359" s="100" t="str" cm="1">
        <f t="array" ref="AE359">IF(SamplingData[[#This Row],[up/U Selection Probability]] = 0, "Zero", TEXT(SamplingData[[#This Row],[Lower Range]], REPT("0",LEN('General Info'!$B$42))) &amp; " - " &amp; TEXT(SamplingData[[#This Row],[Upper Range]], REPT("0",LEN('General Info'!$B$42))))</f>
        <v>07164 - 07214</v>
      </c>
      <c r="AF359" s="100">
        <f>SamplingData[[#This Row],[Upper Range]]-SamplingData[[#This Row],[Span]]</f>
        <v>7163.6246163786182</v>
      </c>
      <c r="AG359" s="100">
        <f>IF(ISNUMBER('General Info'!$B$42), ((SamplingData[[#This Row],[up/U Selection Probability]]) * 'General Info'!$B$44) - 1, 0)</f>
        <v>50.149518117697752</v>
      </c>
      <c r="AH359" s="100">
        <f>IF(ISNUMBER('General Info'!$B$42), (SamplingData[[#This Row],[Running (cumulative) sum]] * ('General Info'!$B$42 -'General Info'!$B$43 + 1)) + 'General Info'!$B$43 - 1, 0)</f>
        <v>7213.774134496316</v>
      </c>
      <c r="AI359" s="100" t="str">
        <f>IF(ISERROR(MATCH(SamplingData[[#This Row],[Batch by Type (p)]],SelectedPrecincts[Batch Name], 0)), "", INDEX(SelectedPrecincts[Draw], MATCH(SamplingData[[#This Row],[Batch by Type (p)]],SelectedPrecincts[Batch Name], 0)))</f>
        <v/>
      </c>
      <c r="AJ359" s="101">
        <f>IF(COUNTIF(SelectedPrecincts[Batch Name],SamplingData[[#This Row],[Batch by Type (p)]]) &lt;&gt; 0, COUNTIF(SelectedPrecincts[Batch Name],SamplingData[[#This Row],[Batch by Type (p)]]), 0)</f>
        <v>0</v>
      </c>
    </row>
    <row r="360" spans="1:36" ht="15" customHeight="1" x14ac:dyDescent="0.35">
      <c r="A360" s="98" t="s">
        <v>572</v>
      </c>
      <c r="B360" s="98">
        <v>5</v>
      </c>
      <c r="C360" s="98">
        <v>2</v>
      </c>
      <c r="D360" s="93"/>
      <c r="E360" s="93"/>
      <c r="F360" s="93"/>
      <c r="G360" s="97"/>
      <c r="H360" s="97"/>
      <c r="I360" s="93"/>
      <c r="J360" s="93"/>
      <c r="K360" s="93"/>
      <c r="L360" s="93"/>
      <c r="M360" s="93"/>
      <c r="N360" s="98">
        <v>0</v>
      </c>
      <c r="O360" s="98">
        <v>1</v>
      </c>
      <c r="P360" s="99">
        <f>SUM(SamplingData[[#This Row],[Winning Candidate]:[Under Votes]])</f>
        <v>8</v>
      </c>
      <c r="Q360"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360" s="100">
        <f>IF(AND(SamplingData[[#This Row],[Total]]&lt;&gt; 0, NOT(ISBLANK(SamplingData[[#This Row],[Candidate 3]]))),(SamplingData[[#This Row],[Total]]+SamplingData[[#This Row],[Winning Candidate]]-SamplingData[[#This Row],[Candidate 3]])/(SamplingData[[#Totals],[Winning Candidate]]-SamplingData[[#Totals],[Candidate 3]]), 0)</f>
        <v>0</v>
      </c>
      <c r="S360" s="100">
        <f>IF(AND(SamplingData[[#This Row],[Total]]&lt;&gt; 0, NOT(ISBLANK(SamplingData[[#This Row],[Candidate 4]]))),(SamplingData[[#This Row],[Total]]+SamplingData[[#This Row],[Winning Candidate]]-SamplingData[[#This Row],[Candidate 4]])/(SamplingData[[#Totals],[Winning Candidate]]-SamplingData[[#Totals],[Candidate 4]]), 0)</f>
        <v>0</v>
      </c>
      <c r="T360" s="100">
        <f>IF(AND(SamplingData[[#This Row],[Total]]&lt;&gt; 0, NOT(ISBLANK(SamplingData[[#This Row],[Candidate 5]]))),(SamplingData[[#This Row],[Total]]+SamplingData[[#This Row],[Winning Candidate]]-SamplingData[[#This Row],[Candidate 5]])/(SamplingData[[#Totals],[Winning Candidate]]-SamplingData[[#Totals],[Candidate 5]]), 0)</f>
        <v>0</v>
      </c>
      <c r="U360" s="100">
        <f>IF(AND(SamplingData[[#This Row],[Total]]&lt;&gt; 0, NOT(ISBLANK(SamplingData[[#This Row],[Candidate 6]]))),(SamplingData[[#This Row],[Total]]+SamplingData[[#This Row],[Losing Candidate]]-SamplingData[[#This Row],[Candidate 6]])/(SamplingData[[#Totals],[Winning Candidate]]-SamplingData[[#Totals],[Candidate 6]]), 0)</f>
        <v>0</v>
      </c>
      <c r="V360" s="100">
        <f>IF(AND(SamplingData[[#This Row],[Total]]&lt;&gt; 0, NOT(ISBLANK(SamplingData[[#This Row],[Candidate 7]]))),(SamplingData[[#This Row],[Total]]+SamplingData[[#This Row],[Winning Candidate]]-SamplingData[[#This Row],[Candidate 7]])/(SamplingData[[#Totals],[Winning Candidate]]-SamplingData[[#Totals],[Candidate 7]]), 0)</f>
        <v>0</v>
      </c>
      <c r="W360" s="100">
        <f>IF(AND(SamplingData[[#This Row],[Total]]&lt;&gt; 0, NOT(ISBLANK(SamplingData[[#This Row],[Candidate 8]]))),(SamplingData[[#This Row],[Total]]+SamplingData[[#This Row],[Winning Candidate]]-SamplingData[[#This Row],[Candidate 8]])/(SamplingData[[#Totals],[Winning Candidate]]-SamplingData[[#Totals],[Candidate 8]]), 0)</f>
        <v>0</v>
      </c>
      <c r="X3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00">
        <f>MAX(SamplingData[[#This Row],[Error Bound (up) - Max. possible relative overstatement - Losing Candidate]:[Error Bound (up) - Max. possible relative overstatement - Candidate 12]])</f>
        <v>3.4550994126331E-4</v>
      </c>
      <c r="AC360" s="100">
        <f>IF(SamplingData[[#This Row],[Max Error Bound (up)]] = 0,0,SamplingData[[#This Row],[Max Error Bound (up)]]/SamplingData[[#Totals],[Max Error Bound (up)]])</f>
        <v>1.4806439455123033E-4</v>
      </c>
      <c r="AD360" s="104">
        <f>SUM($AC$5:AC360)</f>
        <v>7.2295805739514385E-2</v>
      </c>
      <c r="AE360" s="100" t="str" cm="1">
        <f t="array" ref="AE360">IF(SamplingData[[#This Row],[up/U Selection Probability]] = 0, "Zero", TEXT(SamplingData[[#This Row],[Lower Range]], REPT("0",LEN('General Info'!$B$42))) &amp; " - " &amp; TEXT(SamplingData[[#This Row],[Upper Range]], REPT("0",LEN('General Info'!$B$42))))</f>
        <v>07215 - 07229</v>
      </c>
      <c r="AF360" s="100">
        <f>SamplingData[[#This Row],[Upper Range]]-SamplingData[[#This Row],[Span]]</f>
        <v>7214.7741344963151</v>
      </c>
      <c r="AG360" s="100">
        <f>IF(ISNUMBER('General Info'!$B$42), ((SamplingData[[#This Row],[up/U Selection Probability]]) * 'General Info'!$B$44) - 1, 0)</f>
        <v>13.806439455123034</v>
      </c>
      <c r="AH360" s="100">
        <f>IF(ISNUMBER('General Info'!$B$42), (SamplingData[[#This Row],[Running (cumulative) sum]] * ('General Info'!$B$42 -'General Info'!$B$43 + 1)) + 'General Info'!$B$43 - 1, 0)</f>
        <v>7228.5805739514381</v>
      </c>
      <c r="AI360" s="100" t="str">
        <f>IF(ISERROR(MATCH(SamplingData[[#This Row],[Batch by Type (p)]],SelectedPrecincts[Batch Name], 0)), "", INDEX(SelectedPrecincts[Draw], MATCH(SamplingData[[#This Row],[Batch by Type (p)]],SelectedPrecincts[Batch Name], 0)))</f>
        <v/>
      </c>
      <c r="AJ360" s="101">
        <f>IF(COUNTIF(SelectedPrecincts[Batch Name],SamplingData[[#This Row],[Batch by Type (p)]]) &lt;&gt; 0, COUNTIF(SelectedPrecincts[Batch Name],SamplingData[[#This Row],[Batch by Type (p)]]), 0)</f>
        <v>0</v>
      </c>
    </row>
    <row r="361" spans="1:36" ht="15" customHeight="1" x14ac:dyDescent="0.35">
      <c r="A361" s="98" t="s">
        <v>573</v>
      </c>
      <c r="B361" s="98">
        <v>5</v>
      </c>
      <c r="C361" s="98">
        <v>2</v>
      </c>
      <c r="D361" s="93"/>
      <c r="E361" s="93"/>
      <c r="F361" s="93"/>
      <c r="G361" s="97"/>
      <c r="H361" s="97"/>
      <c r="I361" s="93"/>
      <c r="J361" s="93"/>
      <c r="K361" s="93"/>
      <c r="L361" s="93"/>
      <c r="M361" s="93"/>
      <c r="N361" s="98">
        <v>0</v>
      </c>
      <c r="O361" s="98">
        <v>1</v>
      </c>
      <c r="P361" s="99">
        <f>SUM(SamplingData[[#This Row],[Winning Candidate]:[Under Votes]])</f>
        <v>8</v>
      </c>
      <c r="Q361"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361" s="100">
        <f>IF(AND(SamplingData[[#This Row],[Total]]&lt;&gt; 0, NOT(ISBLANK(SamplingData[[#This Row],[Candidate 3]]))),(SamplingData[[#This Row],[Total]]+SamplingData[[#This Row],[Winning Candidate]]-SamplingData[[#This Row],[Candidate 3]])/(SamplingData[[#Totals],[Winning Candidate]]-SamplingData[[#Totals],[Candidate 3]]), 0)</f>
        <v>0</v>
      </c>
      <c r="S361" s="100">
        <f>IF(AND(SamplingData[[#This Row],[Total]]&lt;&gt; 0, NOT(ISBLANK(SamplingData[[#This Row],[Candidate 4]]))),(SamplingData[[#This Row],[Total]]+SamplingData[[#This Row],[Winning Candidate]]-SamplingData[[#This Row],[Candidate 4]])/(SamplingData[[#Totals],[Winning Candidate]]-SamplingData[[#Totals],[Candidate 4]]), 0)</f>
        <v>0</v>
      </c>
      <c r="T361" s="100">
        <f>IF(AND(SamplingData[[#This Row],[Total]]&lt;&gt; 0, NOT(ISBLANK(SamplingData[[#This Row],[Candidate 5]]))),(SamplingData[[#This Row],[Total]]+SamplingData[[#This Row],[Winning Candidate]]-SamplingData[[#This Row],[Candidate 5]])/(SamplingData[[#Totals],[Winning Candidate]]-SamplingData[[#Totals],[Candidate 5]]), 0)</f>
        <v>0</v>
      </c>
      <c r="U361" s="100">
        <f>IF(AND(SamplingData[[#This Row],[Total]]&lt;&gt; 0, NOT(ISBLANK(SamplingData[[#This Row],[Candidate 6]]))),(SamplingData[[#This Row],[Total]]+SamplingData[[#This Row],[Losing Candidate]]-SamplingData[[#This Row],[Candidate 6]])/(SamplingData[[#Totals],[Winning Candidate]]-SamplingData[[#Totals],[Candidate 6]]), 0)</f>
        <v>0</v>
      </c>
      <c r="V361" s="100">
        <f>IF(AND(SamplingData[[#This Row],[Total]]&lt;&gt; 0, NOT(ISBLANK(SamplingData[[#This Row],[Candidate 7]]))),(SamplingData[[#This Row],[Total]]+SamplingData[[#This Row],[Winning Candidate]]-SamplingData[[#This Row],[Candidate 7]])/(SamplingData[[#Totals],[Winning Candidate]]-SamplingData[[#Totals],[Candidate 7]]), 0)</f>
        <v>0</v>
      </c>
      <c r="W361" s="100">
        <f>IF(AND(SamplingData[[#This Row],[Total]]&lt;&gt; 0, NOT(ISBLANK(SamplingData[[#This Row],[Candidate 8]]))),(SamplingData[[#This Row],[Total]]+SamplingData[[#This Row],[Winning Candidate]]-SamplingData[[#This Row],[Candidate 8]])/(SamplingData[[#Totals],[Winning Candidate]]-SamplingData[[#Totals],[Candidate 8]]), 0)</f>
        <v>0</v>
      </c>
      <c r="X3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00">
        <f>MAX(SamplingData[[#This Row],[Error Bound (up) - Max. possible relative overstatement - Losing Candidate]:[Error Bound (up) - Max. possible relative overstatement - Candidate 12]])</f>
        <v>3.4550994126331E-4</v>
      </c>
      <c r="AC361" s="100">
        <f>IF(SamplingData[[#This Row],[Max Error Bound (up)]] = 0,0,SamplingData[[#This Row],[Max Error Bound (up)]]/SamplingData[[#Totals],[Max Error Bound (up)]])</f>
        <v>1.4806439455123033E-4</v>
      </c>
      <c r="AD361" s="104">
        <f>SUM($AC$5:AC361)</f>
        <v>7.2443870134065613E-2</v>
      </c>
      <c r="AE361" s="100" t="str" cm="1">
        <f t="array" ref="AE361">IF(SamplingData[[#This Row],[up/U Selection Probability]] = 0, "Zero", TEXT(SamplingData[[#This Row],[Lower Range]], REPT("0",LEN('General Info'!$B$42))) &amp; " - " &amp; TEXT(SamplingData[[#This Row],[Upper Range]], REPT("0",LEN('General Info'!$B$42))))</f>
        <v>07230 - 07243</v>
      </c>
      <c r="AF361" s="100">
        <f>SamplingData[[#This Row],[Upper Range]]-SamplingData[[#This Row],[Span]]</f>
        <v>7229.5805739514381</v>
      </c>
      <c r="AG361" s="100">
        <f>IF(ISNUMBER('General Info'!$B$42), ((SamplingData[[#This Row],[up/U Selection Probability]]) * 'General Info'!$B$44) - 1, 0)</f>
        <v>13.806439455123034</v>
      </c>
      <c r="AH361" s="100">
        <f>IF(ISNUMBER('General Info'!$B$42), (SamplingData[[#This Row],[Running (cumulative) sum]] * ('General Info'!$B$42 -'General Info'!$B$43 + 1)) + 'General Info'!$B$43 - 1, 0)</f>
        <v>7243.387013406561</v>
      </c>
      <c r="AI361" s="100" t="str">
        <f>IF(ISERROR(MATCH(SamplingData[[#This Row],[Batch by Type (p)]],SelectedPrecincts[Batch Name], 0)), "", INDEX(SelectedPrecincts[Draw], MATCH(SamplingData[[#This Row],[Batch by Type (p)]],SelectedPrecincts[Batch Name], 0)))</f>
        <v/>
      </c>
      <c r="AJ361" s="101">
        <f>IF(COUNTIF(SelectedPrecincts[Batch Name],SamplingData[[#This Row],[Batch by Type (p)]]) &lt;&gt; 0, COUNTIF(SelectedPrecincts[Batch Name],SamplingData[[#This Row],[Batch by Type (p)]]), 0)</f>
        <v>0</v>
      </c>
    </row>
    <row r="362" spans="1:36" ht="15" customHeight="1" x14ac:dyDescent="0.35">
      <c r="A362" s="98" t="s">
        <v>574</v>
      </c>
      <c r="B362" s="98">
        <v>8</v>
      </c>
      <c r="C362" s="98">
        <v>4</v>
      </c>
      <c r="D362" s="93"/>
      <c r="E362" s="93"/>
      <c r="F362" s="93"/>
      <c r="G362" s="97"/>
      <c r="H362" s="97"/>
      <c r="I362" s="93"/>
      <c r="J362" s="93"/>
      <c r="K362" s="93"/>
      <c r="L362" s="93"/>
      <c r="M362" s="93"/>
      <c r="N362" s="98">
        <v>0</v>
      </c>
      <c r="O362" s="98">
        <v>0</v>
      </c>
      <c r="P362" s="99">
        <f>SUM(SamplingData[[#This Row],[Winning Candidate]:[Under Votes]])</f>
        <v>12</v>
      </c>
      <c r="Q362"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362" s="100">
        <f>IF(AND(SamplingData[[#This Row],[Total]]&lt;&gt; 0, NOT(ISBLANK(SamplingData[[#This Row],[Candidate 3]]))),(SamplingData[[#This Row],[Total]]+SamplingData[[#This Row],[Winning Candidate]]-SamplingData[[#This Row],[Candidate 3]])/(SamplingData[[#Totals],[Winning Candidate]]-SamplingData[[#Totals],[Candidate 3]]), 0)</f>
        <v>0</v>
      </c>
      <c r="S362" s="100">
        <f>IF(AND(SamplingData[[#This Row],[Total]]&lt;&gt; 0, NOT(ISBLANK(SamplingData[[#This Row],[Candidate 4]]))),(SamplingData[[#This Row],[Total]]+SamplingData[[#This Row],[Winning Candidate]]-SamplingData[[#This Row],[Candidate 4]])/(SamplingData[[#Totals],[Winning Candidate]]-SamplingData[[#Totals],[Candidate 4]]), 0)</f>
        <v>0</v>
      </c>
      <c r="T362" s="100">
        <f>IF(AND(SamplingData[[#This Row],[Total]]&lt;&gt; 0, NOT(ISBLANK(SamplingData[[#This Row],[Candidate 5]]))),(SamplingData[[#This Row],[Total]]+SamplingData[[#This Row],[Winning Candidate]]-SamplingData[[#This Row],[Candidate 5]])/(SamplingData[[#Totals],[Winning Candidate]]-SamplingData[[#Totals],[Candidate 5]]), 0)</f>
        <v>0</v>
      </c>
      <c r="U362" s="100">
        <f>IF(AND(SamplingData[[#This Row],[Total]]&lt;&gt; 0, NOT(ISBLANK(SamplingData[[#This Row],[Candidate 6]]))),(SamplingData[[#This Row],[Total]]+SamplingData[[#This Row],[Losing Candidate]]-SamplingData[[#This Row],[Candidate 6]])/(SamplingData[[#Totals],[Winning Candidate]]-SamplingData[[#Totals],[Candidate 6]]), 0)</f>
        <v>0</v>
      </c>
      <c r="V362" s="100">
        <f>IF(AND(SamplingData[[#This Row],[Total]]&lt;&gt; 0, NOT(ISBLANK(SamplingData[[#This Row],[Candidate 7]]))),(SamplingData[[#This Row],[Total]]+SamplingData[[#This Row],[Winning Candidate]]-SamplingData[[#This Row],[Candidate 7]])/(SamplingData[[#Totals],[Winning Candidate]]-SamplingData[[#Totals],[Candidate 7]]), 0)</f>
        <v>0</v>
      </c>
      <c r="W362" s="100">
        <f>IF(AND(SamplingData[[#This Row],[Total]]&lt;&gt; 0, NOT(ISBLANK(SamplingData[[#This Row],[Candidate 8]]))),(SamplingData[[#This Row],[Total]]+SamplingData[[#This Row],[Winning Candidate]]-SamplingData[[#This Row],[Candidate 8]])/(SamplingData[[#Totals],[Winning Candidate]]-SamplingData[[#Totals],[Candidate 8]]), 0)</f>
        <v>0</v>
      </c>
      <c r="X3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00">
        <f>MAX(SamplingData[[#This Row],[Error Bound (up) - Max. possible relative overstatement - Losing Candidate]:[Error Bound (up) - Max. possible relative overstatement - Candidate 12]])</f>
        <v>5.0255991456481448E-4</v>
      </c>
      <c r="AC362" s="100">
        <f>IF(SamplingData[[#This Row],[Max Error Bound (up)]] = 0,0,SamplingData[[#This Row],[Max Error Bound (up)]]/SamplingData[[#Totals],[Max Error Bound (up)]])</f>
        <v>2.1536639207451683E-4</v>
      </c>
      <c r="AD362" s="104">
        <f>SUM($AC$5:AC362)</f>
        <v>7.2659236526140134E-2</v>
      </c>
      <c r="AE362" s="100" t="str" cm="1">
        <f t="array" ref="AE362">IF(SamplingData[[#This Row],[up/U Selection Probability]] = 0, "Zero", TEXT(SamplingData[[#This Row],[Lower Range]], REPT("0",LEN('General Info'!$B$42))) &amp; " - " &amp; TEXT(SamplingData[[#This Row],[Upper Range]], REPT("0",LEN('General Info'!$B$42))))</f>
        <v>07244 - 07265</v>
      </c>
      <c r="AF362" s="100">
        <f>SamplingData[[#This Row],[Upper Range]]-SamplingData[[#This Row],[Span]]</f>
        <v>7244.387013406561</v>
      </c>
      <c r="AG362" s="100">
        <f>IF(ISNUMBER('General Info'!$B$42), ((SamplingData[[#This Row],[up/U Selection Probability]]) * 'General Info'!$B$44) - 1, 0)</f>
        <v>20.536639207451682</v>
      </c>
      <c r="AH362" s="100">
        <f>IF(ISNUMBER('General Info'!$B$42), (SamplingData[[#This Row],[Running (cumulative) sum]] * ('General Info'!$B$42 -'General Info'!$B$43 + 1)) + 'General Info'!$B$43 - 1, 0)</f>
        <v>7264.923652614013</v>
      </c>
      <c r="AI362" s="100" t="str">
        <f>IF(ISERROR(MATCH(SamplingData[[#This Row],[Batch by Type (p)]],SelectedPrecincts[Batch Name], 0)), "", INDEX(SelectedPrecincts[Draw], MATCH(SamplingData[[#This Row],[Batch by Type (p)]],SelectedPrecincts[Batch Name], 0)))</f>
        <v/>
      </c>
      <c r="AJ362" s="101">
        <f>IF(COUNTIF(SelectedPrecincts[Batch Name],SamplingData[[#This Row],[Batch by Type (p)]]) &lt;&gt; 0, COUNTIF(SelectedPrecincts[Batch Name],SamplingData[[#This Row],[Batch by Type (p)]]), 0)</f>
        <v>0</v>
      </c>
    </row>
    <row r="363" spans="1:36" ht="15" customHeight="1" x14ac:dyDescent="0.35">
      <c r="A363" s="98" t="s">
        <v>575</v>
      </c>
      <c r="B363" s="98">
        <v>9</v>
      </c>
      <c r="C363" s="98">
        <v>0</v>
      </c>
      <c r="D363" s="93"/>
      <c r="E363" s="93"/>
      <c r="F363" s="93"/>
      <c r="G363" s="97"/>
      <c r="H363" s="97"/>
      <c r="I363" s="93"/>
      <c r="J363" s="93"/>
      <c r="K363" s="93"/>
      <c r="L363" s="93"/>
      <c r="M363" s="93"/>
      <c r="N363" s="98">
        <v>0</v>
      </c>
      <c r="O363" s="98">
        <v>0</v>
      </c>
      <c r="P363" s="99">
        <f>SUM(SamplingData[[#This Row],[Winning Candidate]:[Under Votes]])</f>
        <v>9</v>
      </c>
      <c r="Q363"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363" s="100">
        <f>IF(AND(SamplingData[[#This Row],[Total]]&lt;&gt; 0, NOT(ISBLANK(SamplingData[[#This Row],[Candidate 3]]))),(SamplingData[[#This Row],[Total]]+SamplingData[[#This Row],[Winning Candidate]]-SamplingData[[#This Row],[Candidate 3]])/(SamplingData[[#Totals],[Winning Candidate]]-SamplingData[[#Totals],[Candidate 3]]), 0)</f>
        <v>0</v>
      </c>
      <c r="S363" s="100">
        <f>IF(AND(SamplingData[[#This Row],[Total]]&lt;&gt; 0, NOT(ISBLANK(SamplingData[[#This Row],[Candidate 4]]))),(SamplingData[[#This Row],[Total]]+SamplingData[[#This Row],[Winning Candidate]]-SamplingData[[#This Row],[Candidate 4]])/(SamplingData[[#Totals],[Winning Candidate]]-SamplingData[[#Totals],[Candidate 4]]), 0)</f>
        <v>0</v>
      </c>
      <c r="T363" s="100">
        <f>IF(AND(SamplingData[[#This Row],[Total]]&lt;&gt; 0, NOT(ISBLANK(SamplingData[[#This Row],[Candidate 5]]))),(SamplingData[[#This Row],[Total]]+SamplingData[[#This Row],[Winning Candidate]]-SamplingData[[#This Row],[Candidate 5]])/(SamplingData[[#Totals],[Winning Candidate]]-SamplingData[[#Totals],[Candidate 5]]), 0)</f>
        <v>0</v>
      </c>
      <c r="U363" s="100">
        <f>IF(AND(SamplingData[[#This Row],[Total]]&lt;&gt; 0, NOT(ISBLANK(SamplingData[[#This Row],[Candidate 6]]))),(SamplingData[[#This Row],[Total]]+SamplingData[[#This Row],[Losing Candidate]]-SamplingData[[#This Row],[Candidate 6]])/(SamplingData[[#Totals],[Winning Candidate]]-SamplingData[[#Totals],[Candidate 6]]), 0)</f>
        <v>0</v>
      </c>
      <c r="V363" s="100">
        <f>IF(AND(SamplingData[[#This Row],[Total]]&lt;&gt; 0, NOT(ISBLANK(SamplingData[[#This Row],[Candidate 7]]))),(SamplingData[[#This Row],[Total]]+SamplingData[[#This Row],[Winning Candidate]]-SamplingData[[#This Row],[Candidate 7]])/(SamplingData[[#Totals],[Winning Candidate]]-SamplingData[[#Totals],[Candidate 7]]), 0)</f>
        <v>0</v>
      </c>
      <c r="W363" s="100">
        <f>IF(AND(SamplingData[[#This Row],[Total]]&lt;&gt; 0, NOT(ISBLANK(SamplingData[[#This Row],[Candidate 8]]))),(SamplingData[[#This Row],[Total]]+SamplingData[[#This Row],[Winning Candidate]]-SamplingData[[#This Row],[Candidate 8]])/(SamplingData[[#Totals],[Winning Candidate]]-SamplingData[[#Totals],[Candidate 8]]), 0)</f>
        <v>0</v>
      </c>
      <c r="X3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00">
        <f>MAX(SamplingData[[#This Row],[Error Bound (up) - Max. possible relative overstatement - Losing Candidate]:[Error Bound (up) - Max. possible relative overstatement - Candidate 12]])</f>
        <v>5.6537990388541635E-4</v>
      </c>
      <c r="AC363" s="100">
        <f>IF(SamplingData[[#This Row],[Max Error Bound (up)]] = 0,0,SamplingData[[#This Row],[Max Error Bound (up)]]/SamplingData[[#Totals],[Max Error Bound (up)]])</f>
        <v>2.4228719108383145E-4</v>
      </c>
      <c r="AD363" s="104">
        <f>SUM($AC$5:AC363)</f>
        <v>7.2901523717223971E-2</v>
      </c>
      <c r="AE363" s="100" t="str" cm="1">
        <f t="array" ref="AE363">IF(SamplingData[[#This Row],[up/U Selection Probability]] = 0, "Zero", TEXT(SamplingData[[#This Row],[Lower Range]], REPT("0",LEN('General Info'!$B$42))) &amp; " - " &amp; TEXT(SamplingData[[#This Row],[Upper Range]], REPT("0",LEN('General Info'!$B$42))))</f>
        <v>07266 - 07289</v>
      </c>
      <c r="AF363" s="100">
        <f>SamplingData[[#This Row],[Upper Range]]-SamplingData[[#This Row],[Span]]</f>
        <v>7265.9236526140139</v>
      </c>
      <c r="AG363" s="100">
        <f>IF(ISNUMBER('General Info'!$B$42), ((SamplingData[[#This Row],[up/U Selection Probability]]) * 'General Info'!$B$44) - 1, 0)</f>
        <v>23.228719108383146</v>
      </c>
      <c r="AH363" s="100">
        <f>IF(ISNUMBER('General Info'!$B$42), (SamplingData[[#This Row],[Running (cumulative) sum]] * ('General Info'!$B$42 -'General Info'!$B$43 + 1)) + 'General Info'!$B$43 - 1, 0)</f>
        <v>7289.1523717223972</v>
      </c>
      <c r="AI363" s="100" t="str">
        <f>IF(ISERROR(MATCH(SamplingData[[#This Row],[Batch by Type (p)]],SelectedPrecincts[Batch Name], 0)), "", INDEX(SelectedPrecincts[Draw], MATCH(SamplingData[[#This Row],[Batch by Type (p)]],SelectedPrecincts[Batch Name], 0)))</f>
        <v/>
      </c>
      <c r="AJ363" s="101">
        <f>IF(COUNTIF(SelectedPrecincts[Batch Name],SamplingData[[#This Row],[Batch by Type (p)]]) &lt;&gt; 0, COUNTIF(SelectedPrecincts[Batch Name],SamplingData[[#This Row],[Batch by Type (p)]]), 0)</f>
        <v>0</v>
      </c>
    </row>
    <row r="364" spans="1:36" ht="15" customHeight="1" x14ac:dyDescent="0.35">
      <c r="A364" s="98" t="s">
        <v>576</v>
      </c>
      <c r="B364" s="98">
        <v>24</v>
      </c>
      <c r="C364" s="98">
        <v>0</v>
      </c>
      <c r="D364" s="93"/>
      <c r="E364" s="93"/>
      <c r="F364" s="93"/>
      <c r="G364" s="97"/>
      <c r="H364" s="97"/>
      <c r="I364" s="93"/>
      <c r="J364" s="93"/>
      <c r="K364" s="93"/>
      <c r="L364" s="93"/>
      <c r="M364" s="93"/>
      <c r="N364" s="98">
        <v>0</v>
      </c>
      <c r="O364" s="98">
        <v>0</v>
      </c>
      <c r="P364" s="99">
        <f>SUM(SamplingData[[#This Row],[Winning Candidate]:[Under Votes]])</f>
        <v>24</v>
      </c>
      <c r="Q364" s="100">
        <f>IF(AND(SamplingData[[#This Row],[Total]]&lt;&gt; 0, NOT(ISBLANK(SamplingData[[#This Row],[Losing Candidate]]))),(SamplingData[[#This Row],[Total]]+SamplingData[[#This Row],[Winning Candidate]]-SamplingData[[#This Row],[Losing Candidate]])/(SamplingData[[#Totals],[Winning Candidate]]-SamplingData[[#Totals],[Losing Candidate]]), 0)</f>
        <v>1.5076797436944435E-3</v>
      </c>
      <c r="R364" s="100">
        <f>IF(AND(SamplingData[[#This Row],[Total]]&lt;&gt; 0, NOT(ISBLANK(SamplingData[[#This Row],[Candidate 3]]))),(SamplingData[[#This Row],[Total]]+SamplingData[[#This Row],[Winning Candidate]]-SamplingData[[#This Row],[Candidate 3]])/(SamplingData[[#Totals],[Winning Candidate]]-SamplingData[[#Totals],[Candidate 3]]), 0)</f>
        <v>0</v>
      </c>
      <c r="S364" s="100">
        <f>IF(AND(SamplingData[[#This Row],[Total]]&lt;&gt; 0, NOT(ISBLANK(SamplingData[[#This Row],[Candidate 4]]))),(SamplingData[[#This Row],[Total]]+SamplingData[[#This Row],[Winning Candidate]]-SamplingData[[#This Row],[Candidate 4]])/(SamplingData[[#Totals],[Winning Candidate]]-SamplingData[[#Totals],[Candidate 4]]), 0)</f>
        <v>0</v>
      </c>
      <c r="T364" s="100">
        <f>IF(AND(SamplingData[[#This Row],[Total]]&lt;&gt; 0, NOT(ISBLANK(SamplingData[[#This Row],[Candidate 5]]))),(SamplingData[[#This Row],[Total]]+SamplingData[[#This Row],[Winning Candidate]]-SamplingData[[#This Row],[Candidate 5]])/(SamplingData[[#Totals],[Winning Candidate]]-SamplingData[[#Totals],[Candidate 5]]), 0)</f>
        <v>0</v>
      </c>
      <c r="U364" s="100">
        <f>IF(AND(SamplingData[[#This Row],[Total]]&lt;&gt; 0, NOT(ISBLANK(SamplingData[[#This Row],[Candidate 6]]))),(SamplingData[[#This Row],[Total]]+SamplingData[[#This Row],[Losing Candidate]]-SamplingData[[#This Row],[Candidate 6]])/(SamplingData[[#Totals],[Winning Candidate]]-SamplingData[[#Totals],[Candidate 6]]), 0)</f>
        <v>0</v>
      </c>
      <c r="V364" s="100">
        <f>IF(AND(SamplingData[[#This Row],[Total]]&lt;&gt; 0, NOT(ISBLANK(SamplingData[[#This Row],[Candidate 7]]))),(SamplingData[[#This Row],[Total]]+SamplingData[[#This Row],[Winning Candidate]]-SamplingData[[#This Row],[Candidate 7]])/(SamplingData[[#Totals],[Winning Candidate]]-SamplingData[[#Totals],[Candidate 7]]), 0)</f>
        <v>0</v>
      </c>
      <c r="W364" s="100">
        <f>IF(AND(SamplingData[[#This Row],[Total]]&lt;&gt; 0, NOT(ISBLANK(SamplingData[[#This Row],[Candidate 8]]))),(SamplingData[[#This Row],[Total]]+SamplingData[[#This Row],[Winning Candidate]]-SamplingData[[#This Row],[Candidate 8]])/(SamplingData[[#Totals],[Winning Candidate]]-SamplingData[[#Totals],[Candidate 8]]), 0)</f>
        <v>0</v>
      </c>
      <c r="X3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00">
        <f>MAX(SamplingData[[#This Row],[Error Bound (up) - Max. possible relative overstatement - Losing Candidate]:[Error Bound (up) - Max. possible relative overstatement - Candidate 12]])</f>
        <v>1.5076797436944435E-3</v>
      </c>
      <c r="AC364" s="100">
        <f>IF(SamplingData[[#This Row],[Max Error Bound (up)]] = 0,0,SamplingData[[#This Row],[Max Error Bound (up)]]/SamplingData[[#Totals],[Max Error Bound (up)]])</f>
        <v>6.4609917622355053E-4</v>
      </c>
      <c r="AD364" s="104">
        <f>SUM($AC$5:AC364)</f>
        <v>7.3547622893447517E-2</v>
      </c>
      <c r="AE364" s="100" t="str" cm="1">
        <f t="array" ref="AE364">IF(SamplingData[[#This Row],[up/U Selection Probability]] = 0, "Zero", TEXT(SamplingData[[#This Row],[Lower Range]], REPT("0",LEN('General Info'!$B$42))) &amp; " - " &amp; TEXT(SamplingData[[#This Row],[Upper Range]], REPT("0",LEN('General Info'!$B$42))))</f>
        <v>07290 - 07354</v>
      </c>
      <c r="AF364" s="100">
        <f>SamplingData[[#This Row],[Upper Range]]-SamplingData[[#This Row],[Span]]</f>
        <v>7290.1523717223963</v>
      </c>
      <c r="AG364" s="100">
        <f>IF(ISNUMBER('General Info'!$B$42), ((SamplingData[[#This Row],[up/U Selection Probability]]) * 'General Info'!$B$44) - 1, 0)</f>
        <v>63.609917622355056</v>
      </c>
      <c r="AH364" s="100">
        <f>IF(ISNUMBER('General Info'!$B$42), (SamplingData[[#This Row],[Running (cumulative) sum]] * ('General Info'!$B$42 -'General Info'!$B$43 + 1)) + 'General Info'!$B$43 - 1, 0)</f>
        <v>7353.7622893447515</v>
      </c>
      <c r="AI364" s="100" t="str">
        <f>IF(ISERROR(MATCH(SamplingData[[#This Row],[Batch by Type (p)]],SelectedPrecincts[Batch Name], 0)), "", INDEX(SelectedPrecincts[Draw], MATCH(SamplingData[[#This Row],[Batch by Type (p)]],SelectedPrecincts[Batch Name], 0)))</f>
        <v/>
      </c>
      <c r="AJ364" s="101">
        <f>IF(COUNTIF(SelectedPrecincts[Batch Name],SamplingData[[#This Row],[Batch by Type (p)]]) &lt;&gt; 0, COUNTIF(SelectedPrecincts[Batch Name],SamplingData[[#This Row],[Batch by Type (p)]]), 0)</f>
        <v>0</v>
      </c>
    </row>
    <row r="365" spans="1:36" ht="15" customHeight="1" x14ac:dyDescent="0.35">
      <c r="A365" s="98" t="s">
        <v>577</v>
      </c>
      <c r="B365" s="98">
        <v>4</v>
      </c>
      <c r="C365" s="98">
        <v>1</v>
      </c>
      <c r="D365" s="93"/>
      <c r="E365" s="93"/>
      <c r="F365" s="93"/>
      <c r="G365" s="97"/>
      <c r="H365" s="97"/>
      <c r="I365" s="93"/>
      <c r="J365" s="93"/>
      <c r="K365" s="93"/>
      <c r="L365" s="93"/>
      <c r="M365" s="93"/>
      <c r="N365" s="98">
        <v>0</v>
      </c>
      <c r="O365" s="98">
        <v>0</v>
      </c>
      <c r="P365" s="99">
        <f>SUM(SamplingData[[#This Row],[Winning Candidate]:[Under Votes]])</f>
        <v>5</v>
      </c>
      <c r="Q36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365" s="100">
        <f>IF(AND(SamplingData[[#This Row],[Total]]&lt;&gt; 0, NOT(ISBLANK(SamplingData[[#This Row],[Candidate 3]]))),(SamplingData[[#This Row],[Total]]+SamplingData[[#This Row],[Winning Candidate]]-SamplingData[[#This Row],[Candidate 3]])/(SamplingData[[#Totals],[Winning Candidate]]-SamplingData[[#Totals],[Candidate 3]]), 0)</f>
        <v>0</v>
      </c>
      <c r="S365" s="100">
        <f>IF(AND(SamplingData[[#This Row],[Total]]&lt;&gt; 0, NOT(ISBLANK(SamplingData[[#This Row],[Candidate 4]]))),(SamplingData[[#This Row],[Total]]+SamplingData[[#This Row],[Winning Candidate]]-SamplingData[[#This Row],[Candidate 4]])/(SamplingData[[#Totals],[Winning Candidate]]-SamplingData[[#Totals],[Candidate 4]]), 0)</f>
        <v>0</v>
      </c>
      <c r="T365" s="100">
        <f>IF(AND(SamplingData[[#This Row],[Total]]&lt;&gt; 0, NOT(ISBLANK(SamplingData[[#This Row],[Candidate 5]]))),(SamplingData[[#This Row],[Total]]+SamplingData[[#This Row],[Winning Candidate]]-SamplingData[[#This Row],[Candidate 5]])/(SamplingData[[#Totals],[Winning Candidate]]-SamplingData[[#Totals],[Candidate 5]]), 0)</f>
        <v>0</v>
      </c>
      <c r="U365" s="100">
        <f>IF(AND(SamplingData[[#This Row],[Total]]&lt;&gt; 0, NOT(ISBLANK(SamplingData[[#This Row],[Candidate 6]]))),(SamplingData[[#This Row],[Total]]+SamplingData[[#This Row],[Losing Candidate]]-SamplingData[[#This Row],[Candidate 6]])/(SamplingData[[#Totals],[Winning Candidate]]-SamplingData[[#Totals],[Candidate 6]]), 0)</f>
        <v>0</v>
      </c>
      <c r="V365" s="100">
        <f>IF(AND(SamplingData[[#This Row],[Total]]&lt;&gt; 0, NOT(ISBLANK(SamplingData[[#This Row],[Candidate 7]]))),(SamplingData[[#This Row],[Total]]+SamplingData[[#This Row],[Winning Candidate]]-SamplingData[[#This Row],[Candidate 7]])/(SamplingData[[#Totals],[Winning Candidate]]-SamplingData[[#Totals],[Candidate 7]]), 0)</f>
        <v>0</v>
      </c>
      <c r="W365" s="100">
        <f>IF(AND(SamplingData[[#This Row],[Total]]&lt;&gt; 0, NOT(ISBLANK(SamplingData[[#This Row],[Candidate 8]]))),(SamplingData[[#This Row],[Total]]+SamplingData[[#This Row],[Winning Candidate]]-SamplingData[[#This Row],[Candidate 8]])/(SamplingData[[#Totals],[Winning Candidate]]-SamplingData[[#Totals],[Candidate 8]]), 0)</f>
        <v>0</v>
      </c>
      <c r="X3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00">
        <f>MAX(SamplingData[[#This Row],[Error Bound (up) - Max. possible relative overstatement - Losing Candidate]:[Error Bound (up) - Max. possible relative overstatement - Candidate 12]])</f>
        <v>2.5127995728240724E-4</v>
      </c>
      <c r="AC365" s="100">
        <f>IF(SamplingData[[#This Row],[Max Error Bound (up)]] = 0,0,SamplingData[[#This Row],[Max Error Bound (up)]]/SamplingData[[#Totals],[Max Error Bound (up)]])</f>
        <v>1.0768319603725841E-4</v>
      </c>
      <c r="AD365" s="104">
        <f>SUM($AC$5:AC365)</f>
        <v>7.3655306089484771E-2</v>
      </c>
      <c r="AE365" s="100" t="str" cm="1">
        <f t="array" ref="AE365">IF(SamplingData[[#This Row],[up/U Selection Probability]] = 0, "Zero", TEXT(SamplingData[[#This Row],[Lower Range]], REPT("0",LEN('General Info'!$B$42))) &amp; " - " &amp; TEXT(SamplingData[[#This Row],[Upper Range]], REPT("0",LEN('General Info'!$B$42))))</f>
        <v>07355 - 07365</v>
      </c>
      <c r="AF365" s="100">
        <f>SamplingData[[#This Row],[Upper Range]]-SamplingData[[#This Row],[Span]]</f>
        <v>7354.7622893447515</v>
      </c>
      <c r="AG365" s="100">
        <f>IF(ISNUMBER('General Info'!$B$42), ((SamplingData[[#This Row],[up/U Selection Probability]]) * 'General Info'!$B$44) - 1, 0)</f>
        <v>9.7683196037258408</v>
      </c>
      <c r="AH365" s="100">
        <f>IF(ISNUMBER('General Info'!$B$42), (SamplingData[[#This Row],[Running (cumulative) sum]] * ('General Info'!$B$42 -'General Info'!$B$43 + 1)) + 'General Info'!$B$43 - 1, 0)</f>
        <v>7364.5306089484775</v>
      </c>
      <c r="AI365" s="100" t="str">
        <f>IF(ISERROR(MATCH(SamplingData[[#This Row],[Batch by Type (p)]],SelectedPrecincts[Batch Name], 0)), "", INDEX(SelectedPrecincts[Draw], MATCH(SamplingData[[#This Row],[Batch by Type (p)]],SelectedPrecincts[Batch Name], 0)))</f>
        <v/>
      </c>
      <c r="AJ365" s="101">
        <f>IF(COUNTIF(SelectedPrecincts[Batch Name],SamplingData[[#This Row],[Batch by Type (p)]]) &lt;&gt; 0, COUNTIF(SelectedPrecincts[Batch Name],SamplingData[[#This Row],[Batch by Type (p)]]), 0)</f>
        <v>0</v>
      </c>
    </row>
    <row r="366" spans="1:36" ht="15" customHeight="1" x14ac:dyDescent="0.35">
      <c r="A366" s="98" t="s">
        <v>578</v>
      </c>
      <c r="B366" s="98">
        <v>7</v>
      </c>
      <c r="C366" s="98">
        <v>3</v>
      </c>
      <c r="D366" s="93"/>
      <c r="E366" s="93"/>
      <c r="F366" s="93"/>
      <c r="G366" s="97"/>
      <c r="H366" s="97"/>
      <c r="I366" s="93"/>
      <c r="J366" s="93"/>
      <c r="K366" s="93"/>
      <c r="L366" s="93"/>
      <c r="M366" s="93"/>
      <c r="N366" s="98">
        <v>0</v>
      </c>
      <c r="O366" s="98">
        <v>1</v>
      </c>
      <c r="P366" s="99">
        <f>SUM(SamplingData[[#This Row],[Winning Candidate]:[Under Votes]])</f>
        <v>11</v>
      </c>
      <c r="Q366" s="100">
        <f>IF(AND(SamplingData[[#This Row],[Total]]&lt;&gt; 0, NOT(ISBLANK(SamplingData[[#This Row],[Losing Candidate]]))),(SamplingData[[#This Row],[Total]]+SamplingData[[#This Row],[Winning Candidate]]-SamplingData[[#This Row],[Losing Candidate]])/(SamplingData[[#Totals],[Winning Candidate]]-SamplingData[[#Totals],[Losing Candidate]]), 0)</f>
        <v>4.7114991990451359E-4</v>
      </c>
      <c r="R366" s="100">
        <f>IF(AND(SamplingData[[#This Row],[Total]]&lt;&gt; 0, NOT(ISBLANK(SamplingData[[#This Row],[Candidate 3]]))),(SamplingData[[#This Row],[Total]]+SamplingData[[#This Row],[Winning Candidate]]-SamplingData[[#This Row],[Candidate 3]])/(SamplingData[[#Totals],[Winning Candidate]]-SamplingData[[#Totals],[Candidate 3]]), 0)</f>
        <v>0</v>
      </c>
      <c r="S366" s="100">
        <f>IF(AND(SamplingData[[#This Row],[Total]]&lt;&gt; 0, NOT(ISBLANK(SamplingData[[#This Row],[Candidate 4]]))),(SamplingData[[#This Row],[Total]]+SamplingData[[#This Row],[Winning Candidate]]-SamplingData[[#This Row],[Candidate 4]])/(SamplingData[[#Totals],[Winning Candidate]]-SamplingData[[#Totals],[Candidate 4]]), 0)</f>
        <v>0</v>
      </c>
      <c r="T366" s="100">
        <f>IF(AND(SamplingData[[#This Row],[Total]]&lt;&gt; 0, NOT(ISBLANK(SamplingData[[#This Row],[Candidate 5]]))),(SamplingData[[#This Row],[Total]]+SamplingData[[#This Row],[Winning Candidate]]-SamplingData[[#This Row],[Candidate 5]])/(SamplingData[[#Totals],[Winning Candidate]]-SamplingData[[#Totals],[Candidate 5]]), 0)</f>
        <v>0</v>
      </c>
      <c r="U366" s="100">
        <f>IF(AND(SamplingData[[#This Row],[Total]]&lt;&gt; 0, NOT(ISBLANK(SamplingData[[#This Row],[Candidate 6]]))),(SamplingData[[#This Row],[Total]]+SamplingData[[#This Row],[Losing Candidate]]-SamplingData[[#This Row],[Candidate 6]])/(SamplingData[[#Totals],[Winning Candidate]]-SamplingData[[#Totals],[Candidate 6]]), 0)</f>
        <v>0</v>
      </c>
      <c r="V366" s="100">
        <f>IF(AND(SamplingData[[#This Row],[Total]]&lt;&gt; 0, NOT(ISBLANK(SamplingData[[#This Row],[Candidate 7]]))),(SamplingData[[#This Row],[Total]]+SamplingData[[#This Row],[Winning Candidate]]-SamplingData[[#This Row],[Candidate 7]])/(SamplingData[[#Totals],[Winning Candidate]]-SamplingData[[#Totals],[Candidate 7]]), 0)</f>
        <v>0</v>
      </c>
      <c r="W366" s="100">
        <f>IF(AND(SamplingData[[#This Row],[Total]]&lt;&gt; 0, NOT(ISBLANK(SamplingData[[#This Row],[Candidate 8]]))),(SamplingData[[#This Row],[Total]]+SamplingData[[#This Row],[Winning Candidate]]-SamplingData[[#This Row],[Candidate 8]])/(SamplingData[[#Totals],[Winning Candidate]]-SamplingData[[#Totals],[Candidate 8]]), 0)</f>
        <v>0</v>
      </c>
      <c r="X3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00">
        <f>MAX(SamplingData[[#This Row],[Error Bound (up) - Max. possible relative overstatement - Losing Candidate]:[Error Bound (up) - Max. possible relative overstatement - Candidate 12]])</f>
        <v>4.7114991990451359E-4</v>
      </c>
      <c r="AC366" s="100">
        <f>IF(SamplingData[[#This Row],[Max Error Bound (up)]] = 0,0,SamplingData[[#This Row],[Max Error Bound (up)]]/SamplingData[[#Totals],[Max Error Bound (up)]])</f>
        <v>2.0190599256985953E-4</v>
      </c>
      <c r="AD366" s="104">
        <f>SUM($AC$5:AC366)</f>
        <v>7.3857212082054632E-2</v>
      </c>
      <c r="AE366" s="100" t="str" cm="1">
        <f t="array" ref="AE366">IF(SamplingData[[#This Row],[up/U Selection Probability]] = 0, "Zero", TEXT(SamplingData[[#This Row],[Lower Range]], REPT("0",LEN('General Info'!$B$42))) &amp; " - " &amp; TEXT(SamplingData[[#This Row],[Upper Range]], REPT("0",LEN('General Info'!$B$42))))</f>
        <v>07366 - 07385</v>
      </c>
      <c r="AF366" s="100">
        <f>SamplingData[[#This Row],[Upper Range]]-SamplingData[[#This Row],[Span]]</f>
        <v>7365.5306089484766</v>
      </c>
      <c r="AG366" s="100">
        <f>IF(ISNUMBER('General Info'!$B$42), ((SamplingData[[#This Row],[up/U Selection Probability]]) * 'General Info'!$B$44) - 1, 0)</f>
        <v>19.190599256985951</v>
      </c>
      <c r="AH366" s="100">
        <f>IF(ISNUMBER('General Info'!$B$42), (SamplingData[[#This Row],[Running (cumulative) sum]] * ('General Info'!$B$42 -'General Info'!$B$43 + 1)) + 'General Info'!$B$43 - 1, 0)</f>
        <v>7384.721208205463</v>
      </c>
      <c r="AI366" s="100" t="str">
        <f>IF(ISERROR(MATCH(SamplingData[[#This Row],[Batch by Type (p)]],SelectedPrecincts[Batch Name], 0)), "", INDEX(SelectedPrecincts[Draw], MATCH(SamplingData[[#This Row],[Batch by Type (p)]],SelectedPrecincts[Batch Name], 0)))</f>
        <v/>
      </c>
      <c r="AJ366" s="101">
        <f>IF(COUNTIF(SelectedPrecincts[Batch Name],SamplingData[[#This Row],[Batch by Type (p)]]) &lt;&gt; 0, COUNTIF(SelectedPrecincts[Batch Name],SamplingData[[#This Row],[Batch by Type (p)]]), 0)</f>
        <v>0</v>
      </c>
    </row>
    <row r="367" spans="1:36" ht="15" customHeight="1" x14ac:dyDescent="0.35">
      <c r="A367" s="98" t="s">
        <v>579</v>
      </c>
      <c r="B367" s="98">
        <v>10</v>
      </c>
      <c r="C367" s="98">
        <v>1</v>
      </c>
      <c r="D367" s="93"/>
      <c r="E367" s="93"/>
      <c r="F367" s="93"/>
      <c r="G367" s="97"/>
      <c r="H367" s="97"/>
      <c r="I367" s="93"/>
      <c r="J367" s="93"/>
      <c r="K367" s="93"/>
      <c r="L367" s="93"/>
      <c r="M367" s="93"/>
      <c r="N367" s="98">
        <v>0</v>
      </c>
      <c r="O367" s="98">
        <v>0</v>
      </c>
      <c r="P367" s="99">
        <f>SUM(SamplingData[[#This Row],[Winning Candidate]:[Under Votes]])</f>
        <v>11</v>
      </c>
      <c r="Q367"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367" s="100">
        <f>IF(AND(SamplingData[[#This Row],[Total]]&lt;&gt; 0, NOT(ISBLANK(SamplingData[[#This Row],[Candidate 3]]))),(SamplingData[[#This Row],[Total]]+SamplingData[[#This Row],[Winning Candidate]]-SamplingData[[#This Row],[Candidate 3]])/(SamplingData[[#Totals],[Winning Candidate]]-SamplingData[[#Totals],[Candidate 3]]), 0)</f>
        <v>0</v>
      </c>
      <c r="S367" s="100">
        <f>IF(AND(SamplingData[[#This Row],[Total]]&lt;&gt; 0, NOT(ISBLANK(SamplingData[[#This Row],[Candidate 4]]))),(SamplingData[[#This Row],[Total]]+SamplingData[[#This Row],[Winning Candidate]]-SamplingData[[#This Row],[Candidate 4]])/(SamplingData[[#Totals],[Winning Candidate]]-SamplingData[[#Totals],[Candidate 4]]), 0)</f>
        <v>0</v>
      </c>
      <c r="T367" s="100">
        <f>IF(AND(SamplingData[[#This Row],[Total]]&lt;&gt; 0, NOT(ISBLANK(SamplingData[[#This Row],[Candidate 5]]))),(SamplingData[[#This Row],[Total]]+SamplingData[[#This Row],[Winning Candidate]]-SamplingData[[#This Row],[Candidate 5]])/(SamplingData[[#Totals],[Winning Candidate]]-SamplingData[[#Totals],[Candidate 5]]), 0)</f>
        <v>0</v>
      </c>
      <c r="U367" s="100">
        <f>IF(AND(SamplingData[[#This Row],[Total]]&lt;&gt; 0, NOT(ISBLANK(SamplingData[[#This Row],[Candidate 6]]))),(SamplingData[[#This Row],[Total]]+SamplingData[[#This Row],[Losing Candidate]]-SamplingData[[#This Row],[Candidate 6]])/(SamplingData[[#Totals],[Winning Candidate]]-SamplingData[[#Totals],[Candidate 6]]), 0)</f>
        <v>0</v>
      </c>
      <c r="V367" s="100">
        <f>IF(AND(SamplingData[[#This Row],[Total]]&lt;&gt; 0, NOT(ISBLANK(SamplingData[[#This Row],[Candidate 7]]))),(SamplingData[[#This Row],[Total]]+SamplingData[[#This Row],[Winning Candidate]]-SamplingData[[#This Row],[Candidate 7]])/(SamplingData[[#Totals],[Winning Candidate]]-SamplingData[[#Totals],[Candidate 7]]), 0)</f>
        <v>0</v>
      </c>
      <c r="W367" s="100">
        <f>IF(AND(SamplingData[[#This Row],[Total]]&lt;&gt; 0, NOT(ISBLANK(SamplingData[[#This Row],[Candidate 8]]))),(SamplingData[[#This Row],[Total]]+SamplingData[[#This Row],[Winning Candidate]]-SamplingData[[#This Row],[Candidate 8]])/(SamplingData[[#Totals],[Winning Candidate]]-SamplingData[[#Totals],[Candidate 8]]), 0)</f>
        <v>0</v>
      </c>
      <c r="X3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00">
        <f>MAX(SamplingData[[#This Row],[Error Bound (up) - Max. possible relative overstatement - Losing Candidate]:[Error Bound (up) - Max. possible relative overstatement - Candidate 12]])</f>
        <v>6.2819989320601812E-4</v>
      </c>
      <c r="AC367" s="100">
        <f>IF(SamplingData[[#This Row],[Max Error Bound (up)]] = 0,0,SamplingData[[#This Row],[Max Error Bound (up)]]/SamplingData[[#Totals],[Max Error Bound (up)]])</f>
        <v>2.6920799009314607E-4</v>
      </c>
      <c r="AD367" s="104">
        <f>SUM($AC$5:AC367)</f>
        <v>7.4126420072147772E-2</v>
      </c>
      <c r="AE367" s="100" t="str" cm="1">
        <f t="array" ref="AE367">IF(SamplingData[[#This Row],[up/U Selection Probability]] = 0, "Zero", TEXT(SamplingData[[#This Row],[Lower Range]], REPT("0",LEN('General Info'!$B$42))) &amp; " - " &amp; TEXT(SamplingData[[#This Row],[Upper Range]], REPT("0",LEN('General Info'!$B$42))))</f>
        <v>07386 - 07412</v>
      </c>
      <c r="AF367" s="100">
        <f>SamplingData[[#This Row],[Upper Range]]-SamplingData[[#This Row],[Span]]</f>
        <v>7385.721208205463</v>
      </c>
      <c r="AG367" s="100">
        <f>IF(ISNUMBER('General Info'!$B$42), ((SamplingData[[#This Row],[up/U Selection Probability]]) * 'General Info'!$B$44) - 1, 0)</f>
        <v>25.920799009314607</v>
      </c>
      <c r="AH367" s="100">
        <f>IF(ISNUMBER('General Info'!$B$42), (SamplingData[[#This Row],[Running (cumulative) sum]] * ('General Info'!$B$42 -'General Info'!$B$43 + 1)) + 'General Info'!$B$43 - 1, 0)</f>
        <v>7411.6420072147775</v>
      </c>
      <c r="AI367" s="100" t="str">
        <f>IF(ISERROR(MATCH(SamplingData[[#This Row],[Batch by Type (p)]],SelectedPrecincts[Batch Name], 0)), "", INDEX(SelectedPrecincts[Draw], MATCH(SamplingData[[#This Row],[Batch by Type (p)]],SelectedPrecincts[Batch Name], 0)))</f>
        <v/>
      </c>
      <c r="AJ367" s="101">
        <f>IF(COUNTIF(SelectedPrecincts[Batch Name],SamplingData[[#This Row],[Batch by Type (p)]]) &lt;&gt; 0, COUNTIF(SelectedPrecincts[Batch Name],SamplingData[[#This Row],[Batch by Type (p)]]), 0)</f>
        <v>0</v>
      </c>
    </row>
    <row r="368" spans="1:36" ht="15" customHeight="1" x14ac:dyDescent="0.35">
      <c r="A368" s="98" t="s">
        <v>580</v>
      </c>
      <c r="B368" s="98">
        <v>1</v>
      </c>
      <c r="C368" s="98">
        <v>0</v>
      </c>
      <c r="D368" s="93"/>
      <c r="E368" s="93"/>
      <c r="F368" s="93"/>
      <c r="G368" s="97"/>
      <c r="H368" s="97"/>
      <c r="I368" s="93"/>
      <c r="J368" s="93"/>
      <c r="K368" s="93"/>
      <c r="L368" s="93"/>
      <c r="M368" s="93"/>
      <c r="N368" s="98">
        <v>0</v>
      </c>
      <c r="O368" s="98">
        <v>0</v>
      </c>
      <c r="P368" s="99">
        <f>SUM(SamplingData[[#This Row],[Winning Candidate]:[Under Votes]])</f>
        <v>1</v>
      </c>
      <c r="Q368"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368" s="100">
        <f>IF(AND(SamplingData[[#This Row],[Total]]&lt;&gt; 0, NOT(ISBLANK(SamplingData[[#This Row],[Candidate 3]]))),(SamplingData[[#This Row],[Total]]+SamplingData[[#This Row],[Winning Candidate]]-SamplingData[[#This Row],[Candidate 3]])/(SamplingData[[#Totals],[Winning Candidate]]-SamplingData[[#Totals],[Candidate 3]]), 0)</f>
        <v>0</v>
      </c>
      <c r="S368" s="100">
        <f>IF(AND(SamplingData[[#This Row],[Total]]&lt;&gt; 0, NOT(ISBLANK(SamplingData[[#This Row],[Candidate 4]]))),(SamplingData[[#This Row],[Total]]+SamplingData[[#This Row],[Winning Candidate]]-SamplingData[[#This Row],[Candidate 4]])/(SamplingData[[#Totals],[Winning Candidate]]-SamplingData[[#Totals],[Candidate 4]]), 0)</f>
        <v>0</v>
      </c>
      <c r="T368" s="100">
        <f>IF(AND(SamplingData[[#This Row],[Total]]&lt;&gt; 0, NOT(ISBLANK(SamplingData[[#This Row],[Candidate 5]]))),(SamplingData[[#This Row],[Total]]+SamplingData[[#This Row],[Winning Candidate]]-SamplingData[[#This Row],[Candidate 5]])/(SamplingData[[#Totals],[Winning Candidate]]-SamplingData[[#Totals],[Candidate 5]]), 0)</f>
        <v>0</v>
      </c>
      <c r="U368" s="100">
        <f>IF(AND(SamplingData[[#This Row],[Total]]&lt;&gt; 0, NOT(ISBLANK(SamplingData[[#This Row],[Candidate 6]]))),(SamplingData[[#This Row],[Total]]+SamplingData[[#This Row],[Losing Candidate]]-SamplingData[[#This Row],[Candidate 6]])/(SamplingData[[#Totals],[Winning Candidate]]-SamplingData[[#Totals],[Candidate 6]]), 0)</f>
        <v>0</v>
      </c>
      <c r="V368" s="100">
        <f>IF(AND(SamplingData[[#This Row],[Total]]&lt;&gt; 0, NOT(ISBLANK(SamplingData[[#This Row],[Candidate 7]]))),(SamplingData[[#This Row],[Total]]+SamplingData[[#This Row],[Winning Candidate]]-SamplingData[[#This Row],[Candidate 7]])/(SamplingData[[#Totals],[Winning Candidate]]-SamplingData[[#Totals],[Candidate 7]]), 0)</f>
        <v>0</v>
      </c>
      <c r="W368" s="100">
        <f>IF(AND(SamplingData[[#This Row],[Total]]&lt;&gt; 0, NOT(ISBLANK(SamplingData[[#This Row],[Candidate 8]]))),(SamplingData[[#This Row],[Total]]+SamplingData[[#This Row],[Winning Candidate]]-SamplingData[[#This Row],[Candidate 8]])/(SamplingData[[#Totals],[Winning Candidate]]-SamplingData[[#Totals],[Candidate 8]]), 0)</f>
        <v>0</v>
      </c>
      <c r="X3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00">
        <f>MAX(SamplingData[[#This Row],[Error Bound (up) - Max. possible relative overstatement - Losing Candidate]:[Error Bound (up) - Max. possible relative overstatement - Candidate 12]])</f>
        <v>6.2819989320601809E-5</v>
      </c>
      <c r="AC368" s="100">
        <f>IF(SamplingData[[#This Row],[Max Error Bound (up)]] = 0,0,SamplingData[[#This Row],[Max Error Bound (up)]]/SamplingData[[#Totals],[Max Error Bound (up)]])</f>
        <v>2.6920799009314603E-5</v>
      </c>
      <c r="AD368" s="104">
        <f>SUM($AC$5:AC368)</f>
        <v>7.4153340871157089E-2</v>
      </c>
      <c r="AE368" s="100" t="str" cm="1">
        <f t="array" ref="AE368">IF(SamplingData[[#This Row],[up/U Selection Probability]] = 0, "Zero", TEXT(SamplingData[[#This Row],[Lower Range]], REPT("0",LEN('General Info'!$B$42))) &amp; " - " &amp; TEXT(SamplingData[[#This Row],[Upper Range]], REPT("0",LEN('General Info'!$B$42))))</f>
        <v>07413 - 07414</v>
      </c>
      <c r="AF368" s="100">
        <f>SamplingData[[#This Row],[Upper Range]]-SamplingData[[#This Row],[Span]]</f>
        <v>7412.6420072147775</v>
      </c>
      <c r="AG368" s="100">
        <f>IF(ISNUMBER('General Info'!$B$42), ((SamplingData[[#This Row],[up/U Selection Probability]]) * 'General Info'!$B$44) - 1, 0)</f>
        <v>1.6920799009314602</v>
      </c>
      <c r="AH368" s="100">
        <f>IF(ISNUMBER('General Info'!$B$42), (SamplingData[[#This Row],[Running (cumulative) sum]] * ('General Info'!$B$42 -'General Info'!$B$43 + 1)) + 'General Info'!$B$43 - 1, 0)</f>
        <v>7414.3340871157088</v>
      </c>
      <c r="AI368" s="100" t="str">
        <f>IF(ISERROR(MATCH(SamplingData[[#This Row],[Batch by Type (p)]],SelectedPrecincts[Batch Name], 0)), "", INDEX(SelectedPrecincts[Draw], MATCH(SamplingData[[#This Row],[Batch by Type (p)]],SelectedPrecincts[Batch Name], 0)))</f>
        <v/>
      </c>
      <c r="AJ368" s="101">
        <f>IF(COUNTIF(SelectedPrecincts[Batch Name],SamplingData[[#This Row],[Batch by Type (p)]]) &lt;&gt; 0, COUNTIF(SelectedPrecincts[Batch Name],SamplingData[[#This Row],[Batch by Type (p)]]), 0)</f>
        <v>0</v>
      </c>
    </row>
    <row r="369" spans="1:36" ht="15" customHeight="1" x14ac:dyDescent="0.35">
      <c r="A369" s="98" t="s">
        <v>581</v>
      </c>
      <c r="B369" s="98">
        <v>22</v>
      </c>
      <c r="C369" s="98">
        <v>3</v>
      </c>
      <c r="D369" s="93"/>
      <c r="E369" s="93"/>
      <c r="F369" s="93"/>
      <c r="G369" s="97"/>
      <c r="H369" s="97"/>
      <c r="I369" s="93"/>
      <c r="J369" s="93"/>
      <c r="K369" s="93"/>
      <c r="L369" s="93"/>
      <c r="M369" s="93"/>
      <c r="N369" s="98">
        <v>0</v>
      </c>
      <c r="O369" s="98">
        <v>0</v>
      </c>
      <c r="P369" s="99">
        <f>SUM(SamplingData[[#This Row],[Winning Candidate]:[Under Votes]])</f>
        <v>25</v>
      </c>
      <c r="Q369" s="100">
        <f>IF(AND(SamplingData[[#This Row],[Total]]&lt;&gt; 0, NOT(ISBLANK(SamplingData[[#This Row],[Losing Candidate]]))),(SamplingData[[#This Row],[Total]]+SamplingData[[#This Row],[Winning Candidate]]-SamplingData[[#This Row],[Losing Candidate]])/(SamplingData[[#Totals],[Winning Candidate]]-SamplingData[[#Totals],[Losing Candidate]]), 0)</f>
        <v>1.38203976505324E-3</v>
      </c>
      <c r="R369" s="100">
        <f>IF(AND(SamplingData[[#This Row],[Total]]&lt;&gt; 0, NOT(ISBLANK(SamplingData[[#This Row],[Candidate 3]]))),(SamplingData[[#This Row],[Total]]+SamplingData[[#This Row],[Winning Candidate]]-SamplingData[[#This Row],[Candidate 3]])/(SamplingData[[#Totals],[Winning Candidate]]-SamplingData[[#Totals],[Candidate 3]]), 0)</f>
        <v>0</v>
      </c>
      <c r="S369" s="100">
        <f>IF(AND(SamplingData[[#This Row],[Total]]&lt;&gt; 0, NOT(ISBLANK(SamplingData[[#This Row],[Candidate 4]]))),(SamplingData[[#This Row],[Total]]+SamplingData[[#This Row],[Winning Candidate]]-SamplingData[[#This Row],[Candidate 4]])/(SamplingData[[#Totals],[Winning Candidate]]-SamplingData[[#Totals],[Candidate 4]]), 0)</f>
        <v>0</v>
      </c>
      <c r="T369" s="100">
        <f>IF(AND(SamplingData[[#This Row],[Total]]&lt;&gt; 0, NOT(ISBLANK(SamplingData[[#This Row],[Candidate 5]]))),(SamplingData[[#This Row],[Total]]+SamplingData[[#This Row],[Winning Candidate]]-SamplingData[[#This Row],[Candidate 5]])/(SamplingData[[#Totals],[Winning Candidate]]-SamplingData[[#Totals],[Candidate 5]]), 0)</f>
        <v>0</v>
      </c>
      <c r="U369" s="100">
        <f>IF(AND(SamplingData[[#This Row],[Total]]&lt;&gt; 0, NOT(ISBLANK(SamplingData[[#This Row],[Candidate 6]]))),(SamplingData[[#This Row],[Total]]+SamplingData[[#This Row],[Losing Candidate]]-SamplingData[[#This Row],[Candidate 6]])/(SamplingData[[#Totals],[Winning Candidate]]-SamplingData[[#Totals],[Candidate 6]]), 0)</f>
        <v>0</v>
      </c>
      <c r="V369" s="100">
        <f>IF(AND(SamplingData[[#This Row],[Total]]&lt;&gt; 0, NOT(ISBLANK(SamplingData[[#This Row],[Candidate 7]]))),(SamplingData[[#This Row],[Total]]+SamplingData[[#This Row],[Winning Candidate]]-SamplingData[[#This Row],[Candidate 7]])/(SamplingData[[#Totals],[Winning Candidate]]-SamplingData[[#Totals],[Candidate 7]]), 0)</f>
        <v>0</v>
      </c>
      <c r="W369" s="100">
        <f>IF(AND(SamplingData[[#This Row],[Total]]&lt;&gt; 0, NOT(ISBLANK(SamplingData[[#This Row],[Candidate 8]]))),(SamplingData[[#This Row],[Total]]+SamplingData[[#This Row],[Winning Candidate]]-SamplingData[[#This Row],[Candidate 8]])/(SamplingData[[#Totals],[Winning Candidate]]-SamplingData[[#Totals],[Candidate 8]]), 0)</f>
        <v>0</v>
      </c>
      <c r="X3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00">
        <f>MAX(SamplingData[[#This Row],[Error Bound (up) - Max. possible relative overstatement - Losing Candidate]:[Error Bound (up) - Max. possible relative overstatement - Candidate 12]])</f>
        <v>1.38203976505324E-3</v>
      </c>
      <c r="AC369" s="100">
        <f>IF(SamplingData[[#This Row],[Max Error Bound (up)]] = 0,0,SamplingData[[#This Row],[Max Error Bound (up)]]/SamplingData[[#Totals],[Max Error Bound (up)]])</f>
        <v>5.9225757820492134E-4</v>
      </c>
      <c r="AD369" s="104">
        <f>SUM($AC$5:AC369)</f>
        <v>7.4745598449362016E-2</v>
      </c>
      <c r="AE369" s="100" t="str" cm="1">
        <f t="array" ref="AE369">IF(SamplingData[[#This Row],[up/U Selection Probability]] = 0, "Zero", TEXT(SamplingData[[#This Row],[Lower Range]], REPT("0",LEN('General Info'!$B$42))) &amp; " - " &amp; TEXT(SamplingData[[#This Row],[Upper Range]], REPT("0",LEN('General Info'!$B$42))))</f>
        <v>07415 - 07474</v>
      </c>
      <c r="AF369" s="100">
        <f>SamplingData[[#This Row],[Upper Range]]-SamplingData[[#This Row],[Span]]</f>
        <v>7415.3340871157097</v>
      </c>
      <c r="AG369" s="100">
        <f>IF(ISNUMBER('General Info'!$B$42), ((SamplingData[[#This Row],[up/U Selection Probability]]) * 'General Info'!$B$44) - 1, 0)</f>
        <v>58.225757820492134</v>
      </c>
      <c r="AH369" s="100">
        <f>IF(ISNUMBER('General Info'!$B$42), (SamplingData[[#This Row],[Running (cumulative) sum]] * ('General Info'!$B$42 -'General Info'!$B$43 + 1)) + 'General Info'!$B$43 - 1, 0)</f>
        <v>7473.5598449362014</v>
      </c>
      <c r="AI369" s="100" t="str">
        <f>IF(ISERROR(MATCH(SamplingData[[#This Row],[Batch by Type (p)]],SelectedPrecincts[Batch Name], 0)), "", INDEX(SelectedPrecincts[Draw], MATCH(SamplingData[[#This Row],[Batch by Type (p)]],SelectedPrecincts[Batch Name], 0)))</f>
        <v/>
      </c>
      <c r="AJ369" s="101">
        <f>IF(COUNTIF(SelectedPrecincts[Batch Name],SamplingData[[#This Row],[Batch by Type (p)]]) &lt;&gt; 0, COUNTIF(SelectedPrecincts[Batch Name],SamplingData[[#This Row],[Batch by Type (p)]]), 0)</f>
        <v>0</v>
      </c>
    </row>
    <row r="370" spans="1:36" ht="15" customHeight="1" x14ac:dyDescent="0.35">
      <c r="A370" s="98" t="s">
        <v>582</v>
      </c>
      <c r="B370" s="98">
        <v>12</v>
      </c>
      <c r="C370" s="98">
        <v>0</v>
      </c>
      <c r="D370" s="93"/>
      <c r="E370" s="93"/>
      <c r="F370" s="93"/>
      <c r="G370" s="97"/>
      <c r="H370" s="97"/>
      <c r="I370" s="93"/>
      <c r="J370" s="93"/>
      <c r="K370" s="93"/>
      <c r="L370" s="93"/>
      <c r="M370" s="93"/>
      <c r="N370" s="98">
        <v>0</v>
      </c>
      <c r="O370" s="98">
        <v>0</v>
      </c>
      <c r="P370" s="99">
        <f>SUM(SamplingData[[#This Row],[Winning Candidate]:[Under Votes]])</f>
        <v>12</v>
      </c>
      <c r="Q370"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370" s="100">
        <f>IF(AND(SamplingData[[#This Row],[Total]]&lt;&gt; 0, NOT(ISBLANK(SamplingData[[#This Row],[Candidate 3]]))),(SamplingData[[#This Row],[Total]]+SamplingData[[#This Row],[Winning Candidate]]-SamplingData[[#This Row],[Candidate 3]])/(SamplingData[[#Totals],[Winning Candidate]]-SamplingData[[#Totals],[Candidate 3]]), 0)</f>
        <v>0</v>
      </c>
      <c r="S370" s="100">
        <f>IF(AND(SamplingData[[#This Row],[Total]]&lt;&gt; 0, NOT(ISBLANK(SamplingData[[#This Row],[Candidate 4]]))),(SamplingData[[#This Row],[Total]]+SamplingData[[#This Row],[Winning Candidate]]-SamplingData[[#This Row],[Candidate 4]])/(SamplingData[[#Totals],[Winning Candidate]]-SamplingData[[#Totals],[Candidate 4]]), 0)</f>
        <v>0</v>
      </c>
      <c r="T370" s="100">
        <f>IF(AND(SamplingData[[#This Row],[Total]]&lt;&gt; 0, NOT(ISBLANK(SamplingData[[#This Row],[Candidate 5]]))),(SamplingData[[#This Row],[Total]]+SamplingData[[#This Row],[Winning Candidate]]-SamplingData[[#This Row],[Candidate 5]])/(SamplingData[[#Totals],[Winning Candidate]]-SamplingData[[#Totals],[Candidate 5]]), 0)</f>
        <v>0</v>
      </c>
      <c r="U370" s="100">
        <f>IF(AND(SamplingData[[#This Row],[Total]]&lt;&gt; 0, NOT(ISBLANK(SamplingData[[#This Row],[Candidate 6]]))),(SamplingData[[#This Row],[Total]]+SamplingData[[#This Row],[Losing Candidate]]-SamplingData[[#This Row],[Candidate 6]])/(SamplingData[[#Totals],[Winning Candidate]]-SamplingData[[#Totals],[Candidate 6]]), 0)</f>
        <v>0</v>
      </c>
      <c r="V370" s="100">
        <f>IF(AND(SamplingData[[#This Row],[Total]]&lt;&gt; 0, NOT(ISBLANK(SamplingData[[#This Row],[Candidate 7]]))),(SamplingData[[#This Row],[Total]]+SamplingData[[#This Row],[Winning Candidate]]-SamplingData[[#This Row],[Candidate 7]])/(SamplingData[[#Totals],[Winning Candidate]]-SamplingData[[#Totals],[Candidate 7]]), 0)</f>
        <v>0</v>
      </c>
      <c r="W370" s="100">
        <f>IF(AND(SamplingData[[#This Row],[Total]]&lt;&gt; 0, NOT(ISBLANK(SamplingData[[#This Row],[Candidate 8]]))),(SamplingData[[#This Row],[Total]]+SamplingData[[#This Row],[Winning Candidate]]-SamplingData[[#This Row],[Candidate 8]])/(SamplingData[[#Totals],[Winning Candidate]]-SamplingData[[#Totals],[Candidate 8]]), 0)</f>
        <v>0</v>
      </c>
      <c r="X3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00">
        <f>MAX(SamplingData[[#This Row],[Error Bound (up) - Max. possible relative overstatement - Losing Candidate]:[Error Bound (up) - Max. possible relative overstatement - Candidate 12]])</f>
        <v>7.5383987184722177E-4</v>
      </c>
      <c r="AC370" s="100">
        <f>IF(SamplingData[[#This Row],[Max Error Bound (up)]] = 0,0,SamplingData[[#This Row],[Max Error Bound (up)]]/SamplingData[[#Totals],[Max Error Bound (up)]])</f>
        <v>3.2304958811177527E-4</v>
      </c>
      <c r="AD370" s="104">
        <f>SUM($AC$5:AC370)</f>
        <v>7.506864803747379E-2</v>
      </c>
      <c r="AE370" s="100" t="str" cm="1">
        <f t="array" ref="AE370">IF(SamplingData[[#This Row],[up/U Selection Probability]] = 0, "Zero", TEXT(SamplingData[[#This Row],[Lower Range]], REPT("0",LEN('General Info'!$B$42))) &amp; " - " &amp; TEXT(SamplingData[[#This Row],[Upper Range]], REPT("0",LEN('General Info'!$B$42))))</f>
        <v>07475 - 07506</v>
      </c>
      <c r="AF370" s="100">
        <f>SamplingData[[#This Row],[Upper Range]]-SamplingData[[#This Row],[Span]]</f>
        <v>7474.5598449362014</v>
      </c>
      <c r="AG370" s="100">
        <f>IF(ISNUMBER('General Info'!$B$42), ((SamplingData[[#This Row],[up/U Selection Probability]]) * 'General Info'!$B$44) - 1, 0)</f>
        <v>31.304958811177528</v>
      </c>
      <c r="AH370" s="100">
        <f>IF(ISNUMBER('General Info'!$B$42), (SamplingData[[#This Row],[Running (cumulative) sum]] * ('General Info'!$B$42 -'General Info'!$B$43 + 1)) + 'General Info'!$B$43 - 1, 0)</f>
        <v>7505.8648037473786</v>
      </c>
      <c r="AI370" s="100" t="str">
        <f>IF(ISERROR(MATCH(SamplingData[[#This Row],[Batch by Type (p)]],SelectedPrecincts[Batch Name], 0)), "", INDEX(SelectedPrecincts[Draw], MATCH(SamplingData[[#This Row],[Batch by Type (p)]],SelectedPrecincts[Batch Name], 0)))</f>
        <v/>
      </c>
      <c r="AJ370" s="101">
        <f>IF(COUNTIF(SelectedPrecincts[Batch Name],SamplingData[[#This Row],[Batch by Type (p)]]) &lt;&gt; 0, COUNTIF(SelectedPrecincts[Batch Name],SamplingData[[#This Row],[Batch by Type (p)]]), 0)</f>
        <v>0</v>
      </c>
    </row>
    <row r="371" spans="1:36" ht="15" customHeight="1" x14ac:dyDescent="0.35">
      <c r="A371" s="98" t="s">
        <v>583</v>
      </c>
      <c r="B371" s="98">
        <v>9</v>
      </c>
      <c r="C371" s="98">
        <v>2</v>
      </c>
      <c r="D371" s="93"/>
      <c r="E371" s="93"/>
      <c r="F371" s="93"/>
      <c r="G371" s="97"/>
      <c r="H371" s="97"/>
      <c r="I371" s="93"/>
      <c r="J371" s="93"/>
      <c r="K371" s="93"/>
      <c r="L371" s="93"/>
      <c r="M371" s="93"/>
      <c r="N371" s="98">
        <v>0</v>
      </c>
      <c r="O371" s="98">
        <v>2</v>
      </c>
      <c r="P371" s="99">
        <f>SUM(SamplingData[[#This Row],[Winning Candidate]:[Under Votes]])</f>
        <v>13</v>
      </c>
      <c r="Q371"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371" s="100">
        <f>IF(AND(SamplingData[[#This Row],[Total]]&lt;&gt; 0, NOT(ISBLANK(SamplingData[[#This Row],[Candidate 3]]))),(SamplingData[[#This Row],[Total]]+SamplingData[[#This Row],[Winning Candidate]]-SamplingData[[#This Row],[Candidate 3]])/(SamplingData[[#Totals],[Winning Candidate]]-SamplingData[[#Totals],[Candidate 3]]), 0)</f>
        <v>0</v>
      </c>
      <c r="S371" s="100">
        <f>IF(AND(SamplingData[[#This Row],[Total]]&lt;&gt; 0, NOT(ISBLANK(SamplingData[[#This Row],[Candidate 4]]))),(SamplingData[[#This Row],[Total]]+SamplingData[[#This Row],[Winning Candidate]]-SamplingData[[#This Row],[Candidate 4]])/(SamplingData[[#Totals],[Winning Candidate]]-SamplingData[[#Totals],[Candidate 4]]), 0)</f>
        <v>0</v>
      </c>
      <c r="T371" s="100">
        <f>IF(AND(SamplingData[[#This Row],[Total]]&lt;&gt; 0, NOT(ISBLANK(SamplingData[[#This Row],[Candidate 5]]))),(SamplingData[[#This Row],[Total]]+SamplingData[[#This Row],[Winning Candidate]]-SamplingData[[#This Row],[Candidate 5]])/(SamplingData[[#Totals],[Winning Candidate]]-SamplingData[[#Totals],[Candidate 5]]), 0)</f>
        <v>0</v>
      </c>
      <c r="U371" s="100">
        <f>IF(AND(SamplingData[[#This Row],[Total]]&lt;&gt; 0, NOT(ISBLANK(SamplingData[[#This Row],[Candidate 6]]))),(SamplingData[[#This Row],[Total]]+SamplingData[[#This Row],[Losing Candidate]]-SamplingData[[#This Row],[Candidate 6]])/(SamplingData[[#Totals],[Winning Candidate]]-SamplingData[[#Totals],[Candidate 6]]), 0)</f>
        <v>0</v>
      </c>
      <c r="V371" s="100">
        <f>IF(AND(SamplingData[[#This Row],[Total]]&lt;&gt; 0, NOT(ISBLANK(SamplingData[[#This Row],[Candidate 7]]))),(SamplingData[[#This Row],[Total]]+SamplingData[[#This Row],[Winning Candidate]]-SamplingData[[#This Row],[Candidate 7]])/(SamplingData[[#Totals],[Winning Candidate]]-SamplingData[[#Totals],[Candidate 7]]), 0)</f>
        <v>0</v>
      </c>
      <c r="W371" s="100">
        <f>IF(AND(SamplingData[[#This Row],[Total]]&lt;&gt; 0, NOT(ISBLANK(SamplingData[[#This Row],[Candidate 8]]))),(SamplingData[[#This Row],[Total]]+SamplingData[[#This Row],[Winning Candidate]]-SamplingData[[#This Row],[Candidate 8]])/(SamplingData[[#Totals],[Winning Candidate]]-SamplingData[[#Totals],[Candidate 8]]), 0)</f>
        <v>0</v>
      </c>
      <c r="X3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00">
        <f>MAX(SamplingData[[#This Row],[Error Bound (up) - Max. possible relative overstatement - Losing Candidate]:[Error Bound (up) - Max. possible relative overstatement - Candidate 12]])</f>
        <v>6.2819989320601812E-4</v>
      </c>
      <c r="AC371" s="100">
        <f>IF(SamplingData[[#This Row],[Max Error Bound (up)]] = 0,0,SamplingData[[#This Row],[Max Error Bound (up)]]/SamplingData[[#Totals],[Max Error Bound (up)]])</f>
        <v>2.6920799009314607E-4</v>
      </c>
      <c r="AD371" s="104">
        <f>SUM($AC$5:AC371)</f>
        <v>7.533785602756693E-2</v>
      </c>
      <c r="AE371" s="100" t="str" cm="1">
        <f t="array" ref="AE371">IF(SamplingData[[#This Row],[up/U Selection Probability]] = 0, "Zero", TEXT(SamplingData[[#This Row],[Lower Range]], REPT("0",LEN('General Info'!$B$42))) &amp; " - " &amp; TEXT(SamplingData[[#This Row],[Upper Range]], REPT("0",LEN('General Info'!$B$42))))</f>
        <v>07507 - 07533</v>
      </c>
      <c r="AF371" s="100">
        <f>SamplingData[[#This Row],[Upper Range]]-SamplingData[[#This Row],[Span]]</f>
        <v>7506.8648037473786</v>
      </c>
      <c r="AG371" s="100">
        <f>IF(ISNUMBER('General Info'!$B$42), ((SamplingData[[#This Row],[up/U Selection Probability]]) * 'General Info'!$B$44) - 1, 0)</f>
        <v>25.920799009314607</v>
      </c>
      <c r="AH371" s="100">
        <f>IF(ISNUMBER('General Info'!$B$42), (SamplingData[[#This Row],[Running (cumulative) sum]] * ('General Info'!$B$42 -'General Info'!$B$43 + 1)) + 'General Info'!$B$43 - 1, 0)</f>
        <v>7532.7856027566932</v>
      </c>
      <c r="AI371" s="100" t="str">
        <f>IF(ISERROR(MATCH(SamplingData[[#This Row],[Batch by Type (p)]],SelectedPrecincts[Batch Name], 0)), "", INDEX(SelectedPrecincts[Draw], MATCH(SamplingData[[#This Row],[Batch by Type (p)]],SelectedPrecincts[Batch Name], 0)))</f>
        <v/>
      </c>
      <c r="AJ371" s="101">
        <f>IF(COUNTIF(SelectedPrecincts[Batch Name],SamplingData[[#This Row],[Batch by Type (p)]]) &lt;&gt; 0, COUNTIF(SelectedPrecincts[Batch Name],SamplingData[[#This Row],[Batch by Type (p)]]), 0)</f>
        <v>0</v>
      </c>
    </row>
    <row r="372" spans="1:36" ht="15" customHeight="1" x14ac:dyDescent="0.35">
      <c r="A372" s="98" t="s">
        <v>584</v>
      </c>
      <c r="B372" s="98">
        <v>0</v>
      </c>
      <c r="C372" s="98">
        <v>2</v>
      </c>
      <c r="D372" s="93"/>
      <c r="E372" s="93"/>
      <c r="F372" s="93"/>
      <c r="G372" s="97"/>
      <c r="H372" s="97"/>
      <c r="I372" s="93"/>
      <c r="J372" s="93"/>
      <c r="K372" s="93"/>
      <c r="L372" s="93"/>
      <c r="M372" s="93"/>
      <c r="N372" s="98">
        <v>0</v>
      </c>
      <c r="O372" s="98">
        <v>0</v>
      </c>
      <c r="P372" s="99">
        <f>SUM(SamplingData[[#This Row],[Winning Candidate]:[Under Votes]])</f>
        <v>2</v>
      </c>
      <c r="Q372" s="100">
        <f>IF(AND(SamplingData[[#This Row],[Total]]&lt;&gt; 0, NOT(ISBLANK(SamplingData[[#This Row],[Losing Candidate]]))),(SamplingData[[#This Row],[Total]]+SamplingData[[#This Row],[Winning Candidate]]-SamplingData[[#This Row],[Losing Candidate]])/(SamplingData[[#Totals],[Winning Candidate]]-SamplingData[[#Totals],[Losing Candidate]]), 0)</f>
        <v>0</v>
      </c>
      <c r="R372" s="100">
        <f>IF(AND(SamplingData[[#This Row],[Total]]&lt;&gt; 0, NOT(ISBLANK(SamplingData[[#This Row],[Candidate 3]]))),(SamplingData[[#This Row],[Total]]+SamplingData[[#This Row],[Winning Candidate]]-SamplingData[[#This Row],[Candidate 3]])/(SamplingData[[#Totals],[Winning Candidate]]-SamplingData[[#Totals],[Candidate 3]]), 0)</f>
        <v>0</v>
      </c>
      <c r="S372" s="100">
        <f>IF(AND(SamplingData[[#This Row],[Total]]&lt;&gt; 0, NOT(ISBLANK(SamplingData[[#This Row],[Candidate 4]]))),(SamplingData[[#This Row],[Total]]+SamplingData[[#This Row],[Winning Candidate]]-SamplingData[[#This Row],[Candidate 4]])/(SamplingData[[#Totals],[Winning Candidate]]-SamplingData[[#Totals],[Candidate 4]]), 0)</f>
        <v>0</v>
      </c>
      <c r="T372" s="100">
        <f>IF(AND(SamplingData[[#This Row],[Total]]&lt;&gt; 0, NOT(ISBLANK(SamplingData[[#This Row],[Candidate 5]]))),(SamplingData[[#This Row],[Total]]+SamplingData[[#This Row],[Winning Candidate]]-SamplingData[[#This Row],[Candidate 5]])/(SamplingData[[#Totals],[Winning Candidate]]-SamplingData[[#Totals],[Candidate 5]]), 0)</f>
        <v>0</v>
      </c>
      <c r="U372" s="100">
        <f>IF(AND(SamplingData[[#This Row],[Total]]&lt;&gt; 0, NOT(ISBLANK(SamplingData[[#This Row],[Candidate 6]]))),(SamplingData[[#This Row],[Total]]+SamplingData[[#This Row],[Losing Candidate]]-SamplingData[[#This Row],[Candidate 6]])/(SamplingData[[#Totals],[Winning Candidate]]-SamplingData[[#Totals],[Candidate 6]]), 0)</f>
        <v>0</v>
      </c>
      <c r="V372" s="100">
        <f>IF(AND(SamplingData[[#This Row],[Total]]&lt;&gt; 0, NOT(ISBLANK(SamplingData[[#This Row],[Candidate 7]]))),(SamplingData[[#This Row],[Total]]+SamplingData[[#This Row],[Winning Candidate]]-SamplingData[[#This Row],[Candidate 7]])/(SamplingData[[#Totals],[Winning Candidate]]-SamplingData[[#Totals],[Candidate 7]]), 0)</f>
        <v>0</v>
      </c>
      <c r="W372" s="100">
        <f>IF(AND(SamplingData[[#This Row],[Total]]&lt;&gt; 0, NOT(ISBLANK(SamplingData[[#This Row],[Candidate 8]]))),(SamplingData[[#This Row],[Total]]+SamplingData[[#This Row],[Winning Candidate]]-SamplingData[[#This Row],[Candidate 8]])/(SamplingData[[#Totals],[Winning Candidate]]-SamplingData[[#Totals],[Candidate 8]]), 0)</f>
        <v>0</v>
      </c>
      <c r="X3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00">
        <f>MAX(SamplingData[[#This Row],[Error Bound (up) - Max. possible relative overstatement - Losing Candidate]:[Error Bound (up) - Max. possible relative overstatement - Candidate 12]])</f>
        <v>0</v>
      </c>
      <c r="AC372" s="100">
        <f>IF(SamplingData[[#This Row],[Max Error Bound (up)]] = 0,0,SamplingData[[#This Row],[Max Error Bound (up)]]/SamplingData[[#Totals],[Max Error Bound (up)]])</f>
        <v>0</v>
      </c>
      <c r="AD372" s="104">
        <f>SUM($AC$5:AC372)</f>
        <v>7.533785602756693E-2</v>
      </c>
      <c r="AE372" s="100" t="str" cm="1">
        <f t="array" ref="AE372">IF(SamplingData[[#This Row],[up/U Selection Probability]] = 0, "Zero", TEXT(SamplingData[[#This Row],[Lower Range]], REPT("0",LEN('General Info'!$B$42))) &amp; " - " &amp; TEXT(SamplingData[[#This Row],[Upper Range]], REPT("0",LEN('General Info'!$B$42))))</f>
        <v>Zero</v>
      </c>
      <c r="AF372" s="100">
        <f>SamplingData[[#This Row],[Upper Range]]-SamplingData[[#This Row],[Span]]</f>
        <v>7533.7856027566932</v>
      </c>
      <c r="AG372" s="100">
        <f>IF(ISNUMBER('General Info'!$B$42), ((SamplingData[[#This Row],[up/U Selection Probability]]) * 'General Info'!$B$44) - 1, 0)</f>
        <v>-1</v>
      </c>
      <c r="AH372" s="100">
        <f>IF(ISNUMBER('General Info'!$B$42), (SamplingData[[#This Row],[Running (cumulative) sum]] * ('General Info'!$B$42 -'General Info'!$B$43 + 1)) + 'General Info'!$B$43 - 1, 0)</f>
        <v>7532.7856027566932</v>
      </c>
      <c r="AI372" s="100" t="str">
        <f>IF(ISERROR(MATCH(SamplingData[[#This Row],[Batch by Type (p)]],SelectedPrecincts[Batch Name], 0)), "", INDEX(SelectedPrecincts[Draw], MATCH(SamplingData[[#This Row],[Batch by Type (p)]],SelectedPrecincts[Batch Name], 0)))</f>
        <v/>
      </c>
      <c r="AJ372" s="101">
        <f>IF(COUNTIF(SelectedPrecincts[Batch Name],SamplingData[[#This Row],[Batch by Type (p)]]) &lt;&gt; 0, COUNTIF(SelectedPrecincts[Batch Name],SamplingData[[#This Row],[Batch by Type (p)]]), 0)</f>
        <v>0</v>
      </c>
    </row>
    <row r="373" spans="1:36" ht="15" customHeight="1" x14ac:dyDescent="0.35">
      <c r="A373" s="98" t="s">
        <v>585</v>
      </c>
      <c r="B373" s="98">
        <v>7</v>
      </c>
      <c r="C373" s="98">
        <v>3</v>
      </c>
      <c r="D373" s="93"/>
      <c r="E373" s="93"/>
      <c r="F373" s="93"/>
      <c r="G373" s="97"/>
      <c r="H373" s="97"/>
      <c r="I373" s="93"/>
      <c r="J373" s="93"/>
      <c r="K373" s="93"/>
      <c r="L373" s="93"/>
      <c r="M373" s="93"/>
      <c r="N373" s="98">
        <v>0</v>
      </c>
      <c r="O373" s="98">
        <v>0</v>
      </c>
      <c r="P373" s="99">
        <f>SUM(SamplingData[[#This Row],[Winning Candidate]:[Under Votes]])</f>
        <v>10</v>
      </c>
      <c r="Q373"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373" s="100">
        <f>IF(AND(SamplingData[[#This Row],[Total]]&lt;&gt; 0, NOT(ISBLANK(SamplingData[[#This Row],[Candidate 3]]))),(SamplingData[[#This Row],[Total]]+SamplingData[[#This Row],[Winning Candidate]]-SamplingData[[#This Row],[Candidate 3]])/(SamplingData[[#Totals],[Winning Candidate]]-SamplingData[[#Totals],[Candidate 3]]), 0)</f>
        <v>0</v>
      </c>
      <c r="S373" s="100">
        <f>IF(AND(SamplingData[[#This Row],[Total]]&lt;&gt; 0, NOT(ISBLANK(SamplingData[[#This Row],[Candidate 4]]))),(SamplingData[[#This Row],[Total]]+SamplingData[[#This Row],[Winning Candidate]]-SamplingData[[#This Row],[Candidate 4]])/(SamplingData[[#Totals],[Winning Candidate]]-SamplingData[[#Totals],[Candidate 4]]), 0)</f>
        <v>0</v>
      </c>
      <c r="T373" s="100">
        <f>IF(AND(SamplingData[[#This Row],[Total]]&lt;&gt; 0, NOT(ISBLANK(SamplingData[[#This Row],[Candidate 5]]))),(SamplingData[[#This Row],[Total]]+SamplingData[[#This Row],[Winning Candidate]]-SamplingData[[#This Row],[Candidate 5]])/(SamplingData[[#Totals],[Winning Candidate]]-SamplingData[[#Totals],[Candidate 5]]), 0)</f>
        <v>0</v>
      </c>
      <c r="U373" s="100">
        <f>IF(AND(SamplingData[[#This Row],[Total]]&lt;&gt; 0, NOT(ISBLANK(SamplingData[[#This Row],[Candidate 6]]))),(SamplingData[[#This Row],[Total]]+SamplingData[[#This Row],[Losing Candidate]]-SamplingData[[#This Row],[Candidate 6]])/(SamplingData[[#Totals],[Winning Candidate]]-SamplingData[[#Totals],[Candidate 6]]), 0)</f>
        <v>0</v>
      </c>
      <c r="V373" s="100">
        <f>IF(AND(SamplingData[[#This Row],[Total]]&lt;&gt; 0, NOT(ISBLANK(SamplingData[[#This Row],[Candidate 7]]))),(SamplingData[[#This Row],[Total]]+SamplingData[[#This Row],[Winning Candidate]]-SamplingData[[#This Row],[Candidate 7]])/(SamplingData[[#Totals],[Winning Candidate]]-SamplingData[[#Totals],[Candidate 7]]), 0)</f>
        <v>0</v>
      </c>
      <c r="W373" s="100">
        <f>IF(AND(SamplingData[[#This Row],[Total]]&lt;&gt; 0, NOT(ISBLANK(SamplingData[[#This Row],[Candidate 8]]))),(SamplingData[[#This Row],[Total]]+SamplingData[[#This Row],[Winning Candidate]]-SamplingData[[#This Row],[Candidate 8]])/(SamplingData[[#Totals],[Winning Candidate]]-SamplingData[[#Totals],[Candidate 8]]), 0)</f>
        <v>0</v>
      </c>
      <c r="X3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00">
        <f>MAX(SamplingData[[#This Row],[Error Bound (up) - Max. possible relative overstatement - Losing Candidate]:[Error Bound (up) - Max. possible relative overstatement - Candidate 12]])</f>
        <v>4.3973992524421271E-4</v>
      </c>
      <c r="AC373" s="100">
        <f>IF(SamplingData[[#This Row],[Max Error Bound (up)]] = 0,0,SamplingData[[#This Row],[Max Error Bound (up)]]/SamplingData[[#Totals],[Max Error Bound (up)]])</f>
        <v>1.8844559306520223E-4</v>
      </c>
      <c r="AD373" s="104">
        <f>SUM($AC$5:AC373)</f>
        <v>7.5526301620632133E-2</v>
      </c>
      <c r="AE373" s="100" t="str" cm="1">
        <f t="array" ref="AE373">IF(SamplingData[[#This Row],[up/U Selection Probability]] = 0, "Zero", TEXT(SamplingData[[#This Row],[Lower Range]], REPT("0",LEN('General Info'!$B$42))) &amp; " - " &amp; TEXT(SamplingData[[#This Row],[Upper Range]], REPT("0",LEN('General Info'!$B$42))))</f>
        <v>07534 - 07552</v>
      </c>
      <c r="AF373" s="100">
        <f>SamplingData[[#This Row],[Upper Range]]-SamplingData[[#This Row],[Span]]</f>
        <v>7533.7856027566932</v>
      </c>
      <c r="AG373" s="100">
        <f>IF(ISNUMBER('General Info'!$B$42), ((SamplingData[[#This Row],[up/U Selection Probability]]) * 'General Info'!$B$44) - 1, 0)</f>
        <v>17.844559306520225</v>
      </c>
      <c r="AH373" s="100">
        <f>IF(ISNUMBER('General Info'!$B$42), (SamplingData[[#This Row],[Running (cumulative) sum]] * ('General Info'!$B$42 -'General Info'!$B$43 + 1)) + 'General Info'!$B$43 - 1, 0)</f>
        <v>7551.630162063213</v>
      </c>
      <c r="AI373" s="100" t="str">
        <f>IF(ISERROR(MATCH(SamplingData[[#This Row],[Batch by Type (p)]],SelectedPrecincts[Batch Name], 0)), "", INDEX(SelectedPrecincts[Draw], MATCH(SamplingData[[#This Row],[Batch by Type (p)]],SelectedPrecincts[Batch Name], 0)))</f>
        <v/>
      </c>
      <c r="AJ373" s="101">
        <f>IF(COUNTIF(SelectedPrecincts[Batch Name],SamplingData[[#This Row],[Batch by Type (p)]]) &lt;&gt; 0, COUNTIF(SelectedPrecincts[Batch Name],SamplingData[[#This Row],[Batch by Type (p)]]), 0)</f>
        <v>0</v>
      </c>
    </row>
    <row r="374" spans="1:36" ht="15" customHeight="1" x14ac:dyDescent="0.35">
      <c r="A374" s="98" t="s">
        <v>586</v>
      </c>
      <c r="B374" s="98">
        <v>5</v>
      </c>
      <c r="C374" s="98">
        <v>3</v>
      </c>
      <c r="D374" s="93"/>
      <c r="E374" s="93"/>
      <c r="F374" s="93"/>
      <c r="G374" s="97"/>
      <c r="H374" s="97"/>
      <c r="I374" s="93"/>
      <c r="J374" s="93"/>
      <c r="K374" s="93"/>
      <c r="L374" s="93"/>
      <c r="M374" s="93"/>
      <c r="N374" s="98">
        <v>0</v>
      </c>
      <c r="O374" s="98">
        <v>1</v>
      </c>
      <c r="P374" s="99">
        <f>SUM(SamplingData[[#This Row],[Winning Candidate]:[Under Votes]])</f>
        <v>9</v>
      </c>
      <c r="Q374"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374" s="100">
        <f>IF(AND(SamplingData[[#This Row],[Total]]&lt;&gt; 0, NOT(ISBLANK(SamplingData[[#This Row],[Candidate 3]]))),(SamplingData[[#This Row],[Total]]+SamplingData[[#This Row],[Winning Candidate]]-SamplingData[[#This Row],[Candidate 3]])/(SamplingData[[#Totals],[Winning Candidate]]-SamplingData[[#Totals],[Candidate 3]]), 0)</f>
        <v>0</v>
      </c>
      <c r="S374" s="100">
        <f>IF(AND(SamplingData[[#This Row],[Total]]&lt;&gt; 0, NOT(ISBLANK(SamplingData[[#This Row],[Candidate 4]]))),(SamplingData[[#This Row],[Total]]+SamplingData[[#This Row],[Winning Candidate]]-SamplingData[[#This Row],[Candidate 4]])/(SamplingData[[#Totals],[Winning Candidate]]-SamplingData[[#Totals],[Candidate 4]]), 0)</f>
        <v>0</v>
      </c>
      <c r="T374" s="100">
        <f>IF(AND(SamplingData[[#This Row],[Total]]&lt;&gt; 0, NOT(ISBLANK(SamplingData[[#This Row],[Candidate 5]]))),(SamplingData[[#This Row],[Total]]+SamplingData[[#This Row],[Winning Candidate]]-SamplingData[[#This Row],[Candidate 5]])/(SamplingData[[#Totals],[Winning Candidate]]-SamplingData[[#Totals],[Candidate 5]]), 0)</f>
        <v>0</v>
      </c>
      <c r="U374" s="100">
        <f>IF(AND(SamplingData[[#This Row],[Total]]&lt;&gt; 0, NOT(ISBLANK(SamplingData[[#This Row],[Candidate 6]]))),(SamplingData[[#This Row],[Total]]+SamplingData[[#This Row],[Losing Candidate]]-SamplingData[[#This Row],[Candidate 6]])/(SamplingData[[#Totals],[Winning Candidate]]-SamplingData[[#Totals],[Candidate 6]]), 0)</f>
        <v>0</v>
      </c>
      <c r="V374" s="100">
        <f>IF(AND(SamplingData[[#This Row],[Total]]&lt;&gt; 0, NOT(ISBLANK(SamplingData[[#This Row],[Candidate 7]]))),(SamplingData[[#This Row],[Total]]+SamplingData[[#This Row],[Winning Candidate]]-SamplingData[[#This Row],[Candidate 7]])/(SamplingData[[#Totals],[Winning Candidate]]-SamplingData[[#Totals],[Candidate 7]]), 0)</f>
        <v>0</v>
      </c>
      <c r="W374" s="100">
        <f>IF(AND(SamplingData[[#This Row],[Total]]&lt;&gt; 0, NOT(ISBLANK(SamplingData[[#This Row],[Candidate 8]]))),(SamplingData[[#This Row],[Total]]+SamplingData[[#This Row],[Winning Candidate]]-SamplingData[[#This Row],[Candidate 8]])/(SamplingData[[#Totals],[Winning Candidate]]-SamplingData[[#Totals],[Candidate 8]]), 0)</f>
        <v>0</v>
      </c>
      <c r="X3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00">
        <f>MAX(SamplingData[[#This Row],[Error Bound (up) - Max. possible relative overstatement - Losing Candidate]:[Error Bound (up) - Max. possible relative overstatement - Candidate 12]])</f>
        <v>3.4550994126331E-4</v>
      </c>
      <c r="AC374" s="100">
        <f>IF(SamplingData[[#This Row],[Max Error Bound (up)]] = 0,0,SamplingData[[#This Row],[Max Error Bound (up)]]/SamplingData[[#Totals],[Max Error Bound (up)]])</f>
        <v>1.4806439455123033E-4</v>
      </c>
      <c r="AD374" s="104">
        <f>SUM($AC$5:AC374)</f>
        <v>7.5674366015183361E-2</v>
      </c>
      <c r="AE374" s="100" t="str" cm="1">
        <f t="array" ref="AE374">IF(SamplingData[[#This Row],[up/U Selection Probability]] = 0, "Zero", TEXT(SamplingData[[#This Row],[Lower Range]], REPT("0",LEN('General Info'!$B$42))) &amp; " - " &amp; TEXT(SamplingData[[#This Row],[Upper Range]], REPT("0",LEN('General Info'!$B$42))))</f>
        <v>07553 - 07566</v>
      </c>
      <c r="AF374" s="100">
        <f>SamplingData[[#This Row],[Upper Range]]-SamplingData[[#This Row],[Span]]</f>
        <v>7552.630162063213</v>
      </c>
      <c r="AG374" s="100">
        <f>IF(ISNUMBER('General Info'!$B$42), ((SamplingData[[#This Row],[up/U Selection Probability]]) * 'General Info'!$B$44) - 1, 0)</f>
        <v>13.806439455123034</v>
      </c>
      <c r="AH374" s="100">
        <f>IF(ISNUMBER('General Info'!$B$42), (SamplingData[[#This Row],[Running (cumulative) sum]] * ('General Info'!$B$42 -'General Info'!$B$43 + 1)) + 'General Info'!$B$43 - 1, 0)</f>
        <v>7566.4366015183359</v>
      </c>
      <c r="AI374" s="100" t="str">
        <f>IF(ISERROR(MATCH(SamplingData[[#This Row],[Batch by Type (p)]],SelectedPrecincts[Batch Name], 0)), "", INDEX(SelectedPrecincts[Draw], MATCH(SamplingData[[#This Row],[Batch by Type (p)]],SelectedPrecincts[Batch Name], 0)))</f>
        <v/>
      </c>
      <c r="AJ374" s="101">
        <f>IF(COUNTIF(SelectedPrecincts[Batch Name],SamplingData[[#This Row],[Batch by Type (p)]]) &lt;&gt; 0, COUNTIF(SelectedPrecincts[Batch Name],SamplingData[[#This Row],[Batch by Type (p)]]), 0)</f>
        <v>0</v>
      </c>
    </row>
    <row r="375" spans="1:36" ht="15" customHeight="1" x14ac:dyDescent="0.35">
      <c r="A375" s="98" t="s">
        <v>587</v>
      </c>
      <c r="B375" s="98">
        <v>0</v>
      </c>
      <c r="C375" s="98">
        <v>0</v>
      </c>
      <c r="D375" s="93"/>
      <c r="E375" s="93"/>
      <c r="F375" s="93"/>
      <c r="G375" s="97"/>
      <c r="H375" s="97"/>
      <c r="I375" s="93"/>
      <c r="J375" s="93"/>
      <c r="K375" s="93"/>
      <c r="L375" s="93"/>
      <c r="M375" s="93"/>
      <c r="N375" s="98">
        <v>0</v>
      </c>
      <c r="O375" s="98">
        <v>0</v>
      </c>
      <c r="P375" s="99">
        <f>SUM(SamplingData[[#This Row],[Winning Candidate]:[Under Votes]])</f>
        <v>0</v>
      </c>
      <c r="Q375" s="100">
        <f>IF(AND(SamplingData[[#This Row],[Total]]&lt;&gt; 0, NOT(ISBLANK(SamplingData[[#This Row],[Losing Candidate]]))),(SamplingData[[#This Row],[Total]]+SamplingData[[#This Row],[Winning Candidate]]-SamplingData[[#This Row],[Losing Candidate]])/(SamplingData[[#Totals],[Winning Candidate]]-SamplingData[[#Totals],[Losing Candidate]]), 0)</f>
        <v>0</v>
      </c>
      <c r="R375" s="100">
        <f>IF(AND(SamplingData[[#This Row],[Total]]&lt;&gt; 0, NOT(ISBLANK(SamplingData[[#This Row],[Candidate 3]]))),(SamplingData[[#This Row],[Total]]+SamplingData[[#This Row],[Winning Candidate]]-SamplingData[[#This Row],[Candidate 3]])/(SamplingData[[#Totals],[Winning Candidate]]-SamplingData[[#Totals],[Candidate 3]]), 0)</f>
        <v>0</v>
      </c>
      <c r="S375" s="100">
        <f>IF(AND(SamplingData[[#This Row],[Total]]&lt;&gt; 0, NOT(ISBLANK(SamplingData[[#This Row],[Candidate 4]]))),(SamplingData[[#This Row],[Total]]+SamplingData[[#This Row],[Winning Candidate]]-SamplingData[[#This Row],[Candidate 4]])/(SamplingData[[#Totals],[Winning Candidate]]-SamplingData[[#Totals],[Candidate 4]]), 0)</f>
        <v>0</v>
      </c>
      <c r="T375" s="100">
        <f>IF(AND(SamplingData[[#This Row],[Total]]&lt;&gt; 0, NOT(ISBLANK(SamplingData[[#This Row],[Candidate 5]]))),(SamplingData[[#This Row],[Total]]+SamplingData[[#This Row],[Winning Candidate]]-SamplingData[[#This Row],[Candidate 5]])/(SamplingData[[#Totals],[Winning Candidate]]-SamplingData[[#Totals],[Candidate 5]]), 0)</f>
        <v>0</v>
      </c>
      <c r="U375" s="100">
        <f>IF(AND(SamplingData[[#This Row],[Total]]&lt;&gt; 0, NOT(ISBLANK(SamplingData[[#This Row],[Candidate 6]]))),(SamplingData[[#This Row],[Total]]+SamplingData[[#This Row],[Losing Candidate]]-SamplingData[[#This Row],[Candidate 6]])/(SamplingData[[#Totals],[Winning Candidate]]-SamplingData[[#Totals],[Candidate 6]]), 0)</f>
        <v>0</v>
      </c>
      <c r="V375" s="100">
        <f>IF(AND(SamplingData[[#This Row],[Total]]&lt;&gt; 0, NOT(ISBLANK(SamplingData[[#This Row],[Candidate 7]]))),(SamplingData[[#This Row],[Total]]+SamplingData[[#This Row],[Winning Candidate]]-SamplingData[[#This Row],[Candidate 7]])/(SamplingData[[#Totals],[Winning Candidate]]-SamplingData[[#Totals],[Candidate 7]]), 0)</f>
        <v>0</v>
      </c>
      <c r="W375" s="100">
        <f>IF(AND(SamplingData[[#This Row],[Total]]&lt;&gt; 0, NOT(ISBLANK(SamplingData[[#This Row],[Candidate 8]]))),(SamplingData[[#This Row],[Total]]+SamplingData[[#This Row],[Winning Candidate]]-SamplingData[[#This Row],[Candidate 8]])/(SamplingData[[#Totals],[Winning Candidate]]-SamplingData[[#Totals],[Candidate 8]]), 0)</f>
        <v>0</v>
      </c>
      <c r="X3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00">
        <f>MAX(SamplingData[[#This Row],[Error Bound (up) - Max. possible relative overstatement - Losing Candidate]:[Error Bound (up) - Max. possible relative overstatement - Candidate 12]])</f>
        <v>0</v>
      </c>
      <c r="AC375" s="100">
        <f>IF(SamplingData[[#This Row],[Max Error Bound (up)]] = 0,0,SamplingData[[#This Row],[Max Error Bound (up)]]/SamplingData[[#Totals],[Max Error Bound (up)]])</f>
        <v>0</v>
      </c>
      <c r="AD375" s="104">
        <f>SUM($AC$5:AC375)</f>
        <v>7.5674366015183361E-2</v>
      </c>
      <c r="AE375" s="100" t="str" cm="1">
        <f t="array" ref="AE375">IF(SamplingData[[#This Row],[up/U Selection Probability]] = 0, "Zero", TEXT(SamplingData[[#This Row],[Lower Range]], REPT("0",LEN('General Info'!$B$42))) &amp; " - " &amp; TEXT(SamplingData[[#This Row],[Upper Range]], REPT("0",LEN('General Info'!$B$42))))</f>
        <v>Zero</v>
      </c>
      <c r="AF375" s="100">
        <f>SamplingData[[#This Row],[Upper Range]]-SamplingData[[#This Row],[Span]]</f>
        <v>7567.4366015183359</v>
      </c>
      <c r="AG375" s="100">
        <f>IF(ISNUMBER('General Info'!$B$42), ((SamplingData[[#This Row],[up/U Selection Probability]]) * 'General Info'!$B$44) - 1, 0)</f>
        <v>-1</v>
      </c>
      <c r="AH375" s="100">
        <f>IF(ISNUMBER('General Info'!$B$42), (SamplingData[[#This Row],[Running (cumulative) sum]] * ('General Info'!$B$42 -'General Info'!$B$43 + 1)) + 'General Info'!$B$43 - 1, 0)</f>
        <v>7566.4366015183359</v>
      </c>
      <c r="AI375" s="100" t="str">
        <f>IF(ISERROR(MATCH(SamplingData[[#This Row],[Batch by Type (p)]],SelectedPrecincts[Batch Name], 0)), "", INDEX(SelectedPrecincts[Draw], MATCH(SamplingData[[#This Row],[Batch by Type (p)]],SelectedPrecincts[Batch Name], 0)))</f>
        <v/>
      </c>
      <c r="AJ375" s="101">
        <f>IF(COUNTIF(SelectedPrecincts[Batch Name],SamplingData[[#This Row],[Batch by Type (p)]]) &lt;&gt; 0, COUNTIF(SelectedPrecincts[Batch Name],SamplingData[[#This Row],[Batch by Type (p)]]), 0)</f>
        <v>0</v>
      </c>
    </row>
    <row r="376" spans="1:36" ht="15" customHeight="1" x14ac:dyDescent="0.35">
      <c r="A376" s="98" t="s">
        <v>588</v>
      </c>
      <c r="B376" s="98">
        <v>8</v>
      </c>
      <c r="C376" s="98">
        <v>0</v>
      </c>
      <c r="D376" s="93"/>
      <c r="E376" s="93"/>
      <c r="F376" s="93"/>
      <c r="G376" s="97"/>
      <c r="H376" s="97"/>
      <c r="I376" s="93"/>
      <c r="J376" s="93"/>
      <c r="K376" s="93"/>
      <c r="L376" s="93"/>
      <c r="M376" s="93"/>
      <c r="N376" s="98">
        <v>0</v>
      </c>
      <c r="O376" s="98">
        <v>0</v>
      </c>
      <c r="P376" s="99">
        <f>SUM(SamplingData[[#This Row],[Winning Candidate]:[Under Votes]])</f>
        <v>8</v>
      </c>
      <c r="Q376"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376" s="100">
        <f>IF(AND(SamplingData[[#This Row],[Total]]&lt;&gt; 0, NOT(ISBLANK(SamplingData[[#This Row],[Candidate 3]]))),(SamplingData[[#This Row],[Total]]+SamplingData[[#This Row],[Winning Candidate]]-SamplingData[[#This Row],[Candidate 3]])/(SamplingData[[#Totals],[Winning Candidate]]-SamplingData[[#Totals],[Candidate 3]]), 0)</f>
        <v>0</v>
      </c>
      <c r="S376" s="100">
        <f>IF(AND(SamplingData[[#This Row],[Total]]&lt;&gt; 0, NOT(ISBLANK(SamplingData[[#This Row],[Candidate 4]]))),(SamplingData[[#This Row],[Total]]+SamplingData[[#This Row],[Winning Candidate]]-SamplingData[[#This Row],[Candidate 4]])/(SamplingData[[#Totals],[Winning Candidate]]-SamplingData[[#Totals],[Candidate 4]]), 0)</f>
        <v>0</v>
      </c>
      <c r="T376" s="100">
        <f>IF(AND(SamplingData[[#This Row],[Total]]&lt;&gt; 0, NOT(ISBLANK(SamplingData[[#This Row],[Candidate 5]]))),(SamplingData[[#This Row],[Total]]+SamplingData[[#This Row],[Winning Candidate]]-SamplingData[[#This Row],[Candidate 5]])/(SamplingData[[#Totals],[Winning Candidate]]-SamplingData[[#Totals],[Candidate 5]]), 0)</f>
        <v>0</v>
      </c>
      <c r="U376" s="100">
        <f>IF(AND(SamplingData[[#This Row],[Total]]&lt;&gt; 0, NOT(ISBLANK(SamplingData[[#This Row],[Candidate 6]]))),(SamplingData[[#This Row],[Total]]+SamplingData[[#This Row],[Losing Candidate]]-SamplingData[[#This Row],[Candidate 6]])/(SamplingData[[#Totals],[Winning Candidate]]-SamplingData[[#Totals],[Candidate 6]]), 0)</f>
        <v>0</v>
      </c>
      <c r="V376" s="100">
        <f>IF(AND(SamplingData[[#This Row],[Total]]&lt;&gt; 0, NOT(ISBLANK(SamplingData[[#This Row],[Candidate 7]]))),(SamplingData[[#This Row],[Total]]+SamplingData[[#This Row],[Winning Candidate]]-SamplingData[[#This Row],[Candidate 7]])/(SamplingData[[#Totals],[Winning Candidate]]-SamplingData[[#Totals],[Candidate 7]]), 0)</f>
        <v>0</v>
      </c>
      <c r="W376" s="100">
        <f>IF(AND(SamplingData[[#This Row],[Total]]&lt;&gt; 0, NOT(ISBLANK(SamplingData[[#This Row],[Candidate 8]]))),(SamplingData[[#This Row],[Total]]+SamplingData[[#This Row],[Winning Candidate]]-SamplingData[[#This Row],[Candidate 8]])/(SamplingData[[#Totals],[Winning Candidate]]-SamplingData[[#Totals],[Candidate 8]]), 0)</f>
        <v>0</v>
      </c>
      <c r="X3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00">
        <f>MAX(SamplingData[[#This Row],[Error Bound (up) - Max. possible relative overstatement - Losing Candidate]:[Error Bound (up) - Max. possible relative overstatement - Candidate 12]])</f>
        <v>5.0255991456481448E-4</v>
      </c>
      <c r="AC376" s="100">
        <f>IF(SamplingData[[#This Row],[Max Error Bound (up)]] = 0,0,SamplingData[[#This Row],[Max Error Bound (up)]]/SamplingData[[#Totals],[Max Error Bound (up)]])</f>
        <v>2.1536639207451683E-4</v>
      </c>
      <c r="AD376" s="104">
        <f>SUM($AC$5:AC376)</f>
        <v>7.5889732407257882E-2</v>
      </c>
      <c r="AE376" s="100" t="str" cm="1">
        <f t="array" ref="AE376">IF(SamplingData[[#This Row],[up/U Selection Probability]] = 0, "Zero", TEXT(SamplingData[[#This Row],[Lower Range]], REPT("0",LEN('General Info'!$B$42))) &amp; " - " &amp; TEXT(SamplingData[[#This Row],[Upper Range]], REPT("0",LEN('General Info'!$B$42))))</f>
        <v>07567 - 07588</v>
      </c>
      <c r="AF376" s="100">
        <f>SamplingData[[#This Row],[Upper Range]]-SamplingData[[#This Row],[Span]]</f>
        <v>7567.4366015183359</v>
      </c>
      <c r="AG376" s="100">
        <f>IF(ISNUMBER('General Info'!$B$42), ((SamplingData[[#This Row],[up/U Selection Probability]]) * 'General Info'!$B$44) - 1, 0)</f>
        <v>20.536639207451682</v>
      </c>
      <c r="AH376" s="100">
        <f>IF(ISNUMBER('General Info'!$B$42), (SamplingData[[#This Row],[Running (cumulative) sum]] * ('General Info'!$B$42 -'General Info'!$B$43 + 1)) + 'General Info'!$B$43 - 1, 0)</f>
        <v>7587.9732407257879</v>
      </c>
      <c r="AI376" s="100" t="str">
        <f>IF(ISERROR(MATCH(SamplingData[[#This Row],[Batch by Type (p)]],SelectedPrecincts[Batch Name], 0)), "", INDEX(SelectedPrecincts[Draw], MATCH(SamplingData[[#This Row],[Batch by Type (p)]],SelectedPrecincts[Batch Name], 0)))</f>
        <v/>
      </c>
      <c r="AJ376" s="101">
        <f>IF(COUNTIF(SelectedPrecincts[Batch Name],SamplingData[[#This Row],[Batch by Type (p)]]) &lt;&gt; 0, COUNTIF(SelectedPrecincts[Batch Name],SamplingData[[#This Row],[Batch by Type (p)]]), 0)</f>
        <v>0</v>
      </c>
    </row>
    <row r="377" spans="1:36" ht="15" customHeight="1" x14ac:dyDescent="0.35">
      <c r="A377" s="98" t="s">
        <v>589</v>
      </c>
      <c r="B377" s="98">
        <v>7</v>
      </c>
      <c r="C377" s="98">
        <v>0</v>
      </c>
      <c r="D377" s="93"/>
      <c r="E377" s="93"/>
      <c r="F377" s="93"/>
      <c r="G377" s="97"/>
      <c r="H377" s="97"/>
      <c r="I377" s="93"/>
      <c r="J377" s="93"/>
      <c r="K377" s="93"/>
      <c r="L377" s="93"/>
      <c r="M377" s="93"/>
      <c r="N377" s="98">
        <v>0</v>
      </c>
      <c r="O377" s="98">
        <v>0</v>
      </c>
      <c r="P377" s="99">
        <f>SUM(SamplingData[[#This Row],[Winning Candidate]:[Under Votes]])</f>
        <v>7</v>
      </c>
      <c r="Q377"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377" s="100">
        <f>IF(AND(SamplingData[[#This Row],[Total]]&lt;&gt; 0, NOT(ISBLANK(SamplingData[[#This Row],[Candidate 3]]))),(SamplingData[[#This Row],[Total]]+SamplingData[[#This Row],[Winning Candidate]]-SamplingData[[#This Row],[Candidate 3]])/(SamplingData[[#Totals],[Winning Candidate]]-SamplingData[[#Totals],[Candidate 3]]), 0)</f>
        <v>0</v>
      </c>
      <c r="S377" s="100">
        <f>IF(AND(SamplingData[[#This Row],[Total]]&lt;&gt; 0, NOT(ISBLANK(SamplingData[[#This Row],[Candidate 4]]))),(SamplingData[[#This Row],[Total]]+SamplingData[[#This Row],[Winning Candidate]]-SamplingData[[#This Row],[Candidate 4]])/(SamplingData[[#Totals],[Winning Candidate]]-SamplingData[[#Totals],[Candidate 4]]), 0)</f>
        <v>0</v>
      </c>
      <c r="T377" s="100">
        <f>IF(AND(SamplingData[[#This Row],[Total]]&lt;&gt; 0, NOT(ISBLANK(SamplingData[[#This Row],[Candidate 5]]))),(SamplingData[[#This Row],[Total]]+SamplingData[[#This Row],[Winning Candidate]]-SamplingData[[#This Row],[Candidate 5]])/(SamplingData[[#Totals],[Winning Candidate]]-SamplingData[[#Totals],[Candidate 5]]), 0)</f>
        <v>0</v>
      </c>
      <c r="U377" s="100">
        <f>IF(AND(SamplingData[[#This Row],[Total]]&lt;&gt; 0, NOT(ISBLANK(SamplingData[[#This Row],[Candidate 6]]))),(SamplingData[[#This Row],[Total]]+SamplingData[[#This Row],[Losing Candidate]]-SamplingData[[#This Row],[Candidate 6]])/(SamplingData[[#Totals],[Winning Candidate]]-SamplingData[[#Totals],[Candidate 6]]), 0)</f>
        <v>0</v>
      </c>
      <c r="V377" s="100">
        <f>IF(AND(SamplingData[[#This Row],[Total]]&lt;&gt; 0, NOT(ISBLANK(SamplingData[[#This Row],[Candidate 7]]))),(SamplingData[[#This Row],[Total]]+SamplingData[[#This Row],[Winning Candidate]]-SamplingData[[#This Row],[Candidate 7]])/(SamplingData[[#Totals],[Winning Candidate]]-SamplingData[[#Totals],[Candidate 7]]), 0)</f>
        <v>0</v>
      </c>
      <c r="W377" s="100">
        <f>IF(AND(SamplingData[[#This Row],[Total]]&lt;&gt; 0, NOT(ISBLANK(SamplingData[[#This Row],[Candidate 8]]))),(SamplingData[[#This Row],[Total]]+SamplingData[[#This Row],[Winning Candidate]]-SamplingData[[#This Row],[Candidate 8]])/(SamplingData[[#Totals],[Winning Candidate]]-SamplingData[[#Totals],[Candidate 8]]), 0)</f>
        <v>0</v>
      </c>
      <c r="X3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00">
        <f>MAX(SamplingData[[#This Row],[Error Bound (up) - Max. possible relative overstatement - Losing Candidate]:[Error Bound (up) - Max. possible relative overstatement - Candidate 12]])</f>
        <v>4.3973992524421271E-4</v>
      </c>
      <c r="AC377" s="100">
        <f>IF(SamplingData[[#This Row],[Max Error Bound (up)]] = 0,0,SamplingData[[#This Row],[Max Error Bound (up)]]/SamplingData[[#Totals],[Max Error Bound (up)]])</f>
        <v>1.8844559306520223E-4</v>
      </c>
      <c r="AD377" s="104">
        <f>SUM($AC$5:AC377)</f>
        <v>7.6078178000323085E-2</v>
      </c>
      <c r="AE377" s="100" t="str" cm="1">
        <f t="array" ref="AE377">IF(SamplingData[[#This Row],[up/U Selection Probability]] = 0, "Zero", TEXT(SamplingData[[#This Row],[Lower Range]], REPT("0",LEN('General Info'!$B$42))) &amp; " - " &amp; TEXT(SamplingData[[#This Row],[Upper Range]], REPT("0",LEN('General Info'!$B$42))))</f>
        <v>07589 - 07607</v>
      </c>
      <c r="AF377" s="100">
        <f>SamplingData[[#This Row],[Upper Range]]-SamplingData[[#This Row],[Span]]</f>
        <v>7588.9732407257889</v>
      </c>
      <c r="AG377" s="100">
        <f>IF(ISNUMBER('General Info'!$B$42), ((SamplingData[[#This Row],[up/U Selection Probability]]) * 'General Info'!$B$44) - 1, 0)</f>
        <v>17.844559306520225</v>
      </c>
      <c r="AH377" s="100">
        <f>IF(ISNUMBER('General Info'!$B$42), (SamplingData[[#This Row],[Running (cumulative) sum]] * ('General Info'!$B$42 -'General Info'!$B$43 + 1)) + 'General Info'!$B$43 - 1, 0)</f>
        <v>7606.8178000323087</v>
      </c>
      <c r="AI377" s="100" t="str">
        <f>IF(ISERROR(MATCH(SamplingData[[#This Row],[Batch by Type (p)]],SelectedPrecincts[Batch Name], 0)), "", INDEX(SelectedPrecincts[Draw], MATCH(SamplingData[[#This Row],[Batch by Type (p)]],SelectedPrecincts[Batch Name], 0)))</f>
        <v/>
      </c>
      <c r="AJ377" s="101">
        <f>IF(COUNTIF(SelectedPrecincts[Batch Name],SamplingData[[#This Row],[Batch by Type (p)]]) &lt;&gt; 0, COUNTIF(SelectedPrecincts[Batch Name],SamplingData[[#This Row],[Batch by Type (p)]]), 0)</f>
        <v>0</v>
      </c>
    </row>
    <row r="378" spans="1:36" ht="15" customHeight="1" x14ac:dyDescent="0.35">
      <c r="A378" s="98" t="s">
        <v>590</v>
      </c>
      <c r="B378" s="98">
        <v>1</v>
      </c>
      <c r="C378" s="98">
        <v>2</v>
      </c>
      <c r="D378" s="93"/>
      <c r="E378" s="93"/>
      <c r="F378" s="93"/>
      <c r="G378" s="97"/>
      <c r="H378" s="97"/>
      <c r="I378" s="93"/>
      <c r="J378" s="93"/>
      <c r="K378" s="93"/>
      <c r="L378" s="93"/>
      <c r="M378" s="93"/>
      <c r="N378" s="98">
        <v>0</v>
      </c>
      <c r="O378" s="98">
        <v>0</v>
      </c>
      <c r="P378" s="99">
        <f>SUM(SamplingData[[#This Row],[Winning Candidate]:[Under Votes]])</f>
        <v>3</v>
      </c>
      <c r="Q378"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378" s="100">
        <f>IF(AND(SamplingData[[#This Row],[Total]]&lt;&gt; 0, NOT(ISBLANK(SamplingData[[#This Row],[Candidate 3]]))),(SamplingData[[#This Row],[Total]]+SamplingData[[#This Row],[Winning Candidate]]-SamplingData[[#This Row],[Candidate 3]])/(SamplingData[[#Totals],[Winning Candidate]]-SamplingData[[#Totals],[Candidate 3]]), 0)</f>
        <v>0</v>
      </c>
      <c r="S378" s="100">
        <f>IF(AND(SamplingData[[#This Row],[Total]]&lt;&gt; 0, NOT(ISBLANK(SamplingData[[#This Row],[Candidate 4]]))),(SamplingData[[#This Row],[Total]]+SamplingData[[#This Row],[Winning Candidate]]-SamplingData[[#This Row],[Candidate 4]])/(SamplingData[[#Totals],[Winning Candidate]]-SamplingData[[#Totals],[Candidate 4]]), 0)</f>
        <v>0</v>
      </c>
      <c r="T378" s="100">
        <f>IF(AND(SamplingData[[#This Row],[Total]]&lt;&gt; 0, NOT(ISBLANK(SamplingData[[#This Row],[Candidate 5]]))),(SamplingData[[#This Row],[Total]]+SamplingData[[#This Row],[Winning Candidate]]-SamplingData[[#This Row],[Candidate 5]])/(SamplingData[[#Totals],[Winning Candidate]]-SamplingData[[#Totals],[Candidate 5]]), 0)</f>
        <v>0</v>
      </c>
      <c r="U378" s="100">
        <f>IF(AND(SamplingData[[#This Row],[Total]]&lt;&gt; 0, NOT(ISBLANK(SamplingData[[#This Row],[Candidate 6]]))),(SamplingData[[#This Row],[Total]]+SamplingData[[#This Row],[Losing Candidate]]-SamplingData[[#This Row],[Candidate 6]])/(SamplingData[[#Totals],[Winning Candidate]]-SamplingData[[#Totals],[Candidate 6]]), 0)</f>
        <v>0</v>
      </c>
      <c r="V378" s="100">
        <f>IF(AND(SamplingData[[#This Row],[Total]]&lt;&gt; 0, NOT(ISBLANK(SamplingData[[#This Row],[Candidate 7]]))),(SamplingData[[#This Row],[Total]]+SamplingData[[#This Row],[Winning Candidate]]-SamplingData[[#This Row],[Candidate 7]])/(SamplingData[[#Totals],[Winning Candidate]]-SamplingData[[#Totals],[Candidate 7]]), 0)</f>
        <v>0</v>
      </c>
      <c r="W378" s="100">
        <f>IF(AND(SamplingData[[#This Row],[Total]]&lt;&gt; 0, NOT(ISBLANK(SamplingData[[#This Row],[Candidate 8]]))),(SamplingData[[#This Row],[Total]]+SamplingData[[#This Row],[Winning Candidate]]-SamplingData[[#This Row],[Candidate 8]])/(SamplingData[[#Totals],[Winning Candidate]]-SamplingData[[#Totals],[Candidate 8]]), 0)</f>
        <v>0</v>
      </c>
      <c r="X3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00">
        <f>MAX(SamplingData[[#This Row],[Error Bound (up) - Max. possible relative overstatement - Losing Candidate]:[Error Bound (up) - Max. possible relative overstatement - Candidate 12]])</f>
        <v>6.2819989320601809E-5</v>
      </c>
      <c r="AC378" s="100">
        <f>IF(SamplingData[[#This Row],[Max Error Bound (up)]] = 0,0,SamplingData[[#This Row],[Max Error Bound (up)]]/SamplingData[[#Totals],[Max Error Bound (up)]])</f>
        <v>2.6920799009314603E-5</v>
      </c>
      <c r="AD378" s="104">
        <f>SUM($AC$5:AC378)</f>
        <v>7.6105098799332402E-2</v>
      </c>
      <c r="AE378" s="100" t="str" cm="1">
        <f t="array" ref="AE378">IF(SamplingData[[#This Row],[up/U Selection Probability]] = 0, "Zero", TEXT(SamplingData[[#This Row],[Lower Range]], REPT("0",LEN('General Info'!$B$42))) &amp; " - " &amp; TEXT(SamplingData[[#This Row],[Upper Range]], REPT("0",LEN('General Info'!$B$42))))</f>
        <v>07608 - 07610</v>
      </c>
      <c r="AF378" s="100">
        <f>SamplingData[[#This Row],[Upper Range]]-SamplingData[[#This Row],[Span]]</f>
        <v>7607.8178000323087</v>
      </c>
      <c r="AG378" s="100">
        <f>IF(ISNUMBER('General Info'!$B$42), ((SamplingData[[#This Row],[up/U Selection Probability]]) * 'General Info'!$B$44) - 1, 0)</f>
        <v>1.6920799009314602</v>
      </c>
      <c r="AH378" s="100">
        <f>IF(ISNUMBER('General Info'!$B$42), (SamplingData[[#This Row],[Running (cumulative) sum]] * ('General Info'!$B$42 -'General Info'!$B$43 + 1)) + 'General Info'!$B$43 - 1, 0)</f>
        <v>7609.50987993324</v>
      </c>
      <c r="AI378" s="100" t="str">
        <f>IF(ISERROR(MATCH(SamplingData[[#This Row],[Batch by Type (p)]],SelectedPrecincts[Batch Name], 0)), "", INDEX(SelectedPrecincts[Draw], MATCH(SamplingData[[#This Row],[Batch by Type (p)]],SelectedPrecincts[Batch Name], 0)))</f>
        <v/>
      </c>
      <c r="AJ378" s="101">
        <f>IF(COUNTIF(SelectedPrecincts[Batch Name],SamplingData[[#This Row],[Batch by Type (p)]]) &lt;&gt; 0, COUNTIF(SelectedPrecincts[Batch Name],SamplingData[[#This Row],[Batch by Type (p)]]), 0)</f>
        <v>0</v>
      </c>
    </row>
    <row r="379" spans="1:36" ht="15" customHeight="1" x14ac:dyDescent="0.35">
      <c r="A379" s="98" t="s">
        <v>591</v>
      </c>
      <c r="B379" s="98">
        <v>14</v>
      </c>
      <c r="C379" s="98">
        <v>1</v>
      </c>
      <c r="D379" s="93"/>
      <c r="E379" s="93"/>
      <c r="F379" s="93"/>
      <c r="G379" s="97"/>
      <c r="H379" s="97"/>
      <c r="I379" s="93"/>
      <c r="J379" s="93"/>
      <c r="K379" s="93"/>
      <c r="L379" s="93"/>
      <c r="M379" s="93"/>
      <c r="N379" s="98">
        <v>0</v>
      </c>
      <c r="O379" s="98">
        <v>0</v>
      </c>
      <c r="P379" s="99">
        <f>SUM(SamplingData[[#This Row],[Winning Candidate]:[Under Votes]])</f>
        <v>15</v>
      </c>
      <c r="Q379"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379" s="100">
        <f>IF(AND(SamplingData[[#This Row],[Total]]&lt;&gt; 0, NOT(ISBLANK(SamplingData[[#This Row],[Candidate 3]]))),(SamplingData[[#This Row],[Total]]+SamplingData[[#This Row],[Winning Candidate]]-SamplingData[[#This Row],[Candidate 3]])/(SamplingData[[#Totals],[Winning Candidate]]-SamplingData[[#Totals],[Candidate 3]]), 0)</f>
        <v>0</v>
      </c>
      <c r="S379" s="100">
        <f>IF(AND(SamplingData[[#This Row],[Total]]&lt;&gt; 0, NOT(ISBLANK(SamplingData[[#This Row],[Candidate 4]]))),(SamplingData[[#This Row],[Total]]+SamplingData[[#This Row],[Winning Candidate]]-SamplingData[[#This Row],[Candidate 4]])/(SamplingData[[#Totals],[Winning Candidate]]-SamplingData[[#Totals],[Candidate 4]]), 0)</f>
        <v>0</v>
      </c>
      <c r="T379" s="100">
        <f>IF(AND(SamplingData[[#This Row],[Total]]&lt;&gt; 0, NOT(ISBLANK(SamplingData[[#This Row],[Candidate 5]]))),(SamplingData[[#This Row],[Total]]+SamplingData[[#This Row],[Winning Candidate]]-SamplingData[[#This Row],[Candidate 5]])/(SamplingData[[#Totals],[Winning Candidate]]-SamplingData[[#Totals],[Candidate 5]]), 0)</f>
        <v>0</v>
      </c>
      <c r="U379" s="100">
        <f>IF(AND(SamplingData[[#This Row],[Total]]&lt;&gt; 0, NOT(ISBLANK(SamplingData[[#This Row],[Candidate 6]]))),(SamplingData[[#This Row],[Total]]+SamplingData[[#This Row],[Losing Candidate]]-SamplingData[[#This Row],[Candidate 6]])/(SamplingData[[#Totals],[Winning Candidate]]-SamplingData[[#Totals],[Candidate 6]]), 0)</f>
        <v>0</v>
      </c>
      <c r="V379" s="100">
        <f>IF(AND(SamplingData[[#This Row],[Total]]&lt;&gt; 0, NOT(ISBLANK(SamplingData[[#This Row],[Candidate 7]]))),(SamplingData[[#This Row],[Total]]+SamplingData[[#This Row],[Winning Candidate]]-SamplingData[[#This Row],[Candidate 7]])/(SamplingData[[#Totals],[Winning Candidate]]-SamplingData[[#Totals],[Candidate 7]]), 0)</f>
        <v>0</v>
      </c>
      <c r="W379" s="100">
        <f>IF(AND(SamplingData[[#This Row],[Total]]&lt;&gt; 0, NOT(ISBLANK(SamplingData[[#This Row],[Candidate 8]]))),(SamplingData[[#This Row],[Total]]+SamplingData[[#This Row],[Winning Candidate]]-SamplingData[[#This Row],[Candidate 8]])/(SamplingData[[#Totals],[Winning Candidate]]-SamplingData[[#Totals],[Candidate 8]]), 0)</f>
        <v>0</v>
      </c>
      <c r="X3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00">
        <f>MAX(SamplingData[[#This Row],[Error Bound (up) - Max. possible relative overstatement - Losing Candidate]:[Error Bound (up) - Max. possible relative overstatement - Candidate 12]])</f>
        <v>8.7947985048842541E-4</v>
      </c>
      <c r="AC379" s="100">
        <f>IF(SamplingData[[#This Row],[Max Error Bound (up)]] = 0,0,SamplingData[[#This Row],[Max Error Bound (up)]]/SamplingData[[#Totals],[Max Error Bound (up)]])</f>
        <v>3.7689118613040446E-4</v>
      </c>
      <c r="AD379" s="104">
        <f>SUM($AC$5:AC379)</f>
        <v>7.6481989985462809E-2</v>
      </c>
      <c r="AE379" s="100" t="str" cm="1">
        <f t="array" ref="AE379">IF(SamplingData[[#This Row],[up/U Selection Probability]] = 0, "Zero", TEXT(SamplingData[[#This Row],[Lower Range]], REPT("0",LEN('General Info'!$B$42))) &amp; " - " &amp; TEXT(SamplingData[[#This Row],[Upper Range]], REPT("0",LEN('General Info'!$B$42))))</f>
        <v>07611 - 07647</v>
      </c>
      <c r="AF379" s="100">
        <f>SamplingData[[#This Row],[Upper Range]]-SamplingData[[#This Row],[Span]]</f>
        <v>7610.50987993324</v>
      </c>
      <c r="AG379" s="100">
        <f>IF(ISNUMBER('General Info'!$B$42), ((SamplingData[[#This Row],[up/U Selection Probability]]) * 'General Info'!$B$44) - 1, 0)</f>
        <v>36.689118613040449</v>
      </c>
      <c r="AH379" s="100">
        <f>IF(ISNUMBER('General Info'!$B$42), (SamplingData[[#This Row],[Running (cumulative) sum]] * ('General Info'!$B$42 -'General Info'!$B$43 + 1)) + 'General Info'!$B$43 - 1, 0)</f>
        <v>7647.1989985462806</v>
      </c>
      <c r="AI379" s="100" t="str">
        <f>IF(ISERROR(MATCH(SamplingData[[#This Row],[Batch by Type (p)]],SelectedPrecincts[Batch Name], 0)), "", INDEX(SelectedPrecincts[Draw], MATCH(SamplingData[[#This Row],[Batch by Type (p)]],SelectedPrecincts[Batch Name], 0)))</f>
        <v/>
      </c>
      <c r="AJ379" s="101">
        <f>IF(COUNTIF(SelectedPrecincts[Batch Name],SamplingData[[#This Row],[Batch by Type (p)]]) &lt;&gt; 0, COUNTIF(SelectedPrecincts[Batch Name],SamplingData[[#This Row],[Batch by Type (p)]]), 0)</f>
        <v>0</v>
      </c>
    </row>
    <row r="380" spans="1:36" ht="15" customHeight="1" x14ac:dyDescent="0.35">
      <c r="A380" s="98" t="s">
        <v>592</v>
      </c>
      <c r="B380" s="98">
        <v>20</v>
      </c>
      <c r="C380" s="98">
        <v>1</v>
      </c>
      <c r="D380" s="93"/>
      <c r="E380" s="93"/>
      <c r="F380" s="93"/>
      <c r="G380" s="97"/>
      <c r="H380" s="97"/>
      <c r="I380" s="93"/>
      <c r="J380" s="93"/>
      <c r="K380" s="93"/>
      <c r="L380" s="93"/>
      <c r="M380" s="93"/>
      <c r="N380" s="98">
        <v>0</v>
      </c>
      <c r="O380" s="98">
        <v>0</v>
      </c>
      <c r="P380" s="99">
        <f>SUM(SamplingData[[#This Row],[Winning Candidate]:[Under Votes]])</f>
        <v>21</v>
      </c>
      <c r="Q380"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380" s="100">
        <f>IF(AND(SamplingData[[#This Row],[Total]]&lt;&gt; 0, NOT(ISBLANK(SamplingData[[#This Row],[Candidate 3]]))),(SamplingData[[#This Row],[Total]]+SamplingData[[#This Row],[Winning Candidate]]-SamplingData[[#This Row],[Candidate 3]])/(SamplingData[[#Totals],[Winning Candidate]]-SamplingData[[#Totals],[Candidate 3]]), 0)</f>
        <v>0</v>
      </c>
      <c r="S380" s="100">
        <f>IF(AND(SamplingData[[#This Row],[Total]]&lt;&gt; 0, NOT(ISBLANK(SamplingData[[#This Row],[Candidate 4]]))),(SamplingData[[#This Row],[Total]]+SamplingData[[#This Row],[Winning Candidate]]-SamplingData[[#This Row],[Candidate 4]])/(SamplingData[[#Totals],[Winning Candidate]]-SamplingData[[#Totals],[Candidate 4]]), 0)</f>
        <v>0</v>
      </c>
      <c r="T380" s="100">
        <f>IF(AND(SamplingData[[#This Row],[Total]]&lt;&gt; 0, NOT(ISBLANK(SamplingData[[#This Row],[Candidate 5]]))),(SamplingData[[#This Row],[Total]]+SamplingData[[#This Row],[Winning Candidate]]-SamplingData[[#This Row],[Candidate 5]])/(SamplingData[[#Totals],[Winning Candidate]]-SamplingData[[#Totals],[Candidate 5]]), 0)</f>
        <v>0</v>
      </c>
      <c r="U380" s="100">
        <f>IF(AND(SamplingData[[#This Row],[Total]]&lt;&gt; 0, NOT(ISBLANK(SamplingData[[#This Row],[Candidate 6]]))),(SamplingData[[#This Row],[Total]]+SamplingData[[#This Row],[Losing Candidate]]-SamplingData[[#This Row],[Candidate 6]])/(SamplingData[[#Totals],[Winning Candidate]]-SamplingData[[#Totals],[Candidate 6]]), 0)</f>
        <v>0</v>
      </c>
      <c r="V380" s="100">
        <f>IF(AND(SamplingData[[#This Row],[Total]]&lt;&gt; 0, NOT(ISBLANK(SamplingData[[#This Row],[Candidate 7]]))),(SamplingData[[#This Row],[Total]]+SamplingData[[#This Row],[Winning Candidate]]-SamplingData[[#This Row],[Candidate 7]])/(SamplingData[[#Totals],[Winning Candidate]]-SamplingData[[#Totals],[Candidate 7]]), 0)</f>
        <v>0</v>
      </c>
      <c r="W380" s="100">
        <f>IF(AND(SamplingData[[#This Row],[Total]]&lt;&gt; 0, NOT(ISBLANK(SamplingData[[#This Row],[Candidate 8]]))),(SamplingData[[#This Row],[Total]]+SamplingData[[#This Row],[Winning Candidate]]-SamplingData[[#This Row],[Candidate 8]])/(SamplingData[[#Totals],[Winning Candidate]]-SamplingData[[#Totals],[Candidate 8]]), 0)</f>
        <v>0</v>
      </c>
      <c r="X3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00">
        <f>MAX(SamplingData[[#This Row],[Error Bound (up) - Max. possible relative overstatement - Losing Candidate]:[Error Bound (up) - Max. possible relative overstatement - Candidate 12]])</f>
        <v>1.2563997864120362E-3</v>
      </c>
      <c r="AC380" s="100">
        <f>IF(SamplingData[[#This Row],[Max Error Bound (up)]] = 0,0,SamplingData[[#This Row],[Max Error Bound (up)]]/SamplingData[[#Totals],[Max Error Bound (up)]])</f>
        <v>5.3841598018629215E-4</v>
      </c>
      <c r="AD380" s="104">
        <f>SUM($AC$5:AC380)</f>
        <v>7.7020405965649102E-2</v>
      </c>
      <c r="AE380" s="100" t="str" cm="1">
        <f t="array" ref="AE380">IF(SamplingData[[#This Row],[up/U Selection Probability]] = 0, "Zero", TEXT(SamplingData[[#This Row],[Lower Range]], REPT("0",LEN('General Info'!$B$42))) &amp; " - " &amp; TEXT(SamplingData[[#This Row],[Upper Range]], REPT("0",LEN('General Info'!$B$42))))</f>
        <v>07648 - 07701</v>
      </c>
      <c r="AF380" s="100">
        <f>SamplingData[[#This Row],[Upper Range]]-SamplingData[[#This Row],[Span]]</f>
        <v>7648.1989985462815</v>
      </c>
      <c r="AG380" s="100">
        <f>IF(ISNUMBER('General Info'!$B$42), ((SamplingData[[#This Row],[up/U Selection Probability]]) * 'General Info'!$B$44) - 1, 0)</f>
        <v>52.841598018629213</v>
      </c>
      <c r="AH380" s="100">
        <f>IF(ISNUMBER('General Info'!$B$42), (SamplingData[[#This Row],[Running (cumulative) sum]] * ('General Info'!$B$42 -'General Info'!$B$43 + 1)) + 'General Info'!$B$43 - 1, 0)</f>
        <v>7701.0405965649106</v>
      </c>
      <c r="AI380" s="100" t="str">
        <f>IF(ISERROR(MATCH(SamplingData[[#This Row],[Batch by Type (p)]],SelectedPrecincts[Batch Name], 0)), "", INDEX(SelectedPrecincts[Draw], MATCH(SamplingData[[#This Row],[Batch by Type (p)]],SelectedPrecincts[Batch Name], 0)))</f>
        <v/>
      </c>
      <c r="AJ380" s="101">
        <f>IF(COUNTIF(SelectedPrecincts[Batch Name],SamplingData[[#This Row],[Batch by Type (p)]]) &lt;&gt; 0, COUNTIF(SelectedPrecincts[Batch Name],SamplingData[[#This Row],[Batch by Type (p)]]), 0)</f>
        <v>0</v>
      </c>
    </row>
    <row r="381" spans="1:36" ht="15" customHeight="1" x14ac:dyDescent="0.35">
      <c r="A381" s="98" t="s">
        <v>593</v>
      </c>
      <c r="B381" s="98">
        <v>5</v>
      </c>
      <c r="C381" s="98">
        <v>1</v>
      </c>
      <c r="D381" s="93"/>
      <c r="E381" s="93"/>
      <c r="F381" s="93"/>
      <c r="G381" s="97"/>
      <c r="H381" s="97"/>
      <c r="I381" s="93"/>
      <c r="J381" s="93"/>
      <c r="K381" s="93"/>
      <c r="L381" s="93"/>
      <c r="M381" s="93"/>
      <c r="N381" s="98">
        <v>0</v>
      </c>
      <c r="O381" s="98">
        <v>3</v>
      </c>
      <c r="P381" s="99">
        <f>SUM(SamplingData[[#This Row],[Winning Candidate]:[Under Votes]])</f>
        <v>9</v>
      </c>
      <c r="Q381" s="100">
        <f>IF(AND(SamplingData[[#This Row],[Total]]&lt;&gt; 0, NOT(ISBLANK(SamplingData[[#This Row],[Losing Candidate]]))),(SamplingData[[#This Row],[Total]]+SamplingData[[#This Row],[Winning Candidate]]-SamplingData[[#This Row],[Losing Candidate]])/(SamplingData[[#Totals],[Winning Candidate]]-SamplingData[[#Totals],[Losing Candidate]]), 0)</f>
        <v>4.0832993058391182E-4</v>
      </c>
      <c r="R381" s="100">
        <f>IF(AND(SamplingData[[#This Row],[Total]]&lt;&gt; 0, NOT(ISBLANK(SamplingData[[#This Row],[Candidate 3]]))),(SamplingData[[#This Row],[Total]]+SamplingData[[#This Row],[Winning Candidate]]-SamplingData[[#This Row],[Candidate 3]])/(SamplingData[[#Totals],[Winning Candidate]]-SamplingData[[#Totals],[Candidate 3]]), 0)</f>
        <v>0</v>
      </c>
      <c r="S381" s="100">
        <f>IF(AND(SamplingData[[#This Row],[Total]]&lt;&gt; 0, NOT(ISBLANK(SamplingData[[#This Row],[Candidate 4]]))),(SamplingData[[#This Row],[Total]]+SamplingData[[#This Row],[Winning Candidate]]-SamplingData[[#This Row],[Candidate 4]])/(SamplingData[[#Totals],[Winning Candidate]]-SamplingData[[#Totals],[Candidate 4]]), 0)</f>
        <v>0</v>
      </c>
      <c r="T381" s="100">
        <f>IF(AND(SamplingData[[#This Row],[Total]]&lt;&gt; 0, NOT(ISBLANK(SamplingData[[#This Row],[Candidate 5]]))),(SamplingData[[#This Row],[Total]]+SamplingData[[#This Row],[Winning Candidate]]-SamplingData[[#This Row],[Candidate 5]])/(SamplingData[[#Totals],[Winning Candidate]]-SamplingData[[#Totals],[Candidate 5]]), 0)</f>
        <v>0</v>
      </c>
      <c r="U381" s="100">
        <f>IF(AND(SamplingData[[#This Row],[Total]]&lt;&gt; 0, NOT(ISBLANK(SamplingData[[#This Row],[Candidate 6]]))),(SamplingData[[#This Row],[Total]]+SamplingData[[#This Row],[Losing Candidate]]-SamplingData[[#This Row],[Candidate 6]])/(SamplingData[[#Totals],[Winning Candidate]]-SamplingData[[#Totals],[Candidate 6]]), 0)</f>
        <v>0</v>
      </c>
      <c r="V381" s="100">
        <f>IF(AND(SamplingData[[#This Row],[Total]]&lt;&gt; 0, NOT(ISBLANK(SamplingData[[#This Row],[Candidate 7]]))),(SamplingData[[#This Row],[Total]]+SamplingData[[#This Row],[Winning Candidate]]-SamplingData[[#This Row],[Candidate 7]])/(SamplingData[[#Totals],[Winning Candidate]]-SamplingData[[#Totals],[Candidate 7]]), 0)</f>
        <v>0</v>
      </c>
      <c r="W381" s="100">
        <f>IF(AND(SamplingData[[#This Row],[Total]]&lt;&gt; 0, NOT(ISBLANK(SamplingData[[#This Row],[Candidate 8]]))),(SamplingData[[#This Row],[Total]]+SamplingData[[#This Row],[Winning Candidate]]-SamplingData[[#This Row],[Candidate 8]])/(SamplingData[[#Totals],[Winning Candidate]]-SamplingData[[#Totals],[Candidate 8]]), 0)</f>
        <v>0</v>
      </c>
      <c r="X3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00">
        <f>MAX(SamplingData[[#This Row],[Error Bound (up) - Max. possible relative overstatement - Losing Candidate]:[Error Bound (up) - Max. possible relative overstatement - Candidate 12]])</f>
        <v>4.0832993058391182E-4</v>
      </c>
      <c r="AC381" s="100">
        <f>IF(SamplingData[[#This Row],[Max Error Bound (up)]] = 0,0,SamplingData[[#This Row],[Max Error Bound (up)]]/SamplingData[[#Totals],[Max Error Bound (up)]])</f>
        <v>1.7498519356054496E-4</v>
      </c>
      <c r="AD381" s="104">
        <f>SUM($AC$5:AC381)</f>
        <v>7.7195391159209648E-2</v>
      </c>
      <c r="AE381" s="100" t="str" cm="1">
        <f t="array" ref="AE381">IF(SamplingData[[#This Row],[up/U Selection Probability]] = 0, "Zero", TEXT(SamplingData[[#This Row],[Lower Range]], REPT("0",LEN('General Info'!$B$42))) &amp; " - " &amp; TEXT(SamplingData[[#This Row],[Upper Range]], REPT("0",LEN('General Info'!$B$42))))</f>
        <v>07702 - 07719</v>
      </c>
      <c r="AF381" s="100">
        <f>SamplingData[[#This Row],[Upper Range]]-SamplingData[[#This Row],[Span]]</f>
        <v>7702.0405965649106</v>
      </c>
      <c r="AG381" s="100">
        <f>IF(ISNUMBER('General Info'!$B$42), ((SamplingData[[#This Row],[up/U Selection Probability]]) * 'General Info'!$B$44) - 1, 0)</f>
        <v>16.498519356054494</v>
      </c>
      <c r="AH381" s="100">
        <f>IF(ISNUMBER('General Info'!$B$42), (SamplingData[[#This Row],[Running (cumulative) sum]] * ('General Info'!$B$42 -'General Info'!$B$43 + 1)) + 'General Info'!$B$43 - 1, 0)</f>
        <v>7718.5391159209648</v>
      </c>
      <c r="AI381" s="100" t="str">
        <f>IF(ISERROR(MATCH(SamplingData[[#This Row],[Batch by Type (p)]],SelectedPrecincts[Batch Name], 0)), "", INDEX(SelectedPrecincts[Draw], MATCH(SamplingData[[#This Row],[Batch by Type (p)]],SelectedPrecincts[Batch Name], 0)))</f>
        <v/>
      </c>
      <c r="AJ381" s="101">
        <f>IF(COUNTIF(SelectedPrecincts[Batch Name],SamplingData[[#This Row],[Batch by Type (p)]]) &lt;&gt; 0, COUNTIF(SelectedPrecincts[Batch Name],SamplingData[[#This Row],[Batch by Type (p)]]), 0)</f>
        <v>0</v>
      </c>
    </row>
    <row r="382" spans="1:36" ht="15" customHeight="1" x14ac:dyDescent="0.35">
      <c r="A382" s="98" t="s">
        <v>594</v>
      </c>
      <c r="B382" s="98">
        <v>1</v>
      </c>
      <c r="C382" s="98">
        <v>0</v>
      </c>
      <c r="D382" s="93"/>
      <c r="E382" s="93"/>
      <c r="F382" s="93"/>
      <c r="G382" s="97"/>
      <c r="H382" s="97"/>
      <c r="I382" s="93"/>
      <c r="J382" s="93"/>
      <c r="K382" s="93"/>
      <c r="L382" s="93"/>
      <c r="M382" s="93"/>
      <c r="N382" s="98">
        <v>0</v>
      </c>
      <c r="O382" s="98">
        <v>0</v>
      </c>
      <c r="P382" s="99">
        <f>SUM(SamplingData[[#This Row],[Winning Candidate]:[Under Votes]])</f>
        <v>1</v>
      </c>
      <c r="Q382"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382" s="100">
        <f>IF(AND(SamplingData[[#This Row],[Total]]&lt;&gt; 0, NOT(ISBLANK(SamplingData[[#This Row],[Candidate 3]]))),(SamplingData[[#This Row],[Total]]+SamplingData[[#This Row],[Winning Candidate]]-SamplingData[[#This Row],[Candidate 3]])/(SamplingData[[#Totals],[Winning Candidate]]-SamplingData[[#Totals],[Candidate 3]]), 0)</f>
        <v>0</v>
      </c>
      <c r="S382" s="100">
        <f>IF(AND(SamplingData[[#This Row],[Total]]&lt;&gt; 0, NOT(ISBLANK(SamplingData[[#This Row],[Candidate 4]]))),(SamplingData[[#This Row],[Total]]+SamplingData[[#This Row],[Winning Candidate]]-SamplingData[[#This Row],[Candidate 4]])/(SamplingData[[#Totals],[Winning Candidate]]-SamplingData[[#Totals],[Candidate 4]]), 0)</f>
        <v>0</v>
      </c>
      <c r="T382" s="100">
        <f>IF(AND(SamplingData[[#This Row],[Total]]&lt;&gt; 0, NOT(ISBLANK(SamplingData[[#This Row],[Candidate 5]]))),(SamplingData[[#This Row],[Total]]+SamplingData[[#This Row],[Winning Candidate]]-SamplingData[[#This Row],[Candidate 5]])/(SamplingData[[#Totals],[Winning Candidate]]-SamplingData[[#Totals],[Candidate 5]]), 0)</f>
        <v>0</v>
      </c>
      <c r="U382" s="100">
        <f>IF(AND(SamplingData[[#This Row],[Total]]&lt;&gt; 0, NOT(ISBLANK(SamplingData[[#This Row],[Candidate 6]]))),(SamplingData[[#This Row],[Total]]+SamplingData[[#This Row],[Losing Candidate]]-SamplingData[[#This Row],[Candidate 6]])/(SamplingData[[#Totals],[Winning Candidate]]-SamplingData[[#Totals],[Candidate 6]]), 0)</f>
        <v>0</v>
      </c>
      <c r="V382" s="100">
        <f>IF(AND(SamplingData[[#This Row],[Total]]&lt;&gt; 0, NOT(ISBLANK(SamplingData[[#This Row],[Candidate 7]]))),(SamplingData[[#This Row],[Total]]+SamplingData[[#This Row],[Winning Candidate]]-SamplingData[[#This Row],[Candidate 7]])/(SamplingData[[#Totals],[Winning Candidate]]-SamplingData[[#Totals],[Candidate 7]]), 0)</f>
        <v>0</v>
      </c>
      <c r="W382" s="100">
        <f>IF(AND(SamplingData[[#This Row],[Total]]&lt;&gt; 0, NOT(ISBLANK(SamplingData[[#This Row],[Candidate 8]]))),(SamplingData[[#This Row],[Total]]+SamplingData[[#This Row],[Winning Candidate]]-SamplingData[[#This Row],[Candidate 8]])/(SamplingData[[#Totals],[Winning Candidate]]-SamplingData[[#Totals],[Candidate 8]]), 0)</f>
        <v>0</v>
      </c>
      <c r="X3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00">
        <f>MAX(SamplingData[[#This Row],[Error Bound (up) - Max. possible relative overstatement - Losing Candidate]:[Error Bound (up) - Max. possible relative overstatement - Candidate 12]])</f>
        <v>6.2819989320601809E-5</v>
      </c>
      <c r="AC382" s="100">
        <f>IF(SamplingData[[#This Row],[Max Error Bound (up)]] = 0,0,SamplingData[[#This Row],[Max Error Bound (up)]]/SamplingData[[#Totals],[Max Error Bound (up)]])</f>
        <v>2.6920799009314603E-5</v>
      </c>
      <c r="AD382" s="104">
        <f>SUM($AC$5:AC382)</f>
        <v>7.7222311958218964E-2</v>
      </c>
      <c r="AE382" s="100" t="str" cm="1">
        <f t="array" ref="AE382">IF(SamplingData[[#This Row],[up/U Selection Probability]] = 0, "Zero", TEXT(SamplingData[[#This Row],[Lower Range]], REPT("0",LEN('General Info'!$B$42))) &amp; " - " &amp; TEXT(SamplingData[[#This Row],[Upper Range]], REPT("0",LEN('General Info'!$B$42))))</f>
        <v>07720 - 07721</v>
      </c>
      <c r="AF382" s="100">
        <f>SamplingData[[#This Row],[Upper Range]]-SamplingData[[#This Row],[Span]]</f>
        <v>7719.5391159209648</v>
      </c>
      <c r="AG382" s="100">
        <f>IF(ISNUMBER('General Info'!$B$42), ((SamplingData[[#This Row],[up/U Selection Probability]]) * 'General Info'!$B$44) - 1, 0)</f>
        <v>1.6920799009314602</v>
      </c>
      <c r="AH382" s="100">
        <f>IF(ISNUMBER('General Info'!$B$42), (SamplingData[[#This Row],[Running (cumulative) sum]] * ('General Info'!$B$42 -'General Info'!$B$43 + 1)) + 'General Info'!$B$43 - 1, 0)</f>
        <v>7721.2311958218961</v>
      </c>
      <c r="AI382" s="100" t="str">
        <f>IF(ISERROR(MATCH(SamplingData[[#This Row],[Batch by Type (p)]],SelectedPrecincts[Batch Name], 0)), "", INDEX(SelectedPrecincts[Draw], MATCH(SamplingData[[#This Row],[Batch by Type (p)]],SelectedPrecincts[Batch Name], 0)))</f>
        <v/>
      </c>
      <c r="AJ382" s="101">
        <f>IF(COUNTIF(SelectedPrecincts[Batch Name],SamplingData[[#This Row],[Batch by Type (p)]]) &lt;&gt; 0, COUNTIF(SelectedPrecincts[Batch Name],SamplingData[[#This Row],[Batch by Type (p)]]), 0)</f>
        <v>0</v>
      </c>
    </row>
    <row r="383" spans="1:36" ht="15" customHeight="1" x14ac:dyDescent="0.35">
      <c r="A383" s="98" t="s">
        <v>595</v>
      </c>
      <c r="B383" s="98">
        <v>10</v>
      </c>
      <c r="C383" s="98">
        <v>0</v>
      </c>
      <c r="D383" s="93"/>
      <c r="E383" s="93"/>
      <c r="F383" s="93"/>
      <c r="G383" s="97"/>
      <c r="H383" s="97"/>
      <c r="I383" s="93"/>
      <c r="J383" s="93"/>
      <c r="K383" s="93"/>
      <c r="L383" s="93"/>
      <c r="M383" s="93"/>
      <c r="N383" s="98">
        <v>0</v>
      </c>
      <c r="O383" s="98">
        <v>0</v>
      </c>
      <c r="P383" s="99">
        <f>SUM(SamplingData[[#This Row],[Winning Candidate]:[Under Votes]])</f>
        <v>10</v>
      </c>
      <c r="Q383"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383" s="100">
        <f>IF(AND(SamplingData[[#This Row],[Total]]&lt;&gt; 0, NOT(ISBLANK(SamplingData[[#This Row],[Candidate 3]]))),(SamplingData[[#This Row],[Total]]+SamplingData[[#This Row],[Winning Candidate]]-SamplingData[[#This Row],[Candidate 3]])/(SamplingData[[#Totals],[Winning Candidate]]-SamplingData[[#Totals],[Candidate 3]]), 0)</f>
        <v>0</v>
      </c>
      <c r="S383" s="100">
        <f>IF(AND(SamplingData[[#This Row],[Total]]&lt;&gt; 0, NOT(ISBLANK(SamplingData[[#This Row],[Candidate 4]]))),(SamplingData[[#This Row],[Total]]+SamplingData[[#This Row],[Winning Candidate]]-SamplingData[[#This Row],[Candidate 4]])/(SamplingData[[#Totals],[Winning Candidate]]-SamplingData[[#Totals],[Candidate 4]]), 0)</f>
        <v>0</v>
      </c>
      <c r="T383" s="100">
        <f>IF(AND(SamplingData[[#This Row],[Total]]&lt;&gt; 0, NOT(ISBLANK(SamplingData[[#This Row],[Candidate 5]]))),(SamplingData[[#This Row],[Total]]+SamplingData[[#This Row],[Winning Candidate]]-SamplingData[[#This Row],[Candidate 5]])/(SamplingData[[#Totals],[Winning Candidate]]-SamplingData[[#Totals],[Candidate 5]]), 0)</f>
        <v>0</v>
      </c>
      <c r="U383" s="100">
        <f>IF(AND(SamplingData[[#This Row],[Total]]&lt;&gt; 0, NOT(ISBLANK(SamplingData[[#This Row],[Candidate 6]]))),(SamplingData[[#This Row],[Total]]+SamplingData[[#This Row],[Losing Candidate]]-SamplingData[[#This Row],[Candidate 6]])/(SamplingData[[#Totals],[Winning Candidate]]-SamplingData[[#Totals],[Candidate 6]]), 0)</f>
        <v>0</v>
      </c>
      <c r="V383" s="100">
        <f>IF(AND(SamplingData[[#This Row],[Total]]&lt;&gt; 0, NOT(ISBLANK(SamplingData[[#This Row],[Candidate 7]]))),(SamplingData[[#This Row],[Total]]+SamplingData[[#This Row],[Winning Candidate]]-SamplingData[[#This Row],[Candidate 7]])/(SamplingData[[#Totals],[Winning Candidate]]-SamplingData[[#Totals],[Candidate 7]]), 0)</f>
        <v>0</v>
      </c>
      <c r="W383" s="100">
        <f>IF(AND(SamplingData[[#This Row],[Total]]&lt;&gt; 0, NOT(ISBLANK(SamplingData[[#This Row],[Candidate 8]]))),(SamplingData[[#This Row],[Total]]+SamplingData[[#This Row],[Winning Candidate]]-SamplingData[[#This Row],[Candidate 8]])/(SamplingData[[#Totals],[Winning Candidate]]-SamplingData[[#Totals],[Candidate 8]]), 0)</f>
        <v>0</v>
      </c>
      <c r="X3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00">
        <f>MAX(SamplingData[[#This Row],[Error Bound (up) - Max. possible relative overstatement - Losing Candidate]:[Error Bound (up) - Max. possible relative overstatement - Candidate 12]])</f>
        <v>6.2819989320601812E-4</v>
      </c>
      <c r="AC383" s="100">
        <f>IF(SamplingData[[#This Row],[Max Error Bound (up)]] = 0,0,SamplingData[[#This Row],[Max Error Bound (up)]]/SamplingData[[#Totals],[Max Error Bound (up)]])</f>
        <v>2.6920799009314607E-4</v>
      </c>
      <c r="AD383" s="104">
        <f>SUM($AC$5:AC383)</f>
        <v>7.7491519948312104E-2</v>
      </c>
      <c r="AE383" s="100" t="str" cm="1">
        <f t="array" ref="AE383">IF(SamplingData[[#This Row],[up/U Selection Probability]] = 0, "Zero", TEXT(SamplingData[[#This Row],[Lower Range]], REPT("0",LEN('General Info'!$B$42))) &amp; " - " &amp; TEXT(SamplingData[[#This Row],[Upper Range]], REPT("0",LEN('General Info'!$B$42))))</f>
        <v>07722 - 07748</v>
      </c>
      <c r="AF383" s="100">
        <f>SamplingData[[#This Row],[Upper Range]]-SamplingData[[#This Row],[Span]]</f>
        <v>7722.2311958218961</v>
      </c>
      <c r="AG383" s="100">
        <f>IF(ISNUMBER('General Info'!$B$42), ((SamplingData[[#This Row],[up/U Selection Probability]]) * 'General Info'!$B$44) - 1, 0)</f>
        <v>25.920799009314607</v>
      </c>
      <c r="AH383" s="100">
        <f>IF(ISNUMBER('General Info'!$B$42), (SamplingData[[#This Row],[Running (cumulative) sum]] * ('General Info'!$B$42 -'General Info'!$B$43 + 1)) + 'General Info'!$B$43 - 1, 0)</f>
        <v>7748.1519948312107</v>
      </c>
      <c r="AI383" s="100" t="str">
        <f>IF(ISERROR(MATCH(SamplingData[[#This Row],[Batch by Type (p)]],SelectedPrecincts[Batch Name], 0)), "", INDEX(SelectedPrecincts[Draw], MATCH(SamplingData[[#This Row],[Batch by Type (p)]],SelectedPrecincts[Batch Name], 0)))</f>
        <v/>
      </c>
      <c r="AJ383" s="101">
        <f>IF(COUNTIF(SelectedPrecincts[Batch Name],SamplingData[[#This Row],[Batch by Type (p)]]) &lt;&gt; 0, COUNTIF(SelectedPrecincts[Batch Name],SamplingData[[#This Row],[Batch by Type (p)]]), 0)</f>
        <v>0</v>
      </c>
    </row>
    <row r="384" spans="1:36" ht="15" customHeight="1" x14ac:dyDescent="0.35">
      <c r="A384" s="98" t="s">
        <v>596</v>
      </c>
      <c r="B384" s="98">
        <v>5</v>
      </c>
      <c r="C384" s="98">
        <v>0</v>
      </c>
      <c r="D384" s="93"/>
      <c r="E384" s="93"/>
      <c r="F384" s="93"/>
      <c r="G384" s="97"/>
      <c r="H384" s="97"/>
      <c r="I384" s="93"/>
      <c r="J384" s="93"/>
      <c r="K384" s="93"/>
      <c r="L384" s="93"/>
      <c r="M384" s="93"/>
      <c r="N384" s="98">
        <v>0</v>
      </c>
      <c r="O384" s="98">
        <v>0</v>
      </c>
      <c r="P384" s="99">
        <f>SUM(SamplingData[[#This Row],[Winning Candidate]:[Under Votes]])</f>
        <v>5</v>
      </c>
      <c r="Q384"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384" s="100">
        <f>IF(AND(SamplingData[[#This Row],[Total]]&lt;&gt; 0, NOT(ISBLANK(SamplingData[[#This Row],[Candidate 3]]))),(SamplingData[[#This Row],[Total]]+SamplingData[[#This Row],[Winning Candidate]]-SamplingData[[#This Row],[Candidate 3]])/(SamplingData[[#Totals],[Winning Candidate]]-SamplingData[[#Totals],[Candidate 3]]), 0)</f>
        <v>0</v>
      </c>
      <c r="S384" s="100">
        <f>IF(AND(SamplingData[[#This Row],[Total]]&lt;&gt; 0, NOT(ISBLANK(SamplingData[[#This Row],[Candidate 4]]))),(SamplingData[[#This Row],[Total]]+SamplingData[[#This Row],[Winning Candidate]]-SamplingData[[#This Row],[Candidate 4]])/(SamplingData[[#Totals],[Winning Candidate]]-SamplingData[[#Totals],[Candidate 4]]), 0)</f>
        <v>0</v>
      </c>
      <c r="T384" s="100">
        <f>IF(AND(SamplingData[[#This Row],[Total]]&lt;&gt; 0, NOT(ISBLANK(SamplingData[[#This Row],[Candidate 5]]))),(SamplingData[[#This Row],[Total]]+SamplingData[[#This Row],[Winning Candidate]]-SamplingData[[#This Row],[Candidate 5]])/(SamplingData[[#Totals],[Winning Candidate]]-SamplingData[[#Totals],[Candidate 5]]), 0)</f>
        <v>0</v>
      </c>
      <c r="U384" s="100">
        <f>IF(AND(SamplingData[[#This Row],[Total]]&lt;&gt; 0, NOT(ISBLANK(SamplingData[[#This Row],[Candidate 6]]))),(SamplingData[[#This Row],[Total]]+SamplingData[[#This Row],[Losing Candidate]]-SamplingData[[#This Row],[Candidate 6]])/(SamplingData[[#Totals],[Winning Candidate]]-SamplingData[[#Totals],[Candidate 6]]), 0)</f>
        <v>0</v>
      </c>
      <c r="V384" s="100">
        <f>IF(AND(SamplingData[[#This Row],[Total]]&lt;&gt; 0, NOT(ISBLANK(SamplingData[[#This Row],[Candidate 7]]))),(SamplingData[[#This Row],[Total]]+SamplingData[[#This Row],[Winning Candidate]]-SamplingData[[#This Row],[Candidate 7]])/(SamplingData[[#Totals],[Winning Candidate]]-SamplingData[[#Totals],[Candidate 7]]), 0)</f>
        <v>0</v>
      </c>
      <c r="W384" s="100">
        <f>IF(AND(SamplingData[[#This Row],[Total]]&lt;&gt; 0, NOT(ISBLANK(SamplingData[[#This Row],[Candidate 8]]))),(SamplingData[[#This Row],[Total]]+SamplingData[[#This Row],[Winning Candidate]]-SamplingData[[#This Row],[Candidate 8]])/(SamplingData[[#Totals],[Winning Candidate]]-SamplingData[[#Totals],[Candidate 8]]), 0)</f>
        <v>0</v>
      </c>
      <c r="X3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00">
        <f>MAX(SamplingData[[#This Row],[Error Bound (up) - Max. possible relative overstatement - Losing Candidate]:[Error Bound (up) - Max. possible relative overstatement - Candidate 12]])</f>
        <v>3.1409994660300906E-4</v>
      </c>
      <c r="AC384" s="100">
        <f>IF(SamplingData[[#This Row],[Max Error Bound (up)]] = 0,0,SamplingData[[#This Row],[Max Error Bound (up)]]/SamplingData[[#Totals],[Max Error Bound (up)]])</f>
        <v>1.3460399504657304E-4</v>
      </c>
      <c r="AD384" s="104">
        <f>SUM($AC$5:AC384)</f>
        <v>7.7626123943358674E-2</v>
      </c>
      <c r="AE384" s="100" t="str" cm="1">
        <f t="array" ref="AE384">IF(SamplingData[[#This Row],[up/U Selection Probability]] = 0, "Zero", TEXT(SamplingData[[#This Row],[Lower Range]], REPT("0",LEN('General Info'!$B$42))) &amp; " - " &amp; TEXT(SamplingData[[#This Row],[Upper Range]], REPT("0",LEN('General Info'!$B$42))))</f>
        <v>07749 - 07762</v>
      </c>
      <c r="AF384" s="100">
        <f>SamplingData[[#This Row],[Upper Range]]-SamplingData[[#This Row],[Span]]</f>
        <v>7749.1519948312098</v>
      </c>
      <c r="AG384" s="100">
        <f>IF(ISNUMBER('General Info'!$B$42), ((SamplingData[[#This Row],[up/U Selection Probability]]) * 'General Info'!$B$44) - 1, 0)</f>
        <v>12.460399504657303</v>
      </c>
      <c r="AH384" s="100">
        <f>IF(ISNUMBER('General Info'!$B$42), (SamplingData[[#This Row],[Running (cumulative) sum]] * ('General Info'!$B$42 -'General Info'!$B$43 + 1)) + 'General Info'!$B$43 - 1, 0)</f>
        <v>7761.6123943358671</v>
      </c>
      <c r="AI384" s="100" t="str">
        <f>IF(ISERROR(MATCH(SamplingData[[#This Row],[Batch by Type (p)]],SelectedPrecincts[Batch Name], 0)), "", INDEX(SelectedPrecincts[Draw], MATCH(SamplingData[[#This Row],[Batch by Type (p)]],SelectedPrecincts[Batch Name], 0)))</f>
        <v/>
      </c>
      <c r="AJ384" s="101">
        <f>IF(COUNTIF(SelectedPrecincts[Batch Name],SamplingData[[#This Row],[Batch by Type (p)]]) &lt;&gt; 0, COUNTIF(SelectedPrecincts[Batch Name],SamplingData[[#This Row],[Batch by Type (p)]]), 0)</f>
        <v>0</v>
      </c>
    </row>
    <row r="385" spans="1:36" ht="15" customHeight="1" x14ac:dyDescent="0.35">
      <c r="A385" s="98" t="s">
        <v>597</v>
      </c>
      <c r="B385" s="98">
        <v>3</v>
      </c>
      <c r="C385" s="98">
        <v>0</v>
      </c>
      <c r="D385" s="93"/>
      <c r="E385" s="93"/>
      <c r="F385" s="93"/>
      <c r="G385" s="97"/>
      <c r="H385" s="97"/>
      <c r="I385" s="93"/>
      <c r="J385" s="93"/>
      <c r="K385" s="93"/>
      <c r="L385" s="93"/>
      <c r="M385" s="93"/>
      <c r="N385" s="98">
        <v>0</v>
      </c>
      <c r="O385" s="98">
        <v>1</v>
      </c>
      <c r="P385" s="99">
        <f>SUM(SamplingData[[#This Row],[Winning Candidate]:[Under Votes]])</f>
        <v>4</v>
      </c>
      <c r="Q385" s="100">
        <f>IF(AND(SamplingData[[#This Row],[Total]]&lt;&gt; 0, NOT(ISBLANK(SamplingData[[#This Row],[Losing Candidate]]))),(SamplingData[[#This Row],[Total]]+SamplingData[[#This Row],[Winning Candidate]]-SamplingData[[#This Row],[Losing Candidate]])/(SamplingData[[#Totals],[Winning Candidate]]-SamplingData[[#Totals],[Losing Candidate]]), 0)</f>
        <v>2.1986996262210635E-4</v>
      </c>
      <c r="R385" s="100">
        <f>IF(AND(SamplingData[[#This Row],[Total]]&lt;&gt; 0, NOT(ISBLANK(SamplingData[[#This Row],[Candidate 3]]))),(SamplingData[[#This Row],[Total]]+SamplingData[[#This Row],[Winning Candidate]]-SamplingData[[#This Row],[Candidate 3]])/(SamplingData[[#Totals],[Winning Candidate]]-SamplingData[[#Totals],[Candidate 3]]), 0)</f>
        <v>0</v>
      </c>
      <c r="S385" s="100">
        <f>IF(AND(SamplingData[[#This Row],[Total]]&lt;&gt; 0, NOT(ISBLANK(SamplingData[[#This Row],[Candidate 4]]))),(SamplingData[[#This Row],[Total]]+SamplingData[[#This Row],[Winning Candidate]]-SamplingData[[#This Row],[Candidate 4]])/(SamplingData[[#Totals],[Winning Candidate]]-SamplingData[[#Totals],[Candidate 4]]), 0)</f>
        <v>0</v>
      </c>
      <c r="T385" s="100">
        <f>IF(AND(SamplingData[[#This Row],[Total]]&lt;&gt; 0, NOT(ISBLANK(SamplingData[[#This Row],[Candidate 5]]))),(SamplingData[[#This Row],[Total]]+SamplingData[[#This Row],[Winning Candidate]]-SamplingData[[#This Row],[Candidate 5]])/(SamplingData[[#Totals],[Winning Candidate]]-SamplingData[[#Totals],[Candidate 5]]), 0)</f>
        <v>0</v>
      </c>
      <c r="U385" s="100">
        <f>IF(AND(SamplingData[[#This Row],[Total]]&lt;&gt; 0, NOT(ISBLANK(SamplingData[[#This Row],[Candidate 6]]))),(SamplingData[[#This Row],[Total]]+SamplingData[[#This Row],[Losing Candidate]]-SamplingData[[#This Row],[Candidate 6]])/(SamplingData[[#Totals],[Winning Candidate]]-SamplingData[[#Totals],[Candidate 6]]), 0)</f>
        <v>0</v>
      </c>
      <c r="V385" s="100">
        <f>IF(AND(SamplingData[[#This Row],[Total]]&lt;&gt; 0, NOT(ISBLANK(SamplingData[[#This Row],[Candidate 7]]))),(SamplingData[[#This Row],[Total]]+SamplingData[[#This Row],[Winning Candidate]]-SamplingData[[#This Row],[Candidate 7]])/(SamplingData[[#Totals],[Winning Candidate]]-SamplingData[[#Totals],[Candidate 7]]), 0)</f>
        <v>0</v>
      </c>
      <c r="W385" s="100">
        <f>IF(AND(SamplingData[[#This Row],[Total]]&lt;&gt; 0, NOT(ISBLANK(SamplingData[[#This Row],[Candidate 8]]))),(SamplingData[[#This Row],[Total]]+SamplingData[[#This Row],[Winning Candidate]]-SamplingData[[#This Row],[Candidate 8]])/(SamplingData[[#Totals],[Winning Candidate]]-SamplingData[[#Totals],[Candidate 8]]), 0)</f>
        <v>0</v>
      </c>
      <c r="X3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00">
        <f>MAX(SamplingData[[#This Row],[Error Bound (up) - Max. possible relative overstatement - Losing Candidate]:[Error Bound (up) - Max. possible relative overstatement - Candidate 12]])</f>
        <v>2.1986996262210635E-4</v>
      </c>
      <c r="AC385" s="100">
        <f>IF(SamplingData[[#This Row],[Max Error Bound (up)]] = 0,0,SamplingData[[#This Row],[Max Error Bound (up)]]/SamplingData[[#Totals],[Max Error Bound (up)]])</f>
        <v>9.4222796532601115E-5</v>
      </c>
      <c r="AD385" s="104">
        <f>SUM($AC$5:AC385)</f>
        <v>7.7720346739891269E-2</v>
      </c>
      <c r="AE385" s="100" t="str" cm="1">
        <f t="array" ref="AE385">IF(SamplingData[[#This Row],[up/U Selection Probability]] = 0, "Zero", TEXT(SamplingData[[#This Row],[Lower Range]], REPT("0",LEN('General Info'!$B$42))) &amp; " - " &amp; TEXT(SamplingData[[#This Row],[Upper Range]], REPT("0",LEN('General Info'!$B$42))))</f>
        <v>07763 - 07771</v>
      </c>
      <c r="AF385" s="100">
        <f>SamplingData[[#This Row],[Upper Range]]-SamplingData[[#This Row],[Span]]</f>
        <v>7762.6123943358662</v>
      </c>
      <c r="AG385" s="100">
        <f>IF(ISNUMBER('General Info'!$B$42), ((SamplingData[[#This Row],[up/U Selection Probability]]) * 'General Info'!$B$44) - 1, 0)</f>
        <v>8.4222796532601123</v>
      </c>
      <c r="AH385" s="100">
        <f>IF(ISNUMBER('General Info'!$B$42), (SamplingData[[#This Row],[Running (cumulative) sum]] * ('General Info'!$B$42 -'General Info'!$B$43 + 1)) + 'General Info'!$B$43 - 1, 0)</f>
        <v>7771.0346739891265</v>
      </c>
      <c r="AI385" s="100" t="str">
        <f>IF(ISERROR(MATCH(SamplingData[[#This Row],[Batch by Type (p)]],SelectedPrecincts[Batch Name], 0)), "", INDEX(SelectedPrecincts[Draw], MATCH(SamplingData[[#This Row],[Batch by Type (p)]],SelectedPrecincts[Batch Name], 0)))</f>
        <v/>
      </c>
      <c r="AJ385" s="101">
        <f>IF(COUNTIF(SelectedPrecincts[Batch Name],SamplingData[[#This Row],[Batch by Type (p)]]) &lt;&gt; 0, COUNTIF(SelectedPrecincts[Batch Name],SamplingData[[#This Row],[Batch by Type (p)]]), 0)</f>
        <v>0</v>
      </c>
    </row>
    <row r="386" spans="1:36" ht="15" customHeight="1" x14ac:dyDescent="0.35">
      <c r="A386" s="98" t="s">
        <v>598</v>
      </c>
      <c r="B386" s="98">
        <v>6</v>
      </c>
      <c r="C386" s="98">
        <v>0</v>
      </c>
      <c r="D386" s="93"/>
      <c r="E386" s="93"/>
      <c r="F386" s="93"/>
      <c r="G386" s="97"/>
      <c r="H386" s="97"/>
      <c r="I386" s="93"/>
      <c r="J386" s="93"/>
      <c r="K386" s="93"/>
      <c r="L386" s="93"/>
      <c r="M386" s="93"/>
      <c r="N386" s="98">
        <v>0</v>
      </c>
      <c r="O386" s="98">
        <v>0</v>
      </c>
      <c r="P386" s="99">
        <f>SUM(SamplingData[[#This Row],[Winning Candidate]:[Under Votes]])</f>
        <v>6</v>
      </c>
      <c r="Q38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386" s="100">
        <f>IF(AND(SamplingData[[#This Row],[Total]]&lt;&gt; 0, NOT(ISBLANK(SamplingData[[#This Row],[Candidate 3]]))),(SamplingData[[#This Row],[Total]]+SamplingData[[#This Row],[Winning Candidate]]-SamplingData[[#This Row],[Candidate 3]])/(SamplingData[[#Totals],[Winning Candidate]]-SamplingData[[#Totals],[Candidate 3]]), 0)</f>
        <v>0</v>
      </c>
      <c r="S386" s="100">
        <f>IF(AND(SamplingData[[#This Row],[Total]]&lt;&gt; 0, NOT(ISBLANK(SamplingData[[#This Row],[Candidate 4]]))),(SamplingData[[#This Row],[Total]]+SamplingData[[#This Row],[Winning Candidate]]-SamplingData[[#This Row],[Candidate 4]])/(SamplingData[[#Totals],[Winning Candidate]]-SamplingData[[#Totals],[Candidate 4]]), 0)</f>
        <v>0</v>
      </c>
      <c r="T386" s="100">
        <f>IF(AND(SamplingData[[#This Row],[Total]]&lt;&gt; 0, NOT(ISBLANK(SamplingData[[#This Row],[Candidate 5]]))),(SamplingData[[#This Row],[Total]]+SamplingData[[#This Row],[Winning Candidate]]-SamplingData[[#This Row],[Candidate 5]])/(SamplingData[[#Totals],[Winning Candidate]]-SamplingData[[#Totals],[Candidate 5]]), 0)</f>
        <v>0</v>
      </c>
      <c r="U386" s="100">
        <f>IF(AND(SamplingData[[#This Row],[Total]]&lt;&gt; 0, NOT(ISBLANK(SamplingData[[#This Row],[Candidate 6]]))),(SamplingData[[#This Row],[Total]]+SamplingData[[#This Row],[Losing Candidate]]-SamplingData[[#This Row],[Candidate 6]])/(SamplingData[[#Totals],[Winning Candidate]]-SamplingData[[#Totals],[Candidate 6]]), 0)</f>
        <v>0</v>
      </c>
      <c r="V386" s="100">
        <f>IF(AND(SamplingData[[#This Row],[Total]]&lt;&gt; 0, NOT(ISBLANK(SamplingData[[#This Row],[Candidate 7]]))),(SamplingData[[#This Row],[Total]]+SamplingData[[#This Row],[Winning Candidate]]-SamplingData[[#This Row],[Candidate 7]])/(SamplingData[[#Totals],[Winning Candidate]]-SamplingData[[#Totals],[Candidate 7]]), 0)</f>
        <v>0</v>
      </c>
      <c r="W386" s="100">
        <f>IF(AND(SamplingData[[#This Row],[Total]]&lt;&gt; 0, NOT(ISBLANK(SamplingData[[#This Row],[Candidate 8]]))),(SamplingData[[#This Row],[Total]]+SamplingData[[#This Row],[Winning Candidate]]-SamplingData[[#This Row],[Candidate 8]])/(SamplingData[[#Totals],[Winning Candidate]]-SamplingData[[#Totals],[Candidate 8]]), 0)</f>
        <v>0</v>
      </c>
      <c r="X3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00">
        <f>MAX(SamplingData[[#This Row],[Error Bound (up) - Max. possible relative overstatement - Losing Candidate]:[Error Bound (up) - Max. possible relative overstatement - Candidate 12]])</f>
        <v>3.7691993592361088E-4</v>
      </c>
      <c r="AC386" s="100">
        <f>IF(SamplingData[[#This Row],[Max Error Bound (up)]] = 0,0,SamplingData[[#This Row],[Max Error Bound (up)]]/SamplingData[[#Totals],[Max Error Bound (up)]])</f>
        <v>1.6152479405588763E-4</v>
      </c>
      <c r="AD386" s="104">
        <f>SUM($AC$5:AC386)</f>
        <v>7.7881871533947156E-2</v>
      </c>
      <c r="AE386" s="100" t="str" cm="1">
        <f t="array" ref="AE386">IF(SamplingData[[#This Row],[up/U Selection Probability]] = 0, "Zero", TEXT(SamplingData[[#This Row],[Lower Range]], REPT("0",LEN('General Info'!$B$42))) &amp; " - " &amp; TEXT(SamplingData[[#This Row],[Upper Range]], REPT("0",LEN('General Info'!$B$42))))</f>
        <v>07772 - 07787</v>
      </c>
      <c r="AF386" s="100">
        <f>SamplingData[[#This Row],[Upper Range]]-SamplingData[[#This Row],[Span]]</f>
        <v>7772.0346739891274</v>
      </c>
      <c r="AG386" s="100">
        <f>IF(ISNUMBER('General Info'!$B$42), ((SamplingData[[#This Row],[up/U Selection Probability]]) * 'General Info'!$B$44) - 1, 0)</f>
        <v>15.152479405588764</v>
      </c>
      <c r="AH386" s="100">
        <f>IF(ISNUMBER('General Info'!$B$42), (SamplingData[[#This Row],[Running (cumulative) sum]] * ('General Info'!$B$42 -'General Info'!$B$43 + 1)) + 'General Info'!$B$43 - 1, 0)</f>
        <v>7787.187153394716</v>
      </c>
      <c r="AI386" s="100" t="str">
        <f>IF(ISERROR(MATCH(SamplingData[[#This Row],[Batch by Type (p)]],SelectedPrecincts[Batch Name], 0)), "", INDEX(SelectedPrecincts[Draw], MATCH(SamplingData[[#This Row],[Batch by Type (p)]],SelectedPrecincts[Batch Name], 0)))</f>
        <v/>
      </c>
      <c r="AJ386" s="101">
        <f>IF(COUNTIF(SelectedPrecincts[Batch Name],SamplingData[[#This Row],[Batch by Type (p)]]) &lt;&gt; 0, COUNTIF(SelectedPrecincts[Batch Name],SamplingData[[#This Row],[Batch by Type (p)]]), 0)</f>
        <v>0</v>
      </c>
    </row>
    <row r="387" spans="1:36" ht="15" customHeight="1" x14ac:dyDescent="0.35">
      <c r="A387" s="98" t="s">
        <v>599</v>
      </c>
      <c r="B387" s="98">
        <v>1</v>
      </c>
      <c r="C387" s="98">
        <v>0</v>
      </c>
      <c r="D387" s="93"/>
      <c r="E387" s="93"/>
      <c r="F387" s="93"/>
      <c r="G387" s="97"/>
      <c r="H387" s="97"/>
      <c r="I387" s="93"/>
      <c r="J387" s="93"/>
      <c r="K387" s="93"/>
      <c r="L387" s="93"/>
      <c r="M387" s="93"/>
      <c r="N387" s="98">
        <v>0</v>
      </c>
      <c r="O387" s="98">
        <v>0</v>
      </c>
      <c r="P387" s="99">
        <f>SUM(SamplingData[[#This Row],[Winning Candidate]:[Under Votes]])</f>
        <v>1</v>
      </c>
      <c r="Q387"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387" s="100">
        <f>IF(AND(SamplingData[[#This Row],[Total]]&lt;&gt; 0, NOT(ISBLANK(SamplingData[[#This Row],[Candidate 3]]))),(SamplingData[[#This Row],[Total]]+SamplingData[[#This Row],[Winning Candidate]]-SamplingData[[#This Row],[Candidate 3]])/(SamplingData[[#Totals],[Winning Candidate]]-SamplingData[[#Totals],[Candidate 3]]), 0)</f>
        <v>0</v>
      </c>
      <c r="S387" s="100">
        <f>IF(AND(SamplingData[[#This Row],[Total]]&lt;&gt; 0, NOT(ISBLANK(SamplingData[[#This Row],[Candidate 4]]))),(SamplingData[[#This Row],[Total]]+SamplingData[[#This Row],[Winning Candidate]]-SamplingData[[#This Row],[Candidate 4]])/(SamplingData[[#Totals],[Winning Candidate]]-SamplingData[[#Totals],[Candidate 4]]), 0)</f>
        <v>0</v>
      </c>
      <c r="T387" s="100">
        <f>IF(AND(SamplingData[[#This Row],[Total]]&lt;&gt; 0, NOT(ISBLANK(SamplingData[[#This Row],[Candidate 5]]))),(SamplingData[[#This Row],[Total]]+SamplingData[[#This Row],[Winning Candidate]]-SamplingData[[#This Row],[Candidate 5]])/(SamplingData[[#Totals],[Winning Candidate]]-SamplingData[[#Totals],[Candidate 5]]), 0)</f>
        <v>0</v>
      </c>
      <c r="U387" s="100">
        <f>IF(AND(SamplingData[[#This Row],[Total]]&lt;&gt; 0, NOT(ISBLANK(SamplingData[[#This Row],[Candidate 6]]))),(SamplingData[[#This Row],[Total]]+SamplingData[[#This Row],[Losing Candidate]]-SamplingData[[#This Row],[Candidate 6]])/(SamplingData[[#Totals],[Winning Candidate]]-SamplingData[[#Totals],[Candidate 6]]), 0)</f>
        <v>0</v>
      </c>
      <c r="V387" s="100">
        <f>IF(AND(SamplingData[[#This Row],[Total]]&lt;&gt; 0, NOT(ISBLANK(SamplingData[[#This Row],[Candidate 7]]))),(SamplingData[[#This Row],[Total]]+SamplingData[[#This Row],[Winning Candidate]]-SamplingData[[#This Row],[Candidate 7]])/(SamplingData[[#Totals],[Winning Candidate]]-SamplingData[[#Totals],[Candidate 7]]), 0)</f>
        <v>0</v>
      </c>
      <c r="W387" s="100">
        <f>IF(AND(SamplingData[[#This Row],[Total]]&lt;&gt; 0, NOT(ISBLANK(SamplingData[[#This Row],[Candidate 8]]))),(SamplingData[[#This Row],[Total]]+SamplingData[[#This Row],[Winning Candidate]]-SamplingData[[#This Row],[Candidate 8]])/(SamplingData[[#Totals],[Winning Candidate]]-SamplingData[[#Totals],[Candidate 8]]), 0)</f>
        <v>0</v>
      </c>
      <c r="X3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00">
        <f>MAX(SamplingData[[#This Row],[Error Bound (up) - Max. possible relative overstatement - Losing Candidate]:[Error Bound (up) - Max. possible relative overstatement - Candidate 12]])</f>
        <v>6.2819989320601809E-5</v>
      </c>
      <c r="AC387" s="100">
        <f>IF(SamplingData[[#This Row],[Max Error Bound (up)]] = 0,0,SamplingData[[#This Row],[Max Error Bound (up)]]/SamplingData[[#Totals],[Max Error Bound (up)]])</f>
        <v>2.6920799009314603E-5</v>
      </c>
      <c r="AD387" s="104">
        <f>SUM($AC$5:AC387)</f>
        <v>7.7908792332956472E-2</v>
      </c>
      <c r="AE387" s="100" t="str" cm="1">
        <f t="array" ref="AE387">IF(SamplingData[[#This Row],[up/U Selection Probability]] = 0, "Zero", TEXT(SamplingData[[#This Row],[Lower Range]], REPT("0",LEN('General Info'!$B$42))) &amp; " - " &amp; TEXT(SamplingData[[#This Row],[Upper Range]], REPT("0",LEN('General Info'!$B$42))))</f>
        <v>07788 - 07790</v>
      </c>
      <c r="AF387" s="100">
        <f>SamplingData[[#This Row],[Upper Range]]-SamplingData[[#This Row],[Span]]</f>
        <v>7788.187153394716</v>
      </c>
      <c r="AG387" s="100">
        <f>IF(ISNUMBER('General Info'!$B$42), ((SamplingData[[#This Row],[up/U Selection Probability]]) * 'General Info'!$B$44) - 1, 0)</f>
        <v>1.6920799009314602</v>
      </c>
      <c r="AH387" s="100">
        <f>IF(ISNUMBER('General Info'!$B$42), (SamplingData[[#This Row],[Running (cumulative) sum]] * ('General Info'!$B$42 -'General Info'!$B$43 + 1)) + 'General Info'!$B$43 - 1, 0)</f>
        <v>7789.8792332956473</v>
      </c>
      <c r="AI387" s="100" t="str">
        <f>IF(ISERROR(MATCH(SamplingData[[#This Row],[Batch by Type (p)]],SelectedPrecincts[Batch Name], 0)), "", INDEX(SelectedPrecincts[Draw], MATCH(SamplingData[[#This Row],[Batch by Type (p)]],SelectedPrecincts[Batch Name], 0)))</f>
        <v/>
      </c>
      <c r="AJ387" s="101">
        <f>IF(COUNTIF(SelectedPrecincts[Batch Name],SamplingData[[#This Row],[Batch by Type (p)]]) &lt;&gt; 0, COUNTIF(SelectedPrecincts[Batch Name],SamplingData[[#This Row],[Batch by Type (p)]]), 0)</f>
        <v>0</v>
      </c>
    </row>
    <row r="388" spans="1:36" ht="15" customHeight="1" x14ac:dyDescent="0.35">
      <c r="A388" s="98" t="s">
        <v>600</v>
      </c>
      <c r="B388" s="98">
        <v>8</v>
      </c>
      <c r="C388" s="98">
        <v>0</v>
      </c>
      <c r="D388" s="93"/>
      <c r="E388" s="93"/>
      <c r="F388" s="93"/>
      <c r="G388" s="97"/>
      <c r="H388" s="97"/>
      <c r="I388" s="93"/>
      <c r="J388" s="93"/>
      <c r="K388" s="93"/>
      <c r="L388" s="93"/>
      <c r="M388" s="93"/>
      <c r="N388" s="98">
        <v>0</v>
      </c>
      <c r="O388" s="98">
        <v>0</v>
      </c>
      <c r="P388" s="99">
        <f>SUM(SamplingData[[#This Row],[Winning Candidate]:[Under Votes]])</f>
        <v>8</v>
      </c>
      <c r="Q388"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388" s="100">
        <f>IF(AND(SamplingData[[#This Row],[Total]]&lt;&gt; 0, NOT(ISBLANK(SamplingData[[#This Row],[Candidate 3]]))),(SamplingData[[#This Row],[Total]]+SamplingData[[#This Row],[Winning Candidate]]-SamplingData[[#This Row],[Candidate 3]])/(SamplingData[[#Totals],[Winning Candidate]]-SamplingData[[#Totals],[Candidate 3]]), 0)</f>
        <v>0</v>
      </c>
      <c r="S388" s="100">
        <f>IF(AND(SamplingData[[#This Row],[Total]]&lt;&gt; 0, NOT(ISBLANK(SamplingData[[#This Row],[Candidate 4]]))),(SamplingData[[#This Row],[Total]]+SamplingData[[#This Row],[Winning Candidate]]-SamplingData[[#This Row],[Candidate 4]])/(SamplingData[[#Totals],[Winning Candidate]]-SamplingData[[#Totals],[Candidate 4]]), 0)</f>
        <v>0</v>
      </c>
      <c r="T388" s="100">
        <f>IF(AND(SamplingData[[#This Row],[Total]]&lt;&gt; 0, NOT(ISBLANK(SamplingData[[#This Row],[Candidate 5]]))),(SamplingData[[#This Row],[Total]]+SamplingData[[#This Row],[Winning Candidate]]-SamplingData[[#This Row],[Candidate 5]])/(SamplingData[[#Totals],[Winning Candidate]]-SamplingData[[#Totals],[Candidate 5]]), 0)</f>
        <v>0</v>
      </c>
      <c r="U388" s="100">
        <f>IF(AND(SamplingData[[#This Row],[Total]]&lt;&gt; 0, NOT(ISBLANK(SamplingData[[#This Row],[Candidate 6]]))),(SamplingData[[#This Row],[Total]]+SamplingData[[#This Row],[Losing Candidate]]-SamplingData[[#This Row],[Candidate 6]])/(SamplingData[[#Totals],[Winning Candidate]]-SamplingData[[#Totals],[Candidate 6]]), 0)</f>
        <v>0</v>
      </c>
      <c r="V388" s="100">
        <f>IF(AND(SamplingData[[#This Row],[Total]]&lt;&gt; 0, NOT(ISBLANK(SamplingData[[#This Row],[Candidate 7]]))),(SamplingData[[#This Row],[Total]]+SamplingData[[#This Row],[Winning Candidate]]-SamplingData[[#This Row],[Candidate 7]])/(SamplingData[[#Totals],[Winning Candidate]]-SamplingData[[#Totals],[Candidate 7]]), 0)</f>
        <v>0</v>
      </c>
      <c r="W388" s="100">
        <f>IF(AND(SamplingData[[#This Row],[Total]]&lt;&gt; 0, NOT(ISBLANK(SamplingData[[#This Row],[Candidate 8]]))),(SamplingData[[#This Row],[Total]]+SamplingData[[#This Row],[Winning Candidate]]-SamplingData[[#This Row],[Candidate 8]])/(SamplingData[[#Totals],[Winning Candidate]]-SamplingData[[#Totals],[Candidate 8]]), 0)</f>
        <v>0</v>
      </c>
      <c r="X3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00">
        <f>MAX(SamplingData[[#This Row],[Error Bound (up) - Max. possible relative overstatement - Losing Candidate]:[Error Bound (up) - Max. possible relative overstatement - Candidate 12]])</f>
        <v>5.0255991456481448E-4</v>
      </c>
      <c r="AC388" s="100">
        <f>IF(SamplingData[[#This Row],[Max Error Bound (up)]] = 0,0,SamplingData[[#This Row],[Max Error Bound (up)]]/SamplingData[[#Totals],[Max Error Bound (up)]])</f>
        <v>2.1536639207451683E-4</v>
      </c>
      <c r="AD388" s="104">
        <f>SUM($AC$5:AC388)</f>
        <v>7.8124158725030993E-2</v>
      </c>
      <c r="AE388" s="100" t="str" cm="1">
        <f t="array" ref="AE388">IF(SamplingData[[#This Row],[up/U Selection Probability]] = 0, "Zero", TEXT(SamplingData[[#This Row],[Lower Range]], REPT("0",LEN('General Info'!$B$42))) &amp; " - " &amp; TEXT(SamplingData[[#This Row],[Upper Range]], REPT("0",LEN('General Info'!$B$42))))</f>
        <v>07791 - 07811</v>
      </c>
      <c r="AF388" s="100">
        <f>SamplingData[[#This Row],[Upper Range]]-SamplingData[[#This Row],[Span]]</f>
        <v>7790.8792332956473</v>
      </c>
      <c r="AG388" s="100">
        <f>IF(ISNUMBER('General Info'!$B$42), ((SamplingData[[#This Row],[up/U Selection Probability]]) * 'General Info'!$B$44) - 1, 0)</f>
        <v>20.536639207451682</v>
      </c>
      <c r="AH388" s="100">
        <f>IF(ISNUMBER('General Info'!$B$42), (SamplingData[[#This Row],[Running (cumulative) sum]] * ('General Info'!$B$42 -'General Info'!$B$43 + 1)) + 'General Info'!$B$43 - 1, 0)</f>
        <v>7811.4158725030993</v>
      </c>
      <c r="AI388" s="100" t="str">
        <f>IF(ISERROR(MATCH(SamplingData[[#This Row],[Batch by Type (p)]],SelectedPrecincts[Batch Name], 0)), "", INDEX(SelectedPrecincts[Draw], MATCH(SamplingData[[#This Row],[Batch by Type (p)]],SelectedPrecincts[Batch Name], 0)))</f>
        <v/>
      </c>
      <c r="AJ388" s="101">
        <f>IF(COUNTIF(SelectedPrecincts[Batch Name],SamplingData[[#This Row],[Batch by Type (p)]]) &lt;&gt; 0, COUNTIF(SelectedPrecincts[Batch Name],SamplingData[[#This Row],[Batch by Type (p)]]), 0)</f>
        <v>0</v>
      </c>
    </row>
    <row r="389" spans="1:36" ht="15" customHeight="1" x14ac:dyDescent="0.35">
      <c r="A389" s="98" t="s">
        <v>601</v>
      </c>
      <c r="B389" s="98">
        <v>5</v>
      </c>
      <c r="C389" s="98">
        <v>0</v>
      </c>
      <c r="D389" s="93"/>
      <c r="E389" s="93"/>
      <c r="F389" s="93"/>
      <c r="G389" s="97"/>
      <c r="H389" s="97"/>
      <c r="I389" s="93"/>
      <c r="J389" s="93"/>
      <c r="K389" s="93"/>
      <c r="L389" s="93"/>
      <c r="M389" s="93"/>
      <c r="N389" s="98">
        <v>0</v>
      </c>
      <c r="O389" s="98">
        <v>0</v>
      </c>
      <c r="P389" s="99">
        <f>SUM(SamplingData[[#This Row],[Winning Candidate]:[Under Votes]])</f>
        <v>5</v>
      </c>
      <c r="Q389"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389" s="100">
        <f>IF(AND(SamplingData[[#This Row],[Total]]&lt;&gt; 0, NOT(ISBLANK(SamplingData[[#This Row],[Candidate 3]]))),(SamplingData[[#This Row],[Total]]+SamplingData[[#This Row],[Winning Candidate]]-SamplingData[[#This Row],[Candidate 3]])/(SamplingData[[#Totals],[Winning Candidate]]-SamplingData[[#Totals],[Candidate 3]]), 0)</f>
        <v>0</v>
      </c>
      <c r="S389" s="100">
        <f>IF(AND(SamplingData[[#This Row],[Total]]&lt;&gt; 0, NOT(ISBLANK(SamplingData[[#This Row],[Candidate 4]]))),(SamplingData[[#This Row],[Total]]+SamplingData[[#This Row],[Winning Candidate]]-SamplingData[[#This Row],[Candidate 4]])/(SamplingData[[#Totals],[Winning Candidate]]-SamplingData[[#Totals],[Candidate 4]]), 0)</f>
        <v>0</v>
      </c>
      <c r="T389" s="100">
        <f>IF(AND(SamplingData[[#This Row],[Total]]&lt;&gt; 0, NOT(ISBLANK(SamplingData[[#This Row],[Candidate 5]]))),(SamplingData[[#This Row],[Total]]+SamplingData[[#This Row],[Winning Candidate]]-SamplingData[[#This Row],[Candidate 5]])/(SamplingData[[#Totals],[Winning Candidate]]-SamplingData[[#Totals],[Candidate 5]]), 0)</f>
        <v>0</v>
      </c>
      <c r="U389" s="100">
        <f>IF(AND(SamplingData[[#This Row],[Total]]&lt;&gt; 0, NOT(ISBLANK(SamplingData[[#This Row],[Candidate 6]]))),(SamplingData[[#This Row],[Total]]+SamplingData[[#This Row],[Losing Candidate]]-SamplingData[[#This Row],[Candidate 6]])/(SamplingData[[#Totals],[Winning Candidate]]-SamplingData[[#Totals],[Candidate 6]]), 0)</f>
        <v>0</v>
      </c>
      <c r="V389" s="100">
        <f>IF(AND(SamplingData[[#This Row],[Total]]&lt;&gt; 0, NOT(ISBLANK(SamplingData[[#This Row],[Candidate 7]]))),(SamplingData[[#This Row],[Total]]+SamplingData[[#This Row],[Winning Candidate]]-SamplingData[[#This Row],[Candidate 7]])/(SamplingData[[#Totals],[Winning Candidate]]-SamplingData[[#Totals],[Candidate 7]]), 0)</f>
        <v>0</v>
      </c>
      <c r="W389" s="100">
        <f>IF(AND(SamplingData[[#This Row],[Total]]&lt;&gt; 0, NOT(ISBLANK(SamplingData[[#This Row],[Candidate 8]]))),(SamplingData[[#This Row],[Total]]+SamplingData[[#This Row],[Winning Candidate]]-SamplingData[[#This Row],[Candidate 8]])/(SamplingData[[#Totals],[Winning Candidate]]-SamplingData[[#Totals],[Candidate 8]]), 0)</f>
        <v>0</v>
      </c>
      <c r="X3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00">
        <f>MAX(SamplingData[[#This Row],[Error Bound (up) - Max. possible relative overstatement - Losing Candidate]:[Error Bound (up) - Max. possible relative overstatement - Candidate 12]])</f>
        <v>3.1409994660300906E-4</v>
      </c>
      <c r="AC389" s="100">
        <f>IF(SamplingData[[#This Row],[Max Error Bound (up)]] = 0,0,SamplingData[[#This Row],[Max Error Bound (up)]]/SamplingData[[#Totals],[Max Error Bound (up)]])</f>
        <v>1.3460399504657304E-4</v>
      </c>
      <c r="AD389" s="104">
        <f>SUM($AC$5:AC389)</f>
        <v>7.8258762720077563E-2</v>
      </c>
      <c r="AE389" s="100" t="str" cm="1">
        <f t="array" ref="AE389">IF(SamplingData[[#This Row],[up/U Selection Probability]] = 0, "Zero", TEXT(SamplingData[[#This Row],[Lower Range]], REPT("0",LEN('General Info'!$B$42))) &amp; " - " &amp; TEXT(SamplingData[[#This Row],[Upper Range]], REPT("0",LEN('General Info'!$B$42))))</f>
        <v>07812 - 07825</v>
      </c>
      <c r="AF389" s="100">
        <f>SamplingData[[#This Row],[Upper Range]]-SamplingData[[#This Row],[Span]]</f>
        <v>7812.4158725030993</v>
      </c>
      <c r="AG389" s="100">
        <f>IF(ISNUMBER('General Info'!$B$42), ((SamplingData[[#This Row],[up/U Selection Probability]]) * 'General Info'!$B$44) - 1, 0)</f>
        <v>12.460399504657303</v>
      </c>
      <c r="AH389" s="100">
        <f>IF(ISNUMBER('General Info'!$B$42), (SamplingData[[#This Row],[Running (cumulative) sum]] * ('General Info'!$B$42 -'General Info'!$B$43 + 1)) + 'General Info'!$B$43 - 1, 0)</f>
        <v>7824.8762720077566</v>
      </c>
      <c r="AI389" s="100" t="str">
        <f>IF(ISERROR(MATCH(SamplingData[[#This Row],[Batch by Type (p)]],SelectedPrecincts[Batch Name], 0)), "", INDEX(SelectedPrecincts[Draw], MATCH(SamplingData[[#This Row],[Batch by Type (p)]],SelectedPrecincts[Batch Name], 0)))</f>
        <v/>
      </c>
      <c r="AJ389" s="101">
        <f>IF(COUNTIF(SelectedPrecincts[Batch Name],SamplingData[[#This Row],[Batch by Type (p)]]) &lt;&gt; 0, COUNTIF(SelectedPrecincts[Batch Name],SamplingData[[#This Row],[Batch by Type (p)]]), 0)</f>
        <v>0</v>
      </c>
    </row>
    <row r="390" spans="1:36" ht="15" customHeight="1" x14ac:dyDescent="0.35">
      <c r="A390" s="98" t="s">
        <v>602</v>
      </c>
      <c r="B390" s="98">
        <v>4</v>
      </c>
      <c r="C390" s="98">
        <v>3</v>
      </c>
      <c r="D390" s="93"/>
      <c r="E390" s="93"/>
      <c r="F390" s="93"/>
      <c r="G390" s="97"/>
      <c r="H390" s="97"/>
      <c r="I390" s="93"/>
      <c r="J390" s="93"/>
      <c r="K390" s="93"/>
      <c r="L390" s="93"/>
      <c r="M390" s="93"/>
      <c r="N390" s="98">
        <v>0</v>
      </c>
      <c r="O390" s="98">
        <v>0</v>
      </c>
      <c r="P390" s="99">
        <f>SUM(SamplingData[[#This Row],[Winning Candidate]:[Under Votes]])</f>
        <v>7</v>
      </c>
      <c r="Q390"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390" s="100">
        <f>IF(AND(SamplingData[[#This Row],[Total]]&lt;&gt; 0, NOT(ISBLANK(SamplingData[[#This Row],[Candidate 3]]))),(SamplingData[[#This Row],[Total]]+SamplingData[[#This Row],[Winning Candidate]]-SamplingData[[#This Row],[Candidate 3]])/(SamplingData[[#Totals],[Winning Candidate]]-SamplingData[[#Totals],[Candidate 3]]), 0)</f>
        <v>0</v>
      </c>
      <c r="S390" s="100">
        <f>IF(AND(SamplingData[[#This Row],[Total]]&lt;&gt; 0, NOT(ISBLANK(SamplingData[[#This Row],[Candidate 4]]))),(SamplingData[[#This Row],[Total]]+SamplingData[[#This Row],[Winning Candidate]]-SamplingData[[#This Row],[Candidate 4]])/(SamplingData[[#Totals],[Winning Candidate]]-SamplingData[[#Totals],[Candidate 4]]), 0)</f>
        <v>0</v>
      </c>
      <c r="T390" s="100">
        <f>IF(AND(SamplingData[[#This Row],[Total]]&lt;&gt; 0, NOT(ISBLANK(SamplingData[[#This Row],[Candidate 5]]))),(SamplingData[[#This Row],[Total]]+SamplingData[[#This Row],[Winning Candidate]]-SamplingData[[#This Row],[Candidate 5]])/(SamplingData[[#Totals],[Winning Candidate]]-SamplingData[[#Totals],[Candidate 5]]), 0)</f>
        <v>0</v>
      </c>
      <c r="U390" s="100">
        <f>IF(AND(SamplingData[[#This Row],[Total]]&lt;&gt; 0, NOT(ISBLANK(SamplingData[[#This Row],[Candidate 6]]))),(SamplingData[[#This Row],[Total]]+SamplingData[[#This Row],[Losing Candidate]]-SamplingData[[#This Row],[Candidate 6]])/(SamplingData[[#Totals],[Winning Candidate]]-SamplingData[[#Totals],[Candidate 6]]), 0)</f>
        <v>0</v>
      </c>
      <c r="V390" s="100">
        <f>IF(AND(SamplingData[[#This Row],[Total]]&lt;&gt; 0, NOT(ISBLANK(SamplingData[[#This Row],[Candidate 7]]))),(SamplingData[[#This Row],[Total]]+SamplingData[[#This Row],[Winning Candidate]]-SamplingData[[#This Row],[Candidate 7]])/(SamplingData[[#Totals],[Winning Candidate]]-SamplingData[[#Totals],[Candidate 7]]), 0)</f>
        <v>0</v>
      </c>
      <c r="W390" s="100">
        <f>IF(AND(SamplingData[[#This Row],[Total]]&lt;&gt; 0, NOT(ISBLANK(SamplingData[[#This Row],[Candidate 8]]))),(SamplingData[[#This Row],[Total]]+SamplingData[[#This Row],[Winning Candidate]]-SamplingData[[#This Row],[Candidate 8]])/(SamplingData[[#Totals],[Winning Candidate]]-SamplingData[[#Totals],[Candidate 8]]), 0)</f>
        <v>0</v>
      </c>
      <c r="X3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00">
        <f>MAX(SamplingData[[#This Row],[Error Bound (up) - Max. possible relative overstatement - Losing Candidate]:[Error Bound (up) - Max. possible relative overstatement - Candidate 12]])</f>
        <v>2.5127995728240724E-4</v>
      </c>
      <c r="AC390" s="100">
        <f>IF(SamplingData[[#This Row],[Max Error Bound (up)]] = 0,0,SamplingData[[#This Row],[Max Error Bound (up)]]/SamplingData[[#Totals],[Max Error Bound (up)]])</f>
        <v>1.0768319603725841E-4</v>
      </c>
      <c r="AD390" s="104">
        <f>SUM($AC$5:AC390)</f>
        <v>7.8366445916114816E-2</v>
      </c>
      <c r="AE390" s="100" t="str" cm="1">
        <f t="array" ref="AE390">IF(SamplingData[[#This Row],[up/U Selection Probability]] = 0, "Zero", TEXT(SamplingData[[#This Row],[Lower Range]], REPT("0",LEN('General Info'!$B$42))) &amp; " - " &amp; TEXT(SamplingData[[#This Row],[Upper Range]], REPT("0",LEN('General Info'!$B$42))))</f>
        <v>07826 - 07836</v>
      </c>
      <c r="AF390" s="100">
        <f>SamplingData[[#This Row],[Upper Range]]-SamplingData[[#This Row],[Span]]</f>
        <v>7825.8762720077557</v>
      </c>
      <c r="AG390" s="100">
        <f>IF(ISNUMBER('General Info'!$B$42), ((SamplingData[[#This Row],[up/U Selection Probability]]) * 'General Info'!$B$44) - 1, 0)</f>
        <v>9.7683196037258408</v>
      </c>
      <c r="AH390" s="100">
        <f>IF(ISNUMBER('General Info'!$B$42), (SamplingData[[#This Row],[Running (cumulative) sum]] * ('General Info'!$B$42 -'General Info'!$B$43 + 1)) + 'General Info'!$B$43 - 1, 0)</f>
        <v>7835.6445916114817</v>
      </c>
      <c r="AI390" s="100" t="str">
        <f>IF(ISERROR(MATCH(SamplingData[[#This Row],[Batch by Type (p)]],SelectedPrecincts[Batch Name], 0)), "", INDEX(SelectedPrecincts[Draw], MATCH(SamplingData[[#This Row],[Batch by Type (p)]],SelectedPrecincts[Batch Name], 0)))</f>
        <v/>
      </c>
      <c r="AJ390" s="101">
        <f>IF(COUNTIF(SelectedPrecincts[Batch Name],SamplingData[[#This Row],[Batch by Type (p)]]) &lt;&gt; 0, COUNTIF(SelectedPrecincts[Batch Name],SamplingData[[#This Row],[Batch by Type (p)]]), 0)</f>
        <v>0</v>
      </c>
    </row>
    <row r="391" spans="1:36" ht="15" customHeight="1" x14ac:dyDescent="0.35">
      <c r="A391" s="98" t="s">
        <v>603</v>
      </c>
      <c r="B391" s="98">
        <v>1</v>
      </c>
      <c r="C391" s="98">
        <v>0</v>
      </c>
      <c r="D391" s="93"/>
      <c r="E391" s="93"/>
      <c r="F391" s="93"/>
      <c r="G391" s="97"/>
      <c r="H391" s="97"/>
      <c r="I391" s="93"/>
      <c r="J391" s="93"/>
      <c r="K391" s="93"/>
      <c r="L391" s="93"/>
      <c r="M391" s="93"/>
      <c r="N391" s="98">
        <v>0</v>
      </c>
      <c r="O391" s="98">
        <v>0</v>
      </c>
      <c r="P391" s="99">
        <f>SUM(SamplingData[[#This Row],[Winning Candidate]:[Under Votes]])</f>
        <v>1</v>
      </c>
      <c r="Q391"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391" s="100">
        <f>IF(AND(SamplingData[[#This Row],[Total]]&lt;&gt; 0, NOT(ISBLANK(SamplingData[[#This Row],[Candidate 3]]))),(SamplingData[[#This Row],[Total]]+SamplingData[[#This Row],[Winning Candidate]]-SamplingData[[#This Row],[Candidate 3]])/(SamplingData[[#Totals],[Winning Candidate]]-SamplingData[[#Totals],[Candidate 3]]), 0)</f>
        <v>0</v>
      </c>
      <c r="S391" s="100">
        <f>IF(AND(SamplingData[[#This Row],[Total]]&lt;&gt; 0, NOT(ISBLANK(SamplingData[[#This Row],[Candidate 4]]))),(SamplingData[[#This Row],[Total]]+SamplingData[[#This Row],[Winning Candidate]]-SamplingData[[#This Row],[Candidate 4]])/(SamplingData[[#Totals],[Winning Candidate]]-SamplingData[[#Totals],[Candidate 4]]), 0)</f>
        <v>0</v>
      </c>
      <c r="T391" s="100">
        <f>IF(AND(SamplingData[[#This Row],[Total]]&lt;&gt; 0, NOT(ISBLANK(SamplingData[[#This Row],[Candidate 5]]))),(SamplingData[[#This Row],[Total]]+SamplingData[[#This Row],[Winning Candidate]]-SamplingData[[#This Row],[Candidate 5]])/(SamplingData[[#Totals],[Winning Candidate]]-SamplingData[[#Totals],[Candidate 5]]), 0)</f>
        <v>0</v>
      </c>
      <c r="U391" s="100">
        <f>IF(AND(SamplingData[[#This Row],[Total]]&lt;&gt; 0, NOT(ISBLANK(SamplingData[[#This Row],[Candidate 6]]))),(SamplingData[[#This Row],[Total]]+SamplingData[[#This Row],[Losing Candidate]]-SamplingData[[#This Row],[Candidate 6]])/(SamplingData[[#Totals],[Winning Candidate]]-SamplingData[[#Totals],[Candidate 6]]), 0)</f>
        <v>0</v>
      </c>
      <c r="V391" s="100">
        <f>IF(AND(SamplingData[[#This Row],[Total]]&lt;&gt; 0, NOT(ISBLANK(SamplingData[[#This Row],[Candidate 7]]))),(SamplingData[[#This Row],[Total]]+SamplingData[[#This Row],[Winning Candidate]]-SamplingData[[#This Row],[Candidate 7]])/(SamplingData[[#Totals],[Winning Candidate]]-SamplingData[[#Totals],[Candidate 7]]), 0)</f>
        <v>0</v>
      </c>
      <c r="W391" s="100">
        <f>IF(AND(SamplingData[[#This Row],[Total]]&lt;&gt; 0, NOT(ISBLANK(SamplingData[[#This Row],[Candidate 8]]))),(SamplingData[[#This Row],[Total]]+SamplingData[[#This Row],[Winning Candidate]]-SamplingData[[#This Row],[Candidate 8]])/(SamplingData[[#Totals],[Winning Candidate]]-SamplingData[[#Totals],[Candidate 8]]), 0)</f>
        <v>0</v>
      </c>
      <c r="X3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00">
        <f>MAX(SamplingData[[#This Row],[Error Bound (up) - Max. possible relative overstatement - Losing Candidate]:[Error Bound (up) - Max. possible relative overstatement - Candidate 12]])</f>
        <v>6.2819989320601809E-5</v>
      </c>
      <c r="AC391" s="100">
        <f>IF(SamplingData[[#This Row],[Max Error Bound (up)]] = 0,0,SamplingData[[#This Row],[Max Error Bound (up)]]/SamplingData[[#Totals],[Max Error Bound (up)]])</f>
        <v>2.6920799009314603E-5</v>
      </c>
      <c r="AD391" s="104">
        <f>SUM($AC$5:AC391)</f>
        <v>7.8393366715124133E-2</v>
      </c>
      <c r="AE391" s="100" t="str" cm="1">
        <f t="array" ref="AE391">IF(SamplingData[[#This Row],[up/U Selection Probability]] = 0, "Zero", TEXT(SamplingData[[#This Row],[Lower Range]], REPT("0",LEN('General Info'!$B$42))) &amp; " - " &amp; TEXT(SamplingData[[#This Row],[Upper Range]], REPT("0",LEN('General Info'!$B$42))))</f>
        <v>07837 - 07838</v>
      </c>
      <c r="AF391" s="100">
        <f>SamplingData[[#This Row],[Upper Range]]-SamplingData[[#This Row],[Span]]</f>
        <v>7836.6445916114817</v>
      </c>
      <c r="AG391" s="100">
        <f>IF(ISNUMBER('General Info'!$B$42), ((SamplingData[[#This Row],[up/U Selection Probability]]) * 'General Info'!$B$44) - 1, 0)</f>
        <v>1.6920799009314602</v>
      </c>
      <c r="AH391" s="100">
        <f>IF(ISNUMBER('General Info'!$B$42), (SamplingData[[#This Row],[Running (cumulative) sum]] * ('General Info'!$B$42 -'General Info'!$B$43 + 1)) + 'General Info'!$B$43 - 1, 0)</f>
        <v>7838.336671512413</v>
      </c>
      <c r="AI391" s="100" t="str">
        <f>IF(ISERROR(MATCH(SamplingData[[#This Row],[Batch by Type (p)]],SelectedPrecincts[Batch Name], 0)), "", INDEX(SelectedPrecincts[Draw], MATCH(SamplingData[[#This Row],[Batch by Type (p)]],SelectedPrecincts[Batch Name], 0)))</f>
        <v/>
      </c>
      <c r="AJ391" s="101">
        <f>IF(COUNTIF(SelectedPrecincts[Batch Name],SamplingData[[#This Row],[Batch by Type (p)]]) &lt;&gt; 0, COUNTIF(SelectedPrecincts[Batch Name],SamplingData[[#This Row],[Batch by Type (p)]]), 0)</f>
        <v>0</v>
      </c>
    </row>
    <row r="392" spans="1:36" ht="15" customHeight="1" x14ac:dyDescent="0.35">
      <c r="A392" s="98" t="s">
        <v>604</v>
      </c>
      <c r="B392" s="98">
        <v>3</v>
      </c>
      <c r="C392" s="98">
        <v>0</v>
      </c>
      <c r="D392" s="93"/>
      <c r="E392" s="93"/>
      <c r="F392" s="93"/>
      <c r="G392" s="97"/>
      <c r="H392" s="97"/>
      <c r="I392" s="93"/>
      <c r="J392" s="93"/>
      <c r="K392" s="93"/>
      <c r="L392" s="93"/>
      <c r="M392" s="93"/>
      <c r="N392" s="98">
        <v>0</v>
      </c>
      <c r="O392" s="98">
        <v>1</v>
      </c>
      <c r="P392" s="99">
        <f>SUM(SamplingData[[#This Row],[Winning Candidate]:[Under Votes]])</f>
        <v>4</v>
      </c>
      <c r="Q392" s="100">
        <f>IF(AND(SamplingData[[#This Row],[Total]]&lt;&gt; 0, NOT(ISBLANK(SamplingData[[#This Row],[Losing Candidate]]))),(SamplingData[[#This Row],[Total]]+SamplingData[[#This Row],[Winning Candidate]]-SamplingData[[#This Row],[Losing Candidate]])/(SamplingData[[#Totals],[Winning Candidate]]-SamplingData[[#Totals],[Losing Candidate]]), 0)</f>
        <v>2.1986996262210635E-4</v>
      </c>
      <c r="R392" s="100">
        <f>IF(AND(SamplingData[[#This Row],[Total]]&lt;&gt; 0, NOT(ISBLANK(SamplingData[[#This Row],[Candidate 3]]))),(SamplingData[[#This Row],[Total]]+SamplingData[[#This Row],[Winning Candidate]]-SamplingData[[#This Row],[Candidate 3]])/(SamplingData[[#Totals],[Winning Candidate]]-SamplingData[[#Totals],[Candidate 3]]), 0)</f>
        <v>0</v>
      </c>
      <c r="S392" s="100">
        <f>IF(AND(SamplingData[[#This Row],[Total]]&lt;&gt; 0, NOT(ISBLANK(SamplingData[[#This Row],[Candidate 4]]))),(SamplingData[[#This Row],[Total]]+SamplingData[[#This Row],[Winning Candidate]]-SamplingData[[#This Row],[Candidate 4]])/(SamplingData[[#Totals],[Winning Candidate]]-SamplingData[[#Totals],[Candidate 4]]), 0)</f>
        <v>0</v>
      </c>
      <c r="T392" s="100">
        <f>IF(AND(SamplingData[[#This Row],[Total]]&lt;&gt; 0, NOT(ISBLANK(SamplingData[[#This Row],[Candidate 5]]))),(SamplingData[[#This Row],[Total]]+SamplingData[[#This Row],[Winning Candidate]]-SamplingData[[#This Row],[Candidate 5]])/(SamplingData[[#Totals],[Winning Candidate]]-SamplingData[[#Totals],[Candidate 5]]), 0)</f>
        <v>0</v>
      </c>
      <c r="U392" s="100">
        <f>IF(AND(SamplingData[[#This Row],[Total]]&lt;&gt; 0, NOT(ISBLANK(SamplingData[[#This Row],[Candidate 6]]))),(SamplingData[[#This Row],[Total]]+SamplingData[[#This Row],[Losing Candidate]]-SamplingData[[#This Row],[Candidate 6]])/(SamplingData[[#Totals],[Winning Candidate]]-SamplingData[[#Totals],[Candidate 6]]), 0)</f>
        <v>0</v>
      </c>
      <c r="V392" s="100">
        <f>IF(AND(SamplingData[[#This Row],[Total]]&lt;&gt; 0, NOT(ISBLANK(SamplingData[[#This Row],[Candidate 7]]))),(SamplingData[[#This Row],[Total]]+SamplingData[[#This Row],[Winning Candidate]]-SamplingData[[#This Row],[Candidate 7]])/(SamplingData[[#Totals],[Winning Candidate]]-SamplingData[[#Totals],[Candidate 7]]), 0)</f>
        <v>0</v>
      </c>
      <c r="W392" s="100">
        <f>IF(AND(SamplingData[[#This Row],[Total]]&lt;&gt; 0, NOT(ISBLANK(SamplingData[[#This Row],[Candidate 8]]))),(SamplingData[[#This Row],[Total]]+SamplingData[[#This Row],[Winning Candidate]]-SamplingData[[#This Row],[Candidate 8]])/(SamplingData[[#Totals],[Winning Candidate]]-SamplingData[[#Totals],[Candidate 8]]), 0)</f>
        <v>0</v>
      </c>
      <c r="X3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00">
        <f>MAX(SamplingData[[#This Row],[Error Bound (up) - Max. possible relative overstatement - Losing Candidate]:[Error Bound (up) - Max. possible relative overstatement - Candidate 12]])</f>
        <v>2.1986996262210635E-4</v>
      </c>
      <c r="AC392" s="100">
        <f>IF(SamplingData[[#This Row],[Max Error Bound (up)]] = 0,0,SamplingData[[#This Row],[Max Error Bound (up)]]/SamplingData[[#Totals],[Max Error Bound (up)]])</f>
        <v>9.4222796532601115E-5</v>
      </c>
      <c r="AD392" s="104">
        <f>SUM($AC$5:AC392)</f>
        <v>7.8487589511656727E-2</v>
      </c>
      <c r="AE392" s="100" t="str" cm="1">
        <f t="array" ref="AE392">IF(SamplingData[[#This Row],[up/U Selection Probability]] = 0, "Zero", TEXT(SamplingData[[#This Row],[Lower Range]], REPT("0",LEN('General Info'!$B$42))) &amp; " - " &amp; TEXT(SamplingData[[#This Row],[Upper Range]], REPT("0",LEN('General Info'!$B$42))))</f>
        <v>07839 - 07848</v>
      </c>
      <c r="AF392" s="100">
        <f>SamplingData[[#This Row],[Upper Range]]-SamplingData[[#This Row],[Span]]</f>
        <v>7839.3366715124121</v>
      </c>
      <c r="AG392" s="100">
        <f>IF(ISNUMBER('General Info'!$B$42), ((SamplingData[[#This Row],[up/U Selection Probability]]) * 'General Info'!$B$44) - 1, 0)</f>
        <v>8.4222796532601123</v>
      </c>
      <c r="AH392" s="100">
        <f>IF(ISNUMBER('General Info'!$B$42), (SamplingData[[#This Row],[Running (cumulative) sum]] * ('General Info'!$B$42 -'General Info'!$B$43 + 1)) + 'General Info'!$B$43 - 1, 0)</f>
        <v>7847.7589511656724</v>
      </c>
      <c r="AI392" s="100" t="str">
        <f>IF(ISERROR(MATCH(SamplingData[[#This Row],[Batch by Type (p)]],SelectedPrecincts[Batch Name], 0)), "", INDEX(SelectedPrecincts[Draw], MATCH(SamplingData[[#This Row],[Batch by Type (p)]],SelectedPrecincts[Batch Name], 0)))</f>
        <v/>
      </c>
      <c r="AJ392" s="101">
        <f>IF(COUNTIF(SelectedPrecincts[Batch Name],SamplingData[[#This Row],[Batch by Type (p)]]) &lt;&gt; 0, COUNTIF(SelectedPrecincts[Batch Name],SamplingData[[#This Row],[Batch by Type (p)]]), 0)</f>
        <v>0</v>
      </c>
    </row>
    <row r="393" spans="1:36" ht="15" customHeight="1" x14ac:dyDescent="0.35">
      <c r="A393" s="98" t="s">
        <v>605</v>
      </c>
      <c r="B393" s="98">
        <v>2</v>
      </c>
      <c r="C393" s="98">
        <v>2</v>
      </c>
      <c r="D393" s="93"/>
      <c r="E393" s="93"/>
      <c r="F393" s="93"/>
      <c r="G393" s="97"/>
      <c r="H393" s="97"/>
      <c r="I393" s="93"/>
      <c r="J393" s="93"/>
      <c r="K393" s="93"/>
      <c r="L393" s="93"/>
      <c r="M393" s="93"/>
      <c r="N393" s="98">
        <v>0</v>
      </c>
      <c r="O393" s="98">
        <v>0</v>
      </c>
      <c r="P393" s="99">
        <f>SUM(SamplingData[[#This Row],[Winning Candidate]:[Under Votes]])</f>
        <v>4</v>
      </c>
      <c r="Q39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393" s="100">
        <f>IF(AND(SamplingData[[#This Row],[Total]]&lt;&gt; 0, NOT(ISBLANK(SamplingData[[#This Row],[Candidate 3]]))),(SamplingData[[#This Row],[Total]]+SamplingData[[#This Row],[Winning Candidate]]-SamplingData[[#This Row],[Candidate 3]])/(SamplingData[[#Totals],[Winning Candidate]]-SamplingData[[#Totals],[Candidate 3]]), 0)</f>
        <v>0</v>
      </c>
      <c r="S393" s="100">
        <f>IF(AND(SamplingData[[#This Row],[Total]]&lt;&gt; 0, NOT(ISBLANK(SamplingData[[#This Row],[Candidate 4]]))),(SamplingData[[#This Row],[Total]]+SamplingData[[#This Row],[Winning Candidate]]-SamplingData[[#This Row],[Candidate 4]])/(SamplingData[[#Totals],[Winning Candidate]]-SamplingData[[#Totals],[Candidate 4]]), 0)</f>
        <v>0</v>
      </c>
      <c r="T393" s="100">
        <f>IF(AND(SamplingData[[#This Row],[Total]]&lt;&gt; 0, NOT(ISBLANK(SamplingData[[#This Row],[Candidate 5]]))),(SamplingData[[#This Row],[Total]]+SamplingData[[#This Row],[Winning Candidate]]-SamplingData[[#This Row],[Candidate 5]])/(SamplingData[[#Totals],[Winning Candidate]]-SamplingData[[#Totals],[Candidate 5]]), 0)</f>
        <v>0</v>
      </c>
      <c r="U393" s="100">
        <f>IF(AND(SamplingData[[#This Row],[Total]]&lt;&gt; 0, NOT(ISBLANK(SamplingData[[#This Row],[Candidate 6]]))),(SamplingData[[#This Row],[Total]]+SamplingData[[#This Row],[Losing Candidate]]-SamplingData[[#This Row],[Candidate 6]])/(SamplingData[[#Totals],[Winning Candidate]]-SamplingData[[#Totals],[Candidate 6]]), 0)</f>
        <v>0</v>
      </c>
      <c r="V393" s="100">
        <f>IF(AND(SamplingData[[#This Row],[Total]]&lt;&gt; 0, NOT(ISBLANK(SamplingData[[#This Row],[Candidate 7]]))),(SamplingData[[#This Row],[Total]]+SamplingData[[#This Row],[Winning Candidate]]-SamplingData[[#This Row],[Candidate 7]])/(SamplingData[[#Totals],[Winning Candidate]]-SamplingData[[#Totals],[Candidate 7]]), 0)</f>
        <v>0</v>
      </c>
      <c r="W393" s="100">
        <f>IF(AND(SamplingData[[#This Row],[Total]]&lt;&gt; 0, NOT(ISBLANK(SamplingData[[#This Row],[Candidate 8]]))),(SamplingData[[#This Row],[Total]]+SamplingData[[#This Row],[Winning Candidate]]-SamplingData[[#This Row],[Candidate 8]])/(SamplingData[[#Totals],[Winning Candidate]]-SamplingData[[#Totals],[Candidate 8]]), 0)</f>
        <v>0</v>
      </c>
      <c r="X3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00">
        <f>MAX(SamplingData[[#This Row],[Error Bound (up) - Max. possible relative overstatement - Losing Candidate]:[Error Bound (up) - Max. possible relative overstatement - Candidate 12]])</f>
        <v>1.2563997864120362E-4</v>
      </c>
      <c r="AC393" s="100">
        <f>IF(SamplingData[[#This Row],[Max Error Bound (up)]] = 0,0,SamplingData[[#This Row],[Max Error Bound (up)]]/SamplingData[[#Totals],[Max Error Bound (up)]])</f>
        <v>5.3841598018629206E-5</v>
      </c>
      <c r="AD393" s="104">
        <f>SUM($AC$5:AC393)</f>
        <v>7.8541431109675361E-2</v>
      </c>
      <c r="AE393" s="100" t="str" cm="1">
        <f t="array" ref="AE393">IF(SamplingData[[#This Row],[up/U Selection Probability]] = 0, "Zero", TEXT(SamplingData[[#This Row],[Lower Range]], REPT("0",LEN('General Info'!$B$42))) &amp; " - " &amp; TEXT(SamplingData[[#This Row],[Upper Range]], REPT("0",LEN('General Info'!$B$42))))</f>
        <v>07849 - 07853</v>
      </c>
      <c r="AF393" s="100">
        <f>SamplingData[[#This Row],[Upper Range]]-SamplingData[[#This Row],[Span]]</f>
        <v>7848.7589511656734</v>
      </c>
      <c r="AG393" s="100">
        <f>IF(ISNUMBER('General Info'!$B$42), ((SamplingData[[#This Row],[up/U Selection Probability]]) * 'General Info'!$B$44) - 1, 0)</f>
        <v>4.3841598018629204</v>
      </c>
      <c r="AH393" s="100">
        <f>IF(ISNUMBER('General Info'!$B$42), (SamplingData[[#This Row],[Running (cumulative) sum]] * ('General Info'!$B$42 -'General Info'!$B$43 + 1)) + 'General Info'!$B$43 - 1, 0)</f>
        <v>7853.1431109675359</v>
      </c>
      <c r="AI393" s="100" t="str">
        <f>IF(ISERROR(MATCH(SamplingData[[#This Row],[Batch by Type (p)]],SelectedPrecincts[Batch Name], 0)), "", INDEX(SelectedPrecincts[Draw], MATCH(SamplingData[[#This Row],[Batch by Type (p)]],SelectedPrecincts[Batch Name], 0)))</f>
        <v/>
      </c>
      <c r="AJ393" s="101">
        <f>IF(COUNTIF(SelectedPrecincts[Batch Name],SamplingData[[#This Row],[Batch by Type (p)]]) &lt;&gt; 0, COUNTIF(SelectedPrecincts[Batch Name],SamplingData[[#This Row],[Batch by Type (p)]]), 0)</f>
        <v>0</v>
      </c>
    </row>
    <row r="394" spans="1:36" ht="15" customHeight="1" x14ac:dyDescent="0.35">
      <c r="A394" s="98" t="s">
        <v>606</v>
      </c>
      <c r="B394" s="98">
        <v>1</v>
      </c>
      <c r="C394" s="98">
        <v>0</v>
      </c>
      <c r="D394" s="93"/>
      <c r="E394" s="93"/>
      <c r="F394" s="93"/>
      <c r="G394" s="97"/>
      <c r="H394" s="97"/>
      <c r="I394" s="93"/>
      <c r="J394" s="93"/>
      <c r="K394" s="93"/>
      <c r="L394" s="93"/>
      <c r="M394" s="93"/>
      <c r="N394" s="98">
        <v>0</v>
      </c>
      <c r="O394" s="98">
        <v>0</v>
      </c>
      <c r="P394" s="99">
        <f>SUM(SamplingData[[#This Row],[Winning Candidate]:[Under Votes]])</f>
        <v>1</v>
      </c>
      <c r="Q394"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394" s="100">
        <f>IF(AND(SamplingData[[#This Row],[Total]]&lt;&gt; 0, NOT(ISBLANK(SamplingData[[#This Row],[Candidate 3]]))),(SamplingData[[#This Row],[Total]]+SamplingData[[#This Row],[Winning Candidate]]-SamplingData[[#This Row],[Candidate 3]])/(SamplingData[[#Totals],[Winning Candidate]]-SamplingData[[#Totals],[Candidate 3]]), 0)</f>
        <v>0</v>
      </c>
      <c r="S394" s="100">
        <f>IF(AND(SamplingData[[#This Row],[Total]]&lt;&gt; 0, NOT(ISBLANK(SamplingData[[#This Row],[Candidate 4]]))),(SamplingData[[#This Row],[Total]]+SamplingData[[#This Row],[Winning Candidate]]-SamplingData[[#This Row],[Candidate 4]])/(SamplingData[[#Totals],[Winning Candidate]]-SamplingData[[#Totals],[Candidate 4]]), 0)</f>
        <v>0</v>
      </c>
      <c r="T394" s="100">
        <f>IF(AND(SamplingData[[#This Row],[Total]]&lt;&gt; 0, NOT(ISBLANK(SamplingData[[#This Row],[Candidate 5]]))),(SamplingData[[#This Row],[Total]]+SamplingData[[#This Row],[Winning Candidate]]-SamplingData[[#This Row],[Candidate 5]])/(SamplingData[[#Totals],[Winning Candidate]]-SamplingData[[#Totals],[Candidate 5]]), 0)</f>
        <v>0</v>
      </c>
      <c r="U394" s="100">
        <f>IF(AND(SamplingData[[#This Row],[Total]]&lt;&gt; 0, NOT(ISBLANK(SamplingData[[#This Row],[Candidate 6]]))),(SamplingData[[#This Row],[Total]]+SamplingData[[#This Row],[Losing Candidate]]-SamplingData[[#This Row],[Candidate 6]])/(SamplingData[[#Totals],[Winning Candidate]]-SamplingData[[#Totals],[Candidate 6]]), 0)</f>
        <v>0</v>
      </c>
      <c r="V394" s="100">
        <f>IF(AND(SamplingData[[#This Row],[Total]]&lt;&gt; 0, NOT(ISBLANK(SamplingData[[#This Row],[Candidate 7]]))),(SamplingData[[#This Row],[Total]]+SamplingData[[#This Row],[Winning Candidate]]-SamplingData[[#This Row],[Candidate 7]])/(SamplingData[[#Totals],[Winning Candidate]]-SamplingData[[#Totals],[Candidate 7]]), 0)</f>
        <v>0</v>
      </c>
      <c r="W394" s="100">
        <f>IF(AND(SamplingData[[#This Row],[Total]]&lt;&gt; 0, NOT(ISBLANK(SamplingData[[#This Row],[Candidate 8]]))),(SamplingData[[#This Row],[Total]]+SamplingData[[#This Row],[Winning Candidate]]-SamplingData[[#This Row],[Candidate 8]])/(SamplingData[[#Totals],[Winning Candidate]]-SamplingData[[#Totals],[Candidate 8]]), 0)</f>
        <v>0</v>
      </c>
      <c r="X3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00">
        <f>MAX(SamplingData[[#This Row],[Error Bound (up) - Max. possible relative overstatement - Losing Candidate]:[Error Bound (up) - Max. possible relative overstatement - Candidate 12]])</f>
        <v>6.2819989320601809E-5</v>
      </c>
      <c r="AC394" s="100">
        <f>IF(SamplingData[[#This Row],[Max Error Bound (up)]] = 0,0,SamplingData[[#This Row],[Max Error Bound (up)]]/SamplingData[[#Totals],[Max Error Bound (up)]])</f>
        <v>2.6920799009314603E-5</v>
      </c>
      <c r="AD394" s="104">
        <f>SUM($AC$5:AC394)</f>
        <v>7.8568351908684678E-2</v>
      </c>
      <c r="AE394" s="100" t="str" cm="1">
        <f t="array" ref="AE394">IF(SamplingData[[#This Row],[up/U Selection Probability]] = 0, "Zero", TEXT(SamplingData[[#This Row],[Lower Range]], REPT("0",LEN('General Info'!$B$42))) &amp; " - " &amp; TEXT(SamplingData[[#This Row],[Upper Range]], REPT("0",LEN('General Info'!$B$42))))</f>
        <v>07854 - 07856</v>
      </c>
      <c r="AF394" s="100">
        <f>SamplingData[[#This Row],[Upper Range]]-SamplingData[[#This Row],[Span]]</f>
        <v>7854.1431109675368</v>
      </c>
      <c r="AG394" s="100">
        <f>IF(ISNUMBER('General Info'!$B$42), ((SamplingData[[#This Row],[up/U Selection Probability]]) * 'General Info'!$B$44) - 1, 0)</f>
        <v>1.6920799009314602</v>
      </c>
      <c r="AH394" s="100">
        <f>IF(ISNUMBER('General Info'!$B$42), (SamplingData[[#This Row],[Running (cumulative) sum]] * ('General Info'!$B$42 -'General Info'!$B$43 + 1)) + 'General Info'!$B$43 - 1, 0)</f>
        <v>7855.8351908684681</v>
      </c>
      <c r="AI394" s="100" t="str">
        <f>IF(ISERROR(MATCH(SamplingData[[#This Row],[Batch by Type (p)]],SelectedPrecincts[Batch Name], 0)), "", INDEX(SelectedPrecincts[Draw], MATCH(SamplingData[[#This Row],[Batch by Type (p)]],SelectedPrecincts[Batch Name], 0)))</f>
        <v/>
      </c>
      <c r="AJ394" s="101">
        <f>IF(COUNTIF(SelectedPrecincts[Batch Name],SamplingData[[#This Row],[Batch by Type (p)]]) &lt;&gt; 0, COUNTIF(SelectedPrecincts[Batch Name],SamplingData[[#This Row],[Batch by Type (p)]]), 0)</f>
        <v>0</v>
      </c>
    </row>
    <row r="395" spans="1:36" ht="15" customHeight="1" x14ac:dyDescent="0.35">
      <c r="A395" s="98" t="s">
        <v>607</v>
      </c>
      <c r="B395" s="98">
        <v>4</v>
      </c>
      <c r="C395" s="98">
        <v>0</v>
      </c>
      <c r="D395" s="93"/>
      <c r="E395" s="93"/>
      <c r="F395" s="93"/>
      <c r="G395" s="97"/>
      <c r="H395" s="97"/>
      <c r="I395" s="93"/>
      <c r="J395" s="93"/>
      <c r="K395" s="93"/>
      <c r="L395" s="93"/>
      <c r="M395" s="93"/>
      <c r="N395" s="98">
        <v>0</v>
      </c>
      <c r="O395" s="98">
        <v>0</v>
      </c>
      <c r="P395" s="99">
        <f>SUM(SamplingData[[#This Row],[Winning Candidate]:[Under Votes]])</f>
        <v>4</v>
      </c>
      <c r="Q39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395" s="100">
        <f>IF(AND(SamplingData[[#This Row],[Total]]&lt;&gt; 0, NOT(ISBLANK(SamplingData[[#This Row],[Candidate 3]]))),(SamplingData[[#This Row],[Total]]+SamplingData[[#This Row],[Winning Candidate]]-SamplingData[[#This Row],[Candidate 3]])/(SamplingData[[#Totals],[Winning Candidate]]-SamplingData[[#Totals],[Candidate 3]]), 0)</f>
        <v>0</v>
      </c>
      <c r="S395" s="100">
        <f>IF(AND(SamplingData[[#This Row],[Total]]&lt;&gt; 0, NOT(ISBLANK(SamplingData[[#This Row],[Candidate 4]]))),(SamplingData[[#This Row],[Total]]+SamplingData[[#This Row],[Winning Candidate]]-SamplingData[[#This Row],[Candidate 4]])/(SamplingData[[#Totals],[Winning Candidate]]-SamplingData[[#Totals],[Candidate 4]]), 0)</f>
        <v>0</v>
      </c>
      <c r="T395" s="100">
        <f>IF(AND(SamplingData[[#This Row],[Total]]&lt;&gt; 0, NOT(ISBLANK(SamplingData[[#This Row],[Candidate 5]]))),(SamplingData[[#This Row],[Total]]+SamplingData[[#This Row],[Winning Candidate]]-SamplingData[[#This Row],[Candidate 5]])/(SamplingData[[#Totals],[Winning Candidate]]-SamplingData[[#Totals],[Candidate 5]]), 0)</f>
        <v>0</v>
      </c>
      <c r="U395" s="100">
        <f>IF(AND(SamplingData[[#This Row],[Total]]&lt;&gt; 0, NOT(ISBLANK(SamplingData[[#This Row],[Candidate 6]]))),(SamplingData[[#This Row],[Total]]+SamplingData[[#This Row],[Losing Candidate]]-SamplingData[[#This Row],[Candidate 6]])/(SamplingData[[#Totals],[Winning Candidate]]-SamplingData[[#Totals],[Candidate 6]]), 0)</f>
        <v>0</v>
      </c>
      <c r="V395" s="100">
        <f>IF(AND(SamplingData[[#This Row],[Total]]&lt;&gt; 0, NOT(ISBLANK(SamplingData[[#This Row],[Candidate 7]]))),(SamplingData[[#This Row],[Total]]+SamplingData[[#This Row],[Winning Candidate]]-SamplingData[[#This Row],[Candidate 7]])/(SamplingData[[#Totals],[Winning Candidate]]-SamplingData[[#Totals],[Candidate 7]]), 0)</f>
        <v>0</v>
      </c>
      <c r="W395" s="100">
        <f>IF(AND(SamplingData[[#This Row],[Total]]&lt;&gt; 0, NOT(ISBLANK(SamplingData[[#This Row],[Candidate 8]]))),(SamplingData[[#This Row],[Total]]+SamplingData[[#This Row],[Winning Candidate]]-SamplingData[[#This Row],[Candidate 8]])/(SamplingData[[#Totals],[Winning Candidate]]-SamplingData[[#Totals],[Candidate 8]]), 0)</f>
        <v>0</v>
      </c>
      <c r="X3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00">
        <f>MAX(SamplingData[[#This Row],[Error Bound (up) - Max. possible relative overstatement - Losing Candidate]:[Error Bound (up) - Max. possible relative overstatement - Candidate 12]])</f>
        <v>2.5127995728240724E-4</v>
      </c>
      <c r="AC395" s="100">
        <f>IF(SamplingData[[#This Row],[Max Error Bound (up)]] = 0,0,SamplingData[[#This Row],[Max Error Bound (up)]]/SamplingData[[#Totals],[Max Error Bound (up)]])</f>
        <v>1.0768319603725841E-4</v>
      </c>
      <c r="AD395" s="104">
        <f>SUM($AC$5:AC395)</f>
        <v>7.8676035104721931E-2</v>
      </c>
      <c r="AE395" s="100" t="str" cm="1">
        <f t="array" ref="AE395">IF(SamplingData[[#This Row],[up/U Selection Probability]] = 0, "Zero", TEXT(SamplingData[[#This Row],[Lower Range]], REPT("0",LEN('General Info'!$B$42))) &amp; " - " &amp; TEXT(SamplingData[[#This Row],[Upper Range]], REPT("0",LEN('General Info'!$B$42))))</f>
        <v>07857 - 07867</v>
      </c>
      <c r="AF395" s="100">
        <f>SamplingData[[#This Row],[Upper Range]]-SamplingData[[#This Row],[Span]]</f>
        <v>7856.8351908684672</v>
      </c>
      <c r="AG395" s="100">
        <f>IF(ISNUMBER('General Info'!$B$42), ((SamplingData[[#This Row],[up/U Selection Probability]]) * 'General Info'!$B$44) - 1, 0)</f>
        <v>9.7683196037258408</v>
      </c>
      <c r="AH395" s="100">
        <f>IF(ISNUMBER('General Info'!$B$42), (SamplingData[[#This Row],[Running (cumulative) sum]] * ('General Info'!$B$42 -'General Info'!$B$43 + 1)) + 'General Info'!$B$43 - 1, 0)</f>
        <v>7866.6035104721932</v>
      </c>
      <c r="AI395" s="100" t="str">
        <f>IF(ISERROR(MATCH(SamplingData[[#This Row],[Batch by Type (p)]],SelectedPrecincts[Batch Name], 0)), "", INDEX(SelectedPrecincts[Draw], MATCH(SamplingData[[#This Row],[Batch by Type (p)]],SelectedPrecincts[Batch Name], 0)))</f>
        <v/>
      </c>
      <c r="AJ395" s="101">
        <f>IF(COUNTIF(SelectedPrecincts[Batch Name],SamplingData[[#This Row],[Batch by Type (p)]]) &lt;&gt; 0, COUNTIF(SelectedPrecincts[Batch Name],SamplingData[[#This Row],[Batch by Type (p)]]), 0)</f>
        <v>0</v>
      </c>
    </row>
    <row r="396" spans="1:36" ht="15" customHeight="1" x14ac:dyDescent="0.35">
      <c r="A396" s="98" t="s">
        <v>608</v>
      </c>
      <c r="B396" s="98">
        <v>9</v>
      </c>
      <c r="C396" s="98">
        <v>0</v>
      </c>
      <c r="D396" s="93"/>
      <c r="E396" s="93"/>
      <c r="F396" s="93"/>
      <c r="G396" s="97"/>
      <c r="H396" s="97"/>
      <c r="I396" s="93"/>
      <c r="J396" s="93"/>
      <c r="K396" s="93"/>
      <c r="L396" s="93"/>
      <c r="M396" s="93"/>
      <c r="N396" s="98">
        <v>0</v>
      </c>
      <c r="O396" s="98">
        <v>0</v>
      </c>
      <c r="P396" s="99">
        <f>SUM(SamplingData[[#This Row],[Winning Candidate]:[Under Votes]])</f>
        <v>9</v>
      </c>
      <c r="Q396"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396" s="100">
        <f>IF(AND(SamplingData[[#This Row],[Total]]&lt;&gt; 0, NOT(ISBLANK(SamplingData[[#This Row],[Candidate 3]]))),(SamplingData[[#This Row],[Total]]+SamplingData[[#This Row],[Winning Candidate]]-SamplingData[[#This Row],[Candidate 3]])/(SamplingData[[#Totals],[Winning Candidate]]-SamplingData[[#Totals],[Candidate 3]]), 0)</f>
        <v>0</v>
      </c>
      <c r="S396" s="100">
        <f>IF(AND(SamplingData[[#This Row],[Total]]&lt;&gt; 0, NOT(ISBLANK(SamplingData[[#This Row],[Candidate 4]]))),(SamplingData[[#This Row],[Total]]+SamplingData[[#This Row],[Winning Candidate]]-SamplingData[[#This Row],[Candidate 4]])/(SamplingData[[#Totals],[Winning Candidate]]-SamplingData[[#Totals],[Candidate 4]]), 0)</f>
        <v>0</v>
      </c>
      <c r="T396" s="100">
        <f>IF(AND(SamplingData[[#This Row],[Total]]&lt;&gt; 0, NOT(ISBLANK(SamplingData[[#This Row],[Candidate 5]]))),(SamplingData[[#This Row],[Total]]+SamplingData[[#This Row],[Winning Candidate]]-SamplingData[[#This Row],[Candidate 5]])/(SamplingData[[#Totals],[Winning Candidate]]-SamplingData[[#Totals],[Candidate 5]]), 0)</f>
        <v>0</v>
      </c>
      <c r="U396" s="100">
        <f>IF(AND(SamplingData[[#This Row],[Total]]&lt;&gt; 0, NOT(ISBLANK(SamplingData[[#This Row],[Candidate 6]]))),(SamplingData[[#This Row],[Total]]+SamplingData[[#This Row],[Losing Candidate]]-SamplingData[[#This Row],[Candidate 6]])/(SamplingData[[#Totals],[Winning Candidate]]-SamplingData[[#Totals],[Candidate 6]]), 0)</f>
        <v>0</v>
      </c>
      <c r="V396" s="100">
        <f>IF(AND(SamplingData[[#This Row],[Total]]&lt;&gt; 0, NOT(ISBLANK(SamplingData[[#This Row],[Candidate 7]]))),(SamplingData[[#This Row],[Total]]+SamplingData[[#This Row],[Winning Candidate]]-SamplingData[[#This Row],[Candidate 7]])/(SamplingData[[#Totals],[Winning Candidate]]-SamplingData[[#Totals],[Candidate 7]]), 0)</f>
        <v>0</v>
      </c>
      <c r="W396" s="100">
        <f>IF(AND(SamplingData[[#This Row],[Total]]&lt;&gt; 0, NOT(ISBLANK(SamplingData[[#This Row],[Candidate 8]]))),(SamplingData[[#This Row],[Total]]+SamplingData[[#This Row],[Winning Candidate]]-SamplingData[[#This Row],[Candidate 8]])/(SamplingData[[#Totals],[Winning Candidate]]-SamplingData[[#Totals],[Candidate 8]]), 0)</f>
        <v>0</v>
      </c>
      <c r="X3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00">
        <f>MAX(SamplingData[[#This Row],[Error Bound (up) - Max. possible relative overstatement - Losing Candidate]:[Error Bound (up) - Max. possible relative overstatement - Candidate 12]])</f>
        <v>5.6537990388541635E-4</v>
      </c>
      <c r="AC396" s="100">
        <f>IF(SamplingData[[#This Row],[Max Error Bound (up)]] = 0,0,SamplingData[[#This Row],[Max Error Bound (up)]]/SamplingData[[#Totals],[Max Error Bound (up)]])</f>
        <v>2.4228719108383145E-4</v>
      </c>
      <c r="AD396" s="104">
        <f>SUM($AC$5:AC396)</f>
        <v>7.8918322295805768E-2</v>
      </c>
      <c r="AE396" s="100" t="str" cm="1">
        <f t="array" ref="AE396">IF(SamplingData[[#This Row],[up/U Selection Probability]] = 0, "Zero", TEXT(SamplingData[[#This Row],[Lower Range]], REPT("0",LEN('General Info'!$B$42))) &amp; " - " &amp; TEXT(SamplingData[[#This Row],[Upper Range]], REPT("0",LEN('General Info'!$B$42))))</f>
        <v>07868 - 07891</v>
      </c>
      <c r="AF396" s="100">
        <f>SamplingData[[#This Row],[Upper Range]]-SamplingData[[#This Row],[Span]]</f>
        <v>7867.6035104721932</v>
      </c>
      <c r="AG396" s="100">
        <f>IF(ISNUMBER('General Info'!$B$42), ((SamplingData[[#This Row],[up/U Selection Probability]]) * 'General Info'!$B$44) - 1, 0)</f>
        <v>23.228719108383146</v>
      </c>
      <c r="AH396" s="100">
        <f>IF(ISNUMBER('General Info'!$B$42), (SamplingData[[#This Row],[Running (cumulative) sum]] * ('General Info'!$B$42 -'General Info'!$B$43 + 1)) + 'General Info'!$B$43 - 1, 0)</f>
        <v>7890.8322295805765</v>
      </c>
      <c r="AI396" s="100" t="str">
        <f>IF(ISERROR(MATCH(SamplingData[[#This Row],[Batch by Type (p)]],SelectedPrecincts[Batch Name], 0)), "", INDEX(SelectedPrecincts[Draw], MATCH(SamplingData[[#This Row],[Batch by Type (p)]],SelectedPrecincts[Batch Name], 0)))</f>
        <v/>
      </c>
      <c r="AJ396" s="101">
        <f>IF(COUNTIF(SelectedPrecincts[Batch Name],SamplingData[[#This Row],[Batch by Type (p)]]) &lt;&gt; 0, COUNTIF(SelectedPrecincts[Batch Name],SamplingData[[#This Row],[Batch by Type (p)]]), 0)</f>
        <v>0</v>
      </c>
    </row>
    <row r="397" spans="1:36" ht="15" customHeight="1" x14ac:dyDescent="0.35">
      <c r="A397" s="98" t="s">
        <v>609</v>
      </c>
      <c r="B397" s="98">
        <v>12</v>
      </c>
      <c r="C397" s="98">
        <v>0</v>
      </c>
      <c r="D397" s="93"/>
      <c r="E397" s="93"/>
      <c r="F397" s="93"/>
      <c r="G397" s="97"/>
      <c r="H397" s="97"/>
      <c r="I397" s="93"/>
      <c r="J397" s="93"/>
      <c r="K397" s="93"/>
      <c r="L397" s="93"/>
      <c r="M397" s="93"/>
      <c r="N397" s="98">
        <v>0</v>
      </c>
      <c r="O397" s="98">
        <v>0</v>
      </c>
      <c r="P397" s="99">
        <f>SUM(SamplingData[[#This Row],[Winning Candidate]:[Under Votes]])</f>
        <v>12</v>
      </c>
      <c r="Q397"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397" s="100">
        <f>IF(AND(SamplingData[[#This Row],[Total]]&lt;&gt; 0, NOT(ISBLANK(SamplingData[[#This Row],[Candidate 3]]))),(SamplingData[[#This Row],[Total]]+SamplingData[[#This Row],[Winning Candidate]]-SamplingData[[#This Row],[Candidate 3]])/(SamplingData[[#Totals],[Winning Candidate]]-SamplingData[[#Totals],[Candidate 3]]), 0)</f>
        <v>0</v>
      </c>
      <c r="S397" s="100">
        <f>IF(AND(SamplingData[[#This Row],[Total]]&lt;&gt; 0, NOT(ISBLANK(SamplingData[[#This Row],[Candidate 4]]))),(SamplingData[[#This Row],[Total]]+SamplingData[[#This Row],[Winning Candidate]]-SamplingData[[#This Row],[Candidate 4]])/(SamplingData[[#Totals],[Winning Candidate]]-SamplingData[[#Totals],[Candidate 4]]), 0)</f>
        <v>0</v>
      </c>
      <c r="T397" s="100">
        <f>IF(AND(SamplingData[[#This Row],[Total]]&lt;&gt; 0, NOT(ISBLANK(SamplingData[[#This Row],[Candidate 5]]))),(SamplingData[[#This Row],[Total]]+SamplingData[[#This Row],[Winning Candidate]]-SamplingData[[#This Row],[Candidate 5]])/(SamplingData[[#Totals],[Winning Candidate]]-SamplingData[[#Totals],[Candidate 5]]), 0)</f>
        <v>0</v>
      </c>
      <c r="U397" s="100">
        <f>IF(AND(SamplingData[[#This Row],[Total]]&lt;&gt; 0, NOT(ISBLANK(SamplingData[[#This Row],[Candidate 6]]))),(SamplingData[[#This Row],[Total]]+SamplingData[[#This Row],[Losing Candidate]]-SamplingData[[#This Row],[Candidate 6]])/(SamplingData[[#Totals],[Winning Candidate]]-SamplingData[[#Totals],[Candidate 6]]), 0)</f>
        <v>0</v>
      </c>
      <c r="V397" s="100">
        <f>IF(AND(SamplingData[[#This Row],[Total]]&lt;&gt; 0, NOT(ISBLANK(SamplingData[[#This Row],[Candidate 7]]))),(SamplingData[[#This Row],[Total]]+SamplingData[[#This Row],[Winning Candidate]]-SamplingData[[#This Row],[Candidate 7]])/(SamplingData[[#Totals],[Winning Candidate]]-SamplingData[[#Totals],[Candidate 7]]), 0)</f>
        <v>0</v>
      </c>
      <c r="W397" s="100">
        <f>IF(AND(SamplingData[[#This Row],[Total]]&lt;&gt; 0, NOT(ISBLANK(SamplingData[[#This Row],[Candidate 8]]))),(SamplingData[[#This Row],[Total]]+SamplingData[[#This Row],[Winning Candidate]]-SamplingData[[#This Row],[Candidate 8]])/(SamplingData[[#Totals],[Winning Candidate]]-SamplingData[[#Totals],[Candidate 8]]), 0)</f>
        <v>0</v>
      </c>
      <c r="X3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00">
        <f>MAX(SamplingData[[#This Row],[Error Bound (up) - Max. possible relative overstatement - Losing Candidate]:[Error Bound (up) - Max. possible relative overstatement - Candidate 12]])</f>
        <v>7.5383987184722177E-4</v>
      </c>
      <c r="AC397" s="100">
        <f>IF(SamplingData[[#This Row],[Max Error Bound (up)]] = 0,0,SamplingData[[#This Row],[Max Error Bound (up)]]/SamplingData[[#Totals],[Max Error Bound (up)]])</f>
        <v>3.2304958811177527E-4</v>
      </c>
      <c r="AD397" s="104">
        <f>SUM($AC$5:AC397)</f>
        <v>7.9241371883917541E-2</v>
      </c>
      <c r="AE397" s="100" t="str" cm="1">
        <f t="array" ref="AE397">IF(SamplingData[[#This Row],[up/U Selection Probability]] = 0, "Zero", TEXT(SamplingData[[#This Row],[Lower Range]], REPT("0",LEN('General Info'!$B$42))) &amp; " - " &amp; TEXT(SamplingData[[#This Row],[Upper Range]], REPT("0",LEN('General Info'!$B$42))))</f>
        <v>07892 - 07923</v>
      </c>
      <c r="AF397" s="100">
        <f>SamplingData[[#This Row],[Upper Range]]-SamplingData[[#This Row],[Span]]</f>
        <v>7891.8322295805774</v>
      </c>
      <c r="AG397" s="100">
        <f>IF(ISNUMBER('General Info'!$B$42), ((SamplingData[[#This Row],[up/U Selection Probability]]) * 'General Info'!$B$44) - 1, 0)</f>
        <v>31.304958811177528</v>
      </c>
      <c r="AH397" s="100">
        <f>IF(ISNUMBER('General Info'!$B$42), (SamplingData[[#This Row],[Running (cumulative) sum]] * ('General Info'!$B$42 -'General Info'!$B$43 + 1)) + 'General Info'!$B$43 - 1, 0)</f>
        <v>7923.1371883917545</v>
      </c>
      <c r="AI397" s="100" t="str">
        <f>IF(ISERROR(MATCH(SamplingData[[#This Row],[Batch by Type (p)]],SelectedPrecincts[Batch Name], 0)), "", INDEX(SelectedPrecincts[Draw], MATCH(SamplingData[[#This Row],[Batch by Type (p)]],SelectedPrecincts[Batch Name], 0)))</f>
        <v/>
      </c>
      <c r="AJ397" s="101">
        <f>IF(COUNTIF(SelectedPrecincts[Batch Name],SamplingData[[#This Row],[Batch by Type (p)]]) &lt;&gt; 0, COUNTIF(SelectedPrecincts[Batch Name],SamplingData[[#This Row],[Batch by Type (p)]]), 0)</f>
        <v>0</v>
      </c>
    </row>
    <row r="398" spans="1:36" ht="15" customHeight="1" x14ac:dyDescent="0.35">
      <c r="A398" s="98" t="s">
        <v>610</v>
      </c>
      <c r="B398" s="98">
        <v>0</v>
      </c>
      <c r="C398" s="98">
        <v>0</v>
      </c>
      <c r="D398" s="93"/>
      <c r="E398" s="93"/>
      <c r="F398" s="93"/>
      <c r="G398" s="97"/>
      <c r="H398" s="97"/>
      <c r="I398" s="93"/>
      <c r="J398" s="93"/>
      <c r="K398" s="93"/>
      <c r="L398" s="93"/>
      <c r="M398" s="93"/>
      <c r="N398" s="98">
        <v>0</v>
      </c>
      <c r="O398" s="98">
        <v>0</v>
      </c>
      <c r="P398" s="99">
        <f>SUM(SamplingData[[#This Row],[Winning Candidate]:[Under Votes]])</f>
        <v>0</v>
      </c>
      <c r="Q398" s="100">
        <f>IF(AND(SamplingData[[#This Row],[Total]]&lt;&gt; 0, NOT(ISBLANK(SamplingData[[#This Row],[Losing Candidate]]))),(SamplingData[[#This Row],[Total]]+SamplingData[[#This Row],[Winning Candidate]]-SamplingData[[#This Row],[Losing Candidate]])/(SamplingData[[#Totals],[Winning Candidate]]-SamplingData[[#Totals],[Losing Candidate]]), 0)</f>
        <v>0</v>
      </c>
      <c r="R398" s="100">
        <f>IF(AND(SamplingData[[#This Row],[Total]]&lt;&gt; 0, NOT(ISBLANK(SamplingData[[#This Row],[Candidate 3]]))),(SamplingData[[#This Row],[Total]]+SamplingData[[#This Row],[Winning Candidate]]-SamplingData[[#This Row],[Candidate 3]])/(SamplingData[[#Totals],[Winning Candidate]]-SamplingData[[#Totals],[Candidate 3]]), 0)</f>
        <v>0</v>
      </c>
      <c r="S398" s="100">
        <f>IF(AND(SamplingData[[#This Row],[Total]]&lt;&gt; 0, NOT(ISBLANK(SamplingData[[#This Row],[Candidate 4]]))),(SamplingData[[#This Row],[Total]]+SamplingData[[#This Row],[Winning Candidate]]-SamplingData[[#This Row],[Candidate 4]])/(SamplingData[[#Totals],[Winning Candidate]]-SamplingData[[#Totals],[Candidate 4]]), 0)</f>
        <v>0</v>
      </c>
      <c r="T398" s="100">
        <f>IF(AND(SamplingData[[#This Row],[Total]]&lt;&gt; 0, NOT(ISBLANK(SamplingData[[#This Row],[Candidate 5]]))),(SamplingData[[#This Row],[Total]]+SamplingData[[#This Row],[Winning Candidate]]-SamplingData[[#This Row],[Candidate 5]])/(SamplingData[[#Totals],[Winning Candidate]]-SamplingData[[#Totals],[Candidate 5]]), 0)</f>
        <v>0</v>
      </c>
      <c r="U398" s="100">
        <f>IF(AND(SamplingData[[#This Row],[Total]]&lt;&gt; 0, NOT(ISBLANK(SamplingData[[#This Row],[Candidate 6]]))),(SamplingData[[#This Row],[Total]]+SamplingData[[#This Row],[Losing Candidate]]-SamplingData[[#This Row],[Candidate 6]])/(SamplingData[[#Totals],[Winning Candidate]]-SamplingData[[#Totals],[Candidate 6]]), 0)</f>
        <v>0</v>
      </c>
      <c r="V398" s="100">
        <f>IF(AND(SamplingData[[#This Row],[Total]]&lt;&gt; 0, NOT(ISBLANK(SamplingData[[#This Row],[Candidate 7]]))),(SamplingData[[#This Row],[Total]]+SamplingData[[#This Row],[Winning Candidate]]-SamplingData[[#This Row],[Candidate 7]])/(SamplingData[[#Totals],[Winning Candidate]]-SamplingData[[#Totals],[Candidate 7]]), 0)</f>
        <v>0</v>
      </c>
      <c r="W398" s="100">
        <f>IF(AND(SamplingData[[#This Row],[Total]]&lt;&gt; 0, NOT(ISBLANK(SamplingData[[#This Row],[Candidate 8]]))),(SamplingData[[#This Row],[Total]]+SamplingData[[#This Row],[Winning Candidate]]-SamplingData[[#This Row],[Candidate 8]])/(SamplingData[[#Totals],[Winning Candidate]]-SamplingData[[#Totals],[Candidate 8]]), 0)</f>
        <v>0</v>
      </c>
      <c r="X3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00">
        <f>MAX(SamplingData[[#This Row],[Error Bound (up) - Max. possible relative overstatement - Losing Candidate]:[Error Bound (up) - Max. possible relative overstatement - Candidate 12]])</f>
        <v>0</v>
      </c>
      <c r="AC398" s="100">
        <f>IF(SamplingData[[#This Row],[Max Error Bound (up)]] = 0,0,SamplingData[[#This Row],[Max Error Bound (up)]]/SamplingData[[#Totals],[Max Error Bound (up)]])</f>
        <v>0</v>
      </c>
      <c r="AD398" s="104">
        <f>SUM($AC$5:AC398)</f>
        <v>7.9241371883917541E-2</v>
      </c>
      <c r="AE398" s="100" t="str" cm="1">
        <f t="array" ref="AE398">IF(SamplingData[[#This Row],[up/U Selection Probability]] = 0, "Zero", TEXT(SamplingData[[#This Row],[Lower Range]], REPT("0",LEN('General Info'!$B$42))) &amp; " - " &amp; TEXT(SamplingData[[#This Row],[Upper Range]], REPT("0",LEN('General Info'!$B$42))))</f>
        <v>Zero</v>
      </c>
      <c r="AF398" s="100">
        <f>SamplingData[[#This Row],[Upper Range]]-SamplingData[[#This Row],[Span]]</f>
        <v>7924.1371883917545</v>
      </c>
      <c r="AG398" s="100">
        <f>IF(ISNUMBER('General Info'!$B$42), ((SamplingData[[#This Row],[up/U Selection Probability]]) * 'General Info'!$B$44) - 1, 0)</f>
        <v>-1</v>
      </c>
      <c r="AH398" s="100">
        <f>IF(ISNUMBER('General Info'!$B$42), (SamplingData[[#This Row],[Running (cumulative) sum]] * ('General Info'!$B$42 -'General Info'!$B$43 + 1)) + 'General Info'!$B$43 - 1, 0)</f>
        <v>7923.1371883917545</v>
      </c>
      <c r="AI398" s="100" t="str">
        <f>IF(ISERROR(MATCH(SamplingData[[#This Row],[Batch by Type (p)]],SelectedPrecincts[Batch Name], 0)), "", INDEX(SelectedPrecincts[Draw], MATCH(SamplingData[[#This Row],[Batch by Type (p)]],SelectedPrecincts[Batch Name], 0)))</f>
        <v/>
      </c>
      <c r="AJ398" s="101">
        <f>IF(COUNTIF(SelectedPrecincts[Batch Name],SamplingData[[#This Row],[Batch by Type (p)]]) &lt;&gt; 0, COUNTIF(SelectedPrecincts[Batch Name],SamplingData[[#This Row],[Batch by Type (p)]]), 0)</f>
        <v>0</v>
      </c>
    </row>
    <row r="399" spans="1:36" ht="15" customHeight="1" x14ac:dyDescent="0.35">
      <c r="A399" s="98" t="s">
        <v>611</v>
      </c>
      <c r="B399" s="98">
        <v>0</v>
      </c>
      <c r="C399" s="98">
        <v>0</v>
      </c>
      <c r="D399" s="93"/>
      <c r="E399" s="93"/>
      <c r="F399" s="93"/>
      <c r="G399" s="97"/>
      <c r="H399" s="97"/>
      <c r="I399" s="93"/>
      <c r="J399" s="93"/>
      <c r="K399" s="93"/>
      <c r="L399" s="93"/>
      <c r="M399" s="93"/>
      <c r="N399" s="98">
        <v>0</v>
      </c>
      <c r="O399" s="98">
        <v>0</v>
      </c>
      <c r="P399" s="99">
        <f>SUM(SamplingData[[#This Row],[Winning Candidate]:[Under Votes]])</f>
        <v>0</v>
      </c>
      <c r="Q399" s="100">
        <f>IF(AND(SamplingData[[#This Row],[Total]]&lt;&gt; 0, NOT(ISBLANK(SamplingData[[#This Row],[Losing Candidate]]))),(SamplingData[[#This Row],[Total]]+SamplingData[[#This Row],[Winning Candidate]]-SamplingData[[#This Row],[Losing Candidate]])/(SamplingData[[#Totals],[Winning Candidate]]-SamplingData[[#Totals],[Losing Candidate]]), 0)</f>
        <v>0</v>
      </c>
      <c r="R399" s="100">
        <f>IF(AND(SamplingData[[#This Row],[Total]]&lt;&gt; 0, NOT(ISBLANK(SamplingData[[#This Row],[Candidate 3]]))),(SamplingData[[#This Row],[Total]]+SamplingData[[#This Row],[Winning Candidate]]-SamplingData[[#This Row],[Candidate 3]])/(SamplingData[[#Totals],[Winning Candidate]]-SamplingData[[#Totals],[Candidate 3]]), 0)</f>
        <v>0</v>
      </c>
      <c r="S399" s="100">
        <f>IF(AND(SamplingData[[#This Row],[Total]]&lt;&gt; 0, NOT(ISBLANK(SamplingData[[#This Row],[Candidate 4]]))),(SamplingData[[#This Row],[Total]]+SamplingData[[#This Row],[Winning Candidate]]-SamplingData[[#This Row],[Candidate 4]])/(SamplingData[[#Totals],[Winning Candidate]]-SamplingData[[#Totals],[Candidate 4]]), 0)</f>
        <v>0</v>
      </c>
      <c r="T399" s="100">
        <f>IF(AND(SamplingData[[#This Row],[Total]]&lt;&gt; 0, NOT(ISBLANK(SamplingData[[#This Row],[Candidate 5]]))),(SamplingData[[#This Row],[Total]]+SamplingData[[#This Row],[Winning Candidate]]-SamplingData[[#This Row],[Candidate 5]])/(SamplingData[[#Totals],[Winning Candidate]]-SamplingData[[#Totals],[Candidate 5]]), 0)</f>
        <v>0</v>
      </c>
      <c r="U399" s="100">
        <f>IF(AND(SamplingData[[#This Row],[Total]]&lt;&gt; 0, NOT(ISBLANK(SamplingData[[#This Row],[Candidate 6]]))),(SamplingData[[#This Row],[Total]]+SamplingData[[#This Row],[Losing Candidate]]-SamplingData[[#This Row],[Candidate 6]])/(SamplingData[[#Totals],[Winning Candidate]]-SamplingData[[#Totals],[Candidate 6]]), 0)</f>
        <v>0</v>
      </c>
      <c r="V399" s="100">
        <f>IF(AND(SamplingData[[#This Row],[Total]]&lt;&gt; 0, NOT(ISBLANK(SamplingData[[#This Row],[Candidate 7]]))),(SamplingData[[#This Row],[Total]]+SamplingData[[#This Row],[Winning Candidate]]-SamplingData[[#This Row],[Candidate 7]])/(SamplingData[[#Totals],[Winning Candidate]]-SamplingData[[#Totals],[Candidate 7]]), 0)</f>
        <v>0</v>
      </c>
      <c r="W399" s="100">
        <f>IF(AND(SamplingData[[#This Row],[Total]]&lt;&gt; 0, NOT(ISBLANK(SamplingData[[#This Row],[Candidate 8]]))),(SamplingData[[#This Row],[Total]]+SamplingData[[#This Row],[Winning Candidate]]-SamplingData[[#This Row],[Candidate 8]])/(SamplingData[[#Totals],[Winning Candidate]]-SamplingData[[#Totals],[Candidate 8]]), 0)</f>
        <v>0</v>
      </c>
      <c r="X3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00">
        <f>MAX(SamplingData[[#This Row],[Error Bound (up) - Max. possible relative overstatement - Losing Candidate]:[Error Bound (up) - Max. possible relative overstatement - Candidate 12]])</f>
        <v>0</v>
      </c>
      <c r="AC399" s="100">
        <f>IF(SamplingData[[#This Row],[Max Error Bound (up)]] = 0,0,SamplingData[[#This Row],[Max Error Bound (up)]]/SamplingData[[#Totals],[Max Error Bound (up)]])</f>
        <v>0</v>
      </c>
      <c r="AD399" s="104">
        <f>SUM($AC$5:AC399)</f>
        <v>7.9241371883917541E-2</v>
      </c>
      <c r="AE399" s="100" t="str" cm="1">
        <f t="array" ref="AE399">IF(SamplingData[[#This Row],[up/U Selection Probability]] = 0, "Zero", TEXT(SamplingData[[#This Row],[Lower Range]], REPT("0",LEN('General Info'!$B$42))) &amp; " - " &amp; TEXT(SamplingData[[#This Row],[Upper Range]], REPT("0",LEN('General Info'!$B$42))))</f>
        <v>Zero</v>
      </c>
      <c r="AF399" s="100">
        <f>SamplingData[[#This Row],[Upper Range]]-SamplingData[[#This Row],[Span]]</f>
        <v>7924.1371883917545</v>
      </c>
      <c r="AG399" s="100">
        <f>IF(ISNUMBER('General Info'!$B$42), ((SamplingData[[#This Row],[up/U Selection Probability]]) * 'General Info'!$B$44) - 1, 0)</f>
        <v>-1</v>
      </c>
      <c r="AH399" s="100">
        <f>IF(ISNUMBER('General Info'!$B$42), (SamplingData[[#This Row],[Running (cumulative) sum]] * ('General Info'!$B$42 -'General Info'!$B$43 + 1)) + 'General Info'!$B$43 - 1, 0)</f>
        <v>7923.1371883917545</v>
      </c>
      <c r="AI399" s="100" t="str">
        <f>IF(ISERROR(MATCH(SamplingData[[#This Row],[Batch by Type (p)]],SelectedPrecincts[Batch Name], 0)), "", INDEX(SelectedPrecincts[Draw], MATCH(SamplingData[[#This Row],[Batch by Type (p)]],SelectedPrecincts[Batch Name], 0)))</f>
        <v/>
      </c>
      <c r="AJ399" s="101">
        <f>IF(COUNTIF(SelectedPrecincts[Batch Name],SamplingData[[#This Row],[Batch by Type (p)]]) &lt;&gt; 0, COUNTIF(SelectedPrecincts[Batch Name],SamplingData[[#This Row],[Batch by Type (p)]]), 0)</f>
        <v>0</v>
      </c>
    </row>
    <row r="400" spans="1:36" ht="15" customHeight="1" x14ac:dyDescent="0.35">
      <c r="A400" s="98" t="s">
        <v>612</v>
      </c>
      <c r="B400" s="98">
        <v>16</v>
      </c>
      <c r="C400" s="98">
        <v>4</v>
      </c>
      <c r="D400" s="93"/>
      <c r="E400" s="93"/>
      <c r="F400" s="93"/>
      <c r="G400" s="97"/>
      <c r="H400" s="97"/>
      <c r="I400" s="93"/>
      <c r="J400" s="93"/>
      <c r="K400" s="93"/>
      <c r="L400" s="93"/>
      <c r="M400" s="93"/>
      <c r="N400" s="98">
        <v>0</v>
      </c>
      <c r="O400" s="98">
        <v>2</v>
      </c>
      <c r="P400" s="99">
        <f>SUM(SamplingData[[#This Row],[Winning Candidate]:[Under Votes]])</f>
        <v>22</v>
      </c>
      <c r="Q400"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400" s="100">
        <f>IF(AND(SamplingData[[#This Row],[Total]]&lt;&gt; 0, NOT(ISBLANK(SamplingData[[#This Row],[Candidate 3]]))),(SamplingData[[#This Row],[Total]]+SamplingData[[#This Row],[Winning Candidate]]-SamplingData[[#This Row],[Candidate 3]])/(SamplingData[[#Totals],[Winning Candidate]]-SamplingData[[#Totals],[Candidate 3]]), 0)</f>
        <v>0</v>
      </c>
      <c r="S400" s="100">
        <f>IF(AND(SamplingData[[#This Row],[Total]]&lt;&gt; 0, NOT(ISBLANK(SamplingData[[#This Row],[Candidate 4]]))),(SamplingData[[#This Row],[Total]]+SamplingData[[#This Row],[Winning Candidate]]-SamplingData[[#This Row],[Candidate 4]])/(SamplingData[[#Totals],[Winning Candidate]]-SamplingData[[#Totals],[Candidate 4]]), 0)</f>
        <v>0</v>
      </c>
      <c r="T400" s="100">
        <f>IF(AND(SamplingData[[#This Row],[Total]]&lt;&gt; 0, NOT(ISBLANK(SamplingData[[#This Row],[Candidate 5]]))),(SamplingData[[#This Row],[Total]]+SamplingData[[#This Row],[Winning Candidate]]-SamplingData[[#This Row],[Candidate 5]])/(SamplingData[[#Totals],[Winning Candidate]]-SamplingData[[#Totals],[Candidate 5]]), 0)</f>
        <v>0</v>
      </c>
      <c r="U400" s="100">
        <f>IF(AND(SamplingData[[#This Row],[Total]]&lt;&gt; 0, NOT(ISBLANK(SamplingData[[#This Row],[Candidate 6]]))),(SamplingData[[#This Row],[Total]]+SamplingData[[#This Row],[Losing Candidate]]-SamplingData[[#This Row],[Candidate 6]])/(SamplingData[[#Totals],[Winning Candidate]]-SamplingData[[#Totals],[Candidate 6]]), 0)</f>
        <v>0</v>
      </c>
      <c r="V400" s="100">
        <f>IF(AND(SamplingData[[#This Row],[Total]]&lt;&gt; 0, NOT(ISBLANK(SamplingData[[#This Row],[Candidate 7]]))),(SamplingData[[#This Row],[Total]]+SamplingData[[#This Row],[Winning Candidate]]-SamplingData[[#This Row],[Candidate 7]])/(SamplingData[[#Totals],[Winning Candidate]]-SamplingData[[#Totals],[Candidate 7]]), 0)</f>
        <v>0</v>
      </c>
      <c r="W400" s="100">
        <f>IF(AND(SamplingData[[#This Row],[Total]]&lt;&gt; 0, NOT(ISBLANK(SamplingData[[#This Row],[Candidate 8]]))),(SamplingData[[#This Row],[Total]]+SamplingData[[#This Row],[Winning Candidate]]-SamplingData[[#This Row],[Candidate 8]])/(SamplingData[[#Totals],[Winning Candidate]]-SamplingData[[#Totals],[Candidate 8]]), 0)</f>
        <v>0</v>
      </c>
      <c r="X4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00">
        <f>MAX(SamplingData[[#This Row],[Error Bound (up) - Max. possible relative overstatement - Losing Candidate]:[Error Bound (up) - Max. possible relative overstatement - Candidate 12]])</f>
        <v>1.0679398184502309E-3</v>
      </c>
      <c r="AC400" s="100">
        <f>IF(SamplingData[[#This Row],[Max Error Bound (up)]] = 0,0,SamplingData[[#This Row],[Max Error Bound (up)]]/SamplingData[[#Totals],[Max Error Bound (up)]])</f>
        <v>4.5765358315834836E-4</v>
      </c>
      <c r="AD400" s="104">
        <f>SUM($AC$5:AC400)</f>
        <v>7.9699025467075885E-2</v>
      </c>
      <c r="AE400" s="100" t="str" cm="1">
        <f t="array" ref="AE400">IF(SamplingData[[#This Row],[up/U Selection Probability]] = 0, "Zero", TEXT(SamplingData[[#This Row],[Lower Range]], REPT("0",LEN('General Info'!$B$42))) &amp; " - " &amp; TEXT(SamplingData[[#This Row],[Upper Range]], REPT("0",LEN('General Info'!$B$42))))</f>
        <v>07924 - 07969</v>
      </c>
      <c r="AF400" s="100">
        <f>SamplingData[[#This Row],[Upper Range]]-SamplingData[[#This Row],[Span]]</f>
        <v>7924.1371883917536</v>
      </c>
      <c r="AG400" s="100">
        <f>IF(ISNUMBER('General Info'!$B$42), ((SamplingData[[#This Row],[up/U Selection Probability]]) * 'General Info'!$B$44) - 1, 0)</f>
        <v>44.765358315834838</v>
      </c>
      <c r="AH400" s="100">
        <f>IF(ISNUMBER('General Info'!$B$42), (SamplingData[[#This Row],[Running (cumulative) sum]] * ('General Info'!$B$42 -'General Info'!$B$43 + 1)) + 'General Info'!$B$43 - 1, 0)</f>
        <v>7968.902546707588</v>
      </c>
      <c r="AI400" s="100" t="str">
        <f>IF(ISERROR(MATCH(SamplingData[[#This Row],[Batch by Type (p)]],SelectedPrecincts[Batch Name], 0)), "", INDEX(SelectedPrecincts[Draw], MATCH(SamplingData[[#This Row],[Batch by Type (p)]],SelectedPrecincts[Batch Name], 0)))</f>
        <v/>
      </c>
      <c r="AJ400" s="101">
        <f>IF(COUNTIF(SelectedPrecincts[Batch Name],SamplingData[[#This Row],[Batch by Type (p)]]) &lt;&gt; 0, COUNTIF(SelectedPrecincts[Batch Name],SamplingData[[#This Row],[Batch by Type (p)]]), 0)</f>
        <v>0</v>
      </c>
    </row>
    <row r="401" spans="1:36" ht="15" customHeight="1" x14ac:dyDescent="0.35">
      <c r="A401" s="98" t="s">
        <v>613</v>
      </c>
      <c r="B401" s="98">
        <v>20</v>
      </c>
      <c r="C401" s="98">
        <v>1</v>
      </c>
      <c r="D401" s="93"/>
      <c r="E401" s="93"/>
      <c r="F401" s="93"/>
      <c r="G401" s="97"/>
      <c r="H401" s="97"/>
      <c r="I401" s="93"/>
      <c r="J401" s="93"/>
      <c r="K401" s="93"/>
      <c r="L401" s="93"/>
      <c r="M401" s="93"/>
      <c r="N401" s="98">
        <v>0</v>
      </c>
      <c r="O401" s="98">
        <v>0</v>
      </c>
      <c r="P401" s="99">
        <f>SUM(SamplingData[[#This Row],[Winning Candidate]:[Under Votes]])</f>
        <v>21</v>
      </c>
      <c r="Q401"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401" s="100">
        <f>IF(AND(SamplingData[[#This Row],[Total]]&lt;&gt; 0, NOT(ISBLANK(SamplingData[[#This Row],[Candidate 3]]))),(SamplingData[[#This Row],[Total]]+SamplingData[[#This Row],[Winning Candidate]]-SamplingData[[#This Row],[Candidate 3]])/(SamplingData[[#Totals],[Winning Candidate]]-SamplingData[[#Totals],[Candidate 3]]), 0)</f>
        <v>0</v>
      </c>
      <c r="S401" s="100">
        <f>IF(AND(SamplingData[[#This Row],[Total]]&lt;&gt; 0, NOT(ISBLANK(SamplingData[[#This Row],[Candidate 4]]))),(SamplingData[[#This Row],[Total]]+SamplingData[[#This Row],[Winning Candidate]]-SamplingData[[#This Row],[Candidate 4]])/(SamplingData[[#Totals],[Winning Candidate]]-SamplingData[[#Totals],[Candidate 4]]), 0)</f>
        <v>0</v>
      </c>
      <c r="T401" s="100">
        <f>IF(AND(SamplingData[[#This Row],[Total]]&lt;&gt; 0, NOT(ISBLANK(SamplingData[[#This Row],[Candidate 5]]))),(SamplingData[[#This Row],[Total]]+SamplingData[[#This Row],[Winning Candidate]]-SamplingData[[#This Row],[Candidate 5]])/(SamplingData[[#Totals],[Winning Candidate]]-SamplingData[[#Totals],[Candidate 5]]), 0)</f>
        <v>0</v>
      </c>
      <c r="U401" s="100">
        <f>IF(AND(SamplingData[[#This Row],[Total]]&lt;&gt; 0, NOT(ISBLANK(SamplingData[[#This Row],[Candidate 6]]))),(SamplingData[[#This Row],[Total]]+SamplingData[[#This Row],[Losing Candidate]]-SamplingData[[#This Row],[Candidate 6]])/(SamplingData[[#Totals],[Winning Candidate]]-SamplingData[[#Totals],[Candidate 6]]), 0)</f>
        <v>0</v>
      </c>
      <c r="V401" s="100">
        <f>IF(AND(SamplingData[[#This Row],[Total]]&lt;&gt; 0, NOT(ISBLANK(SamplingData[[#This Row],[Candidate 7]]))),(SamplingData[[#This Row],[Total]]+SamplingData[[#This Row],[Winning Candidate]]-SamplingData[[#This Row],[Candidate 7]])/(SamplingData[[#Totals],[Winning Candidate]]-SamplingData[[#Totals],[Candidate 7]]), 0)</f>
        <v>0</v>
      </c>
      <c r="W401" s="100">
        <f>IF(AND(SamplingData[[#This Row],[Total]]&lt;&gt; 0, NOT(ISBLANK(SamplingData[[#This Row],[Candidate 8]]))),(SamplingData[[#This Row],[Total]]+SamplingData[[#This Row],[Winning Candidate]]-SamplingData[[#This Row],[Candidate 8]])/(SamplingData[[#Totals],[Winning Candidate]]-SamplingData[[#Totals],[Candidate 8]]), 0)</f>
        <v>0</v>
      </c>
      <c r="X4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00">
        <f>MAX(SamplingData[[#This Row],[Error Bound (up) - Max. possible relative overstatement - Losing Candidate]:[Error Bound (up) - Max. possible relative overstatement - Candidate 12]])</f>
        <v>1.2563997864120362E-3</v>
      </c>
      <c r="AC401" s="100">
        <f>IF(SamplingData[[#This Row],[Max Error Bound (up)]] = 0,0,SamplingData[[#This Row],[Max Error Bound (up)]]/SamplingData[[#Totals],[Max Error Bound (up)]])</f>
        <v>5.3841598018629215E-4</v>
      </c>
      <c r="AD401" s="104">
        <f>SUM($AC$5:AC401)</f>
        <v>8.0237441447262178E-2</v>
      </c>
      <c r="AE401" s="100" t="str" cm="1">
        <f t="array" ref="AE401">IF(SamplingData[[#This Row],[up/U Selection Probability]] = 0, "Zero", TEXT(SamplingData[[#This Row],[Lower Range]], REPT("0",LEN('General Info'!$B$42))) &amp; " - " &amp; TEXT(SamplingData[[#This Row],[Upper Range]], REPT("0",LEN('General Info'!$B$42))))</f>
        <v>07970 - 08023</v>
      </c>
      <c r="AF401" s="100">
        <f>SamplingData[[#This Row],[Upper Range]]-SamplingData[[#This Row],[Span]]</f>
        <v>7969.902546707589</v>
      </c>
      <c r="AG401" s="100">
        <f>IF(ISNUMBER('General Info'!$B$42), ((SamplingData[[#This Row],[up/U Selection Probability]]) * 'General Info'!$B$44) - 1, 0)</f>
        <v>52.841598018629213</v>
      </c>
      <c r="AH401" s="100">
        <f>IF(ISNUMBER('General Info'!$B$42), (SamplingData[[#This Row],[Running (cumulative) sum]] * ('General Info'!$B$42 -'General Info'!$B$43 + 1)) + 'General Info'!$B$43 - 1, 0)</f>
        <v>8022.7441447262181</v>
      </c>
      <c r="AI401" s="100" t="str">
        <f>IF(ISERROR(MATCH(SamplingData[[#This Row],[Batch by Type (p)]],SelectedPrecincts[Batch Name], 0)), "", INDEX(SelectedPrecincts[Draw], MATCH(SamplingData[[#This Row],[Batch by Type (p)]],SelectedPrecincts[Batch Name], 0)))</f>
        <v/>
      </c>
      <c r="AJ401" s="101">
        <f>IF(COUNTIF(SelectedPrecincts[Batch Name],SamplingData[[#This Row],[Batch by Type (p)]]) &lt;&gt; 0, COUNTIF(SelectedPrecincts[Batch Name],SamplingData[[#This Row],[Batch by Type (p)]]), 0)</f>
        <v>0</v>
      </c>
    </row>
    <row r="402" spans="1:36" ht="15" customHeight="1" x14ac:dyDescent="0.35">
      <c r="A402" s="98" t="s">
        <v>614</v>
      </c>
      <c r="B402" s="98">
        <v>4</v>
      </c>
      <c r="C402" s="98">
        <v>0</v>
      </c>
      <c r="D402" s="93"/>
      <c r="E402" s="93"/>
      <c r="F402" s="93"/>
      <c r="G402" s="97"/>
      <c r="H402" s="97"/>
      <c r="I402" s="93"/>
      <c r="J402" s="93"/>
      <c r="K402" s="93"/>
      <c r="L402" s="93"/>
      <c r="M402" s="93"/>
      <c r="N402" s="98">
        <v>0</v>
      </c>
      <c r="O402" s="98">
        <v>0</v>
      </c>
      <c r="P402" s="99">
        <f>SUM(SamplingData[[#This Row],[Winning Candidate]:[Under Votes]])</f>
        <v>4</v>
      </c>
      <c r="Q402"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402" s="100">
        <f>IF(AND(SamplingData[[#This Row],[Total]]&lt;&gt; 0, NOT(ISBLANK(SamplingData[[#This Row],[Candidate 3]]))),(SamplingData[[#This Row],[Total]]+SamplingData[[#This Row],[Winning Candidate]]-SamplingData[[#This Row],[Candidate 3]])/(SamplingData[[#Totals],[Winning Candidate]]-SamplingData[[#Totals],[Candidate 3]]), 0)</f>
        <v>0</v>
      </c>
      <c r="S402" s="100">
        <f>IF(AND(SamplingData[[#This Row],[Total]]&lt;&gt; 0, NOT(ISBLANK(SamplingData[[#This Row],[Candidate 4]]))),(SamplingData[[#This Row],[Total]]+SamplingData[[#This Row],[Winning Candidate]]-SamplingData[[#This Row],[Candidate 4]])/(SamplingData[[#Totals],[Winning Candidate]]-SamplingData[[#Totals],[Candidate 4]]), 0)</f>
        <v>0</v>
      </c>
      <c r="T402" s="100">
        <f>IF(AND(SamplingData[[#This Row],[Total]]&lt;&gt; 0, NOT(ISBLANK(SamplingData[[#This Row],[Candidate 5]]))),(SamplingData[[#This Row],[Total]]+SamplingData[[#This Row],[Winning Candidate]]-SamplingData[[#This Row],[Candidate 5]])/(SamplingData[[#Totals],[Winning Candidate]]-SamplingData[[#Totals],[Candidate 5]]), 0)</f>
        <v>0</v>
      </c>
      <c r="U402" s="100">
        <f>IF(AND(SamplingData[[#This Row],[Total]]&lt;&gt; 0, NOT(ISBLANK(SamplingData[[#This Row],[Candidate 6]]))),(SamplingData[[#This Row],[Total]]+SamplingData[[#This Row],[Losing Candidate]]-SamplingData[[#This Row],[Candidate 6]])/(SamplingData[[#Totals],[Winning Candidate]]-SamplingData[[#Totals],[Candidate 6]]), 0)</f>
        <v>0</v>
      </c>
      <c r="V402" s="100">
        <f>IF(AND(SamplingData[[#This Row],[Total]]&lt;&gt; 0, NOT(ISBLANK(SamplingData[[#This Row],[Candidate 7]]))),(SamplingData[[#This Row],[Total]]+SamplingData[[#This Row],[Winning Candidate]]-SamplingData[[#This Row],[Candidate 7]])/(SamplingData[[#Totals],[Winning Candidate]]-SamplingData[[#Totals],[Candidate 7]]), 0)</f>
        <v>0</v>
      </c>
      <c r="W402" s="100">
        <f>IF(AND(SamplingData[[#This Row],[Total]]&lt;&gt; 0, NOT(ISBLANK(SamplingData[[#This Row],[Candidate 8]]))),(SamplingData[[#This Row],[Total]]+SamplingData[[#This Row],[Winning Candidate]]-SamplingData[[#This Row],[Candidate 8]])/(SamplingData[[#Totals],[Winning Candidate]]-SamplingData[[#Totals],[Candidate 8]]), 0)</f>
        <v>0</v>
      </c>
      <c r="X4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00">
        <f>MAX(SamplingData[[#This Row],[Error Bound (up) - Max. possible relative overstatement - Losing Candidate]:[Error Bound (up) - Max. possible relative overstatement - Candidate 12]])</f>
        <v>2.5127995728240724E-4</v>
      </c>
      <c r="AC402" s="100">
        <f>IF(SamplingData[[#This Row],[Max Error Bound (up)]] = 0,0,SamplingData[[#This Row],[Max Error Bound (up)]]/SamplingData[[#Totals],[Max Error Bound (up)]])</f>
        <v>1.0768319603725841E-4</v>
      </c>
      <c r="AD402" s="104">
        <f>SUM($AC$5:AC402)</f>
        <v>8.0345124643299431E-2</v>
      </c>
      <c r="AE402" s="100" t="str" cm="1">
        <f t="array" ref="AE402">IF(SamplingData[[#This Row],[up/U Selection Probability]] = 0, "Zero", TEXT(SamplingData[[#This Row],[Lower Range]], REPT("0",LEN('General Info'!$B$42))) &amp; " - " &amp; TEXT(SamplingData[[#This Row],[Upper Range]], REPT("0",LEN('General Info'!$B$42))))</f>
        <v>08024 - 08034</v>
      </c>
      <c r="AF402" s="100">
        <f>SamplingData[[#This Row],[Upper Range]]-SamplingData[[#This Row],[Span]]</f>
        <v>8023.7441447262172</v>
      </c>
      <c r="AG402" s="100">
        <f>IF(ISNUMBER('General Info'!$B$42), ((SamplingData[[#This Row],[up/U Selection Probability]]) * 'General Info'!$B$44) - 1, 0)</f>
        <v>9.7683196037258408</v>
      </c>
      <c r="AH402" s="100">
        <f>IF(ISNUMBER('General Info'!$B$42), (SamplingData[[#This Row],[Running (cumulative) sum]] * ('General Info'!$B$42 -'General Info'!$B$43 + 1)) + 'General Info'!$B$43 - 1, 0)</f>
        <v>8033.5124643299432</v>
      </c>
      <c r="AI402" s="100" t="str">
        <f>IF(ISERROR(MATCH(SamplingData[[#This Row],[Batch by Type (p)]],SelectedPrecincts[Batch Name], 0)), "", INDEX(SelectedPrecincts[Draw], MATCH(SamplingData[[#This Row],[Batch by Type (p)]],SelectedPrecincts[Batch Name], 0)))</f>
        <v/>
      </c>
      <c r="AJ402" s="101">
        <f>IF(COUNTIF(SelectedPrecincts[Batch Name],SamplingData[[#This Row],[Batch by Type (p)]]) &lt;&gt; 0, COUNTIF(SelectedPrecincts[Batch Name],SamplingData[[#This Row],[Batch by Type (p)]]), 0)</f>
        <v>0</v>
      </c>
    </row>
    <row r="403" spans="1:36" ht="15" customHeight="1" x14ac:dyDescent="0.35">
      <c r="A403" s="98" t="s">
        <v>615</v>
      </c>
      <c r="B403" s="98">
        <v>13</v>
      </c>
      <c r="C403" s="98">
        <v>1</v>
      </c>
      <c r="D403" s="93"/>
      <c r="E403" s="93"/>
      <c r="F403" s="93"/>
      <c r="G403" s="97"/>
      <c r="H403" s="97"/>
      <c r="I403" s="93"/>
      <c r="J403" s="93"/>
      <c r="K403" s="93"/>
      <c r="L403" s="93"/>
      <c r="M403" s="93"/>
      <c r="N403" s="98">
        <v>0</v>
      </c>
      <c r="O403" s="98">
        <v>0</v>
      </c>
      <c r="P403" s="99">
        <f>SUM(SamplingData[[#This Row],[Winning Candidate]:[Under Votes]])</f>
        <v>14</v>
      </c>
      <c r="Q403"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403" s="100">
        <f>IF(AND(SamplingData[[#This Row],[Total]]&lt;&gt; 0, NOT(ISBLANK(SamplingData[[#This Row],[Candidate 3]]))),(SamplingData[[#This Row],[Total]]+SamplingData[[#This Row],[Winning Candidate]]-SamplingData[[#This Row],[Candidate 3]])/(SamplingData[[#Totals],[Winning Candidate]]-SamplingData[[#Totals],[Candidate 3]]), 0)</f>
        <v>0</v>
      </c>
      <c r="S403" s="100">
        <f>IF(AND(SamplingData[[#This Row],[Total]]&lt;&gt; 0, NOT(ISBLANK(SamplingData[[#This Row],[Candidate 4]]))),(SamplingData[[#This Row],[Total]]+SamplingData[[#This Row],[Winning Candidate]]-SamplingData[[#This Row],[Candidate 4]])/(SamplingData[[#Totals],[Winning Candidate]]-SamplingData[[#Totals],[Candidate 4]]), 0)</f>
        <v>0</v>
      </c>
      <c r="T403" s="100">
        <f>IF(AND(SamplingData[[#This Row],[Total]]&lt;&gt; 0, NOT(ISBLANK(SamplingData[[#This Row],[Candidate 5]]))),(SamplingData[[#This Row],[Total]]+SamplingData[[#This Row],[Winning Candidate]]-SamplingData[[#This Row],[Candidate 5]])/(SamplingData[[#Totals],[Winning Candidate]]-SamplingData[[#Totals],[Candidate 5]]), 0)</f>
        <v>0</v>
      </c>
      <c r="U403" s="100">
        <f>IF(AND(SamplingData[[#This Row],[Total]]&lt;&gt; 0, NOT(ISBLANK(SamplingData[[#This Row],[Candidate 6]]))),(SamplingData[[#This Row],[Total]]+SamplingData[[#This Row],[Losing Candidate]]-SamplingData[[#This Row],[Candidate 6]])/(SamplingData[[#Totals],[Winning Candidate]]-SamplingData[[#Totals],[Candidate 6]]), 0)</f>
        <v>0</v>
      </c>
      <c r="V403" s="100">
        <f>IF(AND(SamplingData[[#This Row],[Total]]&lt;&gt; 0, NOT(ISBLANK(SamplingData[[#This Row],[Candidate 7]]))),(SamplingData[[#This Row],[Total]]+SamplingData[[#This Row],[Winning Candidate]]-SamplingData[[#This Row],[Candidate 7]])/(SamplingData[[#Totals],[Winning Candidate]]-SamplingData[[#Totals],[Candidate 7]]), 0)</f>
        <v>0</v>
      </c>
      <c r="W403" s="100">
        <f>IF(AND(SamplingData[[#This Row],[Total]]&lt;&gt; 0, NOT(ISBLANK(SamplingData[[#This Row],[Candidate 8]]))),(SamplingData[[#This Row],[Total]]+SamplingData[[#This Row],[Winning Candidate]]-SamplingData[[#This Row],[Candidate 8]])/(SamplingData[[#Totals],[Winning Candidate]]-SamplingData[[#Totals],[Candidate 8]]), 0)</f>
        <v>0</v>
      </c>
      <c r="X4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00">
        <f>MAX(SamplingData[[#This Row],[Error Bound (up) - Max. possible relative overstatement - Losing Candidate]:[Error Bound (up) - Max. possible relative overstatement - Candidate 12]])</f>
        <v>8.1665986116782364E-4</v>
      </c>
      <c r="AC403" s="100">
        <f>IF(SamplingData[[#This Row],[Max Error Bound (up)]] = 0,0,SamplingData[[#This Row],[Max Error Bound (up)]]/SamplingData[[#Totals],[Max Error Bound (up)]])</f>
        <v>3.4997038712108992E-4</v>
      </c>
      <c r="AD403" s="104">
        <f>SUM($AC$5:AC403)</f>
        <v>8.0695095030420522E-2</v>
      </c>
      <c r="AE403" s="100" t="str" cm="1">
        <f t="array" ref="AE403">IF(SamplingData[[#This Row],[up/U Selection Probability]] = 0, "Zero", TEXT(SamplingData[[#This Row],[Lower Range]], REPT("0",LEN('General Info'!$B$42))) &amp; " - " &amp; TEXT(SamplingData[[#This Row],[Upper Range]], REPT("0",LEN('General Info'!$B$42))))</f>
        <v>08035 - 08069</v>
      </c>
      <c r="AF403" s="100">
        <f>SamplingData[[#This Row],[Upper Range]]-SamplingData[[#This Row],[Span]]</f>
        <v>8034.5124643299432</v>
      </c>
      <c r="AG403" s="100">
        <f>IF(ISNUMBER('General Info'!$B$42), ((SamplingData[[#This Row],[up/U Selection Probability]]) * 'General Info'!$B$44) - 1, 0)</f>
        <v>33.997038712108989</v>
      </c>
      <c r="AH403" s="100">
        <f>IF(ISNUMBER('General Info'!$B$42), (SamplingData[[#This Row],[Running (cumulative) sum]] * ('General Info'!$B$42 -'General Info'!$B$43 + 1)) + 'General Info'!$B$43 - 1, 0)</f>
        <v>8068.5095030420525</v>
      </c>
      <c r="AI403" s="100" t="str">
        <f>IF(ISERROR(MATCH(SamplingData[[#This Row],[Batch by Type (p)]],SelectedPrecincts[Batch Name], 0)), "", INDEX(SelectedPrecincts[Draw], MATCH(SamplingData[[#This Row],[Batch by Type (p)]],SelectedPrecincts[Batch Name], 0)))</f>
        <v/>
      </c>
      <c r="AJ403" s="101">
        <f>IF(COUNTIF(SelectedPrecincts[Batch Name],SamplingData[[#This Row],[Batch by Type (p)]]) &lt;&gt; 0, COUNTIF(SelectedPrecincts[Batch Name],SamplingData[[#This Row],[Batch by Type (p)]]), 0)</f>
        <v>0</v>
      </c>
    </row>
    <row r="404" spans="1:36" ht="15" customHeight="1" x14ac:dyDescent="0.35">
      <c r="A404" s="98" t="s">
        <v>616</v>
      </c>
      <c r="B404" s="98">
        <v>3</v>
      </c>
      <c r="C404" s="98">
        <v>0</v>
      </c>
      <c r="D404" s="93"/>
      <c r="E404" s="93"/>
      <c r="F404" s="93"/>
      <c r="G404" s="97"/>
      <c r="H404" s="97"/>
      <c r="I404" s="93"/>
      <c r="J404" s="93"/>
      <c r="K404" s="93"/>
      <c r="L404" s="93"/>
      <c r="M404" s="93"/>
      <c r="N404" s="98">
        <v>0</v>
      </c>
      <c r="O404" s="98">
        <v>0</v>
      </c>
      <c r="P404" s="99">
        <f>SUM(SamplingData[[#This Row],[Winning Candidate]:[Under Votes]])</f>
        <v>3</v>
      </c>
      <c r="Q40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04" s="100">
        <f>IF(AND(SamplingData[[#This Row],[Total]]&lt;&gt; 0, NOT(ISBLANK(SamplingData[[#This Row],[Candidate 3]]))),(SamplingData[[#This Row],[Total]]+SamplingData[[#This Row],[Winning Candidate]]-SamplingData[[#This Row],[Candidate 3]])/(SamplingData[[#Totals],[Winning Candidate]]-SamplingData[[#Totals],[Candidate 3]]), 0)</f>
        <v>0</v>
      </c>
      <c r="S404" s="100">
        <f>IF(AND(SamplingData[[#This Row],[Total]]&lt;&gt; 0, NOT(ISBLANK(SamplingData[[#This Row],[Candidate 4]]))),(SamplingData[[#This Row],[Total]]+SamplingData[[#This Row],[Winning Candidate]]-SamplingData[[#This Row],[Candidate 4]])/(SamplingData[[#Totals],[Winning Candidate]]-SamplingData[[#Totals],[Candidate 4]]), 0)</f>
        <v>0</v>
      </c>
      <c r="T404" s="100">
        <f>IF(AND(SamplingData[[#This Row],[Total]]&lt;&gt; 0, NOT(ISBLANK(SamplingData[[#This Row],[Candidate 5]]))),(SamplingData[[#This Row],[Total]]+SamplingData[[#This Row],[Winning Candidate]]-SamplingData[[#This Row],[Candidate 5]])/(SamplingData[[#Totals],[Winning Candidate]]-SamplingData[[#Totals],[Candidate 5]]), 0)</f>
        <v>0</v>
      </c>
      <c r="U404" s="100">
        <f>IF(AND(SamplingData[[#This Row],[Total]]&lt;&gt; 0, NOT(ISBLANK(SamplingData[[#This Row],[Candidate 6]]))),(SamplingData[[#This Row],[Total]]+SamplingData[[#This Row],[Losing Candidate]]-SamplingData[[#This Row],[Candidate 6]])/(SamplingData[[#Totals],[Winning Candidate]]-SamplingData[[#Totals],[Candidate 6]]), 0)</f>
        <v>0</v>
      </c>
      <c r="V404" s="100">
        <f>IF(AND(SamplingData[[#This Row],[Total]]&lt;&gt; 0, NOT(ISBLANK(SamplingData[[#This Row],[Candidate 7]]))),(SamplingData[[#This Row],[Total]]+SamplingData[[#This Row],[Winning Candidate]]-SamplingData[[#This Row],[Candidate 7]])/(SamplingData[[#Totals],[Winning Candidate]]-SamplingData[[#Totals],[Candidate 7]]), 0)</f>
        <v>0</v>
      </c>
      <c r="W404" s="100">
        <f>IF(AND(SamplingData[[#This Row],[Total]]&lt;&gt; 0, NOT(ISBLANK(SamplingData[[#This Row],[Candidate 8]]))),(SamplingData[[#This Row],[Total]]+SamplingData[[#This Row],[Winning Candidate]]-SamplingData[[#This Row],[Candidate 8]])/(SamplingData[[#Totals],[Winning Candidate]]-SamplingData[[#Totals],[Candidate 8]]), 0)</f>
        <v>0</v>
      </c>
      <c r="X4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00">
        <f>MAX(SamplingData[[#This Row],[Error Bound (up) - Max. possible relative overstatement - Losing Candidate]:[Error Bound (up) - Max. possible relative overstatement - Candidate 12]])</f>
        <v>1.8845996796180544E-4</v>
      </c>
      <c r="AC404" s="100">
        <f>IF(SamplingData[[#This Row],[Max Error Bound (up)]] = 0,0,SamplingData[[#This Row],[Max Error Bound (up)]]/SamplingData[[#Totals],[Max Error Bound (up)]])</f>
        <v>8.0762397027943816E-5</v>
      </c>
      <c r="AD404" s="104">
        <f>SUM($AC$5:AC404)</f>
        <v>8.0775857427448472E-2</v>
      </c>
      <c r="AE404" s="100" t="str" cm="1">
        <f t="array" ref="AE404">IF(SamplingData[[#This Row],[up/U Selection Probability]] = 0, "Zero", TEXT(SamplingData[[#This Row],[Lower Range]], REPT("0",LEN('General Info'!$B$42))) &amp; " - " &amp; TEXT(SamplingData[[#This Row],[Upper Range]], REPT("0",LEN('General Info'!$B$42))))</f>
        <v>08070 - 08077</v>
      </c>
      <c r="AF404" s="100">
        <f>SamplingData[[#This Row],[Upper Range]]-SamplingData[[#This Row],[Span]]</f>
        <v>8069.5095030420525</v>
      </c>
      <c r="AG404" s="100">
        <f>IF(ISNUMBER('General Info'!$B$42), ((SamplingData[[#This Row],[up/U Selection Probability]]) * 'General Info'!$B$44) - 1, 0)</f>
        <v>7.076239702794382</v>
      </c>
      <c r="AH404" s="100">
        <f>IF(ISNUMBER('General Info'!$B$42), (SamplingData[[#This Row],[Running (cumulative) sum]] * ('General Info'!$B$42 -'General Info'!$B$43 + 1)) + 'General Info'!$B$43 - 1, 0)</f>
        <v>8076.5857427448473</v>
      </c>
      <c r="AI404" s="100" t="str">
        <f>IF(ISERROR(MATCH(SamplingData[[#This Row],[Batch by Type (p)]],SelectedPrecincts[Batch Name], 0)), "", INDEX(SelectedPrecincts[Draw], MATCH(SamplingData[[#This Row],[Batch by Type (p)]],SelectedPrecincts[Batch Name], 0)))</f>
        <v/>
      </c>
      <c r="AJ404" s="101">
        <f>IF(COUNTIF(SelectedPrecincts[Batch Name],SamplingData[[#This Row],[Batch by Type (p)]]) &lt;&gt; 0, COUNTIF(SelectedPrecincts[Batch Name],SamplingData[[#This Row],[Batch by Type (p)]]), 0)</f>
        <v>0</v>
      </c>
    </row>
    <row r="405" spans="1:36" ht="15" customHeight="1" x14ac:dyDescent="0.35">
      <c r="A405" s="98" t="s">
        <v>617</v>
      </c>
      <c r="B405" s="98">
        <v>6</v>
      </c>
      <c r="C405" s="98">
        <v>0</v>
      </c>
      <c r="D405" s="93"/>
      <c r="E405" s="93"/>
      <c r="F405" s="93"/>
      <c r="G405" s="97"/>
      <c r="H405" s="97"/>
      <c r="I405" s="93"/>
      <c r="J405" s="93"/>
      <c r="K405" s="93"/>
      <c r="L405" s="93"/>
      <c r="M405" s="93"/>
      <c r="N405" s="98">
        <v>0</v>
      </c>
      <c r="O405" s="98">
        <v>0</v>
      </c>
      <c r="P405" s="99">
        <f>SUM(SamplingData[[#This Row],[Winning Candidate]:[Under Votes]])</f>
        <v>6</v>
      </c>
      <c r="Q405"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405" s="100">
        <f>IF(AND(SamplingData[[#This Row],[Total]]&lt;&gt; 0, NOT(ISBLANK(SamplingData[[#This Row],[Candidate 3]]))),(SamplingData[[#This Row],[Total]]+SamplingData[[#This Row],[Winning Candidate]]-SamplingData[[#This Row],[Candidate 3]])/(SamplingData[[#Totals],[Winning Candidate]]-SamplingData[[#Totals],[Candidate 3]]), 0)</f>
        <v>0</v>
      </c>
      <c r="S405" s="100">
        <f>IF(AND(SamplingData[[#This Row],[Total]]&lt;&gt; 0, NOT(ISBLANK(SamplingData[[#This Row],[Candidate 4]]))),(SamplingData[[#This Row],[Total]]+SamplingData[[#This Row],[Winning Candidate]]-SamplingData[[#This Row],[Candidate 4]])/(SamplingData[[#Totals],[Winning Candidate]]-SamplingData[[#Totals],[Candidate 4]]), 0)</f>
        <v>0</v>
      </c>
      <c r="T405" s="100">
        <f>IF(AND(SamplingData[[#This Row],[Total]]&lt;&gt; 0, NOT(ISBLANK(SamplingData[[#This Row],[Candidate 5]]))),(SamplingData[[#This Row],[Total]]+SamplingData[[#This Row],[Winning Candidate]]-SamplingData[[#This Row],[Candidate 5]])/(SamplingData[[#Totals],[Winning Candidate]]-SamplingData[[#Totals],[Candidate 5]]), 0)</f>
        <v>0</v>
      </c>
      <c r="U405" s="100">
        <f>IF(AND(SamplingData[[#This Row],[Total]]&lt;&gt; 0, NOT(ISBLANK(SamplingData[[#This Row],[Candidate 6]]))),(SamplingData[[#This Row],[Total]]+SamplingData[[#This Row],[Losing Candidate]]-SamplingData[[#This Row],[Candidate 6]])/(SamplingData[[#Totals],[Winning Candidate]]-SamplingData[[#Totals],[Candidate 6]]), 0)</f>
        <v>0</v>
      </c>
      <c r="V405" s="100">
        <f>IF(AND(SamplingData[[#This Row],[Total]]&lt;&gt; 0, NOT(ISBLANK(SamplingData[[#This Row],[Candidate 7]]))),(SamplingData[[#This Row],[Total]]+SamplingData[[#This Row],[Winning Candidate]]-SamplingData[[#This Row],[Candidate 7]])/(SamplingData[[#Totals],[Winning Candidate]]-SamplingData[[#Totals],[Candidate 7]]), 0)</f>
        <v>0</v>
      </c>
      <c r="W405" s="100">
        <f>IF(AND(SamplingData[[#This Row],[Total]]&lt;&gt; 0, NOT(ISBLANK(SamplingData[[#This Row],[Candidate 8]]))),(SamplingData[[#This Row],[Total]]+SamplingData[[#This Row],[Winning Candidate]]-SamplingData[[#This Row],[Candidate 8]])/(SamplingData[[#Totals],[Winning Candidate]]-SamplingData[[#Totals],[Candidate 8]]), 0)</f>
        <v>0</v>
      </c>
      <c r="X4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00">
        <f>MAX(SamplingData[[#This Row],[Error Bound (up) - Max. possible relative overstatement - Losing Candidate]:[Error Bound (up) - Max. possible relative overstatement - Candidate 12]])</f>
        <v>3.7691993592361088E-4</v>
      </c>
      <c r="AC405" s="100">
        <f>IF(SamplingData[[#This Row],[Max Error Bound (up)]] = 0,0,SamplingData[[#This Row],[Max Error Bound (up)]]/SamplingData[[#Totals],[Max Error Bound (up)]])</f>
        <v>1.6152479405588763E-4</v>
      </c>
      <c r="AD405" s="104">
        <f>SUM($AC$5:AC405)</f>
        <v>8.0937382221504359E-2</v>
      </c>
      <c r="AE405" s="100" t="str" cm="1">
        <f t="array" ref="AE405">IF(SamplingData[[#This Row],[up/U Selection Probability]] = 0, "Zero", TEXT(SamplingData[[#This Row],[Lower Range]], REPT("0",LEN('General Info'!$B$42))) &amp; " - " &amp; TEXT(SamplingData[[#This Row],[Upper Range]], REPT("0",LEN('General Info'!$B$42))))</f>
        <v>08078 - 08093</v>
      </c>
      <c r="AF405" s="100">
        <f>SamplingData[[#This Row],[Upper Range]]-SamplingData[[#This Row],[Span]]</f>
        <v>8077.5857427448473</v>
      </c>
      <c r="AG405" s="100">
        <f>IF(ISNUMBER('General Info'!$B$42), ((SamplingData[[#This Row],[up/U Selection Probability]]) * 'General Info'!$B$44) - 1, 0)</f>
        <v>15.152479405588764</v>
      </c>
      <c r="AH405" s="100">
        <f>IF(ISNUMBER('General Info'!$B$42), (SamplingData[[#This Row],[Running (cumulative) sum]] * ('General Info'!$B$42 -'General Info'!$B$43 + 1)) + 'General Info'!$B$43 - 1, 0)</f>
        <v>8092.7382221504358</v>
      </c>
      <c r="AI405" s="100" t="str">
        <f>IF(ISERROR(MATCH(SamplingData[[#This Row],[Batch by Type (p)]],SelectedPrecincts[Batch Name], 0)), "", INDEX(SelectedPrecincts[Draw], MATCH(SamplingData[[#This Row],[Batch by Type (p)]],SelectedPrecincts[Batch Name], 0)))</f>
        <v/>
      </c>
      <c r="AJ405" s="101">
        <f>IF(COUNTIF(SelectedPrecincts[Batch Name],SamplingData[[#This Row],[Batch by Type (p)]]) &lt;&gt; 0, COUNTIF(SelectedPrecincts[Batch Name],SamplingData[[#This Row],[Batch by Type (p)]]), 0)</f>
        <v>0</v>
      </c>
    </row>
    <row r="406" spans="1:36" ht="15" customHeight="1" x14ac:dyDescent="0.35">
      <c r="A406" s="98" t="s">
        <v>618</v>
      </c>
      <c r="B406" s="98">
        <v>8</v>
      </c>
      <c r="C406" s="98">
        <v>1</v>
      </c>
      <c r="D406" s="93"/>
      <c r="E406" s="93"/>
      <c r="F406" s="93"/>
      <c r="G406" s="97"/>
      <c r="H406" s="97"/>
      <c r="I406" s="93"/>
      <c r="J406" s="93"/>
      <c r="K406" s="93"/>
      <c r="L406" s="93"/>
      <c r="M406" s="93"/>
      <c r="N406" s="98">
        <v>0</v>
      </c>
      <c r="O406" s="98">
        <v>0</v>
      </c>
      <c r="P406" s="99">
        <f>SUM(SamplingData[[#This Row],[Winning Candidate]:[Under Votes]])</f>
        <v>9</v>
      </c>
      <c r="Q406"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406" s="100">
        <f>IF(AND(SamplingData[[#This Row],[Total]]&lt;&gt; 0, NOT(ISBLANK(SamplingData[[#This Row],[Candidate 3]]))),(SamplingData[[#This Row],[Total]]+SamplingData[[#This Row],[Winning Candidate]]-SamplingData[[#This Row],[Candidate 3]])/(SamplingData[[#Totals],[Winning Candidate]]-SamplingData[[#Totals],[Candidate 3]]), 0)</f>
        <v>0</v>
      </c>
      <c r="S406" s="100">
        <f>IF(AND(SamplingData[[#This Row],[Total]]&lt;&gt; 0, NOT(ISBLANK(SamplingData[[#This Row],[Candidate 4]]))),(SamplingData[[#This Row],[Total]]+SamplingData[[#This Row],[Winning Candidate]]-SamplingData[[#This Row],[Candidate 4]])/(SamplingData[[#Totals],[Winning Candidate]]-SamplingData[[#Totals],[Candidate 4]]), 0)</f>
        <v>0</v>
      </c>
      <c r="T406" s="100">
        <f>IF(AND(SamplingData[[#This Row],[Total]]&lt;&gt; 0, NOT(ISBLANK(SamplingData[[#This Row],[Candidate 5]]))),(SamplingData[[#This Row],[Total]]+SamplingData[[#This Row],[Winning Candidate]]-SamplingData[[#This Row],[Candidate 5]])/(SamplingData[[#Totals],[Winning Candidate]]-SamplingData[[#Totals],[Candidate 5]]), 0)</f>
        <v>0</v>
      </c>
      <c r="U406" s="100">
        <f>IF(AND(SamplingData[[#This Row],[Total]]&lt;&gt; 0, NOT(ISBLANK(SamplingData[[#This Row],[Candidate 6]]))),(SamplingData[[#This Row],[Total]]+SamplingData[[#This Row],[Losing Candidate]]-SamplingData[[#This Row],[Candidate 6]])/(SamplingData[[#Totals],[Winning Candidate]]-SamplingData[[#Totals],[Candidate 6]]), 0)</f>
        <v>0</v>
      </c>
      <c r="V406" s="100">
        <f>IF(AND(SamplingData[[#This Row],[Total]]&lt;&gt; 0, NOT(ISBLANK(SamplingData[[#This Row],[Candidate 7]]))),(SamplingData[[#This Row],[Total]]+SamplingData[[#This Row],[Winning Candidate]]-SamplingData[[#This Row],[Candidate 7]])/(SamplingData[[#Totals],[Winning Candidate]]-SamplingData[[#Totals],[Candidate 7]]), 0)</f>
        <v>0</v>
      </c>
      <c r="W406" s="100">
        <f>IF(AND(SamplingData[[#This Row],[Total]]&lt;&gt; 0, NOT(ISBLANK(SamplingData[[#This Row],[Candidate 8]]))),(SamplingData[[#This Row],[Total]]+SamplingData[[#This Row],[Winning Candidate]]-SamplingData[[#This Row],[Candidate 8]])/(SamplingData[[#Totals],[Winning Candidate]]-SamplingData[[#Totals],[Candidate 8]]), 0)</f>
        <v>0</v>
      </c>
      <c r="X4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00">
        <f>MAX(SamplingData[[#This Row],[Error Bound (up) - Max. possible relative overstatement - Losing Candidate]:[Error Bound (up) - Max. possible relative overstatement - Candidate 12]])</f>
        <v>5.0255991456481448E-4</v>
      </c>
      <c r="AC406" s="100">
        <f>IF(SamplingData[[#This Row],[Max Error Bound (up)]] = 0,0,SamplingData[[#This Row],[Max Error Bound (up)]]/SamplingData[[#Totals],[Max Error Bound (up)]])</f>
        <v>2.1536639207451683E-4</v>
      </c>
      <c r="AD406" s="104">
        <f>SUM($AC$5:AC406)</f>
        <v>8.1152748613578879E-2</v>
      </c>
      <c r="AE406" s="100" t="str" cm="1">
        <f t="array" ref="AE406">IF(SamplingData[[#This Row],[up/U Selection Probability]] = 0, "Zero", TEXT(SamplingData[[#This Row],[Lower Range]], REPT("0",LEN('General Info'!$B$42))) &amp; " - " &amp; TEXT(SamplingData[[#This Row],[Upper Range]], REPT("0",LEN('General Info'!$B$42))))</f>
        <v>08094 - 08114</v>
      </c>
      <c r="AF406" s="100">
        <f>SamplingData[[#This Row],[Upper Range]]-SamplingData[[#This Row],[Span]]</f>
        <v>8093.7382221504358</v>
      </c>
      <c r="AG406" s="100">
        <f>IF(ISNUMBER('General Info'!$B$42), ((SamplingData[[#This Row],[up/U Selection Probability]]) * 'General Info'!$B$44) - 1, 0)</f>
        <v>20.536639207451682</v>
      </c>
      <c r="AH406" s="100">
        <f>IF(ISNUMBER('General Info'!$B$42), (SamplingData[[#This Row],[Running (cumulative) sum]] * ('General Info'!$B$42 -'General Info'!$B$43 + 1)) + 'General Info'!$B$43 - 1, 0)</f>
        <v>8114.2748613578879</v>
      </c>
      <c r="AI406" s="100" t="str">
        <f>IF(ISERROR(MATCH(SamplingData[[#This Row],[Batch by Type (p)]],SelectedPrecincts[Batch Name], 0)), "", INDEX(SelectedPrecincts[Draw], MATCH(SamplingData[[#This Row],[Batch by Type (p)]],SelectedPrecincts[Batch Name], 0)))</f>
        <v/>
      </c>
      <c r="AJ406" s="101">
        <f>IF(COUNTIF(SelectedPrecincts[Batch Name],SamplingData[[#This Row],[Batch by Type (p)]]) &lt;&gt; 0, COUNTIF(SelectedPrecincts[Batch Name],SamplingData[[#This Row],[Batch by Type (p)]]), 0)</f>
        <v>0</v>
      </c>
    </row>
    <row r="407" spans="1:36" ht="15" customHeight="1" x14ac:dyDescent="0.35">
      <c r="A407" s="98" t="s">
        <v>619</v>
      </c>
      <c r="B407" s="98">
        <v>0</v>
      </c>
      <c r="C407" s="98">
        <v>0</v>
      </c>
      <c r="D407" s="93"/>
      <c r="E407" s="93"/>
      <c r="F407" s="93"/>
      <c r="G407" s="97"/>
      <c r="H407" s="97"/>
      <c r="I407" s="93"/>
      <c r="J407" s="93"/>
      <c r="K407" s="93"/>
      <c r="L407" s="93"/>
      <c r="M407" s="93"/>
      <c r="N407" s="98">
        <v>0</v>
      </c>
      <c r="O407" s="98">
        <v>0</v>
      </c>
      <c r="P407" s="99">
        <f>SUM(SamplingData[[#This Row],[Winning Candidate]:[Under Votes]])</f>
        <v>0</v>
      </c>
      <c r="Q407" s="100">
        <f>IF(AND(SamplingData[[#This Row],[Total]]&lt;&gt; 0, NOT(ISBLANK(SamplingData[[#This Row],[Losing Candidate]]))),(SamplingData[[#This Row],[Total]]+SamplingData[[#This Row],[Winning Candidate]]-SamplingData[[#This Row],[Losing Candidate]])/(SamplingData[[#Totals],[Winning Candidate]]-SamplingData[[#Totals],[Losing Candidate]]), 0)</f>
        <v>0</v>
      </c>
      <c r="R407" s="100">
        <f>IF(AND(SamplingData[[#This Row],[Total]]&lt;&gt; 0, NOT(ISBLANK(SamplingData[[#This Row],[Candidate 3]]))),(SamplingData[[#This Row],[Total]]+SamplingData[[#This Row],[Winning Candidate]]-SamplingData[[#This Row],[Candidate 3]])/(SamplingData[[#Totals],[Winning Candidate]]-SamplingData[[#Totals],[Candidate 3]]), 0)</f>
        <v>0</v>
      </c>
      <c r="S407" s="100">
        <f>IF(AND(SamplingData[[#This Row],[Total]]&lt;&gt; 0, NOT(ISBLANK(SamplingData[[#This Row],[Candidate 4]]))),(SamplingData[[#This Row],[Total]]+SamplingData[[#This Row],[Winning Candidate]]-SamplingData[[#This Row],[Candidate 4]])/(SamplingData[[#Totals],[Winning Candidate]]-SamplingData[[#Totals],[Candidate 4]]), 0)</f>
        <v>0</v>
      </c>
      <c r="T407" s="100">
        <f>IF(AND(SamplingData[[#This Row],[Total]]&lt;&gt; 0, NOT(ISBLANK(SamplingData[[#This Row],[Candidate 5]]))),(SamplingData[[#This Row],[Total]]+SamplingData[[#This Row],[Winning Candidate]]-SamplingData[[#This Row],[Candidate 5]])/(SamplingData[[#Totals],[Winning Candidate]]-SamplingData[[#Totals],[Candidate 5]]), 0)</f>
        <v>0</v>
      </c>
      <c r="U407" s="100">
        <f>IF(AND(SamplingData[[#This Row],[Total]]&lt;&gt; 0, NOT(ISBLANK(SamplingData[[#This Row],[Candidate 6]]))),(SamplingData[[#This Row],[Total]]+SamplingData[[#This Row],[Losing Candidate]]-SamplingData[[#This Row],[Candidate 6]])/(SamplingData[[#Totals],[Winning Candidate]]-SamplingData[[#Totals],[Candidate 6]]), 0)</f>
        <v>0</v>
      </c>
      <c r="V407" s="100">
        <f>IF(AND(SamplingData[[#This Row],[Total]]&lt;&gt; 0, NOT(ISBLANK(SamplingData[[#This Row],[Candidate 7]]))),(SamplingData[[#This Row],[Total]]+SamplingData[[#This Row],[Winning Candidate]]-SamplingData[[#This Row],[Candidate 7]])/(SamplingData[[#Totals],[Winning Candidate]]-SamplingData[[#Totals],[Candidate 7]]), 0)</f>
        <v>0</v>
      </c>
      <c r="W407" s="100">
        <f>IF(AND(SamplingData[[#This Row],[Total]]&lt;&gt; 0, NOT(ISBLANK(SamplingData[[#This Row],[Candidate 8]]))),(SamplingData[[#This Row],[Total]]+SamplingData[[#This Row],[Winning Candidate]]-SamplingData[[#This Row],[Candidate 8]])/(SamplingData[[#Totals],[Winning Candidate]]-SamplingData[[#Totals],[Candidate 8]]), 0)</f>
        <v>0</v>
      </c>
      <c r="X4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00">
        <f>MAX(SamplingData[[#This Row],[Error Bound (up) - Max. possible relative overstatement - Losing Candidate]:[Error Bound (up) - Max. possible relative overstatement - Candidate 12]])</f>
        <v>0</v>
      </c>
      <c r="AC407" s="100">
        <f>IF(SamplingData[[#This Row],[Max Error Bound (up)]] = 0,0,SamplingData[[#This Row],[Max Error Bound (up)]]/SamplingData[[#Totals],[Max Error Bound (up)]])</f>
        <v>0</v>
      </c>
      <c r="AD407" s="104">
        <f>SUM($AC$5:AC407)</f>
        <v>8.1152748613578879E-2</v>
      </c>
      <c r="AE407" s="100" t="str" cm="1">
        <f t="array" ref="AE407">IF(SamplingData[[#This Row],[up/U Selection Probability]] = 0, "Zero", TEXT(SamplingData[[#This Row],[Lower Range]], REPT("0",LEN('General Info'!$B$42))) &amp; " - " &amp; TEXT(SamplingData[[#This Row],[Upper Range]], REPT("0",LEN('General Info'!$B$42))))</f>
        <v>Zero</v>
      </c>
      <c r="AF407" s="100">
        <f>SamplingData[[#This Row],[Upper Range]]-SamplingData[[#This Row],[Span]]</f>
        <v>8115.2748613578879</v>
      </c>
      <c r="AG407" s="100">
        <f>IF(ISNUMBER('General Info'!$B$42), ((SamplingData[[#This Row],[up/U Selection Probability]]) * 'General Info'!$B$44) - 1, 0)</f>
        <v>-1</v>
      </c>
      <c r="AH407" s="100">
        <f>IF(ISNUMBER('General Info'!$B$42), (SamplingData[[#This Row],[Running (cumulative) sum]] * ('General Info'!$B$42 -'General Info'!$B$43 + 1)) + 'General Info'!$B$43 - 1, 0)</f>
        <v>8114.2748613578879</v>
      </c>
      <c r="AI407" s="100" t="str">
        <f>IF(ISERROR(MATCH(SamplingData[[#This Row],[Batch by Type (p)]],SelectedPrecincts[Batch Name], 0)), "", INDEX(SelectedPrecincts[Draw], MATCH(SamplingData[[#This Row],[Batch by Type (p)]],SelectedPrecincts[Batch Name], 0)))</f>
        <v/>
      </c>
      <c r="AJ407" s="101">
        <f>IF(COUNTIF(SelectedPrecincts[Batch Name],SamplingData[[#This Row],[Batch by Type (p)]]) &lt;&gt; 0, COUNTIF(SelectedPrecincts[Batch Name],SamplingData[[#This Row],[Batch by Type (p)]]), 0)</f>
        <v>0</v>
      </c>
    </row>
    <row r="408" spans="1:36" ht="15" customHeight="1" x14ac:dyDescent="0.35">
      <c r="A408" s="98" t="s">
        <v>620</v>
      </c>
      <c r="B408" s="98">
        <v>26</v>
      </c>
      <c r="C408" s="98">
        <v>3</v>
      </c>
      <c r="D408" s="93"/>
      <c r="E408" s="93"/>
      <c r="F408" s="93"/>
      <c r="G408" s="97"/>
      <c r="H408" s="97"/>
      <c r="I408" s="93"/>
      <c r="J408" s="93"/>
      <c r="K408" s="93"/>
      <c r="L408" s="93"/>
      <c r="M408" s="93"/>
      <c r="N408" s="98">
        <v>0</v>
      </c>
      <c r="O408" s="98">
        <v>2</v>
      </c>
      <c r="P408" s="99">
        <f>SUM(SamplingData[[#This Row],[Winning Candidate]:[Under Votes]])</f>
        <v>31</v>
      </c>
      <c r="Q408" s="100">
        <f>IF(AND(SamplingData[[#This Row],[Total]]&lt;&gt; 0, NOT(ISBLANK(SamplingData[[#This Row],[Losing Candidate]]))),(SamplingData[[#This Row],[Total]]+SamplingData[[#This Row],[Winning Candidate]]-SamplingData[[#This Row],[Losing Candidate]])/(SamplingData[[#Totals],[Winning Candidate]]-SamplingData[[#Totals],[Losing Candidate]]), 0)</f>
        <v>1.6961397116562491E-3</v>
      </c>
      <c r="R408" s="100">
        <f>IF(AND(SamplingData[[#This Row],[Total]]&lt;&gt; 0, NOT(ISBLANK(SamplingData[[#This Row],[Candidate 3]]))),(SamplingData[[#This Row],[Total]]+SamplingData[[#This Row],[Winning Candidate]]-SamplingData[[#This Row],[Candidate 3]])/(SamplingData[[#Totals],[Winning Candidate]]-SamplingData[[#Totals],[Candidate 3]]), 0)</f>
        <v>0</v>
      </c>
      <c r="S408" s="100">
        <f>IF(AND(SamplingData[[#This Row],[Total]]&lt;&gt; 0, NOT(ISBLANK(SamplingData[[#This Row],[Candidate 4]]))),(SamplingData[[#This Row],[Total]]+SamplingData[[#This Row],[Winning Candidate]]-SamplingData[[#This Row],[Candidate 4]])/(SamplingData[[#Totals],[Winning Candidate]]-SamplingData[[#Totals],[Candidate 4]]), 0)</f>
        <v>0</v>
      </c>
      <c r="T408" s="100">
        <f>IF(AND(SamplingData[[#This Row],[Total]]&lt;&gt; 0, NOT(ISBLANK(SamplingData[[#This Row],[Candidate 5]]))),(SamplingData[[#This Row],[Total]]+SamplingData[[#This Row],[Winning Candidate]]-SamplingData[[#This Row],[Candidate 5]])/(SamplingData[[#Totals],[Winning Candidate]]-SamplingData[[#Totals],[Candidate 5]]), 0)</f>
        <v>0</v>
      </c>
      <c r="U408" s="100">
        <f>IF(AND(SamplingData[[#This Row],[Total]]&lt;&gt; 0, NOT(ISBLANK(SamplingData[[#This Row],[Candidate 6]]))),(SamplingData[[#This Row],[Total]]+SamplingData[[#This Row],[Losing Candidate]]-SamplingData[[#This Row],[Candidate 6]])/(SamplingData[[#Totals],[Winning Candidate]]-SamplingData[[#Totals],[Candidate 6]]), 0)</f>
        <v>0</v>
      </c>
      <c r="V408" s="100">
        <f>IF(AND(SamplingData[[#This Row],[Total]]&lt;&gt; 0, NOT(ISBLANK(SamplingData[[#This Row],[Candidate 7]]))),(SamplingData[[#This Row],[Total]]+SamplingData[[#This Row],[Winning Candidate]]-SamplingData[[#This Row],[Candidate 7]])/(SamplingData[[#Totals],[Winning Candidate]]-SamplingData[[#Totals],[Candidate 7]]), 0)</f>
        <v>0</v>
      </c>
      <c r="W408" s="100">
        <f>IF(AND(SamplingData[[#This Row],[Total]]&lt;&gt; 0, NOT(ISBLANK(SamplingData[[#This Row],[Candidate 8]]))),(SamplingData[[#This Row],[Total]]+SamplingData[[#This Row],[Winning Candidate]]-SamplingData[[#This Row],[Candidate 8]])/(SamplingData[[#Totals],[Winning Candidate]]-SamplingData[[#Totals],[Candidate 8]]), 0)</f>
        <v>0</v>
      </c>
      <c r="X4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00">
        <f>MAX(SamplingData[[#This Row],[Error Bound (up) - Max. possible relative overstatement - Losing Candidate]:[Error Bound (up) - Max. possible relative overstatement - Candidate 12]])</f>
        <v>1.6961397116562491E-3</v>
      </c>
      <c r="AC408" s="100">
        <f>IF(SamplingData[[#This Row],[Max Error Bound (up)]] = 0,0,SamplingData[[#This Row],[Max Error Bound (up)]]/SamplingData[[#Totals],[Max Error Bound (up)]])</f>
        <v>7.2686157325149443E-4</v>
      </c>
      <c r="AD408" s="104">
        <f>SUM($AC$5:AC408)</f>
        <v>8.1879610186830376E-2</v>
      </c>
      <c r="AE408" s="100" t="str" cm="1">
        <f t="array" ref="AE408">IF(SamplingData[[#This Row],[up/U Selection Probability]] = 0, "Zero", TEXT(SamplingData[[#This Row],[Lower Range]], REPT("0",LEN('General Info'!$B$42))) &amp; " - " &amp; TEXT(SamplingData[[#This Row],[Upper Range]], REPT("0",LEN('General Info'!$B$42))))</f>
        <v>08115 - 08187</v>
      </c>
      <c r="AF408" s="100">
        <f>SamplingData[[#This Row],[Upper Range]]-SamplingData[[#This Row],[Span]]</f>
        <v>8115.2748613578888</v>
      </c>
      <c r="AG408" s="100">
        <f>IF(ISNUMBER('General Info'!$B$42), ((SamplingData[[#This Row],[up/U Selection Probability]]) * 'General Info'!$B$44) - 1, 0)</f>
        <v>71.686157325149438</v>
      </c>
      <c r="AH408" s="100">
        <f>IF(ISNUMBER('General Info'!$B$42), (SamplingData[[#This Row],[Running (cumulative) sum]] * ('General Info'!$B$42 -'General Info'!$B$43 + 1)) + 'General Info'!$B$43 - 1, 0)</f>
        <v>8186.9610186830378</v>
      </c>
      <c r="AI408" s="100" t="str">
        <f>IF(ISERROR(MATCH(SamplingData[[#This Row],[Batch by Type (p)]],SelectedPrecincts[Batch Name], 0)), "", INDEX(SelectedPrecincts[Draw], MATCH(SamplingData[[#This Row],[Batch by Type (p)]],SelectedPrecincts[Batch Name], 0)))</f>
        <v/>
      </c>
      <c r="AJ408" s="101">
        <f>IF(COUNTIF(SelectedPrecincts[Batch Name],SamplingData[[#This Row],[Batch by Type (p)]]) &lt;&gt; 0, COUNTIF(SelectedPrecincts[Batch Name],SamplingData[[#This Row],[Batch by Type (p)]]), 0)</f>
        <v>0</v>
      </c>
    </row>
    <row r="409" spans="1:36" ht="15" customHeight="1" x14ac:dyDescent="0.35">
      <c r="A409" s="98" t="s">
        <v>621</v>
      </c>
      <c r="B409" s="98">
        <v>16</v>
      </c>
      <c r="C409" s="98">
        <v>0</v>
      </c>
      <c r="D409" s="93"/>
      <c r="E409" s="93"/>
      <c r="F409" s="93"/>
      <c r="G409" s="97"/>
      <c r="H409" s="97"/>
      <c r="I409" s="93"/>
      <c r="J409" s="93"/>
      <c r="K409" s="93"/>
      <c r="L409" s="93"/>
      <c r="M409" s="93"/>
      <c r="N409" s="98">
        <v>0</v>
      </c>
      <c r="O409" s="98">
        <v>0</v>
      </c>
      <c r="P409" s="99">
        <f>SUM(SamplingData[[#This Row],[Winning Candidate]:[Under Votes]])</f>
        <v>16</v>
      </c>
      <c r="Q409"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409" s="100">
        <f>IF(AND(SamplingData[[#This Row],[Total]]&lt;&gt; 0, NOT(ISBLANK(SamplingData[[#This Row],[Candidate 3]]))),(SamplingData[[#This Row],[Total]]+SamplingData[[#This Row],[Winning Candidate]]-SamplingData[[#This Row],[Candidate 3]])/(SamplingData[[#Totals],[Winning Candidate]]-SamplingData[[#Totals],[Candidate 3]]), 0)</f>
        <v>0</v>
      </c>
      <c r="S409" s="100">
        <f>IF(AND(SamplingData[[#This Row],[Total]]&lt;&gt; 0, NOT(ISBLANK(SamplingData[[#This Row],[Candidate 4]]))),(SamplingData[[#This Row],[Total]]+SamplingData[[#This Row],[Winning Candidate]]-SamplingData[[#This Row],[Candidate 4]])/(SamplingData[[#Totals],[Winning Candidate]]-SamplingData[[#Totals],[Candidate 4]]), 0)</f>
        <v>0</v>
      </c>
      <c r="T409" s="100">
        <f>IF(AND(SamplingData[[#This Row],[Total]]&lt;&gt; 0, NOT(ISBLANK(SamplingData[[#This Row],[Candidate 5]]))),(SamplingData[[#This Row],[Total]]+SamplingData[[#This Row],[Winning Candidate]]-SamplingData[[#This Row],[Candidate 5]])/(SamplingData[[#Totals],[Winning Candidate]]-SamplingData[[#Totals],[Candidate 5]]), 0)</f>
        <v>0</v>
      </c>
      <c r="U409" s="100">
        <f>IF(AND(SamplingData[[#This Row],[Total]]&lt;&gt; 0, NOT(ISBLANK(SamplingData[[#This Row],[Candidate 6]]))),(SamplingData[[#This Row],[Total]]+SamplingData[[#This Row],[Losing Candidate]]-SamplingData[[#This Row],[Candidate 6]])/(SamplingData[[#Totals],[Winning Candidate]]-SamplingData[[#Totals],[Candidate 6]]), 0)</f>
        <v>0</v>
      </c>
      <c r="V409" s="100">
        <f>IF(AND(SamplingData[[#This Row],[Total]]&lt;&gt; 0, NOT(ISBLANK(SamplingData[[#This Row],[Candidate 7]]))),(SamplingData[[#This Row],[Total]]+SamplingData[[#This Row],[Winning Candidate]]-SamplingData[[#This Row],[Candidate 7]])/(SamplingData[[#Totals],[Winning Candidate]]-SamplingData[[#Totals],[Candidate 7]]), 0)</f>
        <v>0</v>
      </c>
      <c r="W409" s="100">
        <f>IF(AND(SamplingData[[#This Row],[Total]]&lt;&gt; 0, NOT(ISBLANK(SamplingData[[#This Row],[Candidate 8]]))),(SamplingData[[#This Row],[Total]]+SamplingData[[#This Row],[Winning Candidate]]-SamplingData[[#This Row],[Candidate 8]])/(SamplingData[[#Totals],[Winning Candidate]]-SamplingData[[#Totals],[Candidate 8]]), 0)</f>
        <v>0</v>
      </c>
      <c r="X4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00">
        <f>MAX(SamplingData[[#This Row],[Error Bound (up) - Max. possible relative overstatement - Losing Candidate]:[Error Bound (up) - Max. possible relative overstatement - Candidate 12]])</f>
        <v>1.005119829129629E-3</v>
      </c>
      <c r="AC409" s="100">
        <f>IF(SamplingData[[#This Row],[Max Error Bound (up)]] = 0,0,SamplingData[[#This Row],[Max Error Bound (up)]]/SamplingData[[#Totals],[Max Error Bound (up)]])</f>
        <v>4.3073278414903365E-4</v>
      </c>
      <c r="AD409" s="104">
        <f>SUM($AC$5:AC409)</f>
        <v>8.2310342970979417E-2</v>
      </c>
      <c r="AE409" s="100" t="str" cm="1">
        <f t="array" ref="AE409">IF(SamplingData[[#This Row],[up/U Selection Probability]] = 0, "Zero", TEXT(SamplingData[[#This Row],[Lower Range]], REPT("0",LEN('General Info'!$B$42))) &amp; " - " &amp; TEXT(SamplingData[[#This Row],[Upper Range]], REPT("0",LEN('General Info'!$B$42))))</f>
        <v>08188 - 08230</v>
      </c>
      <c r="AF409" s="100">
        <f>SamplingData[[#This Row],[Upper Range]]-SamplingData[[#This Row],[Span]]</f>
        <v>8187.9610186830387</v>
      </c>
      <c r="AG409" s="100">
        <f>IF(ISNUMBER('General Info'!$B$42), ((SamplingData[[#This Row],[up/U Selection Probability]]) * 'General Info'!$B$44) - 1, 0)</f>
        <v>42.073278414903363</v>
      </c>
      <c r="AH409" s="100">
        <f>IF(ISNUMBER('General Info'!$B$42), (SamplingData[[#This Row],[Running (cumulative) sum]] * ('General Info'!$B$42 -'General Info'!$B$43 + 1)) + 'General Info'!$B$43 - 1, 0)</f>
        <v>8230.0342970979418</v>
      </c>
      <c r="AI409" s="100" t="str">
        <f>IF(ISERROR(MATCH(SamplingData[[#This Row],[Batch by Type (p)]],SelectedPrecincts[Batch Name], 0)), "", INDEX(SelectedPrecincts[Draw], MATCH(SamplingData[[#This Row],[Batch by Type (p)]],SelectedPrecincts[Batch Name], 0)))</f>
        <v/>
      </c>
      <c r="AJ409" s="101">
        <f>IF(COUNTIF(SelectedPrecincts[Batch Name],SamplingData[[#This Row],[Batch by Type (p)]]) &lt;&gt; 0, COUNTIF(SelectedPrecincts[Batch Name],SamplingData[[#This Row],[Batch by Type (p)]]), 0)</f>
        <v>0</v>
      </c>
    </row>
    <row r="410" spans="1:36" ht="15" customHeight="1" x14ac:dyDescent="0.35">
      <c r="A410" s="98" t="s">
        <v>622</v>
      </c>
      <c r="B410" s="98">
        <v>5</v>
      </c>
      <c r="C410" s="98">
        <v>1</v>
      </c>
      <c r="D410" s="93"/>
      <c r="E410" s="93"/>
      <c r="F410" s="93"/>
      <c r="G410" s="97"/>
      <c r="H410" s="97"/>
      <c r="I410" s="93"/>
      <c r="J410" s="93"/>
      <c r="K410" s="93"/>
      <c r="L410" s="93"/>
      <c r="M410" s="93"/>
      <c r="N410" s="98">
        <v>0</v>
      </c>
      <c r="O410" s="98">
        <v>0</v>
      </c>
      <c r="P410" s="99">
        <f>SUM(SamplingData[[#This Row],[Winning Candidate]:[Under Votes]])</f>
        <v>6</v>
      </c>
      <c r="Q410"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410" s="100">
        <f>IF(AND(SamplingData[[#This Row],[Total]]&lt;&gt; 0, NOT(ISBLANK(SamplingData[[#This Row],[Candidate 3]]))),(SamplingData[[#This Row],[Total]]+SamplingData[[#This Row],[Winning Candidate]]-SamplingData[[#This Row],[Candidate 3]])/(SamplingData[[#Totals],[Winning Candidate]]-SamplingData[[#Totals],[Candidate 3]]), 0)</f>
        <v>0</v>
      </c>
      <c r="S410" s="100">
        <f>IF(AND(SamplingData[[#This Row],[Total]]&lt;&gt; 0, NOT(ISBLANK(SamplingData[[#This Row],[Candidate 4]]))),(SamplingData[[#This Row],[Total]]+SamplingData[[#This Row],[Winning Candidate]]-SamplingData[[#This Row],[Candidate 4]])/(SamplingData[[#Totals],[Winning Candidate]]-SamplingData[[#Totals],[Candidate 4]]), 0)</f>
        <v>0</v>
      </c>
      <c r="T410" s="100">
        <f>IF(AND(SamplingData[[#This Row],[Total]]&lt;&gt; 0, NOT(ISBLANK(SamplingData[[#This Row],[Candidate 5]]))),(SamplingData[[#This Row],[Total]]+SamplingData[[#This Row],[Winning Candidate]]-SamplingData[[#This Row],[Candidate 5]])/(SamplingData[[#Totals],[Winning Candidate]]-SamplingData[[#Totals],[Candidate 5]]), 0)</f>
        <v>0</v>
      </c>
      <c r="U410" s="100">
        <f>IF(AND(SamplingData[[#This Row],[Total]]&lt;&gt; 0, NOT(ISBLANK(SamplingData[[#This Row],[Candidate 6]]))),(SamplingData[[#This Row],[Total]]+SamplingData[[#This Row],[Losing Candidate]]-SamplingData[[#This Row],[Candidate 6]])/(SamplingData[[#Totals],[Winning Candidate]]-SamplingData[[#Totals],[Candidate 6]]), 0)</f>
        <v>0</v>
      </c>
      <c r="V410" s="100">
        <f>IF(AND(SamplingData[[#This Row],[Total]]&lt;&gt; 0, NOT(ISBLANK(SamplingData[[#This Row],[Candidate 7]]))),(SamplingData[[#This Row],[Total]]+SamplingData[[#This Row],[Winning Candidate]]-SamplingData[[#This Row],[Candidate 7]])/(SamplingData[[#Totals],[Winning Candidate]]-SamplingData[[#Totals],[Candidate 7]]), 0)</f>
        <v>0</v>
      </c>
      <c r="W410" s="100">
        <f>IF(AND(SamplingData[[#This Row],[Total]]&lt;&gt; 0, NOT(ISBLANK(SamplingData[[#This Row],[Candidate 8]]))),(SamplingData[[#This Row],[Total]]+SamplingData[[#This Row],[Winning Candidate]]-SamplingData[[#This Row],[Candidate 8]])/(SamplingData[[#Totals],[Winning Candidate]]-SamplingData[[#Totals],[Candidate 8]]), 0)</f>
        <v>0</v>
      </c>
      <c r="X4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00">
        <f>MAX(SamplingData[[#This Row],[Error Bound (up) - Max. possible relative overstatement - Losing Candidate]:[Error Bound (up) - Max. possible relative overstatement - Candidate 12]])</f>
        <v>3.1409994660300906E-4</v>
      </c>
      <c r="AC410" s="100">
        <f>IF(SamplingData[[#This Row],[Max Error Bound (up)]] = 0,0,SamplingData[[#This Row],[Max Error Bound (up)]]/SamplingData[[#Totals],[Max Error Bound (up)]])</f>
        <v>1.3460399504657304E-4</v>
      </c>
      <c r="AD410" s="104">
        <f>SUM($AC$5:AC410)</f>
        <v>8.2444946966025986E-2</v>
      </c>
      <c r="AE410" s="100" t="str" cm="1">
        <f t="array" ref="AE410">IF(SamplingData[[#This Row],[up/U Selection Probability]] = 0, "Zero", TEXT(SamplingData[[#This Row],[Lower Range]], REPT("0",LEN('General Info'!$B$42))) &amp; " - " &amp; TEXT(SamplingData[[#This Row],[Upper Range]], REPT("0",LEN('General Info'!$B$42))))</f>
        <v>08231 - 08243</v>
      </c>
      <c r="AF410" s="100">
        <f>SamplingData[[#This Row],[Upper Range]]-SamplingData[[#This Row],[Span]]</f>
        <v>8231.03429709794</v>
      </c>
      <c r="AG410" s="100">
        <f>IF(ISNUMBER('General Info'!$B$42), ((SamplingData[[#This Row],[up/U Selection Probability]]) * 'General Info'!$B$44) - 1, 0)</f>
        <v>12.460399504657303</v>
      </c>
      <c r="AH410" s="100">
        <f>IF(ISNUMBER('General Info'!$B$42), (SamplingData[[#This Row],[Running (cumulative) sum]] * ('General Info'!$B$42 -'General Info'!$B$43 + 1)) + 'General Info'!$B$43 - 1, 0)</f>
        <v>8243.4946966025982</v>
      </c>
      <c r="AI410" s="100" t="str">
        <f>IF(ISERROR(MATCH(SamplingData[[#This Row],[Batch by Type (p)]],SelectedPrecincts[Batch Name], 0)), "", INDEX(SelectedPrecincts[Draw], MATCH(SamplingData[[#This Row],[Batch by Type (p)]],SelectedPrecincts[Batch Name], 0)))</f>
        <v/>
      </c>
      <c r="AJ410" s="101">
        <f>IF(COUNTIF(SelectedPrecincts[Batch Name],SamplingData[[#This Row],[Batch by Type (p)]]) &lt;&gt; 0, COUNTIF(SelectedPrecincts[Batch Name],SamplingData[[#This Row],[Batch by Type (p)]]), 0)</f>
        <v>0</v>
      </c>
    </row>
    <row r="411" spans="1:36" ht="15" customHeight="1" x14ac:dyDescent="0.35">
      <c r="A411" s="98" t="s">
        <v>623</v>
      </c>
      <c r="B411" s="98">
        <v>5</v>
      </c>
      <c r="C411" s="98">
        <v>2</v>
      </c>
      <c r="D411" s="93"/>
      <c r="E411" s="93"/>
      <c r="F411" s="93"/>
      <c r="G411" s="97"/>
      <c r="H411" s="97"/>
      <c r="I411" s="93"/>
      <c r="J411" s="93"/>
      <c r="K411" s="93"/>
      <c r="L411" s="93"/>
      <c r="M411" s="93"/>
      <c r="N411" s="98">
        <v>0</v>
      </c>
      <c r="O411" s="98">
        <v>0</v>
      </c>
      <c r="P411" s="99">
        <f>SUM(SamplingData[[#This Row],[Winning Candidate]:[Under Votes]])</f>
        <v>7</v>
      </c>
      <c r="Q411"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411" s="100">
        <f>IF(AND(SamplingData[[#This Row],[Total]]&lt;&gt; 0, NOT(ISBLANK(SamplingData[[#This Row],[Candidate 3]]))),(SamplingData[[#This Row],[Total]]+SamplingData[[#This Row],[Winning Candidate]]-SamplingData[[#This Row],[Candidate 3]])/(SamplingData[[#Totals],[Winning Candidate]]-SamplingData[[#Totals],[Candidate 3]]), 0)</f>
        <v>0</v>
      </c>
      <c r="S411" s="100">
        <f>IF(AND(SamplingData[[#This Row],[Total]]&lt;&gt; 0, NOT(ISBLANK(SamplingData[[#This Row],[Candidate 4]]))),(SamplingData[[#This Row],[Total]]+SamplingData[[#This Row],[Winning Candidate]]-SamplingData[[#This Row],[Candidate 4]])/(SamplingData[[#Totals],[Winning Candidate]]-SamplingData[[#Totals],[Candidate 4]]), 0)</f>
        <v>0</v>
      </c>
      <c r="T411" s="100">
        <f>IF(AND(SamplingData[[#This Row],[Total]]&lt;&gt; 0, NOT(ISBLANK(SamplingData[[#This Row],[Candidate 5]]))),(SamplingData[[#This Row],[Total]]+SamplingData[[#This Row],[Winning Candidate]]-SamplingData[[#This Row],[Candidate 5]])/(SamplingData[[#Totals],[Winning Candidate]]-SamplingData[[#Totals],[Candidate 5]]), 0)</f>
        <v>0</v>
      </c>
      <c r="U411" s="100">
        <f>IF(AND(SamplingData[[#This Row],[Total]]&lt;&gt; 0, NOT(ISBLANK(SamplingData[[#This Row],[Candidate 6]]))),(SamplingData[[#This Row],[Total]]+SamplingData[[#This Row],[Losing Candidate]]-SamplingData[[#This Row],[Candidate 6]])/(SamplingData[[#Totals],[Winning Candidate]]-SamplingData[[#Totals],[Candidate 6]]), 0)</f>
        <v>0</v>
      </c>
      <c r="V411" s="100">
        <f>IF(AND(SamplingData[[#This Row],[Total]]&lt;&gt; 0, NOT(ISBLANK(SamplingData[[#This Row],[Candidate 7]]))),(SamplingData[[#This Row],[Total]]+SamplingData[[#This Row],[Winning Candidate]]-SamplingData[[#This Row],[Candidate 7]])/(SamplingData[[#Totals],[Winning Candidate]]-SamplingData[[#Totals],[Candidate 7]]), 0)</f>
        <v>0</v>
      </c>
      <c r="W411" s="100">
        <f>IF(AND(SamplingData[[#This Row],[Total]]&lt;&gt; 0, NOT(ISBLANK(SamplingData[[#This Row],[Candidate 8]]))),(SamplingData[[#This Row],[Total]]+SamplingData[[#This Row],[Winning Candidate]]-SamplingData[[#This Row],[Candidate 8]])/(SamplingData[[#Totals],[Winning Candidate]]-SamplingData[[#Totals],[Candidate 8]]), 0)</f>
        <v>0</v>
      </c>
      <c r="X4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00">
        <f>MAX(SamplingData[[#This Row],[Error Bound (up) - Max. possible relative overstatement - Losing Candidate]:[Error Bound (up) - Max. possible relative overstatement - Candidate 12]])</f>
        <v>3.1409994660300906E-4</v>
      </c>
      <c r="AC411" s="100">
        <f>IF(SamplingData[[#This Row],[Max Error Bound (up)]] = 0,0,SamplingData[[#This Row],[Max Error Bound (up)]]/SamplingData[[#Totals],[Max Error Bound (up)]])</f>
        <v>1.3460399504657304E-4</v>
      </c>
      <c r="AD411" s="104">
        <f>SUM($AC$5:AC411)</f>
        <v>8.2579550961072556E-2</v>
      </c>
      <c r="AE411" s="100" t="str" cm="1">
        <f t="array" ref="AE411">IF(SamplingData[[#This Row],[up/U Selection Probability]] = 0, "Zero", TEXT(SamplingData[[#This Row],[Lower Range]], REPT("0",LEN('General Info'!$B$42))) &amp; " - " &amp; TEXT(SamplingData[[#This Row],[Upper Range]], REPT("0",LEN('General Info'!$B$42))))</f>
        <v>08244 - 08257</v>
      </c>
      <c r="AF411" s="100">
        <f>SamplingData[[#This Row],[Upper Range]]-SamplingData[[#This Row],[Span]]</f>
        <v>8244.4946966025982</v>
      </c>
      <c r="AG411" s="100">
        <f>IF(ISNUMBER('General Info'!$B$42), ((SamplingData[[#This Row],[up/U Selection Probability]]) * 'General Info'!$B$44) - 1, 0)</f>
        <v>12.460399504657303</v>
      </c>
      <c r="AH411" s="100">
        <f>IF(ISNUMBER('General Info'!$B$42), (SamplingData[[#This Row],[Running (cumulative) sum]] * ('General Info'!$B$42 -'General Info'!$B$43 + 1)) + 'General Info'!$B$43 - 1, 0)</f>
        <v>8256.9550961072564</v>
      </c>
      <c r="AI411" s="100" t="str">
        <f>IF(ISERROR(MATCH(SamplingData[[#This Row],[Batch by Type (p)]],SelectedPrecincts[Batch Name], 0)), "", INDEX(SelectedPrecincts[Draw], MATCH(SamplingData[[#This Row],[Batch by Type (p)]],SelectedPrecincts[Batch Name], 0)))</f>
        <v/>
      </c>
      <c r="AJ411" s="101">
        <f>IF(COUNTIF(SelectedPrecincts[Batch Name],SamplingData[[#This Row],[Batch by Type (p)]]) &lt;&gt; 0, COUNTIF(SelectedPrecincts[Batch Name],SamplingData[[#This Row],[Batch by Type (p)]]), 0)</f>
        <v>0</v>
      </c>
    </row>
    <row r="412" spans="1:36" ht="15" customHeight="1" x14ac:dyDescent="0.35">
      <c r="A412" s="98" t="s">
        <v>624</v>
      </c>
      <c r="B412" s="98">
        <v>9</v>
      </c>
      <c r="C412" s="98">
        <v>2</v>
      </c>
      <c r="D412" s="93"/>
      <c r="E412" s="93"/>
      <c r="F412" s="93"/>
      <c r="G412" s="97"/>
      <c r="H412" s="97"/>
      <c r="I412" s="93"/>
      <c r="J412" s="93"/>
      <c r="K412" s="93"/>
      <c r="L412" s="93"/>
      <c r="M412" s="93"/>
      <c r="N412" s="98">
        <v>0</v>
      </c>
      <c r="O412" s="98">
        <v>1</v>
      </c>
      <c r="P412" s="99">
        <f>SUM(SamplingData[[#This Row],[Winning Candidate]:[Under Votes]])</f>
        <v>12</v>
      </c>
      <c r="Q412" s="100">
        <f>IF(AND(SamplingData[[#This Row],[Total]]&lt;&gt; 0, NOT(ISBLANK(SamplingData[[#This Row],[Losing Candidate]]))),(SamplingData[[#This Row],[Total]]+SamplingData[[#This Row],[Winning Candidate]]-SamplingData[[#This Row],[Losing Candidate]])/(SamplingData[[#Totals],[Winning Candidate]]-SamplingData[[#Totals],[Losing Candidate]]), 0)</f>
        <v>5.9678989854571724E-4</v>
      </c>
      <c r="R412" s="100">
        <f>IF(AND(SamplingData[[#This Row],[Total]]&lt;&gt; 0, NOT(ISBLANK(SamplingData[[#This Row],[Candidate 3]]))),(SamplingData[[#This Row],[Total]]+SamplingData[[#This Row],[Winning Candidate]]-SamplingData[[#This Row],[Candidate 3]])/(SamplingData[[#Totals],[Winning Candidate]]-SamplingData[[#Totals],[Candidate 3]]), 0)</f>
        <v>0</v>
      </c>
      <c r="S412" s="100">
        <f>IF(AND(SamplingData[[#This Row],[Total]]&lt;&gt; 0, NOT(ISBLANK(SamplingData[[#This Row],[Candidate 4]]))),(SamplingData[[#This Row],[Total]]+SamplingData[[#This Row],[Winning Candidate]]-SamplingData[[#This Row],[Candidate 4]])/(SamplingData[[#Totals],[Winning Candidate]]-SamplingData[[#Totals],[Candidate 4]]), 0)</f>
        <v>0</v>
      </c>
      <c r="T412" s="100">
        <f>IF(AND(SamplingData[[#This Row],[Total]]&lt;&gt; 0, NOT(ISBLANK(SamplingData[[#This Row],[Candidate 5]]))),(SamplingData[[#This Row],[Total]]+SamplingData[[#This Row],[Winning Candidate]]-SamplingData[[#This Row],[Candidate 5]])/(SamplingData[[#Totals],[Winning Candidate]]-SamplingData[[#Totals],[Candidate 5]]), 0)</f>
        <v>0</v>
      </c>
      <c r="U412" s="100">
        <f>IF(AND(SamplingData[[#This Row],[Total]]&lt;&gt; 0, NOT(ISBLANK(SamplingData[[#This Row],[Candidate 6]]))),(SamplingData[[#This Row],[Total]]+SamplingData[[#This Row],[Losing Candidate]]-SamplingData[[#This Row],[Candidate 6]])/(SamplingData[[#Totals],[Winning Candidate]]-SamplingData[[#Totals],[Candidate 6]]), 0)</f>
        <v>0</v>
      </c>
      <c r="V412" s="100">
        <f>IF(AND(SamplingData[[#This Row],[Total]]&lt;&gt; 0, NOT(ISBLANK(SamplingData[[#This Row],[Candidate 7]]))),(SamplingData[[#This Row],[Total]]+SamplingData[[#This Row],[Winning Candidate]]-SamplingData[[#This Row],[Candidate 7]])/(SamplingData[[#Totals],[Winning Candidate]]-SamplingData[[#Totals],[Candidate 7]]), 0)</f>
        <v>0</v>
      </c>
      <c r="W412" s="100">
        <f>IF(AND(SamplingData[[#This Row],[Total]]&lt;&gt; 0, NOT(ISBLANK(SamplingData[[#This Row],[Candidate 8]]))),(SamplingData[[#This Row],[Total]]+SamplingData[[#This Row],[Winning Candidate]]-SamplingData[[#This Row],[Candidate 8]])/(SamplingData[[#Totals],[Winning Candidate]]-SamplingData[[#Totals],[Candidate 8]]), 0)</f>
        <v>0</v>
      </c>
      <c r="X4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00">
        <f>MAX(SamplingData[[#This Row],[Error Bound (up) - Max. possible relative overstatement - Losing Candidate]:[Error Bound (up) - Max. possible relative overstatement - Candidate 12]])</f>
        <v>5.9678989854571724E-4</v>
      </c>
      <c r="AC412" s="100">
        <f>IF(SamplingData[[#This Row],[Max Error Bound (up)]] = 0,0,SamplingData[[#This Row],[Max Error Bound (up)]]/SamplingData[[#Totals],[Max Error Bound (up)]])</f>
        <v>2.5574759058848877E-4</v>
      </c>
      <c r="AD412" s="104">
        <f>SUM($AC$5:AC412)</f>
        <v>8.2835298551661052E-2</v>
      </c>
      <c r="AE412" s="100" t="str" cm="1">
        <f t="array" ref="AE412">IF(SamplingData[[#This Row],[up/U Selection Probability]] = 0, "Zero", TEXT(SamplingData[[#This Row],[Lower Range]], REPT("0",LEN('General Info'!$B$42))) &amp; " - " &amp; TEXT(SamplingData[[#This Row],[Upper Range]], REPT("0",LEN('General Info'!$B$42))))</f>
        <v>08258 - 08283</v>
      </c>
      <c r="AF412" s="100">
        <f>SamplingData[[#This Row],[Upper Range]]-SamplingData[[#This Row],[Span]]</f>
        <v>8257.9550961072564</v>
      </c>
      <c r="AG412" s="100">
        <f>IF(ISNUMBER('General Info'!$B$42), ((SamplingData[[#This Row],[up/U Selection Probability]]) * 'General Info'!$B$44) - 1, 0)</f>
        <v>24.574759058848876</v>
      </c>
      <c r="AH412" s="100">
        <f>IF(ISNUMBER('General Info'!$B$42), (SamplingData[[#This Row],[Running (cumulative) sum]] * ('General Info'!$B$42 -'General Info'!$B$43 + 1)) + 'General Info'!$B$43 - 1, 0)</f>
        <v>8282.5298551661053</v>
      </c>
      <c r="AI412" s="100" t="str">
        <f>IF(ISERROR(MATCH(SamplingData[[#This Row],[Batch by Type (p)]],SelectedPrecincts[Batch Name], 0)), "", INDEX(SelectedPrecincts[Draw], MATCH(SamplingData[[#This Row],[Batch by Type (p)]],SelectedPrecincts[Batch Name], 0)))</f>
        <v/>
      </c>
      <c r="AJ412" s="101">
        <f>IF(COUNTIF(SelectedPrecincts[Batch Name],SamplingData[[#This Row],[Batch by Type (p)]]) &lt;&gt; 0, COUNTIF(SelectedPrecincts[Batch Name],SamplingData[[#This Row],[Batch by Type (p)]]), 0)</f>
        <v>0</v>
      </c>
    </row>
    <row r="413" spans="1:36" ht="15" customHeight="1" x14ac:dyDescent="0.35">
      <c r="A413" s="98" t="s">
        <v>625</v>
      </c>
      <c r="B413" s="98">
        <v>11</v>
      </c>
      <c r="C413" s="98">
        <v>1</v>
      </c>
      <c r="D413" s="93"/>
      <c r="E413" s="93"/>
      <c r="F413" s="93"/>
      <c r="G413" s="97"/>
      <c r="H413" s="97"/>
      <c r="I413" s="93"/>
      <c r="J413" s="93"/>
      <c r="K413" s="93"/>
      <c r="L413" s="93"/>
      <c r="M413" s="93"/>
      <c r="N413" s="98">
        <v>0</v>
      </c>
      <c r="O413" s="98">
        <v>2</v>
      </c>
      <c r="P413" s="99">
        <f>SUM(SamplingData[[#This Row],[Winning Candidate]:[Under Votes]])</f>
        <v>14</v>
      </c>
      <c r="Q413"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413" s="100">
        <f>IF(AND(SamplingData[[#This Row],[Total]]&lt;&gt; 0, NOT(ISBLANK(SamplingData[[#This Row],[Candidate 3]]))),(SamplingData[[#This Row],[Total]]+SamplingData[[#This Row],[Winning Candidate]]-SamplingData[[#This Row],[Candidate 3]])/(SamplingData[[#Totals],[Winning Candidate]]-SamplingData[[#Totals],[Candidate 3]]), 0)</f>
        <v>0</v>
      </c>
      <c r="S413" s="100">
        <f>IF(AND(SamplingData[[#This Row],[Total]]&lt;&gt; 0, NOT(ISBLANK(SamplingData[[#This Row],[Candidate 4]]))),(SamplingData[[#This Row],[Total]]+SamplingData[[#This Row],[Winning Candidate]]-SamplingData[[#This Row],[Candidate 4]])/(SamplingData[[#Totals],[Winning Candidate]]-SamplingData[[#Totals],[Candidate 4]]), 0)</f>
        <v>0</v>
      </c>
      <c r="T413" s="100">
        <f>IF(AND(SamplingData[[#This Row],[Total]]&lt;&gt; 0, NOT(ISBLANK(SamplingData[[#This Row],[Candidate 5]]))),(SamplingData[[#This Row],[Total]]+SamplingData[[#This Row],[Winning Candidate]]-SamplingData[[#This Row],[Candidate 5]])/(SamplingData[[#Totals],[Winning Candidate]]-SamplingData[[#Totals],[Candidate 5]]), 0)</f>
        <v>0</v>
      </c>
      <c r="U413" s="100">
        <f>IF(AND(SamplingData[[#This Row],[Total]]&lt;&gt; 0, NOT(ISBLANK(SamplingData[[#This Row],[Candidate 6]]))),(SamplingData[[#This Row],[Total]]+SamplingData[[#This Row],[Losing Candidate]]-SamplingData[[#This Row],[Candidate 6]])/(SamplingData[[#Totals],[Winning Candidate]]-SamplingData[[#Totals],[Candidate 6]]), 0)</f>
        <v>0</v>
      </c>
      <c r="V413" s="100">
        <f>IF(AND(SamplingData[[#This Row],[Total]]&lt;&gt; 0, NOT(ISBLANK(SamplingData[[#This Row],[Candidate 7]]))),(SamplingData[[#This Row],[Total]]+SamplingData[[#This Row],[Winning Candidate]]-SamplingData[[#This Row],[Candidate 7]])/(SamplingData[[#Totals],[Winning Candidate]]-SamplingData[[#Totals],[Candidate 7]]), 0)</f>
        <v>0</v>
      </c>
      <c r="W413" s="100">
        <f>IF(AND(SamplingData[[#This Row],[Total]]&lt;&gt; 0, NOT(ISBLANK(SamplingData[[#This Row],[Candidate 8]]))),(SamplingData[[#This Row],[Total]]+SamplingData[[#This Row],[Winning Candidate]]-SamplingData[[#This Row],[Candidate 8]])/(SamplingData[[#Totals],[Winning Candidate]]-SamplingData[[#Totals],[Candidate 8]]), 0)</f>
        <v>0</v>
      </c>
      <c r="X4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00">
        <f>MAX(SamplingData[[#This Row],[Error Bound (up) - Max. possible relative overstatement - Losing Candidate]:[Error Bound (up) - Max. possible relative overstatement - Candidate 12]])</f>
        <v>7.5383987184722177E-4</v>
      </c>
      <c r="AC413" s="100">
        <f>IF(SamplingData[[#This Row],[Max Error Bound (up)]] = 0,0,SamplingData[[#This Row],[Max Error Bound (up)]]/SamplingData[[#Totals],[Max Error Bound (up)]])</f>
        <v>3.2304958811177527E-4</v>
      </c>
      <c r="AD413" s="104">
        <f>SUM($AC$5:AC413)</f>
        <v>8.3158348139772825E-2</v>
      </c>
      <c r="AE413" s="100" t="str" cm="1">
        <f t="array" ref="AE413">IF(SamplingData[[#This Row],[up/U Selection Probability]] = 0, "Zero", TEXT(SamplingData[[#This Row],[Lower Range]], REPT("0",LEN('General Info'!$B$42))) &amp; " - " &amp; TEXT(SamplingData[[#This Row],[Upper Range]], REPT("0",LEN('General Info'!$B$42))))</f>
        <v>08284 - 08315</v>
      </c>
      <c r="AF413" s="100">
        <f>SamplingData[[#This Row],[Upper Range]]-SamplingData[[#This Row],[Span]]</f>
        <v>8283.5298551661053</v>
      </c>
      <c r="AG413" s="100">
        <f>IF(ISNUMBER('General Info'!$B$42), ((SamplingData[[#This Row],[up/U Selection Probability]]) * 'General Info'!$B$44) - 1, 0)</f>
        <v>31.304958811177528</v>
      </c>
      <c r="AH413" s="100">
        <f>IF(ISNUMBER('General Info'!$B$42), (SamplingData[[#This Row],[Running (cumulative) sum]] * ('General Info'!$B$42 -'General Info'!$B$43 + 1)) + 'General Info'!$B$43 - 1, 0)</f>
        <v>8314.8348139772825</v>
      </c>
      <c r="AI413" s="100" t="str">
        <f>IF(ISERROR(MATCH(SamplingData[[#This Row],[Batch by Type (p)]],SelectedPrecincts[Batch Name], 0)), "", INDEX(SelectedPrecincts[Draw], MATCH(SamplingData[[#This Row],[Batch by Type (p)]],SelectedPrecincts[Batch Name], 0)))</f>
        <v/>
      </c>
      <c r="AJ413" s="101">
        <f>IF(COUNTIF(SelectedPrecincts[Batch Name],SamplingData[[#This Row],[Batch by Type (p)]]) &lt;&gt; 0, COUNTIF(SelectedPrecincts[Batch Name],SamplingData[[#This Row],[Batch by Type (p)]]), 0)</f>
        <v>0</v>
      </c>
    </row>
    <row r="414" spans="1:36" ht="15" customHeight="1" x14ac:dyDescent="0.35">
      <c r="A414" s="98" t="s">
        <v>626</v>
      </c>
      <c r="B414" s="98">
        <v>11</v>
      </c>
      <c r="C414" s="98">
        <v>3</v>
      </c>
      <c r="D414" s="93"/>
      <c r="E414" s="93"/>
      <c r="F414" s="93"/>
      <c r="G414" s="97"/>
      <c r="H414" s="97"/>
      <c r="I414" s="93"/>
      <c r="J414" s="93"/>
      <c r="K414" s="93"/>
      <c r="L414" s="93"/>
      <c r="M414" s="93"/>
      <c r="N414" s="98">
        <v>0</v>
      </c>
      <c r="O414" s="98">
        <v>1</v>
      </c>
      <c r="P414" s="99">
        <f>SUM(SamplingData[[#This Row],[Winning Candidate]:[Under Votes]])</f>
        <v>15</v>
      </c>
      <c r="Q414" s="100">
        <f>IF(AND(SamplingData[[#This Row],[Total]]&lt;&gt; 0, NOT(ISBLANK(SamplingData[[#This Row],[Losing Candidate]]))),(SamplingData[[#This Row],[Total]]+SamplingData[[#This Row],[Winning Candidate]]-SamplingData[[#This Row],[Losing Candidate]])/(SamplingData[[#Totals],[Winning Candidate]]-SamplingData[[#Totals],[Losing Candidate]]), 0)</f>
        <v>7.2242987718692088E-4</v>
      </c>
      <c r="R414" s="100">
        <f>IF(AND(SamplingData[[#This Row],[Total]]&lt;&gt; 0, NOT(ISBLANK(SamplingData[[#This Row],[Candidate 3]]))),(SamplingData[[#This Row],[Total]]+SamplingData[[#This Row],[Winning Candidate]]-SamplingData[[#This Row],[Candidate 3]])/(SamplingData[[#Totals],[Winning Candidate]]-SamplingData[[#Totals],[Candidate 3]]), 0)</f>
        <v>0</v>
      </c>
      <c r="S414" s="100">
        <f>IF(AND(SamplingData[[#This Row],[Total]]&lt;&gt; 0, NOT(ISBLANK(SamplingData[[#This Row],[Candidate 4]]))),(SamplingData[[#This Row],[Total]]+SamplingData[[#This Row],[Winning Candidate]]-SamplingData[[#This Row],[Candidate 4]])/(SamplingData[[#Totals],[Winning Candidate]]-SamplingData[[#Totals],[Candidate 4]]), 0)</f>
        <v>0</v>
      </c>
      <c r="T414" s="100">
        <f>IF(AND(SamplingData[[#This Row],[Total]]&lt;&gt; 0, NOT(ISBLANK(SamplingData[[#This Row],[Candidate 5]]))),(SamplingData[[#This Row],[Total]]+SamplingData[[#This Row],[Winning Candidate]]-SamplingData[[#This Row],[Candidate 5]])/(SamplingData[[#Totals],[Winning Candidate]]-SamplingData[[#Totals],[Candidate 5]]), 0)</f>
        <v>0</v>
      </c>
      <c r="U414" s="100">
        <f>IF(AND(SamplingData[[#This Row],[Total]]&lt;&gt; 0, NOT(ISBLANK(SamplingData[[#This Row],[Candidate 6]]))),(SamplingData[[#This Row],[Total]]+SamplingData[[#This Row],[Losing Candidate]]-SamplingData[[#This Row],[Candidate 6]])/(SamplingData[[#Totals],[Winning Candidate]]-SamplingData[[#Totals],[Candidate 6]]), 0)</f>
        <v>0</v>
      </c>
      <c r="V414" s="100">
        <f>IF(AND(SamplingData[[#This Row],[Total]]&lt;&gt; 0, NOT(ISBLANK(SamplingData[[#This Row],[Candidate 7]]))),(SamplingData[[#This Row],[Total]]+SamplingData[[#This Row],[Winning Candidate]]-SamplingData[[#This Row],[Candidate 7]])/(SamplingData[[#Totals],[Winning Candidate]]-SamplingData[[#Totals],[Candidate 7]]), 0)</f>
        <v>0</v>
      </c>
      <c r="W414" s="100">
        <f>IF(AND(SamplingData[[#This Row],[Total]]&lt;&gt; 0, NOT(ISBLANK(SamplingData[[#This Row],[Candidate 8]]))),(SamplingData[[#This Row],[Total]]+SamplingData[[#This Row],[Winning Candidate]]-SamplingData[[#This Row],[Candidate 8]])/(SamplingData[[#Totals],[Winning Candidate]]-SamplingData[[#Totals],[Candidate 8]]), 0)</f>
        <v>0</v>
      </c>
      <c r="X4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00">
        <f>MAX(SamplingData[[#This Row],[Error Bound (up) - Max. possible relative overstatement - Losing Candidate]:[Error Bound (up) - Max. possible relative overstatement - Candidate 12]])</f>
        <v>7.2242987718692088E-4</v>
      </c>
      <c r="AC414" s="100">
        <f>IF(SamplingData[[#This Row],[Max Error Bound (up)]] = 0,0,SamplingData[[#This Row],[Max Error Bound (up)]]/SamplingData[[#Totals],[Max Error Bound (up)]])</f>
        <v>3.0958918860711797E-4</v>
      </c>
      <c r="AD414" s="104">
        <f>SUM($AC$5:AC414)</f>
        <v>8.346793732837994E-2</v>
      </c>
      <c r="AE414" s="100" t="str" cm="1">
        <f t="array" ref="AE414">IF(SamplingData[[#This Row],[up/U Selection Probability]] = 0, "Zero", TEXT(SamplingData[[#This Row],[Lower Range]], REPT("0",LEN('General Info'!$B$42))) &amp; " - " &amp; TEXT(SamplingData[[#This Row],[Upper Range]], REPT("0",LEN('General Info'!$B$42))))</f>
        <v>08316 - 08346</v>
      </c>
      <c r="AF414" s="100">
        <f>SamplingData[[#This Row],[Upper Range]]-SamplingData[[#This Row],[Span]]</f>
        <v>8315.8348139772825</v>
      </c>
      <c r="AG414" s="100">
        <f>IF(ISNUMBER('General Info'!$B$42), ((SamplingData[[#This Row],[up/U Selection Probability]]) * 'General Info'!$B$44) - 1, 0)</f>
        <v>29.958918860711798</v>
      </c>
      <c r="AH414" s="100">
        <f>IF(ISNUMBER('General Info'!$B$42), (SamplingData[[#This Row],[Running (cumulative) sum]] * ('General Info'!$B$42 -'General Info'!$B$43 + 1)) + 'General Info'!$B$43 - 1, 0)</f>
        <v>8345.793732837994</v>
      </c>
      <c r="AI414" s="100" t="str">
        <f>IF(ISERROR(MATCH(SamplingData[[#This Row],[Batch by Type (p)]],SelectedPrecincts[Batch Name], 0)), "", INDEX(SelectedPrecincts[Draw], MATCH(SamplingData[[#This Row],[Batch by Type (p)]],SelectedPrecincts[Batch Name], 0)))</f>
        <v/>
      </c>
      <c r="AJ414" s="101">
        <f>IF(COUNTIF(SelectedPrecincts[Batch Name],SamplingData[[#This Row],[Batch by Type (p)]]) &lt;&gt; 0, COUNTIF(SelectedPrecincts[Batch Name],SamplingData[[#This Row],[Batch by Type (p)]]), 0)</f>
        <v>0</v>
      </c>
    </row>
    <row r="415" spans="1:36" ht="15" customHeight="1" x14ac:dyDescent="0.35">
      <c r="A415" s="98" t="s">
        <v>627</v>
      </c>
      <c r="B415" s="98">
        <v>8</v>
      </c>
      <c r="C415" s="98">
        <v>0</v>
      </c>
      <c r="D415" s="93"/>
      <c r="E415" s="93"/>
      <c r="F415" s="93"/>
      <c r="G415" s="97"/>
      <c r="H415" s="97"/>
      <c r="I415" s="93"/>
      <c r="J415" s="93"/>
      <c r="K415" s="93"/>
      <c r="L415" s="93"/>
      <c r="M415" s="93"/>
      <c r="N415" s="98">
        <v>0</v>
      </c>
      <c r="O415" s="98">
        <v>0</v>
      </c>
      <c r="P415" s="99">
        <f>SUM(SamplingData[[#This Row],[Winning Candidate]:[Under Votes]])</f>
        <v>8</v>
      </c>
      <c r="Q415"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415" s="100">
        <f>IF(AND(SamplingData[[#This Row],[Total]]&lt;&gt; 0, NOT(ISBLANK(SamplingData[[#This Row],[Candidate 3]]))),(SamplingData[[#This Row],[Total]]+SamplingData[[#This Row],[Winning Candidate]]-SamplingData[[#This Row],[Candidate 3]])/(SamplingData[[#Totals],[Winning Candidate]]-SamplingData[[#Totals],[Candidate 3]]), 0)</f>
        <v>0</v>
      </c>
      <c r="S415" s="100">
        <f>IF(AND(SamplingData[[#This Row],[Total]]&lt;&gt; 0, NOT(ISBLANK(SamplingData[[#This Row],[Candidate 4]]))),(SamplingData[[#This Row],[Total]]+SamplingData[[#This Row],[Winning Candidate]]-SamplingData[[#This Row],[Candidate 4]])/(SamplingData[[#Totals],[Winning Candidate]]-SamplingData[[#Totals],[Candidate 4]]), 0)</f>
        <v>0</v>
      </c>
      <c r="T415" s="100">
        <f>IF(AND(SamplingData[[#This Row],[Total]]&lt;&gt; 0, NOT(ISBLANK(SamplingData[[#This Row],[Candidate 5]]))),(SamplingData[[#This Row],[Total]]+SamplingData[[#This Row],[Winning Candidate]]-SamplingData[[#This Row],[Candidate 5]])/(SamplingData[[#Totals],[Winning Candidate]]-SamplingData[[#Totals],[Candidate 5]]), 0)</f>
        <v>0</v>
      </c>
      <c r="U415" s="100">
        <f>IF(AND(SamplingData[[#This Row],[Total]]&lt;&gt; 0, NOT(ISBLANK(SamplingData[[#This Row],[Candidate 6]]))),(SamplingData[[#This Row],[Total]]+SamplingData[[#This Row],[Losing Candidate]]-SamplingData[[#This Row],[Candidate 6]])/(SamplingData[[#Totals],[Winning Candidate]]-SamplingData[[#Totals],[Candidate 6]]), 0)</f>
        <v>0</v>
      </c>
      <c r="V415" s="100">
        <f>IF(AND(SamplingData[[#This Row],[Total]]&lt;&gt; 0, NOT(ISBLANK(SamplingData[[#This Row],[Candidate 7]]))),(SamplingData[[#This Row],[Total]]+SamplingData[[#This Row],[Winning Candidate]]-SamplingData[[#This Row],[Candidate 7]])/(SamplingData[[#Totals],[Winning Candidate]]-SamplingData[[#Totals],[Candidate 7]]), 0)</f>
        <v>0</v>
      </c>
      <c r="W415" s="100">
        <f>IF(AND(SamplingData[[#This Row],[Total]]&lt;&gt; 0, NOT(ISBLANK(SamplingData[[#This Row],[Candidate 8]]))),(SamplingData[[#This Row],[Total]]+SamplingData[[#This Row],[Winning Candidate]]-SamplingData[[#This Row],[Candidate 8]])/(SamplingData[[#Totals],[Winning Candidate]]-SamplingData[[#Totals],[Candidate 8]]), 0)</f>
        <v>0</v>
      </c>
      <c r="X4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00">
        <f>MAX(SamplingData[[#This Row],[Error Bound (up) - Max. possible relative overstatement - Losing Candidate]:[Error Bound (up) - Max. possible relative overstatement - Candidate 12]])</f>
        <v>5.0255991456481448E-4</v>
      </c>
      <c r="AC415" s="100">
        <f>IF(SamplingData[[#This Row],[Max Error Bound (up)]] = 0,0,SamplingData[[#This Row],[Max Error Bound (up)]]/SamplingData[[#Totals],[Max Error Bound (up)]])</f>
        <v>2.1536639207451683E-4</v>
      </c>
      <c r="AD415" s="104">
        <f>SUM($AC$5:AC415)</f>
        <v>8.3683303720454461E-2</v>
      </c>
      <c r="AE415" s="100" t="str" cm="1">
        <f t="array" ref="AE415">IF(SamplingData[[#This Row],[up/U Selection Probability]] = 0, "Zero", TEXT(SamplingData[[#This Row],[Lower Range]], REPT("0",LEN('General Info'!$B$42))) &amp; " - " &amp; TEXT(SamplingData[[#This Row],[Upper Range]], REPT("0",LEN('General Info'!$B$42))))</f>
        <v>08347 - 08367</v>
      </c>
      <c r="AF415" s="100">
        <f>SamplingData[[#This Row],[Upper Range]]-SamplingData[[#This Row],[Span]]</f>
        <v>8346.793732837994</v>
      </c>
      <c r="AG415" s="100">
        <f>IF(ISNUMBER('General Info'!$B$42), ((SamplingData[[#This Row],[up/U Selection Probability]]) * 'General Info'!$B$44) - 1, 0)</f>
        <v>20.536639207451682</v>
      </c>
      <c r="AH415" s="100">
        <f>IF(ISNUMBER('General Info'!$B$42), (SamplingData[[#This Row],[Running (cumulative) sum]] * ('General Info'!$B$42 -'General Info'!$B$43 + 1)) + 'General Info'!$B$43 - 1, 0)</f>
        <v>8367.330372045446</v>
      </c>
      <c r="AI415" s="100" t="str">
        <f>IF(ISERROR(MATCH(SamplingData[[#This Row],[Batch by Type (p)]],SelectedPrecincts[Batch Name], 0)), "", INDEX(SelectedPrecincts[Draw], MATCH(SamplingData[[#This Row],[Batch by Type (p)]],SelectedPrecincts[Batch Name], 0)))</f>
        <v/>
      </c>
      <c r="AJ415" s="101">
        <f>IF(COUNTIF(SelectedPrecincts[Batch Name],SamplingData[[#This Row],[Batch by Type (p)]]) &lt;&gt; 0, COUNTIF(SelectedPrecincts[Batch Name],SamplingData[[#This Row],[Batch by Type (p)]]), 0)</f>
        <v>0</v>
      </c>
    </row>
    <row r="416" spans="1:36" ht="15" customHeight="1" x14ac:dyDescent="0.35">
      <c r="A416" s="98" t="s">
        <v>628</v>
      </c>
      <c r="B416" s="98">
        <v>17</v>
      </c>
      <c r="C416" s="98">
        <v>0</v>
      </c>
      <c r="D416" s="93"/>
      <c r="E416" s="93"/>
      <c r="F416" s="93"/>
      <c r="G416" s="97"/>
      <c r="H416" s="97"/>
      <c r="I416" s="93"/>
      <c r="J416" s="93"/>
      <c r="K416" s="93"/>
      <c r="L416" s="93"/>
      <c r="M416" s="93"/>
      <c r="N416" s="98">
        <v>0</v>
      </c>
      <c r="O416" s="98">
        <v>1</v>
      </c>
      <c r="P416" s="99">
        <f>SUM(SamplingData[[#This Row],[Winning Candidate]:[Under Votes]])</f>
        <v>18</v>
      </c>
      <c r="Q416" s="100">
        <f>IF(AND(SamplingData[[#This Row],[Total]]&lt;&gt; 0, NOT(ISBLANK(SamplingData[[#This Row],[Losing Candidate]]))),(SamplingData[[#This Row],[Total]]+SamplingData[[#This Row],[Winning Candidate]]-SamplingData[[#This Row],[Losing Candidate]])/(SamplingData[[#Totals],[Winning Candidate]]-SamplingData[[#Totals],[Losing Candidate]]), 0)</f>
        <v>1.0993498131105317E-3</v>
      </c>
      <c r="R416" s="100">
        <f>IF(AND(SamplingData[[#This Row],[Total]]&lt;&gt; 0, NOT(ISBLANK(SamplingData[[#This Row],[Candidate 3]]))),(SamplingData[[#This Row],[Total]]+SamplingData[[#This Row],[Winning Candidate]]-SamplingData[[#This Row],[Candidate 3]])/(SamplingData[[#Totals],[Winning Candidate]]-SamplingData[[#Totals],[Candidate 3]]), 0)</f>
        <v>0</v>
      </c>
      <c r="S416" s="100">
        <f>IF(AND(SamplingData[[#This Row],[Total]]&lt;&gt; 0, NOT(ISBLANK(SamplingData[[#This Row],[Candidate 4]]))),(SamplingData[[#This Row],[Total]]+SamplingData[[#This Row],[Winning Candidate]]-SamplingData[[#This Row],[Candidate 4]])/(SamplingData[[#Totals],[Winning Candidate]]-SamplingData[[#Totals],[Candidate 4]]), 0)</f>
        <v>0</v>
      </c>
      <c r="T416" s="100">
        <f>IF(AND(SamplingData[[#This Row],[Total]]&lt;&gt; 0, NOT(ISBLANK(SamplingData[[#This Row],[Candidate 5]]))),(SamplingData[[#This Row],[Total]]+SamplingData[[#This Row],[Winning Candidate]]-SamplingData[[#This Row],[Candidate 5]])/(SamplingData[[#Totals],[Winning Candidate]]-SamplingData[[#Totals],[Candidate 5]]), 0)</f>
        <v>0</v>
      </c>
      <c r="U416" s="100">
        <f>IF(AND(SamplingData[[#This Row],[Total]]&lt;&gt; 0, NOT(ISBLANK(SamplingData[[#This Row],[Candidate 6]]))),(SamplingData[[#This Row],[Total]]+SamplingData[[#This Row],[Losing Candidate]]-SamplingData[[#This Row],[Candidate 6]])/(SamplingData[[#Totals],[Winning Candidate]]-SamplingData[[#Totals],[Candidate 6]]), 0)</f>
        <v>0</v>
      </c>
      <c r="V416" s="100">
        <f>IF(AND(SamplingData[[#This Row],[Total]]&lt;&gt; 0, NOT(ISBLANK(SamplingData[[#This Row],[Candidate 7]]))),(SamplingData[[#This Row],[Total]]+SamplingData[[#This Row],[Winning Candidate]]-SamplingData[[#This Row],[Candidate 7]])/(SamplingData[[#Totals],[Winning Candidate]]-SamplingData[[#Totals],[Candidate 7]]), 0)</f>
        <v>0</v>
      </c>
      <c r="W416" s="100">
        <f>IF(AND(SamplingData[[#This Row],[Total]]&lt;&gt; 0, NOT(ISBLANK(SamplingData[[#This Row],[Candidate 8]]))),(SamplingData[[#This Row],[Total]]+SamplingData[[#This Row],[Winning Candidate]]-SamplingData[[#This Row],[Candidate 8]])/(SamplingData[[#Totals],[Winning Candidate]]-SamplingData[[#Totals],[Candidate 8]]), 0)</f>
        <v>0</v>
      </c>
      <c r="X4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00">
        <f>MAX(SamplingData[[#This Row],[Error Bound (up) - Max. possible relative overstatement - Losing Candidate]:[Error Bound (up) - Max. possible relative overstatement - Candidate 12]])</f>
        <v>1.0993498131105317E-3</v>
      </c>
      <c r="AC416" s="100">
        <f>IF(SamplingData[[#This Row],[Max Error Bound (up)]] = 0,0,SamplingData[[#This Row],[Max Error Bound (up)]]/SamplingData[[#Totals],[Max Error Bound (up)]])</f>
        <v>4.711139826630056E-4</v>
      </c>
      <c r="AD416" s="104">
        <f>SUM($AC$5:AC416)</f>
        <v>8.4154417703117462E-2</v>
      </c>
      <c r="AE416" s="100" t="str" cm="1">
        <f t="array" ref="AE416">IF(SamplingData[[#This Row],[up/U Selection Probability]] = 0, "Zero", TEXT(SamplingData[[#This Row],[Lower Range]], REPT("0",LEN('General Info'!$B$42))) &amp; " - " &amp; TEXT(SamplingData[[#This Row],[Upper Range]], REPT("0",LEN('General Info'!$B$42))))</f>
        <v>08368 - 08414</v>
      </c>
      <c r="AF416" s="100">
        <f>SamplingData[[#This Row],[Upper Range]]-SamplingData[[#This Row],[Span]]</f>
        <v>8368.330372045446</v>
      </c>
      <c r="AG416" s="100">
        <f>IF(ISNUMBER('General Info'!$B$42), ((SamplingData[[#This Row],[up/U Selection Probability]]) * 'General Info'!$B$44) - 1, 0)</f>
        <v>46.111398266300561</v>
      </c>
      <c r="AH416" s="100">
        <f>IF(ISNUMBER('General Info'!$B$42), (SamplingData[[#This Row],[Running (cumulative) sum]] * ('General Info'!$B$42 -'General Info'!$B$43 + 1)) + 'General Info'!$B$43 - 1, 0)</f>
        <v>8414.441770311747</v>
      </c>
      <c r="AI416" s="100" t="str">
        <f>IF(ISERROR(MATCH(SamplingData[[#This Row],[Batch by Type (p)]],SelectedPrecincts[Batch Name], 0)), "", INDEX(SelectedPrecincts[Draw], MATCH(SamplingData[[#This Row],[Batch by Type (p)]],SelectedPrecincts[Batch Name], 0)))</f>
        <v/>
      </c>
      <c r="AJ416" s="101">
        <f>IF(COUNTIF(SelectedPrecincts[Batch Name],SamplingData[[#This Row],[Batch by Type (p)]]) &lt;&gt; 0, COUNTIF(SelectedPrecincts[Batch Name],SamplingData[[#This Row],[Batch by Type (p)]]), 0)</f>
        <v>0</v>
      </c>
    </row>
    <row r="417" spans="1:36" ht="15" customHeight="1" x14ac:dyDescent="0.35">
      <c r="A417" s="98" t="s">
        <v>629</v>
      </c>
      <c r="B417" s="98">
        <v>9</v>
      </c>
      <c r="C417" s="98">
        <v>2</v>
      </c>
      <c r="D417" s="93"/>
      <c r="E417" s="93"/>
      <c r="F417" s="93"/>
      <c r="G417" s="97"/>
      <c r="H417" s="97"/>
      <c r="I417" s="93"/>
      <c r="J417" s="93"/>
      <c r="K417" s="93"/>
      <c r="L417" s="93"/>
      <c r="M417" s="93"/>
      <c r="N417" s="98">
        <v>0</v>
      </c>
      <c r="O417" s="98">
        <v>0</v>
      </c>
      <c r="P417" s="99">
        <f>SUM(SamplingData[[#This Row],[Winning Candidate]:[Under Votes]])</f>
        <v>11</v>
      </c>
      <c r="Q417"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417" s="100">
        <f>IF(AND(SamplingData[[#This Row],[Total]]&lt;&gt; 0, NOT(ISBLANK(SamplingData[[#This Row],[Candidate 3]]))),(SamplingData[[#This Row],[Total]]+SamplingData[[#This Row],[Winning Candidate]]-SamplingData[[#This Row],[Candidate 3]])/(SamplingData[[#Totals],[Winning Candidate]]-SamplingData[[#Totals],[Candidate 3]]), 0)</f>
        <v>0</v>
      </c>
      <c r="S417" s="100">
        <f>IF(AND(SamplingData[[#This Row],[Total]]&lt;&gt; 0, NOT(ISBLANK(SamplingData[[#This Row],[Candidate 4]]))),(SamplingData[[#This Row],[Total]]+SamplingData[[#This Row],[Winning Candidate]]-SamplingData[[#This Row],[Candidate 4]])/(SamplingData[[#Totals],[Winning Candidate]]-SamplingData[[#Totals],[Candidate 4]]), 0)</f>
        <v>0</v>
      </c>
      <c r="T417" s="100">
        <f>IF(AND(SamplingData[[#This Row],[Total]]&lt;&gt; 0, NOT(ISBLANK(SamplingData[[#This Row],[Candidate 5]]))),(SamplingData[[#This Row],[Total]]+SamplingData[[#This Row],[Winning Candidate]]-SamplingData[[#This Row],[Candidate 5]])/(SamplingData[[#Totals],[Winning Candidate]]-SamplingData[[#Totals],[Candidate 5]]), 0)</f>
        <v>0</v>
      </c>
      <c r="U417" s="100">
        <f>IF(AND(SamplingData[[#This Row],[Total]]&lt;&gt; 0, NOT(ISBLANK(SamplingData[[#This Row],[Candidate 6]]))),(SamplingData[[#This Row],[Total]]+SamplingData[[#This Row],[Losing Candidate]]-SamplingData[[#This Row],[Candidate 6]])/(SamplingData[[#Totals],[Winning Candidate]]-SamplingData[[#Totals],[Candidate 6]]), 0)</f>
        <v>0</v>
      </c>
      <c r="V417" s="100">
        <f>IF(AND(SamplingData[[#This Row],[Total]]&lt;&gt; 0, NOT(ISBLANK(SamplingData[[#This Row],[Candidate 7]]))),(SamplingData[[#This Row],[Total]]+SamplingData[[#This Row],[Winning Candidate]]-SamplingData[[#This Row],[Candidate 7]])/(SamplingData[[#Totals],[Winning Candidate]]-SamplingData[[#Totals],[Candidate 7]]), 0)</f>
        <v>0</v>
      </c>
      <c r="W417" s="100">
        <f>IF(AND(SamplingData[[#This Row],[Total]]&lt;&gt; 0, NOT(ISBLANK(SamplingData[[#This Row],[Candidate 8]]))),(SamplingData[[#This Row],[Total]]+SamplingData[[#This Row],[Winning Candidate]]-SamplingData[[#This Row],[Candidate 8]])/(SamplingData[[#Totals],[Winning Candidate]]-SamplingData[[#Totals],[Candidate 8]]), 0)</f>
        <v>0</v>
      </c>
      <c r="X4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00">
        <f>MAX(SamplingData[[#This Row],[Error Bound (up) - Max. possible relative overstatement - Losing Candidate]:[Error Bound (up) - Max. possible relative overstatement - Candidate 12]])</f>
        <v>5.6537990388541635E-4</v>
      </c>
      <c r="AC417" s="100">
        <f>IF(SamplingData[[#This Row],[Max Error Bound (up)]] = 0,0,SamplingData[[#This Row],[Max Error Bound (up)]]/SamplingData[[#Totals],[Max Error Bound (up)]])</f>
        <v>2.4228719108383145E-4</v>
      </c>
      <c r="AD417" s="104">
        <f>SUM($AC$5:AC417)</f>
        <v>8.4396704894201299E-2</v>
      </c>
      <c r="AE417" s="100" t="str" cm="1">
        <f t="array" ref="AE417">IF(SamplingData[[#This Row],[up/U Selection Probability]] = 0, "Zero", TEXT(SamplingData[[#This Row],[Lower Range]], REPT("0",LEN('General Info'!$B$42))) &amp; " - " &amp; TEXT(SamplingData[[#This Row],[Upper Range]], REPT("0",LEN('General Info'!$B$42))))</f>
        <v>08415 - 08439</v>
      </c>
      <c r="AF417" s="100">
        <f>SamplingData[[#This Row],[Upper Range]]-SamplingData[[#This Row],[Span]]</f>
        <v>8415.441770311747</v>
      </c>
      <c r="AG417" s="100">
        <f>IF(ISNUMBER('General Info'!$B$42), ((SamplingData[[#This Row],[up/U Selection Probability]]) * 'General Info'!$B$44) - 1, 0)</f>
        <v>23.228719108383146</v>
      </c>
      <c r="AH417" s="100">
        <f>IF(ISNUMBER('General Info'!$B$42), (SamplingData[[#This Row],[Running (cumulative) sum]] * ('General Info'!$B$42 -'General Info'!$B$43 + 1)) + 'General Info'!$B$43 - 1, 0)</f>
        <v>8438.6704894201303</v>
      </c>
      <c r="AI417" s="100" t="str">
        <f>IF(ISERROR(MATCH(SamplingData[[#This Row],[Batch by Type (p)]],SelectedPrecincts[Batch Name], 0)), "", INDEX(SelectedPrecincts[Draw], MATCH(SamplingData[[#This Row],[Batch by Type (p)]],SelectedPrecincts[Batch Name], 0)))</f>
        <v/>
      </c>
      <c r="AJ417" s="101">
        <f>IF(COUNTIF(SelectedPrecincts[Batch Name],SamplingData[[#This Row],[Batch by Type (p)]]) &lt;&gt; 0, COUNTIF(SelectedPrecincts[Batch Name],SamplingData[[#This Row],[Batch by Type (p)]]), 0)</f>
        <v>0</v>
      </c>
    </row>
    <row r="418" spans="1:36" ht="15" customHeight="1" x14ac:dyDescent="0.35">
      <c r="A418" s="98" t="s">
        <v>630</v>
      </c>
      <c r="B418" s="98">
        <v>11</v>
      </c>
      <c r="C418" s="98">
        <v>0</v>
      </c>
      <c r="D418" s="93"/>
      <c r="E418" s="93"/>
      <c r="F418" s="93"/>
      <c r="G418" s="97"/>
      <c r="H418" s="97"/>
      <c r="I418" s="93"/>
      <c r="J418" s="93"/>
      <c r="K418" s="93"/>
      <c r="L418" s="93"/>
      <c r="M418" s="93"/>
      <c r="N418" s="98">
        <v>0</v>
      </c>
      <c r="O418" s="98">
        <v>0</v>
      </c>
      <c r="P418" s="99">
        <f>SUM(SamplingData[[#This Row],[Winning Candidate]:[Under Votes]])</f>
        <v>11</v>
      </c>
      <c r="Q418"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418" s="100">
        <f>IF(AND(SamplingData[[#This Row],[Total]]&lt;&gt; 0, NOT(ISBLANK(SamplingData[[#This Row],[Candidate 3]]))),(SamplingData[[#This Row],[Total]]+SamplingData[[#This Row],[Winning Candidate]]-SamplingData[[#This Row],[Candidate 3]])/(SamplingData[[#Totals],[Winning Candidate]]-SamplingData[[#Totals],[Candidate 3]]), 0)</f>
        <v>0</v>
      </c>
      <c r="S418" s="100">
        <f>IF(AND(SamplingData[[#This Row],[Total]]&lt;&gt; 0, NOT(ISBLANK(SamplingData[[#This Row],[Candidate 4]]))),(SamplingData[[#This Row],[Total]]+SamplingData[[#This Row],[Winning Candidate]]-SamplingData[[#This Row],[Candidate 4]])/(SamplingData[[#Totals],[Winning Candidate]]-SamplingData[[#Totals],[Candidate 4]]), 0)</f>
        <v>0</v>
      </c>
      <c r="T418" s="100">
        <f>IF(AND(SamplingData[[#This Row],[Total]]&lt;&gt; 0, NOT(ISBLANK(SamplingData[[#This Row],[Candidate 5]]))),(SamplingData[[#This Row],[Total]]+SamplingData[[#This Row],[Winning Candidate]]-SamplingData[[#This Row],[Candidate 5]])/(SamplingData[[#Totals],[Winning Candidate]]-SamplingData[[#Totals],[Candidate 5]]), 0)</f>
        <v>0</v>
      </c>
      <c r="U418" s="100">
        <f>IF(AND(SamplingData[[#This Row],[Total]]&lt;&gt; 0, NOT(ISBLANK(SamplingData[[#This Row],[Candidate 6]]))),(SamplingData[[#This Row],[Total]]+SamplingData[[#This Row],[Losing Candidate]]-SamplingData[[#This Row],[Candidate 6]])/(SamplingData[[#Totals],[Winning Candidate]]-SamplingData[[#Totals],[Candidate 6]]), 0)</f>
        <v>0</v>
      </c>
      <c r="V418" s="100">
        <f>IF(AND(SamplingData[[#This Row],[Total]]&lt;&gt; 0, NOT(ISBLANK(SamplingData[[#This Row],[Candidate 7]]))),(SamplingData[[#This Row],[Total]]+SamplingData[[#This Row],[Winning Candidate]]-SamplingData[[#This Row],[Candidate 7]])/(SamplingData[[#Totals],[Winning Candidate]]-SamplingData[[#Totals],[Candidate 7]]), 0)</f>
        <v>0</v>
      </c>
      <c r="W418" s="100">
        <f>IF(AND(SamplingData[[#This Row],[Total]]&lt;&gt; 0, NOT(ISBLANK(SamplingData[[#This Row],[Candidate 8]]))),(SamplingData[[#This Row],[Total]]+SamplingData[[#This Row],[Winning Candidate]]-SamplingData[[#This Row],[Candidate 8]])/(SamplingData[[#Totals],[Winning Candidate]]-SamplingData[[#Totals],[Candidate 8]]), 0)</f>
        <v>0</v>
      </c>
      <c r="X4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00">
        <f>MAX(SamplingData[[#This Row],[Error Bound (up) - Max. possible relative overstatement - Losing Candidate]:[Error Bound (up) - Max. possible relative overstatement - Candidate 12]])</f>
        <v>6.9101988252662E-4</v>
      </c>
      <c r="AC418" s="100">
        <f>IF(SamplingData[[#This Row],[Max Error Bound (up)]] = 0,0,SamplingData[[#This Row],[Max Error Bound (up)]]/SamplingData[[#Totals],[Max Error Bound (up)]])</f>
        <v>2.9612878910246067E-4</v>
      </c>
      <c r="AD418" s="104">
        <f>SUM($AC$5:AC418)</f>
        <v>8.4692833683303756E-2</v>
      </c>
      <c r="AE418" s="100" t="str" cm="1">
        <f t="array" ref="AE418">IF(SamplingData[[#This Row],[up/U Selection Probability]] = 0, "Zero", TEXT(SamplingData[[#This Row],[Lower Range]], REPT("0",LEN('General Info'!$B$42))) &amp; " - " &amp; TEXT(SamplingData[[#This Row],[Upper Range]], REPT("0",LEN('General Info'!$B$42))))</f>
        <v>08440 - 08468</v>
      </c>
      <c r="AF418" s="100">
        <f>SamplingData[[#This Row],[Upper Range]]-SamplingData[[#This Row],[Span]]</f>
        <v>8439.6704894201303</v>
      </c>
      <c r="AG418" s="100">
        <f>IF(ISNUMBER('General Info'!$B$42), ((SamplingData[[#This Row],[up/U Selection Probability]]) * 'General Info'!$B$44) - 1, 0)</f>
        <v>28.612878910246067</v>
      </c>
      <c r="AH418" s="100">
        <f>IF(ISNUMBER('General Info'!$B$42), (SamplingData[[#This Row],[Running (cumulative) sum]] * ('General Info'!$B$42 -'General Info'!$B$43 + 1)) + 'General Info'!$B$43 - 1, 0)</f>
        <v>8468.2833683303761</v>
      </c>
      <c r="AI418" s="100" t="str">
        <f>IF(ISERROR(MATCH(SamplingData[[#This Row],[Batch by Type (p)]],SelectedPrecincts[Batch Name], 0)), "", INDEX(SelectedPrecincts[Draw], MATCH(SamplingData[[#This Row],[Batch by Type (p)]],SelectedPrecincts[Batch Name], 0)))</f>
        <v/>
      </c>
      <c r="AJ418" s="101">
        <f>IF(COUNTIF(SelectedPrecincts[Batch Name],SamplingData[[#This Row],[Batch by Type (p)]]) &lt;&gt; 0, COUNTIF(SelectedPrecincts[Batch Name],SamplingData[[#This Row],[Batch by Type (p)]]), 0)</f>
        <v>0</v>
      </c>
    </row>
    <row r="419" spans="1:36" ht="15" customHeight="1" x14ac:dyDescent="0.35">
      <c r="A419" s="98" t="s">
        <v>631</v>
      </c>
      <c r="B419" s="98">
        <v>18</v>
      </c>
      <c r="C419" s="98">
        <v>1</v>
      </c>
      <c r="D419" s="93"/>
      <c r="E419" s="93"/>
      <c r="F419" s="93"/>
      <c r="G419" s="97"/>
      <c r="H419" s="97"/>
      <c r="I419" s="93"/>
      <c r="J419" s="93"/>
      <c r="K419" s="93"/>
      <c r="L419" s="93"/>
      <c r="M419" s="93"/>
      <c r="N419" s="98">
        <v>0</v>
      </c>
      <c r="O419" s="98">
        <v>1</v>
      </c>
      <c r="P419" s="99">
        <f>SUM(SamplingData[[#This Row],[Winning Candidate]:[Under Votes]])</f>
        <v>20</v>
      </c>
      <c r="Q419"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419" s="100">
        <f>IF(AND(SamplingData[[#This Row],[Total]]&lt;&gt; 0, NOT(ISBLANK(SamplingData[[#This Row],[Candidate 3]]))),(SamplingData[[#This Row],[Total]]+SamplingData[[#This Row],[Winning Candidate]]-SamplingData[[#This Row],[Candidate 3]])/(SamplingData[[#Totals],[Winning Candidate]]-SamplingData[[#Totals],[Candidate 3]]), 0)</f>
        <v>0</v>
      </c>
      <c r="S419" s="100">
        <f>IF(AND(SamplingData[[#This Row],[Total]]&lt;&gt; 0, NOT(ISBLANK(SamplingData[[#This Row],[Candidate 4]]))),(SamplingData[[#This Row],[Total]]+SamplingData[[#This Row],[Winning Candidate]]-SamplingData[[#This Row],[Candidate 4]])/(SamplingData[[#Totals],[Winning Candidate]]-SamplingData[[#Totals],[Candidate 4]]), 0)</f>
        <v>0</v>
      </c>
      <c r="T419" s="100">
        <f>IF(AND(SamplingData[[#This Row],[Total]]&lt;&gt; 0, NOT(ISBLANK(SamplingData[[#This Row],[Candidate 5]]))),(SamplingData[[#This Row],[Total]]+SamplingData[[#This Row],[Winning Candidate]]-SamplingData[[#This Row],[Candidate 5]])/(SamplingData[[#Totals],[Winning Candidate]]-SamplingData[[#Totals],[Candidate 5]]), 0)</f>
        <v>0</v>
      </c>
      <c r="U419" s="100">
        <f>IF(AND(SamplingData[[#This Row],[Total]]&lt;&gt; 0, NOT(ISBLANK(SamplingData[[#This Row],[Candidate 6]]))),(SamplingData[[#This Row],[Total]]+SamplingData[[#This Row],[Losing Candidate]]-SamplingData[[#This Row],[Candidate 6]])/(SamplingData[[#Totals],[Winning Candidate]]-SamplingData[[#Totals],[Candidate 6]]), 0)</f>
        <v>0</v>
      </c>
      <c r="V419" s="100">
        <f>IF(AND(SamplingData[[#This Row],[Total]]&lt;&gt; 0, NOT(ISBLANK(SamplingData[[#This Row],[Candidate 7]]))),(SamplingData[[#This Row],[Total]]+SamplingData[[#This Row],[Winning Candidate]]-SamplingData[[#This Row],[Candidate 7]])/(SamplingData[[#Totals],[Winning Candidate]]-SamplingData[[#Totals],[Candidate 7]]), 0)</f>
        <v>0</v>
      </c>
      <c r="W419" s="100">
        <f>IF(AND(SamplingData[[#This Row],[Total]]&lt;&gt; 0, NOT(ISBLANK(SamplingData[[#This Row],[Candidate 8]]))),(SamplingData[[#This Row],[Total]]+SamplingData[[#This Row],[Winning Candidate]]-SamplingData[[#This Row],[Candidate 8]])/(SamplingData[[#Totals],[Winning Candidate]]-SamplingData[[#Totals],[Candidate 8]]), 0)</f>
        <v>0</v>
      </c>
      <c r="X4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00">
        <f>MAX(SamplingData[[#This Row],[Error Bound (up) - Max. possible relative overstatement - Losing Candidate]:[Error Bound (up) - Max. possible relative overstatement - Candidate 12]])</f>
        <v>1.1621698024311335E-3</v>
      </c>
      <c r="AC419" s="100">
        <f>IF(SamplingData[[#This Row],[Max Error Bound (up)]] = 0,0,SamplingData[[#This Row],[Max Error Bound (up)]]/SamplingData[[#Totals],[Max Error Bound (up)]])</f>
        <v>4.9803478167232014E-4</v>
      </c>
      <c r="AD419" s="104">
        <f>SUM($AC$5:AC419)</f>
        <v>8.5190868464976074E-2</v>
      </c>
      <c r="AE419" s="100" t="str" cm="1">
        <f t="array" ref="AE419">IF(SamplingData[[#This Row],[up/U Selection Probability]] = 0, "Zero", TEXT(SamplingData[[#This Row],[Lower Range]], REPT("0",LEN('General Info'!$B$42))) &amp; " - " &amp; TEXT(SamplingData[[#This Row],[Upper Range]], REPT("0",LEN('General Info'!$B$42))))</f>
        <v>08469 - 08518</v>
      </c>
      <c r="AF419" s="100">
        <f>SamplingData[[#This Row],[Upper Range]]-SamplingData[[#This Row],[Span]]</f>
        <v>8469.2833683303761</v>
      </c>
      <c r="AG419" s="100">
        <f>IF(ISNUMBER('General Info'!$B$42), ((SamplingData[[#This Row],[up/U Selection Probability]]) * 'General Info'!$B$44) - 1, 0)</f>
        <v>48.803478167232015</v>
      </c>
      <c r="AH419" s="100">
        <f>IF(ISNUMBER('General Info'!$B$42), (SamplingData[[#This Row],[Running (cumulative) sum]] * ('General Info'!$B$42 -'General Info'!$B$43 + 1)) + 'General Info'!$B$43 - 1, 0)</f>
        <v>8518.0868464976083</v>
      </c>
      <c r="AI419" s="100" t="str">
        <f>IF(ISERROR(MATCH(SamplingData[[#This Row],[Batch by Type (p)]],SelectedPrecincts[Batch Name], 0)), "", INDEX(SelectedPrecincts[Draw], MATCH(SamplingData[[#This Row],[Batch by Type (p)]],SelectedPrecincts[Batch Name], 0)))</f>
        <v/>
      </c>
      <c r="AJ419" s="101">
        <f>IF(COUNTIF(SelectedPrecincts[Batch Name],SamplingData[[#This Row],[Batch by Type (p)]]) &lt;&gt; 0, COUNTIF(SelectedPrecincts[Batch Name],SamplingData[[#This Row],[Batch by Type (p)]]), 0)</f>
        <v>0</v>
      </c>
    </row>
    <row r="420" spans="1:36" ht="15" customHeight="1" x14ac:dyDescent="0.35">
      <c r="A420" s="98" t="s">
        <v>632</v>
      </c>
      <c r="B420" s="98">
        <v>16</v>
      </c>
      <c r="C420" s="98">
        <v>0</v>
      </c>
      <c r="D420" s="93"/>
      <c r="E420" s="93"/>
      <c r="F420" s="93"/>
      <c r="G420" s="97"/>
      <c r="H420" s="97"/>
      <c r="I420" s="93"/>
      <c r="J420" s="93"/>
      <c r="K420" s="93"/>
      <c r="L420" s="93"/>
      <c r="M420" s="93"/>
      <c r="N420" s="98">
        <v>0</v>
      </c>
      <c r="O420" s="98">
        <v>0</v>
      </c>
      <c r="P420" s="99">
        <f>SUM(SamplingData[[#This Row],[Winning Candidate]:[Under Votes]])</f>
        <v>16</v>
      </c>
      <c r="Q420"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420" s="100">
        <f>IF(AND(SamplingData[[#This Row],[Total]]&lt;&gt; 0, NOT(ISBLANK(SamplingData[[#This Row],[Candidate 3]]))),(SamplingData[[#This Row],[Total]]+SamplingData[[#This Row],[Winning Candidate]]-SamplingData[[#This Row],[Candidate 3]])/(SamplingData[[#Totals],[Winning Candidate]]-SamplingData[[#Totals],[Candidate 3]]), 0)</f>
        <v>0</v>
      </c>
      <c r="S420" s="100">
        <f>IF(AND(SamplingData[[#This Row],[Total]]&lt;&gt; 0, NOT(ISBLANK(SamplingData[[#This Row],[Candidate 4]]))),(SamplingData[[#This Row],[Total]]+SamplingData[[#This Row],[Winning Candidate]]-SamplingData[[#This Row],[Candidate 4]])/(SamplingData[[#Totals],[Winning Candidate]]-SamplingData[[#Totals],[Candidate 4]]), 0)</f>
        <v>0</v>
      </c>
      <c r="T420" s="100">
        <f>IF(AND(SamplingData[[#This Row],[Total]]&lt;&gt; 0, NOT(ISBLANK(SamplingData[[#This Row],[Candidate 5]]))),(SamplingData[[#This Row],[Total]]+SamplingData[[#This Row],[Winning Candidate]]-SamplingData[[#This Row],[Candidate 5]])/(SamplingData[[#Totals],[Winning Candidate]]-SamplingData[[#Totals],[Candidate 5]]), 0)</f>
        <v>0</v>
      </c>
      <c r="U420" s="100">
        <f>IF(AND(SamplingData[[#This Row],[Total]]&lt;&gt; 0, NOT(ISBLANK(SamplingData[[#This Row],[Candidate 6]]))),(SamplingData[[#This Row],[Total]]+SamplingData[[#This Row],[Losing Candidate]]-SamplingData[[#This Row],[Candidate 6]])/(SamplingData[[#Totals],[Winning Candidate]]-SamplingData[[#Totals],[Candidate 6]]), 0)</f>
        <v>0</v>
      </c>
      <c r="V420" s="100">
        <f>IF(AND(SamplingData[[#This Row],[Total]]&lt;&gt; 0, NOT(ISBLANK(SamplingData[[#This Row],[Candidate 7]]))),(SamplingData[[#This Row],[Total]]+SamplingData[[#This Row],[Winning Candidate]]-SamplingData[[#This Row],[Candidate 7]])/(SamplingData[[#Totals],[Winning Candidate]]-SamplingData[[#Totals],[Candidate 7]]), 0)</f>
        <v>0</v>
      </c>
      <c r="W420" s="100">
        <f>IF(AND(SamplingData[[#This Row],[Total]]&lt;&gt; 0, NOT(ISBLANK(SamplingData[[#This Row],[Candidate 8]]))),(SamplingData[[#This Row],[Total]]+SamplingData[[#This Row],[Winning Candidate]]-SamplingData[[#This Row],[Candidate 8]])/(SamplingData[[#Totals],[Winning Candidate]]-SamplingData[[#Totals],[Candidate 8]]), 0)</f>
        <v>0</v>
      </c>
      <c r="X4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00">
        <f>MAX(SamplingData[[#This Row],[Error Bound (up) - Max. possible relative overstatement - Losing Candidate]:[Error Bound (up) - Max. possible relative overstatement - Candidate 12]])</f>
        <v>1.005119829129629E-3</v>
      </c>
      <c r="AC420" s="100">
        <f>IF(SamplingData[[#This Row],[Max Error Bound (up)]] = 0,0,SamplingData[[#This Row],[Max Error Bound (up)]]/SamplingData[[#Totals],[Max Error Bound (up)]])</f>
        <v>4.3073278414903365E-4</v>
      </c>
      <c r="AD420" s="104">
        <f>SUM($AC$5:AC420)</f>
        <v>8.5621601249125115E-2</v>
      </c>
      <c r="AE420" s="100" t="str" cm="1">
        <f t="array" ref="AE420">IF(SamplingData[[#This Row],[up/U Selection Probability]] = 0, "Zero", TEXT(SamplingData[[#This Row],[Lower Range]], REPT("0",LEN('General Info'!$B$42))) &amp; " - " &amp; TEXT(SamplingData[[#This Row],[Upper Range]], REPT("0",LEN('General Info'!$B$42))))</f>
        <v>08519 - 08561</v>
      </c>
      <c r="AF420" s="100">
        <f>SamplingData[[#This Row],[Upper Range]]-SamplingData[[#This Row],[Span]]</f>
        <v>8519.0868464976083</v>
      </c>
      <c r="AG420" s="100">
        <f>IF(ISNUMBER('General Info'!$B$42), ((SamplingData[[#This Row],[up/U Selection Probability]]) * 'General Info'!$B$44) - 1, 0)</f>
        <v>42.073278414903363</v>
      </c>
      <c r="AH420" s="100">
        <f>IF(ISNUMBER('General Info'!$B$42), (SamplingData[[#This Row],[Running (cumulative) sum]] * ('General Info'!$B$42 -'General Info'!$B$43 + 1)) + 'General Info'!$B$43 - 1, 0)</f>
        <v>8561.1601249125124</v>
      </c>
      <c r="AI420" s="100" t="str">
        <f>IF(ISERROR(MATCH(SamplingData[[#This Row],[Batch by Type (p)]],SelectedPrecincts[Batch Name], 0)), "", INDEX(SelectedPrecincts[Draw], MATCH(SamplingData[[#This Row],[Batch by Type (p)]],SelectedPrecincts[Batch Name], 0)))</f>
        <v/>
      </c>
      <c r="AJ420" s="101">
        <f>IF(COUNTIF(SelectedPrecincts[Batch Name],SamplingData[[#This Row],[Batch by Type (p)]]) &lt;&gt; 0, COUNTIF(SelectedPrecincts[Batch Name],SamplingData[[#This Row],[Batch by Type (p)]]), 0)</f>
        <v>0</v>
      </c>
    </row>
    <row r="421" spans="1:36" ht="15" customHeight="1" x14ac:dyDescent="0.35">
      <c r="A421" s="98" t="s">
        <v>633</v>
      </c>
      <c r="B421" s="98">
        <v>2</v>
      </c>
      <c r="C421" s="98">
        <v>0</v>
      </c>
      <c r="D421" s="93"/>
      <c r="E421" s="93"/>
      <c r="F421" s="93"/>
      <c r="G421" s="97"/>
      <c r="H421" s="97"/>
      <c r="I421" s="93"/>
      <c r="J421" s="93"/>
      <c r="K421" s="93"/>
      <c r="L421" s="93"/>
      <c r="M421" s="93"/>
      <c r="N421" s="98">
        <v>0</v>
      </c>
      <c r="O421" s="98">
        <v>0</v>
      </c>
      <c r="P421" s="99">
        <f>SUM(SamplingData[[#This Row],[Winning Candidate]:[Under Votes]])</f>
        <v>2</v>
      </c>
      <c r="Q421"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421" s="100">
        <f>IF(AND(SamplingData[[#This Row],[Total]]&lt;&gt; 0, NOT(ISBLANK(SamplingData[[#This Row],[Candidate 3]]))),(SamplingData[[#This Row],[Total]]+SamplingData[[#This Row],[Winning Candidate]]-SamplingData[[#This Row],[Candidate 3]])/(SamplingData[[#Totals],[Winning Candidate]]-SamplingData[[#Totals],[Candidate 3]]), 0)</f>
        <v>0</v>
      </c>
      <c r="S421" s="100">
        <f>IF(AND(SamplingData[[#This Row],[Total]]&lt;&gt; 0, NOT(ISBLANK(SamplingData[[#This Row],[Candidate 4]]))),(SamplingData[[#This Row],[Total]]+SamplingData[[#This Row],[Winning Candidate]]-SamplingData[[#This Row],[Candidate 4]])/(SamplingData[[#Totals],[Winning Candidate]]-SamplingData[[#Totals],[Candidate 4]]), 0)</f>
        <v>0</v>
      </c>
      <c r="T421" s="100">
        <f>IF(AND(SamplingData[[#This Row],[Total]]&lt;&gt; 0, NOT(ISBLANK(SamplingData[[#This Row],[Candidate 5]]))),(SamplingData[[#This Row],[Total]]+SamplingData[[#This Row],[Winning Candidate]]-SamplingData[[#This Row],[Candidate 5]])/(SamplingData[[#Totals],[Winning Candidate]]-SamplingData[[#Totals],[Candidate 5]]), 0)</f>
        <v>0</v>
      </c>
      <c r="U421" s="100">
        <f>IF(AND(SamplingData[[#This Row],[Total]]&lt;&gt; 0, NOT(ISBLANK(SamplingData[[#This Row],[Candidate 6]]))),(SamplingData[[#This Row],[Total]]+SamplingData[[#This Row],[Losing Candidate]]-SamplingData[[#This Row],[Candidate 6]])/(SamplingData[[#Totals],[Winning Candidate]]-SamplingData[[#Totals],[Candidate 6]]), 0)</f>
        <v>0</v>
      </c>
      <c r="V421" s="100">
        <f>IF(AND(SamplingData[[#This Row],[Total]]&lt;&gt; 0, NOT(ISBLANK(SamplingData[[#This Row],[Candidate 7]]))),(SamplingData[[#This Row],[Total]]+SamplingData[[#This Row],[Winning Candidate]]-SamplingData[[#This Row],[Candidate 7]])/(SamplingData[[#Totals],[Winning Candidate]]-SamplingData[[#Totals],[Candidate 7]]), 0)</f>
        <v>0</v>
      </c>
      <c r="W421" s="100">
        <f>IF(AND(SamplingData[[#This Row],[Total]]&lt;&gt; 0, NOT(ISBLANK(SamplingData[[#This Row],[Candidate 8]]))),(SamplingData[[#This Row],[Total]]+SamplingData[[#This Row],[Winning Candidate]]-SamplingData[[#This Row],[Candidate 8]])/(SamplingData[[#Totals],[Winning Candidate]]-SamplingData[[#Totals],[Candidate 8]]), 0)</f>
        <v>0</v>
      </c>
      <c r="X4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00">
        <f>MAX(SamplingData[[#This Row],[Error Bound (up) - Max. possible relative overstatement - Losing Candidate]:[Error Bound (up) - Max. possible relative overstatement - Candidate 12]])</f>
        <v>1.2563997864120362E-4</v>
      </c>
      <c r="AC421" s="100">
        <f>IF(SamplingData[[#This Row],[Max Error Bound (up)]] = 0,0,SamplingData[[#This Row],[Max Error Bound (up)]]/SamplingData[[#Totals],[Max Error Bound (up)]])</f>
        <v>5.3841598018629206E-5</v>
      </c>
      <c r="AD421" s="104">
        <f>SUM($AC$5:AC421)</f>
        <v>8.5675442847143748E-2</v>
      </c>
      <c r="AE421" s="100" t="str" cm="1">
        <f t="array" ref="AE421">IF(SamplingData[[#This Row],[up/U Selection Probability]] = 0, "Zero", TEXT(SamplingData[[#This Row],[Lower Range]], REPT("0",LEN('General Info'!$B$42))) &amp; " - " &amp; TEXT(SamplingData[[#This Row],[Upper Range]], REPT("0",LEN('General Info'!$B$42))))</f>
        <v>08562 - 08567</v>
      </c>
      <c r="AF421" s="100">
        <f>SamplingData[[#This Row],[Upper Range]]-SamplingData[[#This Row],[Span]]</f>
        <v>8562.1601249125124</v>
      </c>
      <c r="AG421" s="100">
        <f>IF(ISNUMBER('General Info'!$B$42), ((SamplingData[[#This Row],[up/U Selection Probability]]) * 'General Info'!$B$44) - 1, 0)</f>
        <v>4.3841598018629204</v>
      </c>
      <c r="AH421" s="100">
        <f>IF(ISNUMBER('General Info'!$B$42), (SamplingData[[#This Row],[Running (cumulative) sum]] * ('General Info'!$B$42 -'General Info'!$B$43 + 1)) + 'General Info'!$B$43 - 1, 0)</f>
        <v>8566.544284714375</v>
      </c>
      <c r="AI421" s="100" t="str">
        <f>IF(ISERROR(MATCH(SamplingData[[#This Row],[Batch by Type (p)]],SelectedPrecincts[Batch Name], 0)), "", INDEX(SelectedPrecincts[Draw], MATCH(SamplingData[[#This Row],[Batch by Type (p)]],SelectedPrecincts[Batch Name], 0)))</f>
        <v/>
      </c>
      <c r="AJ421" s="101">
        <f>IF(COUNTIF(SelectedPrecincts[Batch Name],SamplingData[[#This Row],[Batch by Type (p)]]) &lt;&gt; 0, COUNTIF(SelectedPrecincts[Batch Name],SamplingData[[#This Row],[Batch by Type (p)]]), 0)</f>
        <v>0</v>
      </c>
    </row>
    <row r="422" spans="1:36" ht="15" customHeight="1" x14ac:dyDescent="0.35">
      <c r="A422" s="98" t="s">
        <v>634</v>
      </c>
      <c r="B422" s="98">
        <v>16</v>
      </c>
      <c r="C422" s="98">
        <v>1</v>
      </c>
      <c r="D422" s="93"/>
      <c r="E422" s="93"/>
      <c r="F422" s="93"/>
      <c r="G422" s="97"/>
      <c r="H422" s="97"/>
      <c r="I422" s="93"/>
      <c r="J422" s="93"/>
      <c r="K422" s="93"/>
      <c r="L422" s="93"/>
      <c r="M422" s="93"/>
      <c r="N422" s="98">
        <v>0</v>
      </c>
      <c r="O422" s="98">
        <v>0</v>
      </c>
      <c r="P422" s="99">
        <f>SUM(SamplingData[[#This Row],[Winning Candidate]:[Under Votes]])</f>
        <v>17</v>
      </c>
      <c r="Q422"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422" s="100">
        <f>IF(AND(SamplingData[[#This Row],[Total]]&lt;&gt; 0, NOT(ISBLANK(SamplingData[[#This Row],[Candidate 3]]))),(SamplingData[[#This Row],[Total]]+SamplingData[[#This Row],[Winning Candidate]]-SamplingData[[#This Row],[Candidate 3]])/(SamplingData[[#Totals],[Winning Candidate]]-SamplingData[[#Totals],[Candidate 3]]), 0)</f>
        <v>0</v>
      </c>
      <c r="S422" s="100">
        <f>IF(AND(SamplingData[[#This Row],[Total]]&lt;&gt; 0, NOT(ISBLANK(SamplingData[[#This Row],[Candidate 4]]))),(SamplingData[[#This Row],[Total]]+SamplingData[[#This Row],[Winning Candidate]]-SamplingData[[#This Row],[Candidate 4]])/(SamplingData[[#Totals],[Winning Candidate]]-SamplingData[[#Totals],[Candidate 4]]), 0)</f>
        <v>0</v>
      </c>
      <c r="T422" s="100">
        <f>IF(AND(SamplingData[[#This Row],[Total]]&lt;&gt; 0, NOT(ISBLANK(SamplingData[[#This Row],[Candidate 5]]))),(SamplingData[[#This Row],[Total]]+SamplingData[[#This Row],[Winning Candidate]]-SamplingData[[#This Row],[Candidate 5]])/(SamplingData[[#Totals],[Winning Candidate]]-SamplingData[[#Totals],[Candidate 5]]), 0)</f>
        <v>0</v>
      </c>
      <c r="U422" s="100">
        <f>IF(AND(SamplingData[[#This Row],[Total]]&lt;&gt; 0, NOT(ISBLANK(SamplingData[[#This Row],[Candidate 6]]))),(SamplingData[[#This Row],[Total]]+SamplingData[[#This Row],[Losing Candidate]]-SamplingData[[#This Row],[Candidate 6]])/(SamplingData[[#Totals],[Winning Candidate]]-SamplingData[[#Totals],[Candidate 6]]), 0)</f>
        <v>0</v>
      </c>
      <c r="V422" s="100">
        <f>IF(AND(SamplingData[[#This Row],[Total]]&lt;&gt; 0, NOT(ISBLANK(SamplingData[[#This Row],[Candidate 7]]))),(SamplingData[[#This Row],[Total]]+SamplingData[[#This Row],[Winning Candidate]]-SamplingData[[#This Row],[Candidate 7]])/(SamplingData[[#Totals],[Winning Candidate]]-SamplingData[[#Totals],[Candidate 7]]), 0)</f>
        <v>0</v>
      </c>
      <c r="W422" s="100">
        <f>IF(AND(SamplingData[[#This Row],[Total]]&lt;&gt; 0, NOT(ISBLANK(SamplingData[[#This Row],[Candidate 8]]))),(SamplingData[[#This Row],[Total]]+SamplingData[[#This Row],[Winning Candidate]]-SamplingData[[#This Row],[Candidate 8]])/(SamplingData[[#Totals],[Winning Candidate]]-SamplingData[[#Totals],[Candidate 8]]), 0)</f>
        <v>0</v>
      </c>
      <c r="X4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00">
        <f>MAX(SamplingData[[#This Row],[Error Bound (up) - Max. possible relative overstatement - Losing Candidate]:[Error Bound (up) - Max. possible relative overstatement - Candidate 12]])</f>
        <v>1.005119829129629E-3</v>
      </c>
      <c r="AC422" s="100">
        <f>IF(SamplingData[[#This Row],[Max Error Bound (up)]] = 0,0,SamplingData[[#This Row],[Max Error Bound (up)]]/SamplingData[[#Totals],[Max Error Bound (up)]])</f>
        <v>4.3073278414903365E-4</v>
      </c>
      <c r="AD422" s="104">
        <f>SUM($AC$5:AC422)</f>
        <v>8.6106175631292789E-2</v>
      </c>
      <c r="AE422" s="100" t="str" cm="1">
        <f t="array" ref="AE422">IF(SamplingData[[#This Row],[up/U Selection Probability]] = 0, "Zero", TEXT(SamplingData[[#This Row],[Lower Range]], REPT("0",LEN('General Info'!$B$42))) &amp; " - " &amp; TEXT(SamplingData[[#This Row],[Upper Range]], REPT("0",LEN('General Info'!$B$42))))</f>
        <v>08568 - 08610</v>
      </c>
      <c r="AF422" s="100">
        <f>SamplingData[[#This Row],[Upper Range]]-SamplingData[[#This Row],[Span]]</f>
        <v>8567.544284714375</v>
      </c>
      <c r="AG422" s="100">
        <f>IF(ISNUMBER('General Info'!$B$42), ((SamplingData[[#This Row],[up/U Selection Probability]]) * 'General Info'!$B$44) - 1, 0)</f>
        <v>42.073278414903363</v>
      </c>
      <c r="AH422" s="100">
        <f>IF(ISNUMBER('General Info'!$B$42), (SamplingData[[#This Row],[Running (cumulative) sum]] * ('General Info'!$B$42 -'General Info'!$B$43 + 1)) + 'General Info'!$B$43 - 1, 0)</f>
        <v>8609.617563129279</v>
      </c>
      <c r="AI422" s="100" t="str">
        <f>IF(ISERROR(MATCH(SamplingData[[#This Row],[Batch by Type (p)]],SelectedPrecincts[Batch Name], 0)), "", INDEX(SelectedPrecincts[Draw], MATCH(SamplingData[[#This Row],[Batch by Type (p)]],SelectedPrecincts[Batch Name], 0)))</f>
        <v/>
      </c>
      <c r="AJ422" s="101">
        <f>IF(COUNTIF(SelectedPrecincts[Batch Name],SamplingData[[#This Row],[Batch by Type (p)]]) &lt;&gt; 0, COUNTIF(SelectedPrecincts[Batch Name],SamplingData[[#This Row],[Batch by Type (p)]]), 0)</f>
        <v>0</v>
      </c>
    </row>
    <row r="423" spans="1:36" ht="15" customHeight="1" x14ac:dyDescent="0.35">
      <c r="A423" s="98" t="s">
        <v>635</v>
      </c>
      <c r="B423" s="98">
        <v>5</v>
      </c>
      <c r="C423" s="98">
        <v>3</v>
      </c>
      <c r="D423" s="93"/>
      <c r="E423" s="93"/>
      <c r="F423" s="93"/>
      <c r="G423" s="97"/>
      <c r="H423" s="97"/>
      <c r="I423" s="93"/>
      <c r="J423" s="93"/>
      <c r="K423" s="93"/>
      <c r="L423" s="93"/>
      <c r="M423" s="93"/>
      <c r="N423" s="98">
        <v>0</v>
      </c>
      <c r="O423" s="98">
        <v>0</v>
      </c>
      <c r="P423" s="99">
        <f>SUM(SamplingData[[#This Row],[Winning Candidate]:[Under Votes]])</f>
        <v>8</v>
      </c>
      <c r="Q423"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423" s="100">
        <f>IF(AND(SamplingData[[#This Row],[Total]]&lt;&gt; 0, NOT(ISBLANK(SamplingData[[#This Row],[Candidate 3]]))),(SamplingData[[#This Row],[Total]]+SamplingData[[#This Row],[Winning Candidate]]-SamplingData[[#This Row],[Candidate 3]])/(SamplingData[[#Totals],[Winning Candidate]]-SamplingData[[#Totals],[Candidate 3]]), 0)</f>
        <v>0</v>
      </c>
      <c r="S423" s="100">
        <f>IF(AND(SamplingData[[#This Row],[Total]]&lt;&gt; 0, NOT(ISBLANK(SamplingData[[#This Row],[Candidate 4]]))),(SamplingData[[#This Row],[Total]]+SamplingData[[#This Row],[Winning Candidate]]-SamplingData[[#This Row],[Candidate 4]])/(SamplingData[[#Totals],[Winning Candidate]]-SamplingData[[#Totals],[Candidate 4]]), 0)</f>
        <v>0</v>
      </c>
      <c r="T423" s="100">
        <f>IF(AND(SamplingData[[#This Row],[Total]]&lt;&gt; 0, NOT(ISBLANK(SamplingData[[#This Row],[Candidate 5]]))),(SamplingData[[#This Row],[Total]]+SamplingData[[#This Row],[Winning Candidate]]-SamplingData[[#This Row],[Candidate 5]])/(SamplingData[[#Totals],[Winning Candidate]]-SamplingData[[#Totals],[Candidate 5]]), 0)</f>
        <v>0</v>
      </c>
      <c r="U423" s="100">
        <f>IF(AND(SamplingData[[#This Row],[Total]]&lt;&gt; 0, NOT(ISBLANK(SamplingData[[#This Row],[Candidate 6]]))),(SamplingData[[#This Row],[Total]]+SamplingData[[#This Row],[Losing Candidate]]-SamplingData[[#This Row],[Candidate 6]])/(SamplingData[[#Totals],[Winning Candidate]]-SamplingData[[#Totals],[Candidate 6]]), 0)</f>
        <v>0</v>
      </c>
      <c r="V423" s="100">
        <f>IF(AND(SamplingData[[#This Row],[Total]]&lt;&gt; 0, NOT(ISBLANK(SamplingData[[#This Row],[Candidate 7]]))),(SamplingData[[#This Row],[Total]]+SamplingData[[#This Row],[Winning Candidate]]-SamplingData[[#This Row],[Candidate 7]])/(SamplingData[[#Totals],[Winning Candidate]]-SamplingData[[#Totals],[Candidate 7]]), 0)</f>
        <v>0</v>
      </c>
      <c r="W423" s="100">
        <f>IF(AND(SamplingData[[#This Row],[Total]]&lt;&gt; 0, NOT(ISBLANK(SamplingData[[#This Row],[Candidate 8]]))),(SamplingData[[#This Row],[Total]]+SamplingData[[#This Row],[Winning Candidate]]-SamplingData[[#This Row],[Candidate 8]])/(SamplingData[[#Totals],[Winning Candidate]]-SamplingData[[#Totals],[Candidate 8]]), 0)</f>
        <v>0</v>
      </c>
      <c r="X4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00">
        <f>MAX(SamplingData[[#This Row],[Error Bound (up) - Max. possible relative overstatement - Losing Candidate]:[Error Bound (up) - Max. possible relative overstatement - Candidate 12]])</f>
        <v>3.1409994660300906E-4</v>
      </c>
      <c r="AC423" s="100">
        <f>IF(SamplingData[[#This Row],[Max Error Bound (up)]] = 0,0,SamplingData[[#This Row],[Max Error Bound (up)]]/SamplingData[[#Totals],[Max Error Bound (up)]])</f>
        <v>1.3460399504657304E-4</v>
      </c>
      <c r="AD423" s="104">
        <f>SUM($AC$5:AC423)</f>
        <v>8.6240779626339359E-2</v>
      </c>
      <c r="AE423" s="100" t="str" cm="1">
        <f t="array" ref="AE423">IF(SamplingData[[#This Row],[up/U Selection Probability]] = 0, "Zero", TEXT(SamplingData[[#This Row],[Lower Range]], REPT("0",LEN('General Info'!$B$42))) &amp; " - " &amp; TEXT(SamplingData[[#This Row],[Upper Range]], REPT("0",LEN('General Info'!$B$42))))</f>
        <v>08611 - 08623</v>
      </c>
      <c r="AF423" s="100">
        <f>SamplingData[[#This Row],[Upper Range]]-SamplingData[[#This Row],[Span]]</f>
        <v>8610.6175631292772</v>
      </c>
      <c r="AG423" s="100">
        <f>IF(ISNUMBER('General Info'!$B$42), ((SamplingData[[#This Row],[up/U Selection Probability]]) * 'General Info'!$B$44) - 1, 0)</f>
        <v>12.460399504657303</v>
      </c>
      <c r="AH423" s="100">
        <f>IF(ISNUMBER('General Info'!$B$42), (SamplingData[[#This Row],[Running (cumulative) sum]] * ('General Info'!$B$42 -'General Info'!$B$43 + 1)) + 'General Info'!$B$43 - 1, 0)</f>
        <v>8623.0779626339354</v>
      </c>
      <c r="AI423" s="100" t="str">
        <f>IF(ISERROR(MATCH(SamplingData[[#This Row],[Batch by Type (p)]],SelectedPrecincts[Batch Name], 0)), "", INDEX(SelectedPrecincts[Draw], MATCH(SamplingData[[#This Row],[Batch by Type (p)]],SelectedPrecincts[Batch Name], 0)))</f>
        <v/>
      </c>
      <c r="AJ423" s="101">
        <f>IF(COUNTIF(SelectedPrecincts[Batch Name],SamplingData[[#This Row],[Batch by Type (p)]]) &lt;&gt; 0, COUNTIF(SelectedPrecincts[Batch Name],SamplingData[[#This Row],[Batch by Type (p)]]), 0)</f>
        <v>0</v>
      </c>
    </row>
    <row r="424" spans="1:36" ht="15" customHeight="1" x14ac:dyDescent="0.35">
      <c r="A424" s="98" t="s">
        <v>636</v>
      </c>
      <c r="B424" s="98">
        <v>2</v>
      </c>
      <c r="C424" s="98">
        <v>0</v>
      </c>
      <c r="D424" s="93"/>
      <c r="E424" s="93"/>
      <c r="F424" s="93"/>
      <c r="G424" s="97"/>
      <c r="H424" s="97"/>
      <c r="I424" s="93"/>
      <c r="J424" s="93"/>
      <c r="K424" s="93"/>
      <c r="L424" s="93"/>
      <c r="M424" s="93"/>
      <c r="N424" s="98">
        <v>0</v>
      </c>
      <c r="O424" s="98">
        <v>0</v>
      </c>
      <c r="P424" s="99">
        <f>SUM(SamplingData[[#This Row],[Winning Candidate]:[Under Votes]])</f>
        <v>2</v>
      </c>
      <c r="Q424"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424" s="100">
        <f>IF(AND(SamplingData[[#This Row],[Total]]&lt;&gt; 0, NOT(ISBLANK(SamplingData[[#This Row],[Candidate 3]]))),(SamplingData[[#This Row],[Total]]+SamplingData[[#This Row],[Winning Candidate]]-SamplingData[[#This Row],[Candidate 3]])/(SamplingData[[#Totals],[Winning Candidate]]-SamplingData[[#Totals],[Candidate 3]]), 0)</f>
        <v>0</v>
      </c>
      <c r="S424" s="100">
        <f>IF(AND(SamplingData[[#This Row],[Total]]&lt;&gt; 0, NOT(ISBLANK(SamplingData[[#This Row],[Candidate 4]]))),(SamplingData[[#This Row],[Total]]+SamplingData[[#This Row],[Winning Candidate]]-SamplingData[[#This Row],[Candidate 4]])/(SamplingData[[#Totals],[Winning Candidate]]-SamplingData[[#Totals],[Candidate 4]]), 0)</f>
        <v>0</v>
      </c>
      <c r="T424" s="100">
        <f>IF(AND(SamplingData[[#This Row],[Total]]&lt;&gt; 0, NOT(ISBLANK(SamplingData[[#This Row],[Candidate 5]]))),(SamplingData[[#This Row],[Total]]+SamplingData[[#This Row],[Winning Candidate]]-SamplingData[[#This Row],[Candidate 5]])/(SamplingData[[#Totals],[Winning Candidate]]-SamplingData[[#Totals],[Candidate 5]]), 0)</f>
        <v>0</v>
      </c>
      <c r="U424" s="100">
        <f>IF(AND(SamplingData[[#This Row],[Total]]&lt;&gt; 0, NOT(ISBLANK(SamplingData[[#This Row],[Candidate 6]]))),(SamplingData[[#This Row],[Total]]+SamplingData[[#This Row],[Losing Candidate]]-SamplingData[[#This Row],[Candidate 6]])/(SamplingData[[#Totals],[Winning Candidate]]-SamplingData[[#Totals],[Candidate 6]]), 0)</f>
        <v>0</v>
      </c>
      <c r="V424" s="100">
        <f>IF(AND(SamplingData[[#This Row],[Total]]&lt;&gt; 0, NOT(ISBLANK(SamplingData[[#This Row],[Candidate 7]]))),(SamplingData[[#This Row],[Total]]+SamplingData[[#This Row],[Winning Candidate]]-SamplingData[[#This Row],[Candidate 7]])/(SamplingData[[#Totals],[Winning Candidate]]-SamplingData[[#Totals],[Candidate 7]]), 0)</f>
        <v>0</v>
      </c>
      <c r="W424" s="100">
        <f>IF(AND(SamplingData[[#This Row],[Total]]&lt;&gt; 0, NOT(ISBLANK(SamplingData[[#This Row],[Candidate 8]]))),(SamplingData[[#This Row],[Total]]+SamplingData[[#This Row],[Winning Candidate]]-SamplingData[[#This Row],[Candidate 8]])/(SamplingData[[#Totals],[Winning Candidate]]-SamplingData[[#Totals],[Candidate 8]]), 0)</f>
        <v>0</v>
      </c>
      <c r="X4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00">
        <f>MAX(SamplingData[[#This Row],[Error Bound (up) - Max. possible relative overstatement - Losing Candidate]:[Error Bound (up) - Max. possible relative overstatement - Candidate 12]])</f>
        <v>1.2563997864120362E-4</v>
      </c>
      <c r="AC424" s="100">
        <f>IF(SamplingData[[#This Row],[Max Error Bound (up)]] = 0,0,SamplingData[[#This Row],[Max Error Bound (up)]]/SamplingData[[#Totals],[Max Error Bound (up)]])</f>
        <v>5.3841598018629206E-5</v>
      </c>
      <c r="AD424" s="104">
        <f>SUM($AC$5:AC424)</f>
        <v>8.6294621224357992E-2</v>
      </c>
      <c r="AE424" s="100" t="str" cm="1">
        <f t="array" ref="AE424">IF(SamplingData[[#This Row],[up/U Selection Probability]] = 0, "Zero", TEXT(SamplingData[[#This Row],[Lower Range]], REPT("0",LEN('General Info'!$B$42))) &amp; " - " &amp; TEXT(SamplingData[[#This Row],[Upper Range]], REPT("0",LEN('General Info'!$B$42))))</f>
        <v>08624 - 08628</v>
      </c>
      <c r="AF424" s="100">
        <f>SamplingData[[#This Row],[Upper Range]]-SamplingData[[#This Row],[Span]]</f>
        <v>8624.0779626339372</v>
      </c>
      <c r="AG424" s="100">
        <f>IF(ISNUMBER('General Info'!$B$42), ((SamplingData[[#This Row],[up/U Selection Probability]]) * 'General Info'!$B$44) - 1, 0)</f>
        <v>4.3841598018629204</v>
      </c>
      <c r="AH424" s="100">
        <f>IF(ISNUMBER('General Info'!$B$42), (SamplingData[[#This Row],[Running (cumulative) sum]] * ('General Info'!$B$42 -'General Info'!$B$43 + 1)) + 'General Info'!$B$43 - 1, 0)</f>
        <v>8628.4621224357998</v>
      </c>
      <c r="AI424" s="100" t="str">
        <f>IF(ISERROR(MATCH(SamplingData[[#This Row],[Batch by Type (p)]],SelectedPrecincts[Batch Name], 0)), "", INDEX(SelectedPrecincts[Draw], MATCH(SamplingData[[#This Row],[Batch by Type (p)]],SelectedPrecincts[Batch Name], 0)))</f>
        <v/>
      </c>
      <c r="AJ424" s="101">
        <f>IF(COUNTIF(SelectedPrecincts[Batch Name],SamplingData[[#This Row],[Batch by Type (p)]]) &lt;&gt; 0, COUNTIF(SelectedPrecincts[Batch Name],SamplingData[[#This Row],[Batch by Type (p)]]), 0)</f>
        <v>0</v>
      </c>
    </row>
    <row r="425" spans="1:36" ht="15" customHeight="1" x14ac:dyDescent="0.35">
      <c r="A425" s="98" t="s">
        <v>637</v>
      </c>
      <c r="B425" s="98">
        <v>4</v>
      </c>
      <c r="C425" s="98">
        <v>1</v>
      </c>
      <c r="D425" s="93"/>
      <c r="E425" s="93"/>
      <c r="F425" s="93"/>
      <c r="G425" s="97"/>
      <c r="H425" s="97"/>
      <c r="I425" s="93"/>
      <c r="J425" s="93"/>
      <c r="K425" s="93"/>
      <c r="L425" s="93"/>
      <c r="M425" s="93"/>
      <c r="N425" s="98">
        <v>0</v>
      </c>
      <c r="O425" s="98">
        <v>0</v>
      </c>
      <c r="P425" s="99">
        <f>SUM(SamplingData[[#This Row],[Winning Candidate]:[Under Votes]])</f>
        <v>5</v>
      </c>
      <c r="Q42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425" s="100">
        <f>IF(AND(SamplingData[[#This Row],[Total]]&lt;&gt; 0, NOT(ISBLANK(SamplingData[[#This Row],[Candidate 3]]))),(SamplingData[[#This Row],[Total]]+SamplingData[[#This Row],[Winning Candidate]]-SamplingData[[#This Row],[Candidate 3]])/(SamplingData[[#Totals],[Winning Candidate]]-SamplingData[[#Totals],[Candidate 3]]), 0)</f>
        <v>0</v>
      </c>
      <c r="S425" s="100">
        <f>IF(AND(SamplingData[[#This Row],[Total]]&lt;&gt; 0, NOT(ISBLANK(SamplingData[[#This Row],[Candidate 4]]))),(SamplingData[[#This Row],[Total]]+SamplingData[[#This Row],[Winning Candidate]]-SamplingData[[#This Row],[Candidate 4]])/(SamplingData[[#Totals],[Winning Candidate]]-SamplingData[[#Totals],[Candidate 4]]), 0)</f>
        <v>0</v>
      </c>
      <c r="T425" s="100">
        <f>IF(AND(SamplingData[[#This Row],[Total]]&lt;&gt; 0, NOT(ISBLANK(SamplingData[[#This Row],[Candidate 5]]))),(SamplingData[[#This Row],[Total]]+SamplingData[[#This Row],[Winning Candidate]]-SamplingData[[#This Row],[Candidate 5]])/(SamplingData[[#Totals],[Winning Candidate]]-SamplingData[[#Totals],[Candidate 5]]), 0)</f>
        <v>0</v>
      </c>
      <c r="U425" s="100">
        <f>IF(AND(SamplingData[[#This Row],[Total]]&lt;&gt; 0, NOT(ISBLANK(SamplingData[[#This Row],[Candidate 6]]))),(SamplingData[[#This Row],[Total]]+SamplingData[[#This Row],[Losing Candidate]]-SamplingData[[#This Row],[Candidate 6]])/(SamplingData[[#Totals],[Winning Candidate]]-SamplingData[[#Totals],[Candidate 6]]), 0)</f>
        <v>0</v>
      </c>
      <c r="V425" s="100">
        <f>IF(AND(SamplingData[[#This Row],[Total]]&lt;&gt; 0, NOT(ISBLANK(SamplingData[[#This Row],[Candidate 7]]))),(SamplingData[[#This Row],[Total]]+SamplingData[[#This Row],[Winning Candidate]]-SamplingData[[#This Row],[Candidate 7]])/(SamplingData[[#Totals],[Winning Candidate]]-SamplingData[[#Totals],[Candidate 7]]), 0)</f>
        <v>0</v>
      </c>
      <c r="W425" s="100">
        <f>IF(AND(SamplingData[[#This Row],[Total]]&lt;&gt; 0, NOT(ISBLANK(SamplingData[[#This Row],[Candidate 8]]))),(SamplingData[[#This Row],[Total]]+SamplingData[[#This Row],[Winning Candidate]]-SamplingData[[#This Row],[Candidate 8]])/(SamplingData[[#Totals],[Winning Candidate]]-SamplingData[[#Totals],[Candidate 8]]), 0)</f>
        <v>0</v>
      </c>
      <c r="X4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00">
        <f>MAX(SamplingData[[#This Row],[Error Bound (up) - Max. possible relative overstatement - Losing Candidate]:[Error Bound (up) - Max. possible relative overstatement - Candidate 12]])</f>
        <v>2.5127995728240724E-4</v>
      </c>
      <c r="AC425" s="100">
        <f>IF(SamplingData[[#This Row],[Max Error Bound (up)]] = 0,0,SamplingData[[#This Row],[Max Error Bound (up)]]/SamplingData[[#Totals],[Max Error Bound (up)]])</f>
        <v>1.0768319603725841E-4</v>
      </c>
      <c r="AD425" s="104">
        <f>SUM($AC$5:AC425)</f>
        <v>8.6402304420395246E-2</v>
      </c>
      <c r="AE425" s="100" t="str" cm="1">
        <f t="array" ref="AE425">IF(SamplingData[[#This Row],[up/U Selection Probability]] = 0, "Zero", TEXT(SamplingData[[#This Row],[Lower Range]], REPT("0",LEN('General Info'!$B$42))) &amp; " - " &amp; TEXT(SamplingData[[#This Row],[Upper Range]], REPT("0",LEN('General Info'!$B$42))))</f>
        <v>08629 - 08639</v>
      </c>
      <c r="AF425" s="100">
        <f>SamplingData[[#This Row],[Upper Range]]-SamplingData[[#This Row],[Span]]</f>
        <v>8629.4621224357998</v>
      </c>
      <c r="AG425" s="100">
        <f>IF(ISNUMBER('General Info'!$B$42), ((SamplingData[[#This Row],[up/U Selection Probability]]) * 'General Info'!$B$44) - 1, 0)</f>
        <v>9.7683196037258408</v>
      </c>
      <c r="AH425" s="100">
        <f>IF(ISNUMBER('General Info'!$B$42), (SamplingData[[#This Row],[Running (cumulative) sum]] * ('General Info'!$B$42 -'General Info'!$B$43 + 1)) + 'General Info'!$B$43 - 1, 0)</f>
        <v>8639.2304420395249</v>
      </c>
      <c r="AI425" s="100" t="str">
        <f>IF(ISERROR(MATCH(SamplingData[[#This Row],[Batch by Type (p)]],SelectedPrecincts[Batch Name], 0)), "", INDEX(SelectedPrecincts[Draw], MATCH(SamplingData[[#This Row],[Batch by Type (p)]],SelectedPrecincts[Batch Name], 0)))</f>
        <v/>
      </c>
      <c r="AJ425" s="101">
        <f>IF(COUNTIF(SelectedPrecincts[Batch Name],SamplingData[[#This Row],[Batch by Type (p)]]) &lt;&gt; 0, COUNTIF(SelectedPrecincts[Batch Name],SamplingData[[#This Row],[Batch by Type (p)]]), 0)</f>
        <v>0</v>
      </c>
    </row>
    <row r="426" spans="1:36" ht="15" customHeight="1" x14ac:dyDescent="0.35">
      <c r="A426" s="98" t="s">
        <v>638</v>
      </c>
      <c r="B426" s="98">
        <v>16</v>
      </c>
      <c r="C426" s="98">
        <v>3</v>
      </c>
      <c r="D426" s="93"/>
      <c r="E426" s="93"/>
      <c r="F426" s="93"/>
      <c r="G426" s="97"/>
      <c r="H426" s="97"/>
      <c r="I426" s="93"/>
      <c r="J426" s="93"/>
      <c r="K426" s="93"/>
      <c r="L426" s="93"/>
      <c r="M426" s="93"/>
      <c r="N426" s="98">
        <v>0</v>
      </c>
      <c r="O426" s="98">
        <v>1</v>
      </c>
      <c r="P426" s="99">
        <f>SUM(SamplingData[[#This Row],[Winning Candidate]:[Under Votes]])</f>
        <v>20</v>
      </c>
      <c r="Q426" s="100">
        <f>IF(AND(SamplingData[[#This Row],[Total]]&lt;&gt; 0, NOT(ISBLANK(SamplingData[[#This Row],[Losing Candidate]]))),(SamplingData[[#This Row],[Total]]+SamplingData[[#This Row],[Winning Candidate]]-SamplingData[[#This Row],[Losing Candidate]])/(SamplingData[[#Totals],[Winning Candidate]]-SamplingData[[#Totals],[Losing Candidate]]), 0)</f>
        <v>1.0365298237899299E-3</v>
      </c>
      <c r="R426" s="100">
        <f>IF(AND(SamplingData[[#This Row],[Total]]&lt;&gt; 0, NOT(ISBLANK(SamplingData[[#This Row],[Candidate 3]]))),(SamplingData[[#This Row],[Total]]+SamplingData[[#This Row],[Winning Candidate]]-SamplingData[[#This Row],[Candidate 3]])/(SamplingData[[#Totals],[Winning Candidate]]-SamplingData[[#Totals],[Candidate 3]]), 0)</f>
        <v>0</v>
      </c>
      <c r="S426" s="100">
        <f>IF(AND(SamplingData[[#This Row],[Total]]&lt;&gt; 0, NOT(ISBLANK(SamplingData[[#This Row],[Candidate 4]]))),(SamplingData[[#This Row],[Total]]+SamplingData[[#This Row],[Winning Candidate]]-SamplingData[[#This Row],[Candidate 4]])/(SamplingData[[#Totals],[Winning Candidate]]-SamplingData[[#Totals],[Candidate 4]]), 0)</f>
        <v>0</v>
      </c>
      <c r="T426" s="100">
        <f>IF(AND(SamplingData[[#This Row],[Total]]&lt;&gt; 0, NOT(ISBLANK(SamplingData[[#This Row],[Candidate 5]]))),(SamplingData[[#This Row],[Total]]+SamplingData[[#This Row],[Winning Candidate]]-SamplingData[[#This Row],[Candidate 5]])/(SamplingData[[#Totals],[Winning Candidate]]-SamplingData[[#Totals],[Candidate 5]]), 0)</f>
        <v>0</v>
      </c>
      <c r="U426" s="100">
        <f>IF(AND(SamplingData[[#This Row],[Total]]&lt;&gt; 0, NOT(ISBLANK(SamplingData[[#This Row],[Candidate 6]]))),(SamplingData[[#This Row],[Total]]+SamplingData[[#This Row],[Losing Candidate]]-SamplingData[[#This Row],[Candidate 6]])/(SamplingData[[#Totals],[Winning Candidate]]-SamplingData[[#Totals],[Candidate 6]]), 0)</f>
        <v>0</v>
      </c>
      <c r="V426" s="100">
        <f>IF(AND(SamplingData[[#This Row],[Total]]&lt;&gt; 0, NOT(ISBLANK(SamplingData[[#This Row],[Candidate 7]]))),(SamplingData[[#This Row],[Total]]+SamplingData[[#This Row],[Winning Candidate]]-SamplingData[[#This Row],[Candidate 7]])/(SamplingData[[#Totals],[Winning Candidate]]-SamplingData[[#Totals],[Candidate 7]]), 0)</f>
        <v>0</v>
      </c>
      <c r="W426" s="100">
        <f>IF(AND(SamplingData[[#This Row],[Total]]&lt;&gt; 0, NOT(ISBLANK(SamplingData[[#This Row],[Candidate 8]]))),(SamplingData[[#This Row],[Total]]+SamplingData[[#This Row],[Winning Candidate]]-SamplingData[[#This Row],[Candidate 8]])/(SamplingData[[#Totals],[Winning Candidate]]-SamplingData[[#Totals],[Candidate 8]]), 0)</f>
        <v>0</v>
      </c>
      <c r="X4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00">
        <f>MAX(SamplingData[[#This Row],[Error Bound (up) - Max. possible relative overstatement - Losing Candidate]:[Error Bound (up) - Max. possible relative overstatement - Candidate 12]])</f>
        <v>1.0365298237899299E-3</v>
      </c>
      <c r="AC426" s="100">
        <f>IF(SamplingData[[#This Row],[Max Error Bound (up)]] = 0,0,SamplingData[[#This Row],[Max Error Bound (up)]]/SamplingData[[#Totals],[Max Error Bound (up)]])</f>
        <v>4.44193183653691E-4</v>
      </c>
      <c r="AD426" s="104">
        <f>SUM($AC$5:AC426)</f>
        <v>8.6846497604048931E-2</v>
      </c>
      <c r="AE426" s="100" t="str" cm="1">
        <f t="array" ref="AE426">IF(SamplingData[[#This Row],[up/U Selection Probability]] = 0, "Zero", TEXT(SamplingData[[#This Row],[Lower Range]], REPT("0",LEN('General Info'!$B$42))) &amp; " - " &amp; TEXT(SamplingData[[#This Row],[Upper Range]], REPT("0",LEN('General Info'!$B$42))))</f>
        <v>08640 - 08684</v>
      </c>
      <c r="AF426" s="100">
        <f>SamplingData[[#This Row],[Upper Range]]-SamplingData[[#This Row],[Span]]</f>
        <v>8640.230442039523</v>
      </c>
      <c r="AG426" s="100">
        <f>IF(ISNUMBER('General Info'!$B$42), ((SamplingData[[#This Row],[up/U Selection Probability]]) * 'General Info'!$B$44) - 1, 0)</f>
        <v>43.419318365369101</v>
      </c>
      <c r="AH426" s="100">
        <f>IF(ISNUMBER('General Info'!$B$42), (SamplingData[[#This Row],[Running (cumulative) sum]] * ('General Info'!$B$42 -'General Info'!$B$43 + 1)) + 'General Info'!$B$43 - 1, 0)</f>
        <v>8683.6497604048927</v>
      </c>
      <c r="AI426" s="100" t="str">
        <f>IF(ISERROR(MATCH(SamplingData[[#This Row],[Batch by Type (p)]],SelectedPrecincts[Batch Name], 0)), "", INDEX(SelectedPrecincts[Draw], MATCH(SamplingData[[#This Row],[Batch by Type (p)]],SelectedPrecincts[Batch Name], 0)))</f>
        <v/>
      </c>
      <c r="AJ426" s="101">
        <f>IF(COUNTIF(SelectedPrecincts[Batch Name],SamplingData[[#This Row],[Batch by Type (p)]]) &lt;&gt; 0, COUNTIF(SelectedPrecincts[Batch Name],SamplingData[[#This Row],[Batch by Type (p)]]), 0)</f>
        <v>0</v>
      </c>
    </row>
    <row r="427" spans="1:36" ht="15" customHeight="1" x14ac:dyDescent="0.35">
      <c r="A427" s="98" t="s">
        <v>639</v>
      </c>
      <c r="B427" s="98">
        <v>8</v>
      </c>
      <c r="C427" s="98">
        <v>1</v>
      </c>
      <c r="D427" s="93"/>
      <c r="E427" s="93"/>
      <c r="F427" s="93"/>
      <c r="G427" s="97"/>
      <c r="H427" s="97"/>
      <c r="I427" s="93"/>
      <c r="J427" s="93"/>
      <c r="K427" s="93"/>
      <c r="L427" s="93"/>
      <c r="M427" s="93"/>
      <c r="N427" s="98">
        <v>0</v>
      </c>
      <c r="O427" s="98">
        <v>0</v>
      </c>
      <c r="P427" s="99">
        <f>SUM(SamplingData[[#This Row],[Winning Candidate]:[Under Votes]])</f>
        <v>9</v>
      </c>
      <c r="Q427"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427" s="100">
        <f>IF(AND(SamplingData[[#This Row],[Total]]&lt;&gt; 0, NOT(ISBLANK(SamplingData[[#This Row],[Candidate 3]]))),(SamplingData[[#This Row],[Total]]+SamplingData[[#This Row],[Winning Candidate]]-SamplingData[[#This Row],[Candidate 3]])/(SamplingData[[#Totals],[Winning Candidate]]-SamplingData[[#Totals],[Candidate 3]]), 0)</f>
        <v>0</v>
      </c>
      <c r="S427" s="100">
        <f>IF(AND(SamplingData[[#This Row],[Total]]&lt;&gt; 0, NOT(ISBLANK(SamplingData[[#This Row],[Candidate 4]]))),(SamplingData[[#This Row],[Total]]+SamplingData[[#This Row],[Winning Candidate]]-SamplingData[[#This Row],[Candidate 4]])/(SamplingData[[#Totals],[Winning Candidate]]-SamplingData[[#Totals],[Candidate 4]]), 0)</f>
        <v>0</v>
      </c>
      <c r="T427" s="100">
        <f>IF(AND(SamplingData[[#This Row],[Total]]&lt;&gt; 0, NOT(ISBLANK(SamplingData[[#This Row],[Candidate 5]]))),(SamplingData[[#This Row],[Total]]+SamplingData[[#This Row],[Winning Candidate]]-SamplingData[[#This Row],[Candidate 5]])/(SamplingData[[#Totals],[Winning Candidate]]-SamplingData[[#Totals],[Candidate 5]]), 0)</f>
        <v>0</v>
      </c>
      <c r="U427" s="100">
        <f>IF(AND(SamplingData[[#This Row],[Total]]&lt;&gt; 0, NOT(ISBLANK(SamplingData[[#This Row],[Candidate 6]]))),(SamplingData[[#This Row],[Total]]+SamplingData[[#This Row],[Losing Candidate]]-SamplingData[[#This Row],[Candidate 6]])/(SamplingData[[#Totals],[Winning Candidate]]-SamplingData[[#Totals],[Candidate 6]]), 0)</f>
        <v>0</v>
      </c>
      <c r="V427" s="100">
        <f>IF(AND(SamplingData[[#This Row],[Total]]&lt;&gt; 0, NOT(ISBLANK(SamplingData[[#This Row],[Candidate 7]]))),(SamplingData[[#This Row],[Total]]+SamplingData[[#This Row],[Winning Candidate]]-SamplingData[[#This Row],[Candidate 7]])/(SamplingData[[#Totals],[Winning Candidate]]-SamplingData[[#Totals],[Candidate 7]]), 0)</f>
        <v>0</v>
      </c>
      <c r="W427" s="100">
        <f>IF(AND(SamplingData[[#This Row],[Total]]&lt;&gt; 0, NOT(ISBLANK(SamplingData[[#This Row],[Candidate 8]]))),(SamplingData[[#This Row],[Total]]+SamplingData[[#This Row],[Winning Candidate]]-SamplingData[[#This Row],[Candidate 8]])/(SamplingData[[#Totals],[Winning Candidate]]-SamplingData[[#Totals],[Candidate 8]]), 0)</f>
        <v>0</v>
      </c>
      <c r="X4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00">
        <f>MAX(SamplingData[[#This Row],[Error Bound (up) - Max. possible relative overstatement - Losing Candidate]:[Error Bound (up) - Max. possible relative overstatement - Candidate 12]])</f>
        <v>5.0255991456481448E-4</v>
      </c>
      <c r="AC427" s="100">
        <f>IF(SamplingData[[#This Row],[Max Error Bound (up)]] = 0,0,SamplingData[[#This Row],[Max Error Bound (up)]]/SamplingData[[#Totals],[Max Error Bound (up)]])</f>
        <v>2.1536639207451683E-4</v>
      </c>
      <c r="AD427" s="104">
        <f>SUM($AC$5:AC427)</f>
        <v>8.7061863996123451E-2</v>
      </c>
      <c r="AE427" s="100" t="str" cm="1">
        <f t="array" ref="AE427">IF(SamplingData[[#This Row],[up/U Selection Probability]] = 0, "Zero", TEXT(SamplingData[[#This Row],[Lower Range]], REPT("0",LEN('General Info'!$B$42))) &amp; " - " &amp; TEXT(SamplingData[[#This Row],[Upper Range]], REPT("0",LEN('General Info'!$B$42))))</f>
        <v>08685 - 08705</v>
      </c>
      <c r="AF427" s="100">
        <f>SamplingData[[#This Row],[Upper Range]]-SamplingData[[#This Row],[Span]]</f>
        <v>8684.6497604048927</v>
      </c>
      <c r="AG427" s="100">
        <f>IF(ISNUMBER('General Info'!$B$42), ((SamplingData[[#This Row],[up/U Selection Probability]]) * 'General Info'!$B$44) - 1, 0)</f>
        <v>20.536639207451682</v>
      </c>
      <c r="AH427" s="100">
        <f>IF(ISNUMBER('General Info'!$B$42), (SamplingData[[#This Row],[Running (cumulative) sum]] * ('General Info'!$B$42 -'General Info'!$B$43 + 1)) + 'General Info'!$B$43 - 1, 0)</f>
        <v>8705.1863996123448</v>
      </c>
      <c r="AI427" s="100" t="str">
        <f>IF(ISERROR(MATCH(SamplingData[[#This Row],[Batch by Type (p)]],SelectedPrecincts[Batch Name], 0)), "", INDEX(SelectedPrecincts[Draw], MATCH(SamplingData[[#This Row],[Batch by Type (p)]],SelectedPrecincts[Batch Name], 0)))</f>
        <v/>
      </c>
      <c r="AJ427" s="101">
        <f>IF(COUNTIF(SelectedPrecincts[Batch Name],SamplingData[[#This Row],[Batch by Type (p)]]) &lt;&gt; 0, COUNTIF(SelectedPrecincts[Batch Name],SamplingData[[#This Row],[Batch by Type (p)]]), 0)</f>
        <v>0</v>
      </c>
    </row>
    <row r="428" spans="1:36" ht="15" customHeight="1" x14ac:dyDescent="0.35">
      <c r="A428" s="98" t="s">
        <v>640</v>
      </c>
      <c r="B428" s="98">
        <v>3</v>
      </c>
      <c r="C428" s="98">
        <v>0</v>
      </c>
      <c r="D428" s="93"/>
      <c r="E428" s="93"/>
      <c r="F428" s="93"/>
      <c r="G428" s="97"/>
      <c r="H428" s="97"/>
      <c r="I428" s="93"/>
      <c r="J428" s="93"/>
      <c r="K428" s="93"/>
      <c r="L428" s="93"/>
      <c r="M428" s="93"/>
      <c r="N428" s="98">
        <v>0</v>
      </c>
      <c r="O428" s="98">
        <v>0</v>
      </c>
      <c r="P428" s="99">
        <f>SUM(SamplingData[[#This Row],[Winning Candidate]:[Under Votes]])</f>
        <v>3</v>
      </c>
      <c r="Q428"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28" s="100">
        <f>IF(AND(SamplingData[[#This Row],[Total]]&lt;&gt; 0, NOT(ISBLANK(SamplingData[[#This Row],[Candidate 3]]))),(SamplingData[[#This Row],[Total]]+SamplingData[[#This Row],[Winning Candidate]]-SamplingData[[#This Row],[Candidate 3]])/(SamplingData[[#Totals],[Winning Candidate]]-SamplingData[[#Totals],[Candidate 3]]), 0)</f>
        <v>0</v>
      </c>
      <c r="S428" s="100">
        <f>IF(AND(SamplingData[[#This Row],[Total]]&lt;&gt; 0, NOT(ISBLANK(SamplingData[[#This Row],[Candidate 4]]))),(SamplingData[[#This Row],[Total]]+SamplingData[[#This Row],[Winning Candidate]]-SamplingData[[#This Row],[Candidate 4]])/(SamplingData[[#Totals],[Winning Candidate]]-SamplingData[[#Totals],[Candidate 4]]), 0)</f>
        <v>0</v>
      </c>
      <c r="T428" s="100">
        <f>IF(AND(SamplingData[[#This Row],[Total]]&lt;&gt; 0, NOT(ISBLANK(SamplingData[[#This Row],[Candidate 5]]))),(SamplingData[[#This Row],[Total]]+SamplingData[[#This Row],[Winning Candidate]]-SamplingData[[#This Row],[Candidate 5]])/(SamplingData[[#Totals],[Winning Candidate]]-SamplingData[[#Totals],[Candidate 5]]), 0)</f>
        <v>0</v>
      </c>
      <c r="U428" s="100">
        <f>IF(AND(SamplingData[[#This Row],[Total]]&lt;&gt; 0, NOT(ISBLANK(SamplingData[[#This Row],[Candidate 6]]))),(SamplingData[[#This Row],[Total]]+SamplingData[[#This Row],[Losing Candidate]]-SamplingData[[#This Row],[Candidate 6]])/(SamplingData[[#Totals],[Winning Candidate]]-SamplingData[[#Totals],[Candidate 6]]), 0)</f>
        <v>0</v>
      </c>
      <c r="V428" s="100">
        <f>IF(AND(SamplingData[[#This Row],[Total]]&lt;&gt; 0, NOT(ISBLANK(SamplingData[[#This Row],[Candidate 7]]))),(SamplingData[[#This Row],[Total]]+SamplingData[[#This Row],[Winning Candidate]]-SamplingData[[#This Row],[Candidate 7]])/(SamplingData[[#Totals],[Winning Candidate]]-SamplingData[[#Totals],[Candidate 7]]), 0)</f>
        <v>0</v>
      </c>
      <c r="W428" s="100">
        <f>IF(AND(SamplingData[[#This Row],[Total]]&lt;&gt; 0, NOT(ISBLANK(SamplingData[[#This Row],[Candidate 8]]))),(SamplingData[[#This Row],[Total]]+SamplingData[[#This Row],[Winning Candidate]]-SamplingData[[#This Row],[Candidate 8]])/(SamplingData[[#Totals],[Winning Candidate]]-SamplingData[[#Totals],[Candidate 8]]), 0)</f>
        <v>0</v>
      </c>
      <c r="X4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00">
        <f>MAX(SamplingData[[#This Row],[Error Bound (up) - Max. possible relative overstatement - Losing Candidate]:[Error Bound (up) - Max. possible relative overstatement - Candidate 12]])</f>
        <v>1.8845996796180544E-4</v>
      </c>
      <c r="AC428" s="100">
        <f>IF(SamplingData[[#This Row],[Max Error Bound (up)]] = 0,0,SamplingData[[#This Row],[Max Error Bound (up)]]/SamplingData[[#Totals],[Max Error Bound (up)]])</f>
        <v>8.0762397027943816E-5</v>
      </c>
      <c r="AD428" s="104">
        <f>SUM($AC$5:AC428)</f>
        <v>8.7142626393151401E-2</v>
      </c>
      <c r="AE428" s="100" t="str" cm="1">
        <f t="array" ref="AE428">IF(SamplingData[[#This Row],[up/U Selection Probability]] = 0, "Zero", TEXT(SamplingData[[#This Row],[Lower Range]], REPT("0",LEN('General Info'!$B$42))) &amp; " - " &amp; TEXT(SamplingData[[#This Row],[Upper Range]], REPT("0",LEN('General Info'!$B$42))))</f>
        <v>08706 - 08713</v>
      </c>
      <c r="AF428" s="100">
        <f>SamplingData[[#This Row],[Upper Range]]-SamplingData[[#This Row],[Span]]</f>
        <v>8706.1863996123466</v>
      </c>
      <c r="AG428" s="100">
        <f>IF(ISNUMBER('General Info'!$B$42), ((SamplingData[[#This Row],[up/U Selection Probability]]) * 'General Info'!$B$44) - 1, 0)</f>
        <v>7.076239702794382</v>
      </c>
      <c r="AH428" s="100">
        <f>IF(ISNUMBER('General Info'!$B$42), (SamplingData[[#This Row],[Running (cumulative) sum]] * ('General Info'!$B$42 -'General Info'!$B$43 + 1)) + 'General Info'!$B$43 - 1, 0)</f>
        <v>8713.2626393151404</v>
      </c>
      <c r="AI428" s="100" t="str">
        <f>IF(ISERROR(MATCH(SamplingData[[#This Row],[Batch by Type (p)]],SelectedPrecincts[Batch Name], 0)), "", INDEX(SelectedPrecincts[Draw], MATCH(SamplingData[[#This Row],[Batch by Type (p)]],SelectedPrecincts[Batch Name], 0)))</f>
        <v/>
      </c>
      <c r="AJ428" s="101">
        <f>IF(COUNTIF(SelectedPrecincts[Batch Name],SamplingData[[#This Row],[Batch by Type (p)]]) &lt;&gt; 0, COUNTIF(SelectedPrecincts[Batch Name],SamplingData[[#This Row],[Batch by Type (p)]]), 0)</f>
        <v>0</v>
      </c>
    </row>
    <row r="429" spans="1:36" ht="15" customHeight="1" x14ac:dyDescent="0.35">
      <c r="A429" s="98" t="s">
        <v>641</v>
      </c>
      <c r="B429" s="98">
        <v>2</v>
      </c>
      <c r="C429" s="98">
        <v>0</v>
      </c>
      <c r="D429" s="93"/>
      <c r="E429" s="93"/>
      <c r="F429" s="93"/>
      <c r="G429" s="97"/>
      <c r="H429" s="97"/>
      <c r="I429" s="93"/>
      <c r="J429" s="93"/>
      <c r="K429" s="93"/>
      <c r="L429" s="93"/>
      <c r="M429" s="93"/>
      <c r="N429" s="98">
        <v>0</v>
      </c>
      <c r="O429" s="98">
        <v>0</v>
      </c>
      <c r="P429" s="99">
        <f>SUM(SamplingData[[#This Row],[Winning Candidate]:[Under Votes]])</f>
        <v>2</v>
      </c>
      <c r="Q429"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429" s="100">
        <f>IF(AND(SamplingData[[#This Row],[Total]]&lt;&gt; 0, NOT(ISBLANK(SamplingData[[#This Row],[Candidate 3]]))),(SamplingData[[#This Row],[Total]]+SamplingData[[#This Row],[Winning Candidate]]-SamplingData[[#This Row],[Candidate 3]])/(SamplingData[[#Totals],[Winning Candidate]]-SamplingData[[#Totals],[Candidate 3]]), 0)</f>
        <v>0</v>
      </c>
      <c r="S429" s="100">
        <f>IF(AND(SamplingData[[#This Row],[Total]]&lt;&gt; 0, NOT(ISBLANK(SamplingData[[#This Row],[Candidate 4]]))),(SamplingData[[#This Row],[Total]]+SamplingData[[#This Row],[Winning Candidate]]-SamplingData[[#This Row],[Candidate 4]])/(SamplingData[[#Totals],[Winning Candidate]]-SamplingData[[#Totals],[Candidate 4]]), 0)</f>
        <v>0</v>
      </c>
      <c r="T429" s="100">
        <f>IF(AND(SamplingData[[#This Row],[Total]]&lt;&gt; 0, NOT(ISBLANK(SamplingData[[#This Row],[Candidate 5]]))),(SamplingData[[#This Row],[Total]]+SamplingData[[#This Row],[Winning Candidate]]-SamplingData[[#This Row],[Candidate 5]])/(SamplingData[[#Totals],[Winning Candidate]]-SamplingData[[#Totals],[Candidate 5]]), 0)</f>
        <v>0</v>
      </c>
      <c r="U429" s="100">
        <f>IF(AND(SamplingData[[#This Row],[Total]]&lt;&gt; 0, NOT(ISBLANK(SamplingData[[#This Row],[Candidate 6]]))),(SamplingData[[#This Row],[Total]]+SamplingData[[#This Row],[Losing Candidate]]-SamplingData[[#This Row],[Candidate 6]])/(SamplingData[[#Totals],[Winning Candidate]]-SamplingData[[#Totals],[Candidate 6]]), 0)</f>
        <v>0</v>
      </c>
      <c r="V429" s="100">
        <f>IF(AND(SamplingData[[#This Row],[Total]]&lt;&gt; 0, NOT(ISBLANK(SamplingData[[#This Row],[Candidate 7]]))),(SamplingData[[#This Row],[Total]]+SamplingData[[#This Row],[Winning Candidate]]-SamplingData[[#This Row],[Candidate 7]])/(SamplingData[[#Totals],[Winning Candidate]]-SamplingData[[#Totals],[Candidate 7]]), 0)</f>
        <v>0</v>
      </c>
      <c r="W429" s="100">
        <f>IF(AND(SamplingData[[#This Row],[Total]]&lt;&gt; 0, NOT(ISBLANK(SamplingData[[#This Row],[Candidate 8]]))),(SamplingData[[#This Row],[Total]]+SamplingData[[#This Row],[Winning Candidate]]-SamplingData[[#This Row],[Candidate 8]])/(SamplingData[[#Totals],[Winning Candidate]]-SamplingData[[#Totals],[Candidate 8]]), 0)</f>
        <v>0</v>
      </c>
      <c r="X4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00">
        <f>MAX(SamplingData[[#This Row],[Error Bound (up) - Max. possible relative overstatement - Losing Candidate]:[Error Bound (up) - Max. possible relative overstatement - Candidate 12]])</f>
        <v>1.2563997864120362E-4</v>
      </c>
      <c r="AC429" s="100">
        <f>IF(SamplingData[[#This Row],[Max Error Bound (up)]] = 0,0,SamplingData[[#This Row],[Max Error Bound (up)]]/SamplingData[[#Totals],[Max Error Bound (up)]])</f>
        <v>5.3841598018629206E-5</v>
      </c>
      <c r="AD429" s="104">
        <f>SUM($AC$5:AC429)</f>
        <v>8.7196467991170035E-2</v>
      </c>
      <c r="AE429" s="100" t="str" cm="1">
        <f t="array" ref="AE429">IF(SamplingData[[#This Row],[up/U Selection Probability]] = 0, "Zero", TEXT(SamplingData[[#This Row],[Lower Range]], REPT("0",LEN('General Info'!$B$42))) &amp; " - " &amp; TEXT(SamplingData[[#This Row],[Upper Range]], REPT("0",LEN('General Info'!$B$42))))</f>
        <v>08714 - 08719</v>
      </c>
      <c r="AF429" s="100">
        <f>SamplingData[[#This Row],[Upper Range]]-SamplingData[[#This Row],[Span]]</f>
        <v>8714.2626393151404</v>
      </c>
      <c r="AG429" s="100">
        <f>IF(ISNUMBER('General Info'!$B$42), ((SamplingData[[#This Row],[up/U Selection Probability]]) * 'General Info'!$B$44) - 1, 0)</f>
        <v>4.3841598018629204</v>
      </c>
      <c r="AH429" s="100">
        <f>IF(ISNUMBER('General Info'!$B$42), (SamplingData[[#This Row],[Running (cumulative) sum]] * ('General Info'!$B$42 -'General Info'!$B$43 + 1)) + 'General Info'!$B$43 - 1, 0)</f>
        <v>8718.646799117003</v>
      </c>
      <c r="AI429" s="100" t="str">
        <f>IF(ISERROR(MATCH(SamplingData[[#This Row],[Batch by Type (p)]],SelectedPrecincts[Batch Name], 0)), "", INDEX(SelectedPrecincts[Draw], MATCH(SamplingData[[#This Row],[Batch by Type (p)]],SelectedPrecincts[Batch Name], 0)))</f>
        <v/>
      </c>
      <c r="AJ429" s="101">
        <f>IF(COUNTIF(SelectedPrecincts[Batch Name],SamplingData[[#This Row],[Batch by Type (p)]]) &lt;&gt; 0, COUNTIF(SelectedPrecincts[Batch Name],SamplingData[[#This Row],[Batch by Type (p)]]), 0)</f>
        <v>0</v>
      </c>
    </row>
    <row r="430" spans="1:36" ht="15" customHeight="1" x14ac:dyDescent="0.35">
      <c r="A430" s="98" t="s">
        <v>642</v>
      </c>
      <c r="B430" s="98">
        <v>13</v>
      </c>
      <c r="C430" s="98">
        <v>0</v>
      </c>
      <c r="D430" s="93"/>
      <c r="E430" s="93"/>
      <c r="F430" s="93"/>
      <c r="G430" s="97"/>
      <c r="H430" s="97"/>
      <c r="I430" s="93"/>
      <c r="J430" s="93"/>
      <c r="K430" s="93"/>
      <c r="L430" s="93"/>
      <c r="M430" s="93"/>
      <c r="N430" s="98">
        <v>0</v>
      </c>
      <c r="O430" s="98">
        <v>0</v>
      </c>
      <c r="P430" s="99">
        <f>SUM(SamplingData[[#This Row],[Winning Candidate]:[Under Votes]])</f>
        <v>13</v>
      </c>
      <c r="Q430"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430" s="100">
        <f>IF(AND(SamplingData[[#This Row],[Total]]&lt;&gt; 0, NOT(ISBLANK(SamplingData[[#This Row],[Candidate 3]]))),(SamplingData[[#This Row],[Total]]+SamplingData[[#This Row],[Winning Candidate]]-SamplingData[[#This Row],[Candidate 3]])/(SamplingData[[#Totals],[Winning Candidate]]-SamplingData[[#Totals],[Candidate 3]]), 0)</f>
        <v>0</v>
      </c>
      <c r="S430" s="100">
        <f>IF(AND(SamplingData[[#This Row],[Total]]&lt;&gt; 0, NOT(ISBLANK(SamplingData[[#This Row],[Candidate 4]]))),(SamplingData[[#This Row],[Total]]+SamplingData[[#This Row],[Winning Candidate]]-SamplingData[[#This Row],[Candidate 4]])/(SamplingData[[#Totals],[Winning Candidate]]-SamplingData[[#Totals],[Candidate 4]]), 0)</f>
        <v>0</v>
      </c>
      <c r="T430" s="100">
        <f>IF(AND(SamplingData[[#This Row],[Total]]&lt;&gt; 0, NOT(ISBLANK(SamplingData[[#This Row],[Candidate 5]]))),(SamplingData[[#This Row],[Total]]+SamplingData[[#This Row],[Winning Candidate]]-SamplingData[[#This Row],[Candidate 5]])/(SamplingData[[#Totals],[Winning Candidate]]-SamplingData[[#Totals],[Candidate 5]]), 0)</f>
        <v>0</v>
      </c>
      <c r="U430" s="100">
        <f>IF(AND(SamplingData[[#This Row],[Total]]&lt;&gt; 0, NOT(ISBLANK(SamplingData[[#This Row],[Candidate 6]]))),(SamplingData[[#This Row],[Total]]+SamplingData[[#This Row],[Losing Candidate]]-SamplingData[[#This Row],[Candidate 6]])/(SamplingData[[#Totals],[Winning Candidate]]-SamplingData[[#Totals],[Candidate 6]]), 0)</f>
        <v>0</v>
      </c>
      <c r="V430" s="100">
        <f>IF(AND(SamplingData[[#This Row],[Total]]&lt;&gt; 0, NOT(ISBLANK(SamplingData[[#This Row],[Candidate 7]]))),(SamplingData[[#This Row],[Total]]+SamplingData[[#This Row],[Winning Candidate]]-SamplingData[[#This Row],[Candidate 7]])/(SamplingData[[#Totals],[Winning Candidate]]-SamplingData[[#Totals],[Candidate 7]]), 0)</f>
        <v>0</v>
      </c>
      <c r="W430" s="100">
        <f>IF(AND(SamplingData[[#This Row],[Total]]&lt;&gt; 0, NOT(ISBLANK(SamplingData[[#This Row],[Candidate 8]]))),(SamplingData[[#This Row],[Total]]+SamplingData[[#This Row],[Winning Candidate]]-SamplingData[[#This Row],[Candidate 8]])/(SamplingData[[#Totals],[Winning Candidate]]-SamplingData[[#Totals],[Candidate 8]]), 0)</f>
        <v>0</v>
      </c>
      <c r="X4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00">
        <f>MAX(SamplingData[[#This Row],[Error Bound (up) - Max. possible relative overstatement - Losing Candidate]:[Error Bound (up) - Max. possible relative overstatement - Candidate 12]])</f>
        <v>8.1665986116782364E-4</v>
      </c>
      <c r="AC430" s="100">
        <f>IF(SamplingData[[#This Row],[Max Error Bound (up)]] = 0,0,SamplingData[[#This Row],[Max Error Bound (up)]]/SamplingData[[#Totals],[Max Error Bound (up)]])</f>
        <v>3.4997038712108992E-4</v>
      </c>
      <c r="AD430" s="104">
        <f>SUM($AC$5:AC430)</f>
        <v>8.7546438378291125E-2</v>
      </c>
      <c r="AE430" s="100" t="str" cm="1">
        <f t="array" ref="AE430">IF(SamplingData[[#This Row],[up/U Selection Probability]] = 0, "Zero", TEXT(SamplingData[[#This Row],[Lower Range]], REPT("0",LEN('General Info'!$B$42))) &amp; " - " &amp; TEXT(SamplingData[[#This Row],[Upper Range]], REPT("0",LEN('General Info'!$B$42))))</f>
        <v>08720 - 08754</v>
      </c>
      <c r="AF430" s="100">
        <f>SamplingData[[#This Row],[Upper Range]]-SamplingData[[#This Row],[Span]]</f>
        <v>8719.6467991170048</v>
      </c>
      <c r="AG430" s="100">
        <f>IF(ISNUMBER('General Info'!$B$42), ((SamplingData[[#This Row],[up/U Selection Probability]]) * 'General Info'!$B$44) - 1, 0)</f>
        <v>33.997038712108989</v>
      </c>
      <c r="AH430" s="100">
        <f>IF(ISNUMBER('General Info'!$B$42), (SamplingData[[#This Row],[Running (cumulative) sum]] * ('General Info'!$B$42 -'General Info'!$B$43 + 1)) + 'General Info'!$B$43 - 1, 0)</f>
        <v>8753.6438378291132</v>
      </c>
      <c r="AI430" s="100" t="str">
        <f>IF(ISERROR(MATCH(SamplingData[[#This Row],[Batch by Type (p)]],SelectedPrecincts[Batch Name], 0)), "", INDEX(SelectedPrecincts[Draw], MATCH(SamplingData[[#This Row],[Batch by Type (p)]],SelectedPrecincts[Batch Name], 0)))</f>
        <v/>
      </c>
      <c r="AJ430" s="101">
        <f>IF(COUNTIF(SelectedPrecincts[Batch Name],SamplingData[[#This Row],[Batch by Type (p)]]) &lt;&gt; 0, COUNTIF(SelectedPrecincts[Batch Name],SamplingData[[#This Row],[Batch by Type (p)]]), 0)</f>
        <v>0</v>
      </c>
    </row>
    <row r="431" spans="1:36" ht="15" customHeight="1" x14ac:dyDescent="0.35">
      <c r="A431" s="98" t="s">
        <v>643</v>
      </c>
      <c r="B431" s="98">
        <v>10</v>
      </c>
      <c r="C431" s="98">
        <v>2</v>
      </c>
      <c r="D431" s="93"/>
      <c r="E431" s="93"/>
      <c r="F431" s="93"/>
      <c r="G431" s="97"/>
      <c r="H431" s="97"/>
      <c r="I431" s="93"/>
      <c r="J431" s="93"/>
      <c r="K431" s="93"/>
      <c r="L431" s="93"/>
      <c r="M431" s="93"/>
      <c r="N431" s="98">
        <v>0</v>
      </c>
      <c r="O431" s="98">
        <v>1</v>
      </c>
      <c r="P431" s="99">
        <f>SUM(SamplingData[[#This Row],[Winning Candidate]:[Under Votes]])</f>
        <v>13</v>
      </c>
      <c r="Q431" s="100">
        <f>IF(AND(SamplingData[[#This Row],[Total]]&lt;&gt; 0, NOT(ISBLANK(SamplingData[[#This Row],[Losing Candidate]]))),(SamplingData[[#This Row],[Total]]+SamplingData[[#This Row],[Winning Candidate]]-SamplingData[[#This Row],[Losing Candidate]])/(SamplingData[[#Totals],[Winning Candidate]]-SamplingData[[#Totals],[Losing Candidate]]), 0)</f>
        <v>6.5960988786631911E-4</v>
      </c>
      <c r="R431" s="100">
        <f>IF(AND(SamplingData[[#This Row],[Total]]&lt;&gt; 0, NOT(ISBLANK(SamplingData[[#This Row],[Candidate 3]]))),(SamplingData[[#This Row],[Total]]+SamplingData[[#This Row],[Winning Candidate]]-SamplingData[[#This Row],[Candidate 3]])/(SamplingData[[#Totals],[Winning Candidate]]-SamplingData[[#Totals],[Candidate 3]]), 0)</f>
        <v>0</v>
      </c>
      <c r="S431" s="100">
        <f>IF(AND(SamplingData[[#This Row],[Total]]&lt;&gt; 0, NOT(ISBLANK(SamplingData[[#This Row],[Candidate 4]]))),(SamplingData[[#This Row],[Total]]+SamplingData[[#This Row],[Winning Candidate]]-SamplingData[[#This Row],[Candidate 4]])/(SamplingData[[#Totals],[Winning Candidate]]-SamplingData[[#Totals],[Candidate 4]]), 0)</f>
        <v>0</v>
      </c>
      <c r="T431" s="100">
        <f>IF(AND(SamplingData[[#This Row],[Total]]&lt;&gt; 0, NOT(ISBLANK(SamplingData[[#This Row],[Candidate 5]]))),(SamplingData[[#This Row],[Total]]+SamplingData[[#This Row],[Winning Candidate]]-SamplingData[[#This Row],[Candidate 5]])/(SamplingData[[#Totals],[Winning Candidate]]-SamplingData[[#Totals],[Candidate 5]]), 0)</f>
        <v>0</v>
      </c>
      <c r="U431" s="100">
        <f>IF(AND(SamplingData[[#This Row],[Total]]&lt;&gt; 0, NOT(ISBLANK(SamplingData[[#This Row],[Candidate 6]]))),(SamplingData[[#This Row],[Total]]+SamplingData[[#This Row],[Losing Candidate]]-SamplingData[[#This Row],[Candidate 6]])/(SamplingData[[#Totals],[Winning Candidate]]-SamplingData[[#Totals],[Candidate 6]]), 0)</f>
        <v>0</v>
      </c>
      <c r="V431" s="100">
        <f>IF(AND(SamplingData[[#This Row],[Total]]&lt;&gt; 0, NOT(ISBLANK(SamplingData[[#This Row],[Candidate 7]]))),(SamplingData[[#This Row],[Total]]+SamplingData[[#This Row],[Winning Candidate]]-SamplingData[[#This Row],[Candidate 7]])/(SamplingData[[#Totals],[Winning Candidate]]-SamplingData[[#Totals],[Candidate 7]]), 0)</f>
        <v>0</v>
      </c>
      <c r="W431" s="100">
        <f>IF(AND(SamplingData[[#This Row],[Total]]&lt;&gt; 0, NOT(ISBLANK(SamplingData[[#This Row],[Candidate 8]]))),(SamplingData[[#This Row],[Total]]+SamplingData[[#This Row],[Winning Candidate]]-SamplingData[[#This Row],[Candidate 8]])/(SamplingData[[#Totals],[Winning Candidate]]-SamplingData[[#Totals],[Candidate 8]]), 0)</f>
        <v>0</v>
      </c>
      <c r="X4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00">
        <f>MAX(SamplingData[[#This Row],[Error Bound (up) - Max. possible relative overstatement - Losing Candidate]:[Error Bound (up) - Max. possible relative overstatement - Candidate 12]])</f>
        <v>6.5960988786631911E-4</v>
      </c>
      <c r="AC431" s="100">
        <f>IF(SamplingData[[#This Row],[Max Error Bound (up)]] = 0,0,SamplingData[[#This Row],[Max Error Bound (up)]]/SamplingData[[#Totals],[Max Error Bound (up)]])</f>
        <v>2.8266838959780337E-4</v>
      </c>
      <c r="AD431" s="104">
        <f>SUM($AC$5:AC431)</f>
        <v>8.7829106767888923E-2</v>
      </c>
      <c r="AE431" s="100" t="str" cm="1">
        <f t="array" ref="AE431">IF(SamplingData[[#This Row],[up/U Selection Probability]] = 0, "Zero", TEXT(SamplingData[[#This Row],[Lower Range]], REPT("0",LEN('General Info'!$B$42))) &amp; " - " &amp; TEXT(SamplingData[[#This Row],[Upper Range]], REPT("0",LEN('General Info'!$B$42))))</f>
        <v>08755 - 08782</v>
      </c>
      <c r="AF431" s="100">
        <f>SamplingData[[#This Row],[Upper Range]]-SamplingData[[#This Row],[Span]]</f>
        <v>8754.6438378291114</v>
      </c>
      <c r="AG431" s="100">
        <f>IF(ISNUMBER('General Info'!$B$42), ((SamplingData[[#This Row],[up/U Selection Probability]]) * 'General Info'!$B$44) - 1, 0)</f>
        <v>27.266838959780337</v>
      </c>
      <c r="AH431" s="100">
        <f>IF(ISNUMBER('General Info'!$B$42), (SamplingData[[#This Row],[Running (cumulative) sum]] * ('General Info'!$B$42 -'General Info'!$B$43 + 1)) + 'General Info'!$B$43 - 1, 0)</f>
        <v>8781.9106767888916</v>
      </c>
      <c r="AI431" s="100" t="str">
        <f>IF(ISERROR(MATCH(SamplingData[[#This Row],[Batch by Type (p)]],SelectedPrecincts[Batch Name], 0)), "", INDEX(SelectedPrecincts[Draw], MATCH(SamplingData[[#This Row],[Batch by Type (p)]],SelectedPrecincts[Batch Name], 0)))</f>
        <v/>
      </c>
      <c r="AJ431" s="101">
        <f>IF(COUNTIF(SelectedPrecincts[Batch Name],SamplingData[[#This Row],[Batch by Type (p)]]) &lt;&gt; 0, COUNTIF(SelectedPrecincts[Batch Name],SamplingData[[#This Row],[Batch by Type (p)]]), 0)</f>
        <v>0</v>
      </c>
    </row>
    <row r="432" spans="1:36" ht="15" customHeight="1" x14ac:dyDescent="0.35">
      <c r="A432" s="98" t="s">
        <v>644</v>
      </c>
      <c r="B432" s="98">
        <v>5</v>
      </c>
      <c r="C432" s="98">
        <v>1</v>
      </c>
      <c r="D432" s="93"/>
      <c r="E432" s="93"/>
      <c r="F432" s="93"/>
      <c r="G432" s="97"/>
      <c r="H432" s="97"/>
      <c r="I432" s="93"/>
      <c r="J432" s="93"/>
      <c r="K432" s="93"/>
      <c r="L432" s="93"/>
      <c r="M432" s="93"/>
      <c r="N432" s="98">
        <v>0</v>
      </c>
      <c r="O432" s="98">
        <v>1</v>
      </c>
      <c r="P432" s="99">
        <f>SUM(SamplingData[[#This Row],[Winning Candidate]:[Under Votes]])</f>
        <v>7</v>
      </c>
      <c r="Q432"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432" s="100">
        <f>IF(AND(SamplingData[[#This Row],[Total]]&lt;&gt; 0, NOT(ISBLANK(SamplingData[[#This Row],[Candidate 3]]))),(SamplingData[[#This Row],[Total]]+SamplingData[[#This Row],[Winning Candidate]]-SamplingData[[#This Row],[Candidate 3]])/(SamplingData[[#Totals],[Winning Candidate]]-SamplingData[[#Totals],[Candidate 3]]), 0)</f>
        <v>0</v>
      </c>
      <c r="S432" s="100">
        <f>IF(AND(SamplingData[[#This Row],[Total]]&lt;&gt; 0, NOT(ISBLANK(SamplingData[[#This Row],[Candidate 4]]))),(SamplingData[[#This Row],[Total]]+SamplingData[[#This Row],[Winning Candidate]]-SamplingData[[#This Row],[Candidate 4]])/(SamplingData[[#Totals],[Winning Candidate]]-SamplingData[[#Totals],[Candidate 4]]), 0)</f>
        <v>0</v>
      </c>
      <c r="T432" s="100">
        <f>IF(AND(SamplingData[[#This Row],[Total]]&lt;&gt; 0, NOT(ISBLANK(SamplingData[[#This Row],[Candidate 5]]))),(SamplingData[[#This Row],[Total]]+SamplingData[[#This Row],[Winning Candidate]]-SamplingData[[#This Row],[Candidate 5]])/(SamplingData[[#Totals],[Winning Candidate]]-SamplingData[[#Totals],[Candidate 5]]), 0)</f>
        <v>0</v>
      </c>
      <c r="U432" s="100">
        <f>IF(AND(SamplingData[[#This Row],[Total]]&lt;&gt; 0, NOT(ISBLANK(SamplingData[[#This Row],[Candidate 6]]))),(SamplingData[[#This Row],[Total]]+SamplingData[[#This Row],[Losing Candidate]]-SamplingData[[#This Row],[Candidate 6]])/(SamplingData[[#Totals],[Winning Candidate]]-SamplingData[[#Totals],[Candidate 6]]), 0)</f>
        <v>0</v>
      </c>
      <c r="V432" s="100">
        <f>IF(AND(SamplingData[[#This Row],[Total]]&lt;&gt; 0, NOT(ISBLANK(SamplingData[[#This Row],[Candidate 7]]))),(SamplingData[[#This Row],[Total]]+SamplingData[[#This Row],[Winning Candidate]]-SamplingData[[#This Row],[Candidate 7]])/(SamplingData[[#Totals],[Winning Candidate]]-SamplingData[[#Totals],[Candidate 7]]), 0)</f>
        <v>0</v>
      </c>
      <c r="W432" s="100">
        <f>IF(AND(SamplingData[[#This Row],[Total]]&lt;&gt; 0, NOT(ISBLANK(SamplingData[[#This Row],[Candidate 8]]))),(SamplingData[[#This Row],[Total]]+SamplingData[[#This Row],[Winning Candidate]]-SamplingData[[#This Row],[Candidate 8]])/(SamplingData[[#Totals],[Winning Candidate]]-SamplingData[[#Totals],[Candidate 8]]), 0)</f>
        <v>0</v>
      </c>
      <c r="X4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00">
        <f>MAX(SamplingData[[#This Row],[Error Bound (up) - Max. possible relative overstatement - Losing Candidate]:[Error Bound (up) - Max. possible relative overstatement - Candidate 12]])</f>
        <v>3.4550994126331E-4</v>
      </c>
      <c r="AC432" s="100">
        <f>IF(SamplingData[[#This Row],[Max Error Bound (up)]] = 0,0,SamplingData[[#This Row],[Max Error Bound (up)]]/SamplingData[[#Totals],[Max Error Bound (up)]])</f>
        <v>1.4806439455123033E-4</v>
      </c>
      <c r="AD432" s="104">
        <f>SUM($AC$5:AC432)</f>
        <v>8.7977171162440151E-2</v>
      </c>
      <c r="AE432" s="100" t="str" cm="1">
        <f t="array" ref="AE432">IF(SamplingData[[#This Row],[up/U Selection Probability]] = 0, "Zero", TEXT(SamplingData[[#This Row],[Lower Range]], REPT("0",LEN('General Info'!$B$42))) &amp; " - " &amp; TEXT(SamplingData[[#This Row],[Upper Range]], REPT("0",LEN('General Info'!$B$42))))</f>
        <v>08783 - 08797</v>
      </c>
      <c r="AF432" s="100">
        <f>SamplingData[[#This Row],[Upper Range]]-SamplingData[[#This Row],[Span]]</f>
        <v>8782.9106767888916</v>
      </c>
      <c r="AG432" s="100">
        <f>IF(ISNUMBER('General Info'!$B$42), ((SamplingData[[#This Row],[up/U Selection Probability]]) * 'General Info'!$B$44) - 1, 0)</f>
        <v>13.806439455123034</v>
      </c>
      <c r="AH432" s="100">
        <f>IF(ISNUMBER('General Info'!$B$42), (SamplingData[[#This Row],[Running (cumulative) sum]] * ('General Info'!$B$42 -'General Info'!$B$43 + 1)) + 'General Info'!$B$43 - 1, 0)</f>
        <v>8796.7171162440154</v>
      </c>
      <c r="AI432" s="100" t="str">
        <f>IF(ISERROR(MATCH(SamplingData[[#This Row],[Batch by Type (p)]],SelectedPrecincts[Batch Name], 0)), "", INDEX(SelectedPrecincts[Draw], MATCH(SamplingData[[#This Row],[Batch by Type (p)]],SelectedPrecincts[Batch Name], 0)))</f>
        <v/>
      </c>
      <c r="AJ432" s="101">
        <f>IF(COUNTIF(SelectedPrecincts[Batch Name],SamplingData[[#This Row],[Batch by Type (p)]]) &lt;&gt; 0, COUNTIF(SelectedPrecincts[Batch Name],SamplingData[[#This Row],[Batch by Type (p)]]), 0)</f>
        <v>0</v>
      </c>
    </row>
    <row r="433" spans="1:36" ht="15" customHeight="1" x14ac:dyDescent="0.35">
      <c r="A433" s="98" t="s">
        <v>645</v>
      </c>
      <c r="B433" s="98">
        <v>21</v>
      </c>
      <c r="C433" s="98">
        <v>1</v>
      </c>
      <c r="D433" s="93"/>
      <c r="E433" s="93"/>
      <c r="F433" s="93"/>
      <c r="G433" s="97"/>
      <c r="H433" s="97"/>
      <c r="I433" s="93"/>
      <c r="J433" s="93"/>
      <c r="K433" s="93"/>
      <c r="L433" s="93"/>
      <c r="M433" s="93"/>
      <c r="N433" s="98">
        <v>0</v>
      </c>
      <c r="O433" s="98">
        <v>0</v>
      </c>
      <c r="P433" s="99">
        <f>SUM(SamplingData[[#This Row],[Winning Candidate]:[Under Votes]])</f>
        <v>22</v>
      </c>
      <c r="Q433"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433" s="100">
        <f>IF(AND(SamplingData[[#This Row],[Total]]&lt;&gt; 0, NOT(ISBLANK(SamplingData[[#This Row],[Candidate 3]]))),(SamplingData[[#This Row],[Total]]+SamplingData[[#This Row],[Winning Candidate]]-SamplingData[[#This Row],[Candidate 3]])/(SamplingData[[#Totals],[Winning Candidate]]-SamplingData[[#Totals],[Candidate 3]]), 0)</f>
        <v>0</v>
      </c>
      <c r="S433" s="100">
        <f>IF(AND(SamplingData[[#This Row],[Total]]&lt;&gt; 0, NOT(ISBLANK(SamplingData[[#This Row],[Candidate 4]]))),(SamplingData[[#This Row],[Total]]+SamplingData[[#This Row],[Winning Candidate]]-SamplingData[[#This Row],[Candidate 4]])/(SamplingData[[#Totals],[Winning Candidate]]-SamplingData[[#Totals],[Candidate 4]]), 0)</f>
        <v>0</v>
      </c>
      <c r="T433" s="100">
        <f>IF(AND(SamplingData[[#This Row],[Total]]&lt;&gt; 0, NOT(ISBLANK(SamplingData[[#This Row],[Candidate 5]]))),(SamplingData[[#This Row],[Total]]+SamplingData[[#This Row],[Winning Candidate]]-SamplingData[[#This Row],[Candidate 5]])/(SamplingData[[#Totals],[Winning Candidate]]-SamplingData[[#Totals],[Candidate 5]]), 0)</f>
        <v>0</v>
      </c>
      <c r="U433" s="100">
        <f>IF(AND(SamplingData[[#This Row],[Total]]&lt;&gt; 0, NOT(ISBLANK(SamplingData[[#This Row],[Candidate 6]]))),(SamplingData[[#This Row],[Total]]+SamplingData[[#This Row],[Losing Candidate]]-SamplingData[[#This Row],[Candidate 6]])/(SamplingData[[#Totals],[Winning Candidate]]-SamplingData[[#Totals],[Candidate 6]]), 0)</f>
        <v>0</v>
      </c>
      <c r="V433" s="100">
        <f>IF(AND(SamplingData[[#This Row],[Total]]&lt;&gt; 0, NOT(ISBLANK(SamplingData[[#This Row],[Candidate 7]]))),(SamplingData[[#This Row],[Total]]+SamplingData[[#This Row],[Winning Candidate]]-SamplingData[[#This Row],[Candidate 7]])/(SamplingData[[#Totals],[Winning Candidate]]-SamplingData[[#Totals],[Candidate 7]]), 0)</f>
        <v>0</v>
      </c>
      <c r="W433" s="100">
        <f>IF(AND(SamplingData[[#This Row],[Total]]&lt;&gt; 0, NOT(ISBLANK(SamplingData[[#This Row],[Candidate 8]]))),(SamplingData[[#This Row],[Total]]+SamplingData[[#This Row],[Winning Candidate]]-SamplingData[[#This Row],[Candidate 8]])/(SamplingData[[#Totals],[Winning Candidate]]-SamplingData[[#Totals],[Candidate 8]]), 0)</f>
        <v>0</v>
      </c>
      <c r="X4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00">
        <f>MAX(SamplingData[[#This Row],[Error Bound (up) - Max. possible relative overstatement - Losing Candidate]:[Error Bound (up) - Max. possible relative overstatement - Candidate 12]])</f>
        <v>1.3192197757326382E-3</v>
      </c>
      <c r="AC433" s="100">
        <f>IF(SamplingData[[#This Row],[Max Error Bound (up)]] = 0,0,SamplingData[[#This Row],[Max Error Bound (up)]]/SamplingData[[#Totals],[Max Error Bound (up)]])</f>
        <v>5.6533677919560674E-4</v>
      </c>
      <c r="AD433" s="104">
        <f>SUM($AC$5:AC433)</f>
        <v>8.8542507941635762E-2</v>
      </c>
      <c r="AE433" s="100" t="str" cm="1">
        <f t="array" ref="AE433">IF(SamplingData[[#This Row],[up/U Selection Probability]] = 0, "Zero", TEXT(SamplingData[[#This Row],[Lower Range]], REPT("0",LEN('General Info'!$B$42))) &amp; " - " &amp; TEXT(SamplingData[[#This Row],[Upper Range]], REPT("0",LEN('General Info'!$B$42))))</f>
        <v>08798 - 08853</v>
      </c>
      <c r="AF433" s="100">
        <f>SamplingData[[#This Row],[Upper Range]]-SamplingData[[#This Row],[Span]]</f>
        <v>8797.7171162440154</v>
      </c>
      <c r="AG433" s="100">
        <f>IF(ISNUMBER('General Info'!$B$42), ((SamplingData[[#This Row],[up/U Selection Probability]]) * 'General Info'!$B$44) - 1, 0)</f>
        <v>55.533677919560674</v>
      </c>
      <c r="AH433" s="100">
        <f>IF(ISNUMBER('General Info'!$B$42), (SamplingData[[#This Row],[Running (cumulative) sum]] * ('General Info'!$B$42 -'General Info'!$B$43 + 1)) + 'General Info'!$B$43 - 1, 0)</f>
        <v>8853.2507941635758</v>
      </c>
      <c r="AI433" s="100" t="str">
        <f>IF(ISERROR(MATCH(SamplingData[[#This Row],[Batch by Type (p)]],SelectedPrecincts[Batch Name], 0)), "", INDEX(SelectedPrecincts[Draw], MATCH(SamplingData[[#This Row],[Batch by Type (p)]],SelectedPrecincts[Batch Name], 0)))</f>
        <v/>
      </c>
      <c r="AJ433" s="101">
        <f>IF(COUNTIF(SelectedPrecincts[Batch Name],SamplingData[[#This Row],[Batch by Type (p)]]) &lt;&gt; 0, COUNTIF(SelectedPrecincts[Batch Name],SamplingData[[#This Row],[Batch by Type (p)]]), 0)</f>
        <v>0</v>
      </c>
    </row>
    <row r="434" spans="1:36" ht="15" customHeight="1" x14ac:dyDescent="0.35">
      <c r="A434" s="98" t="s">
        <v>646</v>
      </c>
      <c r="B434" s="98">
        <v>9</v>
      </c>
      <c r="C434" s="98">
        <v>5</v>
      </c>
      <c r="D434" s="93"/>
      <c r="E434" s="93"/>
      <c r="F434" s="93"/>
      <c r="G434" s="97"/>
      <c r="H434" s="97"/>
      <c r="I434" s="93"/>
      <c r="J434" s="93"/>
      <c r="K434" s="93"/>
      <c r="L434" s="93"/>
      <c r="M434" s="93"/>
      <c r="N434" s="98">
        <v>0</v>
      </c>
      <c r="O434" s="98">
        <v>0</v>
      </c>
      <c r="P434" s="99">
        <f>SUM(SamplingData[[#This Row],[Winning Candidate]:[Under Votes]])</f>
        <v>14</v>
      </c>
      <c r="Q434"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434" s="100">
        <f>IF(AND(SamplingData[[#This Row],[Total]]&lt;&gt; 0, NOT(ISBLANK(SamplingData[[#This Row],[Candidate 3]]))),(SamplingData[[#This Row],[Total]]+SamplingData[[#This Row],[Winning Candidate]]-SamplingData[[#This Row],[Candidate 3]])/(SamplingData[[#Totals],[Winning Candidate]]-SamplingData[[#Totals],[Candidate 3]]), 0)</f>
        <v>0</v>
      </c>
      <c r="S434" s="100">
        <f>IF(AND(SamplingData[[#This Row],[Total]]&lt;&gt; 0, NOT(ISBLANK(SamplingData[[#This Row],[Candidate 4]]))),(SamplingData[[#This Row],[Total]]+SamplingData[[#This Row],[Winning Candidate]]-SamplingData[[#This Row],[Candidate 4]])/(SamplingData[[#Totals],[Winning Candidate]]-SamplingData[[#Totals],[Candidate 4]]), 0)</f>
        <v>0</v>
      </c>
      <c r="T434" s="100">
        <f>IF(AND(SamplingData[[#This Row],[Total]]&lt;&gt; 0, NOT(ISBLANK(SamplingData[[#This Row],[Candidate 5]]))),(SamplingData[[#This Row],[Total]]+SamplingData[[#This Row],[Winning Candidate]]-SamplingData[[#This Row],[Candidate 5]])/(SamplingData[[#Totals],[Winning Candidate]]-SamplingData[[#Totals],[Candidate 5]]), 0)</f>
        <v>0</v>
      </c>
      <c r="U434" s="100">
        <f>IF(AND(SamplingData[[#This Row],[Total]]&lt;&gt; 0, NOT(ISBLANK(SamplingData[[#This Row],[Candidate 6]]))),(SamplingData[[#This Row],[Total]]+SamplingData[[#This Row],[Losing Candidate]]-SamplingData[[#This Row],[Candidate 6]])/(SamplingData[[#Totals],[Winning Candidate]]-SamplingData[[#Totals],[Candidate 6]]), 0)</f>
        <v>0</v>
      </c>
      <c r="V434" s="100">
        <f>IF(AND(SamplingData[[#This Row],[Total]]&lt;&gt; 0, NOT(ISBLANK(SamplingData[[#This Row],[Candidate 7]]))),(SamplingData[[#This Row],[Total]]+SamplingData[[#This Row],[Winning Candidate]]-SamplingData[[#This Row],[Candidate 7]])/(SamplingData[[#Totals],[Winning Candidate]]-SamplingData[[#Totals],[Candidate 7]]), 0)</f>
        <v>0</v>
      </c>
      <c r="W434" s="100">
        <f>IF(AND(SamplingData[[#This Row],[Total]]&lt;&gt; 0, NOT(ISBLANK(SamplingData[[#This Row],[Candidate 8]]))),(SamplingData[[#This Row],[Total]]+SamplingData[[#This Row],[Winning Candidate]]-SamplingData[[#This Row],[Candidate 8]])/(SamplingData[[#Totals],[Winning Candidate]]-SamplingData[[#Totals],[Candidate 8]]), 0)</f>
        <v>0</v>
      </c>
      <c r="X4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00">
        <f>MAX(SamplingData[[#This Row],[Error Bound (up) - Max. possible relative overstatement - Losing Candidate]:[Error Bound (up) - Max. possible relative overstatement - Candidate 12]])</f>
        <v>5.6537990388541635E-4</v>
      </c>
      <c r="AC434" s="100">
        <f>IF(SamplingData[[#This Row],[Max Error Bound (up)]] = 0,0,SamplingData[[#This Row],[Max Error Bound (up)]]/SamplingData[[#Totals],[Max Error Bound (up)]])</f>
        <v>2.4228719108383145E-4</v>
      </c>
      <c r="AD434" s="104">
        <f>SUM($AC$5:AC434)</f>
        <v>8.8784795132719599E-2</v>
      </c>
      <c r="AE434" s="100" t="str" cm="1">
        <f t="array" ref="AE434">IF(SamplingData[[#This Row],[up/U Selection Probability]] = 0, "Zero", TEXT(SamplingData[[#This Row],[Lower Range]], REPT("0",LEN('General Info'!$B$42))) &amp; " - " &amp; TEXT(SamplingData[[#This Row],[Upper Range]], REPT("0",LEN('General Info'!$B$42))))</f>
        <v>08854 - 08877</v>
      </c>
      <c r="AF434" s="100">
        <f>SamplingData[[#This Row],[Upper Range]]-SamplingData[[#This Row],[Span]]</f>
        <v>8854.2507941635758</v>
      </c>
      <c r="AG434" s="100">
        <f>IF(ISNUMBER('General Info'!$B$42), ((SamplingData[[#This Row],[up/U Selection Probability]]) * 'General Info'!$B$44) - 1, 0)</f>
        <v>23.228719108383146</v>
      </c>
      <c r="AH434" s="100">
        <f>IF(ISNUMBER('General Info'!$B$42), (SamplingData[[#This Row],[Running (cumulative) sum]] * ('General Info'!$B$42 -'General Info'!$B$43 + 1)) + 'General Info'!$B$43 - 1, 0)</f>
        <v>8877.4795132719591</v>
      </c>
      <c r="AI434" s="100" t="str">
        <f>IF(ISERROR(MATCH(SamplingData[[#This Row],[Batch by Type (p)]],SelectedPrecincts[Batch Name], 0)), "", INDEX(SelectedPrecincts[Draw], MATCH(SamplingData[[#This Row],[Batch by Type (p)]],SelectedPrecincts[Batch Name], 0)))</f>
        <v/>
      </c>
      <c r="AJ434" s="101">
        <f>IF(COUNTIF(SelectedPrecincts[Batch Name],SamplingData[[#This Row],[Batch by Type (p)]]) &lt;&gt; 0, COUNTIF(SelectedPrecincts[Batch Name],SamplingData[[#This Row],[Batch by Type (p)]]), 0)</f>
        <v>0</v>
      </c>
    </row>
    <row r="435" spans="1:36" ht="15" customHeight="1" x14ac:dyDescent="0.35">
      <c r="A435" s="98" t="s">
        <v>647</v>
      </c>
      <c r="B435" s="98">
        <v>18</v>
      </c>
      <c r="C435" s="98">
        <v>1</v>
      </c>
      <c r="D435" s="93"/>
      <c r="E435" s="93"/>
      <c r="F435" s="93"/>
      <c r="G435" s="97"/>
      <c r="H435" s="97"/>
      <c r="I435" s="93"/>
      <c r="J435" s="93"/>
      <c r="K435" s="93"/>
      <c r="L435" s="93"/>
      <c r="M435" s="93"/>
      <c r="N435" s="98">
        <v>0</v>
      </c>
      <c r="O435" s="98">
        <v>1</v>
      </c>
      <c r="P435" s="99">
        <f>SUM(SamplingData[[#This Row],[Winning Candidate]:[Under Votes]])</f>
        <v>20</v>
      </c>
      <c r="Q435"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435" s="100">
        <f>IF(AND(SamplingData[[#This Row],[Total]]&lt;&gt; 0, NOT(ISBLANK(SamplingData[[#This Row],[Candidate 3]]))),(SamplingData[[#This Row],[Total]]+SamplingData[[#This Row],[Winning Candidate]]-SamplingData[[#This Row],[Candidate 3]])/(SamplingData[[#Totals],[Winning Candidate]]-SamplingData[[#Totals],[Candidate 3]]), 0)</f>
        <v>0</v>
      </c>
      <c r="S435" s="100">
        <f>IF(AND(SamplingData[[#This Row],[Total]]&lt;&gt; 0, NOT(ISBLANK(SamplingData[[#This Row],[Candidate 4]]))),(SamplingData[[#This Row],[Total]]+SamplingData[[#This Row],[Winning Candidate]]-SamplingData[[#This Row],[Candidate 4]])/(SamplingData[[#Totals],[Winning Candidate]]-SamplingData[[#Totals],[Candidate 4]]), 0)</f>
        <v>0</v>
      </c>
      <c r="T435" s="100">
        <f>IF(AND(SamplingData[[#This Row],[Total]]&lt;&gt; 0, NOT(ISBLANK(SamplingData[[#This Row],[Candidate 5]]))),(SamplingData[[#This Row],[Total]]+SamplingData[[#This Row],[Winning Candidate]]-SamplingData[[#This Row],[Candidate 5]])/(SamplingData[[#Totals],[Winning Candidate]]-SamplingData[[#Totals],[Candidate 5]]), 0)</f>
        <v>0</v>
      </c>
      <c r="U435" s="100">
        <f>IF(AND(SamplingData[[#This Row],[Total]]&lt;&gt; 0, NOT(ISBLANK(SamplingData[[#This Row],[Candidate 6]]))),(SamplingData[[#This Row],[Total]]+SamplingData[[#This Row],[Losing Candidate]]-SamplingData[[#This Row],[Candidate 6]])/(SamplingData[[#Totals],[Winning Candidate]]-SamplingData[[#Totals],[Candidate 6]]), 0)</f>
        <v>0</v>
      </c>
      <c r="V435" s="100">
        <f>IF(AND(SamplingData[[#This Row],[Total]]&lt;&gt; 0, NOT(ISBLANK(SamplingData[[#This Row],[Candidate 7]]))),(SamplingData[[#This Row],[Total]]+SamplingData[[#This Row],[Winning Candidate]]-SamplingData[[#This Row],[Candidate 7]])/(SamplingData[[#Totals],[Winning Candidate]]-SamplingData[[#Totals],[Candidate 7]]), 0)</f>
        <v>0</v>
      </c>
      <c r="W435" s="100">
        <f>IF(AND(SamplingData[[#This Row],[Total]]&lt;&gt; 0, NOT(ISBLANK(SamplingData[[#This Row],[Candidate 8]]))),(SamplingData[[#This Row],[Total]]+SamplingData[[#This Row],[Winning Candidate]]-SamplingData[[#This Row],[Candidate 8]])/(SamplingData[[#Totals],[Winning Candidate]]-SamplingData[[#Totals],[Candidate 8]]), 0)</f>
        <v>0</v>
      </c>
      <c r="X4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00">
        <f>MAX(SamplingData[[#This Row],[Error Bound (up) - Max. possible relative overstatement - Losing Candidate]:[Error Bound (up) - Max. possible relative overstatement - Candidate 12]])</f>
        <v>1.1621698024311335E-3</v>
      </c>
      <c r="AC435" s="100">
        <f>IF(SamplingData[[#This Row],[Max Error Bound (up)]] = 0,0,SamplingData[[#This Row],[Max Error Bound (up)]]/SamplingData[[#Totals],[Max Error Bound (up)]])</f>
        <v>4.9803478167232014E-4</v>
      </c>
      <c r="AD435" s="104">
        <f>SUM($AC$5:AC435)</f>
        <v>8.9282829914391917E-2</v>
      </c>
      <c r="AE435" s="100" t="str" cm="1">
        <f t="array" ref="AE435">IF(SamplingData[[#This Row],[up/U Selection Probability]] = 0, "Zero", TEXT(SamplingData[[#This Row],[Lower Range]], REPT("0",LEN('General Info'!$B$42))) &amp; " - " &amp; TEXT(SamplingData[[#This Row],[Upper Range]], REPT("0",LEN('General Info'!$B$42))))</f>
        <v>08878 - 08927</v>
      </c>
      <c r="AF435" s="100">
        <f>SamplingData[[#This Row],[Upper Range]]-SamplingData[[#This Row],[Span]]</f>
        <v>8878.4795132719591</v>
      </c>
      <c r="AG435" s="100">
        <f>IF(ISNUMBER('General Info'!$B$42), ((SamplingData[[#This Row],[up/U Selection Probability]]) * 'General Info'!$B$44) - 1, 0)</f>
        <v>48.803478167232015</v>
      </c>
      <c r="AH435" s="100">
        <f>IF(ISNUMBER('General Info'!$B$42), (SamplingData[[#This Row],[Running (cumulative) sum]] * ('General Info'!$B$42 -'General Info'!$B$43 + 1)) + 'General Info'!$B$43 - 1, 0)</f>
        <v>8927.2829914391914</v>
      </c>
      <c r="AI435" s="100" t="str">
        <f>IF(ISERROR(MATCH(SamplingData[[#This Row],[Batch by Type (p)]],SelectedPrecincts[Batch Name], 0)), "", INDEX(SelectedPrecincts[Draw], MATCH(SamplingData[[#This Row],[Batch by Type (p)]],SelectedPrecincts[Batch Name], 0)))</f>
        <v/>
      </c>
      <c r="AJ435" s="101">
        <f>IF(COUNTIF(SelectedPrecincts[Batch Name],SamplingData[[#This Row],[Batch by Type (p)]]) &lt;&gt; 0, COUNTIF(SelectedPrecincts[Batch Name],SamplingData[[#This Row],[Batch by Type (p)]]), 0)</f>
        <v>0</v>
      </c>
    </row>
    <row r="436" spans="1:36" ht="15" customHeight="1" x14ac:dyDescent="0.35">
      <c r="A436" s="98" t="s">
        <v>648</v>
      </c>
      <c r="B436" s="98">
        <v>6</v>
      </c>
      <c r="C436" s="98">
        <v>0</v>
      </c>
      <c r="D436" s="93"/>
      <c r="E436" s="93"/>
      <c r="F436" s="93"/>
      <c r="G436" s="97"/>
      <c r="H436" s="97"/>
      <c r="I436" s="93"/>
      <c r="J436" s="93"/>
      <c r="K436" s="93"/>
      <c r="L436" s="93"/>
      <c r="M436" s="93"/>
      <c r="N436" s="98">
        <v>0</v>
      </c>
      <c r="O436" s="98">
        <v>0</v>
      </c>
      <c r="P436" s="99">
        <f>SUM(SamplingData[[#This Row],[Winning Candidate]:[Under Votes]])</f>
        <v>6</v>
      </c>
      <c r="Q43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436" s="100">
        <f>IF(AND(SamplingData[[#This Row],[Total]]&lt;&gt; 0, NOT(ISBLANK(SamplingData[[#This Row],[Candidate 3]]))),(SamplingData[[#This Row],[Total]]+SamplingData[[#This Row],[Winning Candidate]]-SamplingData[[#This Row],[Candidate 3]])/(SamplingData[[#Totals],[Winning Candidate]]-SamplingData[[#Totals],[Candidate 3]]), 0)</f>
        <v>0</v>
      </c>
      <c r="S436" s="100">
        <f>IF(AND(SamplingData[[#This Row],[Total]]&lt;&gt; 0, NOT(ISBLANK(SamplingData[[#This Row],[Candidate 4]]))),(SamplingData[[#This Row],[Total]]+SamplingData[[#This Row],[Winning Candidate]]-SamplingData[[#This Row],[Candidate 4]])/(SamplingData[[#Totals],[Winning Candidate]]-SamplingData[[#Totals],[Candidate 4]]), 0)</f>
        <v>0</v>
      </c>
      <c r="T436" s="100">
        <f>IF(AND(SamplingData[[#This Row],[Total]]&lt;&gt; 0, NOT(ISBLANK(SamplingData[[#This Row],[Candidate 5]]))),(SamplingData[[#This Row],[Total]]+SamplingData[[#This Row],[Winning Candidate]]-SamplingData[[#This Row],[Candidate 5]])/(SamplingData[[#Totals],[Winning Candidate]]-SamplingData[[#Totals],[Candidate 5]]), 0)</f>
        <v>0</v>
      </c>
      <c r="U436" s="100">
        <f>IF(AND(SamplingData[[#This Row],[Total]]&lt;&gt; 0, NOT(ISBLANK(SamplingData[[#This Row],[Candidate 6]]))),(SamplingData[[#This Row],[Total]]+SamplingData[[#This Row],[Losing Candidate]]-SamplingData[[#This Row],[Candidate 6]])/(SamplingData[[#Totals],[Winning Candidate]]-SamplingData[[#Totals],[Candidate 6]]), 0)</f>
        <v>0</v>
      </c>
      <c r="V436" s="100">
        <f>IF(AND(SamplingData[[#This Row],[Total]]&lt;&gt; 0, NOT(ISBLANK(SamplingData[[#This Row],[Candidate 7]]))),(SamplingData[[#This Row],[Total]]+SamplingData[[#This Row],[Winning Candidate]]-SamplingData[[#This Row],[Candidate 7]])/(SamplingData[[#Totals],[Winning Candidate]]-SamplingData[[#Totals],[Candidate 7]]), 0)</f>
        <v>0</v>
      </c>
      <c r="W436" s="100">
        <f>IF(AND(SamplingData[[#This Row],[Total]]&lt;&gt; 0, NOT(ISBLANK(SamplingData[[#This Row],[Candidate 8]]))),(SamplingData[[#This Row],[Total]]+SamplingData[[#This Row],[Winning Candidate]]-SamplingData[[#This Row],[Candidate 8]])/(SamplingData[[#Totals],[Winning Candidate]]-SamplingData[[#Totals],[Candidate 8]]), 0)</f>
        <v>0</v>
      </c>
      <c r="X4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00">
        <f>MAX(SamplingData[[#This Row],[Error Bound (up) - Max. possible relative overstatement - Losing Candidate]:[Error Bound (up) - Max. possible relative overstatement - Candidate 12]])</f>
        <v>3.7691993592361088E-4</v>
      </c>
      <c r="AC436" s="100">
        <f>IF(SamplingData[[#This Row],[Max Error Bound (up)]] = 0,0,SamplingData[[#This Row],[Max Error Bound (up)]]/SamplingData[[#Totals],[Max Error Bound (up)]])</f>
        <v>1.6152479405588763E-4</v>
      </c>
      <c r="AD436" s="104">
        <f>SUM($AC$5:AC436)</f>
        <v>8.9444354708447804E-2</v>
      </c>
      <c r="AE436" s="100" t="str" cm="1">
        <f t="array" ref="AE436">IF(SamplingData[[#This Row],[up/U Selection Probability]] = 0, "Zero", TEXT(SamplingData[[#This Row],[Lower Range]], REPT("0",LEN('General Info'!$B$42))) &amp; " - " &amp; TEXT(SamplingData[[#This Row],[Upper Range]], REPT("0",LEN('General Info'!$B$42))))</f>
        <v>08928 - 08943</v>
      </c>
      <c r="AF436" s="100">
        <f>SamplingData[[#This Row],[Upper Range]]-SamplingData[[#This Row],[Span]]</f>
        <v>8928.2829914391914</v>
      </c>
      <c r="AG436" s="100">
        <f>IF(ISNUMBER('General Info'!$B$42), ((SamplingData[[#This Row],[up/U Selection Probability]]) * 'General Info'!$B$44) - 1, 0)</f>
        <v>15.152479405588764</v>
      </c>
      <c r="AH436" s="100">
        <f>IF(ISNUMBER('General Info'!$B$42), (SamplingData[[#This Row],[Running (cumulative) sum]] * ('General Info'!$B$42 -'General Info'!$B$43 + 1)) + 'General Info'!$B$43 - 1, 0)</f>
        <v>8943.4354708447809</v>
      </c>
      <c r="AI436" s="100" t="str">
        <f>IF(ISERROR(MATCH(SamplingData[[#This Row],[Batch by Type (p)]],SelectedPrecincts[Batch Name], 0)), "", INDEX(SelectedPrecincts[Draw], MATCH(SamplingData[[#This Row],[Batch by Type (p)]],SelectedPrecincts[Batch Name], 0)))</f>
        <v/>
      </c>
      <c r="AJ436" s="101">
        <f>IF(COUNTIF(SelectedPrecincts[Batch Name],SamplingData[[#This Row],[Batch by Type (p)]]) &lt;&gt; 0, COUNTIF(SelectedPrecincts[Batch Name],SamplingData[[#This Row],[Batch by Type (p)]]), 0)</f>
        <v>0</v>
      </c>
    </row>
    <row r="437" spans="1:36" ht="15" customHeight="1" x14ac:dyDescent="0.35">
      <c r="A437" s="98" t="s">
        <v>649</v>
      </c>
      <c r="B437" s="98">
        <v>2</v>
      </c>
      <c r="C437" s="98">
        <v>0</v>
      </c>
      <c r="D437" s="93"/>
      <c r="E437" s="93"/>
      <c r="F437" s="93"/>
      <c r="G437" s="97"/>
      <c r="H437" s="97"/>
      <c r="I437" s="93"/>
      <c r="J437" s="93"/>
      <c r="K437" s="93"/>
      <c r="L437" s="93"/>
      <c r="M437" s="93"/>
      <c r="N437" s="98">
        <v>0</v>
      </c>
      <c r="O437" s="98">
        <v>1</v>
      </c>
      <c r="P437" s="99">
        <f>SUM(SamplingData[[#This Row],[Winning Candidate]:[Under Votes]])</f>
        <v>3</v>
      </c>
      <c r="Q437" s="100">
        <f>IF(AND(SamplingData[[#This Row],[Total]]&lt;&gt; 0, NOT(ISBLANK(SamplingData[[#This Row],[Losing Candidate]]))),(SamplingData[[#This Row],[Total]]+SamplingData[[#This Row],[Winning Candidate]]-SamplingData[[#This Row],[Losing Candidate]])/(SamplingData[[#Totals],[Winning Candidate]]-SamplingData[[#Totals],[Losing Candidate]]), 0)</f>
        <v>1.5704997330150453E-4</v>
      </c>
      <c r="R437" s="100">
        <f>IF(AND(SamplingData[[#This Row],[Total]]&lt;&gt; 0, NOT(ISBLANK(SamplingData[[#This Row],[Candidate 3]]))),(SamplingData[[#This Row],[Total]]+SamplingData[[#This Row],[Winning Candidate]]-SamplingData[[#This Row],[Candidate 3]])/(SamplingData[[#Totals],[Winning Candidate]]-SamplingData[[#Totals],[Candidate 3]]), 0)</f>
        <v>0</v>
      </c>
      <c r="S437" s="100">
        <f>IF(AND(SamplingData[[#This Row],[Total]]&lt;&gt; 0, NOT(ISBLANK(SamplingData[[#This Row],[Candidate 4]]))),(SamplingData[[#This Row],[Total]]+SamplingData[[#This Row],[Winning Candidate]]-SamplingData[[#This Row],[Candidate 4]])/(SamplingData[[#Totals],[Winning Candidate]]-SamplingData[[#Totals],[Candidate 4]]), 0)</f>
        <v>0</v>
      </c>
      <c r="T437" s="100">
        <f>IF(AND(SamplingData[[#This Row],[Total]]&lt;&gt; 0, NOT(ISBLANK(SamplingData[[#This Row],[Candidate 5]]))),(SamplingData[[#This Row],[Total]]+SamplingData[[#This Row],[Winning Candidate]]-SamplingData[[#This Row],[Candidate 5]])/(SamplingData[[#Totals],[Winning Candidate]]-SamplingData[[#Totals],[Candidate 5]]), 0)</f>
        <v>0</v>
      </c>
      <c r="U437" s="100">
        <f>IF(AND(SamplingData[[#This Row],[Total]]&lt;&gt; 0, NOT(ISBLANK(SamplingData[[#This Row],[Candidate 6]]))),(SamplingData[[#This Row],[Total]]+SamplingData[[#This Row],[Losing Candidate]]-SamplingData[[#This Row],[Candidate 6]])/(SamplingData[[#Totals],[Winning Candidate]]-SamplingData[[#Totals],[Candidate 6]]), 0)</f>
        <v>0</v>
      </c>
      <c r="V437" s="100">
        <f>IF(AND(SamplingData[[#This Row],[Total]]&lt;&gt; 0, NOT(ISBLANK(SamplingData[[#This Row],[Candidate 7]]))),(SamplingData[[#This Row],[Total]]+SamplingData[[#This Row],[Winning Candidate]]-SamplingData[[#This Row],[Candidate 7]])/(SamplingData[[#Totals],[Winning Candidate]]-SamplingData[[#Totals],[Candidate 7]]), 0)</f>
        <v>0</v>
      </c>
      <c r="W437" s="100">
        <f>IF(AND(SamplingData[[#This Row],[Total]]&lt;&gt; 0, NOT(ISBLANK(SamplingData[[#This Row],[Candidate 8]]))),(SamplingData[[#This Row],[Total]]+SamplingData[[#This Row],[Winning Candidate]]-SamplingData[[#This Row],[Candidate 8]])/(SamplingData[[#Totals],[Winning Candidate]]-SamplingData[[#Totals],[Candidate 8]]), 0)</f>
        <v>0</v>
      </c>
      <c r="X4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00">
        <f>MAX(SamplingData[[#This Row],[Error Bound (up) - Max. possible relative overstatement - Losing Candidate]:[Error Bound (up) - Max. possible relative overstatement - Candidate 12]])</f>
        <v>1.5704997330150453E-4</v>
      </c>
      <c r="AC437" s="100">
        <f>IF(SamplingData[[#This Row],[Max Error Bound (up)]] = 0,0,SamplingData[[#This Row],[Max Error Bound (up)]]/SamplingData[[#Totals],[Max Error Bound (up)]])</f>
        <v>6.7301997523286518E-5</v>
      </c>
      <c r="AD437" s="104">
        <f>SUM($AC$5:AC437)</f>
        <v>8.9511656705971096E-2</v>
      </c>
      <c r="AE437" s="100" t="str" cm="1">
        <f t="array" ref="AE437">IF(SamplingData[[#This Row],[up/U Selection Probability]] = 0, "Zero", TEXT(SamplingData[[#This Row],[Lower Range]], REPT("0",LEN('General Info'!$B$42))) &amp; " - " &amp; TEXT(SamplingData[[#This Row],[Upper Range]], REPT("0",LEN('General Info'!$B$42))))</f>
        <v>08944 - 08950</v>
      </c>
      <c r="AF437" s="100">
        <f>SamplingData[[#This Row],[Upper Range]]-SamplingData[[#This Row],[Span]]</f>
        <v>8944.4354708447809</v>
      </c>
      <c r="AG437" s="100">
        <f>IF(ISNUMBER('General Info'!$B$42), ((SamplingData[[#This Row],[up/U Selection Probability]]) * 'General Info'!$B$44) - 1, 0)</f>
        <v>5.7301997523286516</v>
      </c>
      <c r="AH437" s="100">
        <f>IF(ISNUMBER('General Info'!$B$42), (SamplingData[[#This Row],[Running (cumulative) sum]] * ('General Info'!$B$42 -'General Info'!$B$43 + 1)) + 'General Info'!$B$43 - 1, 0)</f>
        <v>8950.1656705971091</v>
      </c>
      <c r="AI437" s="100" t="str">
        <f>IF(ISERROR(MATCH(SamplingData[[#This Row],[Batch by Type (p)]],SelectedPrecincts[Batch Name], 0)), "", INDEX(SelectedPrecincts[Draw], MATCH(SamplingData[[#This Row],[Batch by Type (p)]],SelectedPrecincts[Batch Name], 0)))</f>
        <v/>
      </c>
      <c r="AJ437" s="101">
        <f>IF(COUNTIF(SelectedPrecincts[Batch Name],SamplingData[[#This Row],[Batch by Type (p)]]) &lt;&gt; 0, COUNTIF(SelectedPrecincts[Batch Name],SamplingData[[#This Row],[Batch by Type (p)]]), 0)</f>
        <v>0</v>
      </c>
    </row>
    <row r="438" spans="1:36" ht="15" customHeight="1" x14ac:dyDescent="0.35">
      <c r="A438" s="98" t="s">
        <v>650</v>
      </c>
      <c r="B438" s="98">
        <v>6</v>
      </c>
      <c r="C438" s="98">
        <v>3</v>
      </c>
      <c r="D438" s="93"/>
      <c r="E438" s="93"/>
      <c r="F438" s="93"/>
      <c r="G438" s="97"/>
      <c r="H438" s="97"/>
      <c r="I438" s="93"/>
      <c r="J438" s="93"/>
      <c r="K438" s="93"/>
      <c r="L438" s="93"/>
      <c r="M438" s="93"/>
      <c r="N438" s="98">
        <v>0</v>
      </c>
      <c r="O438" s="98">
        <v>1</v>
      </c>
      <c r="P438" s="99">
        <f>SUM(SamplingData[[#This Row],[Winning Candidate]:[Under Votes]])</f>
        <v>10</v>
      </c>
      <c r="Q438" s="100">
        <f>IF(AND(SamplingData[[#This Row],[Total]]&lt;&gt; 0, NOT(ISBLANK(SamplingData[[#This Row],[Losing Candidate]]))),(SamplingData[[#This Row],[Total]]+SamplingData[[#This Row],[Winning Candidate]]-SamplingData[[#This Row],[Losing Candidate]])/(SamplingData[[#Totals],[Winning Candidate]]-SamplingData[[#Totals],[Losing Candidate]]), 0)</f>
        <v>4.0832993058391182E-4</v>
      </c>
      <c r="R438" s="100">
        <f>IF(AND(SamplingData[[#This Row],[Total]]&lt;&gt; 0, NOT(ISBLANK(SamplingData[[#This Row],[Candidate 3]]))),(SamplingData[[#This Row],[Total]]+SamplingData[[#This Row],[Winning Candidate]]-SamplingData[[#This Row],[Candidate 3]])/(SamplingData[[#Totals],[Winning Candidate]]-SamplingData[[#Totals],[Candidate 3]]), 0)</f>
        <v>0</v>
      </c>
      <c r="S438" s="100">
        <f>IF(AND(SamplingData[[#This Row],[Total]]&lt;&gt; 0, NOT(ISBLANK(SamplingData[[#This Row],[Candidate 4]]))),(SamplingData[[#This Row],[Total]]+SamplingData[[#This Row],[Winning Candidate]]-SamplingData[[#This Row],[Candidate 4]])/(SamplingData[[#Totals],[Winning Candidate]]-SamplingData[[#Totals],[Candidate 4]]), 0)</f>
        <v>0</v>
      </c>
      <c r="T438" s="100">
        <f>IF(AND(SamplingData[[#This Row],[Total]]&lt;&gt; 0, NOT(ISBLANK(SamplingData[[#This Row],[Candidate 5]]))),(SamplingData[[#This Row],[Total]]+SamplingData[[#This Row],[Winning Candidate]]-SamplingData[[#This Row],[Candidate 5]])/(SamplingData[[#Totals],[Winning Candidate]]-SamplingData[[#Totals],[Candidate 5]]), 0)</f>
        <v>0</v>
      </c>
      <c r="U438" s="100">
        <f>IF(AND(SamplingData[[#This Row],[Total]]&lt;&gt; 0, NOT(ISBLANK(SamplingData[[#This Row],[Candidate 6]]))),(SamplingData[[#This Row],[Total]]+SamplingData[[#This Row],[Losing Candidate]]-SamplingData[[#This Row],[Candidate 6]])/(SamplingData[[#Totals],[Winning Candidate]]-SamplingData[[#Totals],[Candidate 6]]), 0)</f>
        <v>0</v>
      </c>
      <c r="V438" s="100">
        <f>IF(AND(SamplingData[[#This Row],[Total]]&lt;&gt; 0, NOT(ISBLANK(SamplingData[[#This Row],[Candidate 7]]))),(SamplingData[[#This Row],[Total]]+SamplingData[[#This Row],[Winning Candidate]]-SamplingData[[#This Row],[Candidate 7]])/(SamplingData[[#Totals],[Winning Candidate]]-SamplingData[[#Totals],[Candidate 7]]), 0)</f>
        <v>0</v>
      </c>
      <c r="W438" s="100">
        <f>IF(AND(SamplingData[[#This Row],[Total]]&lt;&gt; 0, NOT(ISBLANK(SamplingData[[#This Row],[Candidate 8]]))),(SamplingData[[#This Row],[Total]]+SamplingData[[#This Row],[Winning Candidate]]-SamplingData[[#This Row],[Candidate 8]])/(SamplingData[[#Totals],[Winning Candidate]]-SamplingData[[#Totals],[Candidate 8]]), 0)</f>
        <v>0</v>
      </c>
      <c r="X4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00">
        <f>MAX(SamplingData[[#This Row],[Error Bound (up) - Max. possible relative overstatement - Losing Candidate]:[Error Bound (up) - Max. possible relative overstatement - Candidate 12]])</f>
        <v>4.0832993058391182E-4</v>
      </c>
      <c r="AC438" s="100">
        <f>IF(SamplingData[[#This Row],[Max Error Bound (up)]] = 0,0,SamplingData[[#This Row],[Max Error Bound (up)]]/SamplingData[[#Totals],[Max Error Bound (up)]])</f>
        <v>1.7498519356054496E-4</v>
      </c>
      <c r="AD438" s="104">
        <f>SUM($AC$5:AC438)</f>
        <v>8.9686641899531641E-2</v>
      </c>
      <c r="AE438" s="100" t="str" cm="1">
        <f t="array" ref="AE438">IF(SamplingData[[#This Row],[up/U Selection Probability]] = 0, "Zero", TEXT(SamplingData[[#This Row],[Lower Range]], REPT("0",LEN('General Info'!$B$42))) &amp; " - " &amp; TEXT(SamplingData[[#This Row],[Upper Range]], REPT("0",LEN('General Info'!$B$42))))</f>
        <v>08951 - 08968</v>
      </c>
      <c r="AF438" s="100">
        <f>SamplingData[[#This Row],[Upper Range]]-SamplingData[[#This Row],[Span]]</f>
        <v>8951.1656705971091</v>
      </c>
      <c r="AG438" s="100">
        <f>IF(ISNUMBER('General Info'!$B$42), ((SamplingData[[#This Row],[up/U Selection Probability]]) * 'General Info'!$B$44) - 1, 0)</f>
        <v>16.498519356054494</v>
      </c>
      <c r="AH438" s="100">
        <f>IF(ISNUMBER('General Info'!$B$42), (SamplingData[[#This Row],[Running (cumulative) sum]] * ('General Info'!$B$42 -'General Info'!$B$43 + 1)) + 'General Info'!$B$43 - 1, 0)</f>
        <v>8967.6641899531642</v>
      </c>
      <c r="AI438" s="100" t="str">
        <f>IF(ISERROR(MATCH(SamplingData[[#This Row],[Batch by Type (p)]],SelectedPrecincts[Batch Name], 0)), "", INDEX(SelectedPrecincts[Draw], MATCH(SamplingData[[#This Row],[Batch by Type (p)]],SelectedPrecincts[Batch Name], 0)))</f>
        <v/>
      </c>
      <c r="AJ438" s="101">
        <f>IF(COUNTIF(SelectedPrecincts[Batch Name],SamplingData[[#This Row],[Batch by Type (p)]]) &lt;&gt; 0, COUNTIF(SelectedPrecincts[Batch Name],SamplingData[[#This Row],[Batch by Type (p)]]), 0)</f>
        <v>0</v>
      </c>
    </row>
    <row r="439" spans="1:36" ht="15" customHeight="1" x14ac:dyDescent="0.35">
      <c r="A439" s="98" t="s">
        <v>651</v>
      </c>
      <c r="B439" s="98">
        <v>15</v>
      </c>
      <c r="C439" s="98">
        <v>1</v>
      </c>
      <c r="D439" s="93"/>
      <c r="E439" s="93"/>
      <c r="F439" s="93"/>
      <c r="G439" s="97"/>
      <c r="H439" s="97"/>
      <c r="I439" s="93"/>
      <c r="J439" s="93"/>
      <c r="K439" s="93"/>
      <c r="L439" s="93"/>
      <c r="M439" s="93"/>
      <c r="N439" s="98">
        <v>0</v>
      </c>
      <c r="O439" s="98">
        <v>1</v>
      </c>
      <c r="P439" s="99">
        <f>SUM(SamplingData[[#This Row],[Winning Candidate]:[Under Votes]])</f>
        <v>17</v>
      </c>
      <c r="Q439" s="100">
        <f>IF(AND(SamplingData[[#This Row],[Total]]&lt;&gt; 0, NOT(ISBLANK(SamplingData[[#This Row],[Losing Candidate]]))),(SamplingData[[#This Row],[Total]]+SamplingData[[#This Row],[Winning Candidate]]-SamplingData[[#This Row],[Losing Candidate]])/(SamplingData[[#Totals],[Winning Candidate]]-SamplingData[[#Totals],[Losing Candidate]]), 0)</f>
        <v>9.7370983446932818E-4</v>
      </c>
      <c r="R439" s="100">
        <f>IF(AND(SamplingData[[#This Row],[Total]]&lt;&gt; 0, NOT(ISBLANK(SamplingData[[#This Row],[Candidate 3]]))),(SamplingData[[#This Row],[Total]]+SamplingData[[#This Row],[Winning Candidate]]-SamplingData[[#This Row],[Candidate 3]])/(SamplingData[[#Totals],[Winning Candidate]]-SamplingData[[#Totals],[Candidate 3]]), 0)</f>
        <v>0</v>
      </c>
      <c r="S439" s="100">
        <f>IF(AND(SamplingData[[#This Row],[Total]]&lt;&gt; 0, NOT(ISBLANK(SamplingData[[#This Row],[Candidate 4]]))),(SamplingData[[#This Row],[Total]]+SamplingData[[#This Row],[Winning Candidate]]-SamplingData[[#This Row],[Candidate 4]])/(SamplingData[[#Totals],[Winning Candidate]]-SamplingData[[#Totals],[Candidate 4]]), 0)</f>
        <v>0</v>
      </c>
      <c r="T439" s="100">
        <f>IF(AND(SamplingData[[#This Row],[Total]]&lt;&gt; 0, NOT(ISBLANK(SamplingData[[#This Row],[Candidate 5]]))),(SamplingData[[#This Row],[Total]]+SamplingData[[#This Row],[Winning Candidate]]-SamplingData[[#This Row],[Candidate 5]])/(SamplingData[[#Totals],[Winning Candidate]]-SamplingData[[#Totals],[Candidate 5]]), 0)</f>
        <v>0</v>
      </c>
      <c r="U439" s="100">
        <f>IF(AND(SamplingData[[#This Row],[Total]]&lt;&gt; 0, NOT(ISBLANK(SamplingData[[#This Row],[Candidate 6]]))),(SamplingData[[#This Row],[Total]]+SamplingData[[#This Row],[Losing Candidate]]-SamplingData[[#This Row],[Candidate 6]])/(SamplingData[[#Totals],[Winning Candidate]]-SamplingData[[#Totals],[Candidate 6]]), 0)</f>
        <v>0</v>
      </c>
      <c r="V439" s="100">
        <f>IF(AND(SamplingData[[#This Row],[Total]]&lt;&gt; 0, NOT(ISBLANK(SamplingData[[#This Row],[Candidate 7]]))),(SamplingData[[#This Row],[Total]]+SamplingData[[#This Row],[Winning Candidate]]-SamplingData[[#This Row],[Candidate 7]])/(SamplingData[[#Totals],[Winning Candidate]]-SamplingData[[#Totals],[Candidate 7]]), 0)</f>
        <v>0</v>
      </c>
      <c r="W439" s="100">
        <f>IF(AND(SamplingData[[#This Row],[Total]]&lt;&gt; 0, NOT(ISBLANK(SamplingData[[#This Row],[Candidate 8]]))),(SamplingData[[#This Row],[Total]]+SamplingData[[#This Row],[Winning Candidate]]-SamplingData[[#This Row],[Candidate 8]])/(SamplingData[[#Totals],[Winning Candidate]]-SamplingData[[#Totals],[Candidate 8]]), 0)</f>
        <v>0</v>
      </c>
      <c r="X4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00">
        <f>MAX(SamplingData[[#This Row],[Error Bound (up) - Max. possible relative overstatement - Losing Candidate]:[Error Bound (up) - Max. possible relative overstatement - Candidate 12]])</f>
        <v>9.7370983446932818E-4</v>
      </c>
      <c r="AC439" s="100">
        <f>IF(SamplingData[[#This Row],[Max Error Bound (up)]] = 0,0,SamplingData[[#This Row],[Max Error Bound (up)]]/SamplingData[[#Totals],[Max Error Bound (up)]])</f>
        <v>4.1727238464437641E-4</v>
      </c>
      <c r="AD439" s="104">
        <f>SUM($AC$5:AC439)</f>
        <v>9.0103914284176023E-2</v>
      </c>
      <c r="AE439" s="100" t="str" cm="1">
        <f t="array" ref="AE439">IF(SamplingData[[#This Row],[up/U Selection Probability]] = 0, "Zero", TEXT(SamplingData[[#This Row],[Lower Range]], REPT("0",LEN('General Info'!$B$42))) &amp; " - " &amp; TEXT(SamplingData[[#This Row],[Upper Range]], REPT("0",LEN('General Info'!$B$42))))</f>
        <v>08969 - 09009</v>
      </c>
      <c r="AF439" s="100">
        <f>SamplingData[[#This Row],[Upper Range]]-SamplingData[[#This Row],[Span]]</f>
        <v>8968.6641899531642</v>
      </c>
      <c r="AG439" s="100">
        <f>IF(ISNUMBER('General Info'!$B$42), ((SamplingData[[#This Row],[up/U Selection Probability]]) * 'General Info'!$B$44) - 1, 0)</f>
        <v>40.72723846443764</v>
      </c>
      <c r="AH439" s="100">
        <f>IF(ISNUMBER('General Info'!$B$42), (SamplingData[[#This Row],[Running (cumulative) sum]] * ('General Info'!$B$42 -'General Info'!$B$43 + 1)) + 'General Info'!$B$43 - 1, 0)</f>
        <v>9009.3914284176026</v>
      </c>
      <c r="AI439" s="100" t="str">
        <f>IF(ISERROR(MATCH(SamplingData[[#This Row],[Batch by Type (p)]],SelectedPrecincts[Batch Name], 0)), "", INDEX(SelectedPrecincts[Draw], MATCH(SamplingData[[#This Row],[Batch by Type (p)]],SelectedPrecincts[Batch Name], 0)))</f>
        <v/>
      </c>
      <c r="AJ439" s="101">
        <f>IF(COUNTIF(SelectedPrecincts[Batch Name],SamplingData[[#This Row],[Batch by Type (p)]]) &lt;&gt; 0, COUNTIF(SelectedPrecincts[Batch Name],SamplingData[[#This Row],[Batch by Type (p)]]), 0)</f>
        <v>0</v>
      </c>
    </row>
    <row r="440" spans="1:36" ht="15" customHeight="1" x14ac:dyDescent="0.35">
      <c r="A440" s="98" t="s">
        <v>652</v>
      </c>
      <c r="B440" s="98">
        <v>10</v>
      </c>
      <c r="C440" s="98">
        <v>0</v>
      </c>
      <c r="D440" s="93"/>
      <c r="E440" s="93"/>
      <c r="F440" s="93"/>
      <c r="G440" s="97"/>
      <c r="H440" s="97"/>
      <c r="I440" s="93"/>
      <c r="J440" s="93"/>
      <c r="K440" s="93"/>
      <c r="L440" s="93"/>
      <c r="M440" s="93"/>
      <c r="N440" s="98">
        <v>0</v>
      </c>
      <c r="O440" s="98">
        <v>0</v>
      </c>
      <c r="P440" s="99">
        <f>SUM(SamplingData[[#This Row],[Winning Candidate]:[Under Votes]])</f>
        <v>10</v>
      </c>
      <c r="Q440"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440" s="100">
        <f>IF(AND(SamplingData[[#This Row],[Total]]&lt;&gt; 0, NOT(ISBLANK(SamplingData[[#This Row],[Candidate 3]]))),(SamplingData[[#This Row],[Total]]+SamplingData[[#This Row],[Winning Candidate]]-SamplingData[[#This Row],[Candidate 3]])/(SamplingData[[#Totals],[Winning Candidate]]-SamplingData[[#Totals],[Candidate 3]]), 0)</f>
        <v>0</v>
      </c>
      <c r="S440" s="100">
        <f>IF(AND(SamplingData[[#This Row],[Total]]&lt;&gt; 0, NOT(ISBLANK(SamplingData[[#This Row],[Candidate 4]]))),(SamplingData[[#This Row],[Total]]+SamplingData[[#This Row],[Winning Candidate]]-SamplingData[[#This Row],[Candidate 4]])/(SamplingData[[#Totals],[Winning Candidate]]-SamplingData[[#Totals],[Candidate 4]]), 0)</f>
        <v>0</v>
      </c>
      <c r="T440" s="100">
        <f>IF(AND(SamplingData[[#This Row],[Total]]&lt;&gt; 0, NOT(ISBLANK(SamplingData[[#This Row],[Candidate 5]]))),(SamplingData[[#This Row],[Total]]+SamplingData[[#This Row],[Winning Candidate]]-SamplingData[[#This Row],[Candidate 5]])/(SamplingData[[#Totals],[Winning Candidate]]-SamplingData[[#Totals],[Candidate 5]]), 0)</f>
        <v>0</v>
      </c>
      <c r="U440" s="100">
        <f>IF(AND(SamplingData[[#This Row],[Total]]&lt;&gt; 0, NOT(ISBLANK(SamplingData[[#This Row],[Candidate 6]]))),(SamplingData[[#This Row],[Total]]+SamplingData[[#This Row],[Losing Candidate]]-SamplingData[[#This Row],[Candidate 6]])/(SamplingData[[#Totals],[Winning Candidate]]-SamplingData[[#Totals],[Candidate 6]]), 0)</f>
        <v>0</v>
      </c>
      <c r="V440" s="100">
        <f>IF(AND(SamplingData[[#This Row],[Total]]&lt;&gt; 0, NOT(ISBLANK(SamplingData[[#This Row],[Candidate 7]]))),(SamplingData[[#This Row],[Total]]+SamplingData[[#This Row],[Winning Candidate]]-SamplingData[[#This Row],[Candidate 7]])/(SamplingData[[#Totals],[Winning Candidate]]-SamplingData[[#Totals],[Candidate 7]]), 0)</f>
        <v>0</v>
      </c>
      <c r="W440" s="100">
        <f>IF(AND(SamplingData[[#This Row],[Total]]&lt;&gt; 0, NOT(ISBLANK(SamplingData[[#This Row],[Candidate 8]]))),(SamplingData[[#This Row],[Total]]+SamplingData[[#This Row],[Winning Candidate]]-SamplingData[[#This Row],[Candidate 8]])/(SamplingData[[#Totals],[Winning Candidate]]-SamplingData[[#Totals],[Candidate 8]]), 0)</f>
        <v>0</v>
      </c>
      <c r="X4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00">
        <f>MAX(SamplingData[[#This Row],[Error Bound (up) - Max. possible relative overstatement - Losing Candidate]:[Error Bound (up) - Max. possible relative overstatement - Candidate 12]])</f>
        <v>6.2819989320601812E-4</v>
      </c>
      <c r="AC440" s="100">
        <f>IF(SamplingData[[#This Row],[Max Error Bound (up)]] = 0,0,SamplingData[[#This Row],[Max Error Bound (up)]]/SamplingData[[#Totals],[Max Error Bound (up)]])</f>
        <v>2.6920799009314607E-4</v>
      </c>
      <c r="AD440" s="104">
        <f>SUM($AC$5:AC440)</f>
        <v>9.0373122274269163E-2</v>
      </c>
      <c r="AE440" s="100" t="str" cm="1">
        <f t="array" ref="AE440">IF(SamplingData[[#This Row],[up/U Selection Probability]] = 0, "Zero", TEXT(SamplingData[[#This Row],[Lower Range]], REPT("0",LEN('General Info'!$B$42))) &amp; " - " &amp; TEXT(SamplingData[[#This Row],[Upper Range]], REPT("0",LEN('General Info'!$B$42))))</f>
        <v>09010 - 09036</v>
      </c>
      <c r="AF440" s="100">
        <f>SamplingData[[#This Row],[Upper Range]]-SamplingData[[#This Row],[Span]]</f>
        <v>9010.3914284176026</v>
      </c>
      <c r="AG440" s="100">
        <f>IF(ISNUMBER('General Info'!$B$42), ((SamplingData[[#This Row],[up/U Selection Probability]]) * 'General Info'!$B$44) - 1, 0)</f>
        <v>25.920799009314607</v>
      </c>
      <c r="AH440" s="100">
        <f>IF(ISNUMBER('General Info'!$B$42), (SamplingData[[#This Row],[Running (cumulative) sum]] * ('General Info'!$B$42 -'General Info'!$B$43 + 1)) + 'General Info'!$B$43 - 1, 0)</f>
        <v>9036.3122274269172</v>
      </c>
      <c r="AI440" s="100" t="str">
        <f>IF(ISERROR(MATCH(SamplingData[[#This Row],[Batch by Type (p)]],SelectedPrecincts[Batch Name], 0)), "", INDEX(SelectedPrecincts[Draw], MATCH(SamplingData[[#This Row],[Batch by Type (p)]],SelectedPrecincts[Batch Name], 0)))</f>
        <v/>
      </c>
      <c r="AJ440" s="101">
        <f>IF(COUNTIF(SelectedPrecincts[Batch Name],SamplingData[[#This Row],[Batch by Type (p)]]) &lt;&gt; 0, COUNTIF(SelectedPrecincts[Batch Name],SamplingData[[#This Row],[Batch by Type (p)]]), 0)</f>
        <v>0</v>
      </c>
    </row>
    <row r="441" spans="1:36" ht="15" customHeight="1" x14ac:dyDescent="0.35">
      <c r="A441" s="98" t="s">
        <v>653</v>
      </c>
      <c r="B441" s="98">
        <v>18</v>
      </c>
      <c r="C441" s="98">
        <v>2</v>
      </c>
      <c r="D441" s="93"/>
      <c r="E441" s="93"/>
      <c r="F441" s="93"/>
      <c r="G441" s="97"/>
      <c r="H441" s="97"/>
      <c r="I441" s="93"/>
      <c r="J441" s="93"/>
      <c r="K441" s="93"/>
      <c r="L441" s="93"/>
      <c r="M441" s="93"/>
      <c r="N441" s="98">
        <v>0</v>
      </c>
      <c r="O441" s="98">
        <v>0</v>
      </c>
      <c r="P441" s="99">
        <f>SUM(SamplingData[[#This Row],[Winning Candidate]:[Under Votes]])</f>
        <v>20</v>
      </c>
      <c r="Q441"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441" s="100">
        <f>IF(AND(SamplingData[[#This Row],[Total]]&lt;&gt; 0, NOT(ISBLANK(SamplingData[[#This Row],[Candidate 3]]))),(SamplingData[[#This Row],[Total]]+SamplingData[[#This Row],[Winning Candidate]]-SamplingData[[#This Row],[Candidate 3]])/(SamplingData[[#Totals],[Winning Candidate]]-SamplingData[[#Totals],[Candidate 3]]), 0)</f>
        <v>0</v>
      </c>
      <c r="S441" s="100">
        <f>IF(AND(SamplingData[[#This Row],[Total]]&lt;&gt; 0, NOT(ISBLANK(SamplingData[[#This Row],[Candidate 4]]))),(SamplingData[[#This Row],[Total]]+SamplingData[[#This Row],[Winning Candidate]]-SamplingData[[#This Row],[Candidate 4]])/(SamplingData[[#Totals],[Winning Candidate]]-SamplingData[[#Totals],[Candidate 4]]), 0)</f>
        <v>0</v>
      </c>
      <c r="T441" s="100">
        <f>IF(AND(SamplingData[[#This Row],[Total]]&lt;&gt; 0, NOT(ISBLANK(SamplingData[[#This Row],[Candidate 5]]))),(SamplingData[[#This Row],[Total]]+SamplingData[[#This Row],[Winning Candidate]]-SamplingData[[#This Row],[Candidate 5]])/(SamplingData[[#Totals],[Winning Candidate]]-SamplingData[[#Totals],[Candidate 5]]), 0)</f>
        <v>0</v>
      </c>
      <c r="U441" s="100">
        <f>IF(AND(SamplingData[[#This Row],[Total]]&lt;&gt; 0, NOT(ISBLANK(SamplingData[[#This Row],[Candidate 6]]))),(SamplingData[[#This Row],[Total]]+SamplingData[[#This Row],[Losing Candidate]]-SamplingData[[#This Row],[Candidate 6]])/(SamplingData[[#Totals],[Winning Candidate]]-SamplingData[[#Totals],[Candidate 6]]), 0)</f>
        <v>0</v>
      </c>
      <c r="V441" s="100">
        <f>IF(AND(SamplingData[[#This Row],[Total]]&lt;&gt; 0, NOT(ISBLANK(SamplingData[[#This Row],[Candidate 7]]))),(SamplingData[[#This Row],[Total]]+SamplingData[[#This Row],[Winning Candidate]]-SamplingData[[#This Row],[Candidate 7]])/(SamplingData[[#Totals],[Winning Candidate]]-SamplingData[[#Totals],[Candidate 7]]), 0)</f>
        <v>0</v>
      </c>
      <c r="W441" s="100">
        <f>IF(AND(SamplingData[[#This Row],[Total]]&lt;&gt; 0, NOT(ISBLANK(SamplingData[[#This Row],[Candidate 8]]))),(SamplingData[[#This Row],[Total]]+SamplingData[[#This Row],[Winning Candidate]]-SamplingData[[#This Row],[Candidate 8]])/(SamplingData[[#Totals],[Winning Candidate]]-SamplingData[[#Totals],[Candidate 8]]), 0)</f>
        <v>0</v>
      </c>
      <c r="X4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00">
        <f>MAX(SamplingData[[#This Row],[Error Bound (up) - Max. possible relative overstatement - Losing Candidate]:[Error Bound (up) - Max. possible relative overstatement - Candidate 12]])</f>
        <v>1.1307598077708327E-3</v>
      </c>
      <c r="AC441" s="100">
        <f>IF(SamplingData[[#This Row],[Max Error Bound (up)]] = 0,0,SamplingData[[#This Row],[Max Error Bound (up)]]/SamplingData[[#Totals],[Max Error Bound (up)]])</f>
        <v>4.845743821676629E-4</v>
      </c>
      <c r="AD441" s="104">
        <f>SUM($AC$5:AC441)</f>
        <v>9.0857696656436823E-2</v>
      </c>
      <c r="AE441" s="100" t="str" cm="1">
        <f t="array" ref="AE441">IF(SamplingData[[#This Row],[up/U Selection Probability]] = 0, "Zero", TEXT(SamplingData[[#This Row],[Lower Range]], REPT("0",LEN('General Info'!$B$42))) &amp; " - " &amp; TEXT(SamplingData[[#This Row],[Upper Range]], REPT("0",LEN('General Info'!$B$42))))</f>
        <v>09037 - 09085</v>
      </c>
      <c r="AF441" s="100">
        <f>SamplingData[[#This Row],[Upper Range]]-SamplingData[[#This Row],[Span]]</f>
        <v>9037.3122274269153</v>
      </c>
      <c r="AG441" s="100">
        <f>IF(ISNUMBER('General Info'!$B$42), ((SamplingData[[#This Row],[up/U Selection Probability]]) * 'General Info'!$B$44) - 1, 0)</f>
        <v>47.457438216766292</v>
      </c>
      <c r="AH441" s="100">
        <f>IF(ISNUMBER('General Info'!$B$42), (SamplingData[[#This Row],[Running (cumulative) sum]] * ('General Info'!$B$42 -'General Info'!$B$43 + 1)) + 'General Info'!$B$43 - 1, 0)</f>
        <v>9084.7696656436819</v>
      </c>
      <c r="AI441" s="100" t="str">
        <f>IF(ISERROR(MATCH(SamplingData[[#This Row],[Batch by Type (p)]],SelectedPrecincts[Batch Name], 0)), "", INDEX(SelectedPrecincts[Draw], MATCH(SamplingData[[#This Row],[Batch by Type (p)]],SelectedPrecincts[Batch Name], 0)))</f>
        <v/>
      </c>
      <c r="AJ441" s="101">
        <f>IF(COUNTIF(SelectedPrecincts[Batch Name],SamplingData[[#This Row],[Batch by Type (p)]]) &lt;&gt; 0, COUNTIF(SelectedPrecincts[Batch Name],SamplingData[[#This Row],[Batch by Type (p)]]), 0)</f>
        <v>0</v>
      </c>
    </row>
    <row r="442" spans="1:36" ht="15" customHeight="1" x14ac:dyDescent="0.35">
      <c r="A442" s="98" t="s">
        <v>654</v>
      </c>
      <c r="B442" s="98">
        <v>12</v>
      </c>
      <c r="C442" s="98">
        <v>0</v>
      </c>
      <c r="D442" s="93"/>
      <c r="E442" s="93"/>
      <c r="F442" s="93"/>
      <c r="G442" s="97"/>
      <c r="H442" s="97"/>
      <c r="I442" s="93"/>
      <c r="J442" s="93"/>
      <c r="K442" s="93"/>
      <c r="L442" s="93"/>
      <c r="M442" s="93"/>
      <c r="N442" s="98">
        <v>0</v>
      </c>
      <c r="O442" s="98">
        <v>1</v>
      </c>
      <c r="P442" s="99">
        <f>SUM(SamplingData[[#This Row],[Winning Candidate]:[Under Votes]])</f>
        <v>13</v>
      </c>
      <c r="Q442" s="100">
        <f>IF(AND(SamplingData[[#This Row],[Total]]&lt;&gt; 0, NOT(ISBLANK(SamplingData[[#This Row],[Losing Candidate]]))),(SamplingData[[#This Row],[Total]]+SamplingData[[#This Row],[Winning Candidate]]-SamplingData[[#This Row],[Losing Candidate]])/(SamplingData[[#Totals],[Winning Candidate]]-SamplingData[[#Totals],[Losing Candidate]]), 0)</f>
        <v>7.8524986650752265E-4</v>
      </c>
      <c r="R442" s="100">
        <f>IF(AND(SamplingData[[#This Row],[Total]]&lt;&gt; 0, NOT(ISBLANK(SamplingData[[#This Row],[Candidate 3]]))),(SamplingData[[#This Row],[Total]]+SamplingData[[#This Row],[Winning Candidate]]-SamplingData[[#This Row],[Candidate 3]])/(SamplingData[[#Totals],[Winning Candidate]]-SamplingData[[#Totals],[Candidate 3]]), 0)</f>
        <v>0</v>
      </c>
      <c r="S442" s="100">
        <f>IF(AND(SamplingData[[#This Row],[Total]]&lt;&gt; 0, NOT(ISBLANK(SamplingData[[#This Row],[Candidate 4]]))),(SamplingData[[#This Row],[Total]]+SamplingData[[#This Row],[Winning Candidate]]-SamplingData[[#This Row],[Candidate 4]])/(SamplingData[[#Totals],[Winning Candidate]]-SamplingData[[#Totals],[Candidate 4]]), 0)</f>
        <v>0</v>
      </c>
      <c r="T442" s="100">
        <f>IF(AND(SamplingData[[#This Row],[Total]]&lt;&gt; 0, NOT(ISBLANK(SamplingData[[#This Row],[Candidate 5]]))),(SamplingData[[#This Row],[Total]]+SamplingData[[#This Row],[Winning Candidate]]-SamplingData[[#This Row],[Candidate 5]])/(SamplingData[[#Totals],[Winning Candidate]]-SamplingData[[#Totals],[Candidate 5]]), 0)</f>
        <v>0</v>
      </c>
      <c r="U442" s="100">
        <f>IF(AND(SamplingData[[#This Row],[Total]]&lt;&gt; 0, NOT(ISBLANK(SamplingData[[#This Row],[Candidate 6]]))),(SamplingData[[#This Row],[Total]]+SamplingData[[#This Row],[Losing Candidate]]-SamplingData[[#This Row],[Candidate 6]])/(SamplingData[[#Totals],[Winning Candidate]]-SamplingData[[#Totals],[Candidate 6]]), 0)</f>
        <v>0</v>
      </c>
      <c r="V442" s="100">
        <f>IF(AND(SamplingData[[#This Row],[Total]]&lt;&gt; 0, NOT(ISBLANK(SamplingData[[#This Row],[Candidate 7]]))),(SamplingData[[#This Row],[Total]]+SamplingData[[#This Row],[Winning Candidate]]-SamplingData[[#This Row],[Candidate 7]])/(SamplingData[[#Totals],[Winning Candidate]]-SamplingData[[#Totals],[Candidate 7]]), 0)</f>
        <v>0</v>
      </c>
      <c r="W442" s="100">
        <f>IF(AND(SamplingData[[#This Row],[Total]]&lt;&gt; 0, NOT(ISBLANK(SamplingData[[#This Row],[Candidate 8]]))),(SamplingData[[#This Row],[Total]]+SamplingData[[#This Row],[Winning Candidate]]-SamplingData[[#This Row],[Candidate 8]])/(SamplingData[[#Totals],[Winning Candidate]]-SamplingData[[#Totals],[Candidate 8]]), 0)</f>
        <v>0</v>
      </c>
      <c r="X4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00">
        <f>MAX(SamplingData[[#This Row],[Error Bound (up) - Max. possible relative overstatement - Losing Candidate]:[Error Bound (up) - Max. possible relative overstatement - Candidate 12]])</f>
        <v>7.8524986650752265E-4</v>
      </c>
      <c r="AC442" s="100">
        <f>IF(SamplingData[[#This Row],[Max Error Bound (up)]] = 0,0,SamplingData[[#This Row],[Max Error Bound (up)]]/SamplingData[[#Totals],[Max Error Bound (up)]])</f>
        <v>3.3650998761643256E-4</v>
      </c>
      <c r="AD442" s="104">
        <f>SUM($AC$5:AC442)</f>
        <v>9.1194206644053255E-2</v>
      </c>
      <c r="AE442" s="100" t="str" cm="1">
        <f t="array" ref="AE442">IF(SamplingData[[#This Row],[up/U Selection Probability]] = 0, "Zero", TEXT(SamplingData[[#This Row],[Lower Range]], REPT("0",LEN('General Info'!$B$42))) &amp; " - " &amp; TEXT(SamplingData[[#This Row],[Upper Range]], REPT("0",LEN('General Info'!$B$42))))</f>
        <v>09086 - 09118</v>
      </c>
      <c r="AF442" s="100">
        <f>SamplingData[[#This Row],[Upper Range]]-SamplingData[[#This Row],[Span]]</f>
        <v>9085.7696656436819</v>
      </c>
      <c r="AG442" s="100">
        <f>IF(ISNUMBER('General Info'!$B$42), ((SamplingData[[#This Row],[up/U Selection Probability]]) * 'General Info'!$B$44) - 1, 0)</f>
        <v>32.650998761643258</v>
      </c>
      <c r="AH442" s="100">
        <f>IF(ISNUMBER('General Info'!$B$42), (SamplingData[[#This Row],[Running (cumulative) sum]] * ('General Info'!$B$42 -'General Info'!$B$43 + 1)) + 'General Info'!$B$43 - 1, 0)</f>
        <v>9118.4206644053247</v>
      </c>
      <c r="AI442" s="100" t="str">
        <f>IF(ISERROR(MATCH(SamplingData[[#This Row],[Batch by Type (p)]],SelectedPrecincts[Batch Name], 0)), "", INDEX(SelectedPrecincts[Draw], MATCH(SamplingData[[#This Row],[Batch by Type (p)]],SelectedPrecincts[Batch Name], 0)))</f>
        <v/>
      </c>
      <c r="AJ442" s="101">
        <f>IF(COUNTIF(SelectedPrecincts[Batch Name],SamplingData[[#This Row],[Batch by Type (p)]]) &lt;&gt; 0, COUNTIF(SelectedPrecincts[Batch Name],SamplingData[[#This Row],[Batch by Type (p)]]), 0)</f>
        <v>0</v>
      </c>
    </row>
    <row r="443" spans="1:36" ht="15" customHeight="1" x14ac:dyDescent="0.35">
      <c r="A443" s="98" t="s">
        <v>655</v>
      </c>
      <c r="B443" s="98">
        <v>3</v>
      </c>
      <c r="C443" s="98">
        <v>0</v>
      </c>
      <c r="D443" s="93"/>
      <c r="E443" s="93"/>
      <c r="F443" s="93"/>
      <c r="G443" s="97"/>
      <c r="H443" s="97"/>
      <c r="I443" s="93"/>
      <c r="J443" s="93"/>
      <c r="K443" s="93"/>
      <c r="L443" s="93"/>
      <c r="M443" s="93"/>
      <c r="N443" s="98">
        <v>0</v>
      </c>
      <c r="O443" s="98">
        <v>0</v>
      </c>
      <c r="P443" s="99">
        <f>SUM(SamplingData[[#This Row],[Winning Candidate]:[Under Votes]])</f>
        <v>3</v>
      </c>
      <c r="Q443"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43" s="100">
        <f>IF(AND(SamplingData[[#This Row],[Total]]&lt;&gt; 0, NOT(ISBLANK(SamplingData[[#This Row],[Candidate 3]]))),(SamplingData[[#This Row],[Total]]+SamplingData[[#This Row],[Winning Candidate]]-SamplingData[[#This Row],[Candidate 3]])/(SamplingData[[#Totals],[Winning Candidate]]-SamplingData[[#Totals],[Candidate 3]]), 0)</f>
        <v>0</v>
      </c>
      <c r="S443" s="100">
        <f>IF(AND(SamplingData[[#This Row],[Total]]&lt;&gt; 0, NOT(ISBLANK(SamplingData[[#This Row],[Candidate 4]]))),(SamplingData[[#This Row],[Total]]+SamplingData[[#This Row],[Winning Candidate]]-SamplingData[[#This Row],[Candidate 4]])/(SamplingData[[#Totals],[Winning Candidate]]-SamplingData[[#Totals],[Candidate 4]]), 0)</f>
        <v>0</v>
      </c>
      <c r="T443" s="100">
        <f>IF(AND(SamplingData[[#This Row],[Total]]&lt;&gt; 0, NOT(ISBLANK(SamplingData[[#This Row],[Candidate 5]]))),(SamplingData[[#This Row],[Total]]+SamplingData[[#This Row],[Winning Candidate]]-SamplingData[[#This Row],[Candidate 5]])/(SamplingData[[#Totals],[Winning Candidate]]-SamplingData[[#Totals],[Candidate 5]]), 0)</f>
        <v>0</v>
      </c>
      <c r="U443" s="100">
        <f>IF(AND(SamplingData[[#This Row],[Total]]&lt;&gt; 0, NOT(ISBLANK(SamplingData[[#This Row],[Candidate 6]]))),(SamplingData[[#This Row],[Total]]+SamplingData[[#This Row],[Losing Candidate]]-SamplingData[[#This Row],[Candidate 6]])/(SamplingData[[#Totals],[Winning Candidate]]-SamplingData[[#Totals],[Candidate 6]]), 0)</f>
        <v>0</v>
      </c>
      <c r="V443" s="100">
        <f>IF(AND(SamplingData[[#This Row],[Total]]&lt;&gt; 0, NOT(ISBLANK(SamplingData[[#This Row],[Candidate 7]]))),(SamplingData[[#This Row],[Total]]+SamplingData[[#This Row],[Winning Candidate]]-SamplingData[[#This Row],[Candidate 7]])/(SamplingData[[#Totals],[Winning Candidate]]-SamplingData[[#Totals],[Candidate 7]]), 0)</f>
        <v>0</v>
      </c>
      <c r="W443" s="100">
        <f>IF(AND(SamplingData[[#This Row],[Total]]&lt;&gt; 0, NOT(ISBLANK(SamplingData[[#This Row],[Candidate 8]]))),(SamplingData[[#This Row],[Total]]+SamplingData[[#This Row],[Winning Candidate]]-SamplingData[[#This Row],[Candidate 8]])/(SamplingData[[#Totals],[Winning Candidate]]-SamplingData[[#Totals],[Candidate 8]]), 0)</f>
        <v>0</v>
      </c>
      <c r="X4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00">
        <f>MAX(SamplingData[[#This Row],[Error Bound (up) - Max. possible relative overstatement - Losing Candidate]:[Error Bound (up) - Max. possible relative overstatement - Candidate 12]])</f>
        <v>1.8845996796180544E-4</v>
      </c>
      <c r="AC443" s="100">
        <f>IF(SamplingData[[#This Row],[Max Error Bound (up)]] = 0,0,SamplingData[[#This Row],[Max Error Bound (up)]]/SamplingData[[#Totals],[Max Error Bound (up)]])</f>
        <v>8.0762397027943816E-5</v>
      </c>
      <c r="AD443" s="104">
        <f>SUM($AC$5:AC443)</f>
        <v>9.1274969041081205E-2</v>
      </c>
      <c r="AE443" s="100" t="str" cm="1">
        <f t="array" ref="AE443">IF(SamplingData[[#This Row],[up/U Selection Probability]] = 0, "Zero", TEXT(SamplingData[[#This Row],[Lower Range]], REPT("0",LEN('General Info'!$B$42))) &amp; " - " &amp; TEXT(SamplingData[[#This Row],[Upper Range]], REPT("0",LEN('General Info'!$B$42))))</f>
        <v>09119 - 09126</v>
      </c>
      <c r="AF443" s="100">
        <f>SamplingData[[#This Row],[Upper Range]]-SamplingData[[#This Row],[Span]]</f>
        <v>9119.4206644053265</v>
      </c>
      <c r="AG443" s="100">
        <f>IF(ISNUMBER('General Info'!$B$42), ((SamplingData[[#This Row],[up/U Selection Probability]]) * 'General Info'!$B$44) - 1, 0)</f>
        <v>7.076239702794382</v>
      </c>
      <c r="AH443" s="100">
        <f>IF(ISNUMBER('General Info'!$B$42), (SamplingData[[#This Row],[Running (cumulative) sum]] * ('General Info'!$B$42 -'General Info'!$B$43 + 1)) + 'General Info'!$B$43 - 1, 0)</f>
        <v>9126.4969041081204</v>
      </c>
      <c r="AI443" s="100" t="str">
        <f>IF(ISERROR(MATCH(SamplingData[[#This Row],[Batch by Type (p)]],SelectedPrecincts[Batch Name], 0)), "", INDEX(SelectedPrecincts[Draw], MATCH(SamplingData[[#This Row],[Batch by Type (p)]],SelectedPrecincts[Batch Name], 0)))</f>
        <v/>
      </c>
      <c r="AJ443" s="101">
        <f>IF(COUNTIF(SelectedPrecincts[Batch Name],SamplingData[[#This Row],[Batch by Type (p)]]) &lt;&gt; 0, COUNTIF(SelectedPrecincts[Batch Name],SamplingData[[#This Row],[Batch by Type (p)]]), 0)</f>
        <v>0</v>
      </c>
    </row>
    <row r="444" spans="1:36" ht="15" customHeight="1" x14ac:dyDescent="0.35">
      <c r="A444" s="98" t="s">
        <v>656</v>
      </c>
      <c r="B444" s="98">
        <v>8</v>
      </c>
      <c r="C444" s="98">
        <v>0</v>
      </c>
      <c r="D444" s="93"/>
      <c r="E444" s="93"/>
      <c r="F444" s="93"/>
      <c r="G444" s="97"/>
      <c r="H444" s="97"/>
      <c r="I444" s="93"/>
      <c r="J444" s="93"/>
      <c r="K444" s="93"/>
      <c r="L444" s="93"/>
      <c r="M444" s="93"/>
      <c r="N444" s="98">
        <v>0</v>
      </c>
      <c r="O444" s="98">
        <v>0</v>
      </c>
      <c r="P444" s="99">
        <f>SUM(SamplingData[[#This Row],[Winning Candidate]:[Under Votes]])</f>
        <v>8</v>
      </c>
      <c r="Q444"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444" s="100">
        <f>IF(AND(SamplingData[[#This Row],[Total]]&lt;&gt; 0, NOT(ISBLANK(SamplingData[[#This Row],[Candidate 3]]))),(SamplingData[[#This Row],[Total]]+SamplingData[[#This Row],[Winning Candidate]]-SamplingData[[#This Row],[Candidate 3]])/(SamplingData[[#Totals],[Winning Candidate]]-SamplingData[[#Totals],[Candidate 3]]), 0)</f>
        <v>0</v>
      </c>
      <c r="S444" s="100">
        <f>IF(AND(SamplingData[[#This Row],[Total]]&lt;&gt; 0, NOT(ISBLANK(SamplingData[[#This Row],[Candidate 4]]))),(SamplingData[[#This Row],[Total]]+SamplingData[[#This Row],[Winning Candidate]]-SamplingData[[#This Row],[Candidate 4]])/(SamplingData[[#Totals],[Winning Candidate]]-SamplingData[[#Totals],[Candidate 4]]), 0)</f>
        <v>0</v>
      </c>
      <c r="T444" s="100">
        <f>IF(AND(SamplingData[[#This Row],[Total]]&lt;&gt; 0, NOT(ISBLANK(SamplingData[[#This Row],[Candidate 5]]))),(SamplingData[[#This Row],[Total]]+SamplingData[[#This Row],[Winning Candidate]]-SamplingData[[#This Row],[Candidate 5]])/(SamplingData[[#Totals],[Winning Candidate]]-SamplingData[[#Totals],[Candidate 5]]), 0)</f>
        <v>0</v>
      </c>
      <c r="U444" s="100">
        <f>IF(AND(SamplingData[[#This Row],[Total]]&lt;&gt; 0, NOT(ISBLANK(SamplingData[[#This Row],[Candidate 6]]))),(SamplingData[[#This Row],[Total]]+SamplingData[[#This Row],[Losing Candidate]]-SamplingData[[#This Row],[Candidate 6]])/(SamplingData[[#Totals],[Winning Candidate]]-SamplingData[[#Totals],[Candidate 6]]), 0)</f>
        <v>0</v>
      </c>
      <c r="V444" s="100">
        <f>IF(AND(SamplingData[[#This Row],[Total]]&lt;&gt; 0, NOT(ISBLANK(SamplingData[[#This Row],[Candidate 7]]))),(SamplingData[[#This Row],[Total]]+SamplingData[[#This Row],[Winning Candidate]]-SamplingData[[#This Row],[Candidate 7]])/(SamplingData[[#Totals],[Winning Candidate]]-SamplingData[[#Totals],[Candidate 7]]), 0)</f>
        <v>0</v>
      </c>
      <c r="W444" s="100">
        <f>IF(AND(SamplingData[[#This Row],[Total]]&lt;&gt; 0, NOT(ISBLANK(SamplingData[[#This Row],[Candidate 8]]))),(SamplingData[[#This Row],[Total]]+SamplingData[[#This Row],[Winning Candidate]]-SamplingData[[#This Row],[Candidate 8]])/(SamplingData[[#Totals],[Winning Candidate]]-SamplingData[[#Totals],[Candidate 8]]), 0)</f>
        <v>0</v>
      </c>
      <c r="X4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00">
        <f>MAX(SamplingData[[#This Row],[Error Bound (up) - Max. possible relative overstatement - Losing Candidate]:[Error Bound (up) - Max. possible relative overstatement - Candidate 12]])</f>
        <v>5.0255991456481448E-4</v>
      </c>
      <c r="AC444" s="100">
        <f>IF(SamplingData[[#This Row],[Max Error Bound (up)]] = 0,0,SamplingData[[#This Row],[Max Error Bound (up)]]/SamplingData[[#Totals],[Max Error Bound (up)]])</f>
        <v>2.1536639207451683E-4</v>
      </c>
      <c r="AD444" s="104">
        <f>SUM($AC$5:AC444)</f>
        <v>9.1490335433155726E-2</v>
      </c>
      <c r="AE444" s="100" t="str" cm="1">
        <f t="array" ref="AE444">IF(SamplingData[[#This Row],[up/U Selection Probability]] = 0, "Zero", TEXT(SamplingData[[#This Row],[Lower Range]], REPT("0",LEN('General Info'!$B$42))) &amp; " - " &amp; TEXT(SamplingData[[#This Row],[Upper Range]], REPT("0",LEN('General Info'!$B$42))))</f>
        <v>09127 - 09148</v>
      </c>
      <c r="AF444" s="100">
        <f>SamplingData[[#This Row],[Upper Range]]-SamplingData[[#This Row],[Span]]</f>
        <v>9127.4969041081204</v>
      </c>
      <c r="AG444" s="100">
        <f>IF(ISNUMBER('General Info'!$B$42), ((SamplingData[[#This Row],[up/U Selection Probability]]) * 'General Info'!$B$44) - 1, 0)</f>
        <v>20.536639207451682</v>
      </c>
      <c r="AH444" s="100">
        <f>IF(ISNUMBER('General Info'!$B$42), (SamplingData[[#This Row],[Running (cumulative) sum]] * ('General Info'!$B$42 -'General Info'!$B$43 + 1)) + 'General Info'!$B$43 - 1, 0)</f>
        <v>9148.0335433155724</v>
      </c>
      <c r="AI444" s="100" t="str">
        <f>IF(ISERROR(MATCH(SamplingData[[#This Row],[Batch by Type (p)]],SelectedPrecincts[Batch Name], 0)), "", INDEX(SelectedPrecincts[Draw], MATCH(SamplingData[[#This Row],[Batch by Type (p)]],SelectedPrecincts[Batch Name], 0)))</f>
        <v/>
      </c>
      <c r="AJ444" s="101">
        <f>IF(COUNTIF(SelectedPrecincts[Batch Name],SamplingData[[#This Row],[Batch by Type (p)]]) &lt;&gt; 0, COUNTIF(SelectedPrecincts[Batch Name],SamplingData[[#This Row],[Batch by Type (p)]]), 0)</f>
        <v>0</v>
      </c>
    </row>
    <row r="445" spans="1:36" ht="15" customHeight="1" x14ac:dyDescent="0.35">
      <c r="A445" s="98" t="s">
        <v>657</v>
      </c>
      <c r="B445" s="98">
        <v>12</v>
      </c>
      <c r="C445" s="98">
        <v>0</v>
      </c>
      <c r="D445" s="93"/>
      <c r="E445" s="93"/>
      <c r="F445" s="93"/>
      <c r="G445" s="97"/>
      <c r="H445" s="97"/>
      <c r="I445" s="93"/>
      <c r="J445" s="93"/>
      <c r="K445" s="93"/>
      <c r="L445" s="93"/>
      <c r="M445" s="93"/>
      <c r="N445" s="98">
        <v>0</v>
      </c>
      <c r="O445" s="98">
        <v>2</v>
      </c>
      <c r="P445" s="99">
        <f>SUM(SamplingData[[#This Row],[Winning Candidate]:[Under Votes]])</f>
        <v>14</v>
      </c>
      <c r="Q445"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445" s="100">
        <f>IF(AND(SamplingData[[#This Row],[Total]]&lt;&gt; 0, NOT(ISBLANK(SamplingData[[#This Row],[Candidate 3]]))),(SamplingData[[#This Row],[Total]]+SamplingData[[#This Row],[Winning Candidate]]-SamplingData[[#This Row],[Candidate 3]])/(SamplingData[[#Totals],[Winning Candidate]]-SamplingData[[#Totals],[Candidate 3]]), 0)</f>
        <v>0</v>
      </c>
      <c r="S445" s="100">
        <f>IF(AND(SamplingData[[#This Row],[Total]]&lt;&gt; 0, NOT(ISBLANK(SamplingData[[#This Row],[Candidate 4]]))),(SamplingData[[#This Row],[Total]]+SamplingData[[#This Row],[Winning Candidate]]-SamplingData[[#This Row],[Candidate 4]])/(SamplingData[[#Totals],[Winning Candidate]]-SamplingData[[#Totals],[Candidate 4]]), 0)</f>
        <v>0</v>
      </c>
      <c r="T445" s="100">
        <f>IF(AND(SamplingData[[#This Row],[Total]]&lt;&gt; 0, NOT(ISBLANK(SamplingData[[#This Row],[Candidate 5]]))),(SamplingData[[#This Row],[Total]]+SamplingData[[#This Row],[Winning Candidate]]-SamplingData[[#This Row],[Candidate 5]])/(SamplingData[[#Totals],[Winning Candidate]]-SamplingData[[#Totals],[Candidate 5]]), 0)</f>
        <v>0</v>
      </c>
      <c r="U445" s="100">
        <f>IF(AND(SamplingData[[#This Row],[Total]]&lt;&gt; 0, NOT(ISBLANK(SamplingData[[#This Row],[Candidate 6]]))),(SamplingData[[#This Row],[Total]]+SamplingData[[#This Row],[Losing Candidate]]-SamplingData[[#This Row],[Candidate 6]])/(SamplingData[[#Totals],[Winning Candidate]]-SamplingData[[#Totals],[Candidate 6]]), 0)</f>
        <v>0</v>
      </c>
      <c r="V445" s="100">
        <f>IF(AND(SamplingData[[#This Row],[Total]]&lt;&gt; 0, NOT(ISBLANK(SamplingData[[#This Row],[Candidate 7]]))),(SamplingData[[#This Row],[Total]]+SamplingData[[#This Row],[Winning Candidate]]-SamplingData[[#This Row],[Candidate 7]])/(SamplingData[[#Totals],[Winning Candidate]]-SamplingData[[#Totals],[Candidate 7]]), 0)</f>
        <v>0</v>
      </c>
      <c r="W445" s="100">
        <f>IF(AND(SamplingData[[#This Row],[Total]]&lt;&gt; 0, NOT(ISBLANK(SamplingData[[#This Row],[Candidate 8]]))),(SamplingData[[#This Row],[Total]]+SamplingData[[#This Row],[Winning Candidate]]-SamplingData[[#This Row],[Candidate 8]])/(SamplingData[[#Totals],[Winning Candidate]]-SamplingData[[#Totals],[Candidate 8]]), 0)</f>
        <v>0</v>
      </c>
      <c r="X4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00">
        <f>MAX(SamplingData[[#This Row],[Error Bound (up) - Max. possible relative overstatement - Losing Candidate]:[Error Bound (up) - Max. possible relative overstatement - Candidate 12]])</f>
        <v>8.1665986116782364E-4</v>
      </c>
      <c r="AC445" s="100">
        <f>IF(SamplingData[[#This Row],[Max Error Bound (up)]] = 0,0,SamplingData[[#This Row],[Max Error Bound (up)]]/SamplingData[[#Totals],[Max Error Bound (up)]])</f>
        <v>3.4997038712108992E-4</v>
      </c>
      <c r="AD445" s="104">
        <f>SUM($AC$5:AC445)</f>
        <v>9.1840305820276816E-2</v>
      </c>
      <c r="AE445" s="100" t="str" cm="1">
        <f t="array" ref="AE445">IF(SamplingData[[#This Row],[up/U Selection Probability]] = 0, "Zero", TEXT(SamplingData[[#This Row],[Lower Range]], REPT("0",LEN('General Info'!$B$42))) &amp; " - " &amp; TEXT(SamplingData[[#This Row],[Upper Range]], REPT("0",LEN('General Info'!$B$42))))</f>
        <v>09149 - 09183</v>
      </c>
      <c r="AF445" s="100">
        <f>SamplingData[[#This Row],[Upper Range]]-SamplingData[[#This Row],[Span]]</f>
        <v>9149.0335433155724</v>
      </c>
      <c r="AG445" s="100">
        <f>IF(ISNUMBER('General Info'!$B$42), ((SamplingData[[#This Row],[up/U Selection Probability]]) * 'General Info'!$B$44) - 1, 0)</f>
        <v>33.997038712108989</v>
      </c>
      <c r="AH445" s="100">
        <f>IF(ISNUMBER('General Info'!$B$42), (SamplingData[[#This Row],[Running (cumulative) sum]] * ('General Info'!$B$42 -'General Info'!$B$43 + 1)) + 'General Info'!$B$43 - 1, 0)</f>
        <v>9183.0305820276808</v>
      </c>
      <c r="AI445" s="100" t="str">
        <f>IF(ISERROR(MATCH(SamplingData[[#This Row],[Batch by Type (p)]],SelectedPrecincts[Batch Name], 0)), "", INDEX(SelectedPrecincts[Draw], MATCH(SamplingData[[#This Row],[Batch by Type (p)]],SelectedPrecincts[Batch Name], 0)))</f>
        <v/>
      </c>
      <c r="AJ445" s="101">
        <f>IF(COUNTIF(SelectedPrecincts[Batch Name],SamplingData[[#This Row],[Batch by Type (p)]]) &lt;&gt; 0, COUNTIF(SelectedPrecincts[Batch Name],SamplingData[[#This Row],[Batch by Type (p)]]), 0)</f>
        <v>0</v>
      </c>
    </row>
    <row r="446" spans="1:36" ht="15" customHeight="1" x14ac:dyDescent="0.35">
      <c r="A446" s="98" t="s">
        <v>658</v>
      </c>
      <c r="B446" s="98">
        <v>6</v>
      </c>
      <c r="C446" s="98">
        <v>0</v>
      </c>
      <c r="D446" s="93"/>
      <c r="E446" s="93"/>
      <c r="F446" s="93"/>
      <c r="G446" s="97"/>
      <c r="H446" s="97"/>
      <c r="I446" s="93"/>
      <c r="J446" s="93"/>
      <c r="K446" s="93"/>
      <c r="L446" s="93"/>
      <c r="M446" s="93"/>
      <c r="N446" s="98">
        <v>0</v>
      </c>
      <c r="O446" s="98">
        <v>0</v>
      </c>
      <c r="P446" s="99">
        <f>SUM(SamplingData[[#This Row],[Winning Candidate]:[Under Votes]])</f>
        <v>6</v>
      </c>
      <c r="Q44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446" s="100">
        <f>IF(AND(SamplingData[[#This Row],[Total]]&lt;&gt; 0, NOT(ISBLANK(SamplingData[[#This Row],[Candidate 3]]))),(SamplingData[[#This Row],[Total]]+SamplingData[[#This Row],[Winning Candidate]]-SamplingData[[#This Row],[Candidate 3]])/(SamplingData[[#Totals],[Winning Candidate]]-SamplingData[[#Totals],[Candidate 3]]), 0)</f>
        <v>0</v>
      </c>
      <c r="S446" s="100">
        <f>IF(AND(SamplingData[[#This Row],[Total]]&lt;&gt; 0, NOT(ISBLANK(SamplingData[[#This Row],[Candidate 4]]))),(SamplingData[[#This Row],[Total]]+SamplingData[[#This Row],[Winning Candidate]]-SamplingData[[#This Row],[Candidate 4]])/(SamplingData[[#Totals],[Winning Candidate]]-SamplingData[[#Totals],[Candidate 4]]), 0)</f>
        <v>0</v>
      </c>
      <c r="T446" s="100">
        <f>IF(AND(SamplingData[[#This Row],[Total]]&lt;&gt; 0, NOT(ISBLANK(SamplingData[[#This Row],[Candidate 5]]))),(SamplingData[[#This Row],[Total]]+SamplingData[[#This Row],[Winning Candidate]]-SamplingData[[#This Row],[Candidate 5]])/(SamplingData[[#Totals],[Winning Candidate]]-SamplingData[[#Totals],[Candidate 5]]), 0)</f>
        <v>0</v>
      </c>
      <c r="U446" s="100">
        <f>IF(AND(SamplingData[[#This Row],[Total]]&lt;&gt; 0, NOT(ISBLANK(SamplingData[[#This Row],[Candidate 6]]))),(SamplingData[[#This Row],[Total]]+SamplingData[[#This Row],[Losing Candidate]]-SamplingData[[#This Row],[Candidate 6]])/(SamplingData[[#Totals],[Winning Candidate]]-SamplingData[[#Totals],[Candidate 6]]), 0)</f>
        <v>0</v>
      </c>
      <c r="V446" s="100">
        <f>IF(AND(SamplingData[[#This Row],[Total]]&lt;&gt; 0, NOT(ISBLANK(SamplingData[[#This Row],[Candidate 7]]))),(SamplingData[[#This Row],[Total]]+SamplingData[[#This Row],[Winning Candidate]]-SamplingData[[#This Row],[Candidate 7]])/(SamplingData[[#Totals],[Winning Candidate]]-SamplingData[[#Totals],[Candidate 7]]), 0)</f>
        <v>0</v>
      </c>
      <c r="W446" s="100">
        <f>IF(AND(SamplingData[[#This Row],[Total]]&lt;&gt; 0, NOT(ISBLANK(SamplingData[[#This Row],[Candidate 8]]))),(SamplingData[[#This Row],[Total]]+SamplingData[[#This Row],[Winning Candidate]]-SamplingData[[#This Row],[Candidate 8]])/(SamplingData[[#Totals],[Winning Candidate]]-SamplingData[[#Totals],[Candidate 8]]), 0)</f>
        <v>0</v>
      </c>
      <c r="X4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00">
        <f>MAX(SamplingData[[#This Row],[Error Bound (up) - Max. possible relative overstatement - Losing Candidate]:[Error Bound (up) - Max. possible relative overstatement - Candidate 12]])</f>
        <v>3.7691993592361088E-4</v>
      </c>
      <c r="AC446" s="100">
        <f>IF(SamplingData[[#This Row],[Max Error Bound (up)]] = 0,0,SamplingData[[#This Row],[Max Error Bound (up)]]/SamplingData[[#Totals],[Max Error Bound (up)]])</f>
        <v>1.6152479405588763E-4</v>
      </c>
      <c r="AD446" s="104">
        <f>SUM($AC$5:AC446)</f>
        <v>9.2001830614332702E-2</v>
      </c>
      <c r="AE446" s="100" t="str" cm="1">
        <f t="array" ref="AE446">IF(SamplingData[[#This Row],[up/U Selection Probability]] = 0, "Zero", TEXT(SamplingData[[#This Row],[Lower Range]], REPT("0",LEN('General Info'!$B$42))) &amp; " - " &amp; TEXT(SamplingData[[#This Row],[Upper Range]], REPT("0",LEN('General Info'!$B$42))))</f>
        <v>09184 - 09199</v>
      </c>
      <c r="AF446" s="100">
        <f>SamplingData[[#This Row],[Upper Range]]-SamplingData[[#This Row],[Span]]</f>
        <v>9184.0305820276808</v>
      </c>
      <c r="AG446" s="100">
        <f>IF(ISNUMBER('General Info'!$B$42), ((SamplingData[[#This Row],[up/U Selection Probability]]) * 'General Info'!$B$44) - 1, 0)</f>
        <v>15.152479405588764</v>
      </c>
      <c r="AH446" s="100">
        <f>IF(ISNUMBER('General Info'!$B$42), (SamplingData[[#This Row],[Running (cumulative) sum]] * ('General Info'!$B$42 -'General Info'!$B$43 + 1)) + 'General Info'!$B$43 - 1, 0)</f>
        <v>9199.1830614332703</v>
      </c>
      <c r="AI446" s="100" t="str">
        <f>IF(ISERROR(MATCH(SamplingData[[#This Row],[Batch by Type (p)]],SelectedPrecincts[Batch Name], 0)), "", INDEX(SelectedPrecincts[Draw], MATCH(SamplingData[[#This Row],[Batch by Type (p)]],SelectedPrecincts[Batch Name], 0)))</f>
        <v/>
      </c>
      <c r="AJ446" s="101">
        <f>IF(COUNTIF(SelectedPrecincts[Batch Name],SamplingData[[#This Row],[Batch by Type (p)]]) &lt;&gt; 0, COUNTIF(SelectedPrecincts[Batch Name],SamplingData[[#This Row],[Batch by Type (p)]]), 0)</f>
        <v>0</v>
      </c>
    </row>
    <row r="447" spans="1:36" ht="15" customHeight="1" x14ac:dyDescent="0.35">
      <c r="A447" s="98" t="s">
        <v>659</v>
      </c>
      <c r="B447" s="98">
        <v>13</v>
      </c>
      <c r="C447" s="98">
        <v>0</v>
      </c>
      <c r="D447" s="93"/>
      <c r="E447" s="93"/>
      <c r="F447" s="93"/>
      <c r="G447" s="97"/>
      <c r="H447" s="97"/>
      <c r="I447" s="93"/>
      <c r="J447" s="93"/>
      <c r="K447" s="93"/>
      <c r="L447" s="93"/>
      <c r="M447" s="93"/>
      <c r="N447" s="98">
        <v>0</v>
      </c>
      <c r="O447" s="98">
        <v>0</v>
      </c>
      <c r="P447" s="99">
        <f>SUM(SamplingData[[#This Row],[Winning Candidate]:[Under Votes]])</f>
        <v>13</v>
      </c>
      <c r="Q447"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447" s="100">
        <f>IF(AND(SamplingData[[#This Row],[Total]]&lt;&gt; 0, NOT(ISBLANK(SamplingData[[#This Row],[Candidate 3]]))),(SamplingData[[#This Row],[Total]]+SamplingData[[#This Row],[Winning Candidate]]-SamplingData[[#This Row],[Candidate 3]])/(SamplingData[[#Totals],[Winning Candidate]]-SamplingData[[#Totals],[Candidate 3]]), 0)</f>
        <v>0</v>
      </c>
      <c r="S447" s="100">
        <f>IF(AND(SamplingData[[#This Row],[Total]]&lt;&gt; 0, NOT(ISBLANK(SamplingData[[#This Row],[Candidate 4]]))),(SamplingData[[#This Row],[Total]]+SamplingData[[#This Row],[Winning Candidate]]-SamplingData[[#This Row],[Candidate 4]])/(SamplingData[[#Totals],[Winning Candidate]]-SamplingData[[#Totals],[Candidate 4]]), 0)</f>
        <v>0</v>
      </c>
      <c r="T447" s="100">
        <f>IF(AND(SamplingData[[#This Row],[Total]]&lt;&gt; 0, NOT(ISBLANK(SamplingData[[#This Row],[Candidate 5]]))),(SamplingData[[#This Row],[Total]]+SamplingData[[#This Row],[Winning Candidate]]-SamplingData[[#This Row],[Candidate 5]])/(SamplingData[[#Totals],[Winning Candidate]]-SamplingData[[#Totals],[Candidate 5]]), 0)</f>
        <v>0</v>
      </c>
      <c r="U447" s="100">
        <f>IF(AND(SamplingData[[#This Row],[Total]]&lt;&gt; 0, NOT(ISBLANK(SamplingData[[#This Row],[Candidate 6]]))),(SamplingData[[#This Row],[Total]]+SamplingData[[#This Row],[Losing Candidate]]-SamplingData[[#This Row],[Candidate 6]])/(SamplingData[[#Totals],[Winning Candidate]]-SamplingData[[#Totals],[Candidate 6]]), 0)</f>
        <v>0</v>
      </c>
      <c r="V447" s="100">
        <f>IF(AND(SamplingData[[#This Row],[Total]]&lt;&gt; 0, NOT(ISBLANK(SamplingData[[#This Row],[Candidate 7]]))),(SamplingData[[#This Row],[Total]]+SamplingData[[#This Row],[Winning Candidate]]-SamplingData[[#This Row],[Candidate 7]])/(SamplingData[[#Totals],[Winning Candidate]]-SamplingData[[#Totals],[Candidate 7]]), 0)</f>
        <v>0</v>
      </c>
      <c r="W447" s="100">
        <f>IF(AND(SamplingData[[#This Row],[Total]]&lt;&gt; 0, NOT(ISBLANK(SamplingData[[#This Row],[Candidate 8]]))),(SamplingData[[#This Row],[Total]]+SamplingData[[#This Row],[Winning Candidate]]-SamplingData[[#This Row],[Candidate 8]])/(SamplingData[[#Totals],[Winning Candidate]]-SamplingData[[#Totals],[Candidate 8]]), 0)</f>
        <v>0</v>
      </c>
      <c r="X4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00">
        <f>MAX(SamplingData[[#This Row],[Error Bound (up) - Max. possible relative overstatement - Losing Candidate]:[Error Bound (up) - Max. possible relative overstatement - Candidate 12]])</f>
        <v>8.1665986116782364E-4</v>
      </c>
      <c r="AC447" s="100">
        <f>IF(SamplingData[[#This Row],[Max Error Bound (up)]] = 0,0,SamplingData[[#This Row],[Max Error Bound (up)]]/SamplingData[[#Totals],[Max Error Bound (up)]])</f>
        <v>3.4997038712108992E-4</v>
      </c>
      <c r="AD447" s="104">
        <f>SUM($AC$5:AC447)</f>
        <v>9.2351801001453793E-2</v>
      </c>
      <c r="AE447" s="100" t="str" cm="1">
        <f t="array" ref="AE447">IF(SamplingData[[#This Row],[up/U Selection Probability]] = 0, "Zero", TEXT(SamplingData[[#This Row],[Lower Range]], REPT("0",LEN('General Info'!$B$42))) &amp; " - " &amp; TEXT(SamplingData[[#This Row],[Upper Range]], REPT("0",LEN('General Info'!$B$42))))</f>
        <v>09200 - 09234</v>
      </c>
      <c r="AF447" s="100">
        <f>SamplingData[[#This Row],[Upper Range]]-SamplingData[[#This Row],[Span]]</f>
        <v>9200.1830614332703</v>
      </c>
      <c r="AG447" s="100">
        <f>IF(ISNUMBER('General Info'!$B$42), ((SamplingData[[#This Row],[up/U Selection Probability]]) * 'General Info'!$B$44) - 1, 0)</f>
        <v>33.997038712108989</v>
      </c>
      <c r="AH447" s="100">
        <f>IF(ISNUMBER('General Info'!$B$42), (SamplingData[[#This Row],[Running (cumulative) sum]] * ('General Info'!$B$42 -'General Info'!$B$43 + 1)) + 'General Info'!$B$43 - 1, 0)</f>
        <v>9234.1801001453787</v>
      </c>
      <c r="AI447" s="100" t="str">
        <f>IF(ISERROR(MATCH(SamplingData[[#This Row],[Batch by Type (p)]],SelectedPrecincts[Batch Name], 0)), "", INDEX(SelectedPrecincts[Draw], MATCH(SamplingData[[#This Row],[Batch by Type (p)]],SelectedPrecincts[Batch Name], 0)))</f>
        <v/>
      </c>
      <c r="AJ447" s="101">
        <f>IF(COUNTIF(SelectedPrecincts[Batch Name],SamplingData[[#This Row],[Batch by Type (p)]]) &lt;&gt; 0, COUNTIF(SelectedPrecincts[Batch Name],SamplingData[[#This Row],[Batch by Type (p)]]), 0)</f>
        <v>0</v>
      </c>
    </row>
    <row r="448" spans="1:36" ht="15" customHeight="1" x14ac:dyDescent="0.35">
      <c r="A448" s="98" t="s">
        <v>660</v>
      </c>
      <c r="B448" s="98">
        <v>5</v>
      </c>
      <c r="C448" s="98">
        <v>1</v>
      </c>
      <c r="D448" s="93"/>
      <c r="E448" s="93"/>
      <c r="F448" s="93"/>
      <c r="G448" s="97"/>
      <c r="H448" s="97"/>
      <c r="I448" s="93"/>
      <c r="J448" s="93"/>
      <c r="K448" s="93"/>
      <c r="L448" s="93"/>
      <c r="M448" s="93"/>
      <c r="N448" s="98">
        <v>0</v>
      </c>
      <c r="O448" s="98">
        <v>0</v>
      </c>
      <c r="P448" s="99">
        <f>SUM(SamplingData[[#This Row],[Winning Candidate]:[Under Votes]])</f>
        <v>6</v>
      </c>
      <c r="Q448"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448" s="100">
        <f>IF(AND(SamplingData[[#This Row],[Total]]&lt;&gt; 0, NOT(ISBLANK(SamplingData[[#This Row],[Candidate 3]]))),(SamplingData[[#This Row],[Total]]+SamplingData[[#This Row],[Winning Candidate]]-SamplingData[[#This Row],[Candidate 3]])/(SamplingData[[#Totals],[Winning Candidate]]-SamplingData[[#Totals],[Candidate 3]]), 0)</f>
        <v>0</v>
      </c>
      <c r="S448" s="100">
        <f>IF(AND(SamplingData[[#This Row],[Total]]&lt;&gt; 0, NOT(ISBLANK(SamplingData[[#This Row],[Candidate 4]]))),(SamplingData[[#This Row],[Total]]+SamplingData[[#This Row],[Winning Candidate]]-SamplingData[[#This Row],[Candidate 4]])/(SamplingData[[#Totals],[Winning Candidate]]-SamplingData[[#Totals],[Candidate 4]]), 0)</f>
        <v>0</v>
      </c>
      <c r="T448" s="100">
        <f>IF(AND(SamplingData[[#This Row],[Total]]&lt;&gt; 0, NOT(ISBLANK(SamplingData[[#This Row],[Candidate 5]]))),(SamplingData[[#This Row],[Total]]+SamplingData[[#This Row],[Winning Candidate]]-SamplingData[[#This Row],[Candidate 5]])/(SamplingData[[#Totals],[Winning Candidate]]-SamplingData[[#Totals],[Candidate 5]]), 0)</f>
        <v>0</v>
      </c>
      <c r="U448" s="100">
        <f>IF(AND(SamplingData[[#This Row],[Total]]&lt;&gt; 0, NOT(ISBLANK(SamplingData[[#This Row],[Candidate 6]]))),(SamplingData[[#This Row],[Total]]+SamplingData[[#This Row],[Losing Candidate]]-SamplingData[[#This Row],[Candidate 6]])/(SamplingData[[#Totals],[Winning Candidate]]-SamplingData[[#Totals],[Candidate 6]]), 0)</f>
        <v>0</v>
      </c>
      <c r="V448" s="100">
        <f>IF(AND(SamplingData[[#This Row],[Total]]&lt;&gt; 0, NOT(ISBLANK(SamplingData[[#This Row],[Candidate 7]]))),(SamplingData[[#This Row],[Total]]+SamplingData[[#This Row],[Winning Candidate]]-SamplingData[[#This Row],[Candidate 7]])/(SamplingData[[#Totals],[Winning Candidate]]-SamplingData[[#Totals],[Candidate 7]]), 0)</f>
        <v>0</v>
      </c>
      <c r="W448" s="100">
        <f>IF(AND(SamplingData[[#This Row],[Total]]&lt;&gt; 0, NOT(ISBLANK(SamplingData[[#This Row],[Candidate 8]]))),(SamplingData[[#This Row],[Total]]+SamplingData[[#This Row],[Winning Candidate]]-SamplingData[[#This Row],[Candidate 8]])/(SamplingData[[#Totals],[Winning Candidate]]-SamplingData[[#Totals],[Candidate 8]]), 0)</f>
        <v>0</v>
      </c>
      <c r="X4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00">
        <f>MAX(SamplingData[[#This Row],[Error Bound (up) - Max. possible relative overstatement - Losing Candidate]:[Error Bound (up) - Max. possible relative overstatement - Candidate 12]])</f>
        <v>3.1409994660300906E-4</v>
      </c>
      <c r="AC448" s="100">
        <f>IF(SamplingData[[#This Row],[Max Error Bound (up)]] = 0,0,SamplingData[[#This Row],[Max Error Bound (up)]]/SamplingData[[#Totals],[Max Error Bound (up)]])</f>
        <v>1.3460399504657304E-4</v>
      </c>
      <c r="AD448" s="104">
        <f>SUM($AC$5:AC448)</f>
        <v>9.2486404996500363E-2</v>
      </c>
      <c r="AE448" s="100" t="str" cm="1">
        <f t="array" ref="AE448">IF(SamplingData[[#This Row],[up/U Selection Probability]] = 0, "Zero", TEXT(SamplingData[[#This Row],[Lower Range]], REPT("0",LEN('General Info'!$B$42))) &amp; " - " &amp; TEXT(SamplingData[[#This Row],[Upper Range]], REPT("0",LEN('General Info'!$B$42))))</f>
        <v>09235 - 09248</v>
      </c>
      <c r="AF448" s="100">
        <f>SamplingData[[#This Row],[Upper Range]]-SamplingData[[#This Row],[Span]]</f>
        <v>9235.1801001453787</v>
      </c>
      <c r="AG448" s="100">
        <f>IF(ISNUMBER('General Info'!$B$42), ((SamplingData[[#This Row],[up/U Selection Probability]]) * 'General Info'!$B$44) - 1, 0)</f>
        <v>12.460399504657303</v>
      </c>
      <c r="AH448" s="100">
        <f>IF(ISNUMBER('General Info'!$B$42), (SamplingData[[#This Row],[Running (cumulative) sum]] * ('General Info'!$B$42 -'General Info'!$B$43 + 1)) + 'General Info'!$B$43 - 1, 0)</f>
        <v>9247.6404996500369</v>
      </c>
      <c r="AI448" s="100" t="str">
        <f>IF(ISERROR(MATCH(SamplingData[[#This Row],[Batch by Type (p)]],SelectedPrecincts[Batch Name], 0)), "", INDEX(SelectedPrecincts[Draw], MATCH(SamplingData[[#This Row],[Batch by Type (p)]],SelectedPrecincts[Batch Name], 0)))</f>
        <v/>
      </c>
      <c r="AJ448" s="101">
        <f>IF(COUNTIF(SelectedPrecincts[Batch Name],SamplingData[[#This Row],[Batch by Type (p)]]) &lt;&gt; 0, COUNTIF(SelectedPrecincts[Batch Name],SamplingData[[#This Row],[Batch by Type (p)]]), 0)</f>
        <v>0</v>
      </c>
    </row>
    <row r="449" spans="1:36" ht="15" customHeight="1" x14ac:dyDescent="0.35">
      <c r="A449" s="98" t="s">
        <v>661</v>
      </c>
      <c r="B449" s="98">
        <v>3</v>
      </c>
      <c r="C449" s="98">
        <v>1</v>
      </c>
      <c r="D449" s="93"/>
      <c r="E449" s="93"/>
      <c r="F449" s="93"/>
      <c r="G449" s="97"/>
      <c r="H449" s="97"/>
      <c r="I449" s="93"/>
      <c r="J449" s="93"/>
      <c r="K449" s="93"/>
      <c r="L449" s="93"/>
      <c r="M449" s="93"/>
      <c r="N449" s="98">
        <v>0</v>
      </c>
      <c r="O449" s="98">
        <v>0</v>
      </c>
      <c r="P449" s="99">
        <f>SUM(SamplingData[[#This Row],[Winning Candidate]:[Under Votes]])</f>
        <v>4</v>
      </c>
      <c r="Q44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49" s="100">
        <f>IF(AND(SamplingData[[#This Row],[Total]]&lt;&gt; 0, NOT(ISBLANK(SamplingData[[#This Row],[Candidate 3]]))),(SamplingData[[#This Row],[Total]]+SamplingData[[#This Row],[Winning Candidate]]-SamplingData[[#This Row],[Candidate 3]])/(SamplingData[[#Totals],[Winning Candidate]]-SamplingData[[#Totals],[Candidate 3]]), 0)</f>
        <v>0</v>
      </c>
      <c r="S449" s="100">
        <f>IF(AND(SamplingData[[#This Row],[Total]]&lt;&gt; 0, NOT(ISBLANK(SamplingData[[#This Row],[Candidate 4]]))),(SamplingData[[#This Row],[Total]]+SamplingData[[#This Row],[Winning Candidate]]-SamplingData[[#This Row],[Candidate 4]])/(SamplingData[[#Totals],[Winning Candidate]]-SamplingData[[#Totals],[Candidate 4]]), 0)</f>
        <v>0</v>
      </c>
      <c r="T449" s="100">
        <f>IF(AND(SamplingData[[#This Row],[Total]]&lt;&gt; 0, NOT(ISBLANK(SamplingData[[#This Row],[Candidate 5]]))),(SamplingData[[#This Row],[Total]]+SamplingData[[#This Row],[Winning Candidate]]-SamplingData[[#This Row],[Candidate 5]])/(SamplingData[[#Totals],[Winning Candidate]]-SamplingData[[#Totals],[Candidate 5]]), 0)</f>
        <v>0</v>
      </c>
      <c r="U449" s="100">
        <f>IF(AND(SamplingData[[#This Row],[Total]]&lt;&gt; 0, NOT(ISBLANK(SamplingData[[#This Row],[Candidate 6]]))),(SamplingData[[#This Row],[Total]]+SamplingData[[#This Row],[Losing Candidate]]-SamplingData[[#This Row],[Candidate 6]])/(SamplingData[[#Totals],[Winning Candidate]]-SamplingData[[#Totals],[Candidate 6]]), 0)</f>
        <v>0</v>
      </c>
      <c r="V449" s="100">
        <f>IF(AND(SamplingData[[#This Row],[Total]]&lt;&gt; 0, NOT(ISBLANK(SamplingData[[#This Row],[Candidate 7]]))),(SamplingData[[#This Row],[Total]]+SamplingData[[#This Row],[Winning Candidate]]-SamplingData[[#This Row],[Candidate 7]])/(SamplingData[[#Totals],[Winning Candidate]]-SamplingData[[#Totals],[Candidate 7]]), 0)</f>
        <v>0</v>
      </c>
      <c r="W449" s="100">
        <f>IF(AND(SamplingData[[#This Row],[Total]]&lt;&gt; 0, NOT(ISBLANK(SamplingData[[#This Row],[Candidate 8]]))),(SamplingData[[#This Row],[Total]]+SamplingData[[#This Row],[Winning Candidate]]-SamplingData[[#This Row],[Candidate 8]])/(SamplingData[[#Totals],[Winning Candidate]]-SamplingData[[#Totals],[Candidate 8]]), 0)</f>
        <v>0</v>
      </c>
      <c r="X4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00">
        <f>MAX(SamplingData[[#This Row],[Error Bound (up) - Max. possible relative overstatement - Losing Candidate]:[Error Bound (up) - Max. possible relative overstatement - Candidate 12]])</f>
        <v>1.8845996796180544E-4</v>
      </c>
      <c r="AC449" s="100">
        <f>IF(SamplingData[[#This Row],[Max Error Bound (up)]] = 0,0,SamplingData[[#This Row],[Max Error Bound (up)]]/SamplingData[[#Totals],[Max Error Bound (up)]])</f>
        <v>8.0762397027943816E-5</v>
      </c>
      <c r="AD449" s="104">
        <f>SUM($AC$5:AC449)</f>
        <v>9.2567167393528313E-2</v>
      </c>
      <c r="AE449" s="100" t="str" cm="1">
        <f t="array" ref="AE449">IF(SamplingData[[#This Row],[up/U Selection Probability]] = 0, "Zero", TEXT(SamplingData[[#This Row],[Lower Range]], REPT("0",LEN('General Info'!$B$42))) &amp; " - " &amp; TEXT(SamplingData[[#This Row],[Upper Range]], REPT("0",LEN('General Info'!$B$42))))</f>
        <v>09249 - 09256</v>
      </c>
      <c r="AF449" s="100">
        <f>SamplingData[[#This Row],[Upper Range]]-SamplingData[[#This Row],[Span]]</f>
        <v>9248.6404996500369</v>
      </c>
      <c r="AG449" s="100">
        <f>IF(ISNUMBER('General Info'!$B$42), ((SamplingData[[#This Row],[up/U Selection Probability]]) * 'General Info'!$B$44) - 1, 0)</f>
        <v>7.076239702794382</v>
      </c>
      <c r="AH449" s="100">
        <f>IF(ISNUMBER('General Info'!$B$42), (SamplingData[[#This Row],[Running (cumulative) sum]] * ('General Info'!$B$42 -'General Info'!$B$43 + 1)) + 'General Info'!$B$43 - 1, 0)</f>
        <v>9255.7167393528307</v>
      </c>
      <c r="AI449" s="100" t="str">
        <f>IF(ISERROR(MATCH(SamplingData[[#This Row],[Batch by Type (p)]],SelectedPrecincts[Batch Name], 0)), "", INDEX(SelectedPrecincts[Draw], MATCH(SamplingData[[#This Row],[Batch by Type (p)]],SelectedPrecincts[Batch Name], 0)))</f>
        <v/>
      </c>
      <c r="AJ449" s="101">
        <f>IF(COUNTIF(SelectedPrecincts[Batch Name],SamplingData[[#This Row],[Batch by Type (p)]]) &lt;&gt; 0, COUNTIF(SelectedPrecincts[Batch Name],SamplingData[[#This Row],[Batch by Type (p)]]), 0)</f>
        <v>0</v>
      </c>
    </row>
    <row r="450" spans="1:36" ht="15" customHeight="1" x14ac:dyDescent="0.35">
      <c r="A450" s="98" t="s">
        <v>662</v>
      </c>
      <c r="B450" s="98">
        <v>7</v>
      </c>
      <c r="C450" s="98">
        <v>1</v>
      </c>
      <c r="D450" s="93"/>
      <c r="E450" s="93"/>
      <c r="F450" s="93"/>
      <c r="G450" s="97"/>
      <c r="H450" s="97"/>
      <c r="I450" s="93"/>
      <c r="J450" s="93"/>
      <c r="K450" s="93"/>
      <c r="L450" s="93"/>
      <c r="M450" s="93"/>
      <c r="N450" s="98">
        <v>0</v>
      </c>
      <c r="O450" s="98">
        <v>0</v>
      </c>
      <c r="P450" s="99">
        <f>SUM(SamplingData[[#This Row],[Winning Candidate]:[Under Votes]])</f>
        <v>8</v>
      </c>
      <c r="Q450"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450" s="100">
        <f>IF(AND(SamplingData[[#This Row],[Total]]&lt;&gt; 0, NOT(ISBLANK(SamplingData[[#This Row],[Candidate 3]]))),(SamplingData[[#This Row],[Total]]+SamplingData[[#This Row],[Winning Candidate]]-SamplingData[[#This Row],[Candidate 3]])/(SamplingData[[#Totals],[Winning Candidate]]-SamplingData[[#Totals],[Candidate 3]]), 0)</f>
        <v>0</v>
      </c>
      <c r="S450" s="100">
        <f>IF(AND(SamplingData[[#This Row],[Total]]&lt;&gt; 0, NOT(ISBLANK(SamplingData[[#This Row],[Candidate 4]]))),(SamplingData[[#This Row],[Total]]+SamplingData[[#This Row],[Winning Candidate]]-SamplingData[[#This Row],[Candidate 4]])/(SamplingData[[#Totals],[Winning Candidate]]-SamplingData[[#Totals],[Candidate 4]]), 0)</f>
        <v>0</v>
      </c>
      <c r="T450" s="100">
        <f>IF(AND(SamplingData[[#This Row],[Total]]&lt;&gt; 0, NOT(ISBLANK(SamplingData[[#This Row],[Candidate 5]]))),(SamplingData[[#This Row],[Total]]+SamplingData[[#This Row],[Winning Candidate]]-SamplingData[[#This Row],[Candidate 5]])/(SamplingData[[#Totals],[Winning Candidate]]-SamplingData[[#Totals],[Candidate 5]]), 0)</f>
        <v>0</v>
      </c>
      <c r="U450" s="100">
        <f>IF(AND(SamplingData[[#This Row],[Total]]&lt;&gt; 0, NOT(ISBLANK(SamplingData[[#This Row],[Candidate 6]]))),(SamplingData[[#This Row],[Total]]+SamplingData[[#This Row],[Losing Candidate]]-SamplingData[[#This Row],[Candidate 6]])/(SamplingData[[#Totals],[Winning Candidate]]-SamplingData[[#Totals],[Candidate 6]]), 0)</f>
        <v>0</v>
      </c>
      <c r="V450" s="100">
        <f>IF(AND(SamplingData[[#This Row],[Total]]&lt;&gt; 0, NOT(ISBLANK(SamplingData[[#This Row],[Candidate 7]]))),(SamplingData[[#This Row],[Total]]+SamplingData[[#This Row],[Winning Candidate]]-SamplingData[[#This Row],[Candidate 7]])/(SamplingData[[#Totals],[Winning Candidate]]-SamplingData[[#Totals],[Candidate 7]]), 0)</f>
        <v>0</v>
      </c>
      <c r="W450" s="100">
        <f>IF(AND(SamplingData[[#This Row],[Total]]&lt;&gt; 0, NOT(ISBLANK(SamplingData[[#This Row],[Candidate 8]]))),(SamplingData[[#This Row],[Total]]+SamplingData[[#This Row],[Winning Candidate]]-SamplingData[[#This Row],[Candidate 8]])/(SamplingData[[#Totals],[Winning Candidate]]-SamplingData[[#Totals],[Candidate 8]]), 0)</f>
        <v>0</v>
      </c>
      <c r="X4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00">
        <f>MAX(SamplingData[[#This Row],[Error Bound (up) - Max. possible relative overstatement - Losing Candidate]:[Error Bound (up) - Max. possible relative overstatement - Candidate 12]])</f>
        <v>4.3973992524421271E-4</v>
      </c>
      <c r="AC450" s="100">
        <f>IF(SamplingData[[#This Row],[Max Error Bound (up)]] = 0,0,SamplingData[[#This Row],[Max Error Bound (up)]]/SamplingData[[#Totals],[Max Error Bound (up)]])</f>
        <v>1.8844559306520223E-4</v>
      </c>
      <c r="AD450" s="104">
        <f>SUM($AC$5:AC450)</f>
        <v>9.2755612986593516E-2</v>
      </c>
      <c r="AE450" s="100" t="str" cm="1">
        <f t="array" ref="AE450">IF(SamplingData[[#This Row],[up/U Selection Probability]] = 0, "Zero", TEXT(SamplingData[[#This Row],[Lower Range]], REPT("0",LEN('General Info'!$B$42))) &amp; " - " &amp; TEXT(SamplingData[[#This Row],[Upper Range]], REPT("0",LEN('General Info'!$B$42))))</f>
        <v>09257 - 09275</v>
      </c>
      <c r="AF450" s="100">
        <f>SamplingData[[#This Row],[Upper Range]]-SamplingData[[#This Row],[Span]]</f>
        <v>9256.7167393528307</v>
      </c>
      <c r="AG450" s="100">
        <f>IF(ISNUMBER('General Info'!$B$42), ((SamplingData[[#This Row],[up/U Selection Probability]]) * 'General Info'!$B$44) - 1, 0)</f>
        <v>17.844559306520225</v>
      </c>
      <c r="AH450" s="100">
        <f>IF(ISNUMBER('General Info'!$B$42), (SamplingData[[#This Row],[Running (cumulative) sum]] * ('General Info'!$B$42 -'General Info'!$B$43 + 1)) + 'General Info'!$B$43 - 1, 0)</f>
        <v>9274.5612986593515</v>
      </c>
      <c r="AI450" s="100" t="str">
        <f>IF(ISERROR(MATCH(SamplingData[[#This Row],[Batch by Type (p)]],SelectedPrecincts[Batch Name], 0)), "", INDEX(SelectedPrecincts[Draw], MATCH(SamplingData[[#This Row],[Batch by Type (p)]],SelectedPrecincts[Batch Name], 0)))</f>
        <v/>
      </c>
      <c r="AJ450" s="101">
        <f>IF(COUNTIF(SelectedPrecincts[Batch Name],SamplingData[[#This Row],[Batch by Type (p)]]) &lt;&gt; 0, COUNTIF(SelectedPrecincts[Batch Name],SamplingData[[#This Row],[Batch by Type (p)]]), 0)</f>
        <v>0</v>
      </c>
    </row>
    <row r="451" spans="1:36" ht="15" customHeight="1" x14ac:dyDescent="0.35">
      <c r="A451" s="98" t="s">
        <v>663</v>
      </c>
      <c r="B451" s="98">
        <v>12</v>
      </c>
      <c r="C451" s="98">
        <v>0</v>
      </c>
      <c r="D451" s="93"/>
      <c r="E451" s="93"/>
      <c r="F451" s="93"/>
      <c r="G451" s="97"/>
      <c r="H451" s="97"/>
      <c r="I451" s="93"/>
      <c r="J451" s="93"/>
      <c r="K451" s="93"/>
      <c r="L451" s="93"/>
      <c r="M451" s="93"/>
      <c r="N451" s="98">
        <v>0</v>
      </c>
      <c r="O451" s="98">
        <v>0</v>
      </c>
      <c r="P451" s="99">
        <f>SUM(SamplingData[[#This Row],[Winning Candidate]:[Under Votes]])</f>
        <v>12</v>
      </c>
      <c r="Q451"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451" s="100">
        <f>IF(AND(SamplingData[[#This Row],[Total]]&lt;&gt; 0, NOT(ISBLANK(SamplingData[[#This Row],[Candidate 3]]))),(SamplingData[[#This Row],[Total]]+SamplingData[[#This Row],[Winning Candidate]]-SamplingData[[#This Row],[Candidate 3]])/(SamplingData[[#Totals],[Winning Candidate]]-SamplingData[[#Totals],[Candidate 3]]), 0)</f>
        <v>0</v>
      </c>
      <c r="S451" s="100">
        <f>IF(AND(SamplingData[[#This Row],[Total]]&lt;&gt; 0, NOT(ISBLANK(SamplingData[[#This Row],[Candidate 4]]))),(SamplingData[[#This Row],[Total]]+SamplingData[[#This Row],[Winning Candidate]]-SamplingData[[#This Row],[Candidate 4]])/(SamplingData[[#Totals],[Winning Candidate]]-SamplingData[[#Totals],[Candidate 4]]), 0)</f>
        <v>0</v>
      </c>
      <c r="T451" s="100">
        <f>IF(AND(SamplingData[[#This Row],[Total]]&lt;&gt; 0, NOT(ISBLANK(SamplingData[[#This Row],[Candidate 5]]))),(SamplingData[[#This Row],[Total]]+SamplingData[[#This Row],[Winning Candidate]]-SamplingData[[#This Row],[Candidate 5]])/(SamplingData[[#Totals],[Winning Candidate]]-SamplingData[[#Totals],[Candidate 5]]), 0)</f>
        <v>0</v>
      </c>
      <c r="U451" s="100">
        <f>IF(AND(SamplingData[[#This Row],[Total]]&lt;&gt; 0, NOT(ISBLANK(SamplingData[[#This Row],[Candidate 6]]))),(SamplingData[[#This Row],[Total]]+SamplingData[[#This Row],[Losing Candidate]]-SamplingData[[#This Row],[Candidate 6]])/(SamplingData[[#Totals],[Winning Candidate]]-SamplingData[[#Totals],[Candidate 6]]), 0)</f>
        <v>0</v>
      </c>
      <c r="V451" s="100">
        <f>IF(AND(SamplingData[[#This Row],[Total]]&lt;&gt; 0, NOT(ISBLANK(SamplingData[[#This Row],[Candidate 7]]))),(SamplingData[[#This Row],[Total]]+SamplingData[[#This Row],[Winning Candidate]]-SamplingData[[#This Row],[Candidate 7]])/(SamplingData[[#Totals],[Winning Candidate]]-SamplingData[[#Totals],[Candidate 7]]), 0)</f>
        <v>0</v>
      </c>
      <c r="W451" s="100">
        <f>IF(AND(SamplingData[[#This Row],[Total]]&lt;&gt; 0, NOT(ISBLANK(SamplingData[[#This Row],[Candidate 8]]))),(SamplingData[[#This Row],[Total]]+SamplingData[[#This Row],[Winning Candidate]]-SamplingData[[#This Row],[Candidate 8]])/(SamplingData[[#Totals],[Winning Candidate]]-SamplingData[[#Totals],[Candidate 8]]), 0)</f>
        <v>0</v>
      </c>
      <c r="X4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00">
        <f>MAX(SamplingData[[#This Row],[Error Bound (up) - Max. possible relative overstatement - Losing Candidate]:[Error Bound (up) - Max. possible relative overstatement - Candidate 12]])</f>
        <v>7.5383987184722177E-4</v>
      </c>
      <c r="AC451" s="100">
        <f>IF(SamplingData[[#This Row],[Max Error Bound (up)]] = 0,0,SamplingData[[#This Row],[Max Error Bound (up)]]/SamplingData[[#Totals],[Max Error Bound (up)]])</f>
        <v>3.2304958811177527E-4</v>
      </c>
      <c r="AD451" s="104">
        <f>SUM($AC$5:AC451)</f>
        <v>9.307866257470529E-2</v>
      </c>
      <c r="AE451" s="100" t="str" cm="1">
        <f t="array" ref="AE451">IF(SamplingData[[#This Row],[up/U Selection Probability]] = 0, "Zero", TEXT(SamplingData[[#This Row],[Lower Range]], REPT("0",LEN('General Info'!$B$42))) &amp; " - " &amp; TEXT(SamplingData[[#This Row],[Upper Range]], REPT("0",LEN('General Info'!$B$42))))</f>
        <v>09276 - 09307</v>
      </c>
      <c r="AF451" s="100">
        <f>SamplingData[[#This Row],[Upper Range]]-SamplingData[[#This Row],[Span]]</f>
        <v>9275.5612986593515</v>
      </c>
      <c r="AG451" s="100">
        <f>IF(ISNUMBER('General Info'!$B$42), ((SamplingData[[#This Row],[up/U Selection Probability]]) * 'General Info'!$B$44) - 1, 0)</f>
        <v>31.304958811177528</v>
      </c>
      <c r="AH451" s="100">
        <f>IF(ISNUMBER('General Info'!$B$42), (SamplingData[[#This Row],[Running (cumulative) sum]] * ('General Info'!$B$42 -'General Info'!$B$43 + 1)) + 'General Info'!$B$43 - 1, 0)</f>
        <v>9306.8662574705286</v>
      </c>
      <c r="AI451" s="100" t="str">
        <f>IF(ISERROR(MATCH(SamplingData[[#This Row],[Batch by Type (p)]],SelectedPrecincts[Batch Name], 0)), "", INDEX(SelectedPrecincts[Draw], MATCH(SamplingData[[#This Row],[Batch by Type (p)]],SelectedPrecincts[Batch Name], 0)))</f>
        <v/>
      </c>
      <c r="AJ451" s="101">
        <f>IF(COUNTIF(SelectedPrecincts[Batch Name],SamplingData[[#This Row],[Batch by Type (p)]]) &lt;&gt; 0, COUNTIF(SelectedPrecincts[Batch Name],SamplingData[[#This Row],[Batch by Type (p)]]), 0)</f>
        <v>0</v>
      </c>
    </row>
    <row r="452" spans="1:36" ht="15" customHeight="1" x14ac:dyDescent="0.35">
      <c r="A452" s="98" t="s">
        <v>664</v>
      </c>
      <c r="B452" s="98">
        <v>18</v>
      </c>
      <c r="C452" s="98">
        <v>0</v>
      </c>
      <c r="D452" s="93"/>
      <c r="E452" s="93"/>
      <c r="F452" s="93"/>
      <c r="G452" s="97"/>
      <c r="H452" s="97"/>
      <c r="I452" s="93"/>
      <c r="J452" s="93"/>
      <c r="K452" s="93"/>
      <c r="L452" s="93"/>
      <c r="M452" s="93"/>
      <c r="N452" s="98">
        <v>0</v>
      </c>
      <c r="O452" s="98">
        <v>1</v>
      </c>
      <c r="P452" s="99">
        <f>SUM(SamplingData[[#This Row],[Winning Candidate]:[Under Votes]])</f>
        <v>19</v>
      </c>
      <c r="Q452"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452" s="100">
        <f>IF(AND(SamplingData[[#This Row],[Total]]&lt;&gt; 0, NOT(ISBLANK(SamplingData[[#This Row],[Candidate 3]]))),(SamplingData[[#This Row],[Total]]+SamplingData[[#This Row],[Winning Candidate]]-SamplingData[[#This Row],[Candidate 3]])/(SamplingData[[#Totals],[Winning Candidate]]-SamplingData[[#Totals],[Candidate 3]]), 0)</f>
        <v>0</v>
      </c>
      <c r="S452" s="100">
        <f>IF(AND(SamplingData[[#This Row],[Total]]&lt;&gt; 0, NOT(ISBLANK(SamplingData[[#This Row],[Candidate 4]]))),(SamplingData[[#This Row],[Total]]+SamplingData[[#This Row],[Winning Candidate]]-SamplingData[[#This Row],[Candidate 4]])/(SamplingData[[#Totals],[Winning Candidate]]-SamplingData[[#Totals],[Candidate 4]]), 0)</f>
        <v>0</v>
      </c>
      <c r="T452" s="100">
        <f>IF(AND(SamplingData[[#This Row],[Total]]&lt;&gt; 0, NOT(ISBLANK(SamplingData[[#This Row],[Candidate 5]]))),(SamplingData[[#This Row],[Total]]+SamplingData[[#This Row],[Winning Candidate]]-SamplingData[[#This Row],[Candidate 5]])/(SamplingData[[#Totals],[Winning Candidate]]-SamplingData[[#Totals],[Candidate 5]]), 0)</f>
        <v>0</v>
      </c>
      <c r="U452" s="100">
        <f>IF(AND(SamplingData[[#This Row],[Total]]&lt;&gt; 0, NOT(ISBLANK(SamplingData[[#This Row],[Candidate 6]]))),(SamplingData[[#This Row],[Total]]+SamplingData[[#This Row],[Losing Candidate]]-SamplingData[[#This Row],[Candidate 6]])/(SamplingData[[#Totals],[Winning Candidate]]-SamplingData[[#Totals],[Candidate 6]]), 0)</f>
        <v>0</v>
      </c>
      <c r="V452" s="100">
        <f>IF(AND(SamplingData[[#This Row],[Total]]&lt;&gt; 0, NOT(ISBLANK(SamplingData[[#This Row],[Candidate 7]]))),(SamplingData[[#This Row],[Total]]+SamplingData[[#This Row],[Winning Candidate]]-SamplingData[[#This Row],[Candidate 7]])/(SamplingData[[#Totals],[Winning Candidate]]-SamplingData[[#Totals],[Candidate 7]]), 0)</f>
        <v>0</v>
      </c>
      <c r="W452" s="100">
        <f>IF(AND(SamplingData[[#This Row],[Total]]&lt;&gt; 0, NOT(ISBLANK(SamplingData[[#This Row],[Candidate 8]]))),(SamplingData[[#This Row],[Total]]+SamplingData[[#This Row],[Winning Candidate]]-SamplingData[[#This Row],[Candidate 8]])/(SamplingData[[#Totals],[Winning Candidate]]-SamplingData[[#Totals],[Candidate 8]]), 0)</f>
        <v>0</v>
      </c>
      <c r="X4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00">
        <f>MAX(SamplingData[[#This Row],[Error Bound (up) - Max. possible relative overstatement - Losing Candidate]:[Error Bound (up) - Max. possible relative overstatement - Candidate 12]])</f>
        <v>1.1621698024311335E-3</v>
      </c>
      <c r="AC452" s="100">
        <f>IF(SamplingData[[#This Row],[Max Error Bound (up)]] = 0,0,SamplingData[[#This Row],[Max Error Bound (up)]]/SamplingData[[#Totals],[Max Error Bound (up)]])</f>
        <v>4.9803478167232014E-4</v>
      </c>
      <c r="AD452" s="104">
        <f>SUM($AC$5:AC452)</f>
        <v>9.3576697356377608E-2</v>
      </c>
      <c r="AE452" s="100" t="str" cm="1">
        <f t="array" ref="AE452">IF(SamplingData[[#This Row],[up/U Selection Probability]] = 0, "Zero", TEXT(SamplingData[[#This Row],[Lower Range]], REPT("0",LEN('General Info'!$B$42))) &amp; " - " &amp; TEXT(SamplingData[[#This Row],[Upper Range]], REPT("0",LEN('General Info'!$B$42))))</f>
        <v>09308 - 09357</v>
      </c>
      <c r="AF452" s="100">
        <f>SamplingData[[#This Row],[Upper Range]]-SamplingData[[#This Row],[Span]]</f>
        <v>9307.8662574705286</v>
      </c>
      <c r="AG452" s="100">
        <f>IF(ISNUMBER('General Info'!$B$42), ((SamplingData[[#This Row],[up/U Selection Probability]]) * 'General Info'!$B$44) - 1, 0)</f>
        <v>48.803478167232015</v>
      </c>
      <c r="AH452" s="100">
        <f>IF(ISNUMBER('General Info'!$B$42), (SamplingData[[#This Row],[Running (cumulative) sum]] * ('General Info'!$B$42 -'General Info'!$B$43 + 1)) + 'General Info'!$B$43 - 1, 0)</f>
        <v>9356.6697356377608</v>
      </c>
      <c r="AI452" s="100" t="str">
        <f>IF(ISERROR(MATCH(SamplingData[[#This Row],[Batch by Type (p)]],SelectedPrecincts[Batch Name], 0)), "", INDEX(SelectedPrecincts[Draw], MATCH(SamplingData[[#This Row],[Batch by Type (p)]],SelectedPrecincts[Batch Name], 0)))</f>
        <v/>
      </c>
      <c r="AJ452" s="101">
        <f>IF(COUNTIF(SelectedPrecincts[Batch Name],SamplingData[[#This Row],[Batch by Type (p)]]) &lt;&gt; 0, COUNTIF(SelectedPrecincts[Batch Name],SamplingData[[#This Row],[Batch by Type (p)]]), 0)</f>
        <v>0</v>
      </c>
    </row>
    <row r="453" spans="1:36" ht="15" customHeight="1" x14ac:dyDescent="0.35">
      <c r="A453" s="98" t="s">
        <v>665</v>
      </c>
      <c r="B453" s="98">
        <v>32</v>
      </c>
      <c r="C453" s="98">
        <v>3</v>
      </c>
      <c r="D453" s="93"/>
      <c r="E453" s="93"/>
      <c r="F453" s="93"/>
      <c r="G453" s="97"/>
      <c r="H453" s="97"/>
      <c r="I453" s="93"/>
      <c r="J453" s="93"/>
      <c r="K453" s="93"/>
      <c r="L453" s="93"/>
      <c r="M453" s="93"/>
      <c r="N453" s="98">
        <v>0</v>
      </c>
      <c r="O453" s="98">
        <v>0</v>
      </c>
      <c r="P453" s="99">
        <f>SUM(SamplingData[[#This Row],[Winning Candidate]:[Under Votes]])</f>
        <v>35</v>
      </c>
      <c r="Q453" s="100">
        <f>IF(AND(SamplingData[[#This Row],[Total]]&lt;&gt; 0, NOT(ISBLANK(SamplingData[[#This Row],[Losing Candidate]]))),(SamplingData[[#This Row],[Total]]+SamplingData[[#This Row],[Winning Candidate]]-SamplingData[[#This Row],[Losing Candidate]])/(SamplingData[[#Totals],[Winning Candidate]]-SamplingData[[#Totals],[Losing Candidate]]), 0)</f>
        <v>2.0102396582592579E-3</v>
      </c>
      <c r="R453" s="100">
        <f>IF(AND(SamplingData[[#This Row],[Total]]&lt;&gt; 0, NOT(ISBLANK(SamplingData[[#This Row],[Candidate 3]]))),(SamplingData[[#This Row],[Total]]+SamplingData[[#This Row],[Winning Candidate]]-SamplingData[[#This Row],[Candidate 3]])/(SamplingData[[#Totals],[Winning Candidate]]-SamplingData[[#Totals],[Candidate 3]]), 0)</f>
        <v>0</v>
      </c>
      <c r="S453" s="100">
        <f>IF(AND(SamplingData[[#This Row],[Total]]&lt;&gt; 0, NOT(ISBLANK(SamplingData[[#This Row],[Candidate 4]]))),(SamplingData[[#This Row],[Total]]+SamplingData[[#This Row],[Winning Candidate]]-SamplingData[[#This Row],[Candidate 4]])/(SamplingData[[#Totals],[Winning Candidate]]-SamplingData[[#Totals],[Candidate 4]]), 0)</f>
        <v>0</v>
      </c>
      <c r="T453" s="100">
        <f>IF(AND(SamplingData[[#This Row],[Total]]&lt;&gt; 0, NOT(ISBLANK(SamplingData[[#This Row],[Candidate 5]]))),(SamplingData[[#This Row],[Total]]+SamplingData[[#This Row],[Winning Candidate]]-SamplingData[[#This Row],[Candidate 5]])/(SamplingData[[#Totals],[Winning Candidate]]-SamplingData[[#Totals],[Candidate 5]]), 0)</f>
        <v>0</v>
      </c>
      <c r="U453" s="100">
        <f>IF(AND(SamplingData[[#This Row],[Total]]&lt;&gt; 0, NOT(ISBLANK(SamplingData[[#This Row],[Candidate 6]]))),(SamplingData[[#This Row],[Total]]+SamplingData[[#This Row],[Losing Candidate]]-SamplingData[[#This Row],[Candidate 6]])/(SamplingData[[#Totals],[Winning Candidate]]-SamplingData[[#Totals],[Candidate 6]]), 0)</f>
        <v>0</v>
      </c>
      <c r="V453" s="100">
        <f>IF(AND(SamplingData[[#This Row],[Total]]&lt;&gt; 0, NOT(ISBLANK(SamplingData[[#This Row],[Candidate 7]]))),(SamplingData[[#This Row],[Total]]+SamplingData[[#This Row],[Winning Candidate]]-SamplingData[[#This Row],[Candidate 7]])/(SamplingData[[#Totals],[Winning Candidate]]-SamplingData[[#Totals],[Candidate 7]]), 0)</f>
        <v>0</v>
      </c>
      <c r="W453" s="100">
        <f>IF(AND(SamplingData[[#This Row],[Total]]&lt;&gt; 0, NOT(ISBLANK(SamplingData[[#This Row],[Candidate 8]]))),(SamplingData[[#This Row],[Total]]+SamplingData[[#This Row],[Winning Candidate]]-SamplingData[[#This Row],[Candidate 8]])/(SamplingData[[#Totals],[Winning Candidate]]-SamplingData[[#Totals],[Candidate 8]]), 0)</f>
        <v>0</v>
      </c>
      <c r="X4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00">
        <f>MAX(SamplingData[[#This Row],[Error Bound (up) - Max. possible relative overstatement - Losing Candidate]:[Error Bound (up) - Max. possible relative overstatement - Candidate 12]])</f>
        <v>2.0102396582592579E-3</v>
      </c>
      <c r="AC453" s="100">
        <f>IF(SamplingData[[#This Row],[Max Error Bound (up)]] = 0,0,SamplingData[[#This Row],[Max Error Bound (up)]]/SamplingData[[#Totals],[Max Error Bound (up)]])</f>
        <v>8.614655682980673E-4</v>
      </c>
      <c r="AD453" s="104">
        <f>SUM($AC$5:AC453)</f>
        <v>9.4438162924675675E-2</v>
      </c>
      <c r="AE453" s="100" t="str" cm="1">
        <f t="array" ref="AE453">IF(SamplingData[[#This Row],[up/U Selection Probability]] = 0, "Zero", TEXT(SamplingData[[#This Row],[Lower Range]], REPT("0",LEN('General Info'!$B$42))) &amp; " - " &amp; TEXT(SamplingData[[#This Row],[Upper Range]], REPT("0",LEN('General Info'!$B$42))))</f>
        <v>09358 - 09443</v>
      </c>
      <c r="AF453" s="100">
        <f>SamplingData[[#This Row],[Upper Range]]-SamplingData[[#This Row],[Span]]</f>
        <v>9357.6697356377608</v>
      </c>
      <c r="AG453" s="100">
        <f>IF(ISNUMBER('General Info'!$B$42), ((SamplingData[[#This Row],[up/U Selection Probability]]) * 'General Info'!$B$44) - 1, 0)</f>
        <v>85.146556829806727</v>
      </c>
      <c r="AH453" s="100">
        <f>IF(ISNUMBER('General Info'!$B$42), (SamplingData[[#This Row],[Running (cumulative) sum]] * ('General Info'!$B$42 -'General Info'!$B$43 + 1)) + 'General Info'!$B$43 - 1, 0)</f>
        <v>9442.8162924675671</v>
      </c>
      <c r="AI453" s="100" t="str">
        <f>IF(ISERROR(MATCH(SamplingData[[#This Row],[Batch by Type (p)]],SelectedPrecincts[Batch Name], 0)), "", INDEX(SelectedPrecincts[Draw], MATCH(SamplingData[[#This Row],[Batch by Type (p)]],SelectedPrecincts[Batch Name], 0)))</f>
        <v/>
      </c>
      <c r="AJ453" s="101">
        <f>IF(COUNTIF(SelectedPrecincts[Batch Name],SamplingData[[#This Row],[Batch by Type (p)]]) &lt;&gt; 0, COUNTIF(SelectedPrecincts[Batch Name],SamplingData[[#This Row],[Batch by Type (p)]]), 0)</f>
        <v>0</v>
      </c>
    </row>
    <row r="454" spans="1:36" ht="15" customHeight="1" x14ac:dyDescent="0.35">
      <c r="A454" s="98" t="s">
        <v>666</v>
      </c>
      <c r="B454" s="98">
        <v>18</v>
      </c>
      <c r="C454" s="98">
        <v>0</v>
      </c>
      <c r="D454" s="93"/>
      <c r="E454" s="93"/>
      <c r="F454" s="93"/>
      <c r="G454" s="97"/>
      <c r="H454" s="97"/>
      <c r="I454" s="93"/>
      <c r="J454" s="93"/>
      <c r="K454" s="93"/>
      <c r="L454" s="93"/>
      <c r="M454" s="93"/>
      <c r="N454" s="98">
        <v>0</v>
      </c>
      <c r="O454" s="98">
        <v>1</v>
      </c>
      <c r="P454" s="99">
        <f>SUM(SamplingData[[#This Row],[Winning Candidate]:[Under Votes]])</f>
        <v>19</v>
      </c>
      <c r="Q454"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454" s="100">
        <f>IF(AND(SamplingData[[#This Row],[Total]]&lt;&gt; 0, NOT(ISBLANK(SamplingData[[#This Row],[Candidate 3]]))),(SamplingData[[#This Row],[Total]]+SamplingData[[#This Row],[Winning Candidate]]-SamplingData[[#This Row],[Candidate 3]])/(SamplingData[[#Totals],[Winning Candidate]]-SamplingData[[#Totals],[Candidate 3]]), 0)</f>
        <v>0</v>
      </c>
      <c r="S454" s="100">
        <f>IF(AND(SamplingData[[#This Row],[Total]]&lt;&gt; 0, NOT(ISBLANK(SamplingData[[#This Row],[Candidate 4]]))),(SamplingData[[#This Row],[Total]]+SamplingData[[#This Row],[Winning Candidate]]-SamplingData[[#This Row],[Candidate 4]])/(SamplingData[[#Totals],[Winning Candidate]]-SamplingData[[#Totals],[Candidate 4]]), 0)</f>
        <v>0</v>
      </c>
      <c r="T454" s="100">
        <f>IF(AND(SamplingData[[#This Row],[Total]]&lt;&gt; 0, NOT(ISBLANK(SamplingData[[#This Row],[Candidate 5]]))),(SamplingData[[#This Row],[Total]]+SamplingData[[#This Row],[Winning Candidate]]-SamplingData[[#This Row],[Candidate 5]])/(SamplingData[[#Totals],[Winning Candidate]]-SamplingData[[#Totals],[Candidate 5]]), 0)</f>
        <v>0</v>
      </c>
      <c r="U454" s="100">
        <f>IF(AND(SamplingData[[#This Row],[Total]]&lt;&gt; 0, NOT(ISBLANK(SamplingData[[#This Row],[Candidate 6]]))),(SamplingData[[#This Row],[Total]]+SamplingData[[#This Row],[Losing Candidate]]-SamplingData[[#This Row],[Candidate 6]])/(SamplingData[[#Totals],[Winning Candidate]]-SamplingData[[#Totals],[Candidate 6]]), 0)</f>
        <v>0</v>
      </c>
      <c r="V454" s="100">
        <f>IF(AND(SamplingData[[#This Row],[Total]]&lt;&gt; 0, NOT(ISBLANK(SamplingData[[#This Row],[Candidate 7]]))),(SamplingData[[#This Row],[Total]]+SamplingData[[#This Row],[Winning Candidate]]-SamplingData[[#This Row],[Candidate 7]])/(SamplingData[[#Totals],[Winning Candidate]]-SamplingData[[#Totals],[Candidate 7]]), 0)</f>
        <v>0</v>
      </c>
      <c r="W454" s="100">
        <f>IF(AND(SamplingData[[#This Row],[Total]]&lt;&gt; 0, NOT(ISBLANK(SamplingData[[#This Row],[Candidate 8]]))),(SamplingData[[#This Row],[Total]]+SamplingData[[#This Row],[Winning Candidate]]-SamplingData[[#This Row],[Candidate 8]])/(SamplingData[[#Totals],[Winning Candidate]]-SamplingData[[#Totals],[Candidate 8]]), 0)</f>
        <v>0</v>
      </c>
      <c r="X4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00">
        <f>MAX(SamplingData[[#This Row],[Error Bound (up) - Max. possible relative overstatement - Losing Candidate]:[Error Bound (up) - Max. possible relative overstatement - Candidate 12]])</f>
        <v>1.1621698024311335E-3</v>
      </c>
      <c r="AC454" s="100">
        <f>IF(SamplingData[[#This Row],[Max Error Bound (up)]] = 0,0,SamplingData[[#This Row],[Max Error Bound (up)]]/SamplingData[[#Totals],[Max Error Bound (up)]])</f>
        <v>4.9803478167232014E-4</v>
      </c>
      <c r="AD454" s="104">
        <f>SUM($AC$5:AC454)</f>
        <v>9.4936197706347994E-2</v>
      </c>
      <c r="AE454" s="100" t="str" cm="1">
        <f t="array" ref="AE454">IF(SamplingData[[#This Row],[up/U Selection Probability]] = 0, "Zero", TEXT(SamplingData[[#This Row],[Lower Range]], REPT("0",LEN('General Info'!$B$42))) &amp; " - " &amp; TEXT(SamplingData[[#This Row],[Upper Range]], REPT("0",LEN('General Info'!$B$42))))</f>
        <v>09444 - 09493</v>
      </c>
      <c r="AF454" s="100">
        <f>SamplingData[[#This Row],[Upper Range]]-SamplingData[[#This Row],[Span]]</f>
        <v>9443.8162924675671</v>
      </c>
      <c r="AG454" s="100">
        <f>IF(ISNUMBER('General Info'!$B$42), ((SamplingData[[#This Row],[up/U Selection Probability]]) * 'General Info'!$B$44) - 1, 0)</f>
        <v>48.803478167232015</v>
      </c>
      <c r="AH454" s="100">
        <f>IF(ISNUMBER('General Info'!$B$42), (SamplingData[[#This Row],[Running (cumulative) sum]] * ('General Info'!$B$42 -'General Info'!$B$43 + 1)) + 'General Info'!$B$43 - 1, 0)</f>
        <v>9492.6197706347994</v>
      </c>
      <c r="AI454" s="100" t="str">
        <f>IF(ISERROR(MATCH(SamplingData[[#This Row],[Batch by Type (p)]],SelectedPrecincts[Batch Name], 0)), "", INDEX(SelectedPrecincts[Draw], MATCH(SamplingData[[#This Row],[Batch by Type (p)]],SelectedPrecincts[Batch Name], 0)))</f>
        <v/>
      </c>
      <c r="AJ454" s="101">
        <f>IF(COUNTIF(SelectedPrecincts[Batch Name],SamplingData[[#This Row],[Batch by Type (p)]]) &lt;&gt; 0, COUNTIF(SelectedPrecincts[Batch Name],SamplingData[[#This Row],[Batch by Type (p)]]), 0)</f>
        <v>0</v>
      </c>
    </row>
    <row r="455" spans="1:36" ht="15" customHeight="1" x14ac:dyDescent="0.35">
      <c r="A455" s="98" t="s">
        <v>667</v>
      </c>
      <c r="B455" s="98">
        <v>10</v>
      </c>
      <c r="C455" s="98">
        <v>0</v>
      </c>
      <c r="D455" s="93"/>
      <c r="E455" s="93"/>
      <c r="F455" s="93"/>
      <c r="G455" s="97"/>
      <c r="H455" s="97"/>
      <c r="I455" s="93"/>
      <c r="J455" s="93"/>
      <c r="K455" s="93"/>
      <c r="L455" s="93"/>
      <c r="M455" s="93"/>
      <c r="N455" s="98">
        <v>0</v>
      </c>
      <c r="O455" s="98">
        <v>0</v>
      </c>
      <c r="P455" s="99">
        <f>SUM(SamplingData[[#This Row],[Winning Candidate]:[Under Votes]])</f>
        <v>10</v>
      </c>
      <c r="Q455"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455" s="100">
        <f>IF(AND(SamplingData[[#This Row],[Total]]&lt;&gt; 0, NOT(ISBLANK(SamplingData[[#This Row],[Candidate 3]]))),(SamplingData[[#This Row],[Total]]+SamplingData[[#This Row],[Winning Candidate]]-SamplingData[[#This Row],[Candidate 3]])/(SamplingData[[#Totals],[Winning Candidate]]-SamplingData[[#Totals],[Candidate 3]]), 0)</f>
        <v>0</v>
      </c>
      <c r="S455" s="100">
        <f>IF(AND(SamplingData[[#This Row],[Total]]&lt;&gt; 0, NOT(ISBLANK(SamplingData[[#This Row],[Candidate 4]]))),(SamplingData[[#This Row],[Total]]+SamplingData[[#This Row],[Winning Candidate]]-SamplingData[[#This Row],[Candidate 4]])/(SamplingData[[#Totals],[Winning Candidate]]-SamplingData[[#Totals],[Candidate 4]]), 0)</f>
        <v>0</v>
      </c>
      <c r="T455" s="100">
        <f>IF(AND(SamplingData[[#This Row],[Total]]&lt;&gt; 0, NOT(ISBLANK(SamplingData[[#This Row],[Candidate 5]]))),(SamplingData[[#This Row],[Total]]+SamplingData[[#This Row],[Winning Candidate]]-SamplingData[[#This Row],[Candidate 5]])/(SamplingData[[#Totals],[Winning Candidate]]-SamplingData[[#Totals],[Candidate 5]]), 0)</f>
        <v>0</v>
      </c>
      <c r="U455" s="100">
        <f>IF(AND(SamplingData[[#This Row],[Total]]&lt;&gt; 0, NOT(ISBLANK(SamplingData[[#This Row],[Candidate 6]]))),(SamplingData[[#This Row],[Total]]+SamplingData[[#This Row],[Losing Candidate]]-SamplingData[[#This Row],[Candidate 6]])/(SamplingData[[#Totals],[Winning Candidate]]-SamplingData[[#Totals],[Candidate 6]]), 0)</f>
        <v>0</v>
      </c>
      <c r="V455" s="100">
        <f>IF(AND(SamplingData[[#This Row],[Total]]&lt;&gt; 0, NOT(ISBLANK(SamplingData[[#This Row],[Candidate 7]]))),(SamplingData[[#This Row],[Total]]+SamplingData[[#This Row],[Winning Candidate]]-SamplingData[[#This Row],[Candidate 7]])/(SamplingData[[#Totals],[Winning Candidate]]-SamplingData[[#Totals],[Candidate 7]]), 0)</f>
        <v>0</v>
      </c>
      <c r="W455" s="100">
        <f>IF(AND(SamplingData[[#This Row],[Total]]&lt;&gt; 0, NOT(ISBLANK(SamplingData[[#This Row],[Candidate 8]]))),(SamplingData[[#This Row],[Total]]+SamplingData[[#This Row],[Winning Candidate]]-SamplingData[[#This Row],[Candidate 8]])/(SamplingData[[#Totals],[Winning Candidate]]-SamplingData[[#Totals],[Candidate 8]]), 0)</f>
        <v>0</v>
      </c>
      <c r="X4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00">
        <f>MAX(SamplingData[[#This Row],[Error Bound (up) - Max. possible relative overstatement - Losing Candidate]:[Error Bound (up) - Max. possible relative overstatement - Candidate 12]])</f>
        <v>6.2819989320601812E-4</v>
      </c>
      <c r="AC455" s="100">
        <f>IF(SamplingData[[#This Row],[Max Error Bound (up)]] = 0,0,SamplingData[[#This Row],[Max Error Bound (up)]]/SamplingData[[#Totals],[Max Error Bound (up)]])</f>
        <v>2.6920799009314607E-4</v>
      </c>
      <c r="AD455" s="104">
        <f>SUM($AC$5:AC455)</f>
        <v>9.5205405696441134E-2</v>
      </c>
      <c r="AE455" s="100" t="str" cm="1">
        <f t="array" ref="AE455">IF(SamplingData[[#This Row],[up/U Selection Probability]] = 0, "Zero", TEXT(SamplingData[[#This Row],[Lower Range]], REPT("0",LEN('General Info'!$B$42))) &amp; " - " &amp; TEXT(SamplingData[[#This Row],[Upper Range]], REPT("0",LEN('General Info'!$B$42))))</f>
        <v>09494 - 09520</v>
      </c>
      <c r="AF455" s="100">
        <f>SamplingData[[#This Row],[Upper Range]]-SamplingData[[#This Row],[Span]]</f>
        <v>9493.6197706347994</v>
      </c>
      <c r="AG455" s="100">
        <f>IF(ISNUMBER('General Info'!$B$42), ((SamplingData[[#This Row],[up/U Selection Probability]]) * 'General Info'!$B$44) - 1, 0)</f>
        <v>25.920799009314607</v>
      </c>
      <c r="AH455" s="100">
        <f>IF(ISNUMBER('General Info'!$B$42), (SamplingData[[#This Row],[Running (cumulative) sum]] * ('General Info'!$B$42 -'General Info'!$B$43 + 1)) + 'General Info'!$B$43 - 1, 0)</f>
        <v>9519.5405696441139</v>
      </c>
      <c r="AI455" s="100" t="str">
        <f>IF(ISERROR(MATCH(SamplingData[[#This Row],[Batch by Type (p)]],SelectedPrecincts[Batch Name], 0)), "", INDEX(SelectedPrecincts[Draw], MATCH(SamplingData[[#This Row],[Batch by Type (p)]],SelectedPrecincts[Batch Name], 0)))</f>
        <v/>
      </c>
      <c r="AJ455" s="101">
        <f>IF(COUNTIF(SelectedPrecincts[Batch Name],SamplingData[[#This Row],[Batch by Type (p)]]) &lt;&gt; 0, COUNTIF(SelectedPrecincts[Batch Name],SamplingData[[#This Row],[Batch by Type (p)]]), 0)</f>
        <v>0</v>
      </c>
    </row>
    <row r="456" spans="1:36" ht="15" customHeight="1" x14ac:dyDescent="0.35">
      <c r="A456" s="98" t="s">
        <v>668</v>
      </c>
      <c r="B456" s="98">
        <v>6</v>
      </c>
      <c r="C456" s="98">
        <v>1</v>
      </c>
      <c r="D456" s="93"/>
      <c r="E456" s="93"/>
      <c r="F456" s="93"/>
      <c r="G456" s="97"/>
      <c r="H456" s="97"/>
      <c r="I456" s="93"/>
      <c r="J456" s="93"/>
      <c r="K456" s="93"/>
      <c r="L456" s="93"/>
      <c r="M456" s="93"/>
      <c r="N456" s="98">
        <v>0</v>
      </c>
      <c r="O456" s="98">
        <v>0</v>
      </c>
      <c r="P456" s="99">
        <f>SUM(SamplingData[[#This Row],[Winning Candidate]:[Under Votes]])</f>
        <v>7</v>
      </c>
      <c r="Q45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456" s="100">
        <f>IF(AND(SamplingData[[#This Row],[Total]]&lt;&gt; 0, NOT(ISBLANK(SamplingData[[#This Row],[Candidate 3]]))),(SamplingData[[#This Row],[Total]]+SamplingData[[#This Row],[Winning Candidate]]-SamplingData[[#This Row],[Candidate 3]])/(SamplingData[[#Totals],[Winning Candidate]]-SamplingData[[#Totals],[Candidate 3]]), 0)</f>
        <v>0</v>
      </c>
      <c r="S456" s="100">
        <f>IF(AND(SamplingData[[#This Row],[Total]]&lt;&gt; 0, NOT(ISBLANK(SamplingData[[#This Row],[Candidate 4]]))),(SamplingData[[#This Row],[Total]]+SamplingData[[#This Row],[Winning Candidate]]-SamplingData[[#This Row],[Candidate 4]])/(SamplingData[[#Totals],[Winning Candidate]]-SamplingData[[#Totals],[Candidate 4]]), 0)</f>
        <v>0</v>
      </c>
      <c r="T456" s="100">
        <f>IF(AND(SamplingData[[#This Row],[Total]]&lt;&gt; 0, NOT(ISBLANK(SamplingData[[#This Row],[Candidate 5]]))),(SamplingData[[#This Row],[Total]]+SamplingData[[#This Row],[Winning Candidate]]-SamplingData[[#This Row],[Candidate 5]])/(SamplingData[[#Totals],[Winning Candidate]]-SamplingData[[#Totals],[Candidate 5]]), 0)</f>
        <v>0</v>
      </c>
      <c r="U456" s="100">
        <f>IF(AND(SamplingData[[#This Row],[Total]]&lt;&gt; 0, NOT(ISBLANK(SamplingData[[#This Row],[Candidate 6]]))),(SamplingData[[#This Row],[Total]]+SamplingData[[#This Row],[Losing Candidate]]-SamplingData[[#This Row],[Candidate 6]])/(SamplingData[[#Totals],[Winning Candidate]]-SamplingData[[#Totals],[Candidate 6]]), 0)</f>
        <v>0</v>
      </c>
      <c r="V456" s="100">
        <f>IF(AND(SamplingData[[#This Row],[Total]]&lt;&gt; 0, NOT(ISBLANK(SamplingData[[#This Row],[Candidate 7]]))),(SamplingData[[#This Row],[Total]]+SamplingData[[#This Row],[Winning Candidate]]-SamplingData[[#This Row],[Candidate 7]])/(SamplingData[[#Totals],[Winning Candidate]]-SamplingData[[#Totals],[Candidate 7]]), 0)</f>
        <v>0</v>
      </c>
      <c r="W456" s="100">
        <f>IF(AND(SamplingData[[#This Row],[Total]]&lt;&gt; 0, NOT(ISBLANK(SamplingData[[#This Row],[Candidate 8]]))),(SamplingData[[#This Row],[Total]]+SamplingData[[#This Row],[Winning Candidate]]-SamplingData[[#This Row],[Candidate 8]])/(SamplingData[[#Totals],[Winning Candidate]]-SamplingData[[#Totals],[Candidate 8]]), 0)</f>
        <v>0</v>
      </c>
      <c r="X4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00">
        <f>MAX(SamplingData[[#This Row],[Error Bound (up) - Max. possible relative overstatement - Losing Candidate]:[Error Bound (up) - Max. possible relative overstatement - Candidate 12]])</f>
        <v>3.7691993592361088E-4</v>
      </c>
      <c r="AC456" s="100">
        <f>IF(SamplingData[[#This Row],[Max Error Bound (up)]] = 0,0,SamplingData[[#This Row],[Max Error Bound (up)]]/SamplingData[[#Totals],[Max Error Bound (up)]])</f>
        <v>1.6152479405588763E-4</v>
      </c>
      <c r="AD456" s="104">
        <f>SUM($AC$5:AC456)</f>
        <v>9.5366930490497021E-2</v>
      </c>
      <c r="AE456" s="100" t="str" cm="1">
        <f t="array" ref="AE456">IF(SamplingData[[#This Row],[up/U Selection Probability]] = 0, "Zero", TEXT(SamplingData[[#This Row],[Lower Range]], REPT("0",LEN('General Info'!$B$42))) &amp; " - " &amp; TEXT(SamplingData[[#This Row],[Upper Range]], REPT("0",LEN('General Info'!$B$42))))</f>
        <v>09521 - 09536</v>
      </c>
      <c r="AF456" s="100">
        <f>SamplingData[[#This Row],[Upper Range]]-SamplingData[[#This Row],[Span]]</f>
        <v>9520.5405696441121</v>
      </c>
      <c r="AG456" s="100">
        <f>IF(ISNUMBER('General Info'!$B$42), ((SamplingData[[#This Row],[up/U Selection Probability]]) * 'General Info'!$B$44) - 1, 0)</f>
        <v>15.152479405588764</v>
      </c>
      <c r="AH456" s="100">
        <f>IF(ISNUMBER('General Info'!$B$42), (SamplingData[[#This Row],[Running (cumulative) sum]] * ('General Info'!$B$42 -'General Info'!$B$43 + 1)) + 'General Info'!$B$43 - 1, 0)</f>
        <v>9535.6930490497016</v>
      </c>
      <c r="AI456" s="100" t="str">
        <f>IF(ISERROR(MATCH(SamplingData[[#This Row],[Batch by Type (p)]],SelectedPrecincts[Batch Name], 0)), "", INDEX(SelectedPrecincts[Draw], MATCH(SamplingData[[#This Row],[Batch by Type (p)]],SelectedPrecincts[Batch Name], 0)))</f>
        <v/>
      </c>
      <c r="AJ456" s="101">
        <f>IF(COUNTIF(SelectedPrecincts[Batch Name],SamplingData[[#This Row],[Batch by Type (p)]]) &lt;&gt; 0, COUNTIF(SelectedPrecincts[Batch Name],SamplingData[[#This Row],[Batch by Type (p)]]), 0)</f>
        <v>0</v>
      </c>
    </row>
    <row r="457" spans="1:36" ht="15" customHeight="1" x14ac:dyDescent="0.35">
      <c r="A457" s="98" t="s">
        <v>669</v>
      </c>
      <c r="B457" s="98">
        <v>4</v>
      </c>
      <c r="C457" s="98">
        <v>1</v>
      </c>
      <c r="D457" s="93"/>
      <c r="E457" s="93"/>
      <c r="F457" s="93"/>
      <c r="G457" s="97"/>
      <c r="H457" s="97"/>
      <c r="I457" s="93"/>
      <c r="J457" s="93"/>
      <c r="K457" s="93"/>
      <c r="L457" s="93"/>
      <c r="M457" s="93"/>
      <c r="N457" s="98">
        <v>0</v>
      </c>
      <c r="O457" s="98">
        <v>0</v>
      </c>
      <c r="P457" s="99">
        <f>SUM(SamplingData[[#This Row],[Winning Candidate]:[Under Votes]])</f>
        <v>5</v>
      </c>
      <c r="Q457"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457" s="100">
        <f>IF(AND(SamplingData[[#This Row],[Total]]&lt;&gt; 0, NOT(ISBLANK(SamplingData[[#This Row],[Candidate 3]]))),(SamplingData[[#This Row],[Total]]+SamplingData[[#This Row],[Winning Candidate]]-SamplingData[[#This Row],[Candidate 3]])/(SamplingData[[#Totals],[Winning Candidate]]-SamplingData[[#Totals],[Candidate 3]]), 0)</f>
        <v>0</v>
      </c>
      <c r="S457" s="100">
        <f>IF(AND(SamplingData[[#This Row],[Total]]&lt;&gt; 0, NOT(ISBLANK(SamplingData[[#This Row],[Candidate 4]]))),(SamplingData[[#This Row],[Total]]+SamplingData[[#This Row],[Winning Candidate]]-SamplingData[[#This Row],[Candidate 4]])/(SamplingData[[#Totals],[Winning Candidate]]-SamplingData[[#Totals],[Candidate 4]]), 0)</f>
        <v>0</v>
      </c>
      <c r="T457" s="100">
        <f>IF(AND(SamplingData[[#This Row],[Total]]&lt;&gt; 0, NOT(ISBLANK(SamplingData[[#This Row],[Candidate 5]]))),(SamplingData[[#This Row],[Total]]+SamplingData[[#This Row],[Winning Candidate]]-SamplingData[[#This Row],[Candidate 5]])/(SamplingData[[#Totals],[Winning Candidate]]-SamplingData[[#Totals],[Candidate 5]]), 0)</f>
        <v>0</v>
      </c>
      <c r="U457" s="100">
        <f>IF(AND(SamplingData[[#This Row],[Total]]&lt;&gt; 0, NOT(ISBLANK(SamplingData[[#This Row],[Candidate 6]]))),(SamplingData[[#This Row],[Total]]+SamplingData[[#This Row],[Losing Candidate]]-SamplingData[[#This Row],[Candidate 6]])/(SamplingData[[#Totals],[Winning Candidate]]-SamplingData[[#Totals],[Candidate 6]]), 0)</f>
        <v>0</v>
      </c>
      <c r="V457" s="100">
        <f>IF(AND(SamplingData[[#This Row],[Total]]&lt;&gt; 0, NOT(ISBLANK(SamplingData[[#This Row],[Candidate 7]]))),(SamplingData[[#This Row],[Total]]+SamplingData[[#This Row],[Winning Candidate]]-SamplingData[[#This Row],[Candidate 7]])/(SamplingData[[#Totals],[Winning Candidate]]-SamplingData[[#Totals],[Candidate 7]]), 0)</f>
        <v>0</v>
      </c>
      <c r="W457" s="100">
        <f>IF(AND(SamplingData[[#This Row],[Total]]&lt;&gt; 0, NOT(ISBLANK(SamplingData[[#This Row],[Candidate 8]]))),(SamplingData[[#This Row],[Total]]+SamplingData[[#This Row],[Winning Candidate]]-SamplingData[[#This Row],[Candidate 8]])/(SamplingData[[#Totals],[Winning Candidate]]-SamplingData[[#Totals],[Candidate 8]]), 0)</f>
        <v>0</v>
      </c>
      <c r="X4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00">
        <f>MAX(SamplingData[[#This Row],[Error Bound (up) - Max. possible relative overstatement - Losing Candidate]:[Error Bound (up) - Max. possible relative overstatement - Candidate 12]])</f>
        <v>2.5127995728240724E-4</v>
      </c>
      <c r="AC457" s="100">
        <f>IF(SamplingData[[#This Row],[Max Error Bound (up)]] = 0,0,SamplingData[[#This Row],[Max Error Bound (up)]]/SamplingData[[#Totals],[Max Error Bound (up)]])</f>
        <v>1.0768319603725841E-4</v>
      </c>
      <c r="AD457" s="104">
        <f>SUM($AC$5:AC457)</f>
        <v>9.5474613686534274E-2</v>
      </c>
      <c r="AE457" s="100" t="str" cm="1">
        <f t="array" ref="AE457">IF(SamplingData[[#This Row],[up/U Selection Probability]] = 0, "Zero", TEXT(SamplingData[[#This Row],[Lower Range]], REPT("0",LEN('General Info'!$B$42))) &amp; " - " &amp; TEXT(SamplingData[[#This Row],[Upper Range]], REPT("0",LEN('General Info'!$B$42))))</f>
        <v>09537 - 09546</v>
      </c>
      <c r="AF457" s="100">
        <f>SamplingData[[#This Row],[Upper Range]]-SamplingData[[#This Row],[Span]]</f>
        <v>9536.6930490497016</v>
      </c>
      <c r="AG457" s="100">
        <f>IF(ISNUMBER('General Info'!$B$42), ((SamplingData[[#This Row],[up/U Selection Probability]]) * 'General Info'!$B$44) - 1, 0)</f>
        <v>9.7683196037258408</v>
      </c>
      <c r="AH457" s="100">
        <f>IF(ISNUMBER('General Info'!$B$42), (SamplingData[[#This Row],[Running (cumulative) sum]] * ('General Info'!$B$42 -'General Info'!$B$43 + 1)) + 'General Info'!$B$43 - 1, 0)</f>
        <v>9546.4613686534267</v>
      </c>
      <c r="AI457" s="100" t="str">
        <f>IF(ISERROR(MATCH(SamplingData[[#This Row],[Batch by Type (p)]],SelectedPrecincts[Batch Name], 0)), "", INDEX(SelectedPrecincts[Draw], MATCH(SamplingData[[#This Row],[Batch by Type (p)]],SelectedPrecincts[Batch Name], 0)))</f>
        <v/>
      </c>
      <c r="AJ457" s="101">
        <f>IF(COUNTIF(SelectedPrecincts[Batch Name],SamplingData[[#This Row],[Batch by Type (p)]]) &lt;&gt; 0, COUNTIF(SelectedPrecincts[Batch Name],SamplingData[[#This Row],[Batch by Type (p)]]), 0)</f>
        <v>0</v>
      </c>
    </row>
    <row r="458" spans="1:36" ht="15" customHeight="1" x14ac:dyDescent="0.35">
      <c r="A458" s="98" t="s">
        <v>670</v>
      </c>
      <c r="B458" s="98">
        <v>9</v>
      </c>
      <c r="C458" s="98">
        <v>1</v>
      </c>
      <c r="D458" s="93"/>
      <c r="E458" s="93"/>
      <c r="F458" s="93"/>
      <c r="G458" s="97"/>
      <c r="H458" s="97"/>
      <c r="I458" s="93"/>
      <c r="J458" s="93"/>
      <c r="K458" s="93"/>
      <c r="L458" s="93"/>
      <c r="M458" s="93"/>
      <c r="N458" s="98">
        <v>0</v>
      </c>
      <c r="O458" s="98">
        <v>0</v>
      </c>
      <c r="P458" s="99">
        <f>SUM(SamplingData[[#This Row],[Winning Candidate]:[Under Votes]])</f>
        <v>10</v>
      </c>
      <c r="Q458"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458" s="100">
        <f>IF(AND(SamplingData[[#This Row],[Total]]&lt;&gt; 0, NOT(ISBLANK(SamplingData[[#This Row],[Candidate 3]]))),(SamplingData[[#This Row],[Total]]+SamplingData[[#This Row],[Winning Candidate]]-SamplingData[[#This Row],[Candidate 3]])/(SamplingData[[#Totals],[Winning Candidate]]-SamplingData[[#Totals],[Candidate 3]]), 0)</f>
        <v>0</v>
      </c>
      <c r="S458" s="100">
        <f>IF(AND(SamplingData[[#This Row],[Total]]&lt;&gt; 0, NOT(ISBLANK(SamplingData[[#This Row],[Candidate 4]]))),(SamplingData[[#This Row],[Total]]+SamplingData[[#This Row],[Winning Candidate]]-SamplingData[[#This Row],[Candidate 4]])/(SamplingData[[#Totals],[Winning Candidate]]-SamplingData[[#Totals],[Candidate 4]]), 0)</f>
        <v>0</v>
      </c>
      <c r="T458" s="100">
        <f>IF(AND(SamplingData[[#This Row],[Total]]&lt;&gt; 0, NOT(ISBLANK(SamplingData[[#This Row],[Candidate 5]]))),(SamplingData[[#This Row],[Total]]+SamplingData[[#This Row],[Winning Candidate]]-SamplingData[[#This Row],[Candidate 5]])/(SamplingData[[#Totals],[Winning Candidate]]-SamplingData[[#Totals],[Candidate 5]]), 0)</f>
        <v>0</v>
      </c>
      <c r="U458" s="100">
        <f>IF(AND(SamplingData[[#This Row],[Total]]&lt;&gt; 0, NOT(ISBLANK(SamplingData[[#This Row],[Candidate 6]]))),(SamplingData[[#This Row],[Total]]+SamplingData[[#This Row],[Losing Candidate]]-SamplingData[[#This Row],[Candidate 6]])/(SamplingData[[#Totals],[Winning Candidate]]-SamplingData[[#Totals],[Candidate 6]]), 0)</f>
        <v>0</v>
      </c>
      <c r="V458" s="100">
        <f>IF(AND(SamplingData[[#This Row],[Total]]&lt;&gt; 0, NOT(ISBLANK(SamplingData[[#This Row],[Candidate 7]]))),(SamplingData[[#This Row],[Total]]+SamplingData[[#This Row],[Winning Candidate]]-SamplingData[[#This Row],[Candidate 7]])/(SamplingData[[#Totals],[Winning Candidate]]-SamplingData[[#Totals],[Candidate 7]]), 0)</f>
        <v>0</v>
      </c>
      <c r="W458" s="100">
        <f>IF(AND(SamplingData[[#This Row],[Total]]&lt;&gt; 0, NOT(ISBLANK(SamplingData[[#This Row],[Candidate 8]]))),(SamplingData[[#This Row],[Total]]+SamplingData[[#This Row],[Winning Candidate]]-SamplingData[[#This Row],[Candidate 8]])/(SamplingData[[#Totals],[Winning Candidate]]-SamplingData[[#Totals],[Candidate 8]]), 0)</f>
        <v>0</v>
      </c>
      <c r="X4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00">
        <f>MAX(SamplingData[[#This Row],[Error Bound (up) - Max. possible relative overstatement - Losing Candidate]:[Error Bound (up) - Max. possible relative overstatement - Candidate 12]])</f>
        <v>5.6537990388541635E-4</v>
      </c>
      <c r="AC458" s="100">
        <f>IF(SamplingData[[#This Row],[Max Error Bound (up)]] = 0,0,SamplingData[[#This Row],[Max Error Bound (up)]]/SamplingData[[#Totals],[Max Error Bound (up)]])</f>
        <v>2.4228719108383145E-4</v>
      </c>
      <c r="AD458" s="104">
        <f>SUM($AC$5:AC458)</f>
        <v>9.5716900877618111E-2</v>
      </c>
      <c r="AE458" s="100" t="str" cm="1">
        <f t="array" ref="AE458">IF(SamplingData[[#This Row],[up/U Selection Probability]] = 0, "Zero", TEXT(SamplingData[[#This Row],[Lower Range]], REPT("0",LEN('General Info'!$B$42))) &amp; " - " &amp; TEXT(SamplingData[[#This Row],[Upper Range]], REPT("0",LEN('General Info'!$B$42))))</f>
        <v>09547 - 09571</v>
      </c>
      <c r="AF458" s="100">
        <f>SamplingData[[#This Row],[Upper Range]]-SamplingData[[#This Row],[Span]]</f>
        <v>9547.4613686534285</v>
      </c>
      <c r="AG458" s="100">
        <f>IF(ISNUMBER('General Info'!$B$42), ((SamplingData[[#This Row],[up/U Selection Probability]]) * 'General Info'!$B$44) - 1, 0)</f>
        <v>23.228719108383146</v>
      </c>
      <c r="AH458" s="100">
        <f>IF(ISNUMBER('General Info'!$B$42), (SamplingData[[#This Row],[Running (cumulative) sum]] * ('General Info'!$B$42 -'General Info'!$B$43 + 1)) + 'General Info'!$B$43 - 1, 0)</f>
        <v>9570.6900877618118</v>
      </c>
      <c r="AI458" s="100" t="str">
        <f>IF(ISERROR(MATCH(SamplingData[[#This Row],[Batch by Type (p)]],SelectedPrecincts[Batch Name], 0)), "", INDEX(SelectedPrecincts[Draw], MATCH(SamplingData[[#This Row],[Batch by Type (p)]],SelectedPrecincts[Batch Name], 0)))</f>
        <v/>
      </c>
      <c r="AJ458" s="101">
        <f>IF(COUNTIF(SelectedPrecincts[Batch Name],SamplingData[[#This Row],[Batch by Type (p)]]) &lt;&gt; 0, COUNTIF(SelectedPrecincts[Batch Name],SamplingData[[#This Row],[Batch by Type (p)]]), 0)</f>
        <v>0</v>
      </c>
    </row>
    <row r="459" spans="1:36" ht="15" customHeight="1" x14ac:dyDescent="0.35">
      <c r="A459" s="98" t="s">
        <v>671</v>
      </c>
      <c r="B459" s="98">
        <v>15</v>
      </c>
      <c r="C459" s="98">
        <v>5</v>
      </c>
      <c r="D459" s="93"/>
      <c r="E459" s="93"/>
      <c r="F459" s="93"/>
      <c r="G459" s="97"/>
      <c r="H459" s="97"/>
      <c r="I459" s="93"/>
      <c r="J459" s="93"/>
      <c r="K459" s="93"/>
      <c r="L459" s="93"/>
      <c r="M459" s="93"/>
      <c r="N459" s="98">
        <v>0</v>
      </c>
      <c r="O459" s="98">
        <v>1</v>
      </c>
      <c r="P459" s="99">
        <f>SUM(SamplingData[[#This Row],[Winning Candidate]:[Under Votes]])</f>
        <v>21</v>
      </c>
      <c r="Q459" s="100">
        <f>IF(AND(SamplingData[[#This Row],[Total]]&lt;&gt; 0, NOT(ISBLANK(SamplingData[[#This Row],[Losing Candidate]]))),(SamplingData[[#This Row],[Total]]+SamplingData[[#This Row],[Winning Candidate]]-SamplingData[[#This Row],[Losing Candidate]])/(SamplingData[[#Totals],[Winning Candidate]]-SamplingData[[#Totals],[Losing Candidate]]), 0)</f>
        <v>9.7370983446932818E-4</v>
      </c>
      <c r="R459" s="100">
        <f>IF(AND(SamplingData[[#This Row],[Total]]&lt;&gt; 0, NOT(ISBLANK(SamplingData[[#This Row],[Candidate 3]]))),(SamplingData[[#This Row],[Total]]+SamplingData[[#This Row],[Winning Candidate]]-SamplingData[[#This Row],[Candidate 3]])/(SamplingData[[#Totals],[Winning Candidate]]-SamplingData[[#Totals],[Candidate 3]]), 0)</f>
        <v>0</v>
      </c>
      <c r="S459" s="100">
        <f>IF(AND(SamplingData[[#This Row],[Total]]&lt;&gt; 0, NOT(ISBLANK(SamplingData[[#This Row],[Candidate 4]]))),(SamplingData[[#This Row],[Total]]+SamplingData[[#This Row],[Winning Candidate]]-SamplingData[[#This Row],[Candidate 4]])/(SamplingData[[#Totals],[Winning Candidate]]-SamplingData[[#Totals],[Candidate 4]]), 0)</f>
        <v>0</v>
      </c>
      <c r="T459" s="100">
        <f>IF(AND(SamplingData[[#This Row],[Total]]&lt;&gt; 0, NOT(ISBLANK(SamplingData[[#This Row],[Candidate 5]]))),(SamplingData[[#This Row],[Total]]+SamplingData[[#This Row],[Winning Candidate]]-SamplingData[[#This Row],[Candidate 5]])/(SamplingData[[#Totals],[Winning Candidate]]-SamplingData[[#Totals],[Candidate 5]]), 0)</f>
        <v>0</v>
      </c>
      <c r="U459" s="100">
        <f>IF(AND(SamplingData[[#This Row],[Total]]&lt;&gt; 0, NOT(ISBLANK(SamplingData[[#This Row],[Candidate 6]]))),(SamplingData[[#This Row],[Total]]+SamplingData[[#This Row],[Losing Candidate]]-SamplingData[[#This Row],[Candidate 6]])/(SamplingData[[#Totals],[Winning Candidate]]-SamplingData[[#Totals],[Candidate 6]]), 0)</f>
        <v>0</v>
      </c>
      <c r="V459" s="100">
        <f>IF(AND(SamplingData[[#This Row],[Total]]&lt;&gt; 0, NOT(ISBLANK(SamplingData[[#This Row],[Candidate 7]]))),(SamplingData[[#This Row],[Total]]+SamplingData[[#This Row],[Winning Candidate]]-SamplingData[[#This Row],[Candidate 7]])/(SamplingData[[#Totals],[Winning Candidate]]-SamplingData[[#Totals],[Candidate 7]]), 0)</f>
        <v>0</v>
      </c>
      <c r="W459" s="100">
        <f>IF(AND(SamplingData[[#This Row],[Total]]&lt;&gt; 0, NOT(ISBLANK(SamplingData[[#This Row],[Candidate 8]]))),(SamplingData[[#This Row],[Total]]+SamplingData[[#This Row],[Winning Candidate]]-SamplingData[[#This Row],[Candidate 8]])/(SamplingData[[#Totals],[Winning Candidate]]-SamplingData[[#Totals],[Candidate 8]]), 0)</f>
        <v>0</v>
      </c>
      <c r="X4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00">
        <f>MAX(SamplingData[[#This Row],[Error Bound (up) - Max. possible relative overstatement - Losing Candidate]:[Error Bound (up) - Max. possible relative overstatement - Candidate 12]])</f>
        <v>9.7370983446932818E-4</v>
      </c>
      <c r="AC459" s="100">
        <f>IF(SamplingData[[#This Row],[Max Error Bound (up)]] = 0,0,SamplingData[[#This Row],[Max Error Bound (up)]]/SamplingData[[#Totals],[Max Error Bound (up)]])</f>
        <v>4.1727238464437641E-4</v>
      </c>
      <c r="AD459" s="104">
        <f>SUM($AC$5:AC459)</f>
        <v>9.6134173262262493E-2</v>
      </c>
      <c r="AE459" s="100" t="str" cm="1">
        <f t="array" ref="AE459">IF(SamplingData[[#This Row],[up/U Selection Probability]] = 0, "Zero", TEXT(SamplingData[[#This Row],[Lower Range]], REPT("0",LEN('General Info'!$B$42))) &amp; " - " &amp; TEXT(SamplingData[[#This Row],[Upper Range]], REPT("0",LEN('General Info'!$B$42))))</f>
        <v>09572 - 09612</v>
      </c>
      <c r="AF459" s="100">
        <f>SamplingData[[#This Row],[Upper Range]]-SamplingData[[#This Row],[Span]]</f>
        <v>9571.69008776181</v>
      </c>
      <c r="AG459" s="100">
        <f>IF(ISNUMBER('General Info'!$B$42), ((SamplingData[[#This Row],[up/U Selection Probability]]) * 'General Info'!$B$44) - 1, 0)</f>
        <v>40.72723846443764</v>
      </c>
      <c r="AH459" s="100">
        <f>IF(ISNUMBER('General Info'!$B$42), (SamplingData[[#This Row],[Running (cumulative) sum]] * ('General Info'!$B$42 -'General Info'!$B$43 + 1)) + 'General Info'!$B$43 - 1, 0)</f>
        <v>9612.4173262262484</v>
      </c>
      <c r="AI459" s="100" t="str">
        <f>IF(ISERROR(MATCH(SamplingData[[#This Row],[Batch by Type (p)]],SelectedPrecincts[Batch Name], 0)), "", INDEX(SelectedPrecincts[Draw], MATCH(SamplingData[[#This Row],[Batch by Type (p)]],SelectedPrecincts[Batch Name], 0)))</f>
        <v/>
      </c>
      <c r="AJ459" s="101">
        <f>IF(COUNTIF(SelectedPrecincts[Batch Name],SamplingData[[#This Row],[Batch by Type (p)]]) &lt;&gt; 0, COUNTIF(SelectedPrecincts[Batch Name],SamplingData[[#This Row],[Batch by Type (p)]]), 0)</f>
        <v>0</v>
      </c>
    </row>
    <row r="460" spans="1:36" ht="15" customHeight="1" x14ac:dyDescent="0.35">
      <c r="A460" s="98" t="s">
        <v>672</v>
      </c>
      <c r="B460" s="98">
        <v>5</v>
      </c>
      <c r="C460" s="98">
        <v>6</v>
      </c>
      <c r="D460" s="93"/>
      <c r="E460" s="93"/>
      <c r="F460" s="93"/>
      <c r="G460" s="97"/>
      <c r="H460" s="97"/>
      <c r="I460" s="93"/>
      <c r="J460" s="93"/>
      <c r="K460" s="93"/>
      <c r="L460" s="93"/>
      <c r="M460" s="93"/>
      <c r="N460" s="98">
        <v>0</v>
      </c>
      <c r="O460" s="98">
        <v>1</v>
      </c>
      <c r="P460" s="99">
        <f>SUM(SamplingData[[#This Row],[Winning Candidate]:[Under Votes]])</f>
        <v>12</v>
      </c>
      <c r="Q460"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460" s="100">
        <f>IF(AND(SamplingData[[#This Row],[Total]]&lt;&gt; 0, NOT(ISBLANK(SamplingData[[#This Row],[Candidate 3]]))),(SamplingData[[#This Row],[Total]]+SamplingData[[#This Row],[Winning Candidate]]-SamplingData[[#This Row],[Candidate 3]])/(SamplingData[[#Totals],[Winning Candidate]]-SamplingData[[#Totals],[Candidate 3]]), 0)</f>
        <v>0</v>
      </c>
      <c r="S460" s="100">
        <f>IF(AND(SamplingData[[#This Row],[Total]]&lt;&gt; 0, NOT(ISBLANK(SamplingData[[#This Row],[Candidate 4]]))),(SamplingData[[#This Row],[Total]]+SamplingData[[#This Row],[Winning Candidate]]-SamplingData[[#This Row],[Candidate 4]])/(SamplingData[[#Totals],[Winning Candidate]]-SamplingData[[#Totals],[Candidate 4]]), 0)</f>
        <v>0</v>
      </c>
      <c r="T460" s="100">
        <f>IF(AND(SamplingData[[#This Row],[Total]]&lt;&gt; 0, NOT(ISBLANK(SamplingData[[#This Row],[Candidate 5]]))),(SamplingData[[#This Row],[Total]]+SamplingData[[#This Row],[Winning Candidate]]-SamplingData[[#This Row],[Candidate 5]])/(SamplingData[[#Totals],[Winning Candidate]]-SamplingData[[#Totals],[Candidate 5]]), 0)</f>
        <v>0</v>
      </c>
      <c r="U460" s="100">
        <f>IF(AND(SamplingData[[#This Row],[Total]]&lt;&gt; 0, NOT(ISBLANK(SamplingData[[#This Row],[Candidate 6]]))),(SamplingData[[#This Row],[Total]]+SamplingData[[#This Row],[Losing Candidate]]-SamplingData[[#This Row],[Candidate 6]])/(SamplingData[[#Totals],[Winning Candidate]]-SamplingData[[#Totals],[Candidate 6]]), 0)</f>
        <v>0</v>
      </c>
      <c r="V460" s="100">
        <f>IF(AND(SamplingData[[#This Row],[Total]]&lt;&gt; 0, NOT(ISBLANK(SamplingData[[#This Row],[Candidate 7]]))),(SamplingData[[#This Row],[Total]]+SamplingData[[#This Row],[Winning Candidate]]-SamplingData[[#This Row],[Candidate 7]])/(SamplingData[[#Totals],[Winning Candidate]]-SamplingData[[#Totals],[Candidate 7]]), 0)</f>
        <v>0</v>
      </c>
      <c r="W460" s="100">
        <f>IF(AND(SamplingData[[#This Row],[Total]]&lt;&gt; 0, NOT(ISBLANK(SamplingData[[#This Row],[Candidate 8]]))),(SamplingData[[#This Row],[Total]]+SamplingData[[#This Row],[Winning Candidate]]-SamplingData[[#This Row],[Candidate 8]])/(SamplingData[[#Totals],[Winning Candidate]]-SamplingData[[#Totals],[Candidate 8]]), 0)</f>
        <v>0</v>
      </c>
      <c r="X4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00">
        <f>MAX(SamplingData[[#This Row],[Error Bound (up) - Max. possible relative overstatement - Losing Candidate]:[Error Bound (up) - Max. possible relative overstatement - Candidate 12]])</f>
        <v>3.4550994126331E-4</v>
      </c>
      <c r="AC460" s="100">
        <f>IF(SamplingData[[#This Row],[Max Error Bound (up)]] = 0,0,SamplingData[[#This Row],[Max Error Bound (up)]]/SamplingData[[#Totals],[Max Error Bound (up)]])</f>
        <v>1.4806439455123033E-4</v>
      </c>
      <c r="AD460" s="104">
        <f>SUM($AC$5:AC460)</f>
        <v>9.6282237656813721E-2</v>
      </c>
      <c r="AE460" s="100" t="str" cm="1">
        <f t="array" ref="AE460">IF(SamplingData[[#This Row],[up/U Selection Probability]] = 0, "Zero", TEXT(SamplingData[[#This Row],[Lower Range]], REPT("0",LEN('General Info'!$B$42))) &amp; " - " &amp; TEXT(SamplingData[[#This Row],[Upper Range]], REPT("0",LEN('General Info'!$B$42))))</f>
        <v>09613 - 09627</v>
      </c>
      <c r="AF460" s="100">
        <f>SamplingData[[#This Row],[Upper Range]]-SamplingData[[#This Row],[Span]]</f>
        <v>9613.4173262262484</v>
      </c>
      <c r="AG460" s="100">
        <f>IF(ISNUMBER('General Info'!$B$42), ((SamplingData[[#This Row],[up/U Selection Probability]]) * 'General Info'!$B$44) - 1, 0)</f>
        <v>13.806439455123034</v>
      </c>
      <c r="AH460" s="100">
        <f>IF(ISNUMBER('General Info'!$B$42), (SamplingData[[#This Row],[Running (cumulative) sum]] * ('General Info'!$B$42 -'General Info'!$B$43 + 1)) + 'General Info'!$B$43 - 1, 0)</f>
        <v>9627.2237656813722</v>
      </c>
      <c r="AI460" s="100" t="str">
        <f>IF(ISERROR(MATCH(SamplingData[[#This Row],[Batch by Type (p)]],SelectedPrecincts[Batch Name], 0)), "", INDEX(SelectedPrecincts[Draw], MATCH(SamplingData[[#This Row],[Batch by Type (p)]],SelectedPrecincts[Batch Name], 0)))</f>
        <v/>
      </c>
      <c r="AJ460" s="101">
        <f>IF(COUNTIF(SelectedPrecincts[Batch Name],SamplingData[[#This Row],[Batch by Type (p)]]) &lt;&gt; 0, COUNTIF(SelectedPrecincts[Batch Name],SamplingData[[#This Row],[Batch by Type (p)]]), 0)</f>
        <v>0</v>
      </c>
    </row>
    <row r="461" spans="1:36" ht="15" customHeight="1" x14ac:dyDescent="0.35">
      <c r="A461" s="98" t="s">
        <v>673</v>
      </c>
      <c r="B461" s="98">
        <v>15</v>
      </c>
      <c r="C461" s="98">
        <v>0</v>
      </c>
      <c r="D461" s="93"/>
      <c r="E461" s="93"/>
      <c r="F461" s="93"/>
      <c r="G461" s="97"/>
      <c r="H461" s="97"/>
      <c r="I461" s="93"/>
      <c r="J461" s="93"/>
      <c r="K461" s="93"/>
      <c r="L461" s="93"/>
      <c r="M461" s="93"/>
      <c r="N461" s="98">
        <v>0</v>
      </c>
      <c r="O461" s="98">
        <v>0</v>
      </c>
      <c r="P461" s="99">
        <f>SUM(SamplingData[[#This Row],[Winning Candidate]:[Under Votes]])</f>
        <v>15</v>
      </c>
      <c r="Q461"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461" s="100">
        <f>IF(AND(SamplingData[[#This Row],[Total]]&lt;&gt; 0, NOT(ISBLANK(SamplingData[[#This Row],[Candidate 3]]))),(SamplingData[[#This Row],[Total]]+SamplingData[[#This Row],[Winning Candidate]]-SamplingData[[#This Row],[Candidate 3]])/(SamplingData[[#Totals],[Winning Candidate]]-SamplingData[[#Totals],[Candidate 3]]), 0)</f>
        <v>0</v>
      </c>
      <c r="S461" s="100">
        <f>IF(AND(SamplingData[[#This Row],[Total]]&lt;&gt; 0, NOT(ISBLANK(SamplingData[[#This Row],[Candidate 4]]))),(SamplingData[[#This Row],[Total]]+SamplingData[[#This Row],[Winning Candidate]]-SamplingData[[#This Row],[Candidate 4]])/(SamplingData[[#Totals],[Winning Candidate]]-SamplingData[[#Totals],[Candidate 4]]), 0)</f>
        <v>0</v>
      </c>
      <c r="T461" s="100">
        <f>IF(AND(SamplingData[[#This Row],[Total]]&lt;&gt; 0, NOT(ISBLANK(SamplingData[[#This Row],[Candidate 5]]))),(SamplingData[[#This Row],[Total]]+SamplingData[[#This Row],[Winning Candidate]]-SamplingData[[#This Row],[Candidate 5]])/(SamplingData[[#Totals],[Winning Candidate]]-SamplingData[[#Totals],[Candidate 5]]), 0)</f>
        <v>0</v>
      </c>
      <c r="U461" s="100">
        <f>IF(AND(SamplingData[[#This Row],[Total]]&lt;&gt; 0, NOT(ISBLANK(SamplingData[[#This Row],[Candidate 6]]))),(SamplingData[[#This Row],[Total]]+SamplingData[[#This Row],[Losing Candidate]]-SamplingData[[#This Row],[Candidate 6]])/(SamplingData[[#Totals],[Winning Candidate]]-SamplingData[[#Totals],[Candidate 6]]), 0)</f>
        <v>0</v>
      </c>
      <c r="V461" s="100">
        <f>IF(AND(SamplingData[[#This Row],[Total]]&lt;&gt; 0, NOT(ISBLANK(SamplingData[[#This Row],[Candidate 7]]))),(SamplingData[[#This Row],[Total]]+SamplingData[[#This Row],[Winning Candidate]]-SamplingData[[#This Row],[Candidate 7]])/(SamplingData[[#Totals],[Winning Candidate]]-SamplingData[[#Totals],[Candidate 7]]), 0)</f>
        <v>0</v>
      </c>
      <c r="W461" s="100">
        <f>IF(AND(SamplingData[[#This Row],[Total]]&lt;&gt; 0, NOT(ISBLANK(SamplingData[[#This Row],[Candidate 8]]))),(SamplingData[[#This Row],[Total]]+SamplingData[[#This Row],[Winning Candidate]]-SamplingData[[#This Row],[Candidate 8]])/(SamplingData[[#Totals],[Winning Candidate]]-SamplingData[[#Totals],[Candidate 8]]), 0)</f>
        <v>0</v>
      </c>
      <c r="X4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00">
        <f>MAX(SamplingData[[#This Row],[Error Bound (up) - Max. possible relative overstatement - Losing Candidate]:[Error Bound (up) - Max. possible relative overstatement - Candidate 12]])</f>
        <v>9.4229983980902718E-4</v>
      </c>
      <c r="AC461" s="100">
        <f>IF(SamplingData[[#This Row],[Max Error Bound (up)]] = 0,0,SamplingData[[#This Row],[Max Error Bound (up)]]/SamplingData[[#Totals],[Max Error Bound (up)]])</f>
        <v>4.0381198513971905E-4</v>
      </c>
      <c r="AD461" s="104">
        <f>SUM($AC$5:AC461)</f>
        <v>9.6686049641953445E-2</v>
      </c>
      <c r="AE461" s="100" t="str" cm="1">
        <f t="array" ref="AE461">IF(SamplingData[[#This Row],[up/U Selection Probability]] = 0, "Zero", TEXT(SamplingData[[#This Row],[Lower Range]], REPT("0",LEN('General Info'!$B$42))) &amp; " - " &amp; TEXT(SamplingData[[#This Row],[Upper Range]], REPT("0",LEN('General Info'!$B$42))))</f>
        <v>09628 - 09668</v>
      </c>
      <c r="AF461" s="100">
        <f>SamplingData[[#This Row],[Upper Range]]-SamplingData[[#This Row],[Span]]</f>
        <v>9628.2237656813722</v>
      </c>
      <c r="AG461" s="100">
        <f>IF(ISNUMBER('General Info'!$B$42), ((SamplingData[[#This Row],[up/U Selection Probability]]) * 'General Info'!$B$44) - 1, 0)</f>
        <v>39.381198513971903</v>
      </c>
      <c r="AH461" s="100">
        <f>IF(ISNUMBER('General Info'!$B$42), (SamplingData[[#This Row],[Running (cumulative) sum]] * ('General Info'!$B$42 -'General Info'!$B$43 + 1)) + 'General Info'!$B$43 - 1, 0)</f>
        <v>9667.604964195345</v>
      </c>
      <c r="AI461" s="100" t="str">
        <f>IF(ISERROR(MATCH(SamplingData[[#This Row],[Batch by Type (p)]],SelectedPrecincts[Batch Name], 0)), "", INDEX(SelectedPrecincts[Draw], MATCH(SamplingData[[#This Row],[Batch by Type (p)]],SelectedPrecincts[Batch Name], 0)))</f>
        <v/>
      </c>
      <c r="AJ461" s="101">
        <f>IF(COUNTIF(SelectedPrecincts[Batch Name],SamplingData[[#This Row],[Batch by Type (p)]]) &lt;&gt; 0, COUNTIF(SelectedPrecincts[Batch Name],SamplingData[[#This Row],[Batch by Type (p)]]), 0)</f>
        <v>0</v>
      </c>
    </row>
    <row r="462" spans="1:36" ht="15" customHeight="1" x14ac:dyDescent="0.35">
      <c r="A462" s="98" t="s">
        <v>674</v>
      </c>
      <c r="B462" s="98">
        <v>8</v>
      </c>
      <c r="C462" s="98">
        <v>0</v>
      </c>
      <c r="D462" s="93"/>
      <c r="E462" s="93"/>
      <c r="F462" s="93"/>
      <c r="G462" s="97"/>
      <c r="H462" s="97"/>
      <c r="I462" s="93"/>
      <c r="J462" s="93"/>
      <c r="K462" s="93"/>
      <c r="L462" s="93"/>
      <c r="M462" s="93"/>
      <c r="N462" s="98">
        <v>0</v>
      </c>
      <c r="O462" s="98">
        <v>0</v>
      </c>
      <c r="P462" s="99">
        <f>SUM(SamplingData[[#This Row],[Winning Candidate]:[Under Votes]])</f>
        <v>8</v>
      </c>
      <c r="Q462"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462" s="100">
        <f>IF(AND(SamplingData[[#This Row],[Total]]&lt;&gt; 0, NOT(ISBLANK(SamplingData[[#This Row],[Candidate 3]]))),(SamplingData[[#This Row],[Total]]+SamplingData[[#This Row],[Winning Candidate]]-SamplingData[[#This Row],[Candidate 3]])/(SamplingData[[#Totals],[Winning Candidate]]-SamplingData[[#Totals],[Candidate 3]]), 0)</f>
        <v>0</v>
      </c>
      <c r="S462" s="100">
        <f>IF(AND(SamplingData[[#This Row],[Total]]&lt;&gt; 0, NOT(ISBLANK(SamplingData[[#This Row],[Candidate 4]]))),(SamplingData[[#This Row],[Total]]+SamplingData[[#This Row],[Winning Candidate]]-SamplingData[[#This Row],[Candidate 4]])/(SamplingData[[#Totals],[Winning Candidate]]-SamplingData[[#Totals],[Candidate 4]]), 0)</f>
        <v>0</v>
      </c>
      <c r="T462" s="100">
        <f>IF(AND(SamplingData[[#This Row],[Total]]&lt;&gt; 0, NOT(ISBLANK(SamplingData[[#This Row],[Candidate 5]]))),(SamplingData[[#This Row],[Total]]+SamplingData[[#This Row],[Winning Candidate]]-SamplingData[[#This Row],[Candidate 5]])/(SamplingData[[#Totals],[Winning Candidate]]-SamplingData[[#Totals],[Candidate 5]]), 0)</f>
        <v>0</v>
      </c>
      <c r="U462" s="100">
        <f>IF(AND(SamplingData[[#This Row],[Total]]&lt;&gt; 0, NOT(ISBLANK(SamplingData[[#This Row],[Candidate 6]]))),(SamplingData[[#This Row],[Total]]+SamplingData[[#This Row],[Losing Candidate]]-SamplingData[[#This Row],[Candidate 6]])/(SamplingData[[#Totals],[Winning Candidate]]-SamplingData[[#Totals],[Candidate 6]]), 0)</f>
        <v>0</v>
      </c>
      <c r="V462" s="100">
        <f>IF(AND(SamplingData[[#This Row],[Total]]&lt;&gt; 0, NOT(ISBLANK(SamplingData[[#This Row],[Candidate 7]]))),(SamplingData[[#This Row],[Total]]+SamplingData[[#This Row],[Winning Candidate]]-SamplingData[[#This Row],[Candidate 7]])/(SamplingData[[#Totals],[Winning Candidate]]-SamplingData[[#Totals],[Candidate 7]]), 0)</f>
        <v>0</v>
      </c>
      <c r="W462" s="100">
        <f>IF(AND(SamplingData[[#This Row],[Total]]&lt;&gt; 0, NOT(ISBLANK(SamplingData[[#This Row],[Candidate 8]]))),(SamplingData[[#This Row],[Total]]+SamplingData[[#This Row],[Winning Candidate]]-SamplingData[[#This Row],[Candidate 8]])/(SamplingData[[#Totals],[Winning Candidate]]-SamplingData[[#Totals],[Candidate 8]]), 0)</f>
        <v>0</v>
      </c>
      <c r="X4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00">
        <f>MAX(SamplingData[[#This Row],[Error Bound (up) - Max. possible relative overstatement - Losing Candidate]:[Error Bound (up) - Max. possible relative overstatement - Candidate 12]])</f>
        <v>5.0255991456481448E-4</v>
      </c>
      <c r="AC462" s="100">
        <f>IF(SamplingData[[#This Row],[Max Error Bound (up)]] = 0,0,SamplingData[[#This Row],[Max Error Bound (up)]]/SamplingData[[#Totals],[Max Error Bound (up)]])</f>
        <v>2.1536639207451683E-4</v>
      </c>
      <c r="AD462" s="104">
        <f>SUM($AC$5:AC462)</f>
        <v>9.6901416034027965E-2</v>
      </c>
      <c r="AE462" s="100" t="str" cm="1">
        <f t="array" ref="AE462">IF(SamplingData[[#This Row],[up/U Selection Probability]] = 0, "Zero", TEXT(SamplingData[[#This Row],[Lower Range]], REPT("0",LEN('General Info'!$B$42))) &amp; " - " &amp; TEXT(SamplingData[[#This Row],[Upper Range]], REPT("0",LEN('General Info'!$B$42))))</f>
        <v>09669 - 09689</v>
      </c>
      <c r="AF462" s="100">
        <f>SamplingData[[#This Row],[Upper Range]]-SamplingData[[#This Row],[Span]]</f>
        <v>9668.604964195345</v>
      </c>
      <c r="AG462" s="100">
        <f>IF(ISNUMBER('General Info'!$B$42), ((SamplingData[[#This Row],[up/U Selection Probability]]) * 'General Info'!$B$44) - 1, 0)</f>
        <v>20.536639207451682</v>
      </c>
      <c r="AH462" s="100">
        <f>IF(ISNUMBER('General Info'!$B$42), (SamplingData[[#This Row],[Running (cumulative) sum]] * ('General Info'!$B$42 -'General Info'!$B$43 + 1)) + 'General Info'!$B$43 - 1, 0)</f>
        <v>9689.141603402797</v>
      </c>
      <c r="AI462" s="100" t="str">
        <f>IF(ISERROR(MATCH(SamplingData[[#This Row],[Batch by Type (p)]],SelectedPrecincts[Batch Name], 0)), "", INDEX(SelectedPrecincts[Draw], MATCH(SamplingData[[#This Row],[Batch by Type (p)]],SelectedPrecincts[Batch Name], 0)))</f>
        <v/>
      </c>
      <c r="AJ462" s="101">
        <f>IF(COUNTIF(SelectedPrecincts[Batch Name],SamplingData[[#This Row],[Batch by Type (p)]]) &lt;&gt; 0, COUNTIF(SelectedPrecincts[Batch Name],SamplingData[[#This Row],[Batch by Type (p)]]), 0)</f>
        <v>0</v>
      </c>
    </row>
    <row r="463" spans="1:36" ht="15" customHeight="1" x14ac:dyDescent="0.35">
      <c r="A463" s="98" t="s">
        <v>675</v>
      </c>
      <c r="B463" s="98">
        <v>14</v>
      </c>
      <c r="C463" s="98">
        <v>1</v>
      </c>
      <c r="D463" s="93"/>
      <c r="E463" s="93"/>
      <c r="F463" s="93"/>
      <c r="G463" s="97"/>
      <c r="H463" s="97"/>
      <c r="I463" s="93"/>
      <c r="J463" s="93"/>
      <c r="K463" s="93"/>
      <c r="L463" s="93"/>
      <c r="M463" s="93"/>
      <c r="N463" s="98">
        <v>0</v>
      </c>
      <c r="O463" s="98">
        <v>0</v>
      </c>
      <c r="P463" s="99">
        <f>SUM(SamplingData[[#This Row],[Winning Candidate]:[Under Votes]])</f>
        <v>15</v>
      </c>
      <c r="Q463"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463" s="100">
        <f>IF(AND(SamplingData[[#This Row],[Total]]&lt;&gt; 0, NOT(ISBLANK(SamplingData[[#This Row],[Candidate 3]]))),(SamplingData[[#This Row],[Total]]+SamplingData[[#This Row],[Winning Candidate]]-SamplingData[[#This Row],[Candidate 3]])/(SamplingData[[#Totals],[Winning Candidate]]-SamplingData[[#Totals],[Candidate 3]]), 0)</f>
        <v>0</v>
      </c>
      <c r="S463" s="100">
        <f>IF(AND(SamplingData[[#This Row],[Total]]&lt;&gt; 0, NOT(ISBLANK(SamplingData[[#This Row],[Candidate 4]]))),(SamplingData[[#This Row],[Total]]+SamplingData[[#This Row],[Winning Candidate]]-SamplingData[[#This Row],[Candidate 4]])/(SamplingData[[#Totals],[Winning Candidate]]-SamplingData[[#Totals],[Candidate 4]]), 0)</f>
        <v>0</v>
      </c>
      <c r="T463" s="100">
        <f>IF(AND(SamplingData[[#This Row],[Total]]&lt;&gt; 0, NOT(ISBLANK(SamplingData[[#This Row],[Candidate 5]]))),(SamplingData[[#This Row],[Total]]+SamplingData[[#This Row],[Winning Candidate]]-SamplingData[[#This Row],[Candidate 5]])/(SamplingData[[#Totals],[Winning Candidate]]-SamplingData[[#Totals],[Candidate 5]]), 0)</f>
        <v>0</v>
      </c>
      <c r="U463" s="100">
        <f>IF(AND(SamplingData[[#This Row],[Total]]&lt;&gt; 0, NOT(ISBLANK(SamplingData[[#This Row],[Candidate 6]]))),(SamplingData[[#This Row],[Total]]+SamplingData[[#This Row],[Losing Candidate]]-SamplingData[[#This Row],[Candidate 6]])/(SamplingData[[#Totals],[Winning Candidate]]-SamplingData[[#Totals],[Candidate 6]]), 0)</f>
        <v>0</v>
      </c>
      <c r="V463" s="100">
        <f>IF(AND(SamplingData[[#This Row],[Total]]&lt;&gt; 0, NOT(ISBLANK(SamplingData[[#This Row],[Candidate 7]]))),(SamplingData[[#This Row],[Total]]+SamplingData[[#This Row],[Winning Candidate]]-SamplingData[[#This Row],[Candidate 7]])/(SamplingData[[#Totals],[Winning Candidate]]-SamplingData[[#Totals],[Candidate 7]]), 0)</f>
        <v>0</v>
      </c>
      <c r="W463" s="100">
        <f>IF(AND(SamplingData[[#This Row],[Total]]&lt;&gt; 0, NOT(ISBLANK(SamplingData[[#This Row],[Candidate 8]]))),(SamplingData[[#This Row],[Total]]+SamplingData[[#This Row],[Winning Candidate]]-SamplingData[[#This Row],[Candidate 8]])/(SamplingData[[#Totals],[Winning Candidate]]-SamplingData[[#Totals],[Candidate 8]]), 0)</f>
        <v>0</v>
      </c>
      <c r="X4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00">
        <f>MAX(SamplingData[[#This Row],[Error Bound (up) - Max. possible relative overstatement - Losing Candidate]:[Error Bound (up) - Max. possible relative overstatement - Candidate 12]])</f>
        <v>8.7947985048842541E-4</v>
      </c>
      <c r="AC463" s="100">
        <f>IF(SamplingData[[#This Row],[Max Error Bound (up)]] = 0,0,SamplingData[[#This Row],[Max Error Bound (up)]]/SamplingData[[#Totals],[Max Error Bound (up)]])</f>
        <v>3.7689118613040446E-4</v>
      </c>
      <c r="AD463" s="104">
        <f>SUM($AC$5:AC463)</f>
        <v>9.7278307220158372E-2</v>
      </c>
      <c r="AE463" s="100" t="str" cm="1">
        <f t="array" ref="AE463">IF(SamplingData[[#This Row],[up/U Selection Probability]] = 0, "Zero", TEXT(SamplingData[[#This Row],[Lower Range]], REPT("0",LEN('General Info'!$B$42))) &amp; " - " &amp; TEXT(SamplingData[[#This Row],[Upper Range]], REPT("0",LEN('General Info'!$B$42))))</f>
        <v>09690 - 09727</v>
      </c>
      <c r="AF463" s="100">
        <f>SamplingData[[#This Row],[Upper Range]]-SamplingData[[#This Row],[Span]]</f>
        <v>9690.141603402797</v>
      </c>
      <c r="AG463" s="100">
        <f>IF(ISNUMBER('General Info'!$B$42), ((SamplingData[[#This Row],[up/U Selection Probability]]) * 'General Info'!$B$44) - 1, 0)</f>
        <v>36.689118613040449</v>
      </c>
      <c r="AH463" s="100">
        <f>IF(ISNUMBER('General Info'!$B$42), (SamplingData[[#This Row],[Running (cumulative) sum]] * ('General Info'!$B$42 -'General Info'!$B$43 + 1)) + 'General Info'!$B$43 - 1, 0)</f>
        <v>9726.8307220158367</v>
      </c>
      <c r="AI463" s="100" t="str">
        <f>IF(ISERROR(MATCH(SamplingData[[#This Row],[Batch by Type (p)]],SelectedPrecincts[Batch Name], 0)), "", INDEX(SelectedPrecincts[Draw], MATCH(SamplingData[[#This Row],[Batch by Type (p)]],SelectedPrecincts[Batch Name], 0)))</f>
        <v/>
      </c>
      <c r="AJ463" s="101">
        <f>IF(COUNTIF(SelectedPrecincts[Batch Name],SamplingData[[#This Row],[Batch by Type (p)]]) &lt;&gt; 0, COUNTIF(SelectedPrecincts[Batch Name],SamplingData[[#This Row],[Batch by Type (p)]]), 0)</f>
        <v>0</v>
      </c>
    </row>
    <row r="464" spans="1:36" ht="15" customHeight="1" x14ac:dyDescent="0.35">
      <c r="A464" s="98" t="s">
        <v>676</v>
      </c>
      <c r="B464" s="98">
        <v>5</v>
      </c>
      <c r="C464" s="98">
        <v>1</v>
      </c>
      <c r="D464" s="93"/>
      <c r="E464" s="93"/>
      <c r="F464" s="93"/>
      <c r="G464" s="97"/>
      <c r="H464" s="97"/>
      <c r="I464" s="93"/>
      <c r="J464" s="93"/>
      <c r="K464" s="93"/>
      <c r="L464" s="93"/>
      <c r="M464" s="93"/>
      <c r="N464" s="98">
        <v>0</v>
      </c>
      <c r="O464" s="98">
        <v>0</v>
      </c>
      <c r="P464" s="99">
        <f>SUM(SamplingData[[#This Row],[Winning Candidate]:[Under Votes]])</f>
        <v>6</v>
      </c>
      <c r="Q464"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464" s="100">
        <f>IF(AND(SamplingData[[#This Row],[Total]]&lt;&gt; 0, NOT(ISBLANK(SamplingData[[#This Row],[Candidate 3]]))),(SamplingData[[#This Row],[Total]]+SamplingData[[#This Row],[Winning Candidate]]-SamplingData[[#This Row],[Candidate 3]])/(SamplingData[[#Totals],[Winning Candidate]]-SamplingData[[#Totals],[Candidate 3]]), 0)</f>
        <v>0</v>
      </c>
      <c r="S464" s="100">
        <f>IF(AND(SamplingData[[#This Row],[Total]]&lt;&gt; 0, NOT(ISBLANK(SamplingData[[#This Row],[Candidate 4]]))),(SamplingData[[#This Row],[Total]]+SamplingData[[#This Row],[Winning Candidate]]-SamplingData[[#This Row],[Candidate 4]])/(SamplingData[[#Totals],[Winning Candidate]]-SamplingData[[#Totals],[Candidate 4]]), 0)</f>
        <v>0</v>
      </c>
      <c r="T464" s="100">
        <f>IF(AND(SamplingData[[#This Row],[Total]]&lt;&gt; 0, NOT(ISBLANK(SamplingData[[#This Row],[Candidate 5]]))),(SamplingData[[#This Row],[Total]]+SamplingData[[#This Row],[Winning Candidate]]-SamplingData[[#This Row],[Candidate 5]])/(SamplingData[[#Totals],[Winning Candidate]]-SamplingData[[#Totals],[Candidate 5]]), 0)</f>
        <v>0</v>
      </c>
      <c r="U464" s="100">
        <f>IF(AND(SamplingData[[#This Row],[Total]]&lt;&gt; 0, NOT(ISBLANK(SamplingData[[#This Row],[Candidate 6]]))),(SamplingData[[#This Row],[Total]]+SamplingData[[#This Row],[Losing Candidate]]-SamplingData[[#This Row],[Candidate 6]])/(SamplingData[[#Totals],[Winning Candidate]]-SamplingData[[#Totals],[Candidate 6]]), 0)</f>
        <v>0</v>
      </c>
      <c r="V464" s="100">
        <f>IF(AND(SamplingData[[#This Row],[Total]]&lt;&gt; 0, NOT(ISBLANK(SamplingData[[#This Row],[Candidate 7]]))),(SamplingData[[#This Row],[Total]]+SamplingData[[#This Row],[Winning Candidate]]-SamplingData[[#This Row],[Candidate 7]])/(SamplingData[[#Totals],[Winning Candidate]]-SamplingData[[#Totals],[Candidate 7]]), 0)</f>
        <v>0</v>
      </c>
      <c r="W464" s="100">
        <f>IF(AND(SamplingData[[#This Row],[Total]]&lt;&gt; 0, NOT(ISBLANK(SamplingData[[#This Row],[Candidate 8]]))),(SamplingData[[#This Row],[Total]]+SamplingData[[#This Row],[Winning Candidate]]-SamplingData[[#This Row],[Candidate 8]])/(SamplingData[[#Totals],[Winning Candidate]]-SamplingData[[#Totals],[Candidate 8]]), 0)</f>
        <v>0</v>
      </c>
      <c r="X4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00">
        <f>MAX(SamplingData[[#This Row],[Error Bound (up) - Max. possible relative overstatement - Losing Candidate]:[Error Bound (up) - Max. possible relative overstatement - Candidate 12]])</f>
        <v>3.1409994660300906E-4</v>
      </c>
      <c r="AC464" s="100">
        <f>IF(SamplingData[[#This Row],[Max Error Bound (up)]] = 0,0,SamplingData[[#This Row],[Max Error Bound (up)]]/SamplingData[[#Totals],[Max Error Bound (up)]])</f>
        <v>1.3460399504657304E-4</v>
      </c>
      <c r="AD464" s="104">
        <f>SUM($AC$5:AC464)</f>
        <v>9.7412911215204942E-2</v>
      </c>
      <c r="AE464" s="100" t="str" cm="1">
        <f t="array" ref="AE464">IF(SamplingData[[#This Row],[up/U Selection Probability]] = 0, "Zero", TEXT(SamplingData[[#This Row],[Lower Range]], REPT("0",LEN('General Info'!$B$42))) &amp; " - " &amp; TEXT(SamplingData[[#This Row],[Upper Range]], REPT("0",LEN('General Info'!$B$42))))</f>
        <v>09728 - 09740</v>
      </c>
      <c r="AF464" s="100">
        <f>SamplingData[[#This Row],[Upper Range]]-SamplingData[[#This Row],[Span]]</f>
        <v>9727.8307220158367</v>
      </c>
      <c r="AG464" s="100">
        <f>IF(ISNUMBER('General Info'!$B$42), ((SamplingData[[#This Row],[up/U Selection Probability]]) * 'General Info'!$B$44) - 1, 0)</f>
        <v>12.460399504657303</v>
      </c>
      <c r="AH464" s="100">
        <f>IF(ISNUMBER('General Info'!$B$42), (SamplingData[[#This Row],[Running (cumulative) sum]] * ('General Info'!$B$42 -'General Info'!$B$43 + 1)) + 'General Info'!$B$43 - 1, 0)</f>
        <v>9740.2911215204949</v>
      </c>
      <c r="AI464" s="100" t="str">
        <f>IF(ISERROR(MATCH(SamplingData[[#This Row],[Batch by Type (p)]],SelectedPrecincts[Batch Name], 0)), "", INDEX(SelectedPrecincts[Draw], MATCH(SamplingData[[#This Row],[Batch by Type (p)]],SelectedPrecincts[Batch Name], 0)))</f>
        <v/>
      </c>
      <c r="AJ464" s="101">
        <f>IF(COUNTIF(SelectedPrecincts[Batch Name],SamplingData[[#This Row],[Batch by Type (p)]]) &lt;&gt; 0, COUNTIF(SelectedPrecincts[Batch Name],SamplingData[[#This Row],[Batch by Type (p)]]), 0)</f>
        <v>0</v>
      </c>
    </row>
    <row r="465" spans="1:36" ht="15" customHeight="1" x14ac:dyDescent="0.35">
      <c r="A465" s="98" t="s">
        <v>677</v>
      </c>
      <c r="B465" s="98">
        <v>13</v>
      </c>
      <c r="C465" s="98">
        <v>0</v>
      </c>
      <c r="D465" s="93"/>
      <c r="E465" s="93"/>
      <c r="F465" s="93"/>
      <c r="G465" s="97"/>
      <c r="H465" s="97"/>
      <c r="I465" s="93"/>
      <c r="J465" s="93"/>
      <c r="K465" s="93"/>
      <c r="L465" s="93"/>
      <c r="M465" s="93"/>
      <c r="N465" s="98">
        <v>0</v>
      </c>
      <c r="O465" s="98">
        <v>0</v>
      </c>
      <c r="P465" s="99">
        <f>SUM(SamplingData[[#This Row],[Winning Candidate]:[Under Votes]])</f>
        <v>13</v>
      </c>
      <c r="Q465"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465" s="100">
        <f>IF(AND(SamplingData[[#This Row],[Total]]&lt;&gt; 0, NOT(ISBLANK(SamplingData[[#This Row],[Candidate 3]]))),(SamplingData[[#This Row],[Total]]+SamplingData[[#This Row],[Winning Candidate]]-SamplingData[[#This Row],[Candidate 3]])/(SamplingData[[#Totals],[Winning Candidate]]-SamplingData[[#Totals],[Candidate 3]]), 0)</f>
        <v>0</v>
      </c>
      <c r="S465" s="100">
        <f>IF(AND(SamplingData[[#This Row],[Total]]&lt;&gt; 0, NOT(ISBLANK(SamplingData[[#This Row],[Candidate 4]]))),(SamplingData[[#This Row],[Total]]+SamplingData[[#This Row],[Winning Candidate]]-SamplingData[[#This Row],[Candidate 4]])/(SamplingData[[#Totals],[Winning Candidate]]-SamplingData[[#Totals],[Candidate 4]]), 0)</f>
        <v>0</v>
      </c>
      <c r="T465" s="100">
        <f>IF(AND(SamplingData[[#This Row],[Total]]&lt;&gt; 0, NOT(ISBLANK(SamplingData[[#This Row],[Candidate 5]]))),(SamplingData[[#This Row],[Total]]+SamplingData[[#This Row],[Winning Candidate]]-SamplingData[[#This Row],[Candidate 5]])/(SamplingData[[#Totals],[Winning Candidate]]-SamplingData[[#Totals],[Candidate 5]]), 0)</f>
        <v>0</v>
      </c>
      <c r="U465" s="100">
        <f>IF(AND(SamplingData[[#This Row],[Total]]&lt;&gt; 0, NOT(ISBLANK(SamplingData[[#This Row],[Candidate 6]]))),(SamplingData[[#This Row],[Total]]+SamplingData[[#This Row],[Losing Candidate]]-SamplingData[[#This Row],[Candidate 6]])/(SamplingData[[#Totals],[Winning Candidate]]-SamplingData[[#Totals],[Candidate 6]]), 0)</f>
        <v>0</v>
      </c>
      <c r="V465" s="100">
        <f>IF(AND(SamplingData[[#This Row],[Total]]&lt;&gt; 0, NOT(ISBLANK(SamplingData[[#This Row],[Candidate 7]]))),(SamplingData[[#This Row],[Total]]+SamplingData[[#This Row],[Winning Candidate]]-SamplingData[[#This Row],[Candidate 7]])/(SamplingData[[#Totals],[Winning Candidate]]-SamplingData[[#Totals],[Candidate 7]]), 0)</f>
        <v>0</v>
      </c>
      <c r="W465" s="100">
        <f>IF(AND(SamplingData[[#This Row],[Total]]&lt;&gt; 0, NOT(ISBLANK(SamplingData[[#This Row],[Candidate 8]]))),(SamplingData[[#This Row],[Total]]+SamplingData[[#This Row],[Winning Candidate]]-SamplingData[[#This Row],[Candidate 8]])/(SamplingData[[#Totals],[Winning Candidate]]-SamplingData[[#Totals],[Candidate 8]]), 0)</f>
        <v>0</v>
      </c>
      <c r="X4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00">
        <f>MAX(SamplingData[[#This Row],[Error Bound (up) - Max. possible relative overstatement - Losing Candidate]:[Error Bound (up) - Max. possible relative overstatement - Candidate 12]])</f>
        <v>8.1665986116782364E-4</v>
      </c>
      <c r="AC465" s="100">
        <f>IF(SamplingData[[#This Row],[Max Error Bound (up)]] = 0,0,SamplingData[[#This Row],[Max Error Bound (up)]]/SamplingData[[#Totals],[Max Error Bound (up)]])</f>
        <v>3.4997038712108992E-4</v>
      </c>
      <c r="AD465" s="104">
        <f>SUM($AC$5:AC465)</f>
        <v>9.7762881602326032E-2</v>
      </c>
      <c r="AE465" s="100" t="str" cm="1">
        <f t="array" ref="AE465">IF(SamplingData[[#This Row],[up/U Selection Probability]] = 0, "Zero", TEXT(SamplingData[[#This Row],[Lower Range]], REPT("0",LEN('General Info'!$B$42))) &amp; " - " &amp; TEXT(SamplingData[[#This Row],[Upper Range]], REPT("0",LEN('General Info'!$B$42))))</f>
        <v>09741 - 09775</v>
      </c>
      <c r="AF465" s="100">
        <f>SamplingData[[#This Row],[Upper Range]]-SamplingData[[#This Row],[Span]]</f>
        <v>9741.2911215204949</v>
      </c>
      <c r="AG465" s="100">
        <f>IF(ISNUMBER('General Info'!$B$42), ((SamplingData[[#This Row],[up/U Selection Probability]]) * 'General Info'!$B$44) - 1, 0)</f>
        <v>33.997038712108989</v>
      </c>
      <c r="AH465" s="100">
        <f>IF(ISNUMBER('General Info'!$B$42), (SamplingData[[#This Row],[Running (cumulative) sum]] * ('General Info'!$B$42 -'General Info'!$B$43 + 1)) + 'General Info'!$B$43 - 1, 0)</f>
        <v>9775.2881602326033</v>
      </c>
      <c r="AI465" s="100" t="str">
        <f>IF(ISERROR(MATCH(SamplingData[[#This Row],[Batch by Type (p)]],SelectedPrecincts[Batch Name], 0)), "", INDEX(SelectedPrecincts[Draw], MATCH(SamplingData[[#This Row],[Batch by Type (p)]],SelectedPrecincts[Batch Name], 0)))</f>
        <v/>
      </c>
      <c r="AJ465" s="101">
        <f>IF(COUNTIF(SelectedPrecincts[Batch Name],SamplingData[[#This Row],[Batch by Type (p)]]) &lt;&gt; 0, COUNTIF(SelectedPrecincts[Batch Name],SamplingData[[#This Row],[Batch by Type (p)]]), 0)</f>
        <v>0</v>
      </c>
    </row>
    <row r="466" spans="1:36" ht="15" customHeight="1" x14ac:dyDescent="0.35">
      <c r="A466" s="98" t="s">
        <v>678</v>
      </c>
      <c r="B466" s="98">
        <v>6</v>
      </c>
      <c r="C466" s="98">
        <v>1</v>
      </c>
      <c r="D466" s="93"/>
      <c r="E466" s="93"/>
      <c r="F466" s="93"/>
      <c r="G466" s="97"/>
      <c r="H466" s="97"/>
      <c r="I466" s="93"/>
      <c r="J466" s="93"/>
      <c r="K466" s="93"/>
      <c r="L466" s="93"/>
      <c r="M466" s="93"/>
      <c r="N466" s="98">
        <v>0</v>
      </c>
      <c r="O466" s="98">
        <v>0</v>
      </c>
      <c r="P466" s="99">
        <f>SUM(SamplingData[[#This Row],[Winning Candidate]:[Under Votes]])</f>
        <v>7</v>
      </c>
      <c r="Q46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466" s="100">
        <f>IF(AND(SamplingData[[#This Row],[Total]]&lt;&gt; 0, NOT(ISBLANK(SamplingData[[#This Row],[Candidate 3]]))),(SamplingData[[#This Row],[Total]]+SamplingData[[#This Row],[Winning Candidate]]-SamplingData[[#This Row],[Candidate 3]])/(SamplingData[[#Totals],[Winning Candidate]]-SamplingData[[#Totals],[Candidate 3]]), 0)</f>
        <v>0</v>
      </c>
      <c r="S466" s="100">
        <f>IF(AND(SamplingData[[#This Row],[Total]]&lt;&gt; 0, NOT(ISBLANK(SamplingData[[#This Row],[Candidate 4]]))),(SamplingData[[#This Row],[Total]]+SamplingData[[#This Row],[Winning Candidate]]-SamplingData[[#This Row],[Candidate 4]])/(SamplingData[[#Totals],[Winning Candidate]]-SamplingData[[#Totals],[Candidate 4]]), 0)</f>
        <v>0</v>
      </c>
      <c r="T466" s="100">
        <f>IF(AND(SamplingData[[#This Row],[Total]]&lt;&gt; 0, NOT(ISBLANK(SamplingData[[#This Row],[Candidate 5]]))),(SamplingData[[#This Row],[Total]]+SamplingData[[#This Row],[Winning Candidate]]-SamplingData[[#This Row],[Candidate 5]])/(SamplingData[[#Totals],[Winning Candidate]]-SamplingData[[#Totals],[Candidate 5]]), 0)</f>
        <v>0</v>
      </c>
      <c r="U466" s="100">
        <f>IF(AND(SamplingData[[#This Row],[Total]]&lt;&gt; 0, NOT(ISBLANK(SamplingData[[#This Row],[Candidate 6]]))),(SamplingData[[#This Row],[Total]]+SamplingData[[#This Row],[Losing Candidate]]-SamplingData[[#This Row],[Candidate 6]])/(SamplingData[[#Totals],[Winning Candidate]]-SamplingData[[#Totals],[Candidate 6]]), 0)</f>
        <v>0</v>
      </c>
      <c r="V466" s="100">
        <f>IF(AND(SamplingData[[#This Row],[Total]]&lt;&gt; 0, NOT(ISBLANK(SamplingData[[#This Row],[Candidate 7]]))),(SamplingData[[#This Row],[Total]]+SamplingData[[#This Row],[Winning Candidate]]-SamplingData[[#This Row],[Candidate 7]])/(SamplingData[[#Totals],[Winning Candidate]]-SamplingData[[#Totals],[Candidate 7]]), 0)</f>
        <v>0</v>
      </c>
      <c r="W466" s="100">
        <f>IF(AND(SamplingData[[#This Row],[Total]]&lt;&gt; 0, NOT(ISBLANK(SamplingData[[#This Row],[Candidate 8]]))),(SamplingData[[#This Row],[Total]]+SamplingData[[#This Row],[Winning Candidate]]-SamplingData[[#This Row],[Candidate 8]])/(SamplingData[[#Totals],[Winning Candidate]]-SamplingData[[#Totals],[Candidate 8]]), 0)</f>
        <v>0</v>
      </c>
      <c r="X4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00">
        <f>MAX(SamplingData[[#This Row],[Error Bound (up) - Max. possible relative overstatement - Losing Candidate]:[Error Bound (up) - Max. possible relative overstatement - Candidate 12]])</f>
        <v>3.7691993592361088E-4</v>
      </c>
      <c r="AC466" s="100">
        <f>IF(SamplingData[[#This Row],[Max Error Bound (up)]] = 0,0,SamplingData[[#This Row],[Max Error Bound (up)]]/SamplingData[[#Totals],[Max Error Bound (up)]])</f>
        <v>1.6152479405588763E-4</v>
      </c>
      <c r="AD466" s="104">
        <f>SUM($AC$5:AC466)</f>
        <v>9.7924406396381919E-2</v>
      </c>
      <c r="AE466" s="100" t="str" cm="1">
        <f t="array" ref="AE466">IF(SamplingData[[#This Row],[up/U Selection Probability]] = 0, "Zero", TEXT(SamplingData[[#This Row],[Lower Range]], REPT("0",LEN('General Info'!$B$42))) &amp; " - " &amp; TEXT(SamplingData[[#This Row],[Upper Range]], REPT("0",LEN('General Info'!$B$42))))</f>
        <v>09776 - 09791</v>
      </c>
      <c r="AF466" s="100">
        <f>SamplingData[[#This Row],[Upper Range]]-SamplingData[[#This Row],[Span]]</f>
        <v>9776.2881602326015</v>
      </c>
      <c r="AG466" s="100">
        <f>IF(ISNUMBER('General Info'!$B$42), ((SamplingData[[#This Row],[up/U Selection Probability]]) * 'General Info'!$B$44) - 1, 0)</f>
        <v>15.152479405588764</v>
      </c>
      <c r="AH466" s="100">
        <f>IF(ISNUMBER('General Info'!$B$42), (SamplingData[[#This Row],[Running (cumulative) sum]] * ('General Info'!$B$42 -'General Info'!$B$43 + 1)) + 'General Info'!$B$43 - 1, 0)</f>
        <v>9791.440639638191</v>
      </c>
      <c r="AI466" s="100" t="str">
        <f>IF(ISERROR(MATCH(SamplingData[[#This Row],[Batch by Type (p)]],SelectedPrecincts[Batch Name], 0)), "", INDEX(SelectedPrecincts[Draw], MATCH(SamplingData[[#This Row],[Batch by Type (p)]],SelectedPrecincts[Batch Name], 0)))</f>
        <v/>
      </c>
      <c r="AJ466" s="101">
        <f>IF(COUNTIF(SelectedPrecincts[Batch Name],SamplingData[[#This Row],[Batch by Type (p)]]) &lt;&gt; 0, COUNTIF(SelectedPrecincts[Batch Name],SamplingData[[#This Row],[Batch by Type (p)]]), 0)</f>
        <v>0</v>
      </c>
    </row>
    <row r="467" spans="1:36" ht="15" customHeight="1" x14ac:dyDescent="0.35">
      <c r="A467" s="98" t="s">
        <v>679</v>
      </c>
      <c r="B467" s="98">
        <v>10</v>
      </c>
      <c r="C467" s="98">
        <v>0</v>
      </c>
      <c r="D467" s="93"/>
      <c r="E467" s="93"/>
      <c r="F467" s="93"/>
      <c r="G467" s="97"/>
      <c r="H467" s="97"/>
      <c r="I467" s="93"/>
      <c r="J467" s="93"/>
      <c r="K467" s="93"/>
      <c r="L467" s="93"/>
      <c r="M467" s="93"/>
      <c r="N467" s="98">
        <v>0</v>
      </c>
      <c r="O467" s="98">
        <v>1</v>
      </c>
      <c r="P467" s="99">
        <f>SUM(SamplingData[[#This Row],[Winning Candidate]:[Under Votes]])</f>
        <v>11</v>
      </c>
      <c r="Q467" s="100">
        <f>IF(AND(SamplingData[[#This Row],[Total]]&lt;&gt; 0, NOT(ISBLANK(SamplingData[[#This Row],[Losing Candidate]]))),(SamplingData[[#This Row],[Total]]+SamplingData[[#This Row],[Winning Candidate]]-SamplingData[[#This Row],[Losing Candidate]])/(SamplingData[[#Totals],[Winning Candidate]]-SamplingData[[#Totals],[Losing Candidate]]), 0)</f>
        <v>6.5960988786631911E-4</v>
      </c>
      <c r="R467" s="100">
        <f>IF(AND(SamplingData[[#This Row],[Total]]&lt;&gt; 0, NOT(ISBLANK(SamplingData[[#This Row],[Candidate 3]]))),(SamplingData[[#This Row],[Total]]+SamplingData[[#This Row],[Winning Candidate]]-SamplingData[[#This Row],[Candidate 3]])/(SamplingData[[#Totals],[Winning Candidate]]-SamplingData[[#Totals],[Candidate 3]]), 0)</f>
        <v>0</v>
      </c>
      <c r="S467" s="100">
        <f>IF(AND(SamplingData[[#This Row],[Total]]&lt;&gt; 0, NOT(ISBLANK(SamplingData[[#This Row],[Candidate 4]]))),(SamplingData[[#This Row],[Total]]+SamplingData[[#This Row],[Winning Candidate]]-SamplingData[[#This Row],[Candidate 4]])/(SamplingData[[#Totals],[Winning Candidate]]-SamplingData[[#Totals],[Candidate 4]]), 0)</f>
        <v>0</v>
      </c>
      <c r="T467" s="100">
        <f>IF(AND(SamplingData[[#This Row],[Total]]&lt;&gt; 0, NOT(ISBLANK(SamplingData[[#This Row],[Candidate 5]]))),(SamplingData[[#This Row],[Total]]+SamplingData[[#This Row],[Winning Candidate]]-SamplingData[[#This Row],[Candidate 5]])/(SamplingData[[#Totals],[Winning Candidate]]-SamplingData[[#Totals],[Candidate 5]]), 0)</f>
        <v>0</v>
      </c>
      <c r="U467" s="100">
        <f>IF(AND(SamplingData[[#This Row],[Total]]&lt;&gt; 0, NOT(ISBLANK(SamplingData[[#This Row],[Candidate 6]]))),(SamplingData[[#This Row],[Total]]+SamplingData[[#This Row],[Losing Candidate]]-SamplingData[[#This Row],[Candidate 6]])/(SamplingData[[#Totals],[Winning Candidate]]-SamplingData[[#Totals],[Candidate 6]]), 0)</f>
        <v>0</v>
      </c>
      <c r="V467" s="100">
        <f>IF(AND(SamplingData[[#This Row],[Total]]&lt;&gt; 0, NOT(ISBLANK(SamplingData[[#This Row],[Candidate 7]]))),(SamplingData[[#This Row],[Total]]+SamplingData[[#This Row],[Winning Candidate]]-SamplingData[[#This Row],[Candidate 7]])/(SamplingData[[#Totals],[Winning Candidate]]-SamplingData[[#Totals],[Candidate 7]]), 0)</f>
        <v>0</v>
      </c>
      <c r="W467" s="100">
        <f>IF(AND(SamplingData[[#This Row],[Total]]&lt;&gt; 0, NOT(ISBLANK(SamplingData[[#This Row],[Candidate 8]]))),(SamplingData[[#This Row],[Total]]+SamplingData[[#This Row],[Winning Candidate]]-SamplingData[[#This Row],[Candidate 8]])/(SamplingData[[#Totals],[Winning Candidate]]-SamplingData[[#Totals],[Candidate 8]]), 0)</f>
        <v>0</v>
      </c>
      <c r="X4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00">
        <f>MAX(SamplingData[[#This Row],[Error Bound (up) - Max. possible relative overstatement - Losing Candidate]:[Error Bound (up) - Max. possible relative overstatement - Candidate 12]])</f>
        <v>6.5960988786631911E-4</v>
      </c>
      <c r="AC467" s="100">
        <f>IF(SamplingData[[#This Row],[Max Error Bound (up)]] = 0,0,SamplingData[[#This Row],[Max Error Bound (up)]]/SamplingData[[#Totals],[Max Error Bound (up)]])</f>
        <v>2.8266838959780337E-4</v>
      </c>
      <c r="AD467" s="104">
        <f>SUM($AC$5:AC467)</f>
        <v>9.8207074785979717E-2</v>
      </c>
      <c r="AE467" s="100" t="str" cm="1">
        <f t="array" ref="AE467">IF(SamplingData[[#This Row],[up/U Selection Probability]] = 0, "Zero", TEXT(SamplingData[[#This Row],[Lower Range]], REPT("0",LEN('General Info'!$B$42))) &amp; " - " &amp; TEXT(SamplingData[[#This Row],[Upper Range]], REPT("0",LEN('General Info'!$B$42))))</f>
        <v>09792 - 09820</v>
      </c>
      <c r="AF467" s="100">
        <f>SamplingData[[#This Row],[Upper Range]]-SamplingData[[#This Row],[Span]]</f>
        <v>9792.440639638191</v>
      </c>
      <c r="AG467" s="100">
        <f>IF(ISNUMBER('General Info'!$B$42), ((SamplingData[[#This Row],[up/U Selection Probability]]) * 'General Info'!$B$44) - 1, 0)</f>
        <v>27.266838959780337</v>
      </c>
      <c r="AH467" s="100">
        <f>IF(ISNUMBER('General Info'!$B$42), (SamplingData[[#This Row],[Running (cumulative) sum]] * ('General Info'!$B$42 -'General Info'!$B$43 + 1)) + 'General Info'!$B$43 - 1, 0)</f>
        <v>9819.7074785979712</v>
      </c>
      <c r="AI467" s="100" t="str">
        <f>IF(ISERROR(MATCH(SamplingData[[#This Row],[Batch by Type (p)]],SelectedPrecincts[Batch Name], 0)), "", INDEX(SelectedPrecincts[Draw], MATCH(SamplingData[[#This Row],[Batch by Type (p)]],SelectedPrecincts[Batch Name], 0)))</f>
        <v/>
      </c>
      <c r="AJ467" s="101">
        <f>IF(COUNTIF(SelectedPrecincts[Batch Name],SamplingData[[#This Row],[Batch by Type (p)]]) &lt;&gt; 0, COUNTIF(SelectedPrecincts[Batch Name],SamplingData[[#This Row],[Batch by Type (p)]]), 0)</f>
        <v>0</v>
      </c>
    </row>
    <row r="468" spans="1:36" ht="15" customHeight="1" x14ac:dyDescent="0.35">
      <c r="A468" s="98" t="s">
        <v>680</v>
      </c>
      <c r="B468" s="98">
        <v>12</v>
      </c>
      <c r="C468" s="98">
        <v>1</v>
      </c>
      <c r="D468" s="93"/>
      <c r="E468" s="93"/>
      <c r="F468" s="93"/>
      <c r="G468" s="97"/>
      <c r="H468" s="97"/>
      <c r="I468" s="93"/>
      <c r="J468" s="93"/>
      <c r="K468" s="93"/>
      <c r="L468" s="93"/>
      <c r="M468" s="93"/>
      <c r="N468" s="98">
        <v>0</v>
      </c>
      <c r="O468" s="98">
        <v>0</v>
      </c>
      <c r="P468" s="99">
        <f>SUM(SamplingData[[#This Row],[Winning Candidate]:[Under Votes]])</f>
        <v>13</v>
      </c>
      <c r="Q468"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468" s="100">
        <f>IF(AND(SamplingData[[#This Row],[Total]]&lt;&gt; 0, NOT(ISBLANK(SamplingData[[#This Row],[Candidate 3]]))),(SamplingData[[#This Row],[Total]]+SamplingData[[#This Row],[Winning Candidate]]-SamplingData[[#This Row],[Candidate 3]])/(SamplingData[[#Totals],[Winning Candidate]]-SamplingData[[#Totals],[Candidate 3]]), 0)</f>
        <v>0</v>
      </c>
      <c r="S468" s="100">
        <f>IF(AND(SamplingData[[#This Row],[Total]]&lt;&gt; 0, NOT(ISBLANK(SamplingData[[#This Row],[Candidate 4]]))),(SamplingData[[#This Row],[Total]]+SamplingData[[#This Row],[Winning Candidate]]-SamplingData[[#This Row],[Candidate 4]])/(SamplingData[[#Totals],[Winning Candidate]]-SamplingData[[#Totals],[Candidate 4]]), 0)</f>
        <v>0</v>
      </c>
      <c r="T468" s="100">
        <f>IF(AND(SamplingData[[#This Row],[Total]]&lt;&gt; 0, NOT(ISBLANK(SamplingData[[#This Row],[Candidate 5]]))),(SamplingData[[#This Row],[Total]]+SamplingData[[#This Row],[Winning Candidate]]-SamplingData[[#This Row],[Candidate 5]])/(SamplingData[[#Totals],[Winning Candidate]]-SamplingData[[#Totals],[Candidate 5]]), 0)</f>
        <v>0</v>
      </c>
      <c r="U468" s="100">
        <f>IF(AND(SamplingData[[#This Row],[Total]]&lt;&gt; 0, NOT(ISBLANK(SamplingData[[#This Row],[Candidate 6]]))),(SamplingData[[#This Row],[Total]]+SamplingData[[#This Row],[Losing Candidate]]-SamplingData[[#This Row],[Candidate 6]])/(SamplingData[[#Totals],[Winning Candidate]]-SamplingData[[#Totals],[Candidate 6]]), 0)</f>
        <v>0</v>
      </c>
      <c r="V468" s="100">
        <f>IF(AND(SamplingData[[#This Row],[Total]]&lt;&gt; 0, NOT(ISBLANK(SamplingData[[#This Row],[Candidate 7]]))),(SamplingData[[#This Row],[Total]]+SamplingData[[#This Row],[Winning Candidate]]-SamplingData[[#This Row],[Candidate 7]])/(SamplingData[[#Totals],[Winning Candidate]]-SamplingData[[#Totals],[Candidate 7]]), 0)</f>
        <v>0</v>
      </c>
      <c r="W468" s="100">
        <f>IF(AND(SamplingData[[#This Row],[Total]]&lt;&gt; 0, NOT(ISBLANK(SamplingData[[#This Row],[Candidate 8]]))),(SamplingData[[#This Row],[Total]]+SamplingData[[#This Row],[Winning Candidate]]-SamplingData[[#This Row],[Candidate 8]])/(SamplingData[[#Totals],[Winning Candidate]]-SamplingData[[#Totals],[Candidate 8]]), 0)</f>
        <v>0</v>
      </c>
      <c r="X4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00">
        <f>MAX(SamplingData[[#This Row],[Error Bound (up) - Max. possible relative overstatement - Losing Candidate]:[Error Bound (up) - Max. possible relative overstatement - Candidate 12]])</f>
        <v>7.5383987184722177E-4</v>
      </c>
      <c r="AC468" s="100">
        <f>IF(SamplingData[[#This Row],[Max Error Bound (up)]] = 0,0,SamplingData[[#This Row],[Max Error Bound (up)]]/SamplingData[[#Totals],[Max Error Bound (up)]])</f>
        <v>3.2304958811177527E-4</v>
      </c>
      <c r="AD468" s="104">
        <f>SUM($AC$5:AC468)</f>
        <v>9.8530124374091491E-2</v>
      </c>
      <c r="AE468" s="100" t="str" cm="1">
        <f t="array" ref="AE468">IF(SamplingData[[#This Row],[up/U Selection Probability]] = 0, "Zero", TEXT(SamplingData[[#This Row],[Lower Range]], REPT("0",LEN('General Info'!$B$42))) &amp; " - " &amp; TEXT(SamplingData[[#This Row],[Upper Range]], REPT("0",LEN('General Info'!$B$42))))</f>
        <v>09821 - 09852</v>
      </c>
      <c r="AF468" s="100">
        <f>SamplingData[[#This Row],[Upper Range]]-SamplingData[[#This Row],[Span]]</f>
        <v>9820.7074785979712</v>
      </c>
      <c r="AG468" s="100">
        <f>IF(ISNUMBER('General Info'!$B$42), ((SamplingData[[#This Row],[up/U Selection Probability]]) * 'General Info'!$B$44) - 1, 0)</f>
        <v>31.304958811177528</v>
      </c>
      <c r="AH468" s="100">
        <f>IF(ISNUMBER('General Info'!$B$42), (SamplingData[[#This Row],[Running (cumulative) sum]] * ('General Info'!$B$42 -'General Info'!$B$43 + 1)) + 'General Info'!$B$43 - 1, 0)</f>
        <v>9852.0124374091483</v>
      </c>
      <c r="AI468" s="100" t="str">
        <f>IF(ISERROR(MATCH(SamplingData[[#This Row],[Batch by Type (p)]],SelectedPrecincts[Batch Name], 0)), "", INDEX(SelectedPrecincts[Draw], MATCH(SamplingData[[#This Row],[Batch by Type (p)]],SelectedPrecincts[Batch Name], 0)))</f>
        <v/>
      </c>
      <c r="AJ468" s="101">
        <f>IF(COUNTIF(SelectedPrecincts[Batch Name],SamplingData[[#This Row],[Batch by Type (p)]]) &lt;&gt; 0, COUNTIF(SelectedPrecincts[Batch Name],SamplingData[[#This Row],[Batch by Type (p)]]), 0)</f>
        <v>0</v>
      </c>
    </row>
    <row r="469" spans="1:36" ht="15" customHeight="1" x14ac:dyDescent="0.35">
      <c r="A469" s="98" t="s">
        <v>681</v>
      </c>
      <c r="B469" s="98">
        <v>6</v>
      </c>
      <c r="C469" s="98">
        <v>0</v>
      </c>
      <c r="D469" s="93"/>
      <c r="E469" s="93"/>
      <c r="F469" s="93"/>
      <c r="G469" s="97"/>
      <c r="H469" s="97"/>
      <c r="I469" s="93"/>
      <c r="J469" s="93"/>
      <c r="K469" s="93"/>
      <c r="L469" s="93"/>
      <c r="M469" s="93"/>
      <c r="N469" s="98">
        <v>0</v>
      </c>
      <c r="O469" s="98">
        <v>0</v>
      </c>
      <c r="P469" s="99">
        <f>SUM(SamplingData[[#This Row],[Winning Candidate]:[Under Votes]])</f>
        <v>6</v>
      </c>
      <c r="Q469"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469" s="100">
        <f>IF(AND(SamplingData[[#This Row],[Total]]&lt;&gt; 0, NOT(ISBLANK(SamplingData[[#This Row],[Candidate 3]]))),(SamplingData[[#This Row],[Total]]+SamplingData[[#This Row],[Winning Candidate]]-SamplingData[[#This Row],[Candidate 3]])/(SamplingData[[#Totals],[Winning Candidate]]-SamplingData[[#Totals],[Candidate 3]]), 0)</f>
        <v>0</v>
      </c>
      <c r="S469" s="100">
        <f>IF(AND(SamplingData[[#This Row],[Total]]&lt;&gt; 0, NOT(ISBLANK(SamplingData[[#This Row],[Candidate 4]]))),(SamplingData[[#This Row],[Total]]+SamplingData[[#This Row],[Winning Candidate]]-SamplingData[[#This Row],[Candidate 4]])/(SamplingData[[#Totals],[Winning Candidate]]-SamplingData[[#Totals],[Candidate 4]]), 0)</f>
        <v>0</v>
      </c>
      <c r="T469" s="100">
        <f>IF(AND(SamplingData[[#This Row],[Total]]&lt;&gt; 0, NOT(ISBLANK(SamplingData[[#This Row],[Candidate 5]]))),(SamplingData[[#This Row],[Total]]+SamplingData[[#This Row],[Winning Candidate]]-SamplingData[[#This Row],[Candidate 5]])/(SamplingData[[#Totals],[Winning Candidate]]-SamplingData[[#Totals],[Candidate 5]]), 0)</f>
        <v>0</v>
      </c>
      <c r="U469" s="100">
        <f>IF(AND(SamplingData[[#This Row],[Total]]&lt;&gt; 0, NOT(ISBLANK(SamplingData[[#This Row],[Candidate 6]]))),(SamplingData[[#This Row],[Total]]+SamplingData[[#This Row],[Losing Candidate]]-SamplingData[[#This Row],[Candidate 6]])/(SamplingData[[#Totals],[Winning Candidate]]-SamplingData[[#Totals],[Candidate 6]]), 0)</f>
        <v>0</v>
      </c>
      <c r="V469" s="100">
        <f>IF(AND(SamplingData[[#This Row],[Total]]&lt;&gt; 0, NOT(ISBLANK(SamplingData[[#This Row],[Candidate 7]]))),(SamplingData[[#This Row],[Total]]+SamplingData[[#This Row],[Winning Candidate]]-SamplingData[[#This Row],[Candidate 7]])/(SamplingData[[#Totals],[Winning Candidate]]-SamplingData[[#Totals],[Candidate 7]]), 0)</f>
        <v>0</v>
      </c>
      <c r="W469" s="100">
        <f>IF(AND(SamplingData[[#This Row],[Total]]&lt;&gt; 0, NOT(ISBLANK(SamplingData[[#This Row],[Candidate 8]]))),(SamplingData[[#This Row],[Total]]+SamplingData[[#This Row],[Winning Candidate]]-SamplingData[[#This Row],[Candidate 8]])/(SamplingData[[#Totals],[Winning Candidate]]-SamplingData[[#Totals],[Candidate 8]]), 0)</f>
        <v>0</v>
      </c>
      <c r="X4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00">
        <f>MAX(SamplingData[[#This Row],[Error Bound (up) - Max. possible relative overstatement - Losing Candidate]:[Error Bound (up) - Max. possible relative overstatement - Candidate 12]])</f>
        <v>3.7691993592361088E-4</v>
      </c>
      <c r="AC469" s="100">
        <f>IF(SamplingData[[#This Row],[Max Error Bound (up)]] = 0,0,SamplingData[[#This Row],[Max Error Bound (up)]]/SamplingData[[#Totals],[Max Error Bound (up)]])</f>
        <v>1.6152479405588763E-4</v>
      </c>
      <c r="AD469" s="104">
        <f>SUM($AC$5:AC469)</f>
        <v>9.8691649168147377E-2</v>
      </c>
      <c r="AE469" s="100" t="str" cm="1">
        <f t="array" ref="AE469">IF(SamplingData[[#This Row],[up/U Selection Probability]] = 0, "Zero", TEXT(SamplingData[[#This Row],[Lower Range]], REPT("0",LEN('General Info'!$B$42))) &amp; " - " &amp; TEXT(SamplingData[[#This Row],[Upper Range]], REPT("0",LEN('General Info'!$B$42))))</f>
        <v>09853 - 09868</v>
      </c>
      <c r="AF469" s="100">
        <f>SamplingData[[#This Row],[Upper Range]]-SamplingData[[#This Row],[Span]]</f>
        <v>9853.0124374091483</v>
      </c>
      <c r="AG469" s="100">
        <f>IF(ISNUMBER('General Info'!$B$42), ((SamplingData[[#This Row],[up/U Selection Probability]]) * 'General Info'!$B$44) - 1, 0)</f>
        <v>15.152479405588764</v>
      </c>
      <c r="AH469" s="100">
        <f>IF(ISNUMBER('General Info'!$B$42), (SamplingData[[#This Row],[Running (cumulative) sum]] * ('General Info'!$B$42 -'General Info'!$B$43 + 1)) + 'General Info'!$B$43 - 1, 0)</f>
        <v>9868.1649168147378</v>
      </c>
      <c r="AI469" s="100" t="str">
        <f>IF(ISERROR(MATCH(SamplingData[[#This Row],[Batch by Type (p)]],SelectedPrecincts[Batch Name], 0)), "", INDEX(SelectedPrecincts[Draw], MATCH(SamplingData[[#This Row],[Batch by Type (p)]],SelectedPrecincts[Batch Name], 0)))</f>
        <v/>
      </c>
      <c r="AJ469" s="101">
        <f>IF(COUNTIF(SelectedPrecincts[Batch Name],SamplingData[[#This Row],[Batch by Type (p)]]) &lt;&gt; 0, COUNTIF(SelectedPrecincts[Batch Name],SamplingData[[#This Row],[Batch by Type (p)]]), 0)</f>
        <v>0</v>
      </c>
    </row>
    <row r="470" spans="1:36" ht="15" customHeight="1" x14ac:dyDescent="0.35">
      <c r="A470" s="98" t="s">
        <v>682</v>
      </c>
      <c r="B470" s="98">
        <v>7</v>
      </c>
      <c r="C470" s="98">
        <v>0</v>
      </c>
      <c r="D470" s="93"/>
      <c r="E470" s="93"/>
      <c r="F470" s="93"/>
      <c r="G470" s="97"/>
      <c r="H470" s="97"/>
      <c r="I470" s="93"/>
      <c r="J470" s="93"/>
      <c r="K470" s="93"/>
      <c r="L470" s="93"/>
      <c r="M470" s="93"/>
      <c r="N470" s="98">
        <v>0</v>
      </c>
      <c r="O470" s="98">
        <v>0</v>
      </c>
      <c r="P470" s="99">
        <f>SUM(SamplingData[[#This Row],[Winning Candidate]:[Under Votes]])</f>
        <v>7</v>
      </c>
      <c r="Q470"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470" s="100">
        <f>IF(AND(SamplingData[[#This Row],[Total]]&lt;&gt; 0, NOT(ISBLANK(SamplingData[[#This Row],[Candidate 3]]))),(SamplingData[[#This Row],[Total]]+SamplingData[[#This Row],[Winning Candidate]]-SamplingData[[#This Row],[Candidate 3]])/(SamplingData[[#Totals],[Winning Candidate]]-SamplingData[[#Totals],[Candidate 3]]), 0)</f>
        <v>0</v>
      </c>
      <c r="S470" s="100">
        <f>IF(AND(SamplingData[[#This Row],[Total]]&lt;&gt; 0, NOT(ISBLANK(SamplingData[[#This Row],[Candidate 4]]))),(SamplingData[[#This Row],[Total]]+SamplingData[[#This Row],[Winning Candidate]]-SamplingData[[#This Row],[Candidate 4]])/(SamplingData[[#Totals],[Winning Candidate]]-SamplingData[[#Totals],[Candidate 4]]), 0)</f>
        <v>0</v>
      </c>
      <c r="T470" s="100">
        <f>IF(AND(SamplingData[[#This Row],[Total]]&lt;&gt; 0, NOT(ISBLANK(SamplingData[[#This Row],[Candidate 5]]))),(SamplingData[[#This Row],[Total]]+SamplingData[[#This Row],[Winning Candidate]]-SamplingData[[#This Row],[Candidate 5]])/(SamplingData[[#Totals],[Winning Candidate]]-SamplingData[[#Totals],[Candidate 5]]), 0)</f>
        <v>0</v>
      </c>
      <c r="U470" s="100">
        <f>IF(AND(SamplingData[[#This Row],[Total]]&lt;&gt; 0, NOT(ISBLANK(SamplingData[[#This Row],[Candidate 6]]))),(SamplingData[[#This Row],[Total]]+SamplingData[[#This Row],[Losing Candidate]]-SamplingData[[#This Row],[Candidate 6]])/(SamplingData[[#Totals],[Winning Candidate]]-SamplingData[[#Totals],[Candidate 6]]), 0)</f>
        <v>0</v>
      </c>
      <c r="V470" s="100">
        <f>IF(AND(SamplingData[[#This Row],[Total]]&lt;&gt; 0, NOT(ISBLANK(SamplingData[[#This Row],[Candidate 7]]))),(SamplingData[[#This Row],[Total]]+SamplingData[[#This Row],[Winning Candidate]]-SamplingData[[#This Row],[Candidate 7]])/(SamplingData[[#Totals],[Winning Candidate]]-SamplingData[[#Totals],[Candidate 7]]), 0)</f>
        <v>0</v>
      </c>
      <c r="W470" s="100">
        <f>IF(AND(SamplingData[[#This Row],[Total]]&lt;&gt; 0, NOT(ISBLANK(SamplingData[[#This Row],[Candidate 8]]))),(SamplingData[[#This Row],[Total]]+SamplingData[[#This Row],[Winning Candidate]]-SamplingData[[#This Row],[Candidate 8]])/(SamplingData[[#Totals],[Winning Candidate]]-SamplingData[[#Totals],[Candidate 8]]), 0)</f>
        <v>0</v>
      </c>
      <c r="X4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00">
        <f>MAX(SamplingData[[#This Row],[Error Bound (up) - Max. possible relative overstatement - Losing Candidate]:[Error Bound (up) - Max. possible relative overstatement - Candidate 12]])</f>
        <v>4.3973992524421271E-4</v>
      </c>
      <c r="AC470" s="100">
        <f>IF(SamplingData[[#This Row],[Max Error Bound (up)]] = 0,0,SamplingData[[#This Row],[Max Error Bound (up)]]/SamplingData[[#Totals],[Max Error Bound (up)]])</f>
        <v>1.8844559306520223E-4</v>
      </c>
      <c r="AD470" s="104">
        <f>SUM($AC$5:AC470)</f>
        <v>9.8880094761212581E-2</v>
      </c>
      <c r="AE470" s="100" t="str" cm="1">
        <f t="array" ref="AE470">IF(SamplingData[[#This Row],[up/U Selection Probability]] = 0, "Zero", TEXT(SamplingData[[#This Row],[Lower Range]], REPT("0",LEN('General Info'!$B$42))) &amp; " - " &amp; TEXT(SamplingData[[#This Row],[Upper Range]], REPT("0",LEN('General Info'!$B$42))))</f>
        <v>09869 - 09887</v>
      </c>
      <c r="AF470" s="100">
        <f>SamplingData[[#This Row],[Upper Range]]-SamplingData[[#This Row],[Span]]</f>
        <v>9869.1649168147378</v>
      </c>
      <c r="AG470" s="100">
        <f>IF(ISNUMBER('General Info'!$B$42), ((SamplingData[[#This Row],[up/U Selection Probability]]) * 'General Info'!$B$44) - 1, 0)</f>
        <v>17.844559306520225</v>
      </c>
      <c r="AH470" s="100">
        <f>IF(ISNUMBER('General Info'!$B$42), (SamplingData[[#This Row],[Running (cumulative) sum]] * ('General Info'!$B$42 -'General Info'!$B$43 + 1)) + 'General Info'!$B$43 - 1, 0)</f>
        <v>9887.0094761212586</v>
      </c>
      <c r="AI470" s="100" t="str">
        <f>IF(ISERROR(MATCH(SamplingData[[#This Row],[Batch by Type (p)]],SelectedPrecincts[Batch Name], 0)), "", INDEX(SelectedPrecincts[Draw], MATCH(SamplingData[[#This Row],[Batch by Type (p)]],SelectedPrecincts[Batch Name], 0)))</f>
        <v/>
      </c>
      <c r="AJ470" s="101">
        <f>IF(COUNTIF(SelectedPrecincts[Batch Name],SamplingData[[#This Row],[Batch by Type (p)]]) &lt;&gt; 0, COUNTIF(SelectedPrecincts[Batch Name],SamplingData[[#This Row],[Batch by Type (p)]]), 0)</f>
        <v>0</v>
      </c>
    </row>
    <row r="471" spans="1:36" ht="15" customHeight="1" x14ac:dyDescent="0.35">
      <c r="A471" s="98" t="s">
        <v>683</v>
      </c>
      <c r="B471" s="98">
        <v>18</v>
      </c>
      <c r="C471" s="98">
        <v>0</v>
      </c>
      <c r="D471" s="93"/>
      <c r="E471" s="93"/>
      <c r="F471" s="93"/>
      <c r="G471" s="97"/>
      <c r="H471" s="97"/>
      <c r="I471" s="93"/>
      <c r="J471" s="93"/>
      <c r="K471" s="93"/>
      <c r="L471" s="93"/>
      <c r="M471" s="93"/>
      <c r="N471" s="98">
        <v>0</v>
      </c>
      <c r="O471" s="98">
        <v>0</v>
      </c>
      <c r="P471" s="99">
        <f>SUM(SamplingData[[#This Row],[Winning Candidate]:[Under Votes]])</f>
        <v>18</v>
      </c>
      <c r="Q471"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471" s="100">
        <f>IF(AND(SamplingData[[#This Row],[Total]]&lt;&gt; 0, NOT(ISBLANK(SamplingData[[#This Row],[Candidate 3]]))),(SamplingData[[#This Row],[Total]]+SamplingData[[#This Row],[Winning Candidate]]-SamplingData[[#This Row],[Candidate 3]])/(SamplingData[[#Totals],[Winning Candidate]]-SamplingData[[#Totals],[Candidate 3]]), 0)</f>
        <v>0</v>
      </c>
      <c r="S471" s="100">
        <f>IF(AND(SamplingData[[#This Row],[Total]]&lt;&gt; 0, NOT(ISBLANK(SamplingData[[#This Row],[Candidate 4]]))),(SamplingData[[#This Row],[Total]]+SamplingData[[#This Row],[Winning Candidate]]-SamplingData[[#This Row],[Candidate 4]])/(SamplingData[[#Totals],[Winning Candidate]]-SamplingData[[#Totals],[Candidate 4]]), 0)</f>
        <v>0</v>
      </c>
      <c r="T471" s="100">
        <f>IF(AND(SamplingData[[#This Row],[Total]]&lt;&gt; 0, NOT(ISBLANK(SamplingData[[#This Row],[Candidate 5]]))),(SamplingData[[#This Row],[Total]]+SamplingData[[#This Row],[Winning Candidate]]-SamplingData[[#This Row],[Candidate 5]])/(SamplingData[[#Totals],[Winning Candidate]]-SamplingData[[#Totals],[Candidate 5]]), 0)</f>
        <v>0</v>
      </c>
      <c r="U471" s="100">
        <f>IF(AND(SamplingData[[#This Row],[Total]]&lt;&gt; 0, NOT(ISBLANK(SamplingData[[#This Row],[Candidate 6]]))),(SamplingData[[#This Row],[Total]]+SamplingData[[#This Row],[Losing Candidate]]-SamplingData[[#This Row],[Candidate 6]])/(SamplingData[[#Totals],[Winning Candidate]]-SamplingData[[#Totals],[Candidate 6]]), 0)</f>
        <v>0</v>
      </c>
      <c r="V471" s="100">
        <f>IF(AND(SamplingData[[#This Row],[Total]]&lt;&gt; 0, NOT(ISBLANK(SamplingData[[#This Row],[Candidate 7]]))),(SamplingData[[#This Row],[Total]]+SamplingData[[#This Row],[Winning Candidate]]-SamplingData[[#This Row],[Candidate 7]])/(SamplingData[[#Totals],[Winning Candidate]]-SamplingData[[#Totals],[Candidate 7]]), 0)</f>
        <v>0</v>
      </c>
      <c r="W471" s="100">
        <f>IF(AND(SamplingData[[#This Row],[Total]]&lt;&gt; 0, NOT(ISBLANK(SamplingData[[#This Row],[Candidate 8]]))),(SamplingData[[#This Row],[Total]]+SamplingData[[#This Row],[Winning Candidate]]-SamplingData[[#This Row],[Candidate 8]])/(SamplingData[[#Totals],[Winning Candidate]]-SamplingData[[#Totals],[Candidate 8]]), 0)</f>
        <v>0</v>
      </c>
      <c r="X4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00">
        <f>MAX(SamplingData[[#This Row],[Error Bound (up) - Max. possible relative overstatement - Losing Candidate]:[Error Bound (up) - Max. possible relative overstatement - Candidate 12]])</f>
        <v>1.1307598077708327E-3</v>
      </c>
      <c r="AC471" s="100">
        <f>IF(SamplingData[[#This Row],[Max Error Bound (up)]] = 0,0,SamplingData[[#This Row],[Max Error Bound (up)]]/SamplingData[[#Totals],[Max Error Bound (up)]])</f>
        <v>4.845743821676629E-4</v>
      </c>
      <c r="AD471" s="104">
        <f>SUM($AC$5:AC471)</f>
        <v>9.9364669143380241E-2</v>
      </c>
      <c r="AE471" s="100" t="str" cm="1">
        <f t="array" ref="AE471">IF(SamplingData[[#This Row],[up/U Selection Probability]] = 0, "Zero", TEXT(SamplingData[[#This Row],[Lower Range]], REPT("0",LEN('General Info'!$B$42))) &amp; " - " &amp; TEXT(SamplingData[[#This Row],[Upper Range]], REPT("0",LEN('General Info'!$B$42))))</f>
        <v>09888 - 09935</v>
      </c>
      <c r="AF471" s="100">
        <f>SamplingData[[#This Row],[Upper Range]]-SamplingData[[#This Row],[Span]]</f>
        <v>9888.0094761212567</v>
      </c>
      <c r="AG471" s="100">
        <f>IF(ISNUMBER('General Info'!$B$42), ((SamplingData[[#This Row],[up/U Selection Probability]]) * 'General Info'!$B$44) - 1, 0)</f>
        <v>47.457438216766292</v>
      </c>
      <c r="AH471" s="100">
        <f>IF(ISNUMBER('General Info'!$B$42), (SamplingData[[#This Row],[Running (cumulative) sum]] * ('General Info'!$B$42 -'General Info'!$B$43 + 1)) + 'General Info'!$B$43 - 1, 0)</f>
        <v>9935.4669143380233</v>
      </c>
      <c r="AI471" s="100" t="str">
        <f>IF(ISERROR(MATCH(SamplingData[[#This Row],[Batch by Type (p)]],SelectedPrecincts[Batch Name], 0)), "", INDEX(SelectedPrecincts[Draw], MATCH(SamplingData[[#This Row],[Batch by Type (p)]],SelectedPrecincts[Batch Name], 0)))</f>
        <v/>
      </c>
      <c r="AJ471" s="101">
        <f>IF(COUNTIF(SelectedPrecincts[Batch Name],SamplingData[[#This Row],[Batch by Type (p)]]) &lt;&gt; 0, COUNTIF(SelectedPrecincts[Batch Name],SamplingData[[#This Row],[Batch by Type (p)]]), 0)</f>
        <v>0</v>
      </c>
    </row>
    <row r="472" spans="1:36" ht="15" customHeight="1" x14ac:dyDescent="0.35">
      <c r="A472" s="98" t="s">
        <v>684</v>
      </c>
      <c r="B472" s="98">
        <v>21</v>
      </c>
      <c r="C472" s="98">
        <v>5</v>
      </c>
      <c r="D472" s="93"/>
      <c r="E472" s="93"/>
      <c r="F472" s="93"/>
      <c r="G472" s="97"/>
      <c r="H472" s="97"/>
      <c r="I472" s="93"/>
      <c r="J472" s="93"/>
      <c r="K472" s="93"/>
      <c r="L472" s="93"/>
      <c r="M472" s="93"/>
      <c r="N472" s="98">
        <v>0</v>
      </c>
      <c r="O472" s="98">
        <v>0</v>
      </c>
      <c r="P472" s="99">
        <f>SUM(SamplingData[[#This Row],[Winning Candidate]:[Under Votes]])</f>
        <v>26</v>
      </c>
      <c r="Q472"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472" s="100">
        <f>IF(AND(SamplingData[[#This Row],[Total]]&lt;&gt; 0, NOT(ISBLANK(SamplingData[[#This Row],[Candidate 3]]))),(SamplingData[[#This Row],[Total]]+SamplingData[[#This Row],[Winning Candidate]]-SamplingData[[#This Row],[Candidate 3]])/(SamplingData[[#Totals],[Winning Candidate]]-SamplingData[[#Totals],[Candidate 3]]), 0)</f>
        <v>0</v>
      </c>
      <c r="S472" s="100">
        <f>IF(AND(SamplingData[[#This Row],[Total]]&lt;&gt; 0, NOT(ISBLANK(SamplingData[[#This Row],[Candidate 4]]))),(SamplingData[[#This Row],[Total]]+SamplingData[[#This Row],[Winning Candidate]]-SamplingData[[#This Row],[Candidate 4]])/(SamplingData[[#Totals],[Winning Candidate]]-SamplingData[[#Totals],[Candidate 4]]), 0)</f>
        <v>0</v>
      </c>
      <c r="T472" s="100">
        <f>IF(AND(SamplingData[[#This Row],[Total]]&lt;&gt; 0, NOT(ISBLANK(SamplingData[[#This Row],[Candidate 5]]))),(SamplingData[[#This Row],[Total]]+SamplingData[[#This Row],[Winning Candidate]]-SamplingData[[#This Row],[Candidate 5]])/(SamplingData[[#Totals],[Winning Candidate]]-SamplingData[[#Totals],[Candidate 5]]), 0)</f>
        <v>0</v>
      </c>
      <c r="U472" s="100">
        <f>IF(AND(SamplingData[[#This Row],[Total]]&lt;&gt; 0, NOT(ISBLANK(SamplingData[[#This Row],[Candidate 6]]))),(SamplingData[[#This Row],[Total]]+SamplingData[[#This Row],[Losing Candidate]]-SamplingData[[#This Row],[Candidate 6]])/(SamplingData[[#Totals],[Winning Candidate]]-SamplingData[[#Totals],[Candidate 6]]), 0)</f>
        <v>0</v>
      </c>
      <c r="V472" s="100">
        <f>IF(AND(SamplingData[[#This Row],[Total]]&lt;&gt; 0, NOT(ISBLANK(SamplingData[[#This Row],[Candidate 7]]))),(SamplingData[[#This Row],[Total]]+SamplingData[[#This Row],[Winning Candidate]]-SamplingData[[#This Row],[Candidate 7]])/(SamplingData[[#Totals],[Winning Candidate]]-SamplingData[[#Totals],[Candidate 7]]), 0)</f>
        <v>0</v>
      </c>
      <c r="W472" s="100">
        <f>IF(AND(SamplingData[[#This Row],[Total]]&lt;&gt; 0, NOT(ISBLANK(SamplingData[[#This Row],[Candidate 8]]))),(SamplingData[[#This Row],[Total]]+SamplingData[[#This Row],[Winning Candidate]]-SamplingData[[#This Row],[Candidate 8]])/(SamplingData[[#Totals],[Winning Candidate]]-SamplingData[[#Totals],[Candidate 8]]), 0)</f>
        <v>0</v>
      </c>
      <c r="X4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00">
        <f>MAX(SamplingData[[#This Row],[Error Bound (up) - Max. possible relative overstatement - Losing Candidate]:[Error Bound (up) - Max. possible relative overstatement - Candidate 12]])</f>
        <v>1.3192197757326382E-3</v>
      </c>
      <c r="AC472" s="100">
        <f>IF(SamplingData[[#This Row],[Max Error Bound (up)]] = 0,0,SamplingData[[#This Row],[Max Error Bound (up)]]/SamplingData[[#Totals],[Max Error Bound (up)]])</f>
        <v>5.6533677919560674E-4</v>
      </c>
      <c r="AD472" s="104">
        <f>SUM($AC$5:AC472)</f>
        <v>9.9930005922575851E-2</v>
      </c>
      <c r="AE472" s="100" t="str" cm="1">
        <f t="array" ref="AE472">IF(SamplingData[[#This Row],[up/U Selection Probability]] = 0, "Zero", TEXT(SamplingData[[#This Row],[Lower Range]], REPT("0",LEN('General Info'!$B$42))) &amp; " - " &amp; TEXT(SamplingData[[#This Row],[Upper Range]], REPT("0",LEN('General Info'!$B$42))))</f>
        <v>09936 - 09992</v>
      </c>
      <c r="AF472" s="100">
        <f>SamplingData[[#This Row],[Upper Range]]-SamplingData[[#This Row],[Span]]</f>
        <v>9936.4669143380252</v>
      </c>
      <c r="AG472" s="100">
        <f>IF(ISNUMBER('General Info'!$B$42), ((SamplingData[[#This Row],[up/U Selection Probability]]) * 'General Info'!$B$44) - 1, 0)</f>
        <v>55.533677919560674</v>
      </c>
      <c r="AH472" s="100">
        <f>IF(ISNUMBER('General Info'!$B$42), (SamplingData[[#This Row],[Running (cumulative) sum]] * ('General Info'!$B$42 -'General Info'!$B$43 + 1)) + 'General Info'!$B$43 - 1, 0)</f>
        <v>9992.0005922575856</v>
      </c>
      <c r="AI472" s="100" t="str">
        <f>IF(ISERROR(MATCH(SamplingData[[#This Row],[Batch by Type (p)]],SelectedPrecincts[Batch Name], 0)), "", INDEX(SelectedPrecincts[Draw], MATCH(SamplingData[[#This Row],[Batch by Type (p)]],SelectedPrecincts[Batch Name], 0)))</f>
        <v/>
      </c>
      <c r="AJ472" s="101">
        <f>IF(COUNTIF(SelectedPrecincts[Batch Name],SamplingData[[#This Row],[Batch by Type (p)]]) &lt;&gt; 0, COUNTIF(SelectedPrecincts[Batch Name],SamplingData[[#This Row],[Batch by Type (p)]]), 0)</f>
        <v>0</v>
      </c>
    </row>
    <row r="473" spans="1:36" ht="15" customHeight="1" x14ac:dyDescent="0.35">
      <c r="A473" s="98" t="s">
        <v>685</v>
      </c>
      <c r="B473" s="98">
        <v>3</v>
      </c>
      <c r="C473" s="98">
        <v>0</v>
      </c>
      <c r="D473" s="93"/>
      <c r="E473" s="93"/>
      <c r="F473" s="93"/>
      <c r="G473" s="97"/>
      <c r="H473" s="97"/>
      <c r="I473" s="93"/>
      <c r="J473" s="93"/>
      <c r="K473" s="93"/>
      <c r="L473" s="93"/>
      <c r="M473" s="93"/>
      <c r="N473" s="98">
        <v>0</v>
      </c>
      <c r="O473" s="98">
        <v>0</v>
      </c>
      <c r="P473" s="99">
        <f>SUM(SamplingData[[#This Row],[Winning Candidate]:[Under Votes]])</f>
        <v>3</v>
      </c>
      <c r="Q473"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73" s="100">
        <f>IF(AND(SamplingData[[#This Row],[Total]]&lt;&gt; 0, NOT(ISBLANK(SamplingData[[#This Row],[Candidate 3]]))),(SamplingData[[#This Row],[Total]]+SamplingData[[#This Row],[Winning Candidate]]-SamplingData[[#This Row],[Candidate 3]])/(SamplingData[[#Totals],[Winning Candidate]]-SamplingData[[#Totals],[Candidate 3]]), 0)</f>
        <v>0</v>
      </c>
      <c r="S473" s="100">
        <f>IF(AND(SamplingData[[#This Row],[Total]]&lt;&gt; 0, NOT(ISBLANK(SamplingData[[#This Row],[Candidate 4]]))),(SamplingData[[#This Row],[Total]]+SamplingData[[#This Row],[Winning Candidate]]-SamplingData[[#This Row],[Candidate 4]])/(SamplingData[[#Totals],[Winning Candidate]]-SamplingData[[#Totals],[Candidate 4]]), 0)</f>
        <v>0</v>
      </c>
      <c r="T473" s="100">
        <f>IF(AND(SamplingData[[#This Row],[Total]]&lt;&gt; 0, NOT(ISBLANK(SamplingData[[#This Row],[Candidate 5]]))),(SamplingData[[#This Row],[Total]]+SamplingData[[#This Row],[Winning Candidate]]-SamplingData[[#This Row],[Candidate 5]])/(SamplingData[[#Totals],[Winning Candidate]]-SamplingData[[#Totals],[Candidate 5]]), 0)</f>
        <v>0</v>
      </c>
      <c r="U473" s="100">
        <f>IF(AND(SamplingData[[#This Row],[Total]]&lt;&gt; 0, NOT(ISBLANK(SamplingData[[#This Row],[Candidate 6]]))),(SamplingData[[#This Row],[Total]]+SamplingData[[#This Row],[Losing Candidate]]-SamplingData[[#This Row],[Candidate 6]])/(SamplingData[[#Totals],[Winning Candidate]]-SamplingData[[#Totals],[Candidate 6]]), 0)</f>
        <v>0</v>
      </c>
      <c r="V473" s="100">
        <f>IF(AND(SamplingData[[#This Row],[Total]]&lt;&gt; 0, NOT(ISBLANK(SamplingData[[#This Row],[Candidate 7]]))),(SamplingData[[#This Row],[Total]]+SamplingData[[#This Row],[Winning Candidate]]-SamplingData[[#This Row],[Candidate 7]])/(SamplingData[[#Totals],[Winning Candidate]]-SamplingData[[#Totals],[Candidate 7]]), 0)</f>
        <v>0</v>
      </c>
      <c r="W473" s="100">
        <f>IF(AND(SamplingData[[#This Row],[Total]]&lt;&gt; 0, NOT(ISBLANK(SamplingData[[#This Row],[Candidate 8]]))),(SamplingData[[#This Row],[Total]]+SamplingData[[#This Row],[Winning Candidate]]-SamplingData[[#This Row],[Candidate 8]])/(SamplingData[[#Totals],[Winning Candidate]]-SamplingData[[#Totals],[Candidate 8]]), 0)</f>
        <v>0</v>
      </c>
      <c r="X4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00">
        <f>MAX(SamplingData[[#This Row],[Error Bound (up) - Max. possible relative overstatement - Losing Candidate]:[Error Bound (up) - Max. possible relative overstatement - Candidate 12]])</f>
        <v>1.8845996796180544E-4</v>
      </c>
      <c r="AC473" s="100">
        <f>IF(SamplingData[[#This Row],[Max Error Bound (up)]] = 0,0,SamplingData[[#This Row],[Max Error Bound (up)]]/SamplingData[[#Totals],[Max Error Bound (up)]])</f>
        <v>8.0762397027943816E-5</v>
      </c>
      <c r="AD473" s="104">
        <f>SUM($AC$5:AC473)</f>
        <v>0.1000107683196038</v>
      </c>
      <c r="AE473" s="100" t="str" cm="1">
        <f t="array" ref="AE473">IF(SamplingData[[#This Row],[up/U Selection Probability]] = 0, "Zero", TEXT(SamplingData[[#This Row],[Lower Range]], REPT("0",LEN('General Info'!$B$42))) &amp; " - " &amp; TEXT(SamplingData[[#This Row],[Upper Range]], REPT("0",LEN('General Info'!$B$42))))</f>
        <v>09993 - 10000</v>
      </c>
      <c r="AF473" s="100">
        <f>SamplingData[[#This Row],[Upper Range]]-SamplingData[[#This Row],[Span]]</f>
        <v>9993.0005922575856</v>
      </c>
      <c r="AG473" s="100">
        <f>IF(ISNUMBER('General Info'!$B$42), ((SamplingData[[#This Row],[up/U Selection Probability]]) * 'General Info'!$B$44) - 1, 0)</f>
        <v>7.076239702794382</v>
      </c>
      <c r="AH473" s="100">
        <f>IF(ISNUMBER('General Info'!$B$42), (SamplingData[[#This Row],[Running (cumulative) sum]] * ('General Info'!$B$42 -'General Info'!$B$43 + 1)) + 'General Info'!$B$43 - 1, 0)</f>
        <v>10000.076831960379</v>
      </c>
      <c r="AI473" s="100" t="str">
        <f>IF(ISERROR(MATCH(SamplingData[[#This Row],[Batch by Type (p)]],SelectedPrecincts[Batch Name], 0)), "", INDEX(SelectedPrecincts[Draw], MATCH(SamplingData[[#This Row],[Batch by Type (p)]],SelectedPrecincts[Batch Name], 0)))</f>
        <v/>
      </c>
      <c r="AJ473" s="101">
        <f>IF(COUNTIF(SelectedPrecincts[Batch Name],SamplingData[[#This Row],[Batch by Type (p)]]) &lt;&gt; 0, COUNTIF(SelectedPrecincts[Batch Name],SamplingData[[#This Row],[Batch by Type (p)]]), 0)</f>
        <v>0</v>
      </c>
    </row>
    <row r="474" spans="1:36" ht="15" customHeight="1" x14ac:dyDescent="0.35">
      <c r="A474" s="98" t="s">
        <v>686</v>
      </c>
      <c r="B474" s="98">
        <v>3</v>
      </c>
      <c r="C474" s="98">
        <v>1</v>
      </c>
      <c r="D474" s="93"/>
      <c r="E474" s="93"/>
      <c r="F474" s="93"/>
      <c r="G474" s="97"/>
      <c r="H474" s="97"/>
      <c r="I474" s="93"/>
      <c r="J474" s="93"/>
      <c r="K474" s="93"/>
      <c r="L474" s="93"/>
      <c r="M474" s="93"/>
      <c r="N474" s="98">
        <v>0</v>
      </c>
      <c r="O474" s="98">
        <v>0</v>
      </c>
      <c r="P474" s="99">
        <f>SUM(SamplingData[[#This Row],[Winning Candidate]:[Under Votes]])</f>
        <v>4</v>
      </c>
      <c r="Q47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74" s="100">
        <f>IF(AND(SamplingData[[#This Row],[Total]]&lt;&gt; 0, NOT(ISBLANK(SamplingData[[#This Row],[Candidate 3]]))),(SamplingData[[#This Row],[Total]]+SamplingData[[#This Row],[Winning Candidate]]-SamplingData[[#This Row],[Candidate 3]])/(SamplingData[[#Totals],[Winning Candidate]]-SamplingData[[#Totals],[Candidate 3]]), 0)</f>
        <v>0</v>
      </c>
      <c r="S474" s="100">
        <f>IF(AND(SamplingData[[#This Row],[Total]]&lt;&gt; 0, NOT(ISBLANK(SamplingData[[#This Row],[Candidate 4]]))),(SamplingData[[#This Row],[Total]]+SamplingData[[#This Row],[Winning Candidate]]-SamplingData[[#This Row],[Candidate 4]])/(SamplingData[[#Totals],[Winning Candidate]]-SamplingData[[#Totals],[Candidate 4]]), 0)</f>
        <v>0</v>
      </c>
      <c r="T474" s="100">
        <f>IF(AND(SamplingData[[#This Row],[Total]]&lt;&gt; 0, NOT(ISBLANK(SamplingData[[#This Row],[Candidate 5]]))),(SamplingData[[#This Row],[Total]]+SamplingData[[#This Row],[Winning Candidate]]-SamplingData[[#This Row],[Candidate 5]])/(SamplingData[[#Totals],[Winning Candidate]]-SamplingData[[#Totals],[Candidate 5]]), 0)</f>
        <v>0</v>
      </c>
      <c r="U474" s="100">
        <f>IF(AND(SamplingData[[#This Row],[Total]]&lt;&gt; 0, NOT(ISBLANK(SamplingData[[#This Row],[Candidate 6]]))),(SamplingData[[#This Row],[Total]]+SamplingData[[#This Row],[Losing Candidate]]-SamplingData[[#This Row],[Candidate 6]])/(SamplingData[[#Totals],[Winning Candidate]]-SamplingData[[#Totals],[Candidate 6]]), 0)</f>
        <v>0</v>
      </c>
      <c r="V474" s="100">
        <f>IF(AND(SamplingData[[#This Row],[Total]]&lt;&gt; 0, NOT(ISBLANK(SamplingData[[#This Row],[Candidate 7]]))),(SamplingData[[#This Row],[Total]]+SamplingData[[#This Row],[Winning Candidate]]-SamplingData[[#This Row],[Candidate 7]])/(SamplingData[[#Totals],[Winning Candidate]]-SamplingData[[#Totals],[Candidate 7]]), 0)</f>
        <v>0</v>
      </c>
      <c r="W474" s="100">
        <f>IF(AND(SamplingData[[#This Row],[Total]]&lt;&gt; 0, NOT(ISBLANK(SamplingData[[#This Row],[Candidate 8]]))),(SamplingData[[#This Row],[Total]]+SamplingData[[#This Row],[Winning Candidate]]-SamplingData[[#This Row],[Candidate 8]])/(SamplingData[[#Totals],[Winning Candidate]]-SamplingData[[#Totals],[Candidate 8]]), 0)</f>
        <v>0</v>
      </c>
      <c r="X4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00">
        <f>MAX(SamplingData[[#This Row],[Error Bound (up) - Max. possible relative overstatement - Losing Candidate]:[Error Bound (up) - Max. possible relative overstatement - Candidate 12]])</f>
        <v>1.8845996796180544E-4</v>
      </c>
      <c r="AC474" s="100">
        <f>IF(SamplingData[[#This Row],[Max Error Bound (up)]] = 0,0,SamplingData[[#This Row],[Max Error Bound (up)]]/SamplingData[[#Totals],[Max Error Bound (up)]])</f>
        <v>8.0762397027943816E-5</v>
      </c>
      <c r="AD474" s="104">
        <f>SUM($AC$5:AC474)</f>
        <v>0.10009153071663175</v>
      </c>
      <c r="AE474" s="100" t="str" cm="1">
        <f t="array" ref="AE474">IF(SamplingData[[#This Row],[up/U Selection Probability]] = 0, "Zero", TEXT(SamplingData[[#This Row],[Lower Range]], REPT("0",LEN('General Info'!$B$42))) &amp; " - " &amp; TEXT(SamplingData[[#This Row],[Upper Range]], REPT("0",LEN('General Info'!$B$42))))</f>
        <v>10001 - 10008</v>
      </c>
      <c r="AF474" s="100">
        <f>SamplingData[[#This Row],[Upper Range]]-SamplingData[[#This Row],[Span]]</f>
        <v>10001.076831960381</v>
      </c>
      <c r="AG474" s="100">
        <f>IF(ISNUMBER('General Info'!$B$42), ((SamplingData[[#This Row],[up/U Selection Probability]]) * 'General Info'!$B$44) - 1, 0)</f>
        <v>7.076239702794382</v>
      </c>
      <c r="AH474" s="100">
        <f>IF(ISNUMBER('General Info'!$B$42), (SamplingData[[#This Row],[Running (cumulative) sum]] * ('General Info'!$B$42 -'General Info'!$B$43 + 1)) + 'General Info'!$B$43 - 1, 0)</f>
        <v>10008.153071663175</v>
      </c>
      <c r="AI474" s="100" t="str">
        <f>IF(ISERROR(MATCH(SamplingData[[#This Row],[Batch by Type (p)]],SelectedPrecincts[Batch Name], 0)), "", INDEX(SelectedPrecincts[Draw], MATCH(SamplingData[[#This Row],[Batch by Type (p)]],SelectedPrecincts[Batch Name], 0)))</f>
        <v/>
      </c>
      <c r="AJ474" s="101">
        <f>IF(COUNTIF(SelectedPrecincts[Batch Name],SamplingData[[#This Row],[Batch by Type (p)]]) &lt;&gt; 0, COUNTIF(SelectedPrecincts[Batch Name],SamplingData[[#This Row],[Batch by Type (p)]]), 0)</f>
        <v>0</v>
      </c>
    </row>
    <row r="475" spans="1:36" ht="15" customHeight="1" x14ac:dyDescent="0.35">
      <c r="A475" s="98" t="s">
        <v>687</v>
      </c>
      <c r="B475" s="98">
        <v>3</v>
      </c>
      <c r="C475" s="98">
        <v>0</v>
      </c>
      <c r="D475" s="93"/>
      <c r="E475" s="93"/>
      <c r="F475" s="93"/>
      <c r="G475" s="97"/>
      <c r="H475" s="97"/>
      <c r="I475" s="93"/>
      <c r="J475" s="93"/>
      <c r="K475" s="93"/>
      <c r="L475" s="93"/>
      <c r="M475" s="93"/>
      <c r="N475" s="98">
        <v>0</v>
      </c>
      <c r="O475" s="98">
        <v>0</v>
      </c>
      <c r="P475" s="99">
        <f>SUM(SamplingData[[#This Row],[Winning Candidate]:[Under Votes]])</f>
        <v>3</v>
      </c>
      <c r="Q475"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75" s="100">
        <f>IF(AND(SamplingData[[#This Row],[Total]]&lt;&gt; 0, NOT(ISBLANK(SamplingData[[#This Row],[Candidate 3]]))),(SamplingData[[#This Row],[Total]]+SamplingData[[#This Row],[Winning Candidate]]-SamplingData[[#This Row],[Candidate 3]])/(SamplingData[[#Totals],[Winning Candidate]]-SamplingData[[#Totals],[Candidate 3]]), 0)</f>
        <v>0</v>
      </c>
      <c r="S475" s="100">
        <f>IF(AND(SamplingData[[#This Row],[Total]]&lt;&gt; 0, NOT(ISBLANK(SamplingData[[#This Row],[Candidate 4]]))),(SamplingData[[#This Row],[Total]]+SamplingData[[#This Row],[Winning Candidate]]-SamplingData[[#This Row],[Candidate 4]])/(SamplingData[[#Totals],[Winning Candidate]]-SamplingData[[#Totals],[Candidate 4]]), 0)</f>
        <v>0</v>
      </c>
      <c r="T475" s="100">
        <f>IF(AND(SamplingData[[#This Row],[Total]]&lt;&gt; 0, NOT(ISBLANK(SamplingData[[#This Row],[Candidate 5]]))),(SamplingData[[#This Row],[Total]]+SamplingData[[#This Row],[Winning Candidate]]-SamplingData[[#This Row],[Candidate 5]])/(SamplingData[[#Totals],[Winning Candidate]]-SamplingData[[#Totals],[Candidate 5]]), 0)</f>
        <v>0</v>
      </c>
      <c r="U475" s="100">
        <f>IF(AND(SamplingData[[#This Row],[Total]]&lt;&gt; 0, NOT(ISBLANK(SamplingData[[#This Row],[Candidate 6]]))),(SamplingData[[#This Row],[Total]]+SamplingData[[#This Row],[Losing Candidate]]-SamplingData[[#This Row],[Candidate 6]])/(SamplingData[[#Totals],[Winning Candidate]]-SamplingData[[#Totals],[Candidate 6]]), 0)</f>
        <v>0</v>
      </c>
      <c r="V475" s="100">
        <f>IF(AND(SamplingData[[#This Row],[Total]]&lt;&gt; 0, NOT(ISBLANK(SamplingData[[#This Row],[Candidate 7]]))),(SamplingData[[#This Row],[Total]]+SamplingData[[#This Row],[Winning Candidate]]-SamplingData[[#This Row],[Candidate 7]])/(SamplingData[[#Totals],[Winning Candidate]]-SamplingData[[#Totals],[Candidate 7]]), 0)</f>
        <v>0</v>
      </c>
      <c r="W475" s="100">
        <f>IF(AND(SamplingData[[#This Row],[Total]]&lt;&gt; 0, NOT(ISBLANK(SamplingData[[#This Row],[Candidate 8]]))),(SamplingData[[#This Row],[Total]]+SamplingData[[#This Row],[Winning Candidate]]-SamplingData[[#This Row],[Candidate 8]])/(SamplingData[[#Totals],[Winning Candidate]]-SamplingData[[#Totals],[Candidate 8]]), 0)</f>
        <v>0</v>
      </c>
      <c r="X4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00">
        <f>MAX(SamplingData[[#This Row],[Error Bound (up) - Max. possible relative overstatement - Losing Candidate]:[Error Bound (up) - Max. possible relative overstatement - Candidate 12]])</f>
        <v>1.8845996796180544E-4</v>
      </c>
      <c r="AC475" s="100">
        <f>IF(SamplingData[[#This Row],[Max Error Bound (up)]] = 0,0,SamplingData[[#This Row],[Max Error Bound (up)]]/SamplingData[[#Totals],[Max Error Bound (up)]])</f>
        <v>8.0762397027943816E-5</v>
      </c>
      <c r="AD475" s="104">
        <f>SUM($AC$5:AC475)</f>
        <v>0.1001722931136597</v>
      </c>
      <c r="AE475" s="100" t="str" cm="1">
        <f t="array" ref="AE475">IF(SamplingData[[#This Row],[up/U Selection Probability]] = 0, "Zero", TEXT(SamplingData[[#This Row],[Lower Range]], REPT("0",LEN('General Info'!$B$42))) &amp; " - " &amp; TEXT(SamplingData[[#This Row],[Upper Range]], REPT("0",LEN('General Info'!$B$42))))</f>
        <v>10009 - 10016</v>
      </c>
      <c r="AF475" s="100">
        <f>SamplingData[[#This Row],[Upper Range]]-SamplingData[[#This Row],[Span]]</f>
        <v>10009.153071663177</v>
      </c>
      <c r="AG475" s="100">
        <f>IF(ISNUMBER('General Info'!$B$42), ((SamplingData[[#This Row],[up/U Selection Probability]]) * 'General Info'!$B$44) - 1, 0)</f>
        <v>7.076239702794382</v>
      </c>
      <c r="AH475" s="100">
        <f>IF(ISNUMBER('General Info'!$B$42), (SamplingData[[#This Row],[Running (cumulative) sum]] * ('General Info'!$B$42 -'General Info'!$B$43 + 1)) + 'General Info'!$B$43 - 1, 0)</f>
        <v>10016.229311365971</v>
      </c>
      <c r="AI475" s="100" t="str">
        <f>IF(ISERROR(MATCH(SamplingData[[#This Row],[Batch by Type (p)]],SelectedPrecincts[Batch Name], 0)), "", INDEX(SelectedPrecincts[Draw], MATCH(SamplingData[[#This Row],[Batch by Type (p)]],SelectedPrecincts[Batch Name], 0)))</f>
        <v/>
      </c>
      <c r="AJ475" s="101">
        <f>IF(COUNTIF(SelectedPrecincts[Batch Name],SamplingData[[#This Row],[Batch by Type (p)]]) &lt;&gt; 0, COUNTIF(SelectedPrecincts[Batch Name],SamplingData[[#This Row],[Batch by Type (p)]]), 0)</f>
        <v>0</v>
      </c>
    </row>
    <row r="476" spans="1:36" ht="15" customHeight="1" x14ac:dyDescent="0.35">
      <c r="A476" s="98" t="s">
        <v>688</v>
      </c>
      <c r="B476" s="98">
        <v>20</v>
      </c>
      <c r="C476" s="98">
        <v>1</v>
      </c>
      <c r="D476" s="93"/>
      <c r="E476" s="93"/>
      <c r="F476" s="93"/>
      <c r="G476" s="97"/>
      <c r="H476" s="97"/>
      <c r="I476" s="93"/>
      <c r="J476" s="93"/>
      <c r="K476" s="93"/>
      <c r="L476" s="93"/>
      <c r="M476" s="93"/>
      <c r="N476" s="98">
        <v>0</v>
      </c>
      <c r="O476" s="98">
        <v>0</v>
      </c>
      <c r="P476" s="99">
        <f>SUM(SamplingData[[#This Row],[Winning Candidate]:[Under Votes]])</f>
        <v>21</v>
      </c>
      <c r="Q476"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476" s="100">
        <f>IF(AND(SamplingData[[#This Row],[Total]]&lt;&gt; 0, NOT(ISBLANK(SamplingData[[#This Row],[Candidate 3]]))),(SamplingData[[#This Row],[Total]]+SamplingData[[#This Row],[Winning Candidate]]-SamplingData[[#This Row],[Candidate 3]])/(SamplingData[[#Totals],[Winning Candidate]]-SamplingData[[#Totals],[Candidate 3]]), 0)</f>
        <v>0</v>
      </c>
      <c r="S476" s="100">
        <f>IF(AND(SamplingData[[#This Row],[Total]]&lt;&gt; 0, NOT(ISBLANK(SamplingData[[#This Row],[Candidate 4]]))),(SamplingData[[#This Row],[Total]]+SamplingData[[#This Row],[Winning Candidate]]-SamplingData[[#This Row],[Candidate 4]])/(SamplingData[[#Totals],[Winning Candidate]]-SamplingData[[#Totals],[Candidate 4]]), 0)</f>
        <v>0</v>
      </c>
      <c r="T476" s="100">
        <f>IF(AND(SamplingData[[#This Row],[Total]]&lt;&gt; 0, NOT(ISBLANK(SamplingData[[#This Row],[Candidate 5]]))),(SamplingData[[#This Row],[Total]]+SamplingData[[#This Row],[Winning Candidate]]-SamplingData[[#This Row],[Candidate 5]])/(SamplingData[[#Totals],[Winning Candidate]]-SamplingData[[#Totals],[Candidate 5]]), 0)</f>
        <v>0</v>
      </c>
      <c r="U476" s="100">
        <f>IF(AND(SamplingData[[#This Row],[Total]]&lt;&gt; 0, NOT(ISBLANK(SamplingData[[#This Row],[Candidate 6]]))),(SamplingData[[#This Row],[Total]]+SamplingData[[#This Row],[Losing Candidate]]-SamplingData[[#This Row],[Candidate 6]])/(SamplingData[[#Totals],[Winning Candidate]]-SamplingData[[#Totals],[Candidate 6]]), 0)</f>
        <v>0</v>
      </c>
      <c r="V476" s="100">
        <f>IF(AND(SamplingData[[#This Row],[Total]]&lt;&gt; 0, NOT(ISBLANK(SamplingData[[#This Row],[Candidate 7]]))),(SamplingData[[#This Row],[Total]]+SamplingData[[#This Row],[Winning Candidate]]-SamplingData[[#This Row],[Candidate 7]])/(SamplingData[[#Totals],[Winning Candidate]]-SamplingData[[#Totals],[Candidate 7]]), 0)</f>
        <v>0</v>
      </c>
      <c r="W476" s="100">
        <f>IF(AND(SamplingData[[#This Row],[Total]]&lt;&gt; 0, NOT(ISBLANK(SamplingData[[#This Row],[Candidate 8]]))),(SamplingData[[#This Row],[Total]]+SamplingData[[#This Row],[Winning Candidate]]-SamplingData[[#This Row],[Candidate 8]])/(SamplingData[[#Totals],[Winning Candidate]]-SamplingData[[#Totals],[Candidate 8]]), 0)</f>
        <v>0</v>
      </c>
      <c r="X4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00">
        <f>MAX(SamplingData[[#This Row],[Error Bound (up) - Max. possible relative overstatement - Losing Candidate]:[Error Bound (up) - Max. possible relative overstatement - Candidate 12]])</f>
        <v>1.2563997864120362E-3</v>
      </c>
      <c r="AC476" s="100">
        <f>IF(SamplingData[[#This Row],[Max Error Bound (up)]] = 0,0,SamplingData[[#This Row],[Max Error Bound (up)]]/SamplingData[[#Totals],[Max Error Bound (up)]])</f>
        <v>5.3841598018629215E-4</v>
      </c>
      <c r="AD476" s="104">
        <f>SUM($AC$5:AC476)</f>
        <v>0.100710709093846</v>
      </c>
      <c r="AE476" s="100" t="str" cm="1">
        <f t="array" ref="AE476">IF(SamplingData[[#This Row],[up/U Selection Probability]] = 0, "Zero", TEXT(SamplingData[[#This Row],[Lower Range]], REPT("0",LEN('General Info'!$B$42))) &amp; " - " &amp; TEXT(SamplingData[[#This Row],[Upper Range]], REPT("0",LEN('General Info'!$B$42))))</f>
        <v>10017 - 10070</v>
      </c>
      <c r="AF476" s="100">
        <f>SamplingData[[#This Row],[Upper Range]]-SamplingData[[#This Row],[Span]]</f>
        <v>10017.229311365971</v>
      </c>
      <c r="AG476" s="100">
        <f>IF(ISNUMBER('General Info'!$B$42), ((SamplingData[[#This Row],[up/U Selection Probability]]) * 'General Info'!$B$44) - 1, 0)</f>
        <v>52.841598018629213</v>
      </c>
      <c r="AH476" s="100">
        <f>IF(ISNUMBER('General Info'!$B$42), (SamplingData[[#This Row],[Running (cumulative) sum]] * ('General Info'!$B$42 -'General Info'!$B$43 + 1)) + 'General Info'!$B$43 - 1, 0)</f>
        <v>10070.0709093846</v>
      </c>
      <c r="AI476" s="100" t="str">
        <f>IF(ISERROR(MATCH(SamplingData[[#This Row],[Batch by Type (p)]],SelectedPrecincts[Batch Name], 0)), "", INDEX(SelectedPrecincts[Draw], MATCH(SamplingData[[#This Row],[Batch by Type (p)]],SelectedPrecincts[Batch Name], 0)))</f>
        <v/>
      </c>
      <c r="AJ476" s="101">
        <f>IF(COUNTIF(SelectedPrecincts[Batch Name],SamplingData[[#This Row],[Batch by Type (p)]]) &lt;&gt; 0, COUNTIF(SelectedPrecincts[Batch Name],SamplingData[[#This Row],[Batch by Type (p)]]), 0)</f>
        <v>0</v>
      </c>
    </row>
    <row r="477" spans="1:36" ht="15" customHeight="1" x14ac:dyDescent="0.35">
      <c r="A477" s="98" t="s">
        <v>689</v>
      </c>
      <c r="B477" s="98">
        <v>18</v>
      </c>
      <c r="C477" s="98">
        <v>1</v>
      </c>
      <c r="D477" s="93"/>
      <c r="E477" s="93"/>
      <c r="F477" s="93"/>
      <c r="G477" s="97"/>
      <c r="H477" s="97"/>
      <c r="I477" s="93"/>
      <c r="J477" s="93"/>
      <c r="K477" s="93"/>
      <c r="L477" s="93"/>
      <c r="M477" s="93"/>
      <c r="N477" s="98">
        <v>0</v>
      </c>
      <c r="O477" s="98">
        <v>1</v>
      </c>
      <c r="P477" s="99">
        <f>SUM(SamplingData[[#This Row],[Winning Candidate]:[Under Votes]])</f>
        <v>20</v>
      </c>
      <c r="Q477"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477" s="100">
        <f>IF(AND(SamplingData[[#This Row],[Total]]&lt;&gt; 0, NOT(ISBLANK(SamplingData[[#This Row],[Candidate 3]]))),(SamplingData[[#This Row],[Total]]+SamplingData[[#This Row],[Winning Candidate]]-SamplingData[[#This Row],[Candidate 3]])/(SamplingData[[#Totals],[Winning Candidate]]-SamplingData[[#Totals],[Candidate 3]]), 0)</f>
        <v>0</v>
      </c>
      <c r="S477" s="100">
        <f>IF(AND(SamplingData[[#This Row],[Total]]&lt;&gt; 0, NOT(ISBLANK(SamplingData[[#This Row],[Candidate 4]]))),(SamplingData[[#This Row],[Total]]+SamplingData[[#This Row],[Winning Candidate]]-SamplingData[[#This Row],[Candidate 4]])/(SamplingData[[#Totals],[Winning Candidate]]-SamplingData[[#Totals],[Candidate 4]]), 0)</f>
        <v>0</v>
      </c>
      <c r="T477" s="100">
        <f>IF(AND(SamplingData[[#This Row],[Total]]&lt;&gt; 0, NOT(ISBLANK(SamplingData[[#This Row],[Candidate 5]]))),(SamplingData[[#This Row],[Total]]+SamplingData[[#This Row],[Winning Candidate]]-SamplingData[[#This Row],[Candidate 5]])/(SamplingData[[#Totals],[Winning Candidate]]-SamplingData[[#Totals],[Candidate 5]]), 0)</f>
        <v>0</v>
      </c>
      <c r="U477" s="100">
        <f>IF(AND(SamplingData[[#This Row],[Total]]&lt;&gt; 0, NOT(ISBLANK(SamplingData[[#This Row],[Candidate 6]]))),(SamplingData[[#This Row],[Total]]+SamplingData[[#This Row],[Losing Candidate]]-SamplingData[[#This Row],[Candidate 6]])/(SamplingData[[#Totals],[Winning Candidate]]-SamplingData[[#Totals],[Candidate 6]]), 0)</f>
        <v>0</v>
      </c>
      <c r="V477" s="100">
        <f>IF(AND(SamplingData[[#This Row],[Total]]&lt;&gt; 0, NOT(ISBLANK(SamplingData[[#This Row],[Candidate 7]]))),(SamplingData[[#This Row],[Total]]+SamplingData[[#This Row],[Winning Candidate]]-SamplingData[[#This Row],[Candidate 7]])/(SamplingData[[#Totals],[Winning Candidate]]-SamplingData[[#Totals],[Candidate 7]]), 0)</f>
        <v>0</v>
      </c>
      <c r="W477" s="100">
        <f>IF(AND(SamplingData[[#This Row],[Total]]&lt;&gt; 0, NOT(ISBLANK(SamplingData[[#This Row],[Candidate 8]]))),(SamplingData[[#This Row],[Total]]+SamplingData[[#This Row],[Winning Candidate]]-SamplingData[[#This Row],[Candidate 8]])/(SamplingData[[#Totals],[Winning Candidate]]-SamplingData[[#Totals],[Candidate 8]]), 0)</f>
        <v>0</v>
      </c>
      <c r="X4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00">
        <f>MAX(SamplingData[[#This Row],[Error Bound (up) - Max. possible relative overstatement - Losing Candidate]:[Error Bound (up) - Max. possible relative overstatement - Candidate 12]])</f>
        <v>1.1621698024311335E-3</v>
      </c>
      <c r="AC477" s="100">
        <f>IF(SamplingData[[#This Row],[Max Error Bound (up)]] = 0,0,SamplingData[[#This Row],[Max Error Bound (up)]]/SamplingData[[#Totals],[Max Error Bound (up)]])</f>
        <v>4.9803478167232014E-4</v>
      </c>
      <c r="AD477" s="104">
        <f>SUM($AC$5:AC477)</f>
        <v>0.10120874387551831</v>
      </c>
      <c r="AE477" s="100" t="str" cm="1">
        <f t="array" ref="AE477">IF(SamplingData[[#This Row],[up/U Selection Probability]] = 0, "Zero", TEXT(SamplingData[[#This Row],[Lower Range]], REPT("0",LEN('General Info'!$B$42))) &amp; " - " &amp; TEXT(SamplingData[[#This Row],[Upper Range]], REPT("0",LEN('General Info'!$B$42))))</f>
        <v>10071 - 10120</v>
      </c>
      <c r="AF477" s="100">
        <f>SamplingData[[#This Row],[Upper Range]]-SamplingData[[#This Row],[Span]]</f>
        <v>10071.0709093846</v>
      </c>
      <c r="AG477" s="100">
        <f>IF(ISNUMBER('General Info'!$B$42), ((SamplingData[[#This Row],[up/U Selection Probability]]) * 'General Info'!$B$44) - 1, 0)</f>
        <v>48.803478167232015</v>
      </c>
      <c r="AH477" s="100">
        <f>IF(ISNUMBER('General Info'!$B$42), (SamplingData[[#This Row],[Running (cumulative) sum]] * ('General Info'!$B$42 -'General Info'!$B$43 + 1)) + 'General Info'!$B$43 - 1, 0)</f>
        <v>10119.874387551832</v>
      </c>
      <c r="AI477" s="100" t="str">
        <f>IF(ISERROR(MATCH(SamplingData[[#This Row],[Batch by Type (p)]],SelectedPrecincts[Batch Name], 0)), "", INDEX(SelectedPrecincts[Draw], MATCH(SamplingData[[#This Row],[Batch by Type (p)]],SelectedPrecincts[Batch Name], 0)))</f>
        <v/>
      </c>
      <c r="AJ477" s="101">
        <f>IF(COUNTIF(SelectedPrecincts[Batch Name],SamplingData[[#This Row],[Batch by Type (p)]]) &lt;&gt; 0, COUNTIF(SelectedPrecincts[Batch Name],SamplingData[[#This Row],[Batch by Type (p)]]), 0)</f>
        <v>0</v>
      </c>
    </row>
    <row r="478" spans="1:36" ht="15" customHeight="1" x14ac:dyDescent="0.35">
      <c r="A478" s="98" t="s">
        <v>690</v>
      </c>
      <c r="B478" s="98">
        <v>4</v>
      </c>
      <c r="C478" s="98">
        <v>0</v>
      </c>
      <c r="D478" s="93"/>
      <c r="E478" s="93"/>
      <c r="F478" s="93"/>
      <c r="G478" s="97"/>
      <c r="H478" s="97"/>
      <c r="I478" s="93"/>
      <c r="J478" s="93"/>
      <c r="K478" s="93"/>
      <c r="L478" s="93"/>
      <c r="M478" s="93"/>
      <c r="N478" s="98">
        <v>0</v>
      </c>
      <c r="O478" s="98">
        <v>0</v>
      </c>
      <c r="P478" s="99">
        <f>SUM(SamplingData[[#This Row],[Winning Candidate]:[Under Votes]])</f>
        <v>4</v>
      </c>
      <c r="Q478"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478" s="100">
        <f>IF(AND(SamplingData[[#This Row],[Total]]&lt;&gt; 0, NOT(ISBLANK(SamplingData[[#This Row],[Candidate 3]]))),(SamplingData[[#This Row],[Total]]+SamplingData[[#This Row],[Winning Candidate]]-SamplingData[[#This Row],[Candidate 3]])/(SamplingData[[#Totals],[Winning Candidate]]-SamplingData[[#Totals],[Candidate 3]]), 0)</f>
        <v>0</v>
      </c>
      <c r="S478" s="100">
        <f>IF(AND(SamplingData[[#This Row],[Total]]&lt;&gt; 0, NOT(ISBLANK(SamplingData[[#This Row],[Candidate 4]]))),(SamplingData[[#This Row],[Total]]+SamplingData[[#This Row],[Winning Candidate]]-SamplingData[[#This Row],[Candidate 4]])/(SamplingData[[#Totals],[Winning Candidate]]-SamplingData[[#Totals],[Candidate 4]]), 0)</f>
        <v>0</v>
      </c>
      <c r="T478" s="100">
        <f>IF(AND(SamplingData[[#This Row],[Total]]&lt;&gt; 0, NOT(ISBLANK(SamplingData[[#This Row],[Candidate 5]]))),(SamplingData[[#This Row],[Total]]+SamplingData[[#This Row],[Winning Candidate]]-SamplingData[[#This Row],[Candidate 5]])/(SamplingData[[#Totals],[Winning Candidate]]-SamplingData[[#Totals],[Candidate 5]]), 0)</f>
        <v>0</v>
      </c>
      <c r="U478" s="100">
        <f>IF(AND(SamplingData[[#This Row],[Total]]&lt;&gt; 0, NOT(ISBLANK(SamplingData[[#This Row],[Candidate 6]]))),(SamplingData[[#This Row],[Total]]+SamplingData[[#This Row],[Losing Candidate]]-SamplingData[[#This Row],[Candidate 6]])/(SamplingData[[#Totals],[Winning Candidate]]-SamplingData[[#Totals],[Candidate 6]]), 0)</f>
        <v>0</v>
      </c>
      <c r="V478" s="100">
        <f>IF(AND(SamplingData[[#This Row],[Total]]&lt;&gt; 0, NOT(ISBLANK(SamplingData[[#This Row],[Candidate 7]]))),(SamplingData[[#This Row],[Total]]+SamplingData[[#This Row],[Winning Candidate]]-SamplingData[[#This Row],[Candidate 7]])/(SamplingData[[#Totals],[Winning Candidate]]-SamplingData[[#Totals],[Candidate 7]]), 0)</f>
        <v>0</v>
      </c>
      <c r="W478" s="100">
        <f>IF(AND(SamplingData[[#This Row],[Total]]&lt;&gt; 0, NOT(ISBLANK(SamplingData[[#This Row],[Candidate 8]]))),(SamplingData[[#This Row],[Total]]+SamplingData[[#This Row],[Winning Candidate]]-SamplingData[[#This Row],[Candidate 8]])/(SamplingData[[#Totals],[Winning Candidate]]-SamplingData[[#Totals],[Candidate 8]]), 0)</f>
        <v>0</v>
      </c>
      <c r="X4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00">
        <f>MAX(SamplingData[[#This Row],[Error Bound (up) - Max. possible relative overstatement - Losing Candidate]:[Error Bound (up) - Max. possible relative overstatement - Candidate 12]])</f>
        <v>2.5127995728240724E-4</v>
      </c>
      <c r="AC478" s="100">
        <f>IF(SamplingData[[#This Row],[Max Error Bound (up)]] = 0,0,SamplingData[[#This Row],[Max Error Bound (up)]]/SamplingData[[#Totals],[Max Error Bound (up)]])</f>
        <v>1.0768319603725841E-4</v>
      </c>
      <c r="AD478" s="104">
        <f>SUM($AC$5:AC478)</f>
        <v>0.10131642707155557</v>
      </c>
      <c r="AE478" s="100" t="str" cm="1">
        <f t="array" ref="AE478">IF(SamplingData[[#This Row],[up/U Selection Probability]] = 0, "Zero", TEXT(SamplingData[[#This Row],[Lower Range]], REPT("0",LEN('General Info'!$B$42))) &amp; " - " &amp; TEXT(SamplingData[[#This Row],[Upper Range]], REPT("0",LEN('General Info'!$B$42))))</f>
        <v>10121 - 10131</v>
      </c>
      <c r="AF478" s="100">
        <f>SamplingData[[#This Row],[Upper Range]]-SamplingData[[#This Row],[Span]]</f>
        <v>10120.874387551832</v>
      </c>
      <c r="AG478" s="100">
        <f>IF(ISNUMBER('General Info'!$B$42), ((SamplingData[[#This Row],[up/U Selection Probability]]) * 'General Info'!$B$44) - 1, 0)</f>
        <v>9.7683196037258408</v>
      </c>
      <c r="AH478" s="100">
        <f>IF(ISNUMBER('General Info'!$B$42), (SamplingData[[#This Row],[Running (cumulative) sum]] * ('General Info'!$B$42 -'General Info'!$B$43 + 1)) + 'General Info'!$B$43 - 1, 0)</f>
        <v>10130.642707155557</v>
      </c>
      <c r="AI478" s="100" t="str">
        <f>IF(ISERROR(MATCH(SamplingData[[#This Row],[Batch by Type (p)]],SelectedPrecincts[Batch Name], 0)), "", INDEX(SelectedPrecincts[Draw], MATCH(SamplingData[[#This Row],[Batch by Type (p)]],SelectedPrecincts[Batch Name], 0)))</f>
        <v/>
      </c>
      <c r="AJ478" s="101">
        <f>IF(COUNTIF(SelectedPrecincts[Batch Name],SamplingData[[#This Row],[Batch by Type (p)]]) &lt;&gt; 0, COUNTIF(SelectedPrecincts[Batch Name],SamplingData[[#This Row],[Batch by Type (p)]]), 0)</f>
        <v>0</v>
      </c>
    </row>
    <row r="479" spans="1:36" ht="15" customHeight="1" x14ac:dyDescent="0.35">
      <c r="A479" s="98" t="s">
        <v>691</v>
      </c>
      <c r="B479" s="98">
        <v>0</v>
      </c>
      <c r="C479" s="98">
        <v>0</v>
      </c>
      <c r="D479" s="93"/>
      <c r="E479" s="93"/>
      <c r="F479" s="93"/>
      <c r="G479" s="97"/>
      <c r="H479" s="97"/>
      <c r="I479" s="93"/>
      <c r="J479" s="93"/>
      <c r="K479" s="93"/>
      <c r="L479" s="93"/>
      <c r="M479" s="93"/>
      <c r="N479" s="98">
        <v>0</v>
      </c>
      <c r="O479" s="98">
        <v>0</v>
      </c>
      <c r="P479" s="99">
        <f>SUM(SamplingData[[#This Row],[Winning Candidate]:[Under Votes]])</f>
        <v>0</v>
      </c>
      <c r="Q479" s="100">
        <f>IF(AND(SamplingData[[#This Row],[Total]]&lt;&gt; 0, NOT(ISBLANK(SamplingData[[#This Row],[Losing Candidate]]))),(SamplingData[[#This Row],[Total]]+SamplingData[[#This Row],[Winning Candidate]]-SamplingData[[#This Row],[Losing Candidate]])/(SamplingData[[#Totals],[Winning Candidate]]-SamplingData[[#Totals],[Losing Candidate]]), 0)</f>
        <v>0</v>
      </c>
      <c r="R479" s="100">
        <f>IF(AND(SamplingData[[#This Row],[Total]]&lt;&gt; 0, NOT(ISBLANK(SamplingData[[#This Row],[Candidate 3]]))),(SamplingData[[#This Row],[Total]]+SamplingData[[#This Row],[Winning Candidate]]-SamplingData[[#This Row],[Candidate 3]])/(SamplingData[[#Totals],[Winning Candidate]]-SamplingData[[#Totals],[Candidate 3]]), 0)</f>
        <v>0</v>
      </c>
      <c r="S479" s="100">
        <f>IF(AND(SamplingData[[#This Row],[Total]]&lt;&gt; 0, NOT(ISBLANK(SamplingData[[#This Row],[Candidate 4]]))),(SamplingData[[#This Row],[Total]]+SamplingData[[#This Row],[Winning Candidate]]-SamplingData[[#This Row],[Candidate 4]])/(SamplingData[[#Totals],[Winning Candidate]]-SamplingData[[#Totals],[Candidate 4]]), 0)</f>
        <v>0</v>
      </c>
      <c r="T479" s="100">
        <f>IF(AND(SamplingData[[#This Row],[Total]]&lt;&gt; 0, NOT(ISBLANK(SamplingData[[#This Row],[Candidate 5]]))),(SamplingData[[#This Row],[Total]]+SamplingData[[#This Row],[Winning Candidate]]-SamplingData[[#This Row],[Candidate 5]])/(SamplingData[[#Totals],[Winning Candidate]]-SamplingData[[#Totals],[Candidate 5]]), 0)</f>
        <v>0</v>
      </c>
      <c r="U479" s="100">
        <f>IF(AND(SamplingData[[#This Row],[Total]]&lt;&gt; 0, NOT(ISBLANK(SamplingData[[#This Row],[Candidate 6]]))),(SamplingData[[#This Row],[Total]]+SamplingData[[#This Row],[Losing Candidate]]-SamplingData[[#This Row],[Candidate 6]])/(SamplingData[[#Totals],[Winning Candidate]]-SamplingData[[#Totals],[Candidate 6]]), 0)</f>
        <v>0</v>
      </c>
      <c r="V479" s="100">
        <f>IF(AND(SamplingData[[#This Row],[Total]]&lt;&gt; 0, NOT(ISBLANK(SamplingData[[#This Row],[Candidate 7]]))),(SamplingData[[#This Row],[Total]]+SamplingData[[#This Row],[Winning Candidate]]-SamplingData[[#This Row],[Candidate 7]])/(SamplingData[[#Totals],[Winning Candidate]]-SamplingData[[#Totals],[Candidate 7]]), 0)</f>
        <v>0</v>
      </c>
      <c r="W479" s="100">
        <f>IF(AND(SamplingData[[#This Row],[Total]]&lt;&gt; 0, NOT(ISBLANK(SamplingData[[#This Row],[Candidate 8]]))),(SamplingData[[#This Row],[Total]]+SamplingData[[#This Row],[Winning Candidate]]-SamplingData[[#This Row],[Candidate 8]])/(SamplingData[[#Totals],[Winning Candidate]]-SamplingData[[#Totals],[Candidate 8]]), 0)</f>
        <v>0</v>
      </c>
      <c r="X4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00">
        <f>MAX(SamplingData[[#This Row],[Error Bound (up) - Max. possible relative overstatement - Losing Candidate]:[Error Bound (up) - Max. possible relative overstatement - Candidate 12]])</f>
        <v>0</v>
      </c>
      <c r="AC479" s="100">
        <f>IF(SamplingData[[#This Row],[Max Error Bound (up)]] = 0,0,SamplingData[[#This Row],[Max Error Bound (up)]]/SamplingData[[#Totals],[Max Error Bound (up)]])</f>
        <v>0</v>
      </c>
      <c r="AD479" s="104">
        <f>SUM($AC$5:AC479)</f>
        <v>0.10131642707155557</v>
      </c>
      <c r="AE479" s="100" t="str" cm="1">
        <f t="array" ref="AE479">IF(SamplingData[[#This Row],[up/U Selection Probability]] = 0, "Zero", TEXT(SamplingData[[#This Row],[Lower Range]], REPT("0",LEN('General Info'!$B$42))) &amp; " - " &amp; TEXT(SamplingData[[#This Row],[Upper Range]], REPT("0",LEN('General Info'!$B$42))))</f>
        <v>Zero</v>
      </c>
      <c r="AF479" s="100">
        <f>SamplingData[[#This Row],[Upper Range]]-SamplingData[[#This Row],[Span]]</f>
        <v>10131.642707155557</v>
      </c>
      <c r="AG479" s="100">
        <f>IF(ISNUMBER('General Info'!$B$42), ((SamplingData[[#This Row],[up/U Selection Probability]]) * 'General Info'!$B$44) - 1, 0)</f>
        <v>-1</v>
      </c>
      <c r="AH479" s="100">
        <f>IF(ISNUMBER('General Info'!$B$42), (SamplingData[[#This Row],[Running (cumulative) sum]] * ('General Info'!$B$42 -'General Info'!$B$43 + 1)) + 'General Info'!$B$43 - 1, 0)</f>
        <v>10130.642707155557</v>
      </c>
      <c r="AI479" s="100" t="str">
        <f>IF(ISERROR(MATCH(SamplingData[[#This Row],[Batch by Type (p)]],SelectedPrecincts[Batch Name], 0)), "", INDEX(SelectedPrecincts[Draw], MATCH(SamplingData[[#This Row],[Batch by Type (p)]],SelectedPrecincts[Batch Name], 0)))</f>
        <v/>
      </c>
      <c r="AJ479" s="101">
        <f>IF(COUNTIF(SelectedPrecincts[Batch Name],SamplingData[[#This Row],[Batch by Type (p)]]) &lt;&gt; 0, COUNTIF(SelectedPrecincts[Batch Name],SamplingData[[#This Row],[Batch by Type (p)]]), 0)</f>
        <v>0</v>
      </c>
    </row>
    <row r="480" spans="1:36" ht="15" customHeight="1" x14ac:dyDescent="0.35">
      <c r="A480" s="98" t="s">
        <v>692</v>
      </c>
      <c r="B480" s="98">
        <v>0</v>
      </c>
      <c r="C480" s="98">
        <v>1</v>
      </c>
      <c r="D480" s="93"/>
      <c r="E480" s="93"/>
      <c r="F480" s="93"/>
      <c r="G480" s="97"/>
      <c r="H480" s="97"/>
      <c r="I480" s="93"/>
      <c r="J480" s="93"/>
      <c r="K480" s="93"/>
      <c r="L480" s="93"/>
      <c r="M480" s="93"/>
      <c r="N480" s="98">
        <v>0</v>
      </c>
      <c r="O480" s="98">
        <v>0</v>
      </c>
      <c r="P480" s="99">
        <f>SUM(SamplingData[[#This Row],[Winning Candidate]:[Under Votes]])</f>
        <v>1</v>
      </c>
      <c r="Q480" s="100">
        <f>IF(AND(SamplingData[[#This Row],[Total]]&lt;&gt; 0, NOT(ISBLANK(SamplingData[[#This Row],[Losing Candidate]]))),(SamplingData[[#This Row],[Total]]+SamplingData[[#This Row],[Winning Candidate]]-SamplingData[[#This Row],[Losing Candidate]])/(SamplingData[[#Totals],[Winning Candidate]]-SamplingData[[#Totals],[Losing Candidate]]), 0)</f>
        <v>0</v>
      </c>
      <c r="R480" s="100">
        <f>IF(AND(SamplingData[[#This Row],[Total]]&lt;&gt; 0, NOT(ISBLANK(SamplingData[[#This Row],[Candidate 3]]))),(SamplingData[[#This Row],[Total]]+SamplingData[[#This Row],[Winning Candidate]]-SamplingData[[#This Row],[Candidate 3]])/(SamplingData[[#Totals],[Winning Candidate]]-SamplingData[[#Totals],[Candidate 3]]), 0)</f>
        <v>0</v>
      </c>
      <c r="S480" s="100">
        <f>IF(AND(SamplingData[[#This Row],[Total]]&lt;&gt; 0, NOT(ISBLANK(SamplingData[[#This Row],[Candidate 4]]))),(SamplingData[[#This Row],[Total]]+SamplingData[[#This Row],[Winning Candidate]]-SamplingData[[#This Row],[Candidate 4]])/(SamplingData[[#Totals],[Winning Candidate]]-SamplingData[[#Totals],[Candidate 4]]), 0)</f>
        <v>0</v>
      </c>
      <c r="T480" s="100">
        <f>IF(AND(SamplingData[[#This Row],[Total]]&lt;&gt; 0, NOT(ISBLANK(SamplingData[[#This Row],[Candidate 5]]))),(SamplingData[[#This Row],[Total]]+SamplingData[[#This Row],[Winning Candidate]]-SamplingData[[#This Row],[Candidate 5]])/(SamplingData[[#Totals],[Winning Candidate]]-SamplingData[[#Totals],[Candidate 5]]), 0)</f>
        <v>0</v>
      </c>
      <c r="U480" s="100">
        <f>IF(AND(SamplingData[[#This Row],[Total]]&lt;&gt; 0, NOT(ISBLANK(SamplingData[[#This Row],[Candidate 6]]))),(SamplingData[[#This Row],[Total]]+SamplingData[[#This Row],[Losing Candidate]]-SamplingData[[#This Row],[Candidate 6]])/(SamplingData[[#Totals],[Winning Candidate]]-SamplingData[[#Totals],[Candidate 6]]), 0)</f>
        <v>0</v>
      </c>
      <c r="V480" s="100">
        <f>IF(AND(SamplingData[[#This Row],[Total]]&lt;&gt; 0, NOT(ISBLANK(SamplingData[[#This Row],[Candidate 7]]))),(SamplingData[[#This Row],[Total]]+SamplingData[[#This Row],[Winning Candidate]]-SamplingData[[#This Row],[Candidate 7]])/(SamplingData[[#Totals],[Winning Candidate]]-SamplingData[[#Totals],[Candidate 7]]), 0)</f>
        <v>0</v>
      </c>
      <c r="W480" s="100">
        <f>IF(AND(SamplingData[[#This Row],[Total]]&lt;&gt; 0, NOT(ISBLANK(SamplingData[[#This Row],[Candidate 8]]))),(SamplingData[[#This Row],[Total]]+SamplingData[[#This Row],[Winning Candidate]]-SamplingData[[#This Row],[Candidate 8]])/(SamplingData[[#Totals],[Winning Candidate]]-SamplingData[[#Totals],[Candidate 8]]), 0)</f>
        <v>0</v>
      </c>
      <c r="X4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00">
        <f>MAX(SamplingData[[#This Row],[Error Bound (up) - Max. possible relative overstatement - Losing Candidate]:[Error Bound (up) - Max. possible relative overstatement - Candidate 12]])</f>
        <v>0</v>
      </c>
      <c r="AC480" s="100">
        <f>IF(SamplingData[[#This Row],[Max Error Bound (up)]] = 0,0,SamplingData[[#This Row],[Max Error Bound (up)]]/SamplingData[[#Totals],[Max Error Bound (up)]])</f>
        <v>0</v>
      </c>
      <c r="AD480" s="104">
        <f>SUM($AC$5:AC480)</f>
        <v>0.10131642707155557</v>
      </c>
      <c r="AE480" s="100" t="str" cm="1">
        <f t="array" ref="AE480">IF(SamplingData[[#This Row],[up/U Selection Probability]] = 0, "Zero", TEXT(SamplingData[[#This Row],[Lower Range]], REPT("0",LEN('General Info'!$B$42))) &amp; " - " &amp; TEXT(SamplingData[[#This Row],[Upper Range]], REPT("0",LEN('General Info'!$B$42))))</f>
        <v>Zero</v>
      </c>
      <c r="AF480" s="100">
        <f>SamplingData[[#This Row],[Upper Range]]-SamplingData[[#This Row],[Span]]</f>
        <v>10131.642707155557</v>
      </c>
      <c r="AG480" s="100">
        <f>IF(ISNUMBER('General Info'!$B$42), ((SamplingData[[#This Row],[up/U Selection Probability]]) * 'General Info'!$B$44) - 1, 0)</f>
        <v>-1</v>
      </c>
      <c r="AH480" s="100">
        <f>IF(ISNUMBER('General Info'!$B$42), (SamplingData[[#This Row],[Running (cumulative) sum]] * ('General Info'!$B$42 -'General Info'!$B$43 + 1)) + 'General Info'!$B$43 - 1, 0)</f>
        <v>10130.642707155557</v>
      </c>
      <c r="AI480" s="100" t="str">
        <f>IF(ISERROR(MATCH(SamplingData[[#This Row],[Batch by Type (p)]],SelectedPrecincts[Batch Name], 0)), "", INDEX(SelectedPrecincts[Draw], MATCH(SamplingData[[#This Row],[Batch by Type (p)]],SelectedPrecincts[Batch Name], 0)))</f>
        <v/>
      </c>
      <c r="AJ480" s="101">
        <f>IF(COUNTIF(SelectedPrecincts[Batch Name],SamplingData[[#This Row],[Batch by Type (p)]]) &lt;&gt; 0, COUNTIF(SelectedPrecincts[Batch Name],SamplingData[[#This Row],[Batch by Type (p)]]), 0)</f>
        <v>0</v>
      </c>
    </row>
    <row r="481" spans="1:36" ht="15" customHeight="1" x14ac:dyDescent="0.35">
      <c r="A481" s="98" t="s">
        <v>693</v>
      </c>
      <c r="B481" s="98">
        <v>1</v>
      </c>
      <c r="C481" s="98">
        <v>0</v>
      </c>
      <c r="D481" s="93"/>
      <c r="E481" s="93"/>
      <c r="F481" s="93"/>
      <c r="G481" s="97"/>
      <c r="H481" s="97"/>
      <c r="I481" s="93"/>
      <c r="J481" s="93"/>
      <c r="K481" s="93"/>
      <c r="L481" s="93"/>
      <c r="M481" s="93"/>
      <c r="N481" s="98">
        <v>0</v>
      </c>
      <c r="O481" s="98">
        <v>0</v>
      </c>
      <c r="P481" s="99">
        <f>SUM(SamplingData[[#This Row],[Winning Candidate]:[Under Votes]])</f>
        <v>1</v>
      </c>
      <c r="Q481"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481" s="100">
        <f>IF(AND(SamplingData[[#This Row],[Total]]&lt;&gt; 0, NOT(ISBLANK(SamplingData[[#This Row],[Candidate 3]]))),(SamplingData[[#This Row],[Total]]+SamplingData[[#This Row],[Winning Candidate]]-SamplingData[[#This Row],[Candidate 3]])/(SamplingData[[#Totals],[Winning Candidate]]-SamplingData[[#Totals],[Candidate 3]]), 0)</f>
        <v>0</v>
      </c>
      <c r="S481" s="100">
        <f>IF(AND(SamplingData[[#This Row],[Total]]&lt;&gt; 0, NOT(ISBLANK(SamplingData[[#This Row],[Candidate 4]]))),(SamplingData[[#This Row],[Total]]+SamplingData[[#This Row],[Winning Candidate]]-SamplingData[[#This Row],[Candidate 4]])/(SamplingData[[#Totals],[Winning Candidate]]-SamplingData[[#Totals],[Candidate 4]]), 0)</f>
        <v>0</v>
      </c>
      <c r="T481" s="100">
        <f>IF(AND(SamplingData[[#This Row],[Total]]&lt;&gt; 0, NOT(ISBLANK(SamplingData[[#This Row],[Candidate 5]]))),(SamplingData[[#This Row],[Total]]+SamplingData[[#This Row],[Winning Candidate]]-SamplingData[[#This Row],[Candidate 5]])/(SamplingData[[#Totals],[Winning Candidate]]-SamplingData[[#Totals],[Candidate 5]]), 0)</f>
        <v>0</v>
      </c>
      <c r="U481" s="100">
        <f>IF(AND(SamplingData[[#This Row],[Total]]&lt;&gt; 0, NOT(ISBLANK(SamplingData[[#This Row],[Candidate 6]]))),(SamplingData[[#This Row],[Total]]+SamplingData[[#This Row],[Losing Candidate]]-SamplingData[[#This Row],[Candidate 6]])/(SamplingData[[#Totals],[Winning Candidate]]-SamplingData[[#Totals],[Candidate 6]]), 0)</f>
        <v>0</v>
      </c>
      <c r="V481" s="100">
        <f>IF(AND(SamplingData[[#This Row],[Total]]&lt;&gt; 0, NOT(ISBLANK(SamplingData[[#This Row],[Candidate 7]]))),(SamplingData[[#This Row],[Total]]+SamplingData[[#This Row],[Winning Candidate]]-SamplingData[[#This Row],[Candidate 7]])/(SamplingData[[#Totals],[Winning Candidate]]-SamplingData[[#Totals],[Candidate 7]]), 0)</f>
        <v>0</v>
      </c>
      <c r="W481" s="100">
        <f>IF(AND(SamplingData[[#This Row],[Total]]&lt;&gt; 0, NOT(ISBLANK(SamplingData[[#This Row],[Candidate 8]]))),(SamplingData[[#This Row],[Total]]+SamplingData[[#This Row],[Winning Candidate]]-SamplingData[[#This Row],[Candidate 8]])/(SamplingData[[#Totals],[Winning Candidate]]-SamplingData[[#Totals],[Candidate 8]]), 0)</f>
        <v>0</v>
      </c>
      <c r="X4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00">
        <f>MAX(SamplingData[[#This Row],[Error Bound (up) - Max. possible relative overstatement - Losing Candidate]:[Error Bound (up) - Max. possible relative overstatement - Candidate 12]])</f>
        <v>6.2819989320601809E-5</v>
      </c>
      <c r="AC481" s="100">
        <f>IF(SamplingData[[#This Row],[Max Error Bound (up)]] = 0,0,SamplingData[[#This Row],[Max Error Bound (up)]]/SamplingData[[#Totals],[Max Error Bound (up)]])</f>
        <v>2.6920799009314603E-5</v>
      </c>
      <c r="AD481" s="104">
        <f>SUM($AC$5:AC481)</f>
        <v>0.10134334787056488</v>
      </c>
      <c r="AE481" s="100" t="str" cm="1">
        <f t="array" ref="AE481">IF(SamplingData[[#This Row],[up/U Selection Probability]] = 0, "Zero", TEXT(SamplingData[[#This Row],[Lower Range]], REPT("0",LEN('General Info'!$B$42))) &amp; " - " &amp; TEXT(SamplingData[[#This Row],[Upper Range]], REPT("0",LEN('General Info'!$B$42))))</f>
        <v>10132 - 10133</v>
      </c>
      <c r="AF481" s="100">
        <f>SamplingData[[#This Row],[Upper Range]]-SamplingData[[#This Row],[Span]]</f>
        <v>10131.642707155557</v>
      </c>
      <c r="AG481" s="100">
        <f>IF(ISNUMBER('General Info'!$B$42), ((SamplingData[[#This Row],[up/U Selection Probability]]) * 'General Info'!$B$44) - 1, 0)</f>
        <v>1.6920799009314602</v>
      </c>
      <c r="AH481" s="100">
        <f>IF(ISNUMBER('General Info'!$B$42), (SamplingData[[#This Row],[Running (cumulative) sum]] * ('General Info'!$B$42 -'General Info'!$B$43 + 1)) + 'General Info'!$B$43 - 1, 0)</f>
        <v>10133.334787056488</v>
      </c>
      <c r="AI481" s="100" t="str">
        <f>IF(ISERROR(MATCH(SamplingData[[#This Row],[Batch by Type (p)]],SelectedPrecincts[Batch Name], 0)), "", INDEX(SelectedPrecincts[Draw], MATCH(SamplingData[[#This Row],[Batch by Type (p)]],SelectedPrecincts[Batch Name], 0)))</f>
        <v/>
      </c>
      <c r="AJ481" s="101">
        <f>IF(COUNTIF(SelectedPrecincts[Batch Name],SamplingData[[#This Row],[Batch by Type (p)]]) &lt;&gt; 0, COUNTIF(SelectedPrecincts[Batch Name],SamplingData[[#This Row],[Batch by Type (p)]]), 0)</f>
        <v>0</v>
      </c>
    </row>
    <row r="482" spans="1:36" ht="15" customHeight="1" x14ac:dyDescent="0.35">
      <c r="A482" s="98" t="s">
        <v>694</v>
      </c>
      <c r="B482" s="98">
        <v>8</v>
      </c>
      <c r="C482" s="98">
        <v>1</v>
      </c>
      <c r="D482" s="93"/>
      <c r="E482" s="93"/>
      <c r="F482" s="93"/>
      <c r="G482" s="97"/>
      <c r="H482" s="97"/>
      <c r="I482" s="93"/>
      <c r="J482" s="93"/>
      <c r="K482" s="93"/>
      <c r="L482" s="93"/>
      <c r="M482" s="93"/>
      <c r="N482" s="98">
        <v>0</v>
      </c>
      <c r="O482" s="98">
        <v>0</v>
      </c>
      <c r="P482" s="99">
        <f>SUM(SamplingData[[#This Row],[Winning Candidate]:[Under Votes]])</f>
        <v>9</v>
      </c>
      <c r="Q482"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482" s="100">
        <f>IF(AND(SamplingData[[#This Row],[Total]]&lt;&gt; 0, NOT(ISBLANK(SamplingData[[#This Row],[Candidate 3]]))),(SamplingData[[#This Row],[Total]]+SamplingData[[#This Row],[Winning Candidate]]-SamplingData[[#This Row],[Candidate 3]])/(SamplingData[[#Totals],[Winning Candidate]]-SamplingData[[#Totals],[Candidate 3]]), 0)</f>
        <v>0</v>
      </c>
      <c r="S482" s="100">
        <f>IF(AND(SamplingData[[#This Row],[Total]]&lt;&gt; 0, NOT(ISBLANK(SamplingData[[#This Row],[Candidate 4]]))),(SamplingData[[#This Row],[Total]]+SamplingData[[#This Row],[Winning Candidate]]-SamplingData[[#This Row],[Candidate 4]])/(SamplingData[[#Totals],[Winning Candidate]]-SamplingData[[#Totals],[Candidate 4]]), 0)</f>
        <v>0</v>
      </c>
      <c r="T482" s="100">
        <f>IF(AND(SamplingData[[#This Row],[Total]]&lt;&gt; 0, NOT(ISBLANK(SamplingData[[#This Row],[Candidate 5]]))),(SamplingData[[#This Row],[Total]]+SamplingData[[#This Row],[Winning Candidate]]-SamplingData[[#This Row],[Candidate 5]])/(SamplingData[[#Totals],[Winning Candidate]]-SamplingData[[#Totals],[Candidate 5]]), 0)</f>
        <v>0</v>
      </c>
      <c r="U482" s="100">
        <f>IF(AND(SamplingData[[#This Row],[Total]]&lt;&gt; 0, NOT(ISBLANK(SamplingData[[#This Row],[Candidate 6]]))),(SamplingData[[#This Row],[Total]]+SamplingData[[#This Row],[Losing Candidate]]-SamplingData[[#This Row],[Candidate 6]])/(SamplingData[[#Totals],[Winning Candidate]]-SamplingData[[#Totals],[Candidate 6]]), 0)</f>
        <v>0</v>
      </c>
      <c r="V482" s="100">
        <f>IF(AND(SamplingData[[#This Row],[Total]]&lt;&gt; 0, NOT(ISBLANK(SamplingData[[#This Row],[Candidate 7]]))),(SamplingData[[#This Row],[Total]]+SamplingData[[#This Row],[Winning Candidate]]-SamplingData[[#This Row],[Candidate 7]])/(SamplingData[[#Totals],[Winning Candidate]]-SamplingData[[#Totals],[Candidate 7]]), 0)</f>
        <v>0</v>
      </c>
      <c r="W482" s="100">
        <f>IF(AND(SamplingData[[#This Row],[Total]]&lt;&gt; 0, NOT(ISBLANK(SamplingData[[#This Row],[Candidate 8]]))),(SamplingData[[#This Row],[Total]]+SamplingData[[#This Row],[Winning Candidate]]-SamplingData[[#This Row],[Candidate 8]])/(SamplingData[[#Totals],[Winning Candidate]]-SamplingData[[#Totals],[Candidate 8]]), 0)</f>
        <v>0</v>
      </c>
      <c r="X4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00">
        <f>MAX(SamplingData[[#This Row],[Error Bound (up) - Max. possible relative overstatement - Losing Candidate]:[Error Bound (up) - Max. possible relative overstatement - Candidate 12]])</f>
        <v>5.0255991456481448E-4</v>
      </c>
      <c r="AC482" s="100">
        <f>IF(SamplingData[[#This Row],[Max Error Bound (up)]] = 0,0,SamplingData[[#This Row],[Max Error Bound (up)]]/SamplingData[[#Totals],[Max Error Bound (up)]])</f>
        <v>2.1536639207451683E-4</v>
      </c>
      <c r="AD482" s="104">
        <f>SUM($AC$5:AC482)</f>
        <v>0.1015587142626394</v>
      </c>
      <c r="AE482" s="100" t="str" cm="1">
        <f t="array" ref="AE482">IF(SamplingData[[#This Row],[up/U Selection Probability]] = 0, "Zero", TEXT(SamplingData[[#This Row],[Lower Range]], REPT("0",LEN('General Info'!$B$42))) &amp; " - " &amp; TEXT(SamplingData[[#This Row],[Upper Range]], REPT("0",LEN('General Info'!$B$42))))</f>
        <v>10134 - 10155</v>
      </c>
      <c r="AF482" s="100">
        <f>SamplingData[[#This Row],[Upper Range]]-SamplingData[[#This Row],[Span]]</f>
        <v>10134.334787056488</v>
      </c>
      <c r="AG482" s="100">
        <f>IF(ISNUMBER('General Info'!$B$42), ((SamplingData[[#This Row],[up/U Selection Probability]]) * 'General Info'!$B$44) - 1, 0)</f>
        <v>20.536639207451682</v>
      </c>
      <c r="AH482" s="100">
        <f>IF(ISNUMBER('General Info'!$B$42), (SamplingData[[#This Row],[Running (cumulative) sum]] * ('General Info'!$B$42 -'General Info'!$B$43 + 1)) + 'General Info'!$B$43 - 1, 0)</f>
        <v>10154.871426263941</v>
      </c>
      <c r="AI482" s="100" t="str">
        <f>IF(ISERROR(MATCH(SamplingData[[#This Row],[Batch by Type (p)]],SelectedPrecincts[Batch Name], 0)), "", INDEX(SelectedPrecincts[Draw], MATCH(SamplingData[[#This Row],[Batch by Type (p)]],SelectedPrecincts[Batch Name], 0)))</f>
        <v/>
      </c>
      <c r="AJ482" s="101">
        <f>IF(COUNTIF(SelectedPrecincts[Batch Name],SamplingData[[#This Row],[Batch by Type (p)]]) &lt;&gt; 0, COUNTIF(SelectedPrecincts[Batch Name],SamplingData[[#This Row],[Batch by Type (p)]]), 0)</f>
        <v>0</v>
      </c>
    </row>
    <row r="483" spans="1:36" ht="15" customHeight="1" x14ac:dyDescent="0.35">
      <c r="A483" s="98" t="s">
        <v>695</v>
      </c>
      <c r="B483" s="98">
        <v>7</v>
      </c>
      <c r="C483" s="98">
        <v>2</v>
      </c>
      <c r="D483" s="93"/>
      <c r="E483" s="93"/>
      <c r="F483" s="93"/>
      <c r="G483" s="97"/>
      <c r="H483" s="97"/>
      <c r="I483" s="93"/>
      <c r="J483" s="93"/>
      <c r="K483" s="93"/>
      <c r="L483" s="93"/>
      <c r="M483" s="93"/>
      <c r="N483" s="98">
        <v>0</v>
      </c>
      <c r="O483" s="98">
        <v>0</v>
      </c>
      <c r="P483" s="99">
        <f>SUM(SamplingData[[#This Row],[Winning Candidate]:[Under Votes]])</f>
        <v>9</v>
      </c>
      <c r="Q483"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483" s="100">
        <f>IF(AND(SamplingData[[#This Row],[Total]]&lt;&gt; 0, NOT(ISBLANK(SamplingData[[#This Row],[Candidate 3]]))),(SamplingData[[#This Row],[Total]]+SamplingData[[#This Row],[Winning Candidate]]-SamplingData[[#This Row],[Candidate 3]])/(SamplingData[[#Totals],[Winning Candidate]]-SamplingData[[#Totals],[Candidate 3]]), 0)</f>
        <v>0</v>
      </c>
      <c r="S483" s="100">
        <f>IF(AND(SamplingData[[#This Row],[Total]]&lt;&gt; 0, NOT(ISBLANK(SamplingData[[#This Row],[Candidate 4]]))),(SamplingData[[#This Row],[Total]]+SamplingData[[#This Row],[Winning Candidate]]-SamplingData[[#This Row],[Candidate 4]])/(SamplingData[[#Totals],[Winning Candidate]]-SamplingData[[#Totals],[Candidate 4]]), 0)</f>
        <v>0</v>
      </c>
      <c r="T483" s="100">
        <f>IF(AND(SamplingData[[#This Row],[Total]]&lt;&gt; 0, NOT(ISBLANK(SamplingData[[#This Row],[Candidate 5]]))),(SamplingData[[#This Row],[Total]]+SamplingData[[#This Row],[Winning Candidate]]-SamplingData[[#This Row],[Candidate 5]])/(SamplingData[[#Totals],[Winning Candidate]]-SamplingData[[#Totals],[Candidate 5]]), 0)</f>
        <v>0</v>
      </c>
      <c r="U483" s="100">
        <f>IF(AND(SamplingData[[#This Row],[Total]]&lt;&gt; 0, NOT(ISBLANK(SamplingData[[#This Row],[Candidate 6]]))),(SamplingData[[#This Row],[Total]]+SamplingData[[#This Row],[Losing Candidate]]-SamplingData[[#This Row],[Candidate 6]])/(SamplingData[[#Totals],[Winning Candidate]]-SamplingData[[#Totals],[Candidate 6]]), 0)</f>
        <v>0</v>
      </c>
      <c r="V483" s="100">
        <f>IF(AND(SamplingData[[#This Row],[Total]]&lt;&gt; 0, NOT(ISBLANK(SamplingData[[#This Row],[Candidate 7]]))),(SamplingData[[#This Row],[Total]]+SamplingData[[#This Row],[Winning Candidate]]-SamplingData[[#This Row],[Candidate 7]])/(SamplingData[[#Totals],[Winning Candidate]]-SamplingData[[#Totals],[Candidate 7]]), 0)</f>
        <v>0</v>
      </c>
      <c r="W483" s="100">
        <f>IF(AND(SamplingData[[#This Row],[Total]]&lt;&gt; 0, NOT(ISBLANK(SamplingData[[#This Row],[Candidate 8]]))),(SamplingData[[#This Row],[Total]]+SamplingData[[#This Row],[Winning Candidate]]-SamplingData[[#This Row],[Candidate 8]])/(SamplingData[[#Totals],[Winning Candidate]]-SamplingData[[#Totals],[Candidate 8]]), 0)</f>
        <v>0</v>
      </c>
      <c r="X4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00">
        <f>MAX(SamplingData[[#This Row],[Error Bound (up) - Max. possible relative overstatement - Losing Candidate]:[Error Bound (up) - Max. possible relative overstatement - Candidate 12]])</f>
        <v>4.3973992524421271E-4</v>
      </c>
      <c r="AC483" s="100">
        <f>IF(SamplingData[[#This Row],[Max Error Bound (up)]] = 0,0,SamplingData[[#This Row],[Max Error Bound (up)]]/SamplingData[[#Totals],[Max Error Bound (up)]])</f>
        <v>1.8844559306520223E-4</v>
      </c>
      <c r="AD483" s="104">
        <f>SUM($AC$5:AC483)</f>
        <v>0.10174715985570461</v>
      </c>
      <c r="AE483" s="100" t="str" cm="1">
        <f t="array" ref="AE483">IF(SamplingData[[#This Row],[up/U Selection Probability]] = 0, "Zero", TEXT(SamplingData[[#This Row],[Lower Range]], REPT("0",LEN('General Info'!$B$42))) &amp; " - " &amp; TEXT(SamplingData[[#This Row],[Upper Range]], REPT("0",LEN('General Info'!$B$42))))</f>
        <v>10156 - 10174</v>
      </c>
      <c r="AF483" s="100">
        <f>SamplingData[[#This Row],[Upper Range]]-SamplingData[[#This Row],[Span]]</f>
        <v>10155.871426263941</v>
      </c>
      <c r="AG483" s="100">
        <f>IF(ISNUMBER('General Info'!$B$42), ((SamplingData[[#This Row],[up/U Selection Probability]]) * 'General Info'!$B$44) - 1, 0)</f>
        <v>17.844559306520225</v>
      </c>
      <c r="AH483" s="100">
        <f>IF(ISNUMBER('General Info'!$B$42), (SamplingData[[#This Row],[Running (cumulative) sum]] * ('General Info'!$B$42 -'General Info'!$B$43 + 1)) + 'General Info'!$B$43 - 1, 0)</f>
        <v>10173.715985570461</v>
      </c>
      <c r="AI483" s="100" t="str">
        <f>IF(ISERROR(MATCH(SamplingData[[#This Row],[Batch by Type (p)]],SelectedPrecincts[Batch Name], 0)), "", INDEX(SelectedPrecincts[Draw], MATCH(SamplingData[[#This Row],[Batch by Type (p)]],SelectedPrecincts[Batch Name], 0)))</f>
        <v/>
      </c>
      <c r="AJ483" s="101">
        <f>IF(COUNTIF(SelectedPrecincts[Batch Name],SamplingData[[#This Row],[Batch by Type (p)]]) &lt;&gt; 0, COUNTIF(SelectedPrecincts[Batch Name],SamplingData[[#This Row],[Batch by Type (p)]]), 0)</f>
        <v>0</v>
      </c>
    </row>
    <row r="484" spans="1:36" ht="15" customHeight="1" x14ac:dyDescent="0.35">
      <c r="A484" s="98" t="s">
        <v>696</v>
      </c>
      <c r="B484" s="98">
        <v>13</v>
      </c>
      <c r="C484" s="98">
        <v>0</v>
      </c>
      <c r="D484" s="93"/>
      <c r="E484" s="93"/>
      <c r="F484" s="93"/>
      <c r="G484" s="97"/>
      <c r="H484" s="97"/>
      <c r="I484" s="93"/>
      <c r="J484" s="93"/>
      <c r="K484" s="93"/>
      <c r="L484" s="93"/>
      <c r="M484" s="93"/>
      <c r="N484" s="98">
        <v>0</v>
      </c>
      <c r="O484" s="98">
        <v>2</v>
      </c>
      <c r="P484" s="99">
        <f>SUM(SamplingData[[#This Row],[Winning Candidate]:[Under Votes]])</f>
        <v>15</v>
      </c>
      <c r="Q484"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484" s="100">
        <f>IF(AND(SamplingData[[#This Row],[Total]]&lt;&gt; 0, NOT(ISBLANK(SamplingData[[#This Row],[Candidate 3]]))),(SamplingData[[#This Row],[Total]]+SamplingData[[#This Row],[Winning Candidate]]-SamplingData[[#This Row],[Candidate 3]])/(SamplingData[[#Totals],[Winning Candidate]]-SamplingData[[#Totals],[Candidate 3]]), 0)</f>
        <v>0</v>
      </c>
      <c r="S484" s="100">
        <f>IF(AND(SamplingData[[#This Row],[Total]]&lt;&gt; 0, NOT(ISBLANK(SamplingData[[#This Row],[Candidate 4]]))),(SamplingData[[#This Row],[Total]]+SamplingData[[#This Row],[Winning Candidate]]-SamplingData[[#This Row],[Candidate 4]])/(SamplingData[[#Totals],[Winning Candidate]]-SamplingData[[#Totals],[Candidate 4]]), 0)</f>
        <v>0</v>
      </c>
      <c r="T484" s="100">
        <f>IF(AND(SamplingData[[#This Row],[Total]]&lt;&gt; 0, NOT(ISBLANK(SamplingData[[#This Row],[Candidate 5]]))),(SamplingData[[#This Row],[Total]]+SamplingData[[#This Row],[Winning Candidate]]-SamplingData[[#This Row],[Candidate 5]])/(SamplingData[[#Totals],[Winning Candidate]]-SamplingData[[#Totals],[Candidate 5]]), 0)</f>
        <v>0</v>
      </c>
      <c r="U484" s="100">
        <f>IF(AND(SamplingData[[#This Row],[Total]]&lt;&gt; 0, NOT(ISBLANK(SamplingData[[#This Row],[Candidate 6]]))),(SamplingData[[#This Row],[Total]]+SamplingData[[#This Row],[Losing Candidate]]-SamplingData[[#This Row],[Candidate 6]])/(SamplingData[[#Totals],[Winning Candidate]]-SamplingData[[#Totals],[Candidate 6]]), 0)</f>
        <v>0</v>
      </c>
      <c r="V484" s="100">
        <f>IF(AND(SamplingData[[#This Row],[Total]]&lt;&gt; 0, NOT(ISBLANK(SamplingData[[#This Row],[Candidate 7]]))),(SamplingData[[#This Row],[Total]]+SamplingData[[#This Row],[Winning Candidate]]-SamplingData[[#This Row],[Candidate 7]])/(SamplingData[[#Totals],[Winning Candidate]]-SamplingData[[#Totals],[Candidate 7]]), 0)</f>
        <v>0</v>
      </c>
      <c r="W484" s="100">
        <f>IF(AND(SamplingData[[#This Row],[Total]]&lt;&gt; 0, NOT(ISBLANK(SamplingData[[#This Row],[Candidate 8]]))),(SamplingData[[#This Row],[Total]]+SamplingData[[#This Row],[Winning Candidate]]-SamplingData[[#This Row],[Candidate 8]])/(SamplingData[[#Totals],[Winning Candidate]]-SamplingData[[#Totals],[Candidate 8]]), 0)</f>
        <v>0</v>
      </c>
      <c r="X4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00">
        <f>MAX(SamplingData[[#This Row],[Error Bound (up) - Max. possible relative overstatement - Losing Candidate]:[Error Bound (up) - Max. possible relative overstatement - Candidate 12]])</f>
        <v>8.7947985048842541E-4</v>
      </c>
      <c r="AC484" s="100">
        <f>IF(SamplingData[[#This Row],[Max Error Bound (up)]] = 0,0,SamplingData[[#This Row],[Max Error Bound (up)]]/SamplingData[[#Totals],[Max Error Bound (up)]])</f>
        <v>3.7689118613040446E-4</v>
      </c>
      <c r="AD484" s="104">
        <f>SUM($AC$5:AC484)</f>
        <v>0.10212405104183502</v>
      </c>
      <c r="AE484" s="100" t="str" cm="1">
        <f t="array" ref="AE484">IF(SamplingData[[#This Row],[up/U Selection Probability]] = 0, "Zero", TEXT(SamplingData[[#This Row],[Lower Range]], REPT("0",LEN('General Info'!$B$42))) &amp; " - " &amp; TEXT(SamplingData[[#This Row],[Upper Range]], REPT("0",LEN('General Info'!$B$42))))</f>
        <v>10175 - 10211</v>
      </c>
      <c r="AF484" s="100">
        <f>SamplingData[[#This Row],[Upper Range]]-SamplingData[[#This Row],[Span]]</f>
        <v>10174.715985570461</v>
      </c>
      <c r="AG484" s="100">
        <f>IF(ISNUMBER('General Info'!$B$42), ((SamplingData[[#This Row],[up/U Selection Probability]]) * 'General Info'!$B$44) - 1, 0)</f>
        <v>36.689118613040449</v>
      </c>
      <c r="AH484" s="100">
        <f>IF(ISNUMBER('General Info'!$B$42), (SamplingData[[#This Row],[Running (cumulative) sum]] * ('General Info'!$B$42 -'General Info'!$B$43 + 1)) + 'General Info'!$B$43 - 1, 0)</f>
        <v>10211.405104183501</v>
      </c>
      <c r="AI484" s="100" t="str">
        <f>IF(ISERROR(MATCH(SamplingData[[#This Row],[Batch by Type (p)]],SelectedPrecincts[Batch Name], 0)), "", INDEX(SelectedPrecincts[Draw], MATCH(SamplingData[[#This Row],[Batch by Type (p)]],SelectedPrecincts[Batch Name], 0)))</f>
        <v/>
      </c>
      <c r="AJ484" s="101">
        <f>IF(COUNTIF(SelectedPrecincts[Batch Name],SamplingData[[#This Row],[Batch by Type (p)]]) &lt;&gt; 0, COUNTIF(SelectedPrecincts[Batch Name],SamplingData[[#This Row],[Batch by Type (p)]]), 0)</f>
        <v>0</v>
      </c>
    </row>
    <row r="485" spans="1:36" ht="15" customHeight="1" x14ac:dyDescent="0.35">
      <c r="A485" s="98" t="s">
        <v>697</v>
      </c>
      <c r="B485" s="98">
        <v>4</v>
      </c>
      <c r="C485" s="98">
        <v>0</v>
      </c>
      <c r="D485" s="93"/>
      <c r="E485" s="93"/>
      <c r="F485" s="93"/>
      <c r="G485" s="97"/>
      <c r="H485" s="97"/>
      <c r="I485" s="93"/>
      <c r="J485" s="93"/>
      <c r="K485" s="93"/>
      <c r="L485" s="93"/>
      <c r="M485" s="93"/>
      <c r="N485" s="98">
        <v>0</v>
      </c>
      <c r="O485" s="98">
        <v>0</v>
      </c>
      <c r="P485" s="99">
        <f>SUM(SamplingData[[#This Row],[Winning Candidate]:[Under Votes]])</f>
        <v>4</v>
      </c>
      <c r="Q485"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485" s="100">
        <f>IF(AND(SamplingData[[#This Row],[Total]]&lt;&gt; 0, NOT(ISBLANK(SamplingData[[#This Row],[Candidate 3]]))),(SamplingData[[#This Row],[Total]]+SamplingData[[#This Row],[Winning Candidate]]-SamplingData[[#This Row],[Candidate 3]])/(SamplingData[[#Totals],[Winning Candidate]]-SamplingData[[#Totals],[Candidate 3]]), 0)</f>
        <v>0</v>
      </c>
      <c r="S485" s="100">
        <f>IF(AND(SamplingData[[#This Row],[Total]]&lt;&gt; 0, NOT(ISBLANK(SamplingData[[#This Row],[Candidate 4]]))),(SamplingData[[#This Row],[Total]]+SamplingData[[#This Row],[Winning Candidate]]-SamplingData[[#This Row],[Candidate 4]])/(SamplingData[[#Totals],[Winning Candidate]]-SamplingData[[#Totals],[Candidate 4]]), 0)</f>
        <v>0</v>
      </c>
      <c r="T485" s="100">
        <f>IF(AND(SamplingData[[#This Row],[Total]]&lt;&gt; 0, NOT(ISBLANK(SamplingData[[#This Row],[Candidate 5]]))),(SamplingData[[#This Row],[Total]]+SamplingData[[#This Row],[Winning Candidate]]-SamplingData[[#This Row],[Candidate 5]])/(SamplingData[[#Totals],[Winning Candidate]]-SamplingData[[#Totals],[Candidate 5]]), 0)</f>
        <v>0</v>
      </c>
      <c r="U485" s="100">
        <f>IF(AND(SamplingData[[#This Row],[Total]]&lt;&gt; 0, NOT(ISBLANK(SamplingData[[#This Row],[Candidate 6]]))),(SamplingData[[#This Row],[Total]]+SamplingData[[#This Row],[Losing Candidate]]-SamplingData[[#This Row],[Candidate 6]])/(SamplingData[[#Totals],[Winning Candidate]]-SamplingData[[#Totals],[Candidate 6]]), 0)</f>
        <v>0</v>
      </c>
      <c r="V485" s="100">
        <f>IF(AND(SamplingData[[#This Row],[Total]]&lt;&gt; 0, NOT(ISBLANK(SamplingData[[#This Row],[Candidate 7]]))),(SamplingData[[#This Row],[Total]]+SamplingData[[#This Row],[Winning Candidate]]-SamplingData[[#This Row],[Candidate 7]])/(SamplingData[[#Totals],[Winning Candidate]]-SamplingData[[#Totals],[Candidate 7]]), 0)</f>
        <v>0</v>
      </c>
      <c r="W485" s="100">
        <f>IF(AND(SamplingData[[#This Row],[Total]]&lt;&gt; 0, NOT(ISBLANK(SamplingData[[#This Row],[Candidate 8]]))),(SamplingData[[#This Row],[Total]]+SamplingData[[#This Row],[Winning Candidate]]-SamplingData[[#This Row],[Candidate 8]])/(SamplingData[[#Totals],[Winning Candidate]]-SamplingData[[#Totals],[Candidate 8]]), 0)</f>
        <v>0</v>
      </c>
      <c r="X4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00">
        <f>MAX(SamplingData[[#This Row],[Error Bound (up) - Max. possible relative overstatement - Losing Candidate]:[Error Bound (up) - Max. possible relative overstatement - Candidate 12]])</f>
        <v>2.5127995728240724E-4</v>
      </c>
      <c r="AC485" s="100">
        <f>IF(SamplingData[[#This Row],[Max Error Bound (up)]] = 0,0,SamplingData[[#This Row],[Max Error Bound (up)]]/SamplingData[[#Totals],[Max Error Bound (up)]])</f>
        <v>1.0768319603725841E-4</v>
      </c>
      <c r="AD485" s="104">
        <f>SUM($AC$5:AC485)</f>
        <v>0.10223173423787227</v>
      </c>
      <c r="AE485" s="100" t="str" cm="1">
        <f t="array" ref="AE485">IF(SamplingData[[#This Row],[up/U Selection Probability]] = 0, "Zero", TEXT(SamplingData[[#This Row],[Lower Range]], REPT("0",LEN('General Info'!$B$42))) &amp; " - " &amp; TEXT(SamplingData[[#This Row],[Upper Range]], REPT("0",LEN('General Info'!$B$42))))</f>
        <v>10212 - 10222</v>
      </c>
      <c r="AF485" s="100">
        <f>SamplingData[[#This Row],[Upper Range]]-SamplingData[[#This Row],[Span]]</f>
        <v>10212.405104183501</v>
      </c>
      <c r="AG485" s="100">
        <f>IF(ISNUMBER('General Info'!$B$42), ((SamplingData[[#This Row],[up/U Selection Probability]]) * 'General Info'!$B$44) - 1, 0)</f>
        <v>9.7683196037258408</v>
      </c>
      <c r="AH485" s="100">
        <f>IF(ISNUMBER('General Info'!$B$42), (SamplingData[[#This Row],[Running (cumulative) sum]] * ('General Info'!$B$42 -'General Info'!$B$43 + 1)) + 'General Info'!$B$43 - 1, 0)</f>
        <v>10222.173423787226</v>
      </c>
      <c r="AI485" s="100" t="str">
        <f>IF(ISERROR(MATCH(SamplingData[[#This Row],[Batch by Type (p)]],SelectedPrecincts[Batch Name], 0)), "", INDEX(SelectedPrecincts[Draw], MATCH(SamplingData[[#This Row],[Batch by Type (p)]],SelectedPrecincts[Batch Name], 0)))</f>
        <v/>
      </c>
      <c r="AJ485" s="101">
        <f>IF(COUNTIF(SelectedPrecincts[Batch Name],SamplingData[[#This Row],[Batch by Type (p)]]) &lt;&gt; 0, COUNTIF(SelectedPrecincts[Batch Name],SamplingData[[#This Row],[Batch by Type (p)]]), 0)</f>
        <v>0</v>
      </c>
    </row>
    <row r="486" spans="1:36" ht="15" customHeight="1" x14ac:dyDescent="0.35">
      <c r="A486" s="98" t="s">
        <v>698</v>
      </c>
      <c r="B486" s="98">
        <v>3</v>
      </c>
      <c r="C486" s="98">
        <v>0</v>
      </c>
      <c r="D486" s="93"/>
      <c r="E486" s="93"/>
      <c r="F486" s="93"/>
      <c r="G486" s="97"/>
      <c r="H486" s="97"/>
      <c r="I486" s="93"/>
      <c r="J486" s="93"/>
      <c r="K486" s="93"/>
      <c r="L486" s="93"/>
      <c r="M486" s="93"/>
      <c r="N486" s="98">
        <v>0</v>
      </c>
      <c r="O486" s="98">
        <v>0</v>
      </c>
      <c r="P486" s="99">
        <f>SUM(SamplingData[[#This Row],[Winning Candidate]:[Under Votes]])</f>
        <v>3</v>
      </c>
      <c r="Q486"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86" s="100">
        <f>IF(AND(SamplingData[[#This Row],[Total]]&lt;&gt; 0, NOT(ISBLANK(SamplingData[[#This Row],[Candidate 3]]))),(SamplingData[[#This Row],[Total]]+SamplingData[[#This Row],[Winning Candidate]]-SamplingData[[#This Row],[Candidate 3]])/(SamplingData[[#Totals],[Winning Candidate]]-SamplingData[[#Totals],[Candidate 3]]), 0)</f>
        <v>0</v>
      </c>
      <c r="S486" s="100">
        <f>IF(AND(SamplingData[[#This Row],[Total]]&lt;&gt; 0, NOT(ISBLANK(SamplingData[[#This Row],[Candidate 4]]))),(SamplingData[[#This Row],[Total]]+SamplingData[[#This Row],[Winning Candidate]]-SamplingData[[#This Row],[Candidate 4]])/(SamplingData[[#Totals],[Winning Candidate]]-SamplingData[[#Totals],[Candidate 4]]), 0)</f>
        <v>0</v>
      </c>
      <c r="T486" s="100">
        <f>IF(AND(SamplingData[[#This Row],[Total]]&lt;&gt; 0, NOT(ISBLANK(SamplingData[[#This Row],[Candidate 5]]))),(SamplingData[[#This Row],[Total]]+SamplingData[[#This Row],[Winning Candidate]]-SamplingData[[#This Row],[Candidate 5]])/(SamplingData[[#Totals],[Winning Candidate]]-SamplingData[[#Totals],[Candidate 5]]), 0)</f>
        <v>0</v>
      </c>
      <c r="U486" s="100">
        <f>IF(AND(SamplingData[[#This Row],[Total]]&lt;&gt; 0, NOT(ISBLANK(SamplingData[[#This Row],[Candidate 6]]))),(SamplingData[[#This Row],[Total]]+SamplingData[[#This Row],[Losing Candidate]]-SamplingData[[#This Row],[Candidate 6]])/(SamplingData[[#Totals],[Winning Candidate]]-SamplingData[[#Totals],[Candidate 6]]), 0)</f>
        <v>0</v>
      </c>
      <c r="V486" s="100">
        <f>IF(AND(SamplingData[[#This Row],[Total]]&lt;&gt; 0, NOT(ISBLANK(SamplingData[[#This Row],[Candidate 7]]))),(SamplingData[[#This Row],[Total]]+SamplingData[[#This Row],[Winning Candidate]]-SamplingData[[#This Row],[Candidate 7]])/(SamplingData[[#Totals],[Winning Candidate]]-SamplingData[[#Totals],[Candidate 7]]), 0)</f>
        <v>0</v>
      </c>
      <c r="W486" s="100">
        <f>IF(AND(SamplingData[[#This Row],[Total]]&lt;&gt; 0, NOT(ISBLANK(SamplingData[[#This Row],[Candidate 8]]))),(SamplingData[[#This Row],[Total]]+SamplingData[[#This Row],[Winning Candidate]]-SamplingData[[#This Row],[Candidate 8]])/(SamplingData[[#Totals],[Winning Candidate]]-SamplingData[[#Totals],[Candidate 8]]), 0)</f>
        <v>0</v>
      </c>
      <c r="X4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00">
        <f>MAX(SamplingData[[#This Row],[Error Bound (up) - Max. possible relative overstatement - Losing Candidate]:[Error Bound (up) - Max. possible relative overstatement - Candidate 12]])</f>
        <v>1.8845996796180544E-4</v>
      </c>
      <c r="AC486" s="100">
        <f>IF(SamplingData[[#This Row],[Max Error Bound (up)]] = 0,0,SamplingData[[#This Row],[Max Error Bound (up)]]/SamplingData[[#Totals],[Max Error Bound (up)]])</f>
        <v>8.0762397027943816E-5</v>
      </c>
      <c r="AD486" s="104">
        <f>SUM($AC$5:AC486)</f>
        <v>0.10231249663490022</v>
      </c>
      <c r="AE486" s="100" t="str" cm="1">
        <f t="array" ref="AE486">IF(SamplingData[[#This Row],[up/U Selection Probability]] = 0, "Zero", TEXT(SamplingData[[#This Row],[Lower Range]], REPT("0",LEN('General Info'!$B$42))) &amp; " - " &amp; TEXT(SamplingData[[#This Row],[Upper Range]], REPT("0",LEN('General Info'!$B$42))))</f>
        <v>10223 - 10230</v>
      </c>
      <c r="AF486" s="100">
        <f>SamplingData[[#This Row],[Upper Range]]-SamplingData[[#This Row],[Span]]</f>
        <v>10223.173423787228</v>
      </c>
      <c r="AG486" s="100">
        <f>IF(ISNUMBER('General Info'!$B$42), ((SamplingData[[#This Row],[up/U Selection Probability]]) * 'General Info'!$B$44) - 1, 0)</f>
        <v>7.076239702794382</v>
      </c>
      <c r="AH486" s="100">
        <f>IF(ISNUMBER('General Info'!$B$42), (SamplingData[[#This Row],[Running (cumulative) sum]] * ('General Info'!$B$42 -'General Info'!$B$43 + 1)) + 'General Info'!$B$43 - 1, 0)</f>
        <v>10230.249663490022</v>
      </c>
      <c r="AI486" s="100" t="str">
        <f>IF(ISERROR(MATCH(SamplingData[[#This Row],[Batch by Type (p)]],SelectedPrecincts[Batch Name], 0)), "", INDEX(SelectedPrecincts[Draw], MATCH(SamplingData[[#This Row],[Batch by Type (p)]],SelectedPrecincts[Batch Name], 0)))</f>
        <v/>
      </c>
      <c r="AJ486" s="101">
        <f>IF(COUNTIF(SelectedPrecincts[Batch Name],SamplingData[[#This Row],[Batch by Type (p)]]) &lt;&gt; 0, COUNTIF(SelectedPrecincts[Batch Name],SamplingData[[#This Row],[Batch by Type (p)]]), 0)</f>
        <v>0</v>
      </c>
    </row>
    <row r="487" spans="1:36" ht="15" customHeight="1" x14ac:dyDescent="0.35">
      <c r="A487" s="98" t="s">
        <v>699</v>
      </c>
      <c r="B487" s="98">
        <v>13</v>
      </c>
      <c r="C487" s="98">
        <v>1</v>
      </c>
      <c r="D487" s="93"/>
      <c r="E487" s="93"/>
      <c r="F487" s="93"/>
      <c r="G487" s="97"/>
      <c r="H487" s="97"/>
      <c r="I487" s="93"/>
      <c r="J487" s="93"/>
      <c r="K487" s="93"/>
      <c r="L487" s="93"/>
      <c r="M487" s="93"/>
      <c r="N487" s="98">
        <v>0</v>
      </c>
      <c r="O487" s="98">
        <v>0</v>
      </c>
      <c r="P487" s="99">
        <f>SUM(SamplingData[[#This Row],[Winning Candidate]:[Under Votes]])</f>
        <v>14</v>
      </c>
      <c r="Q487"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487" s="100">
        <f>IF(AND(SamplingData[[#This Row],[Total]]&lt;&gt; 0, NOT(ISBLANK(SamplingData[[#This Row],[Candidate 3]]))),(SamplingData[[#This Row],[Total]]+SamplingData[[#This Row],[Winning Candidate]]-SamplingData[[#This Row],[Candidate 3]])/(SamplingData[[#Totals],[Winning Candidate]]-SamplingData[[#Totals],[Candidate 3]]), 0)</f>
        <v>0</v>
      </c>
      <c r="S487" s="100">
        <f>IF(AND(SamplingData[[#This Row],[Total]]&lt;&gt; 0, NOT(ISBLANK(SamplingData[[#This Row],[Candidate 4]]))),(SamplingData[[#This Row],[Total]]+SamplingData[[#This Row],[Winning Candidate]]-SamplingData[[#This Row],[Candidate 4]])/(SamplingData[[#Totals],[Winning Candidate]]-SamplingData[[#Totals],[Candidate 4]]), 0)</f>
        <v>0</v>
      </c>
      <c r="T487" s="100">
        <f>IF(AND(SamplingData[[#This Row],[Total]]&lt;&gt; 0, NOT(ISBLANK(SamplingData[[#This Row],[Candidate 5]]))),(SamplingData[[#This Row],[Total]]+SamplingData[[#This Row],[Winning Candidate]]-SamplingData[[#This Row],[Candidate 5]])/(SamplingData[[#Totals],[Winning Candidate]]-SamplingData[[#Totals],[Candidate 5]]), 0)</f>
        <v>0</v>
      </c>
      <c r="U487" s="100">
        <f>IF(AND(SamplingData[[#This Row],[Total]]&lt;&gt; 0, NOT(ISBLANK(SamplingData[[#This Row],[Candidate 6]]))),(SamplingData[[#This Row],[Total]]+SamplingData[[#This Row],[Losing Candidate]]-SamplingData[[#This Row],[Candidate 6]])/(SamplingData[[#Totals],[Winning Candidate]]-SamplingData[[#Totals],[Candidate 6]]), 0)</f>
        <v>0</v>
      </c>
      <c r="V487" s="100">
        <f>IF(AND(SamplingData[[#This Row],[Total]]&lt;&gt; 0, NOT(ISBLANK(SamplingData[[#This Row],[Candidate 7]]))),(SamplingData[[#This Row],[Total]]+SamplingData[[#This Row],[Winning Candidate]]-SamplingData[[#This Row],[Candidate 7]])/(SamplingData[[#Totals],[Winning Candidate]]-SamplingData[[#Totals],[Candidate 7]]), 0)</f>
        <v>0</v>
      </c>
      <c r="W487" s="100">
        <f>IF(AND(SamplingData[[#This Row],[Total]]&lt;&gt; 0, NOT(ISBLANK(SamplingData[[#This Row],[Candidate 8]]))),(SamplingData[[#This Row],[Total]]+SamplingData[[#This Row],[Winning Candidate]]-SamplingData[[#This Row],[Candidate 8]])/(SamplingData[[#Totals],[Winning Candidate]]-SamplingData[[#Totals],[Candidate 8]]), 0)</f>
        <v>0</v>
      </c>
      <c r="X4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00">
        <f>MAX(SamplingData[[#This Row],[Error Bound (up) - Max. possible relative overstatement - Losing Candidate]:[Error Bound (up) - Max. possible relative overstatement - Candidate 12]])</f>
        <v>8.1665986116782364E-4</v>
      </c>
      <c r="AC487" s="100">
        <f>IF(SamplingData[[#This Row],[Max Error Bound (up)]] = 0,0,SamplingData[[#This Row],[Max Error Bound (up)]]/SamplingData[[#Totals],[Max Error Bound (up)]])</f>
        <v>3.4997038712108992E-4</v>
      </c>
      <c r="AD487" s="104">
        <f>SUM($AC$5:AC487)</f>
        <v>0.10266246702202131</v>
      </c>
      <c r="AE487" s="100" t="str" cm="1">
        <f t="array" ref="AE487">IF(SamplingData[[#This Row],[up/U Selection Probability]] = 0, "Zero", TEXT(SamplingData[[#This Row],[Lower Range]], REPT("0",LEN('General Info'!$B$42))) &amp; " - " &amp; TEXT(SamplingData[[#This Row],[Upper Range]], REPT("0",LEN('General Info'!$B$42))))</f>
        <v>10231 - 10265</v>
      </c>
      <c r="AF487" s="100">
        <f>SamplingData[[#This Row],[Upper Range]]-SamplingData[[#This Row],[Span]]</f>
        <v>10231.249663490022</v>
      </c>
      <c r="AG487" s="100">
        <f>IF(ISNUMBER('General Info'!$B$42), ((SamplingData[[#This Row],[up/U Selection Probability]]) * 'General Info'!$B$44) - 1, 0)</f>
        <v>33.997038712108989</v>
      </c>
      <c r="AH487" s="100">
        <f>IF(ISNUMBER('General Info'!$B$42), (SamplingData[[#This Row],[Running (cumulative) sum]] * ('General Info'!$B$42 -'General Info'!$B$43 + 1)) + 'General Info'!$B$43 - 1, 0)</f>
        <v>10265.24670220213</v>
      </c>
      <c r="AI487" s="100" t="str">
        <f>IF(ISERROR(MATCH(SamplingData[[#This Row],[Batch by Type (p)]],SelectedPrecincts[Batch Name], 0)), "", INDEX(SelectedPrecincts[Draw], MATCH(SamplingData[[#This Row],[Batch by Type (p)]],SelectedPrecincts[Batch Name], 0)))</f>
        <v/>
      </c>
      <c r="AJ487" s="101">
        <f>IF(COUNTIF(SelectedPrecincts[Batch Name],SamplingData[[#This Row],[Batch by Type (p)]]) &lt;&gt; 0, COUNTIF(SelectedPrecincts[Batch Name],SamplingData[[#This Row],[Batch by Type (p)]]), 0)</f>
        <v>0</v>
      </c>
    </row>
    <row r="488" spans="1:36" ht="15" customHeight="1" x14ac:dyDescent="0.35">
      <c r="A488" s="98" t="s">
        <v>700</v>
      </c>
      <c r="B488" s="98">
        <v>21</v>
      </c>
      <c r="C488" s="98">
        <v>0</v>
      </c>
      <c r="D488" s="93"/>
      <c r="E488" s="93"/>
      <c r="F488" s="93"/>
      <c r="G488" s="97"/>
      <c r="H488" s="97"/>
      <c r="I488" s="93"/>
      <c r="J488" s="93"/>
      <c r="K488" s="93"/>
      <c r="L488" s="93"/>
      <c r="M488" s="93"/>
      <c r="N488" s="98">
        <v>0</v>
      </c>
      <c r="O488" s="98">
        <v>0</v>
      </c>
      <c r="P488" s="99">
        <f>SUM(SamplingData[[#This Row],[Winning Candidate]:[Under Votes]])</f>
        <v>21</v>
      </c>
      <c r="Q488"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488" s="100">
        <f>IF(AND(SamplingData[[#This Row],[Total]]&lt;&gt; 0, NOT(ISBLANK(SamplingData[[#This Row],[Candidate 3]]))),(SamplingData[[#This Row],[Total]]+SamplingData[[#This Row],[Winning Candidate]]-SamplingData[[#This Row],[Candidate 3]])/(SamplingData[[#Totals],[Winning Candidate]]-SamplingData[[#Totals],[Candidate 3]]), 0)</f>
        <v>0</v>
      </c>
      <c r="S488" s="100">
        <f>IF(AND(SamplingData[[#This Row],[Total]]&lt;&gt; 0, NOT(ISBLANK(SamplingData[[#This Row],[Candidate 4]]))),(SamplingData[[#This Row],[Total]]+SamplingData[[#This Row],[Winning Candidate]]-SamplingData[[#This Row],[Candidate 4]])/(SamplingData[[#Totals],[Winning Candidate]]-SamplingData[[#Totals],[Candidate 4]]), 0)</f>
        <v>0</v>
      </c>
      <c r="T488" s="100">
        <f>IF(AND(SamplingData[[#This Row],[Total]]&lt;&gt; 0, NOT(ISBLANK(SamplingData[[#This Row],[Candidate 5]]))),(SamplingData[[#This Row],[Total]]+SamplingData[[#This Row],[Winning Candidate]]-SamplingData[[#This Row],[Candidate 5]])/(SamplingData[[#Totals],[Winning Candidate]]-SamplingData[[#Totals],[Candidate 5]]), 0)</f>
        <v>0</v>
      </c>
      <c r="U488" s="100">
        <f>IF(AND(SamplingData[[#This Row],[Total]]&lt;&gt; 0, NOT(ISBLANK(SamplingData[[#This Row],[Candidate 6]]))),(SamplingData[[#This Row],[Total]]+SamplingData[[#This Row],[Losing Candidate]]-SamplingData[[#This Row],[Candidate 6]])/(SamplingData[[#Totals],[Winning Candidate]]-SamplingData[[#Totals],[Candidate 6]]), 0)</f>
        <v>0</v>
      </c>
      <c r="V488" s="100">
        <f>IF(AND(SamplingData[[#This Row],[Total]]&lt;&gt; 0, NOT(ISBLANK(SamplingData[[#This Row],[Candidate 7]]))),(SamplingData[[#This Row],[Total]]+SamplingData[[#This Row],[Winning Candidate]]-SamplingData[[#This Row],[Candidate 7]])/(SamplingData[[#Totals],[Winning Candidate]]-SamplingData[[#Totals],[Candidate 7]]), 0)</f>
        <v>0</v>
      </c>
      <c r="W488" s="100">
        <f>IF(AND(SamplingData[[#This Row],[Total]]&lt;&gt; 0, NOT(ISBLANK(SamplingData[[#This Row],[Candidate 8]]))),(SamplingData[[#This Row],[Total]]+SamplingData[[#This Row],[Winning Candidate]]-SamplingData[[#This Row],[Candidate 8]])/(SamplingData[[#Totals],[Winning Candidate]]-SamplingData[[#Totals],[Candidate 8]]), 0)</f>
        <v>0</v>
      </c>
      <c r="X4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00">
        <f>MAX(SamplingData[[#This Row],[Error Bound (up) - Max. possible relative overstatement - Losing Candidate]:[Error Bound (up) - Max. possible relative overstatement - Candidate 12]])</f>
        <v>1.3192197757326382E-3</v>
      </c>
      <c r="AC488" s="100">
        <f>IF(SamplingData[[#This Row],[Max Error Bound (up)]] = 0,0,SamplingData[[#This Row],[Max Error Bound (up)]]/SamplingData[[#Totals],[Max Error Bound (up)]])</f>
        <v>5.6533677919560674E-4</v>
      </c>
      <c r="AD488" s="104">
        <f>SUM($AC$5:AC488)</f>
        <v>0.10322780380121692</v>
      </c>
      <c r="AE488" s="100" t="str" cm="1">
        <f t="array" ref="AE488">IF(SamplingData[[#This Row],[up/U Selection Probability]] = 0, "Zero", TEXT(SamplingData[[#This Row],[Lower Range]], REPT("0",LEN('General Info'!$B$42))) &amp; " - " &amp; TEXT(SamplingData[[#This Row],[Upper Range]], REPT("0",LEN('General Info'!$B$42))))</f>
        <v>10266 - 10322</v>
      </c>
      <c r="AF488" s="100">
        <f>SamplingData[[#This Row],[Upper Range]]-SamplingData[[#This Row],[Span]]</f>
        <v>10266.246702202132</v>
      </c>
      <c r="AG488" s="100">
        <f>IF(ISNUMBER('General Info'!$B$42), ((SamplingData[[#This Row],[up/U Selection Probability]]) * 'General Info'!$B$44) - 1, 0)</f>
        <v>55.533677919560674</v>
      </c>
      <c r="AH488" s="100">
        <f>IF(ISNUMBER('General Info'!$B$42), (SamplingData[[#This Row],[Running (cumulative) sum]] * ('General Info'!$B$42 -'General Info'!$B$43 + 1)) + 'General Info'!$B$43 - 1, 0)</f>
        <v>10321.780380121692</v>
      </c>
      <c r="AI488" s="100" t="str">
        <f>IF(ISERROR(MATCH(SamplingData[[#This Row],[Batch by Type (p)]],SelectedPrecincts[Batch Name], 0)), "", INDEX(SelectedPrecincts[Draw], MATCH(SamplingData[[#This Row],[Batch by Type (p)]],SelectedPrecincts[Batch Name], 0)))</f>
        <v/>
      </c>
      <c r="AJ488" s="101">
        <f>IF(COUNTIF(SelectedPrecincts[Batch Name],SamplingData[[#This Row],[Batch by Type (p)]]) &lt;&gt; 0, COUNTIF(SelectedPrecincts[Batch Name],SamplingData[[#This Row],[Batch by Type (p)]]), 0)</f>
        <v>0</v>
      </c>
    </row>
    <row r="489" spans="1:36" ht="15" customHeight="1" x14ac:dyDescent="0.35">
      <c r="A489" s="98" t="s">
        <v>701</v>
      </c>
      <c r="B489" s="98">
        <v>19</v>
      </c>
      <c r="C489" s="98">
        <v>2</v>
      </c>
      <c r="D489" s="93"/>
      <c r="E489" s="93"/>
      <c r="F489" s="93"/>
      <c r="G489" s="97"/>
      <c r="H489" s="97"/>
      <c r="I489" s="93"/>
      <c r="J489" s="93"/>
      <c r="K489" s="93"/>
      <c r="L489" s="93"/>
      <c r="M489" s="93"/>
      <c r="N489" s="98">
        <v>0</v>
      </c>
      <c r="O489" s="98">
        <v>0</v>
      </c>
      <c r="P489" s="99">
        <f>SUM(SamplingData[[#This Row],[Winning Candidate]:[Under Votes]])</f>
        <v>21</v>
      </c>
      <c r="Q489"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489" s="100">
        <f>IF(AND(SamplingData[[#This Row],[Total]]&lt;&gt; 0, NOT(ISBLANK(SamplingData[[#This Row],[Candidate 3]]))),(SamplingData[[#This Row],[Total]]+SamplingData[[#This Row],[Winning Candidate]]-SamplingData[[#This Row],[Candidate 3]])/(SamplingData[[#Totals],[Winning Candidate]]-SamplingData[[#Totals],[Candidate 3]]), 0)</f>
        <v>0</v>
      </c>
      <c r="S489" s="100">
        <f>IF(AND(SamplingData[[#This Row],[Total]]&lt;&gt; 0, NOT(ISBLANK(SamplingData[[#This Row],[Candidate 4]]))),(SamplingData[[#This Row],[Total]]+SamplingData[[#This Row],[Winning Candidate]]-SamplingData[[#This Row],[Candidate 4]])/(SamplingData[[#Totals],[Winning Candidate]]-SamplingData[[#Totals],[Candidate 4]]), 0)</f>
        <v>0</v>
      </c>
      <c r="T489" s="100">
        <f>IF(AND(SamplingData[[#This Row],[Total]]&lt;&gt; 0, NOT(ISBLANK(SamplingData[[#This Row],[Candidate 5]]))),(SamplingData[[#This Row],[Total]]+SamplingData[[#This Row],[Winning Candidate]]-SamplingData[[#This Row],[Candidate 5]])/(SamplingData[[#Totals],[Winning Candidate]]-SamplingData[[#Totals],[Candidate 5]]), 0)</f>
        <v>0</v>
      </c>
      <c r="U489" s="100">
        <f>IF(AND(SamplingData[[#This Row],[Total]]&lt;&gt; 0, NOT(ISBLANK(SamplingData[[#This Row],[Candidate 6]]))),(SamplingData[[#This Row],[Total]]+SamplingData[[#This Row],[Losing Candidate]]-SamplingData[[#This Row],[Candidate 6]])/(SamplingData[[#Totals],[Winning Candidate]]-SamplingData[[#Totals],[Candidate 6]]), 0)</f>
        <v>0</v>
      </c>
      <c r="V489" s="100">
        <f>IF(AND(SamplingData[[#This Row],[Total]]&lt;&gt; 0, NOT(ISBLANK(SamplingData[[#This Row],[Candidate 7]]))),(SamplingData[[#This Row],[Total]]+SamplingData[[#This Row],[Winning Candidate]]-SamplingData[[#This Row],[Candidate 7]])/(SamplingData[[#Totals],[Winning Candidate]]-SamplingData[[#Totals],[Candidate 7]]), 0)</f>
        <v>0</v>
      </c>
      <c r="W489" s="100">
        <f>IF(AND(SamplingData[[#This Row],[Total]]&lt;&gt; 0, NOT(ISBLANK(SamplingData[[#This Row],[Candidate 8]]))),(SamplingData[[#This Row],[Total]]+SamplingData[[#This Row],[Winning Candidate]]-SamplingData[[#This Row],[Candidate 8]])/(SamplingData[[#Totals],[Winning Candidate]]-SamplingData[[#Totals],[Candidate 8]]), 0)</f>
        <v>0</v>
      </c>
      <c r="X4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00">
        <f>MAX(SamplingData[[#This Row],[Error Bound (up) - Max. possible relative overstatement - Losing Candidate]:[Error Bound (up) - Max. possible relative overstatement - Candidate 12]])</f>
        <v>1.1935797970914345E-3</v>
      </c>
      <c r="AC489" s="100">
        <f>IF(SamplingData[[#This Row],[Max Error Bound (up)]] = 0,0,SamplingData[[#This Row],[Max Error Bound (up)]]/SamplingData[[#Totals],[Max Error Bound (up)]])</f>
        <v>5.1149518117697755E-4</v>
      </c>
      <c r="AD489" s="104">
        <f>SUM($AC$5:AC489)</f>
        <v>0.1037392989823939</v>
      </c>
      <c r="AE489" s="100" t="str" cm="1">
        <f t="array" ref="AE489">IF(SamplingData[[#This Row],[up/U Selection Probability]] = 0, "Zero", TEXT(SamplingData[[#This Row],[Lower Range]], REPT("0",LEN('General Info'!$B$42))) &amp; " - " &amp; TEXT(SamplingData[[#This Row],[Upper Range]], REPT("0",LEN('General Info'!$B$42))))</f>
        <v>10323 - 10373</v>
      </c>
      <c r="AF489" s="100">
        <f>SamplingData[[#This Row],[Upper Range]]-SamplingData[[#This Row],[Span]]</f>
        <v>10322.780380121692</v>
      </c>
      <c r="AG489" s="100">
        <f>IF(ISNUMBER('General Info'!$B$42), ((SamplingData[[#This Row],[up/U Selection Probability]]) * 'General Info'!$B$44) - 1, 0)</f>
        <v>50.149518117697752</v>
      </c>
      <c r="AH489" s="100">
        <f>IF(ISNUMBER('General Info'!$B$42), (SamplingData[[#This Row],[Running (cumulative) sum]] * ('General Info'!$B$42 -'General Info'!$B$43 + 1)) + 'General Info'!$B$43 - 1, 0)</f>
        <v>10372.92989823939</v>
      </c>
      <c r="AI489" s="100" t="str">
        <f>IF(ISERROR(MATCH(SamplingData[[#This Row],[Batch by Type (p)]],SelectedPrecincts[Batch Name], 0)), "", INDEX(SelectedPrecincts[Draw], MATCH(SamplingData[[#This Row],[Batch by Type (p)]],SelectedPrecincts[Batch Name], 0)))</f>
        <v/>
      </c>
      <c r="AJ489" s="101">
        <f>IF(COUNTIF(SelectedPrecincts[Batch Name],SamplingData[[#This Row],[Batch by Type (p)]]) &lt;&gt; 0, COUNTIF(SelectedPrecincts[Batch Name],SamplingData[[#This Row],[Batch by Type (p)]]), 0)</f>
        <v>0</v>
      </c>
    </row>
    <row r="490" spans="1:36" ht="15" customHeight="1" x14ac:dyDescent="0.35">
      <c r="A490" s="98" t="s">
        <v>702</v>
      </c>
      <c r="B490" s="98">
        <v>5</v>
      </c>
      <c r="C490" s="98">
        <v>2</v>
      </c>
      <c r="D490" s="93"/>
      <c r="E490" s="93"/>
      <c r="F490" s="93"/>
      <c r="G490" s="97"/>
      <c r="H490" s="97"/>
      <c r="I490" s="93"/>
      <c r="J490" s="93"/>
      <c r="K490" s="93"/>
      <c r="L490" s="93"/>
      <c r="M490" s="93"/>
      <c r="N490" s="98">
        <v>0</v>
      </c>
      <c r="O490" s="98">
        <v>1</v>
      </c>
      <c r="P490" s="99">
        <f>SUM(SamplingData[[#This Row],[Winning Candidate]:[Under Votes]])</f>
        <v>8</v>
      </c>
      <c r="Q490" s="100">
        <f>IF(AND(SamplingData[[#This Row],[Total]]&lt;&gt; 0, NOT(ISBLANK(SamplingData[[#This Row],[Losing Candidate]]))),(SamplingData[[#This Row],[Total]]+SamplingData[[#This Row],[Winning Candidate]]-SamplingData[[#This Row],[Losing Candidate]])/(SamplingData[[#Totals],[Winning Candidate]]-SamplingData[[#Totals],[Losing Candidate]]), 0)</f>
        <v>3.4550994126331E-4</v>
      </c>
      <c r="R490" s="100">
        <f>IF(AND(SamplingData[[#This Row],[Total]]&lt;&gt; 0, NOT(ISBLANK(SamplingData[[#This Row],[Candidate 3]]))),(SamplingData[[#This Row],[Total]]+SamplingData[[#This Row],[Winning Candidate]]-SamplingData[[#This Row],[Candidate 3]])/(SamplingData[[#Totals],[Winning Candidate]]-SamplingData[[#Totals],[Candidate 3]]), 0)</f>
        <v>0</v>
      </c>
      <c r="S490" s="100">
        <f>IF(AND(SamplingData[[#This Row],[Total]]&lt;&gt; 0, NOT(ISBLANK(SamplingData[[#This Row],[Candidate 4]]))),(SamplingData[[#This Row],[Total]]+SamplingData[[#This Row],[Winning Candidate]]-SamplingData[[#This Row],[Candidate 4]])/(SamplingData[[#Totals],[Winning Candidate]]-SamplingData[[#Totals],[Candidate 4]]), 0)</f>
        <v>0</v>
      </c>
      <c r="T490" s="100">
        <f>IF(AND(SamplingData[[#This Row],[Total]]&lt;&gt; 0, NOT(ISBLANK(SamplingData[[#This Row],[Candidate 5]]))),(SamplingData[[#This Row],[Total]]+SamplingData[[#This Row],[Winning Candidate]]-SamplingData[[#This Row],[Candidate 5]])/(SamplingData[[#Totals],[Winning Candidate]]-SamplingData[[#Totals],[Candidate 5]]), 0)</f>
        <v>0</v>
      </c>
      <c r="U490" s="100">
        <f>IF(AND(SamplingData[[#This Row],[Total]]&lt;&gt; 0, NOT(ISBLANK(SamplingData[[#This Row],[Candidate 6]]))),(SamplingData[[#This Row],[Total]]+SamplingData[[#This Row],[Losing Candidate]]-SamplingData[[#This Row],[Candidate 6]])/(SamplingData[[#Totals],[Winning Candidate]]-SamplingData[[#Totals],[Candidate 6]]), 0)</f>
        <v>0</v>
      </c>
      <c r="V490" s="100">
        <f>IF(AND(SamplingData[[#This Row],[Total]]&lt;&gt; 0, NOT(ISBLANK(SamplingData[[#This Row],[Candidate 7]]))),(SamplingData[[#This Row],[Total]]+SamplingData[[#This Row],[Winning Candidate]]-SamplingData[[#This Row],[Candidate 7]])/(SamplingData[[#Totals],[Winning Candidate]]-SamplingData[[#Totals],[Candidate 7]]), 0)</f>
        <v>0</v>
      </c>
      <c r="W490" s="100">
        <f>IF(AND(SamplingData[[#This Row],[Total]]&lt;&gt; 0, NOT(ISBLANK(SamplingData[[#This Row],[Candidate 8]]))),(SamplingData[[#This Row],[Total]]+SamplingData[[#This Row],[Winning Candidate]]-SamplingData[[#This Row],[Candidate 8]])/(SamplingData[[#Totals],[Winning Candidate]]-SamplingData[[#Totals],[Candidate 8]]), 0)</f>
        <v>0</v>
      </c>
      <c r="X4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00">
        <f>MAX(SamplingData[[#This Row],[Error Bound (up) - Max. possible relative overstatement - Losing Candidate]:[Error Bound (up) - Max. possible relative overstatement - Candidate 12]])</f>
        <v>3.4550994126331E-4</v>
      </c>
      <c r="AC490" s="100">
        <f>IF(SamplingData[[#This Row],[Max Error Bound (up)]] = 0,0,SamplingData[[#This Row],[Max Error Bound (up)]]/SamplingData[[#Totals],[Max Error Bound (up)]])</f>
        <v>1.4806439455123033E-4</v>
      </c>
      <c r="AD490" s="104">
        <f>SUM($AC$5:AC490)</f>
        <v>0.10388736337694512</v>
      </c>
      <c r="AE490" s="100" t="str" cm="1">
        <f t="array" ref="AE490">IF(SamplingData[[#This Row],[up/U Selection Probability]] = 0, "Zero", TEXT(SamplingData[[#This Row],[Lower Range]], REPT("0",LEN('General Info'!$B$42))) &amp; " - " &amp; TEXT(SamplingData[[#This Row],[Upper Range]], REPT("0",LEN('General Info'!$B$42))))</f>
        <v>10374 - 10388</v>
      </c>
      <c r="AF490" s="100">
        <f>SamplingData[[#This Row],[Upper Range]]-SamplingData[[#This Row],[Span]]</f>
        <v>10373.929898239388</v>
      </c>
      <c r="AG490" s="100">
        <f>IF(ISNUMBER('General Info'!$B$42), ((SamplingData[[#This Row],[up/U Selection Probability]]) * 'General Info'!$B$44) - 1, 0)</f>
        <v>13.806439455123034</v>
      </c>
      <c r="AH490" s="100">
        <f>IF(ISNUMBER('General Info'!$B$42), (SamplingData[[#This Row],[Running (cumulative) sum]] * ('General Info'!$B$42 -'General Info'!$B$43 + 1)) + 'General Info'!$B$43 - 1, 0)</f>
        <v>10387.736337694512</v>
      </c>
      <c r="AI490" s="100" t="str">
        <f>IF(ISERROR(MATCH(SamplingData[[#This Row],[Batch by Type (p)]],SelectedPrecincts[Batch Name], 0)), "", INDEX(SelectedPrecincts[Draw], MATCH(SamplingData[[#This Row],[Batch by Type (p)]],SelectedPrecincts[Batch Name], 0)))</f>
        <v/>
      </c>
      <c r="AJ490" s="101">
        <f>IF(COUNTIF(SelectedPrecincts[Batch Name],SamplingData[[#This Row],[Batch by Type (p)]]) &lt;&gt; 0, COUNTIF(SelectedPrecincts[Batch Name],SamplingData[[#This Row],[Batch by Type (p)]]), 0)</f>
        <v>0</v>
      </c>
    </row>
    <row r="491" spans="1:36" ht="15" customHeight="1" x14ac:dyDescent="0.35">
      <c r="A491" s="98" t="s">
        <v>703</v>
      </c>
      <c r="B491" s="98">
        <v>12</v>
      </c>
      <c r="C491" s="98">
        <v>0</v>
      </c>
      <c r="D491" s="93"/>
      <c r="E491" s="93"/>
      <c r="F491" s="93"/>
      <c r="G491" s="97"/>
      <c r="H491" s="97"/>
      <c r="I491" s="93"/>
      <c r="J491" s="93"/>
      <c r="K491" s="93"/>
      <c r="L491" s="93"/>
      <c r="M491" s="93"/>
      <c r="N491" s="98">
        <v>0</v>
      </c>
      <c r="O491" s="98">
        <v>0</v>
      </c>
      <c r="P491" s="99">
        <f>SUM(SamplingData[[#This Row],[Winning Candidate]:[Under Votes]])</f>
        <v>12</v>
      </c>
      <c r="Q491"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491" s="100">
        <f>IF(AND(SamplingData[[#This Row],[Total]]&lt;&gt; 0, NOT(ISBLANK(SamplingData[[#This Row],[Candidate 3]]))),(SamplingData[[#This Row],[Total]]+SamplingData[[#This Row],[Winning Candidate]]-SamplingData[[#This Row],[Candidate 3]])/(SamplingData[[#Totals],[Winning Candidate]]-SamplingData[[#Totals],[Candidate 3]]), 0)</f>
        <v>0</v>
      </c>
      <c r="S491" s="100">
        <f>IF(AND(SamplingData[[#This Row],[Total]]&lt;&gt; 0, NOT(ISBLANK(SamplingData[[#This Row],[Candidate 4]]))),(SamplingData[[#This Row],[Total]]+SamplingData[[#This Row],[Winning Candidate]]-SamplingData[[#This Row],[Candidate 4]])/(SamplingData[[#Totals],[Winning Candidate]]-SamplingData[[#Totals],[Candidate 4]]), 0)</f>
        <v>0</v>
      </c>
      <c r="T491" s="100">
        <f>IF(AND(SamplingData[[#This Row],[Total]]&lt;&gt; 0, NOT(ISBLANK(SamplingData[[#This Row],[Candidate 5]]))),(SamplingData[[#This Row],[Total]]+SamplingData[[#This Row],[Winning Candidate]]-SamplingData[[#This Row],[Candidate 5]])/(SamplingData[[#Totals],[Winning Candidate]]-SamplingData[[#Totals],[Candidate 5]]), 0)</f>
        <v>0</v>
      </c>
      <c r="U491" s="100">
        <f>IF(AND(SamplingData[[#This Row],[Total]]&lt;&gt; 0, NOT(ISBLANK(SamplingData[[#This Row],[Candidate 6]]))),(SamplingData[[#This Row],[Total]]+SamplingData[[#This Row],[Losing Candidate]]-SamplingData[[#This Row],[Candidate 6]])/(SamplingData[[#Totals],[Winning Candidate]]-SamplingData[[#Totals],[Candidate 6]]), 0)</f>
        <v>0</v>
      </c>
      <c r="V491" s="100">
        <f>IF(AND(SamplingData[[#This Row],[Total]]&lt;&gt; 0, NOT(ISBLANK(SamplingData[[#This Row],[Candidate 7]]))),(SamplingData[[#This Row],[Total]]+SamplingData[[#This Row],[Winning Candidate]]-SamplingData[[#This Row],[Candidate 7]])/(SamplingData[[#Totals],[Winning Candidate]]-SamplingData[[#Totals],[Candidate 7]]), 0)</f>
        <v>0</v>
      </c>
      <c r="W491" s="100">
        <f>IF(AND(SamplingData[[#This Row],[Total]]&lt;&gt; 0, NOT(ISBLANK(SamplingData[[#This Row],[Candidate 8]]))),(SamplingData[[#This Row],[Total]]+SamplingData[[#This Row],[Winning Candidate]]-SamplingData[[#This Row],[Candidate 8]])/(SamplingData[[#Totals],[Winning Candidate]]-SamplingData[[#Totals],[Candidate 8]]), 0)</f>
        <v>0</v>
      </c>
      <c r="X4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00">
        <f>MAX(SamplingData[[#This Row],[Error Bound (up) - Max. possible relative overstatement - Losing Candidate]:[Error Bound (up) - Max. possible relative overstatement - Candidate 12]])</f>
        <v>7.5383987184722177E-4</v>
      </c>
      <c r="AC491" s="100">
        <f>IF(SamplingData[[#This Row],[Max Error Bound (up)]] = 0,0,SamplingData[[#This Row],[Max Error Bound (up)]]/SamplingData[[#Totals],[Max Error Bound (up)]])</f>
        <v>3.2304958811177527E-4</v>
      </c>
      <c r="AD491" s="104">
        <f>SUM($AC$5:AC491)</f>
        <v>0.1042104129650569</v>
      </c>
      <c r="AE491" s="100" t="str" cm="1">
        <f t="array" ref="AE491">IF(SamplingData[[#This Row],[up/U Selection Probability]] = 0, "Zero", TEXT(SamplingData[[#This Row],[Lower Range]], REPT("0",LEN('General Info'!$B$42))) &amp; " - " &amp; TEXT(SamplingData[[#This Row],[Upper Range]], REPT("0",LEN('General Info'!$B$42))))</f>
        <v>10389 - 10420</v>
      </c>
      <c r="AF491" s="100">
        <f>SamplingData[[#This Row],[Upper Range]]-SamplingData[[#This Row],[Span]]</f>
        <v>10388.736337694512</v>
      </c>
      <c r="AG491" s="100">
        <f>IF(ISNUMBER('General Info'!$B$42), ((SamplingData[[#This Row],[up/U Selection Probability]]) * 'General Info'!$B$44) - 1, 0)</f>
        <v>31.304958811177528</v>
      </c>
      <c r="AH491" s="100">
        <f>IF(ISNUMBER('General Info'!$B$42), (SamplingData[[#This Row],[Running (cumulative) sum]] * ('General Info'!$B$42 -'General Info'!$B$43 + 1)) + 'General Info'!$B$43 - 1, 0)</f>
        <v>10420.041296505689</v>
      </c>
      <c r="AI491" s="100" t="str">
        <f>IF(ISERROR(MATCH(SamplingData[[#This Row],[Batch by Type (p)]],SelectedPrecincts[Batch Name], 0)), "", INDEX(SelectedPrecincts[Draw], MATCH(SamplingData[[#This Row],[Batch by Type (p)]],SelectedPrecincts[Batch Name], 0)))</f>
        <v/>
      </c>
      <c r="AJ491" s="101">
        <f>IF(COUNTIF(SelectedPrecincts[Batch Name],SamplingData[[#This Row],[Batch by Type (p)]]) &lt;&gt; 0, COUNTIF(SelectedPrecincts[Batch Name],SamplingData[[#This Row],[Batch by Type (p)]]), 0)</f>
        <v>0</v>
      </c>
    </row>
    <row r="492" spans="1:36" ht="15" customHeight="1" x14ac:dyDescent="0.35">
      <c r="A492" s="98" t="s">
        <v>704</v>
      </c>
      <c r="B492" s="98">
        <v>29</v>
      </c>
      <c r="C492" s="98">
        <v>0</v>
      </c>
      <c r="D492" s="93"/>
      <c r="E492" s="93"/>
      <c r="F492" s="93"/>
      <c r="G492" s="97"/>
      <c r="H492" s="97"/>
      <c r="I492" s="93"/>
      <c r="J492" s="93"/>
      <c r="K492" s="93"/>
      <c r="L492" s="93"/>
      <c r="M492" s="93"/>
      <c r="N492" s="98">
        <v>0</v>
      </c>
      <c r="O492" s="98">
        <v>0</v>
      </c>
      <c r="P492" s="99">
        <f>SUM(SamplingData[[#This Row],[Winning Candidate]:[Under Votes]])</f>
        <v>29</v>
      </c>
      <c r="Q492"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492" s="100">
        <f>IF(AND(SamplingData[[#This Row],[Total]]&lt;&gt; 0, NOT(ISBLANK(SamplingData[[#This Row],[Candidate 3]]))),(SamplingData[[#This Row],[Total]]+SamplingData[[#This Row],[Winning Candidate]]-SamplingData[[#This Row],[Candidate 3]])/(SamplingData[[#Totals],[Winning Candidate]]-SamplingData[[#Totals],[Candidate 3]]), 0)</f>
        <v>0</v>
      </c>
      <c r="S492" s="100">
        <f>IF(AND(SamplingData[[#This Row],[Total]]&lt;&gt; 0, NOT(ISBLANK(SamplingData[[#This Row],[Candidate 4]]))),(SamplingData[[#This Row],[Total]]+SamplingData[[#This Row],[Winning Candidate]]-SamplingData[[#This Row],[Candidate 4]])/(SamplingData[[#Totals],[Winning Candidate]]-SamplingData[[#Totals],[Candidate 4]]), 0)</f>
        <v>0</v>
      </c>
      <c r="T492" s="100">
        <f>IF(AND(SamplingData[[#This Row],[Total]]&lt;&gt; 0, NOT(ISBLANK(SamplingData[[#This Row],[Candidate 5]]))),(SamplingData[[#This Row],[Total]]+SamplingData[[#This Row],[Winning Candidate]]-SamplingData[[#This Row],[Candidate 5]])/(SamplingData[[#Totals],[Winning Candidate]]-SamplingData[[#Totals],[Candidate 5]]), 0)</f>
        <v>0</v>
      </c>
      <c r="U492" s="100">
        <f>IF(AND(SamplingData[[#This Row],[Total]]&lt;&gt; 0, NOT(ISBLANK(SamplingData[[#This Row],[Candidate 6]]))),(SamplingData[[#This Row],[Total]]+SamplingData[[#This Row],[Losing Candidate]]-SamplingData[[#This Row],[Candidate 6]])/(SamplingData[[#Totals],[Winning Candidate]]-SamplingData[[#Totals],[Candidate 6]]), 0)</f>
        <v>0</v>
      </c>
      <c r="V492" s="100">
        <f>IF(AND(SamplingData[[#This Row],[Total]]&lt;&gt; 0, NOT(ISBLANK(SamplingData[[#This Row],[Candidate 7]]))),(SamplingData[[#This Row],[Total]]+SamplingData[[#This Row],[Winning Candidate]]-SamplingData[[#This Row],[Candidate 7]])/(SamplingData[[#Totals],[Winning Candidate]]-SamplingData[[#Totals],[Candidate 7]]), 0)</f>
        <v>0</v>
      </c>
      <c r="W492" s="100">
        <f>IF(AND(SamplingData[[#This Row],[Total]]&lt;&gt; 0, NOT(ISBLANK(SamplingData[[#This Row],[Candidate 8]]))),(SamplingData[[#This Row],[Total]]+SamplingData[[#This Row],[Winning Candidate]]-SamplingData[[#This Row],[Candidate 8]])/(SamplingData[[#Totals],[Winning Candidate]]-SamplingData[[#Totals],[Candidate 8]]), 0)</f>
        <v>0</v>
      </c>
      <c r="X4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00">
        <f>MAX(SamplingData[[#This Row],[Error Bound (up) - Max. possible relative overstatement - Losing Candidate]:[Error Bound (up) - Max. possible relative overstatement - Candidate 12]])</f>
        <v>1.8217796902974526E-3</v>
      </c>
      <c r="AC492" s="100">
        <f>IF(SamplingData[[#This Row],[Max Error Bound (up)]] = 0,0,SamplingData[[#This Row],[Max Error Bound (up)]]/SamplingData[[#Totals],[Max Error Bound (up)]])</f>
        <v>7.8070317127012351E-4</v>
      </c>
      <c r="AD492" s="104">
        <f>SUM($AC$5:AC492)</f>
        <v>0.10499111613632701</v>
      </c>
      <c r="AE492" s="100" t="str" cm="1">
        <f t="array" ref="AE492">IF(SamplingData[[#This Row],[up/U Selection Probability]] = 0, "Zero", TEXT(SamplingData[[#This Row],[Lower Range]], REPT("0",LEN('General Info'!$B$42))) &amp; " - " &amp; TEXT(SamplingData[[#This Row],[Upper Range]], REPT("0",LEN('General Info'!$B$42))))</f>
        <v>10421 - 10498</v>
      </c>
      <c r="AF492" s="100">
        <f>SamplingData[[#This Row],[Upper Range]]-SamplingData[[#This Row],[Span]]</f>
        <v>10421.041296505689</v>
      </c>
      <c r="AG492" s="100">
        <f>IF(ISNUMBER('General Info'!$B$42), ((SamplingData[[#This Row],[up/U Selection Probability]]) * 'General Info'!$B$44) - 1, 0)</f>
        <v>77.070317127012345</v>
      </c>
      <c r="AH492" s="100">
        <f>IF(ISNUMBER('General Info'!$B$42), (SamplingData[[#This Row],[Running (cumulative) sum]] * ('General Info'!$B$42 -'General Info'!$B$43 + 1)) + 'General Info'!$B$43 - 1, 0)</f>
        <v>10498.111613632702</v>
      </c>
      <c r="AI492" s="100" t="str">
        <f>IF(ISERROR(MATCH(SamplingData[[#This Row],[Batch by Type (p)]],SelectedPrecincts[Batch Name], 0)), "", INDEX(SelectedPrecincts[Draw], MATCH(SamplingData[[#This Row],[Batch by Type (p)]],SelectedPrecincts[Batch Name], 0)))</f>
        <v/>
      </c>
      <c r="AJ492" s="101">
        <f>IF(COUNTIF(SelectedPrecincts[Batch Name],SamplingData[[#This Row],[Batch by Type (p)]]) &lt;&gt; 0, COUNTIF(SelectedPrecincts[Batch Name],SamplingData[[#This Row],[Batch by Type (p)]]), 0)</f>
        <v>0</v>
      </c>
    </row>
    <row r="493" spans="1:36" ht="15" customHeight="1" x14ac:dyDescent="0.35">
      <c r="A493" s="98" t="s">
        <v>705</v>
      </c>
      <c r="B493" s="98">
        <v>15</v>
      </c>
      <c r="C493" s="98">
        <v>2</v>
      </c>
      <c r="D493" s="93"/>
      <c r="E493" s="93"/>
      <c r="F493" s="93"/>
      <c r="G493" s="97"/>
      <c r="H493" s="97"/>
      <c r="I493" s="93"/>
      <c r="J493" s="93"/>
      <c r="K493" s="93"/>
      <c r="L493" s="93"/>
      <c r="M493" s="93"/>
      <c r="N493" s="98">
        <v>0</v>
      </c>
      <c r="O493" s="98">
        <v>0</v>
      </c>
      <c r="P493" s="99">
        <f>SUM(SamplingData[[#This Row],[Winning Candidate]:[Under Votes]])</f>
        <v>17</v>
      </c>
      <c r="Q493"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493" s="100">
        <f>IF(AND(SamplingData[[#This Row],[Total]]&lt;&gt; 0, NOT(ISBLANK(SamplingData[[#This Row],[Candidate 3]]))),(SamplingData[[#This Row],[Total]]+SamplingData[[#This Row],[Winning Candidate]]-SamplingData[[#This Row],[Candidate 3]])/(SamplingData[[#Totals],[Winning Candidate]]-SamplingData[[#Totals],[Candidate 3]]), 0)</f>
        <v>0</v>
      </c>
      <c r="S493" s="100">
        <f>IF(AND(SamplingData[[#This Row],[Total]]&lt;&gt; 0, NOT(ISBLANK(SamplingData[[#This Row],[Candidate 4]]))),(SamplingData[[#This Row],[Total]]+SamplingData[[#This Row],[Winning Candidate]]-SamplingData[[#This Row],[Candidate 4]])/(SamplingData[[#Totals],[Winning Candidate]]-SamplingData[[#Totals],[Candidate 4]]), 0)</f>
        <v>0</v>
      </c>
      <c r="T493" s="100">
        <f>IF(AND(SamplingData[[#This Row],[Total]]&lt;&gt; 0, NOT(ISBLANK(SamplingData[[#This Row],[Candidate 5]]))),(SamplingData[[#This Row],[Total]]+SamplingData[[#This Row],[Winning Candidate]]-SamplingData[[#This Row],[Candidate 5]])/(SamplingData[[#Totals],[Winning Candidate]]-SamplingData[[#Totals],[Candidate 5]]), 0)</f>
        <v>0</v>
      </c>
      <c r="U493" s="100">
        <f>IF(AND(SamplingData[[#This Row],[Total]]&lt;&gt; 0, NOT(ISBLANK(SamplingData[[#This Row],[Candidate 6]]))),(SamplingData[[#This Row],[Total]]+SamplingData[[#This Row],[Losing Candidate]]-SamplingData[[#This Row],[Candidate 6]])/(SamplingData[[#Totals],[Winning Candidate]]-SamplingData[[#Totals],[Candidate 6]]), 0)</f>
        <v>0</v>
      </c>
      <c r="V493" s="100">
        <f>IF(AND(SamplingData[[#This Row],[Total]]&lt;&gt; 0, NOT(ISBLANK(SamplingData[[#This Row],[Candidate 7]]))),(SamplingData[[#This Row],[Total]]+SamplingData[[#This Row],[Winning Candidate]]-SamplingData[[#This Row],[Candidate 7]])/(SamplingData[[#Totals],[Winning Candidate]]-SamplingData[[#Totals],[Candidate 7]]), 0)</f>
        <v>0</v>
      </c>
      <c r="W493" s="100">
        <f>IF(AND(SamplingData[[#This Row],[Total]]&lt;&gt; 0, NOT(ISBLANK(SamplingData[[#This Row],[Candidate 8]]))),(SamplingData[[#This Row],[Total]]+SamplingData[[#This Row],[Winning Candidate]]-SamplingData[[#This Row],[Candidate 8]])/(SamplingData[[#Totals],[Winning Candidate]]-SamplingData[[#Totals],[Candidate 8]]), 0)</f>
        <v>0</v>
      </c>
      <c r="X4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00">
        <f>MAX(SamplingData[[#This Row],[Error Bound (up) - Max. possible relative overstatement - Losing Candidate]:[Error Bound (up) - Max. possible relative overstatement - Candidate 12]])</f>
        <v>9.4229983980902718E-4</v>
      </c>
      <c r="AC493" s="100">
        <f>IF(SamplingData[[#This Row],[Max Error Bound (up)]] = 0,0,SamplingData[[#This Row],[Max Error Bound (up)]]/SamplingData[[#Totals],[Max Error Bound (up)]])</f>
        <v>4.0381198513971905E-4</v>
      </c>
      <c r="AD493" s="104">
        <f>SUM($AC$5:AC493)</f>
        <v>0.10539492812146674</v>
      </c>
      <c r="AE493" s="100" t="str" cm="1">
        <f t="array" ref="AE493">IF(SamplingData[[#This Row],[up/U Selection Probability]] = 0, "Zero", TEXT(SamplingData[[#This Row],[Lower Range]], REPT("0",LEN('General Info'!$B$42))) &amp; " - " &amp; TEXT(SamplingData[[#This Row],[Upper Range]], REPT("0",LEN('General Info'!$B$42))))</f>
        <v>10499 - 10538</v>
      </c>
      <c r="AF493" s="100">
        <f>SamplingData[[#This Row],[Upper Range]]-SamplingData[[#This Row],[Span]]</f>
        <v>10499.111613632702</v>
      </c>
      <c r="AG493" s="100">
        <f>IF(ISNUMBER('General Info'!$B$42), ((SamplingData[[#This Row],[up/U Selection Probability]]) * 'General Info'!$B$44) - 1, 0)</f>
        <v>39.381198513971903</v>
      </c>
      <c r="AH493" s="100">
        <f>IF(ISNUMBER('General Info'!$B$42), (SamplingData[[#This Row],[Running (cumulative) sum]] * ('General Info'!$B$42 -'General Info'!$B$43 + 1)) + 'General Info'!$B$43 - 1, 0)</f>
        <v>10538.492812146675</v>
      </c>
      <c r="AI493" s="100" t="str">
        <f>IF(ISERROR(MATCH(SamplingData[[#This Row],[Batch by Type (p)]],SelectedPrecincts[Batch Name], 0)), "", INDEX(SelectedPrecincts[Draw], MATCH(SamplingData[[#This Row],[Batch by Type (p)]],SelectedPrecincts[Batch Name], 0)))</f>
        <v/>
      </c>
      <c r="AJ493" s="101">
        <f>IF(COUNTIF(SelectedPrecincts[Batch Name],SamplingData[[#This Row],[Batch by Type (p)]]) &lt;&gt; 0, COUNTIF(SelectedPrecincts[Batch Name],SamplingData[[#This Row],[Batch by Type (p)]]), 0)</f>
        <v>0</v>
      </c>
    </row>
    <row r="494" spans="1:36" ht="15" customHeight="1" x14ac:dyDescent="0.35">
      <c r="A494" s="98" t="s">
        <v>706</v>
      </c>
      <c r="B494" s="98">
        <v>2</v>
      </c>
      <c r="C494" s="98">
        <v>0</v>
      </c>
      <c r="D494" s="93"/>
      <c r="E494" s="93"/>
      <c r="F494" s="93"/>
      <c r="G494" s="97"/>
      <c r="H494" s="97"/>
      <c r="I494" s="93"/>
      <c r="J494" s="93"/>
      <c r="K494" s="93"/>
      <c r="L494" s="93"/>
      <c r="M494" s="93"/>
      <c r="N494" s="98">
        <v>0</v>
      </c>
      <c r="O494" s="98">
        <v>0</v>
      </c>
      <c r="P494" s="99">
        <f>SUM(SamplingData[[#This Row],[Winning Candidate]:[Under Votes]])</f>
        <v>2</v>
      </c>
      <c r="Q494"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494" s="100">
        <f>IF(AND(SamplingData[[#This Row],[Total]]&lt;&gt; 0, NOT(ISBLANK(SamplingData[[#This Row],[Candidate 3]]))),(SamplingData[[#This Row],[Total]]+SamplingData[[#This Row],[Winning Candidate]]-SamplingData[[#This Row],[Candidate 3]])/(SamplingData[[#Totals],[Winning Candidate]]-SamplingData[[#Totals],[Candidate 3]]), 0)</f>
        <v>0</v>
      </c>
      <c r="S494" s="100">
        <f>IF(AND(SamplingData[[#This Row],[Total]]&lt;&gt; 0, NOT(ISBLANK(SamplingData[[#This Row],[Candidate 4]]))),(SamplingData[[#This Row],[Total]]+SamplingData[[#This Row],[Winning Candidate]]-SamplingData[[#This Row],[Candidate 4]])/(SamplingData[[#Totals],[Winning Candidate]]-SamplingData[[#Totals],[Candidate 4]]), 0)</f>
        <v>0</v>
      </c>
      <c r="T494" s="100">
        <f>IF(AND(SamplingData[[#This Row],[Total]]&lt;&gt; 0, NOT(ISBLANK(SamplingData[[#This Row],[Candidate 5]]))),(SamplingData[[#This Row],[Total]]+SamplingData[[#This Row],[Winning Candidate]]-SamplingData[[#This Row],[Candidate 5]])/(SamplingData[[#Totals],[Winning Candidate]]-SamplingData[[#Totals],[Candidate 5]]), 0)</f>
        <v>0</v>
      </c>
      <c r="U494" s="100">
        <f>IF(AND(SamplingData[[#This Row],[Total]]&lt;&gt; 0, NOT(ISBLANK(SamplingData[[#This Row],[Candidate 6]]))),(SamplingData[[#This Row],[Total]]+SamplingData[[#This Row],[Losing Candidate]]-SamplingData[[#This Row],[Candidate 6]])/(SamplingData[[#Totals],[Winning Candidate]]-SamplingData[[#Totals],[Candidate 6]]), 0)</f>
        <v>0</v>
      </c>
      <c r="V494" s="100">
        <f>IF(AND(SamplingData[[#This Row],[Total]]&lt;&gt; 0, NOT(ISBLANK(SamplingData[[#This Row],[Candidate 7]]))),(SamplingData[[#This Row],[Total]]+SamplingData[[#This Row],[Winning Candidate]]-SamplingData[[#This Row],[Candidate 7]])/(SamplingData[[#Totals],[Winning Candidate]]-SamplingData[[#Totals],[Candidate 7]]), 0)</f>
        <v>0</v>
      </c>
      <c r="W494" s="100">
        <f>IF(AND(SamplingData[[#This Row],[Total]]&lt;&gt; 0, NOT(ISBLANK(SamplingData[[#This Row],[Candidate 8]]))),(SamplingData[[#This Row],[Total]]+SamplingData[[#This Row],[Winning Candidate]]-SamplingData[[#This Row],[Candidate 8]])/(SamplingData[[#Totals],[Winning Candidate]]-SamplingData[[#Totals],[Candidate 8]]), 0)</f>
        <v>0</v>
      </c>
      <c r="X4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00">
        <f>MAX(SamplingData[[#This Row],[Error Bound (up) - Max. possible relative overstatement - Losing Candidate]:[Error Bound (up) - Max. possible relative overstatement - Candidate 12]])</f>
        <v>1.2563997864120362E-4</v>
      </c>
      <c r="AC494" s="100">
        <f>IF(SamplingData[[#This Row],[Max Error Bound (up)]] = 0,0,SamplingData[[#This Row],[Max Error Bound (up)]]/SamplingData[[#Totals],[Max Error Bound (up)]])</f>
        <v>5.3841598018629206E-5</v>
      </c>
      <c r="AD494" s="104">
        <f>SUM($AC$5:AC494)</f>
        <v>0.10544876971948537</v>
      </c>
      <c r="AE494" s="100" t="str" cm="1">
        <f t="array" ref="AE494">IF(SamplingData[[#This Row],[up/U Selection Probability]] = 0, "Zero", TEXT(SamplingData[[#This Row],[Lower Range]], REPT("0",LEN('General Info'!$B$42))) &amp; " - " &amp; TEXT(SamplingData[[#This Row],[Upper Range]], REPT("0",LEN('General Info'!$B$42))))</f>
        <v>10539 - 10544</v>
      </c>
      <c r="AF494" s="100">
        <f>SamplingData[[#This Row],[Upper Range]]-SamplingData[[#This Row],[Span]]</f>
        <v>10539.492812146675</v>
      </c>
      <c r="AG494" s="100">
        <f>IF(ISNUMBER('General Info'!$B$42), ((SamplingData[[#This Row],[up/U Selection Probability]]) * 'General Info'!$B$44) - 1, 0)</f>
        <v>4.3841598018629204</v>
      </c>
      <c r="AH494" s="100">
        <f>IF(ISNUMBER('General Info'!$B$42), (SamplingData[[#This Row],[Running (cumulative) sum]] * ('General Info'!$B$42 -'General Info'!$B$43 + 1)) + 'General Info'!$B$43 - 1, 0)</f>
        <v>10543.876971948537</v>
      </c>
      <c r="AI494" s="100" t="str">
        <f>IF(ISERROR(MATCH(SamplingData[[#This Row],[Batch by Type (p)]],SelectedPrecincts[Batch Name], 0)), "", INDEX(SelectedPrecincts[Draw], MATCH(SamplingData[[#This Row],[Batch by Type (p)]],SelectedPrecincts[Batch Name], 0)))</f>
        <v/>
      </c>
      <c r="AJ494" s="101">
        <f>IF(COUNTIF(SelectedPrecincts[Batch Name],SamplingData[[#This Row],[Batch by Type (p)]]) &lt;&gt; 0, COUNTIF(SelectedPrecincts[Batch Name],SamplingData[[#This Row],[Batch by Type (p)]]), 0)</f>
        <v>0</v>
      </c>
    </row>
    <row r="495" spans="1:36" ht="15" customHeight="1" x14ac:dyDescent="0.35">
      <c r="A495" s="98" t="s">
        <v>707</v>
      </c>
      <c r="B495" s="98">
        <v>23</v>
      </c>
      <c r="C495" s="98">
        <v>2</v>
      </c>
      <c r="D495" s="93"/>
      <c r="E495" s="93"/>
      <c r="F495" s="93"/>
      <c r="G495" s="97"/>
      <c r="H495" s="97"/>
      <c r="I495" s="93"/>
      <c r="J495" s="93"/>
      <c r="K495" s="93"/>
      <c r="L495" s="93"/>
      <c r="M495" s="93"/>
      <c r="N495" s="98">
        <v>0</v>
      </c>
      <c r="O495" s="98">
        <v>3</v>
      </c>
      <c r="P495" s="99">
        <f>SUM(SamplingData[[#This Row],[Winning Candidate]:[Under Votes]])</f>
        <v>28</v>
      </c>
      <c r="Q495" s="100">
        <f>IF(AND(SamplingData[[#This Row],[Total]]&lt;&gt; 0, NOT(ISBLANK(SamplingData[[#This Row],[Losing Candidate]]))),(SamplingData[[#This Row],[Total]]+SamplingData[[#This Row],[Winning Candidate]]-SamplingData[[#This Row],[Losing Candidate]])/(SamplingData[[#Totals],[Winning Candidate]]-SamplingData[[#Totals],[Losing Candidate]]), 0)</f>
        <v>1.5390897383547445E-3</v>
      </c>
      <c r="R495" s="100">
        <f>IF(AND(SamplingData[[#This Row],[Total]]&lt;&gt; 0, NOT(ISBLANK(SamplingData[[#This Row],[Candidate 3]]))),(SamplingData[[#This Row],[Total]]+SamplingData[[#This Row],[Winning Candidate]]-SamplingData[[#This Row],[Candidate 3]])/(SamplingData[[#Totals],[Winning Candidate]]-SamplingData[[#Totals],[Candidate 3]]), 0)</f>
        <v>0</v>
      </c>
      <c r="S495" s="100">
        <f>IF(AND(SamplingData[[#This Row],[Total]]&lt;&gt; 0, NOT(ISBLANK(SamplingData[[#This Row],[Candidate 4]]))),(SamplingData[[#This Row],[Total]]+SamplingData[[#This Row],[Winning Candidate]]-SamplingData[[#This Row],[Candidate 4]])/(SamplingData[[#Totals],[Winning Candidate]]-SamplingData[[#Totals],[Candidate 4]]), 0)</f>
        <v>0</v>
      </c>
      <c r="T495" s="100">
        <f>IF(AND(SamplingData[[#This Row],[Total]]&lt;&gt; 0, NOT(ISBLANK(SamplingData[[#This Row],[Candidate 5]]))),(SamplingData[[#This Row],[Total]]+SamplingData[[#This Row],[Winning Candidate]]-SamplingData[[#This Row],[Candidate 5]])/(SamplingData[[#Totals],[Winning Candidate]]-SamplingData[[#Totals],[Candidate 5]]), 0)</f>
        <v>0</v>
      </c>
      <c r="U495" s="100">
        <f>IF(AND(SamplingData[[#This Row],[Total]]&lt;&gt; 0, NOT(ISBLANK(SamplingData[[#This Row],[Candidate 6]]))),(SamplingData[[#This Row],[Total]]+SamplingData[[#This Row],[Losing Candidate]]-SamplingData[[#This Row],[Candidate 6]])/(SamplingData[[#Totals],[Winning Candidate]]-SamplingData[[#Totals],[Candidate 6]]), 0)</f>
        <v>0</v>
      </c>
      <c r="V495" s="100">
        <f>IF(AND(SamplingData[[#This Row],[Total]]&lt;&gt; 0, NOT(ISBLANK(SamplingData[[#This Row],[Candidate 7]]))),(SamplingData[[#This Row],[Total]]+SamplingData[[#This Row],[Winning Candidate]]-SamplingData[[#This Row],[Candidate 7]])/(SamplingData[[#Totals],[Winning Candidate]]-SamplingData[[#Totals],[Candidate 7]]), 0)</f>
        <v>0</v>
      </c>
      <c r="W495" s="100">
        <f>IF(AND(SamplingData[[#This Row],[Total]]&lt;&gt; 0, NOT(ISBLANK(SamplingData[[#This Row],[Candidate 8]]))),(SamplingData[[#This Row],[Total]]+SamplingData[[#This Row],[Winning Candidate]]-SamplingData[[#This Row],[Candidate 8]])/(SamplingData[[#Totals],[Winning Candidate]]-SamplingData[[#Totals],[Candidate 8]]), 0)</f>
        <v>0</v>
      </c>
      <c r="X4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00">
        <f>MAX(SamplingData[[#This Row],[Error Bound (up) - Max. possible relative overstatement - Losing Candidate]:[Error Bound (up) - Max. possible relative overstatement - Candidate 12]])</f>
        <v>1.5390897383547445E-3</v>
      </c>
      <c r="AC495" s="100">
        <f>IF(SamplingData[[#This Row],[Max Error Bound (up)]] = 0,0,SamplingData[[#This Row],[Max Error Bound (up)]]/SamplingData[[#Totals],[Max Error Bound (up)]])</f>
        <v>6.5955957572820783E-4</v>
      </c>
      <c r="AD495" s="104">
        <f>SUM($AC$5:AC495)</f>
        <v>0.10610832929521358</v>
      </c>
      <c r="AE495" s="100" t="str" cm="1">
        <f t="array" ref="AE495">IF(SamplingData[[#This Row],[up/U Selection Probability]] = 0, "Zero", TEXT(SamplingData[[#This Row],[Lower Range]], REPT("0",LEN('General Info'!$B$42))) &amp; " - " &amp; TEXT(SamplingData[[#This Row],[Upper Range]], REPT("0",LEN('General Info'!$B$42))))</f>
        <v>10545 - 10610</v>
      </c>
      <c r="AF495" s="100">
        <f>SamplingData[[#This Row],[Upper Range]]-SamplingData[[#This Row],[Span]]</f>
        <v>10544.876971948537</v>
      </c>
      <c r="AG495" s="100">
        <f>IF(ISNUMBER('General Info'!$B$42), ((SamplingData[[#This Row],[up/U Selection Probability]]) * 'General Info'!$B$44) - 1, 0)</f>
        <v>64.955957572820779</v>
      </c>
      <c r="AH495" s="100">
        <f>IF(ISNUMBER('General Info'!$B$42), (SamplingData[[#This Row],[Running (cumulative) sum]] * ('General Info'!$B$42 -'General Info'!$B$43 + 1)) + 'General Info'!$B$43 - 1, 0)</f>
        <v>10609.832929521357</v>
      </c>
      <c r="AI495" s="100" t="str">
        <f>IF(ISERROR(MATCH(SamplingData[[#This Row],[Batch by Type (p)]],SelectedPrecincts[Batch Name], 0)), "", INDEX(SelectedPrecincts[Draw], MATCH(SamplingData[[#This Row],[Batch by Type (p)]],SelectedPrecincts[Batch Name], 0)))</f>
        <v/>
      </c>
      <c r="AJ495" s="101">
        <f>IF(COUNTIF(SelectedPrecincts[Batch Name],SamplingData[[#This Row],[Batch by Type (p)]]) &lt;&gt; 0, COUNTIF(SelectedPrecincts[Batch Name],SamplingData[[#This Row],[Batch by Type (p)]]), 0)</f>
        <v>0</v>
      </c>
    </row>
    <row r="496" spans="1:36" ht="15" customHeight="1" x14ac:dyDescent="0.35">
      <c r="A496" s="98" t="s">
        <v>708</v>
      </c>
      <c r="B496" s="98">
        <v>3</v>
      </c>
      <c r="C496" s="98">
        <v>0</v>
      </c>
      <c r="D496" s="93"/>
      <c r="E496" s="93"/>
      <c r="F496" s="93"/>
      <c r="G496" s="97"/>
      <c r="H496" s="97"/>
      <c r="I496" s="93"/>
      <c r="J496" s="93"/>
      <c r="K496" s="93"/>
      <c r="L496" s="93"/>
      <c r="M496" s="93"/>
      <c r="N496" s="98">
        <v>0</v>
      </c>
      <c r="O496" s="98">
        <v>0</v>
      </c>
      <c r="P496" s="99">
        <f>SUM(SamplingData[[#This Row],[Winning Candidate]:[Under Votes]])</f>
        <v>3</v>
      </c>
      <c r="Q496"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496" s="100">
        <f>IF(AND(SamplingData[[#This Row],[Total]]&lt;&gt; 0, NOT(ISBLANK(SamplingData[[#This Row],[Candidate 3]]))),(SamplingData[[#This Row],[Total]]+SamplingData[[#This Row],[Winning Candidate]]-SamplingData[[#This Row],[Candidate 3]])/(SamplingData[[#Totals],[Winning Candidate]]-SamplingData[[#Totals],[Candidate 3]]), 0)</f>
        <v>0</v>
      </c>
      <c r="S496" s="100">
        <f>IF(AND(SamplingData[[#This Row],[Total]]&lt;&gt; 0, NOT(ISBLANK(SamplingData[[#This Row],[Candidate 4]]))),(SamplingData[[#This Row],[Total]]+SamplingData[[#This Row],[Winning Candidate]]-SamplingData[[#This Row],[Candidate 4]])/(SamplingData[[#Totals],[Winning Candidate]]-SamplingData[[#Totals],[Candidate 4]]), 0)</f>
        <v>0</v>
      </c>
      <c r="T496" s="100">
        <f>IF(AND(SamplingData[[#This Row],[Total]]&lt;&gt; 0, NOT(ISBLANK(SamplingData[[#This Row],[Candidate 5]]))),(SamplingData[[#This Row],[Total]]+SamplingData[[#This Row],[Winning Candidate]]-SamplingData[[#This Row],[Candidate 5]])/(SamplingData[[#Totals],[Winning Candidate]]-SamplingData[[#Totals],[Candidate 5]]), 0)</f>
        <v>0</v>
      </c>
      <c r="U496" s="100">
        <f>IF(AND(SamplingData[[#This Row],[Total]]&lt;&gt; 0, NOT(ISBLANK(SamplingData[[#This Row],[Candidate 6]]))),(SamplingData[[#This Row],[Total]]+SamplingData[[#This Row],[Losing Candidate]]-SamplingData[[#This Row],[Candidate 6]])/(SamplingData[[#Totals],[Winning Candidate]]-SamplingData[[#Totals],[Candidate 6]]), 0)</f>
        <v>0</v>
      </c>
      <c r="V496" s="100">
        <f>IF(AND(SamplingData[[#This Row],[Total]]&lt;&gt; 0, NOT(ISBLANK(SamplingData[[#This Row],[Candidate 7]]))),(SamplingData[[#This Row],[Total]]+SamplingData[[#This Row],[Winning Candidate]]-SamplingData[[#This Row],[Candidate 7]])/(SamplingData[[#Totals],[Winning Candidate]]-SamplingData[[#Totals],[Candidate 7]]), 0)</f>
        <v>0</v>
      </c>
      <c r="W496" s="100">
        <f>IF(AND(SamplingData[[#This Row],[Total]]&lt;&gt; 0, NOT(ISBLANK(SamplingData[[#This Row],[Candidate 8]]))),(SamplingData[[#This Row],[Total]]+SamplingData[[#This Row],[Winning Candidate]]-SamplingData[[#This Row],[Candidate 8]])/(SamplingData[[#Totals],[Winning Candidate]]-SamplingData[[#Totals],[Candidate 8]]), 0)</f>
        <v>0</v>
      </c>
      <c r="X4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00">
        <f>MAX(SamplingData[[#This Row],[Error Bound (up) - Max. possible relative overstatement - Losing Candidate]:[Error Bound (up) - Max. possible relative overstatement - Candidate 12]])</f>
        <v>1.8845996796180544E-4</v>
      </c>
      <c r="AC496" s="100">
        <f>IF(SamplingData[[#This Row],[Max Error Bound (up)]] = 0,0,SamplingData[[#This Row],[Max Error Bound (up)]]/SamplingData[[#Totals],[Max Error Bound (up)]])</f>
        <v>8.0762397027943816E-5</v>
      </c>
      <c r="AD496" s="104">
        <f>SUM($AC$5:AC496)</f>
        <v>0.10618909169224153</v>
      </c>
      <c r="AE496" s="100" t="str" cm="1">
        <f t="array" ref="AE496">IF(SamplingData[[#This Row],[up/U Selection Probability]] = 0, "Zero", TEXT(SamplingData[[#This Row],[Lower Range]], REPT("0",LEN('General Info'!$B$42))) &amp; " - " &amp; TEXT(SamplingData[[#This Row],[Upper Range]], REPT("0",LEN('General Info'!$B$42))))</f>
        <v>10611 - 10618</v>
      </c>
      <c r="AF496" s="100">
        <f>SamplingData[[#This Row],[Upper Range]]-SamplingData[[#This Row],[Span]]</f>
        <v>10610.832929521359</v>
      </c>
      <c r="AG496" s="100">
        <f>IF(ISNUMBER('General Info'!$B$42), ((SamplingData[[#This Row],[up/U Selection Probability]]) * 'General Info'!$B$44) - 1, 0)</f>
        <v>7.076239702794382</v>
      </c>
      <c r="AH496" s="100">
        <f>IF(ISNUMBER('General Info'!$B$42), (SamplingData[[#This Row],[Running (cumulative) sum]] * ('General Info'!$B$42 -'General Info'!$B$43 + 1)) + 'General Info'!$B$43 - 1, 0)</f>
        <v>10617.909169224153</v>
      </c>
      <c r="AI496" s="100" t="str">
        <f>IF(ISERROR(MATCH(SamplingData[[#This Row],[Batch by Type (p)]],SelectedPrecincts[Batch Name], 0)), "", INDEX(SelectedPrecincts[Draw], MATCH(SamplingData[[#This Row],[Batch by Type (p)]],SelectedPrecincts[Batch Name], 0)))</f>
        <v/>
      </c>
      <c r="AJ496" s="101">
        <f>IF(COUNTIF(SelectedPrecincts[Batch Name],SamplingData[[#This Row],[Batch by Type (p)]]) &lt;&gt; 0, COUNTIF(SelectedPrecincts[Batch Name],SamplingData[[#This Row],[Batch by Type (p)]]), 0)</f>
        <v>0</v>
      </c>
    </row>
    <row r="497" spans="1:36" ht="15" customHeight="1" x14ac:dyDescent="0.35">
      <c r="A497" s="98" t="s">
        <v>1341</v>
      </c>
      <c r="B497" s="98">
        <v>15</v>
      </c>
      <c r="C497" s="98">
        <v>0</v>
      </c>
      <c r="D497" s="93"/>
      <c r="E497" s="93"/>
      <c r="F497" s="93"/>
      <c r="G497" s="97"/>
      <c r="H497" s="97"/>
      <c r="I497" s="93"/>
      <c r="J497" s="93"/>
      <c r="K497" s="93"/>
      <c r="L497" s="93"/>
      <c r="M497" s="93"/>
      <c r="N497" s="98">
        <v>0</v>
      </c>
      <c r="O497" s="98">
        <v>0</v>
      </c>
      <c r="P497" s="99">
        <f>SUM(SamplingData[[#This Row],[Winning Candidate]:[Under Votes]])</f>
        <v>15</v>
      </c>
      <c r="Q497"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497" s="100">
        <f>IF(AND(SamplingData[[#This Row],[Total]]&lt;&gt; 0, NOT(ISBLANK(SamplingData[[#This Row],[Candidate 3]]))),(SamplingData[[#This Row],[Total]]+SamplingData[[#This Row],[Winning Candidate]]-SamplingData[[#This Row],[Candidate 3]])/(SamplingData[[#Totals],[Winning Candidate]]-SamplingData[[#Totals],[Candidate 3]]), 0)</f>
        <v>0</v>
      </c>
      <c r="S497" s="100">
        <f>IF(AND(SamplingData[[#This Row],[Total]]&lt;&gt; 0, NOT(ISBLANK(SamplingData[[#This Row],[Candidate 4]]))),(SamplingData[[#This Row],[Total]]+SamplingData[[#This Row],[Winning Candidate]]-SamplingData[[#This Row],[Candidate 4]])/(SamplingData[[#Totals],[Winning Candidate]]-SamplingData[[#Totals],[Candidate 4]]), 0)</f>
        <v>0</v>
      </c>
      <c r="T497" s="100">
        <f>IF(AND(SamplingData[[#This Row],[Total]]&lt;&gt; 0, NOT(ISBLANK(SamplingData[[#This Row],[Candidate 5]]))),(SamplingData[[#This Row],[Total]]+SamplingData[[#This Row],[Winning Candidate]]-SamplingData[[#This Row],[Candidate 5]])/(SamplingData[[#Totals],[Winning Candidate]]-SamplingData[[#Totals],[Candidate 5]]), 0)</f>
        <v>0</v>
      </c>
      <c r="U497" s="100">
        <f>IF(AND(SamplingData[[#This Row],[Total]]&lt;&gt; 0, NOT(ISBLANK(SamplingData[[#This Row],[Candidate 6]]))),(SamplingData[[#This Row],[Total]]+SamplingData[[#This Row],[Losing Candidate]]-SamplingData[[#This Row],[Candidate 6]])/(SamplingData[[#Totals],[Winning Candidate]]-SamplingData[[#Totals],[Candidate 6]]), 0)</f>
        <v>0</v>
      </c>
      <c r="V497" s="100">
        <f>IF(AND(SamplingData[[#This Row],[Total]]&lt;&gt; 0, NOT(ISBLANK(SamplingData[[#This Row],[Candidate 7]]))),(SamplingData[[#This Row],[Total]]+SamplingData[[#This Row],[Winning Candidate]]-SamplingData[[#This Row],[Candidate 7]])/(SamplingData[[#Totals],[Winning Candidate]]-SamplingData[[#Totals],[Candidate 7]]), 0)</f>
        <v>0</v>
      </c>
      <c r="W497" s="100">
        <f>IF(AND(SamplingData[[#This Row],[Total]]&lt;&gt; 0, NOT(ISBLANK(SamplingData[[#This Row],[Candidate 8]]))),(SamplingData[[#This Row],[Total]]+SamplingData[[#This Row],[Winning Candidate]]-SamplingData[[#This Row],[Candidate 8]])/(SamplingData[[#Totals],[Winning Candidate]]-SamplingData[[#Totals],[Candidate 8]]), 0)</f>
        <v>0</v>
      </c>
      <c r="X4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00">
        <f>MAX(SamplingData[[#This Row],[Error Bound (up) - Max. possible relative overstatement - Losing Candidate]:[Error Bound (up) - Max. possible relative overstatement - Candidate 12]])</f>
        <v>9.4229983980902718E-4</v>
      </c>
      <c r="AC497" s="100">
        <f>IF(SamplingData[[#This Row],[Max Error Bound (up)]] = 0,0,SamplingData[[#This Row],[Max Error Bound (up)]]/SamplingData[[#Totals],[Max Error Bound (up)]])</f>
        <v>4.0381198513971905E-4</v>
      </c>
      <c r="AD497" s="104">
        <f>SUM($AC$5:AC497)</f>
        <v>0.10659290367738125</v>
      </c>
      <c r="AE497" s="100" t="str" cm="1">
        <f t="array" ref="AE497">IF(SamplingData[[#This Row],[up/U Selection Probability]] = 0, "Zero", TEXT(SamplingData[[#This Row],[Lower Range]], REPT("0",LEN('General Info'!$B$42))) &amp; " - " &amp; TEXT(SamplingData[[#This Row],[Upper Range]], REPT("0",LEN('General Info'!$B$42))))</f>
        <v>10619 - 10658</v>
      </c>
      <c r="AF497" s="100">
        <f>SamplingData[[#This Row],[Upper Range]]-SamplingData[[#This Row],[Span]]</f>
        <v>10618.909169224153</v>
      </c>
      <c r="AG497" s="100">
        <f>IF(ISNUMBER('General Info'!$B$42), ((SamplingData[[#This Row],[up/U Selection Probability]]) * 'General Info'!$B$44) - 1, 0)</f>
        <v>39.381198513971903</v>
      </c>
      <c r="AH497" s="100">
        <f>IF(ISNUMBER('General Info'!$B$42), (SamplingData[[#This Row],[Running (cumulative) sum]] * ('General Info'!$B$42 -'General Info'!$B$43 + 1)) + 'General Info'!$B$43 - 1, 0)</f>
        <v>10658.290367738125</v>
      </c>
      <c r="AI497" s="100" t="str">
        <f>IF(ISERROR(MATCH(SamplingData[[#This Row],[Batch by Type (p)]],SelectedPrecincts[Batch Name], 0)), "", INDEX(SelectedPrecincts[Draw], MATCH(SamplingData[[#This Row],[Batch by Type (p)]],SelectedPrecincts[Batch Name], 0)))</f>
        <v/>
      </c>
      <c r="AJ497" s="101">
        <f>IF(COUNTIF(SelectedPrecincts[Batch Name],SamplingData[[#This Row],[Batch by Type (p)]]) &lt;&gt; 0, COUNTIF(SelectedPrecincts[Batch Name],SamplingData[[#This Row],[Batch by Type (p)]]), 0)</f>
        <v>0</v>
      </c>
    </row>
    <row r="498" spans="1:36" ht="15" customHeight="1" x14ac:dyDescent="0.35">
      <c r="A498" s="98" t="s">
        <v>709</v>
      </c>
      <c r="B498" s="98">
        <v>6</v>
      </c>
      <c r="C498" s="98">
        <v>0</v>
      </c>
      <c r="D498" s="93"/>
      <c r="E498" s="93"/>
      <c r="F498" s="93"/>
      <c r="G498" s="97"/>
      <c r="H498" s="97"/>
      <c r="I498" s="93"/>
      <c r="J498" s="93"/>
      <c r="K498" s="93"/>
      <c r="L498" s="93"/>
      <c r="M498" s="93"/>
      <c r="N498" s="98">
        <v>0</v>
      </c>
      <c r="O498" s="98">
        <v>0</v>
      </c>
      <c r="P498" s="99">
        <f>SUM(SamplingData[[#This Row],[Winning Candidate]:[Under Votes]])</f>
        <v>6</v>
      </c>
      <c r="Q498"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498" s="100">
        <f>IF(AND(SamplingData[[#This Row],[Total]]&lt;&gt; 0, NOT(ISBLANK(SamplingData[[#This Row],[Candidate 3]]))),(SamplingData[[#This Row],[Total]]+SamplingData[[#This Row],[Winning Candidate]]-SamplingData[[#This Row],[Candidate 3]])/(SamplingData[[#Totals],[Winning Candidate]]-SamplingData[[#Totals],[Candidate 3]]), 0)</f>
        <v>0</v>
      </c>
      <c r="S498" s="100">
        <f>IF(AND(SamplingData[[#This Row],[Total]]&lt;&gt; 0, NOT(ISBLANK(SamplingData[[#This Row],[Candidate 4]]))),(SamplingData[[#This Row],[Total]]+SamplingData[[#This Row],[Winning Candidate]]-SamplingData[[#This Row],[Candidate 4]])/(SamplingData[[#Totals],[Winning Candidate]]-SamplingData[[#Totals],[Candidate 4]]), 0)</f>
        <v>0</v>
      </c>
      <c r="T498" s="100">
        <f>IF(AND(SamplingData[[#This Row],[Total]]&lt;&gt; 0, NOT(ISBLANK(SamplingData[[#This Row],[Candidate 5]]))),(SamplingData[[#This Row],[Total]]+SamplingData[[#This Row],[Winning Candidate]]-SamplingData[[#This Row],[Candidate 5]])/(SamplingData[[#Totals],[Winning Candidate]]-SamplingData[[#Totals],[Candidate 5]]), 0)</f>
        <v>0</v>
      </c>
      <c r="U498" s="100">
        <f>IF(AND(SamplingData[[#This Row],[Total]]&lt;&gt; 0, NOT(ISBLANK(SamplingData[[#This Row],[Candidate 6]]))),(SamplingData[[#This Row],[Total]]+SamplingData[[#This Row],[Losing Candidate]]-SamplingData[[#This Row],[Candidate 6]])/(SamplingData[[#Totals],[Winning Candidate]]-SamplingData[[#Totals],[Candidate 6]]), 0)</f>
        <v>0</v>
      </c>
      <c r="V498" s="100">
        <f>IF(AND(SamplingData[[#This Row],[Total]]&lt;&gt; 0, NOT(ISBLANK(SamplingData[[#This Row],[Candidate 7]]))),(SamplingData[[#This Row],[Total]]+SamplingData[[#This Row],[Winning Candidate]]-SamplingData[[#This Row],[Candidate 7]])/(SamplingData[[#Totals],[Winning Candidate]]-SamplingData[[#Totals],[Candidate 7]]), 0)</f>
        <v>0</v>
      </c>
      <c r="W498" s="100">
        <f>IF(AND(SamplingData[[#This Row],[Total]]&lt;&gt; 0, NOT(ISBLANK(SamplingData[[#This Row],[Candidate 8]]))),(SamplingData[[#This Row],[Total]]+SamplingData[[#This Row],[Winning Candidate]]-SamplingData[[#This Row],[Candidate 8]])/(SamplingData[[#Totals],[Winning Candidate]]-SamplingData[[#Totals],[Candidate 8]]), 0)</f>
        <v>0</v>
      </c>
      <c r="X4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00">
        <f>MAX(SamplingData[[#This Row],[Error Bound (up) - Max. possible relative overstatement - Losing Candidate]:[Error Bound (up) - Max. possible relative overstatement - Candidate 12]])</f>
        <v>3.7691993592361088E-4</v>
      </c>
      <c r="AC498" s="100">
        <f>IF(SamplingData[[#This Row],[Max Error Bound (up)]] = 0,0,SamplingData[[#This Row],[Max Error Bound (up)]]/SamplingData[[#Totals],[Max Error Bound (up)]])</f>
        <v>1.6152479405588763E-4</v>
      </c>
      <c r="AD498" s="104">
        <f>SUM($AC$5:AC498)</f>
        <v>0.10675442847143714</v>
      </c>
      <c r="AE498" s="100" t="str" cm="1">
        <f t="array" ref="AE498">IF(SamplingData[[#This Row],[up/U Selection Probability]] = 0, "Zero", TEXT(SamplingData[[#This Row],[Lower Range]], REPT("0",LEN('General Info'!$B$42))) &amp; " - " &amp; TEXT(SamplingData[[#This Row],[Upper Range]], REPT("0",LEN('General Info'!$B$42))))</f>
        <v>10659 - 10674</v>
      </c>
      <c r="AF498" s="100">
        <f>SamplingData[[#This Row],[Upper Range]]-SamplingData[[#This Row],[Span]]</f>
        <v>10659.290367738124</v>
      </c>
      <c r="AG498" s="100">
        <f>IF(ISNUMBER('General Info'!$B$42), ((SamplingData[[#This Row],[up/U Selection Probability]]) * 'General Info'!$B$44) - 1, 0)</f>
        <v>15.152479405588764</v>
      </c>
      <c r="AH498" s="100">
        <f>IF(ISNUMBER('General Info'!$B$42), (SamplingData[[#This Row],[Running (cumulative) sum]] * ('General Info'!$B$42 -'General Info'!$B$43 + 1)) + 'General Info'!$B$43 - 1, 0)</f>
        <v>10674.442847143713</v>
      </c>
      <c r="AI498" s="100" t="str">
        <f>IF(ISERROR(MATCH(SamplingData[[#This Row],[Batch by Type (p)]],SelectedPrecincts[Batch Name], 0)), "", INDEX(SelectedPrecincts[Draw], MATCH(SamplingData[[#This Row],[Batch by Type (p)]],SelectedPrecincts[Batch Name], 0)))</f>
        <v/>
      </c>
      <c r="AJ498" s="101">
        <f>IF(COUNTIF(SelectedPrecincts[Batch Name],SamplingData[[#This Row],[Batch by Type (p)]]) &lt;&gt; 0, COUNTIF(SelectedPrecincts[Batch Name],SamplingData[[#This Row],[Batch by Type (p)]]), 0)</f>
        <v>0</v>
      </c>
    </row>
    <row r="499" spans="1:36" ht="15" customHeight="1" x14ac:dyDescent="0.35">
      <c r="A499" s="98" t="s">
        <v>710</v>
      </c>
      <c r="B499" s="98">
        <v>11</v>
      </c>
      <c r="C499" s="98">
        <v>0</v>
      </c>
      <c r="D499" s="93"/>
      <c r="E499" s="93"/>
      <c r="F499" s="93"/>
      <c r="G499" s="97"/>
      <c r="H499" s="97"/>
      <c r="I499" s="93"/>
      <c r="J499" s="93"/>
      <c r="K499" s="93"/>
      <c r="L499" s="93"/>
      <c r="M499" s="93"/>
      <c r="N499" s="98">
        <v>0</v>
      </c>
      <c r="O499" s="98">
        <v>0</v>
      </c>
      <c r="P499" s="99">
        <f>SUM(SamplingData[[#This Row],[Winning Candidate]:[Under Votes]])</f>
        <v>11</v>
      </c>
      <c r="Q499"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499" s="100">
        <f>IF(AND(SamplingData[[#This Row],[Total]]&lt;&gt; 0, NOT(ISBLANK(SamplingData[[#This Row],[Candidate 3]]))),(SamplingData[[#This Row],[Total]]+SamplingData[[#This Row],[Winning Candidate]]-SamplingData[[#This Row],[Candidate 3]])/(SamplingData[[#Totals],[Winning Candidate]]-SamplingData[[#Totals],[Candidate 3]]), 0)</f>
        <v>0</v>
      </c>
      <c r="S499" s="100">
        <f>IF(AND(SamplingData[[#This Row],[Total]]&lt;&gt; 0, NOT(ISBLANK(SamplingData[[#This Row],[Candidate 4]]))),(SamplingData[[#This Row],[Total]]+SamplingData[[#This Row],[Winning Candidate]]-SamplingData[[#This Row],[Candidate 4]])/(SamplingData[[#Totals],[Winning Candidate]]-SamplingData[[#Totals],[Candidate 4]]), 0)</f>
        <v>0</v>
      </c>
      <c r="T499" s="100">
        <f>IF(AND(SamplingData[[#This Row],[Total]]&lt;&gt; 0, NOT(ISBLANK(SamplingData[[#This Row],[Candidate 5]]))),(SamplingData[[#This Row],[Total]]+SamplingData[[#This Row],[Winning Candidate]]-SamplingData[[#This Row],[Candidate 5]])/(SamplingData[[#Totals],[Winning Candidate]]-SamplingData[[#Totals],[Candidate 5]]), 0)</f>
        <v>0</v>
      </c>
      <c r="U499" s="100">
        <f>IF(AND(SamplingData[[#This Row],[Total]]&lt;&gt; 0, NOT(ISBLANK(SamplingData[[#This Row],[Candidate 6]]))),(SamplingData[[#This Row],[Total]]+SamplingData[[#This Row],[Losing Candidate]]-SamplingData[[#This Row],[Candidate 6]])/(SamplingData[[#Totals],[Winning Candidate]]-SamplingData[[#Totals],[Candidate 6]]), 0)</f>
        <v>0</v>
      </c>
      <c r="V499" s="100">
        <f>IF(AND(SamplingData[[#This Row],[Total]]&lt;&gt; 0, NOT(ISBLANK(SamplingData[[#This Row],[Candidate 7]]))),(SamplingData[[#This Row],[Total]]+SamplingData[[#This Row],[Winning Candidate]]-SamplingData[[#This Row],[Candidate 7]])/(SamplingData[[#Totals],[Winning Candidate]]-SamplingData[[#Totals],[Candidate 7]]), 0)</f>
        <v>0</v>
      </c>
      <c r="W499" s="100">
        <f>IF(AND(SamplingData[[#This Row],[Total]]&lt;&gt; 0, NOT(ISBLANK(SamplingData[[#This Row],[Candidate 8]]))),(SamplingData[[#This Row],[Total]]+SamplingData[[#This Row],[Winning Candidate]]-SamplingData[[#This Row],[Candidate 8]])/(SamplingData[[#Totals],[Winning Candidate]]-SamplingData[[#Totals],[Candidate 8]]), 0)</f>
        <v>0</v>
      </c>
      <c r="X4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00">
        <f>MAX(SamplingData[[#This Row],[Error Bound (up) - Max. possible relative overstatement - Losing Candidate]:[Error Bound (up) - Max. possible relative overstatement - Candidate 12]])</f>
        <v>6.9101988252662E-4</v>
      </c>
      <c r="AC499" s="100">
        <f>IF(SamplingData[[#This Row],[Max Error Bound (up)]] = 0,0,SamplingData[[#This Row],[Max Error Bound (up)]]/SamplingData[[#Totals],[Max Error Bound (up)]])</f>
        <v>2.9612878910246067E-4</v>
      </c>
      <c r="AD499" s="104">
        <f>SUM($AC$5:AC499)</f>
        <v>0.10705055726053959</v>
      </c>
      <c r="AE499" s="100" t="str" cm="1">
        <f t="array" ref="AE499">IF(SamplingData[[#This Row],[up/U Selection Probability]] = 0, "Zero", TEXT(SamplingData[[#This Row],[Lower Range]], REPT("0",LEN('General Info'!$B$42))) &amp; " - " &amp; TEXT(SamplingData[[#This Row],[Upper Range]], REPT("0",LEN('General Info'!$B$42))))</f>
        <v>10675 - 10704</v>
      </c>
      <c r="AF499" s="100">
        <f>SamplingData[[#This Row],[Upper Range]]-SamplingData[[#This Row],[Span]]</f>
        <v>10675.442847143713</v>
      </c>
      <c r="AG499" s="100">
        <f>IF(ISNUMBER('General Info'!$B$42), ((SamplingData[[#This Row],[up/U Selection Probability]]) * 'General Info'!$B$44) - 1, 0)</f>
        <v>28.612878910246067</v>
      </c>
      <c r="AH499" s="100">
        <f>IF(ISNUMBER('General Info'!$B$42), (SamplingData[[#This Row],[Running (cumulative) sum]] * ('General Info'!$B$42 -'General Info'!$B$43 + 1)) + 'General Info'!$B$43 - 1, 0)</f>
        <v>10704.055726053959</v>
      </c>
      <c r="AI499" s="100" t="str">
        <f>IF(ISERROR(MATCH(SamplingData[[#This Row],[Batch by Type (p)]],SelectedPrecincts[Batch Name], 0)), "", INDEX(SelectedPrecincts[Draw], MATCH(SamplingData[[#This Row],[Batch by Type (p)]],SelectedPrecincts[Batch Name], 0)))</f>
        <v/>
      </c>
      <c r="AJ499" s="101">
        <f>IF(COUNTIF(SelectedPrecincts[Batch Name],SamplingData[[#This Row],[Batch by Type (p)]]) &lt;&gt; 0, COUNTIF(SelectedPrecincts[Batch Name],SamplingData[[#This Row],[Batch by Type (p)]]), 0)</f>
        <v>0</v>
      </c>
    </row>
    <row r="500" spans="1:36" ht="15" customHeight="1" x14ac:dyDescent="0.35">
      <c r="A500" s="98" t="s">
        <v>711</v>
      </c>
      <c r="B500" s="98">
        <v>3</v>
      </c>
      <c r="C500" s="98">
        <v>0</v>
      </c>
      <c r="D500" s="93"/>
      <c r="E500" s="93"/>
      <c r="F500" s="93"/>
      <c r="G500" s="97"/>
      <c r="H500" s="97"/>
      <c r="I500" s="93"/>
      <c r="J500" s="93"/>
      <c r="K500" s="93"/>
      <c r="L500" s="93"/>
      <c r="M500" s="93"/>
      <c r="N500" s="98">
        <v>0</v>
      </c>
      <c r="O500" s="98">
        <v>0</v>
      </c>
      <c r="P500" s="99">
        <f>SUM(SamplingData[[#This Row],[Winning Candidate]:[Under Votes]])</f>
        <v>3</v>
      </c>
      <c r="Q500"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500" s="100">
        <f>IF(AND(SamplingData[[#This Row],[Total]]&lt;&gt; 0, NOT(ISBLANK(SamplingData[[#This Row],[Candidate 3]]))),(SamplingData[[#This Row],[Total]]+SamplingData[[#This Row],[Winning Candidate]]-SamplingData[[#This Row],[Candidate 3]])/(SamplingData[[#Totals],[Winning Candidate]]-SamplingData[[#Totals],[Candidate 3]]), 0)</f>
        <v>0</v>
      </c>
      <c r="S500" s="100">
        <f>IF(AND(SamplingData[[#This Row],[Total]]&lt;&gt; 0, NOT(ISBLANK(SamplingData[[#This Row],[Candidate 4]]))),(SamplingData[[#This Row],[Total]]+SamplingData[[#This Row],[Winning Candidate]]-SamplingData[[#This Row],[Candidate 4]])/(SamplingData[[#Totals],[Winning Candidate]]-SamplingData[[#Totals],[Candidate 4]]), 0)</f>
        <v>0</v>
      </c>
      <c r="T500" s="100">
        <f>IF(AND(SamplingData[[#This Row],[Total]]&lt;&gt; 0, NOT(ISBLANK(SamplingData[[#This Row],[Candidate 5]]))),(SamplingData[[#This Row],[Total]]+SamplingData[[#This Row],[Winning Candidate]]-SamplingData[[#This Row],[Candidate 5]])/(SamplingData[[#Totals],[Winning Candidate]]-SamplingData[[#Totals],[Candidate 5]]), 0)</f>
        <v>0</v>
      </c>
      <c r="U500" s="100">
        <f>IF(AND(SamplingData[[#This Row],[Total]]&lt;&gt; 0, NOT(ISBLANK(SamplingData[[#This Row],[Candidate 6]]))),(SamplingData[[#This Row],[Total]]+SamplingData[[#This Row],[Losing Candidate]]-SamplingData[[#This Row],[Candidate 6]])/(SamplingData[[#Totals],[Winning Candidate]]-SamplingData[[#Totals],[Candidate 6]]), 0)</f>
        <v>0</v>
      </c>
      <c r="V500" s="100">
        <f>IF(AND(SamplingData[[#This Row],[Total]]&lt;&gt; 0, NOT(ISBLANK(SamplingData[[#This Row],[Candidate 7]]))),(SamplingData[[#This Row],[Total]]+SamplingData[[#This Row],[Winning Candidate]]-SamplingData[[#This Row],[Candidate 7]])/(SamplingData[[#Totals],[Winning Candidate]]-SamplingData[[#Totals],[Candidate 7]]), 0)</f>
        <v>0</v>
      </c>
      <c r="W500" s="100">
        <f>IF(AND(SamplingData[[#This Row],[Total]]&lt;&gt; 0, NOT(ISBLANK(SamplingData[[#This Row],[Candidate 8]]))),(SamplingData[[#This Row],[Total]]+SamplingData[[#This Row],[Winning Candidate]]-SamplingData[[#This Row],[Candidate 8]])/(SamplingData[[#Totals],[Winning Candidate]]-SamplingData[[#Totals],[Candidate 8]]), 0)</f>
        <v>0</v>
      </c>
      <c r="X5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00">
        <f>MAX(SamplingData[[#This Row],[Error Bound (up) - Max. possible relative overstatement - Losing Candidate]:[Error Bound (up) - Max. possible relative overstatement - Candidate 12]])</f>
        <v>1.8845996796180544E-4</v>
      </c>
      <c r="AC500" s="100">
        <f>IF(SamplingData[[#This Row],[Max Error Bound (up)]] = 0,0,SamplingData[[#This Row],[Max Error Bound (up)]]/SamplingData[[#Totals],[Max Error Bound (up)]])</f>
        <v>8.0762397027943816E-5</v>
      </c>
      <c r="AD500" s="104">
        <f>SUM($AC$5:AC500)</f>
        <v>0.10713131965756754</v>
      </c>
      <c r="AE500" s="100" t="str" cm="1">
        <f t="array" ref="AE500">IF(SamplingData[[#This Row],[up/U Selection Probability]] = 0, "Zero", TEXT(SamplingData[[#This Row],[Lower Range]], REPT("0",LEN('General Info'!$B$42))) &amp; " - " &amp; TEXT(SamplingData[[#This Row],[Upper Range]], REPT("0",LEN('General Info'!$B$42))))</f>
        <v>10705 - 10712</v>
      </c>
      <c r="AF500" s="100">
        <f>SamplingData[[#This Row],[Upper Range]]-SamplingData[[#This Row],[Span]]</f>
        <v>10705.055726053961</v>
      </c>
      <c r="AG500" s="100">
        <f>IF(ISNUMBER('General Info'!$B$42), ((SamplingData[[#This Row],[up/U Selection Probability]]) * 'General Info'!$B$44) - 1, 0)</f>
        <v>7.076239702794382</v>
      </c>
      <c r="AH500" s="100">
        <f>IF(ISNUMBER('General Info'!$B$42), (SamplingData[[#This Row],[Running (cumulative) sum]] * ('General Info'!$B$42 -'General Info'!$B$43 + 1)) + 'General Info'!$B$43 - 1, 0)</f>
        <v>10712.131965756755</v>
      </c>
      <c r="AI500" s="100" t="str">
        <f>IF(ISERROR(MATCH(SamplingData[[#This Row],[Batch by Type (p)]],SelectedPrecincts[Batch Name], 0)), "", INDEX(SelectedPrecincts[Draw], MATCH(SamplingData[[#This Row],[Batch by Type (p)]],SelectedPrecincts[Batch Name], 0)))</f>
        <v/>
      </c>
      <c r="AJ500" s="101">
        <f>IF(COUNTIF(SelectedPrecincts[Batch Name],SamplingData[[#This Row],[Batch by Type (p)]]) &lt;&gt; 0, COUNTIF(SelectedPrecincts[Batch Name],SamplingData[[#This Row],[Batch by Type (p)]]), 0)</f>
        <v>0</v>
      </c>
    </row>
    <row r="501" spans="1:36" ht="15" customHeight="1" x14ac:dyDescent="0.35">
      <c r="A501" s="98" t="s">
        <v>712</v>
      </c>
      <c r="B501" s="98">
        <v>10</v>
      </c>
      <c r="C501" s="98">
        <v>0</v>
      </c>
      <c r="D501" s="93"/>
      <c r="E501" s="93"/>
      <c r="F501" s="93"/>
      <c r="G501" s="97"/>
      <c r="H501" s="97"/>
      <c r="I501" s="93"/>
      <c r="J501" s="93"/>
      <c r="K501" s="93"/>
      <c r="L501" s="93"/>
      <c r="M501" s="93"/>
      <c r="N501" s="98">
        <v>0</v>
      </c>
      <c r="O501" s="98">
        <v>0</v>
      </c>
      <c r="P501" s="99">
        <f>SUM(SamplingData[[#This Row],[Winning Candidate]:[Under Votes]])</f>
        <v>10</v>
      </c>
      <c r="Q501"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501" s="100">
        <f>IF(AND(SamplingData[[#This Row],[Total]]&lt;&gt; 0, NOT(ISBLANK(SamplingData[[#This Row],[Candidate 3]]))),(SamplingData[[#This Row],[Total]]+SamplingData[[#This Row],[Winning Candidate]]-SamplingData[[#This Row],[Candidate 3]])/(SamplingData[[#Totals],[Winning Candidate]]-SamplingData[[#Totals],[Candidate 3]]), 0)</f>
        <v>0</v>
      </c>
      <c r="S501" s="100">
        <f>IF(AND(SamplingData[[#This Row],[Total]]&lt;&gt; 0, NOT(ISBLANK(SamplingData[[#This Row],[Candidate 4]]))),(SamplingData[[#This Row],[Total]]+SamplingData[[#This Row],[Winning Candidate]]-SamplingData[[#This Row],[Candidate 4]])/(SamplingData[[#Totals],[Winning Candidate]]-SamplingData[[#Totals],[Candidate 4]]), 0)</f>
        <v>0</v>
      </c>
      <c r="T501" s="100">
        <f>IF(AND(SamplingData[[#This Row],[Total]]&lt;&gt; 0, NOT(ISBLANK(SamplingData[[#This Row],[Candidate 5]]))),(SamplingData[[#This Row],[Total]]+SamplingData[[#This Row],[Winning Candidate]]-SamplingData[[#This Row],[Candidate 5]])/(SamplingData[[#Totals],[Winning Candidate]]-SamplingData[[#Totals],[Candidate 5]]), 0)</f>
        <v>0</v>
      </c>
      <c r="U501" s="100">
        <f>IF(AND(SamplingData[[#This Row],[Total]]&lt;&gt; 0, NOT(ISBLANK(SamplingData[[#This Row],[Candidate 6]]))),(SamplingData[[#This Row],[Total]]+SamplingData[[#This Row],[Losing Candidate]]-SamplingData[[#This Row],[Candidate 6]])/(SamplingData[[#Totals],[Winning Candidate]]-SamplingData[[#Totals],[Candidate 6]]), 0)</f>
        <v>0</v>
      </c>
      <c r="V501" s="100">
        <f>IF(AND(SamplingData[[#This Row],[Total]]&lt;&gt; 0, NOT(ISBLANK(SamplingData[[#This Row],[Candidate 7]]))),(SamplingData[[#This Row],[Total]]+SamplingData[[#This Row],[Winning Candidate]]-SamplingData[[#This Row],[Candidate 7]])/(SamplingData[[#Totals],[Winning Candidate]]-SamplingData[[#Totals],[Candidate 7]]), 0)</f>
        <v>0</v>
      </c>
      <c r="W501" s="100">
        <f>IF(AND(SamplingData[[#This Row],[Total]]&lt;&gt; 0, NOT(ISBLANK(SamplingData[[#This Row],[Candidate 8]]))),(SamplingData[[#This Row],[Total]]+SamplingData[[#This Row],[Winning Candidate]]-SamplingData[[#This Row],[Candidate 8]])/(SamplingData[[#Totals],[Winning Candidate]]-SamplingData[[#Totals],[Candidate 8]]), 0)</f>
        <v>0</v>
      </c>
      <c r="X5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00">
        <f>MAX(SamplingData[[#This Row],[Error Bound (up) - Max. possible relative overstatement - Losing Candidate]:[Error Bound (up) - Max. possible relative overstatement - Candidate 12]])</f>
        <v>6.2819989320601812E-4</v>
      </c>
      <c r="AC501" s="100">
        <f>IF(SamplingData[[#This Row],[Max Error Bound (up)]] = 0,0,SamplingData[[#This Row],[Max Error Bound (up)]]/SamplingData[[#Totals],[Max Error Bound (up)]])</f>
        <v>2.6920799009314607E-4</v>
      </c>
      <c r="AD501" s="104">
        <f>SUM($AC$5:AC501)</f>
        <v>0.10740052764766068</v>
      </c>
      <c r="AE501" s="100" t="str" cm="1">
        <f t="array" ref="AE501">IF(SamplingData[[#This Row],[up/U Selection Probability]] = 0, "Zero", TEXT(SamplingData[[#This Row],[Lower Range]], REPT("0",LEN('General Info'!$B$42))) &amp; " - " &amp; TEXT(SamplingData[[#This Row],[Upper Range]], REPT("0",LEN('General Info'!$B$42))))</f>
        <v>10713 - 10739</v>
      </c>
      <c r="AF501" s="100">
        <f>SamplingData[[#This Row],[Upper Range]]-SamplingData[[#This Row],[Span]]</f>
        <v>10713.131965756755</v>
      </c>
      <c r="AG501" s="100">
        <f>IF(ISNUMBER('General Info'!$B$42), ((SamplingData[[#This Row],[up/U Selection Probability]]) * 'General Info'!$B$44) - 1, 0)</f>
        <v>25.920799009314607</v>
      </c>
      <c r="AH501" s="100">
        <f>IF(ISNUMBER('General Info'!$B$42), (SamplingData[[#This Row],[Running (cumulative) sum]] * ('General Info'!$B$42 -'General Info'!$B$43 + 1)) + 'General Info'!$B$43 - 1, 0)</f>
        <v>10739.052764766069</v>
      </c>
      <c r="AI501" s="100" t="str">
        <f>IF(ISERROR(MATCH(SamplingData[[#This Row],[Batch by Type (p)]],SelectedPrecincts[Batch Name], 0)), "", INDEX(SelectedPrecincts[Draw], MATCH(SamplingData[[#This Row],[Batch by Type (p)]],SelectedPrecincts[Batch Name], 0)))</f>
        <v/>
      </c>
      <c r="AJ501" s="101">
        <f>IF(COUNTIF(SelectedPrecincts[Batch Name],SamplingData[[#This Row],[Batch by Type (p)]]) &lt;&gt; 0, COUNTIF(SelectedPrecincts[Batch Name],SamplingData[[#This Row],[Batch by Type (p)]]), 0)</f>
        <v>0</v>
      </c>
    </row>
    <row r="502" spans="1:36" ht="15" customHeight="1" x14ac:dyDescent="0.35">
      <c r="A502" s="98" t="s">
        <v>713</v>
      </c>
      <c r="B502" s="98">
        <v>9</v>
      </c>
      <c r="C502" s="98">
        <v>1</v>
      </c>
      <c r="D502" s="93"/>
      <c r="E502" s="93"/>
      <c r="F502" s="93"/>
      <c r="G502" s="97"/>
      <c r="H502" s="97"/>
      <c r="I502" s="93"/>
      <c r="J502" s="93"/>
      <c r="K502" s="93"/>
      <c r="L502" s="93"/>
      <c r="M502" s="93"/>
      <c r="N502" s="98">
        <v>0</v>
      </c>
      <c r="O502" s="98">
        <v>0</v>
      </c>
      <c r="P502" s="99">
        <f>SUM(SamplingData[[#This Row],[Winning Candidate]:[Under Votes]])</f>
        <v>10</v>
      </c>
      <c r="Q502"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502" s="100">
        <f>IF(AND(SamplingData[[#This Row],[Total]]&lt;&gt; 0, NOT(ISBLANK(SamplingData[[#This Row],[Candidate 3]]))),(SamplingData[[#This Row],[Total]]+SamplingData[[#This Row],[Winning Candidate]]-SamplingData[[#This Row],[Candidate 3]])/(SamplingData[[#Totals],[Winning Candidate]]-SamplingData[[#Totals],[Candidate 3]]), 0)</f>
        <v>0</v>
      </c>
      <c r="S502" s="100">
        <f>IF(AND(SamplingData[[#This Row],[Total]]&lt;&gt; 0, NOT(ISBLANK(SamplingData[[#This Row],[Candidate 4]]))),(SamplingData[[#This Row],[Total]]+SamplingData[[#This Row],[Winning Candidate]]-SamplingData[[#This Row],[Candidate 4]])/(SamplingData[[#Totals],[Winning Candidate]]-SamplingData[[#Totals],[Candidate 4]]), 0)</f>
        <v>0</v>
      </c>
      <c r="T502" s="100">
        <f>IF(AND(SamplingData[[#This Row],[Total]]&lt;&gt; 0, NOT(ISBLANK(SamplingData[[#This Row],[Candidate 5]]))),(SamplingData[[#This Row],[Total]]+SamplingData[[#This Row],[Winning Candidate]]-SamplingData[[#This Row],[Candidate 5]])/(SamplingData[[#Totals],[Winning Candidate]]-SamplingData[[#Totals],[Candidate 5]]), 0)</f>
        <v>0</v>
      </c>
      <c r="U502" s="100">
        <f>IF(AND(SamplingData[[#This Row],[Total]]&lt;&gt; 0, NOT(ISBLANK(SamplingData[[#This Row],[Candidate 6]]))),(SamplingData[[#This Row],[Total]]+SamplingData[[#This Row],[Losing Candidate]]-SamplingData[[#This Row],[Candidate 6]])/(SamplingData[[#Totals],[Winning Candidate]]-SamplingData[[#Totals],[Candidate 6]]), 0)</f>
        <v>0</v>
      </c>
      <c r="V502" s="100">
        <f>IF(AND(SamplingData[[#This Row],[Total]]&lt;&gt; 0, NOT(ISBLANK(SamplingData[[#This Row],[Candidate 7]]))),(SamplingData[[#This Row],[Total]]+SamplingData[[#This Row],[Winning Candidate]]-SamplingData[[#This Row],[Candidate 7]])/(SamplingData[[#Totals],[Winning Candidate]]-SamplingData[[#Totals],[Candidate 7]]), 0)</f>
        <v>0</v>
      </c>
      <c r="W502" s="100">
        <f>IF(AND(SamplingData[[#This Row],[Total]]&lt;&gt; 0, NOT(ISBLANK(SamplingData[[#This Row],[Candidate 8]]))),(SamplingData[[#This Row],[Total]]+SamplingData[[#This Row],[Winning Candidate]]-SamplingData[[#This Row],[Candidate 8]])/(SamplingData[[#Totals],[Winning Candidate]]-SamplingData[[#Totals],[Candidate 8]]), 0)</f>
        <v>0</v>
      </c>
      <c r="X5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00">
        <f>MAX(SamplingData[[#This Row],[Error Bound (up) - Max. possible relative overstatement - Losing Candidate]:[Error Bound (up) - Max. possible relative overstatement - Candidate 12]])</f>
        <v>5.6537990388541635E-4</v>
      </c>
      <c r="AC502" s="100">
        <f>IF(SamplingData[[#This Row],[Max Error Bound (up)]] = 0,0,SamplingData[[#This Row],[Max Error Bound (up)]]/SamplingData[[#Totals],[Max Error Bound (up)]])</f>
        <v>2.4228719108383145E-4</v>
      </c>
      <c r="AD502" s="104">
        <f>SUM($AC$5:AC502)</f>
        <v>0.10764281483874452</v>
      </c>
      <c r="AE502" s="100" t="str" cm="1">
        <f t="array" ref="AE502">IF(SamplingData[[#This Row],[up/U Selection Probability]] = 0, "Zero", TEXT(SamplingData[[#This Row],[Lower Range]], REPT("0",LEN('General Info'!$B$42))) &amp; " - " &amp; TEXT(SamplingData[[#This Row],[Upper Range]], REPT("0",LEN('General Info'!$B$42))))</f>
        <v>10740 - 10763</v>
      </c>
      <c r="AF502" s="100">
        <f>SamplingData[[#This Row],[Upper Range]]-SamplingData[[#This Row],[Span]]</f>
        <v>10740.052764766069</v>
      </c>
      <c r="AG502" s="100">
        <f>IF(ISNUMBER('General Info'!$B$42), ((SamplingData[[#This Row],[up/U Selection Probability]]) * 'General Info'!$B$44) - 1, 0)</f>
        <v>23.228719108383146</v>
      </c>
      <c r="AH502" s="100">
        <f>IF(ISNUMBER('General Info'!$B$42), (SamplingData[[#This Row],[Running (cumulative) sum]] * ('General Info'!$B$42 -'General Info'!$B$43 + 1)) + 'General Info'!$B$43 - 1, 0)</f>
        <v>10763.281483874453</v>
      </c>
      <c r="AI502" s="100" t="str">
        <f>IF(ISERROR(MATCH(SamplingData[[#This Row],[Batch by Type (p)]],SelectedPrecincts[Batch Name], 0)), "", INDEX(SelectedPrecincts[Draw], MATCH(SamplingData[[#This Row],[Batch by Type (p)]],SelectedPrecincts[Batch Name], 0)))</f>
        <v/>
      </c>
      <c r="AJ502" s="101">
        <f>IF(COUNTIF(SelectedPrecincts[Batch Name],SamplingData[[#This Row],[Batch by Type (p)]]) &lt;&gt; 0, COUNTIF(SelectedPrecincts[Batch Name],SamplingData[[#This Row],[Batch by Type (p)]]), 0)</f>
        <v>0</v>
      </c>
    </row>
    <row r="503" spans="1:36" ht="15" customHeight="1" x14ac:dyDescent="0.35">
      <c r="A503" s="98" t="s">
        <v>714</v>
      </c>
      <c r="B503" s="98">
        <v>1</v>
      </c>
      <c r="C503" s="98">
        <v>0</v>
      </c>
      <c r="D503" s="93"/>
      <c r="E503" s="93"/>
      <c r="F503" s="93"/>
      <c r="G503" s="97"/>
      <c r="H503" s="97"/>
      <c r="I503" s="93"/>
      <c r="J503" s="93"/>
      <c r="K503" s="93"/>
      <c r="L503" s="93"/>
      <c r="M503" s="93"/>
      <c r="N503" s="98">
        <v>0</v>
      </c>
      <c r="O503" s="98">
        <v>0</v>
      </c>
      <c r="P503" s="99">
        <f>SUM(SamplingData[[#This Row],[Winning Candidate]:[Under Votes]])</f>
        <v>1</v>
      </c>
      <c r="Q503"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503" s="100">
        <f>IF(AND(SamplingData[[#This Row],[Total]]&lt;&gt; 0, NOT(ISBLANK(SamplingData[[#This Row],[Candidate 3]]))),(SamplingData[[#This Row],[Total]]+SamplingData[[#This Row],[Winning Candidate]]-SamplingData[[#This Row],[Candidate 3]])/(SamplingData[[#Totals],[Winning Candidate]]-SamplingData[[#Totals],[Candidate 3]]), 0)</f>
        <v>0</v>
      </c>
      <c r="S503" s="100">
        <f>IF(AND(SamplingData[[#This Row],[Total]]&lt;&gt; 0, NOT(ISBLANK(SamplingData[[#This Row],[Candidate 4]]))),(SamplingData[[#This Row],[Total]]+SamplingData[[#This Row],[Winning Candidate]]-SamplingData[[#This Row],[Candidate 4]])/(SamplingData[[#Totals],[Winning Candidate]]-SamplingData[[#Totals],[Candidate 4]]), 0)</f>
        <v>0</v>
      </c>
      <c r="T503" s="100">
        <f>IF(AND(SamplingData[[#This Row],[Total]]&lt;&gt; 0, NOT(ISBLANK(SamplingData[[#This Row],[Candidate 5]]))),(SamplingData[[#This Row],[Total]]+SamplingData[[#This Row],[Winning Candidate]]-SamplingData[[#This Row],[Candidate 5]])/(SamplingData[[#Totals],[Winning Candidate]]-SamplingData[[#Totals],[Candidate 5]]), 0)</f>
        <v>0</v>
      </c>
      <c r="U503" s="100">
        <f>IF(AND(SamplingData[[#This Row],[Total]]&lt;&gt; 0, NOT(ISBLANK(SamplingData[[#This Row],[Candidate 6]]))),(SamplingData[[#This Row],[Total]]+SamplingData[[#This Row],[Losing Candidate]]-SamplingData[[#This Row],[Candidate 6]])/(SamplingData[[#Totals],[Winning Candidate]]-SamplingData[[#Totals],[Candidate 6]]), 0)</f>
        <v>0</v>
      </c>
      <c r="V503" s="100">
        <f>IF(AND(SamplingData[[#This Row],[Total]]&lt;&gt; 0, NOT(ISBLANK(SamplingData[[#This Row],[Candidate 7]]))),(SamplingData[[#This Row],[Total]]+SamplingData[[#This Row],[Winning Candidate]]-SamplingData[[#This Row],[Candidate 7]])/(SamplingData[[#Totals],[Winning Candidate]]-SamplingData[[#Totals],[Candidate 7]]), 0)</f>
        <v>0</v>
      </c>
      <c r="W503" s="100">
        <f>IF(AND(SamplingData[[#This Row],[Total]]&lt;&gt; 0, NOT(ISBLANK(SamplingData[[#This Row],[Candidate 8]]))),(SamplingData[[#This Row],[Total]]+SamplingData[[#This Row],[Winning Candidate]]-SamplingData[[#This Row],[Candidate 8]])/(SamplingData[[#Totals],[Winning Candidate]]-SamplingData[[#Totals],[Candidate 8]]), 0)</f>
        <v>0</v>
      </c>
      <c r="X5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00">
        <f>MAX(SamplingData[[#This Row],[Error Bound (up) - Max. possible relative overstatement - Losing Candidate]:[Error Bound (up) - Max. possible relative overstatement - Candidate 12]])</f>
        <v>6.2819989320601809E-5</v>
      </c>
      <c r="AC503" s="100">
        <f>IF(SamplingData[[#This Row],[Max Error Bound (up)]] = 0,0,SamplingData[[#This Row],[Max Error Bound (up)]]/SamplingData[[#Totals],[Max Error Bound (up)]])</f>
        <v>2.6920799009314603E-5</v>
      </c>
      <c r="AD503" s="104">
        <f>SUM($AC$5:AC503)</f>
        <v>0.10766973563775384</v>
      </c>
      <c r="AE503" s="100" t="str" cm="1">
        <f t="array" ref="AE503">IF(SamplingData[[#This Row],[up/U Selection Probability]] = 0, "Zero", TEXT(SamplingData[[#This Row],[Lower Range]], REPT("0",LEN('General Info'!$B$42))) &amp; " - " &amp; TEXT(SamplingData[[#This Row],[Upper Range]], REPT("0",LEN('General Info'!$B$42))))</f>
        <v>10764 - 10766</v>
      </c>
      <c r="AF503" s="100">
        <f>SamplingData[[#This Row],[Upper Range]]-SamplingData[[#This Row],[Span]]</f>
        <v>10764.281483874453</v>
      </c>
      <c r="AG503" s="100">
        <f>IF(ISNUMBER('General Info'!$B$42), ((SamplingData[[#This Row],[up/U Selection Probability]]) * 'General Info'!$B$44) - 1, 0)</f>
        <v>1.6920799009314602</v>
      </c>
      <c r="AH503" s="100">
        <f>IF(ISNUMBER('General Info'!$B$42), (SamplingData[[#This Row],[Running (cumulative) sum]] * ('General Info'!$B$42 -'General Info'!$B$43 + 1)) + 'General Info'!$B$43 - 1, 0)</f>
        <v>10765.973563775384</v>
      </c>
      <c r="AI503" s="100" t="str">
        <f>IF(ISERROR(MATCH(SamplingData[[#This Row],[Batch by Type (p)]],SelectedPrecincts[Batch Name], 0)), "", INDEX(SelectedPrecincts[Draw], MATCH(SamplingData[[#This Row],[Batch by Type (p)]],SelectedPrecincts[Batch Name], 0)))</f>
        <v/>
      </c>
      <c r="AJ503" s="101">
        <f>IF(COUNTIF(SelectedPrecincts[Batch Name],SamplingData[[#This Row],[Batch by Type (p)]]) &lt;&gt; 0, COUNTIF(SelectedPrecincts[Batch Name],SamplingData[[#This Row],[Batch by Type (p)]]), 0)</f>
        <v>0</v>
      </c>
    </row>
    <row r="504" spans="1:36" ht="15" customHeight="1" x14ac:dyDescent="0.35">
      <c r="A504" s="98" t="s">
        <v>715</v>
      </c>
      <c r="B504" s="98">
        <v>9</v>
      </c>
      <c r="C504" s="98">
        <v>0</v>
      </c>
      <c r="D504" s="93"/>
      <c r="E504" s="93"/>
      <c r="F504" s="93"/>
      <c r="G504" s="97"/>
      <c r="H504" s="97"/>
      <c r="I504" s="93"/>
      <c r="J504" s="93"/>
      <c r="K504" s="93"/>
      <c r="L504" s="93"/>
      <c r="M504" s="93"/>
      <c r="N504" s="98">
        <v>0</v>
      </c>
      <c r="O504" s="98">
        <v>0</v>
      </c>
      <c r="P504" s="99">
        <f>SUM(SamplingData[[#This Row],[Winning Candidate]:[Under Votes]])</f>
        <v>9</v>
      </c>
      <c r="Q504"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504" s="100">
        <f>IF(AND(SamplingData[[#This Row],[Total]]&lt;&gt; 0, NOT(ISBLANK(SamplingData[[#This Row],[Candidate 3]]))),(SamplingData[[#This Row],[Total]]+SamplingData[[#This Row],[Winning Candidate]]-SamplingData[[#This Row],[Candidate 3]])/(SamplingData[[#Totals],[Winning Candidate]]-SamplingData[[#Totals],[Candidate 3]]), 0)</f>
        <v>0</v>
      </c>
      <c r="S504" s="100">
        <f>IF(AND(SamplingData[[#This Row],[Total]]&lt;&gt; 0, NOT(ISBLANK(SamplingData[[#This Row],[Candidate 4]]))),(SamplingData[[#This Row],[Total]]+SamplingData[[#This Row],[Winning Candidate]]-SamplingData[[#This Row],[Candidate 4]])/(SamplingData[[#Totals],[Winning Candidate]]-SamplingData[[#Totals],[Candidate 4]]), 0)</f>
        <v>0</v>
      </c>
      <c r="T504" s="100">
        <f>IF(AND(SamplingData[[#This Row],[Total]]&lt;&gt; 0, NOT(ISBLANK(SamplingData[[#This Row],[Candidate 5]]))),(SamplingData[[#This Row],[Total]]+SamplingData[[#This Row],[Winning Candidate]]-SamplingData[[#This Row],[Candidate 5]])/(SamplingData[[#Totals],[Winning Candidate]]-SamplingData[[#Totals],[Candidate 5]]), 0)</f>
        <v>0</v>
      </c>
      <c r="U504" s="100">
        <f>IF(AND(SamplingData[[#This Row],[Total]]&lt;&gt; 0, NOT(ISBLANK(SamplingData[[#This Row],[Candidate 6]]))),(SamplingData[[#This Row],[Total]]+SamplingData[[#This Row],[Losing Candidate]]-SamplingData[[#This Row],[Candidate 6]])/(SamplingData[[#Totals],[Winning Candidate]]-SamplingData[[#Totals],[Candidate 6]]), 0)</f>
        <v>0</v>
      </c>
      <c r="V504" s="100">
        <f>IF(AND(SamplingData[[#This Row],[Total]]&lt;&gt; 0, NOT(ISBLANK(SamplingData[[#This Row],[Candidate 7]]))),(SamplingData[[#This Row],[Total]]+SamplingData[[#This Row],[Winning Candidate]]-SamplingData[[#This Row],[Candidate 7]])/(SamplingData[[#Totals],[Winning Candidate]]-SamplingData[[#Totals],[Candidate 7]]), 0)</f>
        <v>0</v>
      </c>
      <c r="W504" s="100">
        <f>IF(AND(SamplingData[[#This Row],[Total]]&lt;&gt; 0, NOT(ISBLANK(SamplingData[[#This Row],[Candidate 8]]))),(SamplingData[[#This Row],[Total]]+SamplingData[[#This Row],[Winning Candidate]]-SamplingData[[#This Row],[Candidate 8]])/(SamplingData[[#Totals],[Winning Candidate]]-SamplingData[[#Totals],[Candidate 8]]), 0)</f>
        <v>0</v>
      </c>
      <c r="X5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00">
        <f>MAX(SamplingData[[#This Row],[Error Bound (up) - Max. possible relative overstatement - Losing Candidate]:[Error Bound (up) - Max. possible relative overstatement - Candidate 12]])</f>
        <v>5.6537990388541635E-4</v>
      </c>
      <c r="AC504" s="100">
        <f>IF(SamplingData[[#This Row],[Max Error Bound (up)]] = 0,0,SamplingData[[#This Row],[Max Error Bound (up)]]/SamplingData[[#Totals],[Max Error Bound (up)]])</f>
        <v>2.4228719108383145E-4</v>
      </c>
      <c r="AD504" s="104">
        <f>SUM($AC$5:AC504)</f>
        <v>0.10791202282883768</v>
      </c>
      <c r="AE504" s="100" t="str" cm="1">
        <f t="array" ref="AE504">IF(SamplingData[[#This Row],[up/U Selection Probability]] = 0, "Zero", TEXT(SamplingData[[#This Row],[Lower Range]], REPT("0",LEN('General Info'!$B$42))) &amp; " - " &amp; TEXT(SamplingData[[#This Row],[Upper Range]], REPT("0",LEN('General Info'!$B$42))))</f>
        <v>10767 - 10790</v>
      </c>
      <c r="AF504" s="100">
        <f>SamplingData[[#This Row],[Upper Range]]-SamplingData[[#This Row],[Span]]</f>
        <v>10766.973563775384</v>
      </c>
      <c r="AG504" s="100">
        <f>IF(ISNUMBER('General Info'!$B$42), ((SamplingData[[#This Row],[up/U Selection Probability]]) * 'General Info'!$B$44) - 1, 0)</f>
        <v>23.228719108383146</v>
      </c>
      <c r="AH504" s="100">
        <f>IF(ISNUMBER('General Info'!$B$42), (SamplingData[[#This Row],[Running (cumulative) sum]] * ('General Info'!$B$42 -'General Info'!$B$43 + 1)) + 'General Info'!$B$43 - 1, 0)</f>
        <v>10790.202282883767</v>
      </c>
      <c r="AI504" s="100" t="str">
        <f>IF(ISERROR(MATCH(SamplingData[[#This Row],[Batch by Type (p)]],SelectedPrecincts[Batch Name], 0)), "", INDEX(SelectedPrecincts[Draw], MATCH(SamplingData[[#This Row],[Batch by Type (p)]],SelectedPrecincts[Batch Name], 0)))</f>
        <v/>
      </c>
      <c r="AJ504" s="101">
        <f>IF(COUNTIF(SelectedPrecincts[Batch Name],SamplingData[[#This Row],[Batch by Type (p)]]) &lt;&gt; 0, COUNTIF(SelectedPrecincts[Batch Name],SamplingData[[#This Row],[Batch by Type (p)]]), 0)</f>
        <v>0</v>
      </c>
    </row>
    <row r="505" spans="1:36" ht="15" customHeight="1" x14ac:dyDescent="0.35">
      <c r="A505" s="98" t="s">
        <v>716</v>
      </c>
      <c r="B505" s="98">
        <v>0</v>
      </c>
      <c r="C505" s="98">
        <v>1</v>
      </c>
      <c r="D505" s="93"/>
      <c r="E505" s="93"/>
      <c r="F505" s="93"/>
      <c r="G505" s="97"/>
      <c r="H505" s="97"/>
      <c r="I505" s="93"/>
      <c r="J505" s="93"/>
      <c r="K505" s="93"/>
      <c r="L505" s="93"/>
      <c r="M505" s="93"/>
      <c r="N505" s="98">
        <v>0</v>
      </c>
      <c r="O505" s="98">
        <v>0</v>
      </c>
      <c r="P505" s="99">
        <f>SUM(SamplingData[[#This Row],[Winning Candidate]:[Under Votes]])</f>
        <v>1</v>
      </c>
      <c r="Q505" s="100">
        <f>IF(AND(SamplingData[[#This Row],[Total]]&lt;&gt; 0, NOT(ISBLANK(SamplingData[[#This Row],[Losing Candidate]]))),(SamplingData[[#This Row],[Total]]+SamplingData[[#This Row],[Winning Candidate]]-SamplingData[[#This Row],[Losing Candidate]])/(SamplingData[[#Totals],[Winning Candidate]]-SamplingData[[#Totals],[Losing Candidate]]), 0)</f>
        <v>0</v>
      </c>
      <c r="R505" s="100">
        <f>IF(AND(SamplingData[[#This Row],[Total]]&lt;&gt; 0, NOT(ISBLANK(SamplingData[[#This Row],[Candidate 3]]))),(SamplingData[[#This Row],[Total]]+SamplingData[[#This Row],[Winning Candidate]]-SamplingData[[#This Row],[Candidate 3]])/(SamplingData[[#Totals],[Winning Candidate]]-SamplingData[[#Totals],[Candidate 3]]), 0)</f>
        <v>0</v>
      </c>
      <c r="S505" s="100">
        <f>IF(AND(SamplingData[[#This Row],[Total]]&lt;&gt; 0, NOT(ISBLANK(SamplingData[[#This Row],[Candidate 4]]))),(SamplingData[[#This Row],[Total]]+SamplingData[[#This Row],[Winning Candidate]]-SamplingData[[#This Row],[Candidate 4]])/(SamplingData[[#Totals],[Winning Candidate]]-SamplingData[[#Totals],[Candidate 4]]), 0)</f>
        <v>0</v>
      </c>
      <c r="T505" s="100">
        <f>IF(AND(SamplingData[[#This Row],[Total]]&lt;&gt; 0, NOT(ISBLANK(SamplingData[[#This Row],[Candidate 5]]))),(SamplingData[[#This Row],[Total]]+SamplingData[[#This Row],[Winning Candidate]]-SamplingData[[#This Row],[Candidate 5]])/(SamplingData[[#Totals],[Winning Candidate]]-SamplingData[[#Totals],[Candidate 5]]), 0)</f>
        <v>0</v>
      </c>
      <c r="U505" s="100">
        <f>IF(AND(SamplingData[[#This Row],[Total]]&lt;&gt; 0, NOT(ISBLANK(SamplingData[[#This Row],[Candidate 6]]))),(SamplingData[[#This Row],[Total]]+SamplingData[[#This Row],[Losing Candidate]]-SamplingData[[#This Row],[Candidate 6]])/(SamplingData[[#Totals],[Winning Candidate]]-SamplingData[[#Totals],[Candidate 6]]), 0)</f>
        <v>0</v>
      </c>
      <c r="V505" s="100">
        <f>IF(AND(SamplingData[[#This Row],[Total]]&lt;&gt; 0, NOT(ISBLANK(SamplingData[[#This Row],[Candidate 7]]))),(SamplingData[[#This Row],[Total]]+SamplingData[[#This Row],[Winning Candidate]]-SamplingData[[#This Row],[Candidate 7]])/(SamplingData[[#Totals],[Winning Candidate]]-SamplingData[[#Totals],[Candidate 7]]), 0)</f>
        <v>0</v>
      </c>
      <c r="W505" s="100">
        <f>IF(AND(SamplingData[[#This Row],[Total]]&lt;&gt; 0, NOT(ISBLANK(SamplingData[[#This Row],[Candidate 8]]))),(SamplingData[[#This Row],[Total]]+SamplingData[[#This Row],[Winning Candidate]]-SamplingData[[#This Row],[Candidate 8]])/(SamplingData[[#Totals],[Winning Candidate]]-SamplingData[[#Totals],[Candidate 8]]), 0)</f>
        <v>0</v>
      </c>
      <c r="X5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00">
        <f>MAX(SamplingData[[#This Row],[Error Bound (up) - Max. possible relative overstatement - Losing Candidate]:[Error Bound (up) - Max. possible relative overstatement - Candidate 12]])</f>
        <v>0</v>
      </c>
      <c r="AC505" s="100">
        <f>IF(SamplingData[[#This Row],[Max Error Bound (up)]] = 0,0,SamplingData[[#This Row],[Max Error Bound (up)]]/SamplingData[[#Totals],[Max Error Bound (up)]])</f>
        <v>0</v>
      </c>
      <c r="AD505" s="104">
        <f>SUM($AC$5:AC505)</f>
        <v>0.10791202282883768</v>
      </c>
      <c r="AE505" s="100" t="str" cm="1">
        <f t="array" ref="AE505">IF(SamplingData[[#This Row],[up/U Selection Probability]] = 0, "Zero", TEXT(SamplingData[[#This Row],[Lower Range]], REPT("0",LEN('General Info'!$B$42))) &amp; " - " &amp; TEXT(SamplingData[[#This Row],[Upper Range]], REPT("0",LEN('General Info'!$B$42))))</f>
        <v>Zero</v>
      </c>
      <c r="AF505" s="100">
        <f>SamplingData[[#This Row],[Upper Range]]-SamplingData[[#This Row],[Span]]</f>
        <v>10791.202282883767</v>
      </c>
      <c r="AG505" s="100">
        <f>IF(ISNUMBER('General Info'!$B$42), ((SamplingData[[#This Row],[up/U Selection Probability]]) * 'General Info'!$B$44) - 1, 0)</f>
        <v>-1</v>
      </c>
      <c r="AH505" s="100">
        <f>IF(ISNUMBER('General Info'!$B$42), (SamplingData[[#This Row],[Running (cumulative) sum]] * ('General Info'!$B$42 -'General Info'!$B$43 + 1)) + 'General Info'!$B$43 - 1, 0)</f>
        <v>10790.202282883767</v>
      </c>
      <c r="AI505" s="100" t="str">
        <f>IF(ISERROR(MATCH(SamplingData[[#This Row],[Batch by Type (p)]],SelectedPrecincts[Batch Name], 0)), "", INDEX(SelectedPrecincts[Draw], MATCH(SamplingData[[#This Row],[Batch by Type (p)]],SelectedPrecincts[Batch Name], 0)))</f>
        <v/>
      </c>
      <c r="AJ505" s="101">
        <f>IF(COUNTIF(SelectedPrecincts[Batch Name],SamplingData[[#This Row],[Batch by Type (p)]]) &lt;&gt; 0, COUNTIF(SelectedPrecincts[Batch Name],SamplingData[[#This Row],[Batch by Type (p)]]), 0)</f>
        <v>0</v>
      </c>
    </row>
    <row r="506" spans="1:36" ht="15" customHeight="1" x14ac:dyDescent="0.35">
      <c r="A506" s="98" t="s">
        <v>717</v>
      </c>
      <c r="B506" s="98">
        <v>6</v>
      </c>
      <c r="C506" s="98">
        <v>1</v>
      </c>
      <c r="D506" s="93"/>
      <c r="E506" s="93"/>
      <c r="F506" s="93"/>
      <c r="G506" s="97"/>
      <c r="H506" s="97"/>
      <c r="I506" s="93"/>
      <c r="J506" s="93"/>
      <c r="K506" s="93"/>
      <c r="L506" s="93"/>
      <c r="M506" s="93"/>
      <c r="N506" s="98">
        <v>0</v>
      </c>
      <c r="O506" s="98">
        <v>0</v>
      </c>
      <c r="P506" s="99">
        <f>SUM(SamplingData[[#This Row],[Winning Candidate]:[Under Votes]])</f>
        <v>7</v>
      </c>
      <c r="Q50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506" s="100">
        <f>IF(AND(SamplingData[[#This Row],[Total]]&lt;&gt; 0, NOT(ISBLANK(SamplingData[[#This Row],[Candidate 3]]))),(SamplingData[[#This Row],[Total]]+SamplingData[[#This Row],[Winning Candidate]]-SamplingData[[#This Row],[Candidate 3]])/(SamplingData[[#Totals],[Winning Candidate]]-SamplingData[[#Totals],[Candidate 3]]), 0)</f>
        <v>0</v>
      </c>
      <c r="S506" s="100">
        <f>IF(AND(SamplingData[[#This Row],[Total]]&lt;&gt; 0, NOT(ISBLANK(SamplingData[[#This Row],[Candidate 4]]))),(SamplingData[[#This Row],[Total]]+SamplingData[[#This Row],[Winning Candidate]]-SamplingData[[#This Row],[Candidate 4]])/(SamplingData[[#Totals],[Winning Candidate]]-SamplingData[[#Totals],[Candidate 4]]), 0)</f>
        <v>0</v>
      </c>
      <c r="T506" s="100">
        <f>IF(AND(SamplingData[[#This Row],[Total]]&lt;&gt; 0, NOT(ISBLANK(SamplingData[[#This Row],[Candidate 5]]))),(SamplingData[[#This Row],[Total]]+SamplingData[[#This Row],[Winning Candidate]]-SamplingData[[#This Row],[Candidate 5]])/(SamplingData[[#Totals],[Winning Candidate]]-SamplingData[[#Totals],[Candidate 5]]), 0)</f>
        <v>0</v>
      </c>
      <c r="U506" s="100">
        <f>IF(AND(SamplingData[[#This Row],[Total]]&lt;&gt; 0, NOT(ISBLANK(SamplingData[[#This Row],[Candidate 6]]))),(SamplingData[[#This Row],[Total]]+SamplingData[[#This Row],[Losing Candidate]]-SamplingData[[#This Row],[Candidate 6]])/(SamplingData[[#Totals],[Winning Candidate]]-SamplingData[[#Totals],[Candidate 6]]), 0)</f>
        <v>0</v>
      </c>
      <c r="V506" s="100">
        <f>IF(AND(SamplingData[[#This Row],[Total]]&lt;&gt; 0, NOT(ISBLANK(SamplingData[[#This Row],[Candidate 7]]))),(SamplingData[[#This Row],[Total]]+SamplingData[[#This Row],[Winning Candidate]]-SamplingData[[#This Row],[Candidate 7]])/(SamplingData[[#Totals],[Winning Candidate]]-SamplingData[[#Totals],[Candidate 7]]), 0)</f>
        <v>0</v>
      </c>
      <c r="W506" s="100">
        <f>IF(AND(SamplingData[[#This Row],[Total]]&lt;&gt; 0, NOT(ISBLANK(SamplingData[[#This Row],[Candidate 8]]))),(SamplingData[[#This Row],[Total]]+SamplingData[[#This Row],[Winning Candidate]]-SamplingData[[#This Row],[Candidate 8]])/(SamplingData[[#Totals],[Winning Candidate]]-SamplingData[[#Totals],[Candidate 8]]), 0)</f>
        <v>0</v>
      </c>
      <c r="X5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00">
        <f>MAX(SamplingData[[#This Row],[Error Bound (up) - Max. possible relative overstatement - Losing Candidate]:[Error Bound (up) - Max. possible relative overstatement - Candidate 12]])</f>
        <v>3.7691993592361088E-4</v>
      </c>
      <c r="AC506" s="100">
        <f>IF(SamplingData[[#This Row],[Max Error Bound (up)]] = 0,0,SamplingData[[#This Row],[Max Error Bound (up)]]/SamplingData[[#Totals],[Max Error Bound (up)]])</f>
        <v>1.6152479405588763E-4</v>
      </c>
      <c r="AD506" s="104">
        <f>SUM($AC$5:AC506)</f>
        <v>0.10807354762289356</v>
      </c>
      <c r="AE506" s="100" t="str" cm="1">
        <f t="array" ref="AE506">IF(SamplingData[[#This Row],[up/U Selection Probability]] = 0, "Zero", TEXT(SamplingData[[#This Row],[Lower Range]], REPT("0",LEN('General Info'!$B$42))) &amp; " - " &amp; TEXT(SamplingData[[#This Row],[Upper Range]], REPT("0",LEN('General Info'!$B$42))))</f>
        <v>10791 - 10806</v>
      </c>
      <c r="AF506" s="100">
        <f>SamplingData[[#This Row],[Upper Range]]-SamplingData[[#This Row],[Span]]</f>
        <v>10791.202282883767</v>
      </c>
      <c r="AG506" s="100">
        <f>IF(ISNUMBER('General Info'!$B$42), ((SamplingData[[#This Row],[up/U Selection Probability]]) * 'General Info'!$B$44) - 1, 0)</f>
        <v>15.152479405588764</v>
      </c>
      <c r="AH506" s="100">
        <f>IF(ISNUMBER('General Info'!$B$42), (SamplingData[[#This Row],[Running (cumulative) sum]] * ('General Info'!$B$42 -'General Info'!$B$43 + 1)) + 'General Info'!$B$43 - 1, 0)</f>
        <v>10806.354762289357</v>
      </c>
      <c r="AI506" s="100" t="str">
        <f>IF(ISERROR(MATCH(SamplingData[[#This Row],[Batch by Type (p)]],SelectedPrecincts[Batch Name], 0)), "", INDEX(SelectedPrecincts[Draw], MATCH(SamplingData[[#This Row],[Batch by Type (p)]],SelectedPrecincts[Batch Name], 0)))</f>
        <v/>
      </c>
      <c r="AJ506" s="101">
        <f>IF(COUNTIF(SelectedPrecincts[Batch Name],SamplingData[[#This Row],[Batch by Type (p)]]) &lt;&gt; 0, COUNTIF(SelectedPrecincts[Batch Name],SamplingData[[#This Row],[Batch by Type (p)]]), 0)</f>
        <v>0</v>
      </c>
    </row>
    <row r="507" spans="1:36" ht="15" customHeight="1" x14ac:dyDescent="0.35">
      <c r="A507" s="98" t="s">
        <v>718</v>
      </c>
      <c r="B507" s="98">
        <v>2</v>
      </c>
      <c r="C507" s="98">
        <v>0</v>
      </c>
      <c r="D507" s="93"/>
      <c r="E507" s="93"/>
      <c r="F507" s="93"/>
      <c r="G507" s="97"/>
      <c r="H507" s="97"/>
      <c r="I507" s="93"/>
      <c r="J507" s="93"/>
      <c r="K507" s="93"/>
      <c r="L507" s="93"/>
      <c r="M507" s="93"/>
      <c r="N507" s="98">
        <v>0</v>
      </c>
      <c r="O507" s="98">
        <v>0</v>
      </c>
      <c r="P507" s="99">
        <f>SUM(SamplingData[[#This Row],[Winning Candidate]:[Under Votes]])</f>
        <v>2</v>
      </c>
      <c r="Q507"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07" s="100">
        <f>IF(AND(SamplingData[[#This Row],[Total]]&lt;&gt; 0, NOT(ISBLANK(SamplingData[[#This Row],[Candidate 3]]))),(SamplingData[[#This Row],[Total]]+SamplingData[[#This Row],[Winning Candidate]]-SamplingData[[#This Row],[Candidate 3]])/(SamplingData[[#Totals],[Winning Candidate]]-SamplingData[[#Totals],[Candidate 3]]), 0)</f>
        <v>0</v>
      </c>
      <c r="S507" s="100">
        <f>IF(AND(SamplingData[[#This Row],[Total]]&lt;&gt; 0, NOT(ISBLANK(SamplingData[[#This Row],[Candidate 4]]))),(SamplingData[[#This Row],[Total]]+SamplingData[[#This Row],[Winning Candidate]]-SamplingData[[#This Row],[Candidate 4]])/(SamplingData[[#Totals],[Winning Candidate]]-SamplingData[[#Totals],[Candidate 4]]), 0)</f>
        <v>0</v>
      </c>
      <c r="T507" s="100">
        <f>IF(AND(SamplingData[[#This Row],[Total]]&lt;&gt; 0, NOT(ISBLANK(SamplingData[[#This Row],[Candidate 5]]))),(SamplingData[[#This Row],[Total]]+SamplingData[[#This Row],[Winning Candidate]]-SamplingData[[#This Row],[Candidate 5]])/(SamplingData[[#Totals],[Winning Candidate]]-SamplingData[[#Totals],[Candidate 5]]), 0)</f>
        <v>0</v>
      </c>
      <c r="U507" s="100">
        <f>IF(AND(SamplingData[[#This Row],[Total]]&lt;&gt; 0, NOT(ISBLANK(SamplingData[[#This Row],[Candidate 6]]))),(SamplingData[[#This Row],[Total]]+SamplingData[[#This Row],[Losing Candidate]]-SamplingData[[#This Row],[Candidate 6]])/(SamplingData[[#Totals],[Winning Candidate]]-SamplingData[[#Totals],[Candidate 6]]), 0)</f>
        <v>0</v>
      </c>
      <c r="V507" s="100">
        <f>IF(AND(SamplingData[[#This Row],[Total]]&lt;&gt; 0, NOT(ISBLANK(SamplingData[[#This Row],[Candidate 7]]))),(SamplingData[[#This Row],[Total]]+SamplingData[[#This Row],[Winning Candidate]]-SamplingData[[#This Row],[Candidate 7]])/(SamplingData[[#Totals],[Winning Candidate]]-SamplingData[[#Totals],[Candidate 7]]), 0)</f>
        <v>0</v>
      </c>
      <c r="W507" s="100">
        <f>IF(AND(SamplingData[[#This Row],[Total]]&lt;&gt; 0, NOT(ISBLANK(SamplingData[[#This Row],[Candidate 8]]))),(SamplingData[[#This Row],[Total]]+SamplingData[[#This Row],[Winning Candidate]]-SamplingData[[#This Row],[Candidate 8]])/(SamplingData[[#Totals],[Winning Candidate]]-SamplingData[[#Totals],[Candidate 8]]), 0)</f>
        <v>0</v>
      </c>
      <c r="X5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00">
        <f>MAX(SamplingData[[#This Row],[Error Bound (up) - Max. possible relative overstatement - Losing Candidate]:[Error Bound (up) - Max. possible relative overstatement - Candidate 12]])</f>
        <v>1.2563997864120362E-4</v>
      </c>
      <c r="AC507" s="100">
        <f>IF(SamplingData[[#This Row],[Max Error Bound (up)]] = 0,0,SamplingData[[#This Row],[Max Error Bound (up)]]/SamplingData[[#Totals],[Max Error Bound (up)]])</f>
        <v>5.3841598018629206E-5</v>
      </c>
      <c r="AD507" s="104">
        <f>SUM($AC$5:AC507)</f>
        <v>0.1081273892209122</v>
      </c>
      <c r="AE507" s="100" t="str" cm="1">
        <f t="array" ref="AE507">IF(SamplingData[[#This Row],[up/U Selection Probability]] = 0, "Zero", TEXT(SamplingData[[#This Row],[Lower Range]], REPT("0",LEN('General Info'!$B$42))) &amp; " - " &amp; TEXT(SamplingData[[#This Row],[Upper Range]], REPT("0",LEN('General Info'!$B$42))))</f>
        <v>10807 - 10812</v>
      </c>
      <c r="AF507" s="100">
        <f>SamplingData[[#This Row],[Upper Range]]-SamplingData[[#This Row],[Span]]</f>
        <v>10807.354762289357</v>
      </c>
      <c r="AG507" s="100">
        <f>IF(ISNUMBER('General Info'!$B$42), ((SamplingData[[#This Row],[up/U Selection Probability]]) * 'General Info'!$B$44) - 1, 0)</f>
        <v>4.3841598018629204</v>
      </c>
      <c r="AH507" s="100">
        <f>IF(ISNUMBER('General Info'!$B$42), (SamplingData[[#This Row],[Running (cumulative) sum]] * ('General Info'!$B$42 -'General Info'!$B$43 + 1)) + 'General Info'!$B$43 - 1, 0)</f>
        <v>10811.738922091219</v>
      </c>
      <c r="AI507" s="100" t="str">
        <f>IF(ISERROR(MATCH(SamplingData[[#This Row],[Batch by Type (p)]],SelectedPrecincts[Batch Name], 0)), "", INDEX(SelectedPrecincts[Draw], MATCH(SamplingData[[#This Row],[Batch by Type (p)]],SelectedPrecincts[Batch Name], 0)))</f>
        <v/>
      </c>
      <c r="AJ507" s="101">
        <f>IF(COUNTIF(SelectedPrecincts[Batch Name],SamplingData[[#This Row],[Batch by Type (p)]]) &lt;&gt; 0, COUNTIF(SelectedPrecincts[Batch Name],SamplingData[[#This Row],[Batch by Type (p)]]), 0)</f>
        <v>0</v>
      </c>
    </row>
    <row r="508" spans="1:36" ht="15" customHeight="1" x14ac:dyDescent="0.35">
      <c r="A508" s="98" t="s">
        <v>719</v>
      </c>
      <c r="B508" s="98">
        <v>2</v>
      </c>
      <c r="C508" s="98">
        <v>0</v>
      </c>
      <c r="D508" s="93"/>
      <c r="E508" s="93"/>
      <c r="F508" s="93"/>
      <c r="G508" s="97"/>
      <c r="H508" s="97"/>
      <c r="I508" s="93"/>
      <c r="J508" s="93"/>
      <c r="K508" s="93"/>
      <c r="L508" s="93"/>
      <c r="M508" s="93"/>
      <c r="N508" s="98">
        <v>0</v>
      </c>
      <c r="O508" s="98">
        <v>0</v>
      </c>
      <c r="P508" s="99">
        <f>SUM(SamplingData[[#This Row],[Winning Candidate]:[Under Votes]])</f>
        <v>2</v>
      </c>
      <c r="Q508"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08" s="100">
        <f>IF(AND(SamplingData[[#This Row],[Total]]&lt;&gt; 0, NOT(ISBLANK(SamplingData[[#This Row],[Candidate 3]]))),(SamplingData[[#This Row],[Total]]+SamplingData[[#This Row],[Winning Candidate]]-SamplingData[[#This Row],[Candidate 3]])/(SamplingData[[#Totals],[Winning Candidate]]-SamplingData[[#Totals],[Candidate 3]]), 0)</f>
        <v>0</v>
      </c>
      <c r="S508" s="100">
        <f>IF(AND(SamplingData[[#This Row],[Total]]&lt;&gt; 0, NOT(ISBLANK(SamplingData[[#This Row],[Candidate 4]]))),(SamplingData[[#This Row],[Total]]+SamplingData[[#This Row],[Winning Candidate]]-SamplingData[[#This Row],[Candidate 4]])/(SamplingData[[#Totals],[Winning Candidate]]-SamplingData[[#Totals],[Candidate 4]]), 0)</f>
        <v>0</v>
      </c>
      <c r="T508" s="100">
        <f>IF(AND(SamplingData[[#This Row],[Total]]&lt;&gt; 0, NOT(ISBLANK(SamplingData[[#This Row],[Candidate 5]]))),(SamplingData[[#This Row],[Total]]+SamplingData[[#This Row],[Winning Candidate]]-SamplingData[[#This Row],[Candidate 5]])/(SamplingData[[#Totals],[Winning Candidate]]-SamplingData[[#Totals],[Candidate 5]]), 0)</f>
        <v>0</v>
      </c>
      <c r="U508" s="100">
        <f>IF(AND(SamplingData[[#This Row],[Total]]&lt;&gt; 0, NOT(ISBLANK(SamplingData[[#This Row],[Candidate 6]]))),(SamplingData[[#This Row],[Total]]+SamplingData[[#This Row],[Losing Candidate]]-SamplingData[[#This Row],[Candidate 6]])/(SamplingData[[#Totals],[Winning Candidate]]-SamplingData[[#Totals],[Candidate 6]]), 0)</f>
        <v>0</v>
      </c>
      <c r="V508" s="100">
        <f>IF(AND(SamplingData[[#This Row],[Total]]&lt;&gt; 0, NOT(ISBLANK(SamplingData[[#This Row],[Candidate 7]]))),(SamplingData[[#This Row],[Total]]+SamplingData[[#This Row],[Winning Candidate]]-SamplingData[[#This Row],[Candidate 7]])/(SamplingData[[#Totals],[Winning Candidate]]-SamplingData[[#Totals],[Candidate 7]]), 0)</f>
        <v>0</v>
      </c>
      <c r="W508" s="100">
        <f>IF(AND(SamplingData[[#This Row],[Total]]&lt;&gt; 0, NOT(ISBLANK(SamplingData[[#This Row],[Candidate 8]]))),(SamplingData[[#This Row],[Total]]+SamplingData[[#This Row],[Winning Candidate]]-SamplingData[[#This Row],[Candidate 8]])/(SamplingData[[#Totals],[Winning Candidate]]-SamplingData[[#Totals],[Candidate 8]]), 0)</f>
        <v>0</v>
      </c>
      <c r="X5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00">
        <f>MAX(SamplingData[[#This Row],[Error Bound (up) - Max. possible relative overstatement - Losing Candidate]:[Error Bound (up) - Max. possible relative overstatement - Candidate 12]])</f>
        <v>1.2563997864120362E-4</v>
      </c>
      <c r="AC508" s="100">
        <f>IF(SamplingData[[#This Row],[Max Error Bound (up)]] = 0,0,SamplingData[[#This Row],[Max Error Bound (up)]]/SamplingData[[#Totals],[Max Error Bound (up)]])</f>
        <v>5.3841598018629206E-5</v>
      </c>
      <c r="AD508" s="104">
        <f>SUM($AC$5:AC508)</f>
        <v>0.10818123081893083</v>
      </c>
      <c r="AE508" s="100" t="str" cm="1">
        <f t="array" ref="AE508">IF(SamplingData[[#This Row],[up/U Selection Probability]] = 0, "Zero", TEXT(SamplingData[[#This Row],[Lower Range]], REPT("0",LEN('General Info'!$B$42))) &amp; " - " &amp; TEXT(SamplingData[[#This Row],[Upper Range]], REPT("0",LEN('General Info'!$B$42))))</f>
        <v>10813 - 10817</v>
      </c>
      <c r="AF508" s="100">
        <f>SamplingData[[#This Row],[Upper Range]]-SamplingData[[#This Row],[Span]]</f>
        <v>10812.738922091221</v>
      </c>
      <c r="AG508" s="100">
        <f>IF(ISNUMBER('General Info'!$B$42), ((SamplingData[[#This Row],[up/U Selection Probability]]) * 'General Info'!$B$44) - 1, 0)</f>
        <v>4.3841598018629204</v>
      </c>
      <c r="AH508" s="100">
        <f>IF(ISNUMBER('General Info'!$B$42), (SamplingData[[#This Row],[Running (cumulative) sum]] * ('General Info'!$B$42 -'General Info'!$B$43 + 1)) + 'General Info'!$B$43 - 1, 0)</f>
        <v>10817.123081893084</v>
      </c>
      <c r="AI508" s="100" t="str">
        <f>IF(ISERROR(MATCH(SamplingData[[#This Row],[Batch by Type (p)]],SelectedPrecincts[Batch Name], 0)), "", INDEX(SelectedPrecincts[Draw], MATCH(SamplingData[[#This Row],[Batch by Type (p)]],SelectedPrecincts[Batch Name], 0)))</f>
        <v/>
      </c>
      <c r="AJ508" s="101">
        <f>IF(COUNTIF(SelectedPrecincts[Batch Name],SamplingData[[#This Row],[Batch by Type (p)]]) &lt;&gt; 0, COUNTIF(SelectedPrecincts[Batch Name],SamplingData[[#This Row],[Batch by Type (p)]]), 0)</f>
        <v>0</v>
      </c>
    </row>
    <row r="509" spans="1:36" ht="15" customHeight="1" x14ac:dyDescent="0.35">
      <c r="A509" s="98" t="s">
        <v>720</v>
      </c>
      <c r="B509" s="98">
        <v>11</v>
      </c>
      <c r="C509" s="98">
        <v>0</v>
      </c>
      <c r="D509" s="93"/>
      <c r="E509" s="93"/>
      <c r="F509" s="93"/>
      <c r="G509" s="97"/>
      <c r="H509" s="97"/>
      <c r="I509" s="93"/>
      <c r="J509" s="93"/>
      <c r="K509" s="93"/>
      <c r="L509" s="93"/>
      <c r="M509" s="93"/>
      <c r="N509" s="98">
        <v>0</v>
      </c>
      <c r="O509" s="98">
        <v>1</v>
      </c>
      <c r="P509" s="99">
        <f>SUM(SamplingData[[#This Row],[Winning Candidate]:[Under Votes]])</f>
        <v>12</v>
      </c>
      <c r="Q509" s="100">
        <f>IF(AND(SamplingData[[#This Row],[Total]]&lt;&gt; 0, NOT(ISBLANK(SamplingData[[#This Row],[Losing Candidate]]))),(SamplingData[[#This Row],[Total]]+SamplingData[[#This Row],[Winning Candidate]]-SamplingData[[#This Row],[Losing Candidate]])/(SamplingData[[#Totals],[Winning Candidate]]-SamplingData[[#Totals],[Losing Candidate]]), 0)</f>
        <v>7.2242987718692088E-4</v>
      </c>
      <c r="R509" s="100">
        <f>IF(AND(SamplingData[[#This Row],[Total]]&lt;&gt; 0, NOT(ISBLANK(SamplingData[[#This Row],[Candidate 3]]))),(SamplingData[[#This Row],[Total]]+SamplingData[[#This Row],[Winning Candidate]]-SamplingData[[#This Row],[Candidate 3]])/(SamplingData[[#Totals],[Winning Candidate]]-SamplingData[[#Totals],[Candidate 3]]), 0)</f>
        <v>0</v>
      </c>
      <c r="S509" s="100">
        <f>IF(AND(SamplingData[[#This Row],[Total]]&lt;&gt; 0, NOT(ISBLANK(SamplingData[[#This Row],[Candidate 4]]))),(SamplingData[[#This Row],[Total]]+SamplingData[[#This Row],[Winning Candidate]]-SamplingData[[#This Row],[Candidate 4]])/(SamplingData[[#Totals],[Winning Candidate]]-SamplingData[[#Totals],[Candidate 4]]), 0)</f>
        <v>0</v>
      </c>
      <c r="T509" s="100">
        <f>IF(AND(SamplingData[[#This Row],[Total]]&lt;&gt; 0, NOT(ISBLANK(SamplingData[[#This Row],[Candidate 5]]))),(SamplingData[[#This Row],[Total]]+SamplingData[[#This Row],[Winning Candidate]]-SamplingData[[#This Row],[Candidate 5]])/(SamplingData[[#Totals],[Winning Candidate]]-SamplingData[[#Totals],[Candidate 5]]), 0)</f>
        <v>0</v>
      </c>
      <c r="U509" s="100">
        <f>IF(AND(SamplingData[[#This Row],[Total]]&lt;&gt; 0, NOT(ISBLANK(SamplingData[[#This Row],[Candidate 6]]))),(SamplingData[[#This Row],[Total]]+SamplingData[[#This Row],[Losing Candidate]]-SamplingData[[#This Row],[Candidate 6]])/(SamplingData[[#Totals],[Winning Candidate]]-SamplingData[[#Totals],[Candidate 6]]), 0)</f>
        <v>0</v>
      </c>
      <c r="V509" s="100">
        <f>IF(AND(SamplingData[[#This Row],[Total]]&lt;&gt; 0, NOT(ISBLANK(SamplingData[[#This Row],[Candidate 7]]))),(SamplingData[[#This Row],[Total]]+SamplingData[[#This Row],[Winning Candidate]]-SamplingData[[#This Row],[Candidate 7]])/(SamplingData[[#Totals],[Winning Candidate]]-SamplingData[[#Totals],[Candidate 7]]), 0)</f>
        <v>0</v>
      </c>
      <c r="W509" s="100">
        <f>IF(AND(SamplingData[[#This Row],[Total]]&lt;&gt; 0, NOT(ISBLANK(SamplingData[[#This Row],[Candidate 8]]))),(SamplingData[[#This Row],[Total]]+SamplingData[[#This Row],[Winning Candidate]]-SamplingData[[#This Row],[Candidate 8]])/(SamplingData[[#Totals],[Winning Candidate]]-SamplingData[[#Totals],[Candidate 8]]), 0)</f>
        <v>0</v>
      </c>
      <c r="X5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00">
        <f>MAX(SamplingData[[#This Row],[Error Bound (up) - Max. possible relative overstatement - Losing Candidate]:[Error Bound (up) - Max. possible relative overstatement - Candidate 12]])</f>
        <v>7.2242987718692088E-4</v>
      </c>
      <c r="AC509" s="100">
        <f>IF(SamplingData[[#This Row],[Max Error Bound (up)]] = 0,0,SamplingData[[#This Row],[Max Error Bound (up)]]/SamplingData[[#Totals],[Max Error Bound (up)]])</f>
        <v>3.0958918860711797E-4</v>
      </c>
      <c r="AD509" s="104">
        <f>SUM($AC$5:AC509)</f>
        <v>0.10849082000753794</v>
      </c>
      <c r="AE509" s="100" t="str" cm="1">
        <f t="array" ref="AE509">IF(SamplingData[[#This Row],[up/U Selection Probability]] = 0, "Zero", TEXT(SamplingData[[#This Row],[Lower Range]], REPT("0",LEN('General Info'!$B$42))) &amp; " - " &amp; TEXT(SamplingData[[#This Row],[Upper Range]], REPT("0",LEN('General Info'!$B$42))))</f>
        <v>10818 - 10848</v>
      </c>
      <c r="AF509" s="100">
        <f>SamplingData[[#This Row],[Upper Range]]-SamplingData[[#This Row],[Span]]</f>
        <v>10818.123081893084</v>
      </c>
      <c r="AG509" s="100">
        <f>IF(ISNUMBER('General Info'!$B$42), ((SamplingData[[#This Row],[up/U Selection Probability]]) * 'General Info'!$B$44) - 1, 0)</f>
        <v>29.958918860711798</v>
      </c>
      <c r="AH509" s="100">
        <f>IF(ISNUMBER('General Info'!$B$42), (SamplingData[[#This Row],[Running (cumulative) sum]] * ('General Info'!$B$42 -'General Info'!$B$43 + 1)) + 'General Info'!$B$43 - 1, 0)</f>
        <v>10848.082000753795</v>
      </c>
      <c r="AI509" s="100" t="str">
        <f>IF(ISERROR(MATCH(SamplingData[[#This Row],[Batch by Type (p)]],SelectedPrecincts[Batch Name], 0)), "", INDEX(SelectedPrecincts[Draw], MATCH(SamplingData[[#This Row],[Batch by Type (p)]],SelectedPrecincts[Batch Name], 0)))</f>
        <v/>
      </c>
      <c r="AJ509" s="101">
        <f>IF(COUNTIF(SelectedPrecincts[Batch Name],SamplingData[[#This Row],[Batch by Type (p)]]) &lt;&gt; 0, COUNTIF(SelectedPrecincts[Batch Name],SamplingData[[#This Row],[Batch by Type (p)]]), 0)</f>
        <v>0</v>
      </c>
    </row>
    <row r="510" spans="1:36" ht="15" customHeight="1" x14ac:dyDescent="0.35">
      <c r="A510" s="98" t="s">
        <v>721</v>
      </c>
      <c r="B510" s="98">
        <v>9</v>
      </c>
      <c r="C510" s="98">
        <v>0</v>
      </c>
      <c r="D510" s="93"/>
      <c r="E510" s="93"/>
      <c r="F510" s="93"/>
      <c r="G510" s="97"/>
      <c r="H510" s="97"/>
      <c r="I510" s="93"/>
      <c r="J510" s="93"/>
      <c r="K510" s="93"/>
      <c r="L510" s="93"/>
      <c r="M510" s="93"/>
      <c r="N510" s="98">
        <v>0</v>
      </c>
      <c r="O510" s="98">
        <v>0</v>
      </c>
      <c r="P510" s="99">
        <f>SUM(SamplingData[[#This Row],[Winning Candidate]:[Under Votes]])</f>
        <v>9</v>
      </c>
      <c r="Q510"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510" s="100">
        <f>IF(AND(SamplingData[[#This Row],[Total]]&lt;&gt; 0, NOT(ISBLANK(SamplingData[[#This Row],[Candidate 3]]))),(SamplingData[[#This Row],[Total]]+SamplingData[[#This Row],[Winning Candidate]]-SamplingData[[#This Row],[Candidate 3]])/(SamplingData[[#Totals],[Winning Candidate]]-SamplingData[[#Totals],[Candidate 3]]), 0)</f>
        <v>0</v>
      </c>
      <c r="S510" s="100">
        <f>IF(AND(SamplingData[[#This Row],[Total]]&lt;&gt; 0, NOT(ISBLANK(SamplingData[[#This Row],[Candidate 4]]))),(SamplingData[[#This Row],[Total]]+SamplingData[[#This Row],[Winning Candidate]]-SamplingData[[#This Row],[Candidate 4]])/(SamplingData[[#Totals],[Winning Candidate]]-SamplingData[[#Totals],[Candidate 4]]), 0)</f>
        <v>0</v>
      </c>
      <c r="T510" s="100">
        <f>IF(AND(SamplingData[[#This Row],[Total]]&lt;&gt; 0, NOT(ISBLANK(SamplingData[[#This Row],[Candidate 5]]))),(SamplingData[[#This Row],[Total]]+SamplingData[[#This Row],[Winning Candidate]]-SamplingData[[#This Row],[Candidate 5]])/(SamplingData[[#Totals],[Winning Candidate]]-SamplingData[[#Totals],[Candidate 5]]), 0)</f>
        <v>0</v>
      </c>
      <c r="U510" s="100">
        <f>IF(AND(SamplingData[[#This Row],[Total]]&lt;&gt; 0, NOT(ISBLANK(SamplingData[[#This Row],[Candidate 6]]))),(SamplingData[[#This Row],[Total]]+SamplingData[[#This Row],[Losing Candidate]]-SamplingData[[#This Row],[Candidate 6]])/(SamplingData[[#Totals],[Winning Candidate]]-SamplingData[[#Totals],[Candidate 6]]), 0)</f>
        <v>0</v>
      </c>
      <c r="V510" s="100">
        <f>IF(AND(SamplingData[[#This Row],[Total]]&lt;&gt; 0, NOT(ISBLANK(SamplingData[[#This Row],[Candidate 7]]))),(SamplingData[[#This Row],[Total]]+SamplingData[[#This Row],[Winning Candidate]]-SamplingData[[#This Row],[Candidate 7]])/(SamplingData[[#Totals],[Winning Candidate]]-SamplingData[[#Totals],[Candidate 7]]), 0)</f>
        <v>0</v>
      </c>
      <c r="W510" s="100">
        <f>IF(AND(SamplingData[[#This Row],[Total]]&lt;&gt; 0, NOT(ISBLANK(SamplingData[[#This Row],[Candidate 8]]))),(SamplingData[[#This Row],[Total]]+SamplingData[[#This Row],[Winning Candidate]]-SamplingData[[#This Row],[Candidate 8]])/(SamplingData[[#Totals],[Winning Candidate]]-SamplingData[[#Totals],[Candidate 8]]), 0)</f>
        <v>0</v>
      </c>
      <c r="X5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00">
        <f>MAX(SamplingData[[#This Row],[Error Bound (up) - Max. possible relative overstatement - Losing Candidate]:[Error Bound (up) - Max. possible relative overstatement - Candidate 12]])</f>
        <v>5.6537990388541635E-4</v>
      </c>
      <c r="AC510" s="100">
        <f>IF(SamplingData[[#This Row],[Max Error Bound (up)]] = 0,0,SamplingData[[#This Row],[Max Error Bound (up)]]/SamplingData[[#Totals],[Max Error Bound (up)]])</f>
        <v>2.4228719108383145E-4</v>
      </c>
      <c r="AD510" s="104">
        <f>SUM($AC$5:AC510)</f>
        <v>0.10873310719862178</v>
      </c>
      <c r="AE510" s="100" t="str" cm="1">
        <f t="array" ref="AE510">IF(SamplingData[[#This Row],[up/U Selection Probability]] = 0, "Zero", TEXT(SamplingData[[#This Row],[Lower Range]], REPT("0",LEN('General Info'!$B$42))) &amp; " - " &amp; TEXT(SamplingData[[#This Row],[Upper Range]], REPT("0",LEN('General Info'!$B$42))))</f>
        <v>10849 - 10872</v>
      </c>
      <c r="AF510" s="100">
        <f>SamplingData[[#This Row],[Upper Range]]-SamplingData[[#This Row],[Span]]</f>
        <v>10849.082000753795</v>
      </c>
      <c r="AG510" s="100">
        <f>IF(ISNUMBER('General Info'!$B$42), ((SamplingData[[#This Row],[up/U Selection Probability]]) * 'General Info'!$B$44) - 1, 0)</f>
        <v>23.228719108383146</v>
      </c>
      <c r="AH510" s="100">
        <f>IF(ISNUMBER('General Info'!$B$42), (SamplingData[[#This Row],[Running (cumulative) sum]] * ('General Info'!$B$42 -'General Info'!$B$43 + 1)) + 'General Info'!$B$43 - 1, 0)</f>
        <v>10872.310719862178</v>
      </c>
      <c r="AI510" s="100" t="str">
        <f>IF(ISERROR(MATCH(SamplingData[[#This Row],[Batch by Type (p)]],SelectedPrecincts[Batch Name], 0)), "", INDEX(SelectedPrecincts[Draw], MATCH(SamplingData[[#This Row],[Batch by Type (p)]],SelectedPrecincts[Batch Name], 0)))</f>
        <v/>
      </c>
      <c r="AJ510" s="101">
        <f>IF(COUNTIF(SelectedPrecincts[Batch Name],SamplingData[[#This Row],[Batch by Type (p)]]) &lt;&gt; 0, COUNTIF(SelectedPrecincts[Batch Name],SamplingData[[#This Row],[Batch by Type (p)]]), 0)</f>
        <v>0</v>
      </c>
    </row>
    <row r="511" spans="1:36" ht="15" customHeight="1" x14ac:dyDescent="0.35">
      <c r="A511" s="98" t="s">
        <v>722</v>
      </c>
      <c r="B511" s="98">
        <v>1</v>
      </c>
      <c r="C511" s="98">
        <v>1</v>
      </c>
      <c r="D511" s="93"/>
      <c r="E511" s="93"/>
      <c r="F511" s="93"/>
      <c r="G511" s="97"/>
      <c r="H511" s="97"/>
      <c r="I511" s="93"/>
      <c r="J511" s="93"/>
      <c r="K511" s="93"/>
      <c r="L511" s="93"/>
      <c r="M511" s="93"/>
      <c r="N511" s="98">
        <v>0</v>
      </c>
      <c r="O511" s="98">
        <v>0</v>
      </c>
      <c r="P511" s="99">
        <f>SUM(SamplingData[[#This Row],[Winning Candidate]:[Under Votes]])</f>
        <v>2</v>
      </c>
      <c r="Q511"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511" s="100">
        <f>IF(AND(SamplingData[[#This Row],[Total]]&lt;&gt; 0, NOT(ISBLANK(SamplingData[[#This Row],[Candidate 3]]))),(SamplingData[[#This Row],[Total]]+SamplingData[[#This Row],[Winning Candidate]]-SamplingData[[#This Row],[Candidate 3]])/(SamplingData[[#Totals],[Winning Candidate]]-SamplingData[[#Totals],[Candidate 3]]), 0)</f>
        <v>0</v>
      </c>
      <c r="S511" s="100">
        <f>IF(AND(SamplingData[[#This Row],[Total]]&lt;&gt; 0, NOT(ISBLANK(SamplingData[[#This Row],[Candidate 4]]))),(SamplingData[[#This Row],[Total]]+SamplingData[[#This Row],[Winning Candidate]]-SamplingData[[#This Row],[Candidate 4]])/(SamplingData[[#Totals],[Winning Candidate]]-SamplingData[[#Totals],[Candidate 4]]), 0)</f>
        <v>0</v>
      </c>
      <c r="T511" s="100">
        <f>IF(AND(SamplingData[[#This Row],[Total]]&lt;&gt; 0, NOT(ISBLANK(SamplingData[[#This Row],[Candidate 5]]))),(SamplingData[[#This Row],[Total]]+SamplingData[[#This Row],[Winning Candidate]]-SamplingData[[#This Row],[Candidate 5]])/(SamplingData[[#Totals],[Winning Candidate]]-SamplingData[[#Totals],[Candidate 5]]), 0)</f>
        <v>0</v>
      </c>
      <c r="U511" s="100">
        <f>IF(AND(SamplingData[[#This Row],[Total]]&lt;&gt; 0, NOT(ISBLANK(SamplingData[[#This Row],[Candidate 6]]))),(SamplingData[[#This Row],[Total]]+SamplingData[[#This Row],[Losing Candidate]]-SamplingData[[#This Row],[Candidate 6]])/(SamplingData[[#Totals],[Winning Candidate]]-SamplingData[[#Totals],[Candidate 6]]), 0)</f>
        <v>0</v>
      </c>
      <c r="V511" s="100">
        <f>IF(AND(SamplingData[[#This Row],[Total]]&lt;&gt; 0, NOT(ISBLANK(SamplingData[[#This Row],[Candidate 7]]))),(SamplingData[[#This Row],[Total]]+SamplingData[[#This Row],[Winning Candidate]]-SamplingData[[#This Row],[Candidate 7]])/(SamplingData[[#Totals],[Winning Candidate]]-SamplingData[[#Totals],[Candidate 7]]), 0)</f>
        <v>0</v>
      </c>
      <c r="W511" s="100">
        <f>IF(AND(SamplingData[[#This Row],[Total]]&lt;&gt; 0, NOT(ISBLANK(SamplingData[[#This Row],[Candidate 8]]))),(SamplingData[[#This Row],[Total]]+SamplingData[[#This Row],[Winning Candidate]]-SamplingData[[#This Row],[Candidate 8]])/(SamplingData[[#Totals],[Winning Candidate]]-SamplingData[[#Totals],[Candidate 8]]), 0)</f>
        <v>0</v>
      </c>
      <c r="X5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00">
        <f>MAX(SamplingData[[#This Row],[Error Bound (up) - Max. possible relative overstatement - Losing Candidate]:[Error Bound (up) - Max. possible relative overstatement - Candidate 12]])</f>
        <v>6.2819989320601809E-5</v>
      </c>
      <c r="AC511" s="100">
        <f>IF(SamplingData[[#This Row],[Max Error Bound (up)]] = 0,0,SamplingData[[#This Row],[Max Error Bound (up)]]/SamplingData[[#Totals],[Max Error Bound (up)]])</f>
        <v>2.6920799009314603E-5</v>
      </c>
      <c r="AD511" s="104">
        <f>SUM($AC$5:AC511)</f>
        <v>0.1087600279976311</v>
      </c>
      <c r="AE511" s="100" t="str" cm="1">
        <f t="array" ref="AE511">IF(SamplingData[[#This Row],[up/U Selection Probability]] = 0, "Zero", TEXT(SamplingData[[#This Row],[Lower Range]], REPT("0",LEN('General Info'!$B$42))) &amp; " - " &amp; TEXT(SamplingData[[#This Row],[Upper Range]], REPT("0",LEN('General Info'!$B$42))))</f>
        <v>10873 - 10875</v>
      </c>
      <c r="AF511" s="100">
        <f>SamplingData[[#This Row],[Upper Range]]-SamplingData[[#This Row],[Span]]</f>
        <v>10873.310719862178</v>
      </c>
      <c r="AG511" s="100">
        <f>IF(ISNUMBER('General Info'!$B$42), ((SamplingData[[#This Row],[up/U Selection Probability]]) * 'General Info'!$B$44) - 1, 0)</f>
        <v>1.6920799009314602</v>
      </c>
      <c r="AH511" s="100">
        <f>IF(ISNUMBER('General Info'!$B$42), (SamplingData[[#This Row],[Running (cumulative) sum]] * ('General Info'!$B$42 -'General Info'!$B$43 + 1)) + 'General Info'!$B$43 - 1, 0)</f>
        <v>10875.00279976311</v>
      </c>
      <c r="AI511" s="100" t="str">
        <f>IF(ISERROR(MATCH(SamplingData[[#This Row],[Batch by Type (p)]],SelectedPrecincts[Batch Name], 0)), "", INDEX(SelectedPrecincts[Draw], MATCH(SamplingData[[#This Row],[Batch by Type (p)]],SelectedPrecincts[Batch Name], 0)))</f>
        <v/>
      </c>
      <c r="AJ511" s="101">
        <f>IF(COUNTIF(SelectedPrecincts[Batch Name],SamplingData[[#This Row],[Batch by Type (p)]]) &lt;&gt; 0, COUNTIF(SelectedPrecincts[Batch Name],SamplingData[[#This Row],[Batch by Type (p)]]), 0)</f>
        <v>0</v>
      </c>
    </row>
    <row r="512" spans="1:36" ht="15" customHeight="1" x14ac:dyDescent="0.35">
      <c r="A512" s="98" t="s">
        <v>723</v>
      </c>
      <c r="B512" s="98">
        <v>8</v>
      </c>
      <c r="C512" s="98">
        <v>1</v>
      </c>
      <c r="D512" s="93"/>
      <c r="E512" s="93"/>
      <c r="F512" s="93"/>
      <c r="G512" s="97"/>
      <c r="H512" s="97"/>
      <c r="I512" s="93"/>
      <c r="J512" s="93"/>
      <c r="K512" s="93"/>
      <c r="L512" s="93"/>
      <c r="M512" s="93"/>
      <c r="N512" s="98">
        <v>0</v>
      </c>
      <c r="O512" s="98">
        <v>0</v>
      </c>
      <c r="P512" s="99">
        <f>SUM(SamplingData[[#This Row],[Winning Candidate]:[Under Votes]])</f>
        <v>9</v>
      </c>
      <c r="Q512"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512" s="100">
        <f>IF(AND(SamplingData[[#This Row],[Total]]&lt;&gt; 0, NOT(ISBLANK(SamplingData[[#This Row],[Candidate 3]]))),(SamplingData[[#This Row],[Total]]+SamplingData[[#This Row],[Winning Candidate]]-SamplingData[[#This Row],[Candidate 3]])/(SamplingData[[#Totals],[Winning Candidate]]-SamplingData[[#Totals],[Candidate 3]]), 0)</f>
        <v>0</v>
      </c>
      <c r="S512" s="100">
        <f>IF(AND(SamplingData[[#This Row],[Total]]&lt;&gt; 0, NOT(ISBLANK(SamplingData[[#This Row],[Candidate 4]]))),(SamplingData[[#This Row],[Total]]+SamplingData[[#This Row],[Winning Candidate]]-SamplingData[[#This Row],[Candidate 4]])/(SamplingData[[#Totals],[Winning Candidate]]-SamplingData[[#Totals],[Candidate 4]]), 0)</f>
        <v>0</v>
      </c>
      <c r="T512" s="100">
        <f>IF(AND(SamplingData[[#This Row],[Total]]&lt;&gt; 0, NOT(ISBLANK(SamplingData[[#This Row],[Candidate 5]]))),(SamplingData[[#This Row],[Total]]+SamplingData[[#This Row],[Winning Candidate]]-SamplingData[[#This Row],[Candidate 5]])/(SamplingData[[#Totals],[Winning Candidate]]-SamplingData[[#Totals],[Candidate 5]]), 0)</f>
        <v>0</v>
      </c>
      <c r="U512" s="100">
        <f>IF(AND(SamplingData[[#This Row],[Total]]&lt;&gt; 0, NOT(ISBLANK(SamplingData[[#This Row],[Candidate 6]]))),(SamplingData[[#This Row],[Total]]+SamplingData[[#This Row],[Losing Candidate]]-SamplingData[[#This Row],[Candidate 6]])/(SamplingData[[#Totals],[Winning Candidate]]-SamplingData[[#Totals],[Candidate 6]]), 0)</f>
        <v>0</v>
      </c>
      <c r="V512" s="100">
        <f>IF(AND(SamplingData[[#This Row],[Total]]&lt;&gt; 0, NOT(ISBLANK(SamplingData[[#This Row],[Candidate 7]]))),(SamplingData[[#This Row],[Total]]+SamplingData[[#This Row],[Winning Candidate]]-SamplingData[[#This Row],[Candidate 7]])/(SamplingData[[#Totals],[Winning Candidate]]-SamplingData[[#Totals],[Candidate 7]]), 0)</f>
        <v>0</v>
      </c>
      <c r="W512" s="100">
        <f>IF(AND(SamplingData[[#This Row],[Total]]&lt;&gt; 0, NOT(ISBLANK(SamplingData[[#This Row],[Candidate 8]]))),(SamplingData[[#This Row],[Total]]+SamplingData[[#This Row],[Winning Candidate]]-SamplingData[[#This Row],[Candidate 8]])/(SamplingData[[#Totals],[Winning Candidate]]-SamplingData[[#Totals],[Candidate 8]]), 0)</f>
        <v>0</v>
      </c>
      <c r="X5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00">
        <f>MAX(SamplingData[[#This Row],[Error Bound (up) - Max. possible relative overstatement - Losing Candidate]:[Error Bound (up) - Max. possible relative overstatement - Candidate 12]])</f>
        <v>5.0255991456481448E-4</v>
      </c>
      <c r="AC512" s="100">
        <f>IF(SamplingData[[#This Row],[Max Error Bound (up)]] = 0,0,SamplingData[[#This Row],[Max Error Bound (up)]]/SamplingData[[#Totals],[Max Error Bound (up)]])</f>
        <v>2.1536639207451683E-4</v>
      </c>
      <c r="AD512" s="104">
        <f>SUM($AC$5:AC512)</f>
        <v>0.10897539438970562</v>
      </c>
      <c r="AE512" s="100" t="str" cm="1">
        <f t="array" ref="AE512">IF(SamplingData[[#This Row],[up/U Selection Probability]] = 0, "Zero", TEXT(SamplingData[[#This Row],[Lower Range]], REPT("0",LEN('General Info'!$B$42))) &amp; " - " &amp; TEXT(SamplingData[[#This Row],[Upper Range]], REPT("0",LEN('General Info'!$B$42))))</f>
        <v>10876 - 10897</v>
      </c>
      <c r="AF512" s="100">
        <f>SamplingData[[#This Row],[Upper Range]]-SamplingData[[#This Row],[Span]]</f>
        <v>10876.00279976311</v>
      </c>
      <c r="AG512" s="100">
        <f>IF(ISNUMBER('General Info'!$B$42), ((SamplingData[[#This Row],[up/U Selection Probability]]) * 'General Info'!$B$44) - 1, 0)</f>
        <v>20.536639207451682</v>
      </c>
      <c r="AH512" s="100">
        <f>IF(ISNUMBER('General Info'!$B$42), (SamplingData[[#This Row],[Running (cumulative) sum]] * ('General Info'!$B$42 -'General Info'!$B$43 + 1)) + 'General Info'!$B$43 - 1, 0)</f>
        <v>10896.539438970562</v>
      </c>
      <c r="AI512" s="100" t="str">
        <f>IF(ISERROR(MATCH(SamplingData[[#This Row],[Batch by Type (p)]],SelectedPrecincts[Batch Name], 0)), "", INDEX(SelectedPrecincts[Draw], MATCH(SamplingData[[#This Row],[Batch by Type (p)]],SelectedPrecincts[Batch Name], 0)))</f>
        <v/>
      </c>
      <c r="AJ512" s="101">
        <f>IF(COUNTIF(SelectedPrecincts[Batch Name],SamplingData[[#This Row],[Batch by Type (p)]]) &lt;&gt; 0, COUNTIF(SelectedPrecincts[Batch Name],SamplingData[[#This Row],[Batch by Type (p)]]), 0)</f>
        <v>0</v>
      </c>
    </row>
    <row r="513" spans="1:36" ht="15" customHeight="1" x14ac:dyDescent="0.35">
      <c r="A513" s="98" t="s">
        <v>724</v>
      </c>
      <c r="B513" s="98">
        <v>2</v>
      </c>
      <c r="C513" s="98">
        <v>2</v>
      </c>
      <c r="D513" s="93"/>
      <c r="E513" s="93"/>
      <c r="F513" s="93"/>
      <c r="G513" s="97"/>
      <c r="H513" s="97"/>
      <c r="I513" s="93"/>
      <c r="J513" s="93"/>
      <c r="K513" s="93"/>
      <c r="L513" s="93"/>
      <c r="M513" s="93"/>
      <c r="N513" s="98">
        <v>0</v>
      </c>
      <c r="O513" s="98">
        <v>0</v>
      </c>
      <c r="P513" s="99">
        <f>SUM(SamplingData[[#This Row],[Winning Candidate]:[Under Votes]])</f>
        <v>4</v>
      </c>
      <c r="Q51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13" s="100">
        <f>IF(AND(SamplingData[[#This Row],[Total]]&lt;&gt; 0, NOT(ISBLANK(SamplingData[[#This Row],[Candidate 3]]))),(SamplingData[[#This Row],[Total]]+SamplingData[[#This Row],[Winning Candidate]]-SamplingData[[#This Row],[Candidate 3]])/(SamplingData[[#Totals],[Winning Candidate]]-SamplingData[[#Totals],[Candidate 3]]), 0)</f>
        <v>0</v>
      </c>
      <c r="S513" s="100">
        <f>IF(AND(SamplingData[[#This Row],[Total]]&lt;&gt; 0, NOT(ISBLANK(SamplingData[[#This Row],[Candidate 4]]))),(SamplingData[[#This Row],[Total]]+SamplingData[[#This Row],[Winning Candidate]]-SamplingData[[#This Row],[Candidate 4]])/(SamplingData[[#Totals],[Winning Candidate]]-SamplingData[[#Totals],[Candidate 4]]), 0)</f>
        <v>0</v>
      </c>
      <c r="T513" s="100">
        <f>IF(AND(SamplingData[[#This Row],[Total]]&lt;&gt; 0, NOT(ISBLANK(SamplingData[[#This Row],[Candidate 5]]))),(SamplingData[[#This Row],[Total]]+SamplingData[[#This Row],[Winning Candidate]]-SamplingData[[#This Row],[Candidate 5]])/(SamplingData[[#Totals],[Winning Candidate]]-SamplingData[[#Totals],[Candidate 5]]), 0)</f>
        <v>0</v>
      </c>
      <c r="U513" s="100">
        <f>IF(AND(SamplingData[[#This Row],[Total]]&lt;&gt; 0, NOT(ISBLANK(SamplingData[[#This Row],[Candidate 6]]))),(SamplingData[[#This Row],[Total]]+SamplingData[[#This Row],[Losing Candidate]]-SamplingData[[#This Row],[Candidate 6]])/(SamplingData[[#Totals],[Winning Candidate]]-SamplingData[[#Totals],[Candidate 6]]), 0)</f>
        <v>0</v>
      </c>
      <c r="V513" s="100">
        <f>IF(AND(SamplingData[[#This Row],[Total]]&lt;&gt; 0, NOT(ISBLANK(SamplingData[[#This Row],[Candidate 7]]))),(SamplingData[[#This Row],[Total]]+SamplingData[[#This Row],[Winning Candidate]]-SamplingData[[#This Row],[Candidate 7]])/(SamplingData[[#Totals],[Winning Candidate]]-SamplingData[[#Totals],[Candidate 7]]), 0)</f>
        <v>0</v>
      </c>
      <c r="W513" s="100">
        <f>IF(AND(SamplingData[[#This Row],[Total]]&lt;&gt; 0, NOT(ISBLANK(SamplingData[[#This Row],[Candidate 8]]))),(SamplingData[[#This Row],[Total]]+SamplingData[[#This Row],[Winning Candidate]]-SamplingData[[#This Row],[Candidate 8]])/(SamplingData[[#Totals],[Winning Candidate]]-SamplingData[[#Totals],[Candidate 8]]), 0)</f>
        <v>0</v>
      </c>
      <c r="X5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00">
        <f>MAX(SamplingData[[#This Row],[Error Bound (up) - Max. possible relative overstatement - Losing Candidate]:[Error Bound (up) - Max. possible relative overstatement - Candidate 12]])</f>
        <v>1.2563997864120362E-4</v>
      </c>
      <c r="AC513" s="100">
        <f>IF(SamplingData[[#This Row],[Max Error Bound (up)]] = 0,0,SamplingData[[#This Row],[Max Error Bound (up)]]/SamplingData[[#Totals],[Max Error Bound (up)]])</f>
        <v>5.3841598018629206E-5</v>
      </c>
      <c r="AD513" s="104">
        <f>SUM($AC$5:AC513)</f>
        <v>0.10902923598772425</v>
      </c>
      <c r="AE513" s="100" t="str" cm="1">
        <f t="array" ref="AE513">IF(SamplingData[[#This Row],[up/U Selection Probability]] = 0, "Zero", TEXT(SamplingData[[#This Row],[Lower Range]], REPT("0",LEN('General Info'!$B$42))) &amp; " - " &amp; TEXT(SamplingData[[#This Row],[Upper Range]], REPT("0",LEN('General Info'!$B$42))))</f>
        <v>10898 - 10902</v>
      </c>
      <c r="AF513" s="100">
        <f>SamplingData[[#This Row],[Upper Range]]-SamplingData[[#This Row],[Span]]</f>
        <v>10897.539438970563</v>
      </c>
      <c r="AG513" s="100">
        <f>IF(ISNUMBER('General Info'!$B$42), ((SamplingData[[#This Row],[up/U Selection Probability]]) * 'General Info'!$B$44) - 1, 0)</f>
        <v>4.3841598018629204</v>
      </c>
      <c r="AH513" s="100">
        <f>IF(ISNUMBER('General Info'!$B$42), (SamplingData[[#This Row],[Running (cumulative) sum]] * ('General Info'!$B$42 -'General Info'!$B$43 + 1)) + 'General Info'!$B$43 - 1, 0)</f>
        <v>10901.923598772426</v>
      </c>
      <c r="AI513" s="100" t="str">
        <f>IF(ISERROR(MATCH(SamplingData[[#This Row],[Batch by Type (p)]],SelectedPrecincts[Batch Name], 0)), "", INDEX(SelectedPrecincts[Draw], MATCH(SamplingData[[#This Row],[Batch by Type (p)]],SelectedPrecincts[Batch Name], 0)))</f>
        <v/>
      </c>
      <c r="AJ513" s="101">
        <f>IF(COUNTIF(SelectedPrecincts[Batch Name],SamplingData[[#This Row],[Batch by Type (p)]]) &lt;&gt; 0, COUNTIF(SelectedPrecincts[Batch Name],SamplingData[[#This Row],[Batch by Type (p)]]), 0)</f>
        <v>0</v>
      </c>
    </row>
    <row r="514" spans="1:36" ht="15" customHeight="1" x14ac:dyDescent="0.35">
      <c r="A514" s="98" t="s">
        <v>725</v>
      </c>
      <c r="B514" s="98">
        <v>21</v>
      </c>
      <c r="C514" s="98">
        <v>0</v>
      </c>
      <c r="D514" s="93"/>
      <c r="E514" s="93"/>
      <c r="F514" s="93"/>
      <c r="G514" s="97"/>
      <c r="H514" s="97"/>
      <c r="I514" s="93"/>
      <c r="J514" s="93"/>
      <c r="K514" s="93"/>
      <c r="L514" s="93"/>
      <c r="M514" s="93"/>
      <c r="N514" s="98">
        <v>0</v>
      </c>
      <c r="O514" s="98">
        <v>0</v>
      </c>
      <c r="P514" s="99">
        <f>SUM(SamplingData[[#This Row],[Winning Candidate]:[Under Votes]])</f>
        <v>21</v>
      </c>
      <c r="Q514"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514" s="100">
        <f>IF(AND(SamplingData[[#This Row],[Total]]&lt;&gt; 0, NOT(ISBLANK(SamplingData[[#This Row],[Candidate 3]]))),(SamplingData[[#This Row],[Total]]+SamplingData[[#This Row],[Winning Candidate]]-SamplingData[[#This Row],[Candidate 3]])/(SamplingData[[#Totals],[Winning Candidate]]-SamplingData[[#Totals],[Candidate 3]]), 0)</f>
        <v>0</v>
      </c>
      <c r="S514" s="100">
        <f>IF(AND(SamplingData[[#This Row],[Total]]&lt;&gt; 0, NOT(ISBLANK(SamplingData[[#This Row],[Candidate 4]]))),(SamplingData[[#This Row],[Total]]+SamplingData[[#This Row],[Winning Candidate]]-SamplingData[[#This Row],[Candidate 4]])/(SamplingData[[#Totals],[Winning Candidate]]-SamplingData[[#Totals],[Candidate 4]]), 0)</f>
        <v>0</v>
      </c>
      <c r="T514" s="100">
        <f>IF(AND(SamplingData[[#This Row],[Total]]&lt;&gt; 0, NOT(ISBLANK(SamplingData[[#This Row],[Candidate 5]]))),(SamplingData[[#This Row],[Total]]+SamplingData[[#This Row],[Winning Candidate]]-SamplingData[[#This Row],[Candidate 5]])/(SamplingData[[#Totals],[Winning Candidate]]-SamplingData[[#Totals],[Candidate 5]]), 0)</f>
        <v>0</v>
      </c>
      <c r="U514" s="100">
        <f>IF(AND(SamplingData[[#This Row],[Total]]&lt;&gt; 0, NOT(ISBLANK(SamplingData[[#This Row],[Candidate 6]]))),(SamplingData[[#This Row],[Total]]+SamplingData[[#This Row],[Losing Candidate]]-SamplingData[[#This Row],[Candidate 6]])/(SamplingData[[#Totals],[Winning Candidate]]-SamplingData[[#Totals],[Candidate 6]]), 0)</f>
        <v>0</v>
      </c>
      <c r="V514" s="100">
        <f>IF(AND(SamplingData[[#This Row],[Total]]&lt;&gt; 0, NOT(ISBLANK(SamplingData[[#This Row],[Candidate 7]]))),(SamplingData[[#This Row],[Total]]+SamplingData[[#This Row],[Winning Candidate]]-SamplingData[[#This Row],[Candidate 7]])/(SamplingData[[#Totals],[Winning Candidate]]-SamplingData[[#Totals],[Candidate 7]]), 0)</f>
        <v>0</v>
      </c>
      <c r="W514" s="100">
        <f>IF(AND(SamplingData[[#This Row],[Total]]&lt;&gt; 0, NOT(ISBLANK(SamplingData[[#This Row],[Candidate 8]]))),(SamplingData[[#This Row],[Total]]+SamplingData[[#This Row],[Winning Candidate]]-SamplingData[[#This Row],[Candidate 8]])/(SamplingData[[#Totals],[Winning Candidate]]-SamplingData[[#Totals],[Candidate 8]]), 0)</f>
        <v>0</v>
      </c>
      <c r="X5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00">
        <f>MAX(SamplingData[[#This Row],[Error Bound (up) - Max. possible relative overstatement - Losing Candidate]:[Error Bound (up) - Max. possible relative overstatement - Candidate 12]])</f>
        <v>1.3192197757326382E-3</v>
      </c>
      <c r="AC514" s="100">
        <f>IF(SamplingData[[#This Row],[Max Error Bound (up)]] = 0,0,SamplingData[[#This Row],[Max Error Bound (up)]]/SamplingData[[#Totals],[Max Error Bound (up)]])</f>
        <v>5.6533677919560674E-4</v>
      </c>
      <c r="AD514" s="104">
        <f>SUM($AC$5:AC514)</f>
        <v>0.10959457276691986</v>
      </c>
      <c r="AE514" s="100" t="str" cm="1">
        <f t="array" ref="AE514">IF(SamplingData[[#This Row],[up/U Selection Probability]] = 0, "Zero", TEXT(SamplingData[[#This Row],[Lower Range]], REPT("0",LEN('General Info'!$B$42))) &amp; " - " &amp; TEXT(SamplingData[[#This Row],[Upper Range]], REPT("0",LEN('General Info'!$B$42))))</f>
        <v>10903 - 10958</v>
      </c>
      <c r="AF514" s="100">
        <f>SamplingData[[#This Row],[Upper Range]]-SamplingData[[#This Row],[Span]]</f>
        <v>10902.923598772426</v>
      </c>
      <c r="AG514" s="100">
        <f>IF(ISNUMBER('General Info'!$B$42), ((SamplingData[[#This Row],[up/U Selection Probability]]) * 'General Info'!$B$44) - 1, 0)</f>
        <v>55.533677919560674</v>
      </c>
      <c r="AH514" s="100">
        <f>IF(ISNUMBER('General Info'!$B$42), (SamplingData[[#This Row],[Running (cumulative) sum]] * ('General Info'!$B$42 -'General Info'!$B$43 + 1)) + 'General Info'!$B$43 - 1, 0)</f>
        <v>10958.457276691986</v>
      </c>
      <c r="AI514" s="100" t="str">
        <f>IF(ISERROR(MATCH(SamplingData[[#This Row],[Batch by Type (p)]],SelectedPrecincts[Batch Name], 0)), "", INDEX(SelectedPrecincts[Draw], MATCH(SamplingData[[#This Row],[Batch by Type (p)]],SelectedPrecincts[Batch Name], 0)))</f>
        <v/>
      </c>
      <c r="AJ514" s="101">
        <f>IF(COUNTIF(SelectedPrecincts[Batch Name],SamplingData[[#This Row],[Batch by Type (p)]]) &lt;&gt; 0, COUNTIF(SelectedPrecincts[Batch Name],SamplingData[[#This Row],[Batch by Type (p)]]), 0)</f>
        <v>0</v>
      </c>
    </row>
    <row r="515" spans="1:36" ht="15" customHeight="1" x14ac:dyDescent="0.35">
      <c r="A515" s="98" t="s">
        <v>726</v>
      </c>
      <c r="B515" s="98">
        <v>2</v>
      </c>
      <c r="C515" s="98">
        <v>2</v>
      </c>
      <c r="D515" s="93"/>
      <c r="E515" s="93"/>
      <c r="F515" s="93"/>
      <c r="G515" s="97"/>
      <c r="H515" s="97"/>
      <c r="I515" s="93"/>
      <c r="J515" s="93"/>
      <c r="K515" s="93"/>
      <c r="L515" s="93"/>
      <c r="M515" s="93"/>
      <c r="N515" s="98">
        <v>0</v>
      </c>
      <c r="O515" s="98">
        <v>0</v>
      </c>
      <c r="P515" s="99">
        <f>SUM(SamplingData[[#This Row],[Winning Candidate]:[Under Votes]])</f>
        <v>4</v>
      </c>
      <c r="Q515"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15" s="100">
        <f>IF(AND(SamplingData[[#This Row],[Total]]&lt;&gt; 0, NOT(ISBLANK(SamplingData[[#This Row],[Candidate 3]]))),(SamplingData[[#This Row],[Total]]+SamplingData[[#This Row],[Winning Candidate]]-SamplingData[[#This Row],[Candidate 3]])/(SamplingData[[#Totals],[Winning Candidate]]-SamplingData[[#Totals],[Candidate 3]]), 0)</f>
        <v>0</v>
      </c>
      <c r="S515" s="100">
        <f>IF(AND(SamplingData[[#This Row],[Total]]&lt;&gt; 0, NOT(ISBLANK(SamplingData[[#This Row],[Candidate 4]]))),(SamplingData[[#This Row],[Total]]+SamplingData[[#This Row],[Winning Candidate]]-SamplingData[[#This Row],[Candidate 4]])/(SamplingData[[#Totals],[Winning Candidate]]-SamplingData[[#Totals],[Candidate 4]]), 0)</f>
        <v>0</v>
      </c>
      <c r="T515" s="100">
        <f>IF(AND(SamplingData[[#This Row],[Total]]&lt;&gt; 0, NOT(ISBLANK(SamplingData[[#This Row],[Candidate 5]]))),(SamplingData[[#This Row],[Total]]+SamplingData[[#This Row],[Winning Candidate]]-SamplingData[[#This Row],[Candidate 5]])/(SamplingData[[#Totals],[Winning Candidate]]-SamplingData[[#Totals],[Candidate 5]]), 0)</f>
        <v>0</v>
      </c>
      <c r="U515" s="100">
        <f>IF(AND(SamplingData[[#This Row],[Total]]&lt;&gt; 0, NOT(ISBLANK(SamplingData[[#This Row],[Candidate 6]]))),(SamplingData[[#This Row],[Total]]+SamplingData[[#This Row],[Losing Candidate]]-SamplingData[[#This Row],[Candidate 6]])/(SamplingData[[#Totals],[Winning Candidate]]-SamplingData[[#Totals],[Candidate 6]]), 0)</f>
        <v>0</v>
      </c>
      <c r="V515" s="100">
        <f>IF(AND(SamplingData[[#This Row],[Total]]&lt;&gt; 0, NOT(ISBLANK(SamplingData[[#This Row],[Candidate 7]]))),(SamplingData[[#This Row],[Total]]+SamplingData[[#This Row],[Winning Candidate]]-SamplingData[[#This Row],[Candidate 7]])/(SamplingData[[#Totals],[Winning Candidate]]-SamplingData[[#Totals],[Candidate 7]]), 0)</f>
        <v>0</v>
      </c>
      <c r="W515" s="100">
        <f>IF(AND(SamplingData[[#This Row],[Total]]&lt;&gt; 0, NOT(ISBLANK(SamplingData[[#This Row],[Candidate 8]]))),(SamplingData[[#This Row],[Total]]+SamplingData[[#This Row],[Winning Candidate]]-SamplingData[[#This Row],[Candidate 8]])/(SamplingData[[#Totals],[Winning Candidate]]-SamplingData[[#Totals],[Candidate 8]]), 0)</f>
        <v>0</v>
      </c>
      <c r="X5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00">
        <f>MAX(SamplingData[[#This Row],[Error Bound (up) - Max. possible relative overstatement - Losing Candidate]:[Error Bound (up) - Max. possible relative overstatement - Candidate 12]])</f>
        <v>1.2563997864120362E-4</v>
      </c>
      <c r="AC515" s="100">
        <f>IF(SamplingData[[#This Row],[Max Error Bound (up)]] = 0,0,SamplingData[[#This Row],[Max Error Bound (up)]]/SamplingData[[#Totals],[Max Error Bound (up)]])</f>
        <v>5.3841598018629206E-5</v>
      </c>
      <c r="AD515" s="104">
        <f>SUM($AC$5:AC515)</f>
        <v>0.1096484143649385</v>
      </c>
      <c r="AE515" s="100" t="str" cm="1">
        <f t="array" ref="AE515">IF(SamplingData[[#This Row],[up/U Selection Probability]] = 0, "Zero", TEXT(SamplingData[[#This Row],[Lower Range]], REPT("0",LEN('General Info'!$B$42))) &amp; " - " &amp; TEXT(SamplingData[[#This Row],[Upper Range]], REPT("0",LEN('General Info'!$B$42))))</f>
        <v>10959 - 10964</v>
      </c>
      <c r="AF515" s="100">
        <f>SamplingData[[#This Row],[Upper Range]]-SamplingData[[#This Row],[Span]]</f>
        <v>10959.457276691986</v>
      </c>
      <c r="AG515" s="100">
        <f>IF(ISNUMBER('General Info'!$B$42), ((SamplingData[[#This Row],[up/U Selection Probability]]) * 'General Info'!$B$44) - 1, 0)</f>
        <v>4.3841598018629204</v>
      </c>
      <c r="AH515" s="100">
        <f>IF(ISNUMBER('General Info'!$B$42), (SamplingData[[#This Row],[Running (cumulative) sum]] * ('General Info'!$B$42 -'General Info'!$B$43 + 1)) + 'General Info'!$B$43 - 1, 0)</f>
        <v>10963.841436493849</v>
      </c>
      <c r="AI515" s="100" t="str">
        <f>IF(ISERROR(MATCH(SamplingData[[#This Row],[Batch by Type (p)]],SelectedPrecincts[Batch Name], 0)), "", INDEX(SelectedPrecincts[Draw], MATCH(SamplingData[[#This Row],[Batch by Type (p)]],SelectedPrecincts[Batch Name], 0)))</f>
        <v/>
      </c>
      <c r="AJ515" s="101">
        <f>IF(COUNTIF(SelectedPrecincts[Batch Name],SamplingData[[#This Row],[Batch by Type (p)]]) &lt;&gt; 0, COUNTIF(SelectedPrecincts[Batch Name],SamplingData[[#This Row],[Batch by Type (p)]]), 0)</f>
        <v>0</v>
      </c>
    </row>
    <row r="516" spans="1:36" ht="15" customHeight="1" x14ac:dyDescent="0.35">
      <c r="A516" s="98" t="s">
        <v>727</v>
      </c>
      <c r="B516" s="98">
        <v>5</v>
      </c>
      <c r="C516" s="98">
        <v>1</v>
      </c>
      <c r="D516" s="93"/>
      <c r="E516" s="93"/>
      <c r="F516" s="93"/>
      <c r="G516" s="97"/>
      <c r="H516" s="97"/>
      <c r="I516" s="93"/>
      <c r="J516" s="93"/>
      <c r="K516" s="93"/>
      <c r="L516" s="93"/>
      <c r="M516" s="93"/>
      <c r="N516" s="98">
        <v>0</v>
      </c>
      <c r="O516" s="98">
        <v>0</v>
      </c>
      <c r="P516" s="99">
        <f>SUM(SamplingData[[#This Row],[Winning Candidate]:[Under Votes]])</f>
        <v>6</v>
      </c>
      <c r="Q516"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516" s="100">
        <f>IF(AND(SamplingData[[#This Row],[Total]]&lt;&gt; 0, NOT(ISBLANK(SamplingData[[#This Row],[Candidate 3]]))),(SamplingData[[#This Row],[Total]]+SamplingData[[#This Row],[Winning Candidate]]-SamplingData[[#This Row],[Candidate 3]])/(SamplingData[[#Totals],[Winning Candidate]]-SamplingData[[#Totals],[Candidate 3]]), 0)</f>
        <v>0</v>
      </c>
      <c r="S516" s="100">
        <f>IF(AND(SamplingData[[#This Row],[Total]]&lt;&gt; 0, NOT(ISBLANK(SamplingData[[#This Row],[Candidate 4]]))),(SamplingData[[#This Row],[Total]]+SamplingData[[#This Row],[Winning Candidate]]-SamplingData[[#This Row],[Candidate 4]])/(SamplingData[[#Totals],[Winning Candidate]]-SamplingData[[#Totals],[Candidate 4]]), 0)</f>
        <v>0</v>
      </c>
      <c r="T516" s="100">
        <f>IF(AND(SamplingData[[#This Row],[Total]]&lt;&gt; 0, NOT(ISBLANK(SamplingData[[#This Row],[Candidate 5]]))),(SamplingData[[#This Row],[Total]]+SamplingData[[#This Row],[Winning Candidate]]-SamplingData[[#This Row],[Candidate 5]])/(SamplingData[[#Totals],[Winning Candidate]]-SamplingData[[#Totals],[Candidate 5]]), 0)</f>
        <v>0</v>
      </c>
      <c r="U516" s="100">
        <f>IF(AND(SamplingData[[#This Row],[Total]]&lt;&gt; 0, NOT(ISBLANK(SamplingData[[#This Row],[Candidate 6]]))),(SamplingData[[#This Row],[Total]]+SamplingData[[#This Row],[Losing Candidate]]-SamplingData[[#This Row],[Candidate 6]])/(SamplingData[[#Totals],[Winning Candidate]]-SamplingData[[#Totals],[Candidate 6]]), 0)</f>
        <v>0</v>
      </c>
      <c r="V516" s="100">
        <f>IF(AND(SamplingData[[#This Row],[Total]]&lt;&gt; 0, NOT(ISBLANK(SamplingData[[#This Row],[Candidate 7]]))),(SamplingData[[#This Row],[Total]]+SamplingData[[#This Row],[Winning Candidate]]-SamplingData[[#This Row],[Candidate 7]])/(SamplingData[[#Totals],[Winning Candidate]]-SamplingData[[#Totals],[Candidate 7]]), 0)</f>
        <v>0</v>
      </c>
      <c r="W516" s="100">
        <f>IF(AND(SamplingData[[#This Row],[Total]]&lt;&gt; 0, NOT(ISBLANK(SamplingData[[#This Row],[Candidate 8]]))),(SamplingData[[#This Row],[Total]]+SamplingData[[#This Row],[Winning Candidate]]-SamplingData[[#This Row],[Candidate 8]])/(SamplingData[[#Totals],[Winning Candidate]]-SamplingData[[#Totals],[Candidate 8]]), 0)</f>
        <v>0</v>
      </c>
      <c r="X5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00">
        <f>MAX(SamplingData[[#This Row],[Error Bound (up) - Max. possible relative overstatement - Losing Candidate]:[Error Bound (up) - Max. possible relative overstatement - Candidate 12]])</f>
        <v>3.1409994660300906E-4</v>
      </c>
      <c r="AC516" s="100">
        <f>IF(SamplingData[[#This Row],[Max Error Bound (up)]] = 0,0,SamplingData[[#This Row],[Max Error Bound (up)]]/SamplingData[[#Totals],[Max Error Bound (up)]])</f>
        <v>1.3460399504657304E-4</v>
      </c>
      <c r="AD516" s="104">
        <f>SUM($AC$5:AC516)</f>
        <v>0.10978301835998507</v>
      </c>
      <c r="AE516" s="100" t="str" cm="1">
        <f t="array" ref="AE516">IF(SamplingData[[#This Row],[up/U Selection Probability]] = 0, "Zero", TEXT(SamplingData[[#This Row],[Lower Range]], REPT("0",LEN('General Info'!$B$42))) &amp; " - " &amp; TEXT(SamplingData[[#This Row],[Upper Range]], REPT("0",LEN('General Info'!$B$42))))</f>
        <v>10965 - 10977</v>
      </c>
      <c r="AF516" s="100">
        <f>SamplingData[[#This Row],[Upper Range]]-SamplingData[[#This Row],[Span]]</f>
        <v>10964.841436493849</v>
      </c>
      <c r="AG516" s="100">
        <f>IF(ISNUMBER('General Info'!$B$42), ((SamplingData[[#This Row],[up/U Selection Probability]]) * 'General Info'!$B$44) - 1, 0)</f>
        <v>12.460399504657303</v>
      </c>
      <c r="AH516" s="100">
        <f>IF(ISNUMBER('General Info'!$B$42), (SamplingData[[#This Row],[Running (cumulative) sum]] * ('General Info'!$B$42 -'General Info'!$B$43 + 1)) + 'General Info'!$B$43 - 1, 0)</f>
        <v>10977.301835998507</v>
      </c>
      <c r="AI516" s="100" t="str">
        <f>IF(ISERROR(MATCH(SamplingData[[#This Row],[Batch by Type (p)]],SelectedPrecincts[Batch Name], 0)), "", INDEX(SelectedPrecincts[Draw], MATCH(SamplingData[[#This Row],[Batch by Type (p)]],SelectedPrecincts[Batch Name], 0)))</f>
        <v/>
      </c>
      <c r="AJ516" s="101">
        <f>IF(COUNTIF(SelectedPrecincts[Batch Name],SamplingData[[#This Row],[Batch by Type (p)]]) &lt;&gt; 0, COUNTIF(SelectedPrecincts[Batch Name],SamplingData[[#This Row],[Batch by Type (p)]]), 0)</f>
        <v>0</v>
      </c>
    </row>
    <row r="517" spans="1:36" ht="15" customHeight="1" x14ac:dyDescent="0.35">
      <c r="A517" s="98" t="s">
        <v>728</v>
      </c>
      <c r="B517" s="98">
        <v>3</v>
      </c>
      <c r="C517" s="98">
        <v>0</v>
      </c>
      <c r="D517" s="93"/>
      <c r="E517" s="93"/>
      <c r="F517" s="93"/>
      <c r="G517" s="97"/>
      <c r="H517" s="97"/>
      <c r="I517" s="93"/>
      <c r="J517" s="93"/>
      <c r="K517" s="93"/>
      <c r="L517" s="93"/>
      <c r="M517" s="93"/>
      <c r="N517" s="98">
        <v>0</v>
      </c>
      <c r="O517" s="98">
        <v>0</v>
      </c>
      <c r="P517" s="99">
        <f>SUM(SamplingData[[#This Row],[Winning Candidate]:[Under Votes]])</f>
        <v>3</v>
      </c>
      <c r="Q517"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517" s="100">
        <f>IF(AND(SamplingData[[#This Row],[Total]]&lt;&gt; 0, NOT(ISBLANK(SamplingData[[#This Row],[Candidate 3]]))),(SamplingData[[#This Row],[Total]]+SamplingData[[#This Row],[Winning Candidate]]-SamplingData[[#This Row],[Candidate 3]])/(SamplingData[[#Totals],[Winning Candidate]]-SamplingData[[#Totals],[Candidate 3]]), 0)</f>
        <v>0</v>
      </c>
      <c r="S517" s="100">
        <f>IF(AND(SamplingData[[#This Row],[Total]]&lt;&gt; 0, NOT(ISBLANK(SamplingData[[#This Row],[Candidate 4]]))),(SamplingData[[#This Row],[Total]]+SamplingData[[#This Row],[Winning Candidate]]-SamplingData[[#This Row],[Candidate 4]])/(SamplingData[[#Totals],[Winning Candidate]]-SamplingData[[#Totals],[Candidate 4]]), 0)</f>
        <v>0</v>
      </c>
      <c r="T517" s="100">
        <f>IF(AND(SamplingData[[#This Row],[Total]]&lt;&gt; 0, NOT(ISBLANK(SamplingData[[#This Row],[Candidate 5]]))),(SamplingData[[#This Row],[Total]]+SamplingData[[#This Row],[Winning Candidate]]-SamplingData[[#This Row],[Candidate 5]])/(SamplingData[[#Totals],[Winning Candidate]]-SamplingData[[#Totals],[Candidate 5]]), 0)</f>
        <v>0</v>
      </c>
      <c r="U517" s="100">
        <f>IF(AND(SamplingData[[#This Row],[Total]]&lt;&gt; 0, NOT(ISBLANK(SamplingData[[#This Row],[Candidate 6]]))),(SamplingData[[#This Row],[Total]]+SamplingData[[#This Row],[Losing Candidate]]-SamplingData[[#This Row],[Candidate 6]])/(SamplingData[[#Totals],[Winning Candidate]]-SamplingData[[#Totals],[Candidate 6]]), 0)</f>
        <v>0</v>
      </c>
      <c r="V517" s="100">
        <f>IF(AND(SamplingData[[#This Row],[Total]]&lt;&gt; 0, NOT(ISBLANK(SamplingData[[#This Row],[Candidate 7]]))),(SamplingData[[#This Row],[Total]]+SamplingData[[#This Row],[Winning Candidate]]-SamplingData[[#This Row],[Candidate 7]])/(SamplingData[[#Totals],[Winning Candidate]]-SamplingData[[#Totals],[Candidate 7]]), 0)</f>
        <v>0</v>
      </c>
      <c r="W517" s="100">
        <f>IF(AND(SamplingData[[#This Row],[Total]]&lt;&gt; 0, NOT(ISBLANK(SamplingData[[#This Row],[Candidate 8]]))),(SamplingData[[#This Row],[Total]]+SamplingData[[#This Row],[Winning Candidate]]-SamplingData[[#This Row],[Candidate 8]])/(SamplingData[[#Totals],[Winning Candidate]]-SamplingData[[#Totals],[Candidate 8]]), 0)</f>
        <v>0</v>
      </c>
      <c r="X5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00">
        <f>MAX(SamplingData[[#This Row],[Error Bound (up) - Max. possible relative overstatement - Losing Candidate]:[Error Bound (up) - Max. possible relative overstatement - Candidate 12]])</f>
        <v>1.8845996796180544E-4</v>
      </c>
      <c r="AC517" s="100">
        <f>IF(SamplingData[[#This Row],[Max Error Bound (up)]] = 0,0,SamplingData[[#This Row],[Max Error Bound (up)]]/SamplingData[[#Totals],[Max Error Bound (up)]])</f>
        <v>8.0762397027943816E-5</v>
      </c>
      <c r="AD517" s="104">
        <f>SUM($AC$5:AC517)</f>
        <v>0.10986378075701302</v>
      </c>
      <c r="AE517" s="100" t="str" cm="1">
        <f t="array" ref="AE517">IF(SamplingData[[#This Row],[up/U Selection Probability]] = 0, "Zero", TEXT(SamplingData[[#This Row],[Lower Range]], REPT("0",LEN('General Info'!$B$42))) &amp; " - " &amp; TEXT(SamplingData[[#This Row],[Upper Range]], REPT("0",LEN('General Info'!$B$42))))</f>
        <v>10978 - 10985</v>
      </c>
      <c r="AF517" s="100">
        <f>SamplingData[[#This Row],[Upper Range]]-SamplingData[[#This Row],[Span]]</f>
        <v>10978.301835998507</v>
      </c>
      <c r="AG517" s="100">
        <f>IF(ISNUMBER('General Info'!$B$42), ((SamplingData[[#This Row],[up/U Selection Probability]]) * 'General Info'!$B$44) - 1, 0)</f>
        <v>7.076239702794382</v>
      </c>
      <c r="AH517" s="100">
        <f>IF(ISNUMBER('General Info'!$B$42), (SamplingData[[#This Row],[Running (cumulative) sum]] * ('General Info'!$B$42 -'General Info'!$B$43 + 1)) + 'General Info'!$B$43 - 1, 0)</f>
        <v>10985.378075701301</v>
      </c>
      <c r="AI517" s="100" t="str">
        <f>IF(ISERROR(MATCH(SamplingData[[#This Row],[Batch by Type (p)]],SelectedPrecincts[Batch Name], 0)), "", INDEX(SelectedPrecincts[Draw], MATCH(SamplingData[[#This Row],[Batch by Type (p)]],SelectedPrecincts[Batch Name], 0)))</f>
        <v/>
      </c>
      <c r="AJ517" s="101">
        <f>IF(COUNTIF(SelectedPrecincts[Batch Name],SamplingData[[#This Row],[Batch by Type (p)]]) &lt;&gt; 0, COUNTIF(SelectedPrecincts[Batch Name],SamplingData[[#This Row],[Batch by Type (p)]]), 0)</f>
        <v>0</v>
      </c>
    </row>
    <row r="518" spans="1:36" ht="15" customHeight="1" x14ac:dyDescent="0.35">
      <c r="A518" s="98" t="s">
        <v>729</v>
      </c>
      <c r="B518" s="98">
        <v>0</v>
      </c>
      <c r="C518" s="98">
        <v>0</v>
      </c>
      <c r="D518" s="93"/>
      <c r="E518" s="93"/>
      <c r="F518" s="93"/>
      <c r="G518" s="97"/>
      <c r="H518" s="97"/>
      <c r="I518" s="93"/>
      <c r="J518" s="93"/>
      <c r="K518" s="93"/>
      <c r="L518" s="93"/>
      <c r="M518" s="93"/>
      <c r="N518" s="98">
        <v>0</v>
      </c>
      <c r="O518" s="98">
        <v>0</v>
      </c>
      <c r="P518" s="99">
        <f>SUM(SamplingData[[#This Row],[Winning Candidate]:[Under Votes]])</f>
        <v>0</v>
      </c>
      <c r="Q518" s="100">
        <f>IF(AND(SamplingData[[#This Row],[Total]]&lt;&gt; 0, NOT(ISBLANK(SamplingData[[#This Row],[Losing Candidate]]))),(SamplingData[[#This Row],[Total]]+SamplingData[[#This Row],[Winning Candidate]]-SamplingData[[#This Row],[Losing Candidate]])/(SamplingData[[#Totals],[Winning Candidate]]-SamplingData[[#Totals],[Losing Candidate]]), 0)</f>
        <v>0</v>
      </c>
      <c r="R518" s="100">
        <f>IF(AND(SamplingData[[#This Row],[Total]]&lt;&gt; 0, NOT(ISBLANK(SamplingData[[#This Row],[Candidate 3]]))),(SamplingData[[#This Row],[Total]]+SamplingData[[#This Row],[Winning Candidate]]-SamplingData[[#This Row],[Candidate 3]])/(SamplingData[[#Totals],[Winning Candidate]]-SamplingData[[#Totals],[Candidate 3]]), 0)</f>
        <v>0</v>
      </c>
      <c r="S518" s="100">
        <f>IF(AND(SamplingData[[#This Row],[Total]]&lt;&gt; 0, NOT(ISBLANK(SamplingData[[#This Row],[Candidate 4]]))),(SamplingData[[#This Row],[Total]]+SamplingData[[#This Row],[Winning Candidate]]-SamplingData[[#This Row],[Candidate 4]])/(SamplingData[[#Totals],[Winning Candidate]]-SamplingData[[#Totals],[Candidate 4]]), 0)</f>
        <v>0</v>
      </c>
      <c r="T518" s="100">
        <f>IF(AND(SamplingData[[#This Row],[Total]]&lt;&gt; 0, NOT(ISBLANK(SamplingData[[#This Row],[Candidate 5]]))),(SamplingData[[#This Row],[Total]]+SamplingData[[#This Row],[Winning Candidate]]-SamplingData[[#This Row],[Candidate 5]])/(SamplingData[[#Totals],[Winning Candidate]]-SamplingData[[#Totals],[Candidate 5]]), 0)</f>
        <v>0</v>
      </c>
      <c r="U518" s="100">
        <f>IF(AND(SamplingData[[#This Row],[Total]]&lt;&gt; 0, NOT(ISBLANK(SamplingData[[#This Row],[Candidate 6]]))),(SamplingData[[#This Row],[Total]]+SamplingData[[#This Row],[Losing Candidate]]-SamplingData[[#This Row],[Candidate 6]])/(SamplingData[[#Totals],[Winning Candidate]]-SamplingData[[#Totals],[Candidate 6]]), 0)</f>
        <v>0</v>
      </c>
      <c r="V518" s="100">
        <f>IF(AND(SamplingData[[#This Row],[Total]]&lt;&gt; 0, NOT(ISBLANK(SamplingData[[#This Row],[Candidate 7]]))),(SamplingData[[#This Row],[Total]]+SamplingData[[#This Row],[Winning Candidate]]-SamplingData[[#This Row],[Candidate 7]])/(SamplingData[[#Totals],[Winning Candidate]]-SamplingData[[#Totals],[Candidate 7]]), 0)</f>
        <v>0</v>
      </c>
      <c r="W518" s="100">
        <f>IF(AND(SamplingData[[#This Row],[Total]]&lt;&gt; 0, NOT(ISBLANK(SamplingData[[#This Row],[Candidate 8]]))),(SamplingData[[#This Row],[Total]]+SamplingData[[#This Row],[Winning Candidate]]-SamplingData[[#This Row],[Candidate 8]])/(SamplingData[[#Totals],[Winning Candidate]]-SamplingData[[#Totals],[Candidate 8]]), 0)</f>
        <v>0</v>
      </c>
      <c r="X5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00">
        <f>MAX(SamplingData[[#This Row],[Error Bound (up) - Max. possible relative overstatement - Losing Candidate]:[Error Bound (up) - Max. possible relative overstatement - Candidate 12]])</f>
        <v>0</v>
      </c>
      <c r="AC518" s="100">
        <f>IF(SamplingData[[#This Row],[Max Error Bound (up)]] = 0,0,SamplingData[[#This Row],[Max Error Bound (up)]]/SamplingData[[#Totals],[Max Error Bound (up)]])</f>
        <v>0</v>
      </c>
      <c r="AD518" s="104">
        <f>SUM($AC$5:AC518)</f>
        <v>0.10986378075701302</v>
      </c>
      <c r="AE518" s="100" t="str" cm="1">
        <f t="array" ref="AE518">IF(SamplingData[[#This Row],[up/U Selection Probability]] = 0, "Zero", TEXT(SamplingData[[#This Row],[Lower Range]], REPT("0",LEN('General Info'!$B$42))) &amp; " - " &amp; TEXT(SamplingData[[#This Row],[Upper Range]], REPT("0",LEN('General Info'!$B$42))))</f>
        <v>Zero</v>
      </c>
      <c r="AF518" s="100">
        <f>SamplingData[[#This Row],[Upper Range]]-SamplingData[[#This Row],[Span]]</f>
        <v>10986.378075701301</v>
      </c>
      <c r="AG518" s="100">
        <f>IF(ISNUMBER('General Info'!$B$42), ((SamplingData[[#This Row],[up/U Selection Probability]]) * 'General Info'!$B$44) - 1, 0)</f>
        <v>-1</v>
      </c>
      <c r="AH518" s="100">
        <f>IF(ISNUMBER('General Info'!$B$42), (SamplingData[[#This Row],[Running (cumulative) sum]] * ('General Info'!$B$42 -'General Info'!$B$43 + 1)) + 'General Info'!$B$43 - 1, 0)</f>
        <v>10985.378075701301</v>
      </c>
      <c r="AI518" s="100" t="str">
        <f>IF(ISERROR(MATCH(SamplingData[[#This Row],[Batch by Type (p)]],SelectedPrecincts[Batch Name], 0)), "", INDEX(SelectedPrecincts[Draw], MATCH(SamplingData[[#This Row],[Batch by Type (p)]],SelectedPrecincts[Batch Name], 0)))</f>
        <v/>
      </c>
      <c r="AJ518" s="101">
        <f>IF(COUNTIF(SelectedPrecincts[Batch Name],SamplingData[[#This Row],[Batch by Type (p)]]) &lt;&gt; 0, COUNTIF(SelectedPrecincts[Batch Name],SamplingData[[#This Row],[Batch by Type (p)]]), 0)</f>
        <v>0</v>
      </c>
    </row>
    <row r="519" spans="1:36" ht="15" customHeight="1" x14ac:dyDescent="0.35">
      <c r="A519" s="98" t="s">
        <v>730</v>
      </c>
      <c r="B519" s="98">
        <v>16</v>
      </c>
      <c r="C519" s="98">
        <v>0</v>
      </c>
      <c r="D519" s="93"/>
      <c r="E519" s="93"/>
      <c r="F519" s="93"/>
      <c r="G519" s="97"/>
      <c r="H519" s="97"/>
      <c r="I519" s="93"/>
      <c r="J519" s="93"/>
      <c r="K519" s="93"/>
      <c r="L519" s="93"/>
      <c r="M519" s="93"/>
      <c r="N519" s="98">
        <v>0</v>
      </c>
      <c r="O519" s="98">
        <v>0</v>
      </c>
      <c r="P519" s="99">
        <f>SUM(SamplingData[[#This Row],[Winning Candidate]:[Under Votes]])</f>
        <v>16</v>
      </c>
      <c r="Q519"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519" s="100">
        <f>IF(AND(SamplingData[[#This Row],[Total]]&lt;&gt; 0, NOT(ISBLANK(SamplingData[[#This Row],[Candidate 3]]))),(SamplingData[[#This Row],[Total]]+SamplingData[[#This Row],[Winning Candidate]]-SamplingData[[#This Row],[Candidate 3]])/(SamplingData[[#Totals],[Winning Candidate]]-SamplingData[[#Totals],[Candidate 3]]), 0)</f>
        <v>0</v>
      </c>
      <c r="S519" s="100">
        <f>IF(AND(SamplingData[[#This Row],[Total]]&lt;&gt; 0, NOT(ISBLANK(SamplingData[[#This Row],[Candidate 4]]))),(SamplingData[[#This Row],[Total]]+SamplingData[[#This Row],[Winning Candidate]]-SamplingData[[#This Row],[Candidate 4]])/(SamplingData[[#Totals],[Winning Candidate]]-SamplingData[[#Totals],[Candidate 4]]), 0)</f>
        <v>0</v>
      </c>
      <c r="T519" s="100">
        <f>IF(AND(SamplingData[[#This Row],[Total]]&lt;&gt; 0, NOT(ISBLANK(SamplingData[[#This Row],[Candidate 5]]))),(SamplingData[[#This Row],[Total]]+SamplingData[[#This Row],[Winning Candidate]]-SamplingData[[#This Row],[Candidate 5]])/(SamplingData[[#Totals],[Winning Candidate]]-SamplingData[[#Totals],[Candidate 5]]), 0)</f>
        <v>0</v>
      </c>
      <c r="U519" s="100">
        <f>IF(AND(SamplingData[[#This Row],[Total]]&lt;&gt; 0, NOT(ISBLANK(SamplingData[[#This Row],[Candidate 6]]))),(SamplingData[[#This Row],[Total]]+SamplingData[[#This Row],[Losing Candidate]]-SamplingData[[#This Row],[Candidate 6]])/(SamplingData[[#Totals],[Winning Candidate]]-SamplingData[[#Totals],[Candidate 6]]), 0)</f>
        <v>0</v>
      </c>
      <c r="V519" s="100">
        <f>IF(AND(SamplingData[[#This Row],[Total]]&lt;&gt; 0, NOT(ISBLANK(SamplingData[[#This Row],[Candidate 7]]))),(SamplingData[[#This Row],[Total]]+SamplingData[[#This Row],[Winning Candidate]]-SamplingData[[#This Row],[Candidate 7]])/(SamplingData[[#Totals],[Winning Candidate]]-SamplingData[[#Totals],[Candidate 7]]), 0)</f>
        <v>0</v>
      </c>
      <c r="W519" s="100">
        <f>IF(AND(SamplingData[[#This Row],[Total]]&lt;&gt; 0, NOT(ISBLANK(SamplingData[[#This Row],[Candidate 8]]))),(SamplingData[[#This Row],[Total]]+SamplingData[[#This Row],[Winning Candidate]]-SamplingData[[#This Row],[Candidate 8]])/(SamplingData[[#Totals],[Winning Candidate]]-SamplingData[[#Totals],[Candidate 8]]), 0)</f>
        <v>0</v>
      </c>
      <c r="X5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00">
        <f>MAX(SamplingData[[#This Row],[Error Bound (up) - Max. possible relative overstatement - Losing Candidate]:[Error Bound (up) - Max. possible relative overstatement - Candidate 12]])</f>
        <v>1.005119829129629E-3</v>
      </c>
      <c r="AC519" s="100">
        <f>IF(SamplingData[[#This Row],[Max Error Bound (up)]] = 0,0,SamplingData[[#This Row],[Max Error Bound (up)]]/SamplingData[[#Totals],[Max Error Bound (up)]])</f>
        <v>4.3073278414903365E-4</v>
      </c>
      <c r="AD519" s="104">
        <f>SUM($AC$5:AC519)</f>
        <v>0.11029451354116206</v>
      </c>
      <c r="AE519" s="100" t="str" cm="1">
        <f t="array" ref="AE519">IF(SamplingData[[#This Row],[up/U Selection Probability]] = 0, "Zero", TEXT(SamplingData[[#This Row],[Lower Range]], REPT("0",LEN('General Info'!$B$42))) &amp; " - " &amp; TEXT(SamplingData[[#This Row],[Upper Range]], REPT("0",LEN('General Info'!$B$42))))</f>
        <v>10986 - 11028</v>
      </c>
      <c r="AF519" s="100">
        <f>SamplingData[[#This Row],[Upper Range]]-SamplingData[[#This Row],[Span]]</f>
        <v>10986.378075701301</v>
      </c>
      <c r="AG519" s="100">
        <f>IF(ISNUMBER('General Info'!$B$42), ((SamplingData[[#This Row],[up/U Selection Probability]]) * 'General Info'!$B$44) - 1, 0)</f>
        <v>42.073278414903363</v>
      </c>
      <c r="AH519" s="100">
        <f>IF(ISNUMBER('General Info'!$B$42), (SamplingData[[#This Row],[Running (cumulative) sum]] * ('General Info'!$B$42 -'General Info'!$B$43 + 1)) + 'General Info'!$B$43 - 1, 0)</f>
        <v>11028.451354116205</v>
      </c>
      <c r="AI519" s="100" t="str">
        <f>IF(ISERROR(MATCH(SamplingData[[#This Row],[Batch by Type (p)]],SelectedPrecincts[Batch Name], 0)), "", INDEX(SelectedPrecincts[Draw], MATCH(SamplingData[[#This Row],[Batch by Type (p)]],SelectedPrecincts[Batch Name], 0)))</f>
        <v/>
      </c>
      <c r="AJ519" s="101">
        <f>IF(COUNTIF(SelectedPrecincts[Batch Name],SamplingData[[#This Row],[Batch by Type (p)]]) &lt;&gt; 0, COUNTIF(SelectedPrecincts[Batch Name],SamplingData[[#This Row],[Batch by Type (p)]]), 0)</f>
        <v>0</v>
      </c>
    </row>
    <row r="520" spans="1:36" ht="15" customHeight="1" x14ac:dyDescent="0.35">
      <c r="A520" s="98" t="s">
        <v>731</v>
      </c>
      <c r="B520" s="98">
        <v>12</v>
      </c>
      <c r="C520" s="98">
        <v>0</v>
      </c>
      <c r="D520" s="93"/>
      <c r="E520" s="93"/>
      <c r="F520" s="93"/>
      <c r="G520" s="97"/>
      <c r="H520" s="97"/>
      <c r="I520" s="93"/>
      <c r="J520" s="93"/>
      <c r="K520" s="93"/>
      <c r="L520" s="93"/>
      <c r="M520" s="93"/>
      <c r="N520" s="98">
        <v>0</v>
      </c>
      <c r="O520" s="98">
        <v>0</v>
      </c>
      <c r="P520" s="99">
        <f>SUM(SamplingData[[#This Row],[Winning Candidate]:[Under Votes]])</f>
        <v>12</v>
      </c>
      <c r="Q520"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520" s="100">
        <f>IF(AND(SamplingData[[#This Row],[Total]]&lt;&gt; 0, NOT(ISBLANK(SamplingData[[#This Row],[Candidate 3]]))),(SamplingData[[#This Row],[Total]]+SamplingData[[#This Row],[Winning Candidate]]-SamplingData[[#This Row],[Candidate 3]])/(SamplingData[[#Totals],[Winning Candidate]]-SamplingData[[#Totals],[Candidate 3]]), 0)</f>
        <v>0</v>
      </c>
      <c r="S520" s="100">
        <f>IF(AND(SamplingData[[#This Row],[Total]]&lt;&gt; 0, NOT(ISBLANK(SamplingData[[#This Row],[Candidate 4]]))),(SamplingData[[#This Row],[Total]]+SamplingData[[#This Row],[Winning Candidate]]-SamplingData[[#This Row],[Candidate 4]])/(SamplingData[[#Totals],[Winning Candidate]]-SamplingData[[#Totals],[Candidate 4]]), 0)</f>
        <v>0</v>
      </c>
      <c r="T520" s="100">
        <f>IF(AND(SamplingData[[#This Row],[Total]]&lt;&gt; 0, NOT(ISBLANK(SamplingData[[#This Row],[Candidate 5]]))),(SamplingData[[#This Row],[Total]]+SamplingData[[#This Row],[Winning Candidate]]-SamplingData[[#This Row],[Candidate 5]])/(SamplingData[[#Totals],[Winning Candidate]]-SamplingData[[#Totals],[Candidate 5]]), 0)</f>
        <v>0</v>
      </c>
      <c r="U520" s="100">
        <f>IF(AND(SamplingData[[#This Row],[Total]]&lt;&gt; 0, NOT(ISBLANK(SamplingData[[#This Row],[Candidate 6]]))),(SamplingData[[#This Row],[Total]]+SamplingData[[#This Row],[Losing Candidate]]-SamplingData[[#This Row],[Candidate 6]])/(SamplingData[[#Totals],[Winning Candidate]]-SamplingData[[#Totals],[Candidate 6]]), 0)</f>
        <v>0</v>
      </c>
      <c r="V520" s="100">
        <f>IF(AND(SamplingData[[#This Row],[Total]]&lt;&gt; 0, NOT(ISBLANK(SamplingData[[#This Row],[Candidate 7]]))),(SamplingData[[#This Row],[Total]]+SamplingData[[#This Row],[Winning Candidate]]-SamplingData[[#This Row],[Candidate 7]])/(SamplingData[[#Totals],[Winning Candidate]]-SamplingData[[#Totals],[Candidate 7]]), 0)</f>
        <v>0</v>
      </c>
      <c r="W520" s="100">
        <f>IF(AND(SamplingData[[#This Row],[Total]]&lt;&gt; 0, NOT(ISBLANK(SamplingData[[#This Row],[Candidate 8]]))),(SamplingData[[#This Row],[Total]]+SamplingData[[#This Row],[Winning Candidate]]-SamplingData[[#This Row],[Candidate 8]])/(SamplingData[[#Totals],[Winning Candidate]]-SamplingData[[#Totals],[Candidate 8]]), 0)</f>
        <v>0</v>
      </c>
      <c r="X5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00">
        <f>MAX(SamplingData[[#This Row],[Error Bound (up) - Max. possible relative overstatement - Losing Candidate]:[Error Bound (up) - Max. possible relative overstatement - Candidate 12]])</f>
        <v>7.5383987184722177E-4</v>
      </c>
      <c r="AC520" s="100">
        <f>IF(SamplingData[[#This Row],[Max Error Bound (up)]] = 0,0,SamplingData[[#This Row],[Max Error Bound (up)]]/SamplingData[[#Totals],[Max Error Bound (up)]])</f>
        <v>3.2304958811177527E-4</v>
      </c>
      <c r="AD520" s="104">
        <f>SUM($AC$5:AC520)</f>
        <v>0.11061756312927383</v>
      </c>
      <c r="AE520" s="100" t="str" cm="1">
        <f t="array" ref="AE520">IF(SamplingData[[#This Row],[up/U Selection Probability]] = 0, "Zero", TEXT(SamplingData[[#This Row],[Lower Range]], REPT("0",LEN('General Info'!$B$42))) &amp; " - " &amp; TEXT(SamplingData[[#This Row],[Upper Range]], REPT("0",LEN('General Info'!$B$42))))</f>
        <v>11029 - 11061</v>
      </c>
      <c r="AF520" s="100">
        <f>SamplingData[[#This Row],[Upper Range]]-SamplingData[[#This Row],[Span]]</f>
        <v>11029.451354116205</v>
      </c>
      <c r="AG520" s="100">
        <f>IF(ISNUMBER('General Info'!$B$42), ((SamplingData[[#This Row],[up/U Selection Probability]]) * 'General Info'!$B$44) - 1, 0)</f>
        <v>31.304958811177528</v>
      </c>
      <c r="AH520" s="100">
        <f>IF(ISNUMBER('General Info'!$B$42), (SamplingData[[#This Row],[Running (cumulative) sum]] * ('General Info'!$B$42 -'General Info'!$B$43 + 1)) + 'General Info'!$B$43 - 1, 0)</f>
        <v>11060.756312927382</v>
      </c>
      <c r="AI520" s="100" t="str">
        <f>IF(ISERROR(MATCH(SamplingData[[#This Row],[Batch by Type (p)]],SelectedPrecincts[Batch Name], 0)), "", INDEX(SelectedPrecincts[Draw], MATCH(SamplingData[[#This Row],[Batch by Type (p)]],SelectedPrecincts[Batch Name], 0)))</f>
        <v/>
      </c>
      <c r="AJ520" s="101">
        <f>IF(COUNTIF(SelectedPrecincts[Batch Name],SamplingData[[#This Row],[Batch by Type (p)]]) &lt;&gt; 0, COUNTIF(SelectedPrecincts[Batch Name],SamplingData[[#This Row],[Batch by Type (p)]]), 0)</f>
        <v>0</v>
      </c>
    </row>
    <row r="521" spans="1:36" ht="15" customHeight="1" x14ac:dyDescent="0.35">
      <c r="A521" s="98" t="s">
        <v>732</v>
      </c>
      <c r="B521" s="98">
        <v>6</v>
      </c>
      <c r="C521" s="98">
        <v>2</v>
      </c>
      <c r="D521" s="93"/>
      <c r="E521" s="93"/>
      <c r="F521" s="93"/>
      <c r="G521" s="97"/>
      <c r="H521" s="97"/>
      <c r="I521" s="93"/>
      <c r="J521" s="93"/>
      <c r="K521" s="93"/>
      <c r="L521" s="93"/>
      <c r="M521" s="93"/>
      <c r="N521" s="98">
        <v>0</v>
      </c>
      <c r="O521" s="98">
        <v>0</v>
      </c>
      <c r="P521" s="99">
        <f>SUM(SamplingData[[#This Row],[Winning Candidate]:[Under Votes]])</f>
        <v>8</v>
      </c>
      <c r="Q521"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521" s="100">
        <f>IF(AND(SamplingData[[#This Row],[Total]]&lt;&gt; 0, NOT(ISBLANK(SamplingData[[#This Row],[Candidate 3]]))),(SamplingData[[#This Row],[Total]]+SamplingData[[#This Row],[Winning Candidate]]-SamplingData[[#This Row],[Candidate 3]])/(SamplingData[[#Totals],[Winning Candidate]]-SamplingData[[#Totals],[Candidate 3]]), 0)</f>
        <v>0</v>
      </c>
      <c r="S521" s="100">
        <f>IF(AND(SamplingData[[#This Row],[Total]]&lt;&gt; 0, NOT(ISBLANK(SamplingData[[#This Row],[Candidate 4]]))),(SamplingData[[#This Row],[Total]]+SamplingData[[#This Row],[Winning Candidate]]-SamplingData[[#This Row],[Candidate 4]])/(SamplingData[[#Totals],[Winning Candidate]]-SamplingData[[#Totals],[Candidate 4]]), 0)</f>
        <v>0</v>
      </c>
      <c r="T521" s="100">
        <f>IF(AND(SamplingData[[#This Row],[Total]]&lt;&gt; 0, NOT(ISBLANK(SamplingData[[#This Row],[Candidate 5]]))),(SamplingData[[#This Row],[Total]]+SamplingData[[#This Row],[Winning Candidate]]-SamplingData[[#This Row],[Candidate 5]])/(SamplingData[[#Totals],[Winning Candidate]]-SamplingData[[#Totals],[Candidate 5]]), 0)</f>
        <v>0</v>
      </c>
      <c r="U521" s="100">
        <f>IF(AND(SamplingData[[#This Row],[Total]]&lt;&gt; 0, NOT(ISBLANK(SamplingData[[#This Row],[Candidate 6]]))),(SamplingData[[#This Row],[Total]]+SamplingData[[#This Row],[Losing Candidate]]-SamplingData[[#This Row],[Candidate 6]])/(SamplingData[[#Totals],[Winning Candidate]]-SamplingData[[#Totals],[Candidate 6]]), 0)</f>
        <v>0</v>
      </c>
      <c r="V521" s="100">
        <f>IF(AND(SamplingData[[#This Row],[Total]]&lt;&gt; 0, NOT(ISBLANK(SamplingData[[#This Row],[Candidate 7]]))),(SamplingData[[#This Row],[Total]]+SamplingData[[#This Row],[Winning Candidate]]-SamplingData[[#This Row],[Candidate 7]])/(SamplingData[[#Totals],[Winning Candidate]]-SamplingData[[#Totals],[Candidate 7]]), 0)</f>
        <v>0</v>
      </c>
      <c r="W521" s="100">
        <f>IF(AND(SamplingData[[#This Row],[Total]]&lt;&gt; 0, NOT(ISBLANK(SamplingData[[#This Row],[Candidate 8]]))),(SamplingData[[#This Row],[Total]]+SamplingData[[#This Row],[Winning Candidate]]-SamplingData[[#This Row],[Candidate 8]])/(SamplingData[[#Totals],[Winning Candidate]]-SamplingData[[#Totals],[Candidate 8]]), 0)</f>
        <v>0</v>
      </c>
      <c r="X5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00">
        <f>MAX(SamplingData[[#This Row],[Error Bound (up) - Max. possible relative overstatement - Losing Candidate]:[Error Bound (up) - Max. possible relative overstatement - Candidate 12]])</f>
        <v>3.7691993592361088E-4</v>
      </c>
      <c r="AC521" s="100">
        <f>IF(SamplingData[[#This Row],[Max Error Bound (up)]] = 0,0,SamplingData[[#This Row],[Max Error Bound (up)]]/SamplingData[[#Totals],[Max Error Bound (up)]])</f>
        <v>1.6152479405588763E-4</v>
      </c>
      <c r="AD521" s="104">
        <f>SUM($AC$5:AC521)</f>
        <v>0.11077908792332972</v>
      </c>
      <c r="AE521" s="100" t="str" cm="1">
        <f t="array" ref="AE521">IF(SamplingData[[#This Row],[up/U Selection Probability]] = 0, "Zero", TEXT(SamplingData[[#This Row],[Lower Range]], REPT("0",LEN('General Info'!$B$42))) &amp; " - " &amp; TEXT(SamplingData[[#This Row],[Upper Range]], REPT("0",LEN('General Info'!$B$42))))</f>
        <v>11062 - 11077</v>
      </c>
      <c r="AF521" s="100">
        <f>SamplingData[[#This Row],[Upper Range]]-SamplingData[[#This Row],[Span]]</f>
        <v>11061.756312927382</v>
      </c>
      <c r="AG521" s="100">
        <f>IF(ISNUMBER('General Info'!$B$42), ((SamplingData[[#This Row],[up/U Selection Probability]]) * 'General Info'!$B$44) - 1, 0)</f>
        <v>15.152479405588764</v>
      </c>
      <c r="AH521" s="100">
        <f>IF(ISNUMBER('General Info'!$B$42), (SamplingData[[#This Row],[Running (cumulative) sum]] * ('General Info'!$B$42 -'General Info'!$B$43 + 1)) + 'General Info'!$B$43 - 1, 0)</f>
        <v>11076.908792332972</v>
      </c>
      <c r="AI521" s="100" t="str">
        <f>IF(ISERROR(MATCH(SamplingData[[#This Row],[Batch by Type (p)]],SelectedPrecincts[Batch Name], 0)), "", INDEX(SelectedPrecincts[Draw], MATCH(SamplingData[[#This Row],[Batch by Type (p)]],SelectedPrecincts[Batch Name], 0)))</f>
        <v/>
      </c>
      <c r="AJ521" s="101">
        <f>IF(COUNTIF(SelectedPrecincts[Batch Name],SamplingData[[#This Row],[Batch by Type (p)]]) &lt;&gt; 0, COUNTIF(SelectedPrecincts[Batch Name],SamplingData[[#This Row],[Batch by Type (p)]]), 0)</f>
        <v>0</v>
      </c>
    </row>
    <row r="522" spans="1:36" ht="15" customHeight="1" x14ac:dyDescent="0.35">
      <c r="A522" s="98" t="s">
        <v>733</v>
      </c>
      <c r="B522" s="98">
        <v>4</v>
      </c>
      <c r="C522" s="98">
        <v>1</v>
      </c>
      <c r="D522" s="93"/>
      <c r="E522" s="93"/>
      <c r="F522" s="93"/>
      <c r="G522" s="97"/>
      <c r="H522" s="97"/>
      <c r="I522" s="93"/>
      <c r="J522" s="93"/>
      <c r="K522" s="93"/>
      <c r="L522" s="93"/>
      <c r="M522" s="93"/>
      <c r="N522" s="98">
        <v>0</v>
      </c>
      <c r="O522" s="98">
        <v>2</v>
      </c>
      <c r="P522" s="99">
        <f>SUM(SamplingData[[#This Row],[Winning Candidate]:[Under Votes]])</f>
        <v>7</v>
      </c>
      <c r="Q522"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522" s="100">
        <f>IF(AND(SamplingData[[#This Row],[Total]]&lt;&gt; 0, NOT(ISBLANK(SamplingData[[#This Row],[Candidate 3]]))),(SamplingData[[#This Row],[Total]]+SamplingData[[#This Row],[Winning Candidate]]-SamplingData[[#This Row],[Candidate 3]])/(SamplingData[[#Totals],[Winning Candidate]]-SamplingData[[#Totals],[Candidate 3]]), 0)</f>
        <v>0</v>
      </c>
      <c r="S522" s="100">
        <f>IF(AND(SamplingData[[#This Row],[Total]]&lt;&gt; 0, NOT(ISBLANK(SamplingData[[#This Row],[Candidate 4]]))),(SamplingData[[#This Row],[Total]]+SamplingData[[#This Row],[Winning Candidate]]-SamplingData[[#This Row],[Candidate 4]])/(SamplingData[[#Totals],[Winning Candidate]]-SamplingData[[#Totals],[Candidate 4]]), 0)</f>
        <v>0</v>
      </c>
      <c r="T522" s="100">
        <f>IF(AND(SamplingData[[#This Row],[Total]]&lt;&gt; 0, NOT(ISBLANK(SamplingData[[#This Row],[Candidate 5]]))),(SamplingData[[#This Row],[Total]]+SamplingData[[#This Row],[Winning Candidate]]-SamplingData[[#This Row],[Candidate 5]])/(SamplingData[[#Totals],[Winning Candidate]]-SamplingData[[#Totals],[Candidate 5]]), 0)</f>
        <v>0</v>
      </c>
      <c r="U522" s="100">
        <f>IF(AND(SamplingData[[#This Row],[Total]]&lt;&gt; 0, NOT(ISBLANK(SamplingData[[#This Row],[Candidate 6]]))),(SamplingData[[#This Row],[Total]]+SamplingData[[#This Row],[Losing Candidate]]-SamplingData[[#This Row],[Candidate 6]])/(SamplingData[[#Totals],[Winning Candidate]]-SamplingData[[#Totals],[Candidate 6]]), 0)</f>
        <v>0</v>
      </c>
      <c r="V522" s="100">
        <f>IF(AND(SamplingData[[#This Row],[Total]]&lt;&gt; 0, NOT(ISBLANK(SamplingData[[#This Row],[Candidate 7]]))),(SamplingData[[#This Row],[Total]]+SamplingData[[#This Row],[Winning Candidate]]-SamplingData[[#This Row],[Candidate 7]])/(SamplingData[[#Totals],[Winning Candidate]]-SamplingData[[#Totals],[Candidate 7]]), 0)</f>
        <v>0</v>
      </c>
      <c r="W522" s="100">
        <f>IF(AND(SamplingData[[#This Row],[Total]]&lt;&gt; 0, NOT(ISBLANK(SamplingData[[#This Row],[Candidate 8]]))),(SamplingData[[#This Row],[Total]]+SamplingData[[#This Row],[Winning Candidate]]-SamplingData[[#This Row],[Candidate 8]])/(SamplingData[[#Totals],[Winning Candidate]]-SamplingData[[#Totals],[Candidate 8]]), 0)</f>
        <v>0</v>
      </c>
      <c r="X5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00">
        <f>MAX(SamplingData[[#This Row],[Error Bound (up) - Max. possible relative overstatement - Losing Candidate]:[Error Bound (up) - Max. possible relative overstatement - Candidate 12]])</f>
        <v>3.1409994660300906E-4</v>
      </c>
      <c r="AC522" s="100">
        <f>IF(SamplingData[[#This Row],[Max Error Bound (up)]] = 0,0,SamplingData[[#This Row],[Max Error Bound (up)]]/SamplingData[[#Totals],[Max Error Bound (up)]])</f>
        <v>1.3460399504657304E-4</v>
      </c>
      <c r="AD522" s="104">
        <f>SUM($AC$5:AC522)</f>
        <v>0.11091369191837629</v>
      </c>
      <c r="AE522" s="100" t="str" cm="1">
        <f t="array" ref="AE522">IF(SamplingData[[#This Row],[up/U Selection Probability]] = 0, "Zero", TEXT(SamplingData[[#This Row],[Lower Range]], REPT("0",LEN('General Info'!$B$42))) &amp; " - " &amp; TEXT(SamplingData[[#This Row],[Upper Range]], REPT("0",LEN('General Info'!$B$42))))</f>
        <v>11078 - 11090</v>
      </c>
      <c r="AF522" s="100">
        <f>SamplingData[[#This Row],[Upper Range]]-SamplingData[[#This Row],[Span]]</f>
        <v>11077.90879233297</v>
      </c>
      <c r="AG522" s="100">
        <f>IF(ISNUMBER('General Info'!$B$42), ((SamplingData[[#This Row],[up/U Selection Probability]]) * 'General Info'!$B$44) - 1, 0)</f>
        <v>12.460399504657303</v>
      </c>
      <c r="AH522" s="100">
        <f>IF(ISNUMBER('General Info'!$B$42), (SamplingData[[#This Row],[Running (cumulative) sum]] * ('General Info'!$B$42 -'General Info'!$B$43 + 1)) + 'General Info'!$B$43 - 1, 0)</f>
        <v>11090.369191837628</v>
      </c>
      <c r="AI522" s="100" t="str">
        <f>IF(ISERROR(MATCH(SamplingData[[#This Row],[Batch by Type (p)]],SelectedPrecincts[Batch Name], 0)), "", INDEX(SelectedPrecincts[Draw], MATCH(SamplingData[[#This Row],[Batch by Type (p)]],SelectedPrecincts[Batch Name], 0)))</f>
        <v/>
      </c>
      <c r="AJ522" s="101">
        <f>IF(COUNTIF(SelectedPrecincts[Batch Name],SamplingData[[#This Row],[Batch by Type (p)]]) &lt;&gt; 0, COUNTIF(SelectedPrecincts[Batch Name],SamplingData[[#This Row],[Batch by Type (p)]]), 0)</f>
        <v>0</v>
      </c>
    </row>
    <row r="523" spans="1:36" ht="15" customHeight="1" x14ac:dyDescent="0.35">
      <c r="A523" s="98" t="s">
        <v>734</v>
      </c>
      <c r="B523" s="98">
        <v>8</v>
      </c>
      <c r="C523" s="98">
        <v>1</v>
      </c>
      <c r="D523" s="93"/>
      <c r="E523" s="93"/>
      <c r="F523" s="93"/>
      <c r="G523" s="97"/>
      <c r="H523" s="97"/>
      <c r="I523" s="93"/>
      <c r="J523" s="93"/>
      <c r="K523" s="93"/>
      <c r="L523" s="93"/>
      <c r="M523" s="93"/>
      <c r="N523" s="98">
        <v>0</v>
      </c>
      <c r="O523" s="98">
        <v>0</v>
      </c>
      <c r="P523" s="99">
        <f>SUM(SamplingData[[#This Row],[Winning Candidate]:[Under Votes]])</f>
        <v>9</v>
      </c>
      <c r="Q523"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523" s="100">
        <f>IF(AND(SamplingData[[#This Row],[Total]]&lt;&gt; 0, NOT(ISBLANK(SamplingData[[#This Row],[Candidate 3]]))),(SamplingData[[#This Row],[Total]]+SamplingData[[#This Row],[Winning Candidate]]-SamplingData[[#This Row],[Candidate 3]])/(SamplingData[[#Totals],[Winning Candidate]]-SamplingData[[#Totals],[Candidate 3]]), 0)</f>
        <v>0</v>
      </c>
      <c r="S523" s="100">
        <f>IF(AND(SamplingData[[#This Row],[Total]]&lt;&gt; 0, NOT(ISBLANK(SamplingData[[#This Row],[Candidate 4]]))),(SamplingData[[#This Row],[Total]]+SamplingData[[#This Row],[Winning Candidate]]-SamplingData[[#This Row],[Candidate 4]])/(SamplingData[[#Totals],[Winning Candidate]]-SamplingData[[#Totals],[Candidate 4]]), 0)</f>
        <v>0</v>
      </c>
      <c r="T523" s="100">
        <f>IF(AND(SamplingData[[#This Row],[Total]]&lt;&gt; 0, NOT(ISBLANK(SamplingData[[#This Row],[Candidate 5]]))),(SamplingData[[#This Row],[Total]]+SamplingData[[#This Row],[Winning Candidate]]-SamplingData[[#This Row],[Candidate 5]])/(SamplingData[[#Totals],[Winning Candidate]]-SamplingData[[#Totals],[Candidate 5]]), 0)</f>
        <v>0</v>
      </c>
      <c r="U523" s="100">
        <f>IF(AND(SamplingData[[#This Row],[Total]]&lt;&gt; 0, NOT(ISBLANK(SamplingData[[#This Row],[Candidate 6]]))),(SamplingData[[#This Row],[Total]]+SamplingData[[#This Row],[Losing Candidate]]-SamplingData[[#This Row],[Candidate 6]])/(SamplingData[[#Totals],[Winning Candidate]]-SamplingData[[#Totals],[Candidate 6]]), 0)</f>
        <v>0</v>
      </c>
      <c r="V523" s="100">
        <f>IF(AND(SamplingData[[#This Row],[Total]]&lt;&gt; 0, NOT(ISBLANK(SamplingData[[#This Row],[Candidate 7]]))),(SamplingData[[#This Row],[Total]]+SamplingData[[#This Row],[Winning Candidate]]-SamplingData[[#This Row],[Candidate 7]])/(SamplingData[[#Totals],[Winning Candidate]]-SamplingData[[#Totals],[Candidate 7]]), 0)</f>
        <v>0</v>
      </c>
      <c r="W523" s="100">
        <f>IF(AND(SamplingData[[#This Row],[Total]]&lt;&gt; 0, NOT(ISBLANK(SamplingData[[#This Row],[Candidate 8]]))),(SamplingData[[#This Row],[Total]]+SamplingData[[#This Row],[Winning Candidate]]-SamplingData[[#This Row],[Candidate 8]])/(SamplingData[[#Totals],[Winning Candidate]]-SamplingData[[#Totals],[Candidate 8]]), 0)</f>
        <v>0</v>
      </c>
      <c r="X5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00">
        <f>MAX(SamplingData[[#This Row],[Error Bound (up) - Max. possible relative overstatement - Losing Candidate]:[Error Bound (up) - Max. possible relative overstatement - Candidate 12]])</f>
        <v>5.0255991456481448E-4</v>
      </c>
      <c r="AC523" s="100">
        <f>IF(SamplingData[[#This Row],[Max Error Bound (up)]] = 0,0,SamplingData[[#This Row],[Max Error Bound (up)]]/SamplingData[[#Totals],[Max Error Bound (up)]])</f>
        <v>2.1536639207451683E-4</v>
      </c>
      <c r="AD523" s="104">
        <f>SUM($AC$5:AC523)</f>
        <v>0.11112905831045081</v>
      </c>
      <c r="AE523" s="100" t="str" cm="1">
        <f t="array" ref="AE523">IF(SamplingData[[#This Row],[up/U Selection Probability]] = 0, "Zero", TEXT(SamplingData[[#This Row],[Lower Range]], REPT("0",LEN('General Info'!$B$42))) &amp; " - " &amp; TEXT(SamplingData[[#This Row],[Upper Range]], REPT("0",LEN('General Info'!$B$42))))</f>
        <v>11091 - 11112</v>
      </c>
      <c r="AF523" s="100">
        <f>SamplingData[[#This Row],[Upper Range]]-SamplingData[[#This Row],[Span]]</f>
        <v>11091.369191837628</v>
      </c>
      <c r="AG523" s="100">
        <f>IF(ISNUMBER('General Info'!$B$42), ((SamplingData[[#This Row],[up/U Selection Probability]]) * 'General Info'!$B$44) - 1, 0)</f>
        <v>20.536639207451682</v>
      </c>
      <c r="AH523" s="100">
        <f>IF(ISNUMBER('General Info'!$B$42), (SamplingData[[#This Row],[Running (cumulative) sum]] * ('General Info'!$B$42 -'General Info'!$B$43 + 1)) + 'General Info'!$B$43 - 1, 0)</f>
        <v>11111.90583104508</v>
      </c>
      <c r="AI523" s="100" t="str">
        <f>IF(ISERROR(MATCH(SamplingData[[#This Row],[Batch by Type (p)]],SelectedPrecincts[Batch Name], 0)), "", INDEX(SelectedPrecincts[Draw], MATCH(SamplingData[[#This Row],[Batch by Type (p)]],SelectedPrecincts[Batch Name], 0)))</f>
        <v/>
      </c>
      <c r="AJ523" s="101">
        <f>IF(COUNTIF(SelectedPrecincts[Batch Name],SamplingData[[#This Row],[Batch by Type (p)]]) &lt;&gt; 0, COUNTIF(SelectedPrecincts[Batch Name],SamplingData[[#This Row],[Batch by Type (p)]]), 0)</f>
        <v>0</v>
      </c>
    </row>
    <row r="524" spans="1:36" ht="15" customHeight="1" x14ac:dyDescent="0.35">
      <c r="A524" s="98" t="s">
        <v>735</v>
      </c>
      <c r="B524" s="98">
        <v>2</v>
      </c>
      <c r="C524" s="98">
        <v>1</v>
      </c>
      <c r="D524" s="93"/>
      <c r="E524" s="93"/>
      <c r="F524" s="93"/>
      <c r="G524" s="97"/>
      <c r="H524" s="97"/>
      <c r="I524" s="93"/>
      <c r="J524" s="93"/>
      <c r="K524" s="93"/>
      <c r="L524" s="93"/>
      <c r="M524" s="93"/>
      <c r="N524" s="98">
        <v>0</v>
      </c>
      <c r="O524" s="98">
        <v>1</v>
      </c>
      <c r="P524" s="99">
        <f>SUM(SamplingData[[#This Row],[Winning Candidate]:[Under Votes]])</f>
        <v>4</v>
      </c>
      <c r="Q524" s="100">
        <f>IF(AND(SamplingData[[#This Row],[Total]]&lt;&gt; 0, NOT(ISBLANK(SamplingData[[#This Row],[Losing Candidate]]))),(SamplingData[[#This Row],[Total]]+SamplingData[[#This Row],[Winning Candidate]]-SamplingData[[#This Row],[Losing Candidate]])/(SamplingData[[#Totals],[Winning Candidate]]-SamplingData[[#Totals],[Losing Candidate]]), 0)</f>
        <v>1.5704997330150453E-4</v>
      </c>
      <c r="R524" s="100">
        <f>IF(AND(SamplingData[[#This Row],[Total]]&lt;&gt; 0, NOT(ISBLANK(SamplingData[[#This Row],[Candidate 3]]))),(SamplingData[[#This Row],[Total]]+SamplingData[[#This Row],[Winning Candidate]]-SamplingData[[#This Row],[Candidate 3]])/(SamplingData[[#Totals],[Winning Candidate]]-SamplingData[[#Totals],[Candidate 3]]), 0)</f>
        <v>0</v>
      </c>
      <c r="S524" s="100">
        <f>IF(AND(SamplingData[[#This Row],[Total]]&lt;&gt; 0, NOT(ISBLANK(SamplingData[[#This Row],[Candidate 4]]))),(SamplingData[[#This Row],[Total]]+SamplingData[[#This Row],[Winning Candidate]]-SamplingData[[#This Row],[Candidate 4]])/(SamplingData[[#Totals],[Winning Candidate]]-SamplingData[[#Totals],[Candidate 4]]), 0)</f>
        <v>0</v>
      </c>
      <c r="T524" s="100">
        <f>IF(AND(SamplingData[[#This Row],[Total]]&lt;&gt; 0, NOT(ISBLANK(SamplingData[[#This Row],[Candidate 5]]))),(SamplingData[[#This Row],[Total]]+SamplingData[[#This Row],[Winning Candidate]]-SamplingData[[#This Row],[Candidate 5]])/(SamplingData[[#Totals],[Winning Candidate]]-SamplingData[[#Totals],[Candidate 5]]), 0)</f>
        <v>0</v>
      </c>
      <c r="U524" s="100">
        <f>IF(AND(SamplingData[[#This Row],[Total]]&lt;&gt; 0, NOT(ISBLANK(SamplingData[[#This Row],[Candidate 6]]))),(SamplingData[[#This Row],[Total]]+SamplingData[[#This Row],[Losing Candidate]]-SamplingData[[#This Row],[Candidate 6]])/(SamplingData[[#Totals],[Winning Candidate]]-SamplingData[[#Totals],[Candidate 6]]), 0)</f>
        <v>0</v>
      </c>
      <c r="V524" s="100">
        <f>IF(AND(SamplingData[[#This Row],[Total]]&lt;&gt; 0, NOT(ISBLANK(SamplingData[[#This Row],[Candidate 7]]))),(SamplingData[[#This Row],[Total]]+SamplingData[[#This Row],[Winning Candidate]]-SamplingData[[#This Row],[Candidate 7]])/(SamplingData[[#Totals],[Winning Candidate]]-SamplingData[[#Totals],[Candidate 7]]), 0)</f>
        <v>0</v>
      </c>
      <c r="W524" s="100">
        <f>IF(AND(SamplingData[[#This Row],[Total]]&lt;&gt; 0, NOT(ISBLANK(SamplingData[[#This Row],[Candidate 8]]))),(SamplingData[[#This Row],[Total]]+SamplingData[[#This Row],[Winning Candidate]]-SamplingData[[#This Row],[Candidate 8]])/(SamplingData[[#Totals],[Winning Candidate]]-SamplingData[[#Totals],[Candidate 8]]), 0)</f>
        <v>0</v>
      </c>
      <c r="X5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00">
        <f>MAX(SamplingData[[#This Row],[Error Bound (up) - Max. possible relative overstatement - Losing Candidate]:[Error Bound (up) - Max. possible relative overstatement - Candidate 12]])</f>
        <v>1.5704997330150453E-4</v>
      </c>
      <c r="AC524" s="100">
        <f>IF(SamplingData[[#This Row],[Max Error Bound (up)]] = 0,0,SamplingData[[#This Row],[Max Error Bound (up)]]/SamplingData[[#Totals],[Max Error Bound (up)]])</f>
        <v>6.7301997523286518E-5</v>
      </c>
      <c r="AD524" s="104">
        <f>SUM($AC$5:AC524)</f>
        <v>0.1111963603079741</v>
      </c>
      <c r="AE524" s="100" t="str" cm="1">
        <f t="array" ref="AE524">IF(SamplingData[[#This Row],[up/U Selection Probability]] = 0, "Zero", TEXT(SamplingData[[#This Row],[Lower Range]], REPT("0",LEN('General Info'!$B$42))) &amp; " - " &amp; TEXT(SamplingData[[#This Row],[Upper Range]], REPT("0",LEN('General Info'!$B$42))))</f>
        <v>11113 - 11119</v>
      </c>
      <c r="AF524" s="100">
        <f>SamplingData[[#This Row],[Upper Range]]-SamplingData[[#This Row],[Span]]</f>
        <v>11112.905831045082</v>
      </c>
      <c r="AG524" s="100">
        <f>IF(ISNUMBER('General Info'!$B$42), ((SamplingData[[#This Row],[up/U Selection Probability]]) * 'General Info'!$B$44) - 1, 0)</f>
        <v>5.7301997523286516</v>
      </c>
      <c r="AH524" s="100">
        <f>IF(ISNUMBER('General Info'!$B$42), (SamplingData[[#This Row],[Running (cumulative) sum]] * ('General Info'!$B$42 -'General Info'!$B$43 + 1)) + 'General Info'!$B$43 - 1, 0)</f>
        <v>11118.63603079741</v>
      </c>
      <c r="AI524" s="100" t="str">
        <f>IF(ISERROR(MATCH(SamplingData[[#This Row],[Batch by Type (p)]],SelectedPrecincts[Batch Name], 0)), "", INDEX(SelectedPrecincts[Draw], MATCH(SamplingData[[#This Row],[Batch by Type (p)]],SelectedPrecincts[Batch Name], 0)))</f>
        <v/>
      </c>
      <c r="AJ524" s="101">
        <f>IF(COUNTIF(SelectedPrecincts[Batch Name],SamplingData[[#This Row],[Batch by Type (p)]]) &lt;&gt; 0, COUNTIF(SelectedPrecincts[Batch Name],SamplingData[[#This Row],[Batch by Type (p)]]), 0)</f>
        <v>0</v>
      </c>
    </row>
    <row r="525" spans="1:36" ht="15" customHeight="1" x14ac:dyDescent="0.35">
      <c r="A525" s="98" t="s">
        <v>736</v>
      </c>
      <c r="B525" s="98">
        <v>10</v>
      </c>
      <c r="C525" s="98">
        <v>0</v>
      </c>
      <c r="D525" s="93"/>
      <c r="E525" s="93"/>
      <c r="F525" s="93"/>
      <c r="G525" s="97"/>
      <c r="H525" s="97"/>
      <c r="I525" s="93"/>
      <c r="J525" s="93"/>
      <c r="K525" s="93"/>
      <c r="L525" s="93"/>
      <c r="M525" s="93"/>
      <c r="N525" s="98">
        <v>0</v>
      </c>
      <c r="O525" s="98">
        <v>0</v>
      </c>
      <c r="P525" s="99">
        <f>SUM(SamplingData[[#This Row],[Winning Candidate]:[Under Votes]])</f>
        <v>10</v>
      </c>
      <c r="Q525"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525" s="100">
        <f>IF(AND(SamplingData[[#This Row],[Total]]&lt;&gt; 0, NOT(ISBLANK(SamplingData[[#This Row],[Candidate 3]]))),(SamplingData[[#This Row],[Total]]+SamplingData[[#This Row],[Winning Candidate]]-SamplingData[[#This Row],[Candidate 3]])/(SamplingData[[#Totals],[Winning Candidate]]-SamplingData[[#Totals],[Candidate 3]]), 0)</f>
        <v>0</v>
      </c>
      <c r="S525" s="100">
        <f>IF(AND(SamplingData[[#This Row],[Total]]&lt;&gt; 0, NOT(ISBLANK(SamplingData[[#This Row],[Candidate 4]]))),(SamplingData[[#This Row],[Total]]+SamplingData[[#This Row],[Winning Candidate]]-SamplingData[[#This Row],[Candidate 4]])/(SamplingData[[#Totals],[Winning Candidate]]-SamplingData[[#Totals],[Candidate 4]]), 0)</f>
        <v>0</v>
      </c>
      <c r="T525" s="100">
        <f>IF(AND(SamplingData[[#This Row],[Total]]&lt;&gt; 0, NOT(ISBLANK(SamplingData[[#This Row],[Candidate 5]]))),(SamplingData[[#This Row],[Total]]+SamplingData[[#This Row],[Winning Candidate]]-SamplingData[[#This Row],[Candidate 5]])/(SamplingData[[#Totals],[Winning Candidate]]-SamplingData[[#Totals],[Candidate 5]]), 0)</f>
        <v>0</v>
      </c>
      <c r="U525" s="100">
        <f>IF(AND(SamplingData[[#This Row],[Total]]&lt;&gt; 0, NOT(ISBLANK(SamplingData[[#This Row],[Candidate 6]]))),(SamplingData[[#This Row],[Total]]+SamplingData[[#This Row],[Losing Candidate]]-SamplingData[[#This Row],[Candidate 6]])/(SamplingData[[#Totals],[Winning Candidate]]-SamplingData[[#Totals],[Candidate 6]]), 0)</f>
        <v>0</v>
      </c>
      <c r="V525" s="100">
        <f>IF(AND(SamplingData[[#This Row],[Total]]&lt;&gt; 0, NOT(ISBLANK(SamplingData[[#This Row],[Candidate 7]]))),(SamplingData[[#This Row],[Total]]+SamplingData[[#This Row],[Winning Candidate]]-SamplingData[[#This Row],[Candidate 7]])/(SamplingData[[#Totals],[Winning Candidate]]-SamplingData[[#Totals],[Candidate 7]]), 0)</f>
        <v>0</v>
      </c>
      <c r="W525" s="100">
        <f>IF(AND(SamplingData[[#This Row],[Total]]&lt;&gt; 0, NOT(ISBLANK(SamplingData[[#This Row],[Candidate 8]]))),(SamplingData[[#This Row],[Total]]+SamplingData[[#This Row],[Winning Candidate]]-SamplingData[[#This Row],[Candidate 8]])/(SamplingData[[#Totals],[Winning Candidate]]-SamplingData[[#Totals],[Candidate 8]]), 0)</f>
        <v>0</v>
      </c>
      <c r="X5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00">
        <f>MAX(SamplingData[[#This Row],[Error Bound (up) - Max. possible relative overstatement - Losing Candidate]:[Error Bound (up) - Max. possible relative overstatement - Candidate 12]])</f>
        <v>6.2819989320601812E-4</v>
      </c>
      <c r="AC525" s="100">
        <f>IF(SamplingData[[#This Row],[Max Error Bound (up)]] = 0,0,SamplingData[[#This Row],[Max Error Bound (up)]]/SamplingData[[#Totals],[Max Error Bound (up)]])</f>
        <v>2.6920799009314607E-4</v>
      </c>
      <c r="AD525" s="104">
        <f>SUM($AC$5:AC525)</f>
        <v>0.11146556829806724</v>
      </c>
      <c r="AE525" s="100" t="str" cm="1">
        <f t="array" ref="AE525">IF(SamplingData[[#This Row],[up/U Selection Probability]] = 0, "Zero", TEXT(SamplingData[[#This Row],[Lower Range]], REPT("0",LEN('General Info'!$B$42))) &amp; " - " &amp; TEXT(SamplingData[[#This Row],[Upper Range]], REPT("0",LEN('General Info'!$B$42))))</f>
        <v>11120 - 11146</v>
      </c>
      <c r="AF525" s="100">
        <f>SamplingData[[#This Row],[Upper Range]]-SamplingData[[#This Row],[Span]]</f>
        <v>11119.63603079741</v>
      </c>
      <c r="AG525" s="100">
        <f>IF(ISNUMBER('General Info'!$B$42), ((SamplingData[[#This Row],[up/U Selection Probability]]) * 'General Info'!$B$44) - 1, 0)</f>
        <v>25.920799009314607</v>
      </c>
      <c r="AH525" s="100">
        <f>IF(ISNUMBER('General Info'!$B$42), (SamplingData[[#This Row],[Running (cumulative) sum]] * ('General Info'!$B$42 -'General Info'!$B$43 + 1)) + 'General Info'!$B$43 - 1, 0)</f>
        <v>11145.556829806725</v>
      </c>
      <c r="AI525" s="100" t="str">
        <f>IF(ISERROR(MATCH(SamplingData[[#This Row],[Batch by Type (p)]],SelectedPrecincts[Batch Name], 0)), "", INDEX(SelectedPrecincts[Draw], MATCH(SamplingData[[#This Row],[Batch by Type (p)]],SelectedPrecincts[Batch Name], 0)))</f>
        <v/>
      </c>
      <c r="AJ525" s="101">
        <f>IF(COUNTIF(SelectedPrecincts[Batch Name],SamplingData[[#This Row],[Batch by Type (p)]]) &lt;&gt; 0, COUNTIF(SelectedPrecincts[Batch Name],SamplingData[[#This Row],[Batch by Type (p)]]), 0)</f>
        <v>0</v>
      </c>
    </row>
    <row r="526" spans="1:36" ht="15" customHeight="1" x14ac:dyDescent="0.35">
      <c r="A526" s="98" t="s">
        <v>737</v>
      </c>
      <c r="B526" s="98">
        <v>8</v>
      </c>
      <c r="C526" s="98">
        <v>1</v>
      </c>
      <c r="D526" s="93"/>
      <c r="E526" s="93"/>
      <c r="F526" s="93"/>
      <c r="G526" s="97"/>
      <c r="H526" s="97"/>
      <c r="I526" s="93"/>
      <c r="J526" s="93"/>
      <c r="K526" s="93"/>
      <c r="L526" s="93"/>
      <c r="M526" s="93"/>
      <c r="N526" s="98">
        <v>0</v>
      </c>
      <c r="O526" s="98">
        <v>1</v>
      </c>
      <c r="P526" s="99">
        <f>SUM(SamplingData[[#This Row],[Winning Candidate]:[Under Votes]])</f>
        <v>10</v>
      </c>
      <c r="Q526" s="100">
        <f>IF(AND(SamplingData[[#This Row],[Total]]&lt;&gt; 0, NOT(ISBLANK(SamplingData[[#This Row],[Losing Candidate]]))),(SamplingData[[#This Row],[Total]]+SamplingData[[#This Row],[Winning Candidate]]-SamplingData[[#This Row],[Losing Candidate]])/(SamplingData[[#Totals],[Winning Candidate]]-SamplingData[[#Totals],[Losing Candidate]]), 0)</f>
        <v>5.3396990922511547E-4</v>
      </c>
      <c r="R526" s="100">
        <f>IF(AND(SamplingData[[#This Row],[Total]]&lt;&gt; 0, NOT(ISBLANK(SamplingData[[#This Row],[Candidate 3]]))),(SamplingData[[#This Row],[Total]]+SamplingData[[#This Row],[Winning Candidate]]-SamplingData[[#This Row],[Candidate 3]])/(SamplingData[[#Totals],[Winning Candidate]]-SamplingData[[#Totals],[Candidate 3]]), 0)</f>
        <v>0</v>
      </c>
      <c r="S526" s="100">
        <f>IF(AND(SamplingData[[#This Row],[Total]]&lt;&gt; 0, NOT(ISBLANK(SamplingData[[#This Row],[Candidate 4]]))),(SamplingData[[#This Row],[Total]]+SamplingData[[#This Row],[Winning Candidate]]-SamplingData[[#This Row],[Candidate 4]])/(SamplingData[[#Totals],[Winning Candidate]]-SamplingData[[#Totals],[Candidate 4]]), 0)</f>
        <v>0</v>
      </c>
      <c r="T526" s="100">
        <f>IF(AND(SamplingData[[#This Row],[Total]]&lt;&gt; 0, NOT(ISBLANK(SamplingData[[#This Row],[Candidate 5]]))),(SamplingData[[#This Row],[Total]]+SamplingData[[#This Row],[Winning Candidate]]-SamplingData[[#This Row],[Candidate 5]])/(SamplingData[[#Totals],[Winning Candidate]]-SamplingData[[#Totals],[Candidate 5]]), 0)</f>
        <v>0</v>
      </c>
      <c r="U526" s="100">
        <f>IF(AND(SamplingData[[#This Row],[Total]]&lt;&gt; 0, NOT(ISBLANK(SamplingData[[#This Row],[Candidate 6]]))),(SamplingData[[#This Row],[Total]]+SamplingData[[#This Row],[Losing Candidate]]-SamplingData[[#This Row],[Candidate 6]])/(SamplingData[[#Totals],[Winning Candidate]]-SamplingData[[#Totals],[Candidate 6]]), 0)</f>
        <v>0</v>
      </c>
      <c r="V526" s="100">
        <f>IF(AND(SamplingData[[#This Row],[Total]]&lt;&gt; 0, NOT(ISBLANK(SamplingData[[#This Row],[Candidate 7]]))),(SamplingData[[#This Row],[Total]]+SamplingData[[#This Row],[Winning Candidate]]-SamplingData[[#This Row],[Candidate 7]])/(SamplingData[[#Totals],[Winning Candidate]]-SamplingData[[#Totals],[Candidate 7]]), 0)</f>
        <v>0</v>
      </c>
      <c r="W526" s="100">
        <f>IF(AND(SamplingData[[#This Row],[Total]]&lt;&gt; 0, NOT(ISBLANK(SamplingData[[#This Row],[Candidate 8]]))),(SamplingData[[#This Row],[Total]]+SamplingData[[#This Row],[Winning Candidate]]-SamplingData[[#This Row],[Candidate 8]])/(SamplingData[[#Totals],[Winning Candidate]]-SamplingData[[#Totals],[Candidate 8]]), 0)</f>
        <v>0</v>
      </c>
      <c r="X5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00">
        <f>MAX(SamplingData[[#This Row],[Error Bound (up) - Max. possible relative overstatement - Losing Candidate]:[Error Bound (up) - Max. possible relative overstatement - Candidate 12]])</f>
        <v>5.3396990922511547E-4</v>
      </c>
      <c r="AC526" s="100">
        <f>IF(SamplingData[[#This Row],[Max Error Bound (up)]] = 0,0,SamplingData[[#This Row],[Max Error Bound (up)]]/SamplingData[[#Totals],[Max Error Bound (up)]])</f>
        <v>2.2882679157917418E-4</v>
      </c>
      <c r="AD526" s="104">
        <f>SUM($AC$5:AC526)</f>
        <v>0.11169439508964642</v>
      </c>
      <c r="AE526" s="100" t="str" cm="1">
        <f t="array" ref="AE526">IF(SamplingData[[#This Row],[up/U Selection Probability]] = 0, "Zero", TEXT(SamplingData[[#This Row],[Lower Range]], REPT("0",LEN('General Info'!$B$42))) &amp; " - " &amp; TEXT(SamplingData[[#This Row],[Upper Range]], REPT("0",LEN('General Info'!$B$42))))</f>
        <v>11147 - 11168</v>
      </c>
      <c r="AF526" s="100">
        <f>SamplingData[[#This Row],[Upper Range]]-SamplingData[[#This Row],[Span]]</f>
        <v>11146.556829806725</v>
      </c>
      <c r="AG526" s="100">
        <f>IF(ISNUMBER('General Info'!$B$42), ((SamplingData[[#This Row],[up/U Selection Probability]]) * 'General Info'!$B$44) - 1, 0)</f>
        <v>21.882679157917419</v>
      </c>
      <c r="AH526" s="100">
        <f>IF(ISNUMBER('General Info'!$B$42), (SamplingData[[#This Row],[Running (cumulative) sum]] * ('General Info'!$B$42 -'General Info'!$B$43 + 1)) + 'General Info'!$B$43 - 1, 0)</f>
        <v>11168.439508964642</v>
      </c>
      <c r="AI526" s="100" t="str">
        <f>IF(ISERROR(MATCH(SamplingData[[#This Row],[Batch by Type (p)]],SelectedPrecincts[Batch Name], 0)), "", INDEX(SelectedPrecincts[Draw], MATCH(SamplingData[[#This Row],[Batch by Type (p)]],SelectedPrecincts[Batch Name], 0)))</f>
        <v/>
      </c>
      <c r="AJ526" s="101">
        <f>IF(COUNTIF(SelectedPrecincts[Batch Name],SamplingData[[#This Row],[Batch by Type (p)]]) &lt;&gt; 0, COUNTIF(SelectedPrecincts[Batch Name],SamplingData[[#This Row],[Batch by Type (p)]]), 0)</f>
        <v>0</v>
      </c>
    </row>
    <row r="527" spans="1:36" ht="15" customHeight="1" x14ac:dyDescent="0.35">
      <c r="A527" s="98" t="s">
        <v>738</v>
      </c>
      <c r="B527" s="98">
        <v>12</v>
      </c>
      <c r="C527" s="98">
        <v>0</v>
      </c>
      <c r="D527" s="93"/>
      <c r="E527" s="93"/>
      <c r="F527" s="93"/>
      <c r="G527" s="97"/>
      <c r="H527" s="97"/>
      <c r="I527" s="93"/>
      <c r="J527" s="93"/>
      <c r="K527" s="93"/>
      <c r="L527" s="93"/>
      <c r="M527" s="93"/>
      <c r="N527" s="98">
        <v>0</v>
      </c>
      <c r="O527" s="98">
        <v>0</v>
      </c>
      <c r="P527" s="99">
        <f>SUM(SamplingData[[#This Row],[Winning Candidate]:[Under Votes]])</f>
        <v>12</v>
      </c>
      <c r="Q527"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527" s="100">
        <f>IF(AND(SamplingData[[#This Row],[Total]]&lt;&gt; 0, NOT(ISBLANK(SamplingData[[#This Row],[Candidate 3]]))),(SamplingData[[#This Row],[Total]]+SamplingData[[#This Row],[Winning Candidate]]-SamplingData[[#This Row],[Candidate 3]])/(SamplingData[[#Totals],[Winning Candidate]]-SamplingData[[#Totals],[Candidate 3]]), 0)</f>
        <v>0</v>
      </c>
      <c r="S527" s="100">
        <f>IF(AND(SamplingData[[#This Row],[Total]]&lt;&gt; 0, NOT(ISBLANK(SamplingData[[#This Row],[Candidate 4]]))),(SamplingData[[#This Row],[Total]]+SamplingData[[#This Row],[Winning Candidate]]-SamplingData[[#This Row],[Candidate 4]])/(SamplingData[[#Totals],[Winning Candidate]]-SamplingData[[#Totals],[Candidate 4]]), 0)</f>
        <v>0</v>
      </c>
      <c r="T527" s="100">
        <f>IF(AND(SamplingData[[#This Row],[Total]]&lt;&gt; 0, NOT(ISBLANK(SamplingData[[#This Row],[Candidate 5]]))),(SamplingData[[#This Row],[Total]]+SamplingData[[#This Row],[Winning Candidate]]-SamplingData[[#This Row],[Candidate 5]])/(SamplingData[[#Totals],[Winning Candidate]]-SamplingData[[#Totals],[Candidate 5]]), 0)</f>
        <v>0</v>
      </c>
      <c r="U527" s="100">
        <f>IF(AND(SamplingData[[#This Row],[Total]]&lt;&gt; 0, NOT(ISBLANK(SamplingData[[#This Row],[Candidate 6]]))),(SamplingData[[#This Row],[Total]]+SamplingData[[#This Row],[Losing Candidate]]-SamplingData[[#This Row],[Candidate 6]])/(SamplingData[[#Totals],[Winning Candidate]]-SamplingData[[#Totals],[Candidate 6]]), 0)</f>
        <v>0</v>
      </c>
      <c r="V527" s="100">
        <f>IF(AND(SamplingData[[#This Row],[Total]]&lt;&gt; 0, NOT(ISBLANK(SamplingData[[#This Row],[Candidate 7]]))),(SamplingData[[#This Row],[Total]]+SamplingData[[#This Row],[Winning Candidate]]-SamplingData[[#This Row],[Candidate 7]])/(SamplingData[[#Totals],[Winning Candidate]]-SamplingData[[#Totals],[Candidate 7]]), 0)</f>
        <v>0</v>
      </c>
      <c r="W527" s="100">
        <f>IF(AND(SamplingData[[#This Row],[Total]]&lt;&gt; 0, NOT(ISBLANK(SamplingData[[#This Row],[Candidate 8]]))),(SamplingData[[#This Row],[Total]]+SamplingData[[#This Row],[Winning Candidate]]-SamplingData[[#This Row],[Candidate 8]])/(SamplingData[[#Totals],[Winning Candidate]]-SamplingData[[#Totals],[Candidate 8]]), 0)</f>
        <v>0</v>
      </c>
      <c r="X5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00">
        <f>MAX(SamplingData[[#This Row],[Error Bound (up) - Max. possible relative overstatement - Losing Candidate]:[Error Bound (up) - Max. possible relative overstatement - Candidate 12]])</f>
        <v>7.5383987184722177E-4</v>
      </c>
      <c r="AC527" s="100">
        <f>IF(SamplingData[[#This Row],[Max Error Bound (up)]] = 0,0,SamplingData[[#This Row],[Max Error Bound (up)]]/SamplingData[[#Totals],[Max Error Bound (up)]])</f>
        <v>3.2304958811177527E-4</v>
      </c>
      <c r="AD527" s="104">
        <f>SUM($AC$5:AC527)</f>
        <v>0.11201744467775819</v>
      </c>
      <c r="AE527" s="100" t="str" cm="1">
        <f t="array" ref="AE527">IF(SamplingData[[#This Row],[up/U Selection Probability]] = 0, "Zero", TEXT(SamplingData[[#This Row],[Lower Range]], REPT("0",LEN('General Info'!$B$42))) &amp; " - " &amp; TEXT(SamplingData[[#This Row],[Upper Range]], REPT("0",LEN('General Info'!$B$42))))</f>
        <v>11169 - 11201</v>
      </c>
      <c r="AF527" s="100">
        <f>SamplingData[[#This Row],[Upper Range]]-SamplingData[[#This Row],[Span]]</f>
        <v>11169.439508964642</v>
      </c>
      <c r="AG527" s="100">
        <f>IF(ISNUMBER('General Info'!$B$42), ((SamplingData[[#This Row],[up/U Selection Probability]]) * 'General Info'!$B$44) - 1, 0)</f>
        <v>31.304958811177528</v>
      </c>
      <c r="AH527" s="100">
        <f>IF(ISNUMBER('General Info'!$B$42), (SamplingData[[#This Row],[Running (cumulative) sum]] * ('General Info'!$B$42 -'General Info'!$B$43 + 1)) + 'General Info'!$B$43 - 1, 0)</f>
        <v>11200.744467775819</v>
      </c>
      <c r="AI527" s="100" t="str">
        <f>IF(ISERROR(MATCH(SamplingData[[#This Row],[Batch by Type (p)]],SelectedPrecincts[Batch Name], 0)), "", INDEX(SelectedPrecincts[Draw], MATCH(SamplingData[[#This Row],[Batch by Type (p)]],SelectedPrecincts[Batch Name], 0)))</f>
        <v/>
      </c>
      <c r="AJ527" s="101">
        <f>IF(COUNTIF(SelectedPrecincts[Batch Name],SamplingData[[#This Row],[Batch by Type (p)]]) &lt;&gt; 0, COUNTIF(SelectedPrecincts[Batch Name],SamplingData[[#This Row],[Batch by Type (p)]]), 0)</f>
        <v>0</v>
      </c>
    </row>
    <row r="528" spans="1:36" ht="15" customHeight="1" x14ac:dyDescent="0.35">
      <c r="A528" s="98" t="s">
        <v>739</v>
      </c>
      <c r="B528" s="98">
        <v>12</v>
      </c>
      <c r="C528" s="98">
        <v>0</v>
      </c>
      <c r="D528" s="93"/>
      <c r="E528" s="93"/>
      <c r="F528" s="93"/>
      <c r="G528" s="97"/>
      <c r="H528" s="97"/>
      <c r="I528" s="93"/>
      <c r="J528" s="93"/>
      <c r="K528" s="93"/>
      <c r="L528" s="93"/>
      <c r="M528" s="93"/>
      <c r="N528" s="98">
        <v>0</v>
      </c>
      <c r="O528" s="98">
        <v>0</v>
      </c>
      <c r="P528" s="99">
        <f>SUM(SamplingData[[#This Row],[Winning Candidate]:[Under Votes]])</f>
        <v>12</v>
      </c>
      <c r="Q528"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528" s="100">
        <f>IF(AND(SamplingData[[#This Row],[Total]]&lt;&gt; 0, NOT(ISBLANK(SamplingData[[#This Row],[Candidate 3]]))),(SamplingData[[#This Row],[Total]]+SamplingData[[#This Row],[Winning Candidate]]-SamplingData[[#This Row],[Candidate 3]])/(SamplingData[[#Totals],[Winning Candidate]]-SamplingData[[#Totals],[Candidate 3]]), 0)</f>
        <v>0</v>
      </c>
      <c r="S528" s="100">
        <f>IF(AND(SamplingData[[#This Row],[Total]]&lt;&gt; 0, NOT(ISBLANK(SamplingData[[#This Row],[Candidate 4]]))),(SamplingData[[#This Row],[Total]]+SamplingData[[#This Row],[Winning Candidate]]-SamplingData[[#This Row],[Candidate 4]])/(SamplingData[[#Totals],[Winning Candidate]]-SamplingData[[#Totals],[Candidate 4]]), 0)</f>
        <v>0</v>
      </c>
      <c r="T528" s="100">
        <f>IF(AND(SamplingData[[#This Row],[Total]]&lt;&gt; 0, NOT(ISBLANK(SamplingData[[#This Row],[Candidate 5]]))),(SamplingData[[#This Row],[Total]]+SamplingData[[#This Row],[Winning Candidate]]-SamplingData[[#This Row],[Candidate 5]])/(SamplingData[[#Totals],[Winning Candidate]]-SamplingData[[#Totals],[Candidate 5]]), 0)</f>
        <v>0</v>
      </c>
      <c r="U528" s="100">
        <f>IF(AND(SamplingData[[#This Row],[Total]]&lt;&gt; 0, NOT(ISBLANK(SamplingData[[#This Row],[Candidate 6]]))),(SamplingData[[#This Row],[Total]]+SamplingData[[#This Row],[Losing Candidate]]-SamplingData[[#This Row],[Candidate 6]])/(SamplingData[[#Totals],[Winning Candidate]]-SamplingData[[#Totals],[Candidate 6]]), 0)</f>
        <v>0</v>
      </c>
      <c r="V528" s="100">
        <f>IF(AND(SamplingData[[#This Row],[Total]]&lt;&gt; 0, NOT(ISBLANK(SamplingData[[#This Row],[Candidate 7]]))),(SamplingData[[#This Row],[Total]]+SamplingData[[#This Row],[Winning Candidate]]-SamplingData[[#This Row],[Candidate 7]])/(SamplingData[[#Totals],[Winning Candidate]]-SamplingData[[#Totals],[Candidate 7]]), 0)</f>
        <v>0</v>
      </c>
      <c r="W528" s="100">
        <f>IF(AND(SamplingData[[#This Row],[Total]]&lt;&gt; 0, NOT(ISBLANK(SamplingData[[#This Row],[Candidate 8]]))),(SamplingData[[#This Row],[Total]]+SamplingData[[#This Row],[Winning Candidate]]-SamplingData[[#This Row],[Candidate 8]])/(SamplingData[[#Totals],[Winning Candidate]]-SamplingData[[#Totals],[Candidate 8]]), 0)</f>
        <v>0</v>
      </c>
      <c r="X5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00">
        <f>MAX(SamplingData[[#This Row],[Error Bound (up) - Max. possible relative overstatement - Losing Candidate]:[Error Bound (up) - Max. possible relative overstatement - Candidate 12]])</f>
        <v>7.5383987184722177E-4</v>
      </c>
      <c r="AC528" s="100">
        <f>IF(SamplingData[[#This Row],[Max Error Bound (up)]] = 0,0,SamplingData[[#This Row],[Max Error Bound (up)]]/SamplingData[[#Totals],[Max Error Bound (up)]])</f>
        <v>3.2304958811177527E-4</v>
      </c>
      <c r="AD528" s="104">
        <f>SUM($AC$5:AC528)</f>
        <v>0.11234049426586996</v>
      </c>
      <c r="AE528" s="100" t="str" cm="1">
        <f t="array" ref="AE528">IF(SamplingData[[#This Row],[up/U Selection Probability]] = 0, "Zero", TEXT(SamplingData[[#This Row],[Lower Range]], REPT("0",LEN('General Info'!$B$42))) &amp; " - " &amp; TEXT(SamplingData[[#This Row],[Upper Range]], REPT("0",LEN('General Info'!$B$42))))</f>
        <v>11202 - 11233</v>
      </c>
      <c r="AF528" s="100">
        <f>SamplingData[[#This Row],[Upper Range]]-SamplingData[[#This Row],[Span]]</f>
        <v>11201.744467775819</v>
      </c>
      <c r="AG528" s="100">
        <f>IF(ISNUMBER('General Info'!$B$42), ((SamplingData[[#This Row],[up/U Selection Probability]]) * 'General Info'!$B$44) - 1, 0)</f>
        <v>31.304958811177528</v>
      </c>
      <c r="AH528" s="100">
        <f>IF(ISNUMBER('General Info'!$B$42), (SamplingData[[#This Row],[Running (cumulative) sum]] * ('General Info'!$B$42 -'General Info'!$B$43 + 1)) + 'General Info'!$B$43 - 1, 0)</f>
        <v>11233.049426586997</v>
      </c>
      <c r="AI528" s="100" t="str">
        <f>IF(ISERROR(MATCH(SamplingData[[#This Row],[Batch by Type (p)]],SelectedPrecincts[Batch Name], 0)), "", INDEX(SelectedPrecincts[Draw], MATCH(SamplingData[[#This Row],[Batch by Type (p)]],SelectedPrecincts[Batch Name], 0)))</f>
        <v/>
      </c>
      <c r="AJ528" s="101">
        <f>IF(COUNTIF(SelectedPrecincts[Batch Name],SamplingData[[#This Row],[Batch by Type (p)]]) &lt;&gt; 0, COUNTIF(SelectedPrecincts[Batch Name],SamplingData[[#This Row],[Batch by Type (p)]]), 0)</f>
        <v>0</v>
      </c>
    </row>
    <row r="529" spans="1:36" ht="15" customHeight="1" x14ac:dyDescent="0.35">
      <c r="A529" s="98" t="s">
        <v>740</v>
      </c>
      <c r="B529" s="98">
        <v>4</v>
      </c>
      <c r="C529" s="98">
        <v>2</v>
      </c>
      <c r="D529" s="93"/>
      <c r="E529" s="93"/>
      <c r="F529" s="93"/>
      <c r="G529" s="97"/>
      <c r="H529" s="97"/>
      <c r="I529" s="93"/>
      <c r="J529" s="93"/>
      <c r="K529" s="93"/>
      <c r="L529" s="93"/>
      <c r="M529" s="93"/>
      <c r="N529" s="98">
        <v>0</v>
      </c>
      <c r="O529" s="98">
        <v>0</v>
      </c>
      <c r="P529" s="99">
        <f>SUM(SamplingData[[#This Row],[Winning Candidate]:[Under Votes]])</f>
        <v>6</v>
      </c>
      <c r="Q529"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529" s="100">
        <f>IF(AND(SamplingData[[#This Row],[Total]]&lt;&gt; 0, NOT(ISBLANK(SamplingData[[#This Row],[Candidate 3]]))),(SamplingData[[#This Row],[Total]]+SamplingData[[#This Row],[Winning Candidate]]-SamplingData[[#This Row],[Candidate 3]])/(SamplingData[[#Totals],[Winning Candidate]]-SamplingData[[#Totals],[Candidate 3]]), 0)</f>
        <v>0</v>
      </c>
      <c r="S529" s="100">
        <f>IF(AND(SamplingData[[#This Row],[Total]]&lt;&gt; 0, NOT(ISBLANK(SamplingData[[#This Row],[Candidate 4]]))),(SamplingData[[#This Row],[Total]]+SamplingData[[#This Row],[Winning Candidate]]-SamplingData[[#This Row],[Candidate 4]])/(SamplingData[[#Totals],[Winning Candidate]]-SamplingData[[#Totals],[Candidate 4]]), 0)</f>
        <v>0</v>
      </c>
      <c r="T529" s="100">
        <f>IF(AND(SamplingData[[#This Row],[Total]]&lt;&gt; 0, NOT(ISBLANK(SamplingData[[#This Row],[Candidate 5]]))),(SamplingData[[#This Row],[Total]]+SamplingData[[#This Row],[Winning Candidate]]-SamplingData[[#This Row],[Candidate 5]])/(SamplingData[[#Totals],[Winning Candidate]]-SamplingData[[#Totals],[Candidate 5]]), 0)</f>
        <v>0</v>
      </c>
      <c r="U529" s="100">
        <f>IF(AND(SamplingData[[#This Row],[Total]]&lt;&gt; 0, NOT(ISBLANK(SamplingData[[#This Row],[Candidate 6]]))),(SamplingData[[#This Row],[Total]]+SamplingData[[#This Row],[Losing Candidate]]-SamplingData[[#This Row],[Candidate 6]])/(SamplingData[[#Totals],[Winning Candidate]]-SamplingData[[#Totals],[Candidate 6]]), 0)</f>
        <v>0</v>
      </c>
      <c r="V529" s="100">
        <f>IF(AND(SamplingData[[#This Row],[Total]]&lt;&gt; 0, NOT(ISBLANK(SamplingData[[#This Row],[Candidate 7]]))),(SamplingData[[#This Row],[Total]]+SamplingData[[#This Row],[Winning Candidate]]-SamplingData[[#This Row],[Candidate 7]])/(SamplingData[[#Totals],[Winning Candidate]]-SamplingData[[#Totals],[Candidate 7]]), 0)</f>
        <v>0</v>
      </c>
      <c r="W529" s="100">
        <f>IF(AND(SamplingData[[#This Row],[Total]]&lt;&gt; 0, NOT(ISBLANK(SamplingData[[#This Row],[Candidate 8]]))),(SamplingData[[#This Row],[Total]]+SamplingData[[#This Row],[Winning Candidate]]-SamplingData[[#This Row],[Candidate 8]])/(SamplingData[[#Totals],[Winning Candidate]]-SamplingData[[#Totals],[Candidate 8]]), 0)</f>
        <v>0</v>
      </c>
      <c r="X5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00">
        <f>MAX(SamplingData[[#This Row],[Error Bound (up) - Max. possible relative overstatement - Losing Candidate]:[Error Bound (up) - Max. possible relative overstatement - Candidate 12]])</f>
        <v>2.5127995728240724E-4</v>
      </c>
      <c r="AC529" s="100">
        <f>IF(SamplingData[[#This Row],[Max Error Bound (up)]] = 0,0,SamplingData[[#This Row],[Max Error Bound (up)]]/SamplingData[[#Totals],[Max Error Bound (up)]])</f>
        <v>1.0768319603725841E-4</v>
      </c>
      <c r="AD529" s="104">
        <f>SUM($AC$5:AC529)</f>
        <v>0.11244817746190722</v>
      </c>
      <c r="AE529" s="100" t="str" cm="1">
        <f t="array" ref="AE529">IF(SamplingData[[#This Row],[up/U Selection Probability]] = 0, "Zero", TEXT(SamplingData[[#This Row],[Lower Range]], REPT("0",LEN('General Info'!$B$42))) &amp; " - " &amp; TEXT(SamplingData[[#This Row],[Upper Range]], REPT("0",LEN('General Info'!$B$42))))</f>
        <v>11234 - 11244</v>
      </c>
      <c r="AF529" s="100">
        <f>SamplingData[[#This Row],[Upper Range]]-SamplingData[[#This Row],[Span]]</f>
        <v>11234.049426586997</v>
      </c>
      <c r="AG529" s="100">
        <f>IF(ISNUMBER('General Info'!$B$42), ((SamplingData[[#This Row],[up/U Selection Probability]]) * 'General Info'!$B$44) - 1, 0)</f>
        <v>9.7683196037258408</v>
      </c>
      <c r="AH529" s="100">
        <f>IF(ISNUMBER('General Info'!$B$42), (SamplingData[[#This Row],[Running (cumulative) sum]] * ('General Info'!$B$42 -'General Info'!$B$43 + 1)) + 'General Info'!$B$43 - 1, 0)</f>
        <v>11243.817746190722</v>
      </c>
      <c r="AI529" s="100" t="str">
        <f>IF(ISERROR(MATCH(SamplingData[[#This Row],[Batch by Type (p)]],SelectedPrecincts[Batch Name], 0)), "", INDEX(SelectedPrecincts[Draw], MATCH(SamplingData[[#This Row],[Batch by Type (p)]],SelectedPrecincts[Batch Name], 0)))</f>
        <v/>
      </c>
      <c r="AJ529" s="101">
        <f>IF(COUNTIF(SelectedPrecincts[Batch Name],SamplingData[[#This Row],[Batch by Type (p)]]) &lt;&gt; 0, COUNTIF(SelectedPrecincts[Batch Name],SamplingData[[#This Row],[Batch by Type (p)]]), 0)</f>
        <v>0</v>
      </c>
    </row>
    <row r="530" spans="1:36" ht="15" customHeight="1" x14ac:dyDescent="0.35">
      <c r="A530" s="98" t="s">
        <v>741</v>
      </c>
      <c r="B530" s="98">
        <v>4</v>
      </c>
      <c r="C530" s="98">
        <v>0</v>
      </c>
      <c r="D530" s="93"/>
      <c r="E530" s="93"/>
      <c r="F530" s="93"/>
      <c r="G530" s="97"/>
      <c r="H530" s="97"/>
      <c r="I530" s="93"/>
      <c r="J530" s="93"/>
      <c r="K530" s="93"/>
      <c r="L530" s="93"/>
      <c r="M530" s="93"/>
      <c r="N530" s="98">
        <v>0</v>
      </c>
      <c r="O530" s="98">
        <v>0</v>
      </c>
      <c r="P530" s="99">
        <f>SUM(SamplingData[[#This Row],[Winning Candidate]:[Under Votes]])</f>
        <v>4</v>
      </c>
      <c r="Q530"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530" s="100">
        <f>IF(AND(SamplingData[[#This Row],[Total]]&lt;&gt; 0, NOT(ISBLANK(SamplingData[[#This Row],[Candidate 3]]))),(SamplingData[[#This Row],[Total]]+SamplingData[[#This Row],[Winning Candidate]]-SamplingData[[#This Row],[Candidate 3]])/(SamplingData[[#Totals],[Winning Candidate]]-SamplingData[[#Totals],[Candidate 3]]), 0)</f>
        <v>0</v>
      </c>
      <c r="S530" s="100">
        <f>IF(AND(SamplingData[[#This Row],[Total]]&lt;&gt; 0, NOT(ISBLANK(SamplingData[[#This Row],[Candidate 4]]))),(SamplingData[[#This Row],[Total]]+SamplingData[[#This Row],[Winning Candidate]]-SamplingData[[#This Row],[Candidate 4]])/(SamplingData[[#Totals],[Winning Candidate]]-SamplingData[[#Totals],[Candidate 4]]), 0)</f>
        <v>0</v>
      </c>
      <c r="T530" s="100">
        <f>IF(AND(SamplingData[[#This Row],[Total]]&lt;&gt; 0, NOT(ISBLANK(SamplingData[[#This Row],[Candidate 5]]))),(SamplingData[[#This Row],[Total]]+SamplingData[[#This Row],[Winning Candidate]]-SamplingData[[#This Row],[Candidate 5]])/(SamplingData[[#Totals],[Winning Candidate]]-SamplingData[[#Totals],[Candidate 5]]), 0)</f>
        <v>0</v>
      </c>
      <c r="U530" s="100">
        <f>IF(AND(SamplingData[[#This Row],[Total]]&lt;&gt; 0, NOT(ISBLANK(SamplingData[[#This Row],[Candidate 6]]))),(SamplingData[[#This Row],[Total]]+SamplingData[[#This Row],[Losing Candidate]]-SamplingData[[#This Row],[Candidate 6]])/(SamplingData[[#Totals],[Winning Candidate]]-SamplingData[[#Totals],[Candidate 6]]), 0)</f>
        <v>0</v>
      </c>
      <c r="V530" s="100">
        <f>IF(AND(SamplingData[[#This Row],[Total]]&lt;&gt; 0, NOT(ISBLANK(SamplingData[[#This Row],[Candidate 7]]))),(SamplingData[[#This Row],[Total]]+SamplingData[[#This Row],[Winning Candidate]]-SamplingData[[#This Row],[Candidate 7]])/(SamplingData[[#Totals],[Winning Candidate]]-SamplingData[[#Totals],[Candidate 7]]), 0)</f>
        <v>0</v>
      </c>
      <c r="W530" s="100">
        <f>IF(AND(SamplingData[[#This Row],[Total]]&lt;&gt; 0, NOT(ISBLANK(SamplingData[[#This Row],[Candidate 8]]))),(SamplingData[[#This Row],[Total]]+SamplingData[[#This Row],[Winning Candidate]]-SamplingData[[#This Row],[Candidate 8]])/(SamplingData[[#Totals],[Winning Candidate]]-SamplingData[[#Totals],[Candidate 8]]), 0)</f>
        <v>0</v>
      </c>
      <c r="X5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00">
        <f>MAX(SamplingData[[#This Row],[Error Bound (up) - Max. possible relative overstatement - Losing Candidate]:[Error Bound (up) - Max. possible relative overstatement - Candidate 12]])</f>
        <v>2.5127995728240724E-4</v>
      </c>
      <c r="AC530" s="100">
        <f>IF(SamplingData[[#This Row],[Max Error Bound (up)]] = 0,0,SamplingData[[#This Row],[Max Error Bound (up)]]/SamplingData[[#Totals],[Max Error Bound (up)]])</f>
        <v>1.0768319603725841E-4</v>
      </c>
      <c r="AD530" s="104">
        <f>SUM($AC$5:AC530)</f>
        <v>0.11255586065794447</v>
      </c>
      <c r="AE530" s="100" t="str" cm="1">
        <f t="array" ref="AE530">IF(SamplingData[[#This Row],[up/U Selection Probability]] = 0, "Zero", TEXT(SamplingData[[#This Row],[Lower Range]], REPT("0",LEN('General Info'!$B$42))) &amp; " - " &amp; TEXT(SamplingData[[#This Row],[Upper Range]], REPT("0",LEN('General Info'!$B$42))))</f>
        <v>11245 - 11255</v>
      </c>
      <c r="AF530" s="100">
        <f>SamplingData[[#This Row],[Upper Range]]-SamplingData[[#This Row],[Span]]</f>
        <v>11244.817746190722</v>
      </c>
      <c r="AG530" s="100">
        <f>IF(ISNUMBER('General Info'!$B$42), ((SamplingData[[#This Row],[up/U Selection Probability]]) * 'General Info'!$B$44) - 1, 0)</f>
        <v>9.7683196037258408</v>
      </c>
      <c r="AH530" s="100">
        <f>IF(ISNUMBER('General Info'!$B$42), (SamplingData[[#This Row],[Running (cumulative) sum]] * ('General Info'!$B$42 -'General Info'!$B$43 + 1)) + 'General Info'!$B$43 - 1, 0)</f>
        <v>11254.586065794447</v>
      </c>
      <c r="AI530" s="100" t="str">
        <f>IF(ISERROR(MATCH(SamplingData[[#This Row],[Batch by Type (p)]],SelectedPrecincts[Batch Name], 0)), "", INDEX(SelectedPrecincts[Draw], MATCH(SamplingData[[#This Row],[Batch by Type (p)]],SelectedPrecincts[Batch Name], 0)))</f>
        <v/>
      </c>
      <c r="AJ530" s="101">
        <f>IF(COUNTIF(SelectedPrecincts[Batch Name],SamplingData[[#This Row],[Batch by Type (p)]]) &lt;&gt; 0, COUNTIF(SelectedPrecincts[Batch Name],SamplingData[[#This Row],[Batch by Type (p)]]), 0)</f>
        <v>0</v>
      </c>
    </row>
    <row r="531" spans="1:36" ht="15" customHeight="1" x14ac:dyDescent="0.35">
      <c r="A531" s="98" t="s">
        <v>742</v>
      </c>
      <c r="B531" s="98">
        <v>6</v>
      </c>
      <c r="C531" s="98">
        <v>0</v>
      </c>
      <c r="D531" s="93"/>
      <c r="E531" s="93"/>
      <c r="F531" s="93"/>
      <c r="G531" s="97"/>
      <c r="H531" s="97"/>
      <c r="I531" s="93"/>
      <c r="J531" s="93"/>
      <c r="K531" s="93"/>
      <c r="L531" s="93"/>
      <c r="M531" s="93"/>
      <c r="N531" s="98">
        <v>0</v>
      </c>
      <c r="O531" s="98">
        <v>0</v>
      </c>
      <c r="P531" s="99">
        <f>SUM(SamplingData[[#This Row],[Winning Candidate]:[Under Votes]])</f>
        <v>6</v>
      </c>
      <c r="Q531"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531" s="100">
        <f>IF(AND(SamplingData[[#This Row],[Total]]&lt;&gt; 0, NOT(ISBLANK(SamplingData[[#This Row],[Candidate 3]]))),(SamplingData[[#This Row],[Total]]+SamplingData[[#This Row],[Winning Candidate]]-SamplingData[[#This Row],[Candidate 3]])/(SamplingData[[#Totals],[Winning Candidate]]-SamplingData[[#Totals],[Candidate 3]]), 0)</f>
        <v>0</v>
      </c>
      <c r="S531" s="100">
        <f>IF(AND(SamplingData[[#This Row],[Total]]&lt;&gt; 0, NOT(ISBLANK(SamplingData[[#This Row],[Candidate 4]]))),(SamplingData[[#This Row],[Total]]+SamplingData[[#This Row],[Winning Candidate]]-SamplingData[[#This Row],[Candidate 4]])/(SamplingData[[#Totals],[Winning Candidate]]-SamplingData[[#Totals],[Candidate 4]]), 0)</f>
        <v>0</v>
      </c>
      <c r="T531" s="100">
        <f>IF(AND(SamplingData[[#This Row],[Total]]&lt;&gt; 0, NOT(ISBLANK(SamplingData[[#This Row],[Candidate 5]]))),(SamplingData[[#This Row],[Total]]+SamplingData[[#This Row],[Winning Candidate]]-SamplingData[[#This Row],[Candidate 5]])/(SamplingData[[#Totals],[Winning Candidate]]-SamplingData[[#Totals],[Candidate 5]]), 0)</f>
        <v>0</v>
      </c>
      <c r="U531" s="100">
        <f>IF(AND(SamplingData[[#This Row],[Total]]&lt;&gt; 0, NOT(ISBLANK(SamplingData[[#This Row],[Candidate 6]]))),(SamplingData[[#This Row],[Total]]+SamplingData[[#This Row],[Losing Candidate]]-SamplingData[[#This Row],[Candidate 6]])/(SamplingData[[#Totals],[Winning Candidate]]-SamplingData[[#Totals],[Candidate 6]]), 0)</f>
        <v>0</v>
      </c>
      <c r="V531" s="100">
        <f>IF(AND(SamplingData[[#This Row],[Total]]&lt;&gt; 0, NOT(ISBLANK(SamplingData[[#This Row],[Candidate 7]]))),(SamplingData[[#This Row],[Total]]+SamplingData[[#This Row],[Winning Candidate]]-SamplingData[[#This Row],[Candidate 7]])/(SamplingData[[#Totals],[Winning Candidate]]-SamplingData[[#Totals],[Candidate 7]]), 0)</f>
        <v>0</v>
      </c>
      <c r="W531" s="100">
        <f>IF(AND(SamplingData[[#This Row],[Total]]&lt;&gt; 0, NOT(ISBLANK(SamplingData[[#This Row],[Candidate 8]]))),(SamplingData[[#This Row],[Total]]+SamplingData[[#This Row],[Winning Candidate]]-SamplingData[[#This Row],[Candidate 8]])/(SamplingData[[#Totals],[Winning Candidate]]-SamplingData[[#Totals],[Candidate 8]]), 0)</f>
        <v>0</v>
      </c>
      <c r="X5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00">
        <f>MAX(SamplingData[[#This Row],[Error Bound (up) - Max. possible relative overstatement - Losing Candidate]:[Error Bound (up) - Max. possible relative overstatement - Candidate 12]])</f>
        <v>3.7691993592361088E-4</v>
      </c>
      <c r="AC531" s="100">
        <f>IF(SamplingData[[#This Row],[Max Error Bound (up)]] = 0,0,SamplingData[[#This Row],[Max Error Bound (up)]]/SamplingData[[#Totals],[Max Error Bound (up)]])</f>
        <v>1.6152479405588763E-4</v>
      </c>
      <c r="AD531" s="104">
        <f>SUM($AC$5:AC531)</f>
        <v>0.11271738545200036</v>
      </c>
      <c r="AE531" s="100" t="str" cm="1">
        <f t="array" ref="AE531">IF(SamplingData[[#This Row],[up/U Selection Probability]] = 0, "Zero", TEXT(SamplingData[[#This Row],[Lower Range]], REPT("0",LEN('General Info'!$B$42))) &amp; " - " &amp; TEXT(SamplingData[[#This Row],[Upper Range]], REPT("0",LEN('General Info'!$B$42))))</f>
        <v>11256 - 11271</v>
      </c>
      <c r="AF531" s="100">
        <f>SamplingData[[#This Row],[Upper Range]]-SamplingData[[#This Row],[Span]]</f>
        <v>11255.586065794447</v>
      </c>
      <c r="AG531" s="100">
        <f>IF(ISNUMBER('General Info'!$B$42), ((SamplingData[[#This Row],[up/U Selection Probability]]) * 'General Info'!$B$44) - 1, 0)</f>
        <v>15.152479405588764</v>
      </c>
      <c r="AH531" s="100">
        <f>IF(ISNUMBER('General Info'!$B$42), (SamplingData[[#This Row],[Running (cumulative) sum]] * ('General Info'!$B$42 -'General Info'!$B$43 + 1)) + 'General Info'!$B$43 - 1, 0)</f>
        <v>11270.738545200036</v>
      </c>
      <c r="AI531" s="100" t="str">
        <f>IF(ISERROR(MATCH(SamplingData[[#This Row],[Batch by Type (p)]],SelectedPrecincts[Batch Name], 0)), "", INDEX(SelectedPrecincts[Draw], MATCH(SamplingData[[#This Row],[Batch by Type (p)]],SelectedPrecincts[Batch Name], 0)))</f>
        <v/>
      </c>
      <c r="AJ531" s="101">
        <f>IF(COUNTIF(SelectedPrecincts[Batch Name],SamplingData[[#This Row],[Batch by Type (p)]]) &lt;&gt; 0, COUNTIF(SelectedPrecincts[Batch Name],SamplingData[[#This Row],[Batch by Type (p)]]), 0)</f>
        <v>0</v>
      </c>
    </row>
    <row r="532" spans="1:36" ht="15" customHeight="1" x14ac:dyDescent="0.35">
      <c r="A532" s="98" t="s">
        <v>743</v>
      </c>
      <c r="B532" s="98">
        <v>5</v>
      </c>
      <c r="C532" s="98">
        <v>1</v>
      </c>
      <c r="D532" s="93"/>
      <c r="E532" s="93"/>
      <c r="F532" s="93"/>
      <c r="G532" s="97"/>
      <c r="H532" s="97"/>
      <c r="I532" s="93"/>
      <c r="J532" s="93"/>
      <c r="K532" s="93"/>
      <c r="L532" s="93"/>
      <c r="M532" s="93"/>
      <c r="N532" s="98">
        <v>0</v>
      </c>
      <c r="O532" s="98">
        <v>0</v>
      </c>
      <c r="P532" s="99">
        <f>SUM(SamplingData[[#This Row],[Winning Candidate]:[Under Votes]])</f>
        <v>6</v>
      </c>
      <c r="Q532"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532" s="100">
        <f>IF(AND(SamplingData[[#This Row],[Total]]&lt;&gt; 0, NOT(ISBLANK(SamplingData[[#This Row],[Candidate 3]]))),(SamplingData[[#This Row],[Total]]+SamplingData[[#This Row],[Winning Candidate]]-SamplingData[[#This Row],[Candidate 3]])/(SamplingData[[#Totals],[Winning Candidate]]-SamplingData[[#Totals],[Candidate 3]]), 0)</f>
        <v>0</v>
      </c>
      <c r="S532" s="100">
        <f>IF(AND(SamplingData[[#This Row],[Total]]&lt;&gt; 0, NOT(ISBLANK(SamplingData[[#This Row],[Candidate 4]]))),(SamplingData[[#This Row],[Total]]+SamplingData[[#This Row],[Winning Candidate]]-SamplingData[[#This Row],[Candidate 4]])/(SamplingData[[#Totals],[Winning Candidate]]-SamplingData[[#Totals],[Candidate 4]]), 0)</f>
        <v>0</v>
      </c>
      <c r="T532" s="100">
        <f>IF(AND(SamplingData[[#This Row],[Total]]&lt;&gt; 0, NOT(ISBLANK(SamplingData[[#This Row],[Candidate 5]]))),(SamplingData[[#This Row],[Total]]+SamplingData[[#This Row],[Winning Candidate]]-SamplingData[[#This Row],[Candidate 5]])/(SamplingData[[#Totals],[Winning Candidate]]-SamplingData[[#Totals],[Candidate 5]]), 0)</f>
        <v>0</v>
      </c>
      <c r="U532" s="100">
        <f>IF(AND(SamplingData[[#This Row],[Total]]&lt;&gt; 0, NOT(ISBLANK(SamplingData[[#This Row],[Candidate 6]]))),(SamplingData[[#This Row],[Total]]+SamplingData[[#This Row],[Losing Candidate]]-SamplingData[[#This Row],[Candidate 6]])/(SamplingData[[#Totals],[Winning Candidate]]-SamplingData[[#Totals],[Candidate 6]]), 0)</f>
        <v>0</v>
      </c>
      <c r="V532" s="100">
        <f>IF(AND(SamplingData[[#This Row],[Total]]&lt;&gt; 0, NOT(ISBLANK(SamplingData[[#This Row],[Candidate 7]]))),(SamplingData[[#This Row],[Total]]+SamplingData[[#This Row],[Winning Candidate]]-SamplingData[[#This Row],[Candidate 7]])/(SamplingData[[#Totals],[Winning Candidate]]-SamplingData[[#Totals],[Candidate 7]]), 0)</f>
        <v>0</v>
      </c>
      <c r="W532" s="100">
        <f>IF(AND(SamplingData[[#This Row],[Total]]&lt;&gt; 0, NOT(ISBLANK(SamplingData[[#This Row],[Candidate 8]]))),(SamplingData[[#This Row],[Total]]+SamplingData[[#This Row],[Winning Candidate]]-SamplingData[[#This Row],[Candidate 8]])/(SamplingData[[#Totals],[Winning Candidate]]-SamplingData[[#Totals],[Candidate 8]]), 0)</f>
        <v>0</v>
      </c>
      <c r="X5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00">
        <f>MAX(SamplingData[[#This Row],[Error Bound (up) - Max. possible relative overstatement - Losing Candidate]:[Error Bound (up) - Max. possible relative overstatement - Candidate 12]])</f>
        <v>3.1409994660300906E-4</v>
      </c>
      <c r="AC532" s="100">
        <f>IF(SamplingData[[#This Row],[Max Error Bound (up)]] = 0,0,SamplingData[[#This Row],[Max Error Bound (up)]]/SamplingData[[#Totals],[Max Error Bound (up)]])</f>
        <v>1.3460399504657304E-4</v>
      </c>
      <c r="AD532" s="104">
        <f>SUM($AC$5:AC532)</f>
        <v>0.11285198944704693</v>
      </c>
      <c r="AE532" s="100" t="str" cm="1">
        <f t="array" ref="AE532">IF(SamplingData[[#This Row],[up/U Selection Probability]] = 0, "Zero", TEXT(SamplingData[[#This Row],[Lower Range]], REPT("0",LEN('General Info'!$B$42))) &amp; " - " &amp; TEXT(SamplingData[[#This Row],[Upper Range]], REPT("0",LEN('General Info'!$B$42))))</f>
        <v>11272 - 11284</v>
      </c>
      <c r="AF532" s="100">
        <f>SamplingData[[#This Row],[Upper Range]]-SamplingData[[#This Row],[Span]]</f>
        <v>11271.738545200034</v>
      </c>
      <c r="AG532" s="100">
        <f>IF(ISNUMBER('General Info'!$B$42), ((SamplingData[[#This Row],[up/U Selection Probability]]) * 'General Info'!$B$44) - 1, 0)</f>
        <v>12.460399504657303</v>
      </c>
      <c r="AH532" s="100">
        <f>IF(ISNUMBER('General Info'!$B$42), (SamplingData[[#This Row],[Running (cumulative) sum]] * ('General Info'!$B$42 -'General Info'!$B$43 + 1)) + 'General Info'!$B$43 - 1, 0)</f>
        <v>11284.198944704693</v>
      </c>
      <c r="AI532" s="100" t="str">
        <f>IF(ISERROR(MATCH(SamplingData[[#This Row],[Batch by Type (p)]],SelectedPrecincts[Batch Name], 0)), "", INDEX(SelectedPrecincts[Draw], MATCH(SamplingData[[#This Row],[Batch by Type (p)]],SelectedPrecincts[Batch Name], 0)))</f>
        <v/>
      </c>
      <c r="AJ532" s="101">
        <f>IF(COUNTIF(SelectedPrecincts[Batch Name],SamplingData[[#This Row],[Batch by Type (p)]]) &lt;&gt; 0, COUNTIF(SelectedPrecincts[Batch Name],SamplingData[[#This Row],[Batch by Type (p)]]), 0)</f>
        <v>0</v>
      </c>
    </row>
    <row r="533" spans="1:36" ht="15" customHeight="1" x14ac:dyDescent="0.35">
      <c r="A533" s="98" t="s">
        <v>744</v>
      </c>
      <c r="B533" s="98">
        <v>2</v>
      </c>
      <c r="C533" s="98">
        <v>1</v>
      </c>
      <c r="D533" s="93"/>
      <c r="E533" s="93"/>
      <c r="F533" s="93"/>
      <c r="G533" s="97"/>
      <c r="H533" s="97"/>
      <c r="I533" s="93"/>
      <c r="J533" s="93"/>
      <c r="K533" s="93"/>
      <c r="L533" s="93"/>
      <c r="M533" s="93"/>
      <c r="N533" s="98">
        <v>0</v>
      </c>
      <c r="O533" s="98">
        <v>0</v>
      </c>
      <c r="P533" s="99">
        <f>SUM(SamplingData[[#This Row],[Winning Candidate]:[Under Votes]])</f>
        <v>3</v>
      </c>
      <c r="Q53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33" s="100">
        <f>IF(AND(SamplingData[[#This Row],[Total]]&lt;&gt; 0, NOT(ISBLANK(SamplingData[[#This Row],[Candidate 3]]))),(SamplingData[[#This Row],[Total]]+SamplingData[[#This Row],[Winning Candidate]]-SamplingData[[#This Row],[Candidate 3]])/(SamplingData[[#Totals],[Winning Candidate]]-SamplingData[[#Totals],[Candidate 3]]), 0)</f>
        <v>0</v>
      </c>
      <c r="S533" s="100">
        <f>IF(AND(SamplingData[[#This Row],[Total]]&lt;&gt; 0, NOT(ISBLANK(SamplingData[[#This Row],[Candidate 4]]))),(SamplingData[[#This Row],[Total]]+SamplingData[[#This Row],[Winning Candidate]]-SamplingData[[#This Row],[Candidate 4]])/(SamplingData[[#Totals],[Winning Candidate]]-SamplingData[[#Totals],[Candidate 4]]), 0)</f>
        <v>0</v>
      </c>
      <c r="T533" s="100">
        <f>IF(AND(SamplingData[[#This Row],[Total]]&lt;&gt; 0, NOT(ISBLANK(SamplingData[[#This Row],[Candidate 5]]))),(SamplingData[[#This Row],[Total]]+SamplingData[[#This Row],[Winning Candidate]]-SamplingData[[#This Row],[Candidate 5]])/(SamplingData[[#Totals],[Winning Candidate]]-SamplingData[[#Totals],[Candidate 5]]), 0)</f>
        <v>0</v>
      </c>
      <c r="U533" s="100">
        <f>IF(AND(SamplingData[[#This Row],[Total]]&lt;&gt; 0, NOT(ISBLANK(SamplingData[[#This Row],[Candidate 6]]))),(SamplingData[[#This Row],[Total]]+SamplingData[[#This Row],[Losing Candidate]]-SamplingData[[#This Row],[Candidate 6]])/(SamplingData[[#Totals],[Winning Candidate]]-SamplingData[[#Totals],[Candidate 6]]), 0)</f>
        <v>0</v>
      </c>
      <c r="V533" s="100">
        <f>IF(AND(SamplingData[[#This Row],[Total]]&lt;&gt; 0, NOT(ISBLANK(SamplingData[[#This Row],[Candidate 7]]))),(SamplingData[[#This Row],[Total]]+SamplingData[[#This Row],[Winning Candidate]]-SamplingData[[#This Row],[Candidate 7]])/(SamplingData[[#Totals],[Winning Candidate]]-SamplingData[[#Totals],[Candidate 7]]), 0)</f>
        <v>0</v>
      </c>
      <c r="W533" s="100">
        <f>IF(AND(SamplingData[[#This Row],[Total]]&lt;&gt; 0, NOT(ISBLANK(SamplingData[[#This Row],[Candidate 8]]))),(SamplingData[[#This Row],[Total]]+SamplingData[[#This Row],[Winning Candidate]]-SamplingData[[#This Row],[Candidate 8]])/(SamplingData[[#Totals],[Winning Candidate]]-SamplingData[[#Totals],[Candidate 8]]), 0)</f>
        <v>0</v>
      </c>
      <c r="X5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00">
        <f>MAX(SamplingData[[#This Row],[Error Bound (up) - Max. possible relative overstatement - Losing Candidate]:[Error Bound (up) - Max. possible relative overstatement - Candidate 12]])</f>
        <v>1.2563997864120362E-4</v>
      </c>
      <c r="AC533" s="100">
        <f>IF(SamplingData[[#This Row],[Max Error Bound (up)]] = 0,0,SamplingData[[#This Row],[Max Error Bound (up)]]/SamplingData[[#Totals],[Max Error Bound (up)]])</f>
        <v>5.3841598018629206E-5</v>
      </c>
      <c r="AD533" s="104">
        <f>SUM($AC$5:AC533)</f>
        <v>0.11290583104506556</v>
      </c>
      <c r="AE533" s="100" t="str" cm="1">
        <f t="array" ref="AE533">IF(SamplingData[[#This Row],[up/U Selection Probability]] = 0, "Zero", TEXT(SamplingData[[#This Row],[Lower Range]], REPT("0",LEN('General Info'!$B$42))) &amp; " - " &amp; TEXT(SamplingData[[#This Row],[Upper Range]], REPT("0",LEN('General Info'!$B$42))))</f>
        <v>11285 - 11290</v>
      </c>
      <c r="AF533" s="100">
        <f>SamplingData[[#This Row],[Upper Range]]-SamplingData[[#This Row],[Span]]</f>
        <v>11285.198944704693</v>
      </c>
      <c r="AG533" s="100">
        <f>IF(ISNUMBER('General Info'!$B$42), ((SamplingData[[#This Row],[up/U Selection Probability]]) * 'General Info'!$B$44) - 1, 0)</f>
        <v>4.3841598018629204</v>
      </c>
      <c r="AH533" s="100">
        <f>IF(ISNUMBER('General Info'!$B$42), (SamplingData[[#This Row],[Running (cumulative) sum]] * ('General Info'!$B$42 -'General Info'!$B$43 + 1)) + 'General Info'!$B$43 - 1, 0)</f>
        <v>11289.583104506555</v>
      </c>
      <c r="AI533" s="100" t="str">
        <f>IF(ISERROR(MATCH(SamplingData[[#This Row],[Batch by Type (p)]],SelectedPrecincts[Batch Name], 0)), "", INDEX(SelectedPrecincts[Draw], MATCH(SamplingData[[#This Row],[Batch by Type (p)]],SelectedPrecincts[Batch Name], 0)))</f>
        <v/>
      </c>
      <c r="AJ533" s="101">
        <f>IF(COUNTIF(SelectedPrecincts[Batch Name],SamplingData[[#This Row],[Batch by Type (p)]]) &lt;&gt; 0, COUNTIF(SelectedPrecincts[Batch Name],SamplingData[[#This Row],[Batch by Type (p)]]), 0)</f>
        <v>0</v>
      </c>
    </row>
    <row r="534" spans="1:36" ht="15" customHeight="1" x14ac:dyDescent="0.35">
      <c r="A534" s="98" t="s">
        <v>745</v>
      </c>
      <c r="B534" s="98">
        <v>8</v>
      </c>
      <c r="C534" s="98">
        <v>0</v>
      </c>
      <c r="D534" s="93"/>
      <c r="E534" s="93"/>
      <c r="F534" s="93"/>
      <c r="G534" s="97"/>
      <c r="H534" s="97"/>
      <c r="I534" s="93"/>
      <c r="J534" s="93"/>
      <c r="K534" s="93"/>
      <c r="L534" s="93"/>
      <c r="M534" s="93"/>
      <c r="N534" s="98">
        <v>0</v>
      </c>
      <c r="O534" s="98">
        <v>0</v>
      </c>
      <c r="P534" s="99">
        <f>SUM(SamplingData[[#This Row],[Winning Candidate]:[Under Votes]])</f>
        <v>8</v>
      </c>
      <c r="Q534"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534" s="100">
        <f>IF(AND(SamplingData[[#This Row],[Total]]&lt;&gt; 0, NOT(ISBLANK(SamplingData[[#This Row],[Candidate 3]]))),(SamplingData[[#This Row],[Total]]+SamplingData[[#This Row],[Winning Candidate]]-SamplingData[[#This Row],[Candidate 3]])/(SamplingData[[#Totals],[Winning Candidate]]-SamplingData[[#Totals],[Candidate 3]]), 0)</f>
        <v>0</v>
      </c>
      <c r="S534" s="100">
        <f>IF(AND(SamplingData[[#This Row],[Total]]&lt;&gt; 0, NOT(ISBLANK(SamplingData[[#This Row],[Candidate 4]]))),(SamplingData[[#This Row],[Total]]+SamplingData[[#This Row],[Winning Candidate]]-SamplingData[[#This Row],[Candidate 4]])/(SamplingData[[#Totals],[Winning Candidate]]-SamplingData[[#Totals],[Candidate 4]]), 0)</f>
        <v>0</v>
      </c>
      <c r="T534" s="100">
        <f>IF(AND(SamplingData[[#This Row],[Total]]&lt;&gt; 0, NOT(ISBLANK(SamplingData[[#This Row],[Candidate 5]]))),(SamplingData[[#This Row],[Total]]+SamplingData[[#This Row],[Winning Candidate]]-SamplingData[[#This Row],[Candidate 5]])/(SamplingData[[#Totals],[Winning Candidate]]-SamplingData[[#Totals],[Candidate 5]]), 0)</f>
        <v>0</v>
      </c>
      <c r="U534" s="100">
        <f>IF(AND(SamplingData[[#This Row],[Total]]&lt;&gt; 0, NOT(ISBLANK(SamplingData[[#This Row],[Candidate 6]]))),(SamplingData[[#This Row],[Total]]+SamplingData[[#This Row],[Losing Candidate]]-SamplingData[[#This Row],[Candidate 6]])/(SamplingData[[#Totals],[Winning Candidate]]-SamplingData[[#Totals],[Candidate 6]]), 0)</f>
        <v>0</v>
      </c>
      <c r="V534" s="100">
        <f>IF(AND(SamplingData[[#This Row],[Total]]&lt;&gt; 0, NOT(ISBLANK(SamplingData[[#This Row],[Candidate 7]]))),(SamplingData[[#This Row],[Total]]+SamplingData[[#This Row],[Winning Candidate]]-SamplingData[[#This Row],[Candidate 7]])/(SamplingData[[#Totals],[Winning Candidate]]-SamplingData[[#Totals],[Candidate 7]]), 0)</f>
        <v>0</v>
      </c>
      <c r="W534" s="100">
        <f>IF(AND(SamplingData[[#This Row],[Total]]&lt;&gt; 0, NOT(ISBLANK(SamplingData[[#This Row],[Candidate 8]]))),(SamplingData[[#This Row],[Total]]+SamplingData[[#This Row],[Winning Candidate]]-SamplingData[[#This Row],[Candidate 8]])/(SamplingData[[#Totals],[Winning Candidate]]-SamplingData[[#Totals],[Candidate 8]]), 0)</f>
        <v>0</v>
      </c>
      <c r="X5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00">
        <f>MAX(SamplingData[[#This Row],[Error Bound (up) - Max. possible relative overstatement - Losing Candidate]:[Error Bound (up) - Max. possible relative overstatement - Candidate 12]])</f>
        <v>5.0255991456481448E-4</v>
      </c>
      <c r="AC534" s="100">
        <f>IF(SamplingData[[#This Row],[Max Error Bound (up)]] = 0,0,SamplingData[[#This Row],[Max Error Bound (up)]]/SamplingData[[#Totals],[Max Error Bound (up)]])</f>
        <v>2.1536639207451683E-4</v>
      </c>
      <c r="AD534" s="104">
        <f>SUM($AC$5:AC534)</f>
        <v>0.11312119743714008</v>
      </c>
      <c r="AE534" s="100" t="str" cm="1">
        <f t="array" ref="AE534">IF(SamplingData[[#This Row],[up/U Selection Probability]] = 0, "Zero", TEXT(SamplingData[[#This Row],[Lower Range]], REPT("0",LEN('General Info'!$B$42))) &amp; " - " &amp; TEXT(SamplingData[[#This Row],[Upper Range]], REPT("0",LEN('General Info'!$B$42))))</f>
        <v>11291 - 11311</v>
      </c>
      <c r="AF534" s="100">
        <f>SamplingData[[#This Row],[Upper Range]]-SamplingData[[#This Row],[Span]]</f>
        <v>11290.583104506555</v>
      </c>
      <c r="AG534" s="100">
        <f>IF(ISNUMBER('General Info'!$B$42), ((SamplingData[[#This Row],[up/U Selection Probability]]) * 'General Info'!$B$44) - 1, 0)</f>
        <v>20.536639207451682</v>
      </c>
      <c r="AH534" s="100">
        <f>IF(ISNUMBER('General Info'!$B$42), (SamplingData[[#This Row],[Running (cumulative) sum]] * ('General Info'!$B$42 -'General Info'!$B$43 + 1)) + 'General Info'!$B$43 - 1, 0)</f>
        <v>11311.119743714007</v>
      </c>
      <c r="AI534" s="100" t="str">
        <f>IF(ISERROR(MATCH(SamplingData[[#This Row],[Batch by Type (p)]],SelectedPrecincts[Batch Name], 0)), "", INDEX(SelectedPrecincts[Draw], MATCH(SamplingData[[#This Row],[Batch by Type (p)]],SelectedPrecincts[Batch Name], 0)))</f>
        <v/>
      </c>
      <c r="AJ534" s="101">
        <f>IF(COUNTIF(SelectedPrecincts[Batch Name],SamplingData[[#This Row],[Batch by Type (p)]]) &lt;&gt; 0, COUNTIF(SelectedPrecincts[Batch Name],SamplingData[[#This Row],[Batch by Type (p)]]), 0)</f>
        <v>0</v>
      </c>
    </row>
    <row r="535" spans="1:36" ht="15" customHeight="1" x14ac:dyDescent="0.35">
      <c r="A535" s="98" t="s">
        <v>746</v>
      </c>
      <c r="B535" s="98">
        <v>0</v>
      </c>
      <c r="C535" s="98">
        <v>0</v>
      </c>
      <c r="D535" s="93"/>
      <c r="E535" s="93"/>
      <c r="F535" s="93"/>
      <c r="G535" s="97"/>
      <c r="H535" s="97"/>
      <c r="I535" s="93"/>
      <c r="J535" s="93"/>
      <c r="K535" s="93"/>
      <c r="L535" s="93"/>
      <c r="M535" s="93"/>
      <c r="N535" s="98">
        <v>0</v>
      </c>
      <c r="O535" s="98">
        <v>0</v>
      </c>
      <c r="P535" s="99">
        <f>SUM(SamplingData[[#This Row],[Winning Candidate]:[Under Votes]])</f>
        <v>0</v>
      </c>
      <c r="Q535" s="100">
        <f>IF(AND(SamplingData[[#This Row],[Total]]&lt;&gt; 0, NOT(ISBLANK(SamplingData[[#This Row],[Losing Candidate]]))),(SamplingData[[#This Row],[Total]]+SamplingData[[#This Row],[Winning Candidate]]-SamplingData[[#This Row],[Losing Candidate]])/(SamplingData[[#Totals],[Winning Candidate]]-SamplingData[[#Totals],[Losing Candidate]]), 0)</f>
        <v>0</v>
      </c>
      <c r="R535" s="100">
        <f>IF(AND(SamplingData[[#This Row],[Total]]&lt;&gt; 0, NOT(ISBLANK(SamplingData[[#This Row],[Candidate 3]]))),(SamplingData[[#This Row],[Total]]+SamplingData[[#This Row],[Winning Candidate]]-SamplingData[[#This Row],[Candidate 3]])/(SamplingData[[#Totals],[Winning Candidate]]-SamplingData[[#Totals],[Candidate 3]]), 0)</f>
        <v>0</v>
      </c>
      <c r="S535" s="100">
        <f>IF(AND(SamplingData[[#This Row],[Total]]&lt;&gt; 0, NOT(ISBLANK(SamplingData[[#This Row],[Candidate 4]]))),(SamplingData[[#This Row],[Total]]+SamplingData[[#This Row],[Winning Candidate]]-SamplingData[[#This Row],[Candidate 4]])/(SamplingData[[#Totals],[Winning Candidate]]-SamplingData[[#Totals],[Candidate 4]]), 0)</f>
        <v>0</v>
      </c>
      <c r="T535" s="100">
        <f>IF(AND(SamplingData[[#This Row],[Total]]&lt;&gt; 0, NOT(ISBLANK(SamplingData[[#This Row],[Candidate 5]]))),(SamplingData[[#This Row],[Total]]+SamplingData[[#This Row],[Winning Candidate]]-SamplingData[[#This Row],[Candidate 5]])/(SamplingData[[#Totals],[Winning Candidate]]-SamplingData[[#Totals],[Candidate 5]]), 0)</f>
        <v>0</v>
      </c>
      <c r="U535" s="100">
        <f>IF(AND(SamplingData[[#This Row],[Total]]&lt;&gt; 0, NOT(ISBLANK(SamplingData[[#This Row],[Candidate 6]]))),(SamplingData[[#This Row],[Total]]+SamplingData[[#This Row],[Losing Candidate]]-SamplingData[[#This Row],[Candidate 6]])/(SamplingData[[#Totals],[Winning Candidate]]-SamplingData[[#Totals],[Candidate 6]]), 0)</f>
        <v>0</v>
      </c>
      <c r="V535" s="100">
        <f>IF(AND(SamplingData[[#This Row],[Total]]&lt;&gt; 0, NOT(ISBLANK(SamplingData[[#This Row],[Candidate 7]]))),(SamplingData[[#This Row],[Total]]+SamplingData[[#This Row],[Winning Candidate]]-SamplingData[[#This Row],[Candidate 7]])/(SamplingData[[#Totals],[Winning Candidate]]-SamplingData[[#Totals],[Candidate 7]]), 0)</f>
        <v>0</v>
      </c>
      <c r="W535" s="100">
        <f>IF(AND(SamplingData[[#This Row],[Total]]&lt;&gt; 0, NOT(ISBLANK(SamplingData[[#This Row],[Candidate 8]]))),(SamplingData[[#This Row],[Total]]+SamplingData[[#This Row],[Winning Candidate]]-SamplingData[[#This Row],[Candidate 8]])/(SamplingData[[#Totals],[Winning Candidate]]-SamplingData[[#Totals],[Candidate 8]]), 0)</f>
        <v>0</v>
      </c>
      <c r="X5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00">
        <f>MAX(SamplingData[[#This Row],[Error Bound (up) - Max. possible relative overstatement - Losing Candidate]:[Error Bound (up) - Max. possible relative overstatement - Candidate 12]])</f>
        <v>0</v>
      </c>
      <c r="AC535" s="100">
        <f>IF(SamplingData[[#This Row],[Max Error Bound (up)]] = 0,0,SamplingData[[#This Row],[Max Error Bound (up)]]/SamplingData[[#Totals],[Max Error Bound (up)]])</f>
        <v>0</v>
      </c>
      <c r="AD535" s="104">
        <f>SUM($AC$5:AC535)</f>
        <v>0.11312119743714008</v>
      </c>
      <c r="AE535" s="100" t="str" cm="1">
        <f t="array" ref="AE535">IF(SamplingData[[#This Row],[up/U Selection Probability]] = 0, "Zero", TEXT(SamplingData[[#This Row],[Lower Range]], REPT("0",LEN('General Info'!$B$42))) &amp; " - " &amp; TEXT(SamplingData[[#This Row],[Upper Range]], REPT("0",LEN('General Info'!$B$42))))</f>
        <v>Zero</v>
      </c>
      <c r="AF535" s="100">
        <f>SamplingData[[#This Row],[Upper Range]]-SamplingData[[#This Row],[Span]]</f>
        <v>11312.119743714007</v>
      </c>
      <c r="AG535" s="100">
        <f>IF(ISNUMBER('General Info'!$B$42), ((SamplingData[[#This Row],[up/U Selection Probability]]) * 'General Info'!$B$44) - 1, 0)</f>
        <v>-1</v>
      </c>
      <c r="AH535" s="100">
        <f>IF(ISNUMBER('General Info'!$B$42), (SamplingData[[#This Row],[Running (cumulative) sum]] * ('General Info'!$B$42 -'General Info'!$B$43 + 1)) + 'General Info'!$B$43 - 1, 0)</f>
        <v>11311.119743714007</v>
      </c>
      <c r="AI535" s="100" t="str">
        <f>IF(ISERROR(MATCH(SamplingData[[#This Row],[Batch by Type (p)]],SelectedPrecincts[Batch Name], 0)), "", INDEX(SelectedPrecincts[Draw], MATCH(SamplingData[[#This Row],[Batch by Type (p)]],SelectedPrecincts[Batch Name], 0)))</f>
        <v/>
      </c>
      <c r="AJ535" s="101">
        <f>IF(COUNTIF(SelectedPrecincts[Batch Name],SamplingData[[#This Row],[Batch by Type (p)]]) &lt;&gt; 0, COUNTIF(SelectedPrecincts[Batch Name],SamplingData[[#This Row],[Batch by Type (p)]]), 0)</f>
        <v>0</v>
      </c>
    </row>
    <row r="536" spans="1:36" ht="15" customHeight="1" x14ac:dyDescent="0.35">
      <c r="A536" s="98" t="s">
        <v>747</v>
      </c>
      <c r="B536" s="98">
        <v>14</v>
      </c>
      <c r="C536" s="98">
        <v>2</v>
      </c>
      <c r="D536" s="93"/>
      <c r="E536" s="93"/>
      <c r="F536" s="93"/>
      <c r="G536" s="97"/>
      <c r="H536" s="97"/>
      <c r="I536" s="93"/>
      <c r="J536" s="93"/>
      <c r="K536" s="93"/>
      <c r="L536" s="93"/>
      <c r="M536" s="93"/>
      <c r="N536" s="98">
        <v>0</v>
      </c>
      <c r="O536" s="98">
        <v>0</v>
      </c>
      <c r="P536" s="99">
        <f>SUM(SamplingData[[#This Row],[Winning Candidate]:[Under Votes]])</f>
        <v>16</v>
      </c>
      <c r="Q536"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536" s="100">
        <f>IF(AND(SamplingData[[#This Row],[Total]]&lt;&gt; 0, NOT(ISBLANK(SamplingData[[#This Row],[Candidate 3]]))),(SamplingData[[#This Row],[Total]]+SamplingData[[#This Row],[Winning Candidate]]-SamplingData[[#This Row],[Candidate 3]])/(SamplingData[[#Totals],[Winning Candidate]]-SamplingData[[#Totals],[Candidate 3]]), 0)</f>
        <v>0</v>
      </c>
      <c r="S536" s="100">
        <f>IF(AND(SamplingData[[#This Row],[Total]]&lt;&gt; 0, NOT(ISBLANK(SamplingData[[#This Row],[Candidate 4]]))),(SamplingData[[#This Row],[Total]]+SamplingData[[#This Row],[Winning Candidate]]-SamplingData[[#This Row],[Candidate 4]])/(SamplingData[[#Totals],[Winning Candidate]]-SamplingData[[#Totals],[Candidate 4]]), 0)</f>
        <v>0</v>
      </c>
      <c r="T536" s="100">
        <f>IF(AND(SamplingData[[#This Row],[Total]]&lt;&gt; 0, NOT(ISBLANK(SamplingData[[#This Row],[Candidate 5]]))),(SamplingData[[#This Row],[Total]]+SamplingData[[#This Row],[Winning Candidate]]-SamplingData[[#This Row],[Candidate 5]])/(SamplingData[[#Totals],[Winning Candidate]]-SamplingData[[#Totals],[Candidate 5]]), 0)</f>
        <v>0</v>
      </c>
      <c r="U536" s="100">
        <f>IF(AND(SamplingData[[#This Row],[Total]]&lt;&gt; 0, NOT(ISBLANK(SamplingData[[#This Row],[Candidate 6]]))),(SamplingData[[#This Row],[Total]]+SamplingData[[#This Row],[Losing Candidate]]-SamplingData[[#This Row],[Candidate 6]])/(SamplingData[[#Totals],[Winning Candidate]]-SamplingData[[#Totals],[Candidate 6]]), 0)</f>
        <v>0</v>
      </c>
      <c r="V536" s="100">
        <f>IF(AND(SamplingData[[#This Row],[Total]]&lt;&gt; 0, NOT(ISBLANK(SamplingData[[#This Row],[Candidate 7]]))),(SamplingData[[#This Row],[Total]]+SamplingData[[#This Row],[Winning Candidate]]-SamplingData[[#This Row],[Candidate 7]])/(SamplingData[[#Totals],[Winning Candidate]]-SamplingData[[#Totals],[Candidate 7]]), 0)</f>
        <v>0</v>
      </c>
      <c r="W536" s="100">
        <f>IF(AND(SamplingData[[#This Row],[Total]]&lt;&gt; 0, NOT(ISBLANK(SamplingData[[#This Row],[Candidate 8]]))),(SamplingData[[#This Row],[Total]]+SamplingData[[#This Row],[Winning Candidate]]-SamplingData[[#This Row],[Candidate 8]])/(SamplingData[[#Totals],[Winning Candidate]]-SamplingData[[#Totals],[Candidate 8]]), 0)</f>
        <v>0</v>
      </c>
      <c r="X5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00">
        <f>MAX(SamplingData[[#This Row],[Error Bound (up) - Max. possible relative overstatement - Losing Candidate]:[Error Bound (up) - Max. possible relative overstatement - Candidate 12]])</f>
        <v>8.7947985048842541E-4</v>
      </c>
      <c r="AC536" s="100">
        <f>IF(SamplingData[[#This Row],[Max Error Bound (up)]] = 0,0,SamplingData[[#This Row],[Max Error Bound (up)]]/SamplingData[[#Totals],[Max Error Bound (up)]])</f>
        <v>3.7689118613040446E-4</v>
      </c>
      <c r="AD536" s="104">
        <f>SUM($AC$5:AC536)</f>
        <v>0.11349808862327049</v>
      </c>
      <c r="AE536" s="100" t="str" cm="1">
        <f t="array" ref="AE536">IF(SamplingData[[#This Row],[up/U Selection Probability]] = 0, "Zero", TEXT(SamplingData[[#This Row],[Lower Range]], REPT("0",LEN('General Info'!$B$42))) &amp; " - " &amp; TEXT(SamplingData[[#This Row],[Upper Range]], REPT("0",LEN('General Info'!$B$42))))</f>
        <v>11312 - 11349</v>
      </c>
      <c r="AF536" s="100">
        <f>SamplingData[[#This Row],[Upper Range]]-SamplingData[[#This Row],[Span]]</f>
        <v>11312.119743714009</v>
      </c>
      <c r="AG536" s="100">
        <f>IF(ISNUMBER('General Info'!$B$42), ((SamplingData[[#This Row],[up/U Selection Probability]]) * 'General Info'!$B$44) - 1, 0)</f>
        <v>36.689118613040449</v>
      </c>
      <c r="AH536" s="100">
        <f>IF(ISNUMBER('General Info'!$B$42), (SamplingData[[#This Row],[Running (cumulative) sum]] * ('General Info'!$B$42 -'General Info'!$B$43 + 1)) + 'General Info'!$B$43 - 1, 0)</f>
        <v>11348.808862327049</v>
      </c>
      <c r="AI536" s="100" t="str">
        <f>IF(ISERROR(MATCH(SamplingData[[#This Row],[Batch by Type (p)]],SelectedPrecincts[Batch Name], 0)), "", INDEX(SelectedPrecincts[Draw], MATCH(SamplingData[[#This Row],[Batch by Type (p)]],SelectedPrecincts[Batch Name], 0)))</f>
        <v/>
      </c>
      <c r="AJ536" s="101">
        <f>IF(COUNTIF(SelectedPrecincts[Batch Name],SamplingData[[#This Row],[Batch by Type (p)]]) &lt;&gt; 0, COUNTIF(SelectedPrecincts[Batch Name],SamplingData[[#This Row],[Batch by Type (p)]]), 0)</f>
        <v>0</v>
      </c>
    </row>
    <row r="537" spans="1:36" ht="15" customHeight="1" x14ac:dyDescent="0.35">
      <c r="A537" s="98" t="s">
        <v>748</v>
      </c>
      <c r="B537" s="98">
        <v>14</v>
      </c>
      <c r="C537" s="98">
        <v>5</v>
      </c>
      <c r="D537" s="93"/>
      <c r="E537" s="93"/>
      <c r="F537" s="93"/>
      <c r="G537" s="97"/>
      <c r="H537" s="97"/>
      <c r="I537" s="93"/>
      <c r="J537" s="93"/>
      <c r="K537" s="93"/>
      <c r="L537" s="93"/>
      <c r="M537" s="93"/>
      <c r="N537" s="98">
        <v>0</v>
      </c>
      <c r="O537" s="98">
        <v>0</v>
      </c>
      <c r="P537" s="99">
        <f>SUM(SamplingData[[#This Row],[Winning Candidate]:[Under Votes]])</f>
        <v>19</v>
      </c>
      <c r="Q537"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537" s="100">
        <f>IF(AND(SamplingData[[#This Row],[Total]]&lt;&gt; 0, NOT(ISBLANK(SamplingData[[#This Row],[Candidate 3]]))),(SamplingData[[#This Row],[Total]]+SamplingData[[#This Row],[Winning Candidate]]-SamplingData[[#This Row],[Candidate 3]])/(SamplingData[[#Totals],[Winning Candidate]]-SamplingData[[#Totals],[Candidate 3]]), 0)</f>
        <v>0</v>
      </c>
      <c r="S537" s="100">
        <f>IF(AND(SamplingData[[#This Row],[Total]]&lt;&gt; 0, NOT(ISBLANK(SamplingData[[#This Row],[Candidate 4]]))),(SamplingData[[#This Row],[Total]]+SamplingData[[#This Row],[Winning Candidate]]-SamplingData[[#This Row],[Candidate 4]])/(SamplingData[[#Totals],[Winning Candidate]]-SamplingData[[#Totals],[Candidate 4]]), 0)</f>
        <v>0</v>
      </c>
      <c r="T537" s="100">
        <f>IF(AND(SamplingData[[#This Row],[Total]]&lt;&gt; 0, NOT(ISBLANK(SamplingData[[#This Row],[Candidate 5]]))),(SamplingData[[#This Row],[Total]]+SamplingData[[#This Row],[Winning Candidate]]-SamplingData[[#This Row],[Candidate 5]])/(SamplingData[[#Totals],[Winning Candidate]]-SamplingData[[#Totals],[Candidate 5]]), 0)</f>
        <v>0</v>
      </c>
      <c r="U537" s="100">
        <f>IF(AND(SamplingData[[#This Row],[Total]]&lt;&gt; 0, NOT(ISBLANK(SamplingData[[#This Row],[Candidate 6]]))),(SamplingData[[#This Row],[Total]]+SamplingData[[#This Row],[Losing Candidate]]-SamplingData[[#This Row],[Candidate 6]])/(SamplingData[[#Totals],[Winning Candidate]]-SamplingData[[#Totals],[Candidate 6]]), 0)</f>
        <v>0</v>
      </c>
      <c r="V537" s="100">
        <f>IF(AND(SamplingData[[#This Row],[Total]]&lt;&gt; 0, NOT(ISBLANK(SamplingData[[#This Row],[Candidate 7]]))),(SamplingData[[#This Row],[Total]]+SamplingData[[#This Row],[Winning Candidate]]-SamplingData[[#This Row],[Candidate 7]])/(SamplingData[[#Totals],[Winning Candidate]]-SamplingData[[#Totals],[Candidate 7]]), 0)</f>
        <v>0</v>
      </c>
      <c r="W537" s="100">
        <f>IF(AND(SamplingData[[#This Row],[Total]]&lt;&gt; 0, NOT(ISBLANK(SamplingData[[#This Row],[Candidate 8]]))),(SamplingData[[#This Row],[Total]]+SamplingData[[#This Row],[Winning Candidate]]-SamplingData[[#This Row],[Candidate 8]])/(SamplingData[[#Totals],[Winning Candidate]]-SamplingData[[#Totals],[Candidate 8]]), 0)</f>
        <v>0</v>
      </c>
      <c r="X5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00">
        <f>MAX(SamplingData[[#This Row],[Error Bound (up) - Max. possible relative overstatement - Losing Candidate]:[Error Bound (up) - Max. possible relative overstatement - Candidate 12]])</f>
        <v>8.7947985048842541E-4</v>
      </c>
      <c r="AC537" s="100">
        <f>IF(SamplingData[[#This Row],[Max Error Bound (up)]] = 0,0,SamplingData[[#This Row],[Max Error Bound (up)]]/SamplingData[[#Totals],[Max Error Bound (up)]])</f>
        <v>3.7689118613040446E-4</v>
      </c>
      <c r="AD537" s="104">
        <f>SUM($AC$5:AC537)</f>
        <v>0.11387497980940089</v>
      </c>
      <c r="AE537" s="100" t="str" cm="1">
        <f t="array" ref="AE537">IF(SamplingData[[#This Row],[up/U Selection Probability]] = 0, "Zero", TEXT(SamplingData[[#This Row],[Lower Range]], REPT("0",LEN('General Info'!$B$42))) &amp; " - " &amp; TEXT(SamplingData[[#This Row],[Upper Range]], REPT("0",LEN('General Info'!$B$42))))</f>
        <v>11350 - 11386</v>
      </c>
      <c r="AF537" s="100">
        <f>SamplingData[[#This Row],[Upper Range]]-SamplingData[[#This Row],[Span]]</f>
        <v>11349.808862327051</v>
      </c>
      <c r="AG537" s="100">
        <f>IF(ISNUMBER('General Info'!$B$42), ((SamplingData[[#This Row],[up/U Selection Probability]]) * 'General Info'!$B$44) - 1, 0)</f>
        <v>36.689118613040449</v>
      </c>
      <c r="AH537" s="100">
        <f>IF(ISNUMBER('General Info'!$B$42), (SamplingData[[#This Row],[Running (cumulative) sum]] * ('General Info'!$B$42 -'General Info'!$B$43 + 1)) + 'General Info'!$B$43 - 1, 0)</f>
        <v>11386.49798094009</v>
      </c>
      <c r="AI537" s="100" t="str">
        <f>IF(ISERROR(MATCH(SamplingData[[#This Row],[Batch by Type (p)]],SelectedPrecincts[Batch Name], 0)), "", INDEX(SelectedPrecincts[Draw], MATCH(SamplingData[[#This Row],[Batch by Type (p)]],SelectedPrecincts[Batch Name], 0)))</f>
        <v/>
      </c>
      <c r="AJ537" s="101">
        <f>IF(COUNTIF(SelectedPrecincts[Batch Name],SamplingData[[#This Row],[Batch by Type (p)]]) &lt;&gt; 0, COUNTIF(SelectedPrecincts[Batch Name],SamplingData[[#This Row],[Batch by Type (p)]]), 0)</f>
        <v>0</v>
      </c>
    </row>
    <row r="538" spans="1:36" ht="15" customHeight="1" x14ac:dyDescent="0.35">
      <c r="A538" s="98" t="s">
        <v>749</v>
      </c>
      <c r="B538" s="98">
        <v>14</v>
      </c>
      <c r="C538" s="98">
        <v>2</v>
      </c>
      <c r="D538" s="93"/>
      <c r="E538" s="93"/>
      <c r="F538" s="93"/>
      <c r="G538" s="97"/>
      <c r="H538" s="97"/>
      <c r="I538" s="93"/>
      <c r="J538" s="93"/>
      <c r="K538" s="93"/>
      <c r="L538" s="93"/>
      <c r="M538" s="93"/>
      <c r="N538" s="98">
        <v>0</v>
      </c>
      <c r="O538" s="98">
        <v>0</v>
      </c>
      <c r="P538" s="99">
        <f>SUM(SamplingData[[#This Row],[Winning Candidate]:[Under Votes]])</f>
        <v>16</v>
      </c>
      <c r="Q538"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538" s="100">
        <f>IF(AND(SamplingData[[#This Row],[Total]]&lt;&gt; 0, NOT(ISBLANK(SamplingData[[#This Row],[Candidate 3]]))),(SamplingData[[#This Row],[Total]]+SamplingData[[#This Row],[Winning Candidate]]-SamplingData[[#This Row],[Candidate 3]])/(SamplingData[[#Totals],[Winning Candidate]]-SamplingData[[#Totals],[Candidate 3]]), 0)</f>
        <v>0</v>
      </c>
      <c r="S538" s="100">
        <f>IF(AND(SamplingData[[#This Row],[Total]]&lt;&gt; 0, NOT(ISBLANK(SamplingData[[#This Row],[Candidate 4]]))),(SamplingData[[#This Row],[Total]]+SamplingData[[#This Row],[Winning Candidate]]-SamplingData[[#This Row],[Candidate 4]])/(SamplingData[[#Totals],[Winning Candidate]]-SamplingData[[#Totals],[Candidate 4]]), 0)</f>
        <v>0</v>
      </c>
      <c r="T538" s="100">
        <f>IF(AND(SamplingData[[#This Row],[Total]]&lt;&gt; 0, NOT(ISBLANK(SamplingData[[#This Row],[Candidate 5]]))),(SamplingData[[#This Row],[Total]]+SamplingData[[#This Row],[Winning Candidate]]-SamplingData[[#This Row],[Candidate 5]])/(SamplingData[[#Totals],[Winning Candidate]]-SamplingData[[#Totals],[Candidate 5]]), 0)</f>
        <v>0</v>
      </c>
      <c r="U538" s="100">
        <f>IF(AND(SamplingData[[#This Row],[Total]]&lt;&gt; 0, NOT(ISBLANK(SamplingData[[#This Row],[Candidate 6]]))),(SamplingData[[#This Row],[Total]]+SamplingData[[#This Row],[Losing Candidate]]-SamplingData[[#This Row],[Candidate 6]])/(SamplingData[[#Totals],[Winning Candidate]]-SamplingData[[#Totals],[Candidate 6]]), 0)</f>
        <v>0</v>
      </c>
      <c r="V538" s="100">
        <f>IF(AND(SamplingData[[#This Row],[Total]]&lt;&gt; 0, NOT(ISBLANK(SamplingData[[#This Row],[Candidate 7]]))),(SamplingData[[#This Row],[Total]]+SamplingData[[#This Row],[Winning Candidate]]-SamplingData[[#This Row],[Candidate 7]])/(SamplingData[[#Totals],[Winning Candidate]]-SamplingData[[#Totals],[Candidate 7]]), 0)</f>
        <v>0</v>
      </c>
      <c r="W538" s="100">
        <f>IF(AND(SamplingData[[#This Row],[Total]]&lt;&gt; 0, NOT(ISBLANK(SamplingData[[#This Row],[Candidate 8]]))),(SamplingData[[#This Row],[Total]]+SamplingData[[#This Row],[Winning Candidate]]-SamplingData[[#This Row],[Candidate 8]])/(SamplingData[[#Totals],[Winning Candidate]]-SamplingData[[#Totals],[Candidate 8]]), 0)</f>
        <v>0</v>
      </c>
      <c r="X5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00">
        <f>MAX(SamplingData[[#This Row],[Error Bound (up) - Max. possible relative overstatement - Losing Candidate]:[Error Bound (up) - Max. possible relative overstatement - Candidate 12]])</f>
        <v>8.7947985048842541E-4</v>
      </c>
      <c r="AC538" s="100">
        <f>IF(SamplingData[[#This Row],[Max Error Bound (up)]] = 0,0,SamplingData[[#This Row],[Max Error Bound (up)]]/SamplingData[[#Totals],[Max Error Bound (up)]])</f>
        <v>3.7689118613040446E-4</v>
      </c>
      <c r="AD538" s="104">
        <f>SUM($AC$5:AC538)</f>
        <v>0.1142518709955313</v>
      </c>
      <c r="AE538" s="100" t="str" cm="1">
        <f t="array" ref="AE538">IF(SamplingData[[#This Row],[up/U Selection Probability]] = 0, "Zero", TEXT(SamplingData[[#This Row],[Lower Range]], REPT("0",LEN('General Info'!$B$42))) &amp; " - " &amp; TEXT(SamplingData[[#This Row],[Upper Range]], REPT("0",LEN('General Info'!$B$42))))</f>
        <v>11387 - 11424</v>
      </c>
      <c r="AF538" s="100">
        <f>SamplingData[[#This Row],[Upper Range]]-SamplingData[[#This Row],[Span]]</f>
        <v>11387.49798094009</v>
      </c>
      <c r="AG538" s="100">
        <f>IF(ISNUMBER('General Info'!$B$42), ((SamplingData[[#This Row],[up/U Selection Probability]]) * 'General Info'!$B$44) - 1, 0)</f>
        <v>36.689118613040449</v>
      </c>
      <c r="AH538" s="100">
        <f>IF(ISNUMBER('General Info'!$B$42), (SamplingData[[#This Row],[Running (cumulative) sum]] * ('General Info'!$B$42 -'General Info'!$B$43 + 1)) + 'General Info'!$B$43 - 1, 0)</f>
        <v>11424.18709955313</v>
      </c>
      <c r="AI538" s="100" t="str">
        <f>IF(ISERROR(MATCH(SamplingData[[#This Row],[Batch by Type (p)]],SelectedPrecincts[Batch Name], 0)), "", INDEX(SelectedPrecincts[Draw], MATCH(SamplingData[[#This Row],[Batch by Type (p)]],SelectedPrecincts[Batch Name], 0)))</f>
        <v/>
      </c>
      <c r="AJ538" s="101">
        <f>IF(COUNTIF(SelectedPrecincts[Batch Name],SamplingData[[#This Row],[Batch by Type (p)]]) &lt;&gt; 0, COUNTIF(SelectedPrecincts[Batch Name],SamplingData[[#This Row],[Batch by Type (p)]]), 0)</f>
        <v>0</v>
      </c>
    </row>
    <row r="539" spans="1:36" ht="15" customHeight="1" x14ac:dyDescent="0.35">
      <c r="A539" s="98" t="s">
        <v>750</v>
      </c>
      <c r="B539" s="98">
        <v>15</v>
      </c>
      <c r="C539" s="98">
        <v>4</v>
      </c>
      <c r="D539" s="93"/>
      <c r="E539" s="93"/>
      <c r="F539" s="93"/>
      <c r="G539" s="97"/>
      <c r="H539" s="97"/>
      <c r="I539" s="93"/>
      <c r="J539" s="93"/>
      <c r="K539" s="93"/>
      <c r="L539" s="93"/>
      <c r="M539" s="93"/>
      <c r="N539" s="98">
        <v>0</v>
      </c>
      <c r="O539" s="98">
        <v>0</v>
      </c>
      <c r="P539" s="99">
        <f>SUM(SamplingData[[#This Row],[Winning Candidate]:[Under Votes]])</f>
        <v>19</v>
      </c>
      <c r="Q539"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539" s="100">
        <f>IF(AND(SamplingData[[#This Row],[Total]]&lt;&gt; 0, NOT(ISBLANK(SamplingData[[#This Row],[Candidate 3]]))),(SamplingData[[#This Row],[Total]]+SamplingData[[#This Row],[Winning Candidate]]-SamplingData[[#This Row],[Candidate 3]])/(SamplingData[[#Totals],[Winning Candidate]]-SamplingData[[#Totals],[Candidate 3]]), 0)</f>
        <v>0</v>
      </c>
      <c r="S539" s="100">
        <f>IF(AND(SamplingData[[#This Row],[Total]]&lt;&gt; 0, NOT(ISBLANK(SamplingData[[#This Row],[Candidate 4]]))),(SamplingData[[#This Row],[Total]]+SamplingData[[#This Row],[Winning Candidate]]-SamplingData[[#This Row],[Candidate 4]])/(SamplingData[[#Totals],[Winning Candidate]]-SamplingData[[#Totals],[Candidate 4]]), 0)</f>
        <v>0</v>
      </c>
      <c r="T539" s="100">
        <f>IF(AND(SamplingData[[#This Row],[Total]]&lt;&gt; 0, NOT(ISBLANK(SamplingData[[#This Row],[Candidate 5]]))),(SamplingData[[#This Row],[Total]]+SamplingData[[#This Row],[Winning Candidate]]-SamplingData[[#This Row],[Candidate 5]])/(SamplingData[[#Totals],[Winning Candidate]]-SamplingData[[#Totals],[Candidate 5]]), 0)</f>
        <v>0</v>
      </c>
      <c r="U539" s="100">
        <f>IF(AND(SamplingData[[#This Row],[Total]]&lt;&gt; 0, NOT(ISBLANK(SamplingData[[#This Row],[Candidate 6]]))),(SamplingData[[#This Row],[Total]]+SamplingData[[#This Row],[Losing Candidate]]-SamplingData[[#This Row],[Candidate 6]])/(SamplingData[[#Totals],[Winning Candidate]]-SamplingData[[#Totals],[Candidate 6]]), 0)</f>
        <v>0</v>
      </c>
      <c r="V539" s="100">
        <f>IF(AND(SamplingData[[#This Row],[Total]]&lt;&gt; 0, NOT(ISBLANK(SamplingData[[#This Row],[Candidate 7]]))),(SamplingData[[#This Row],[Total]]+SamplingData[[#This Row],[Winning Candidate]]-SamplingData[[#This Row],[Candidate 7]])/(SamplingData[[#Totals],[Winning Candidate]]-SamplingData[[#Totals],[Candidate 7]]), 0)</f>
        <v>0</v>
      </c>
      <c r="W539" s="100">
        <f>IF(AND(SamplingData[[#This Row],[Total]]&lt;&gt; 0, NOT(ISBLANK(SamplingData[[#This Row],[Candidate 8]]))),(SamplingData[[#This Row],[Total]]+SamplingData[[#This Row],[Winning Candidate]]-SamplingData[[#This Row],[Candidate 8]])/(SamplingData[[#Totals],[Winning Candidate]]-SamplingData[[#Totals],[Candidate 8]]), 0)</f>
        <v>0</v>
      </c>
      <c r="X5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00">
        <f>MAX(SamplingData[[#This Row],[Error Bound (up) - Max. possible relative overstatement - Losing Candidate]:[Error Bound (up) - Max. possible relative overstatement - Candidate 12]])</f>
        <v>9.4229983980902718E-4</v>
      </c>
      <c r="AC539" s="100">
        <f>IF(SamplingData[[#This Row],[Max Error Bound (up)]] = 0,0,SamplingData[[#This Row],[Max Error Bound (up)]]/SamplingData[[#Totals],[Max Error Bound (up)]])</f>
        <v>4.0381198513971905E-4</v>
      </c>
      <c r="AD539" s="104">
        <f>SUM($AC$5:AC539)</f>
        <v>0.11465568298067103</v>
      </c>
      <c r="AE539" s="100" t="str" cm="1">
        <f t="array" ref="AE539">IF(SamplingData[[#This Row],[up/U Selection Probability]] = 0, "Zero", TEXT(SamplingData[[#This Row],[Lower Range]], REPT("0",LEN('General Info'!$B$42))) &amp; " - " &amp; TEXT(SamplingData[[#This Row],[Upper Range]], REPT("0",LEN('General Info'!$B$42))))</f>
        <v>11425 - 11465</v>
      </c>
      <c r="AF539" s="100">
        <f>SamplingData[[#This Row],[Upper Range]]-SamplingData[[#This Row],[Span]]</f>
        <v>11425.18709955313</v>
      </c>
      <c r="AG539" s="100">
        <f>IF(ISNUMBER('General Info'!$B$42), ((SamplingData[[#This Row],[up/U Selection Probability]]) * 'General Info'!$B$44) - 1, 0)</f>
        <v>39.381198513971903</v>
      </c>
      <c r="AH539" s="100">
        <f>IF(ISNUMBER('General Info'!$B$42), (SamplingData[[#This Row],[Running (cumulative) sum]] * ('General Info'!$B$42 -'General Info'!$B$43 + 1)) + 'General Info'!$B$43 - 1, 0)</f>
        <v>11464.568298067103</v>
      </c>
      <c r="AI539" s="100" t="str">
        <f>IF(ISERROR(MATCH(SamplingData[[#This Row],[Batch by Type (p)]],SelectedPrecincts[Batch Name], 0)), "", INDEX(SelectedPrecincts[Draw], MATCH(SamplingData[[#This Row],[Batch by Type (p)]],SelectedPrecincts[Batch Name], 0)))</f>
        <v/>
      </c>
      <c r="AJ539" s="101">
        <f>IF(COUNTIF(SelectedPrecincts[Batch Name],SamplingData[[#This Row],[Batch by Type (p)]]) &lt;&gt; 0, COUNTIF(SelectedPrecincts[Batch Name],SamplingData[[#This Row],[Batch by Type (p)]]), 0)</f>
        <v>0</v>
      </c>
    </row>
    <row r="540" spans="1:36" ht="15" customHeight="1" x14ac:dyDescent="0.35">
      <c r="A540" s="98" t="s">
        <v>751</v>
      </c>
      <c r="B540" s="98">
        <v>11</v>
      </c>
      <c r="C540" s="98">
        <v>0</v>
      </c>
      <c r="D540" s="93"/>
      <c r="E540" s="93"/>
      <c r="F540" s="93"/>
      <c r="G540" s="97"/>
      <c r="H540" s="97"/>
      <c r="I540" s="93"/>
      <c r="J540" s="93"/>
      <c r="K540" s="93"/>
      <c r="L540" s="93"/>
      <c r="M540" s="93"/>
      <c r="N540" s="98">
        <v>0</v>
      </c>
      <c r="O540" s="98">
        <v>0</v>
      </c>
      <c r="P540" s="99">
        <f>SUM(SamplingData[[#This Row],[Winning Candidate]:[Under Votes]])</f>
        <v>11</v>
      </c>
      <c r="Q540"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540" s="100">
        <f>IF(AND(SamplingData[[#This Row],[Total]]&lt;&gt; 0, NOT(ISBLANK(SamplingData[[#This Row],[Candidate 3]]))),(SamplingData[[#This Row],[Total]]+SamplingData[[#This Row],[Winning Candidate]]-SamplingData[[#This Row],[Candidate 3]])/(SamplingData[[#Totals],[Winning Candidate]]-SamplingData[[#Totals],[Candidate 3]]), 0)</f>
        <v>0</v>
      </c>
      <c r="S540" s="100">
        <f>IF(AND(SamplingData[[#This Row],[Total]]&lt;&gt; 0, NOT(ISBLANK(SamplingData[[#This Row],[Candidate 4]]))),(SamplingData[[#This Row],[Total]]+SamplingData[[#This Row],[Winning Candidate]]-SamplingData[[#This Row],[Candidate 4]])/(SamplingData[[#Totals],[Winning Candidate]]-SamplingData[[#Totals],[Candidate 4]]), 0)</f>
        <v>0</v>
      </c>
      <c r="T540" s="100">
        <f>IF(AND(SamplingData[[#This Row],[Total]]&lt;&gt; 0, NOT(ISBLANK(SamplingData[[#This Row],[Candidate 5]]))),(SamplingData[[#This Row],[Total]]+SamplingData[[#This Row],[Winning Candidate]]-SamplingData[[#This Row],[Candidate 5]])/(SamplingData[[#Totals],[Winning Candidate]]-SamplingData[[#Totals],[Candidate 5]]), 0)</f>
        <v>0</v>
      </c>
      <c r="U540" s="100">
        <f>IF(AND(SamplingData[[#This Row],[Total]]&lt;&gt; 0, NOT(ISBLANK(SamplingData[[#This Row],[Candidate 6]]))),(SamplingData[[#This Row],[Total]]+SamplingData[[#This Row],[Losing Candidate]]-SamplingData[[#This Row],[Candidate 6]])/(SamplingData[[#Totals],[Winning Candidate]]-SamplingData[[#Totals],[Candidate 6]]), 0)</f>
        <v>0</v>
      </c>
      <c r="V540" s="100">
        <f>IF(AND(SamplingData[[#This Row],[Total]]&lt;&gt; 0, NOT(ISBLANK(SamplingData[[#This Row],[Candidate 7]]))),(SamplingData[[#This Row],[Total]]+SamplingData[[#This Row],[Winning Candidate]]-SamplingData[[#This Row],[Candidate 7]])/(SamplingData[[#Totals],[Winning Candidate]]-SamplingData[[#Totals],[Candidate 7]]), 0)</f>
        <v>0</v>
      </c>
      <c r="W540" s="100">
        <f>IF(AND(SamplingData[[#This Row],[Total]]&lt;&gt; 0, NOT(ISBLANK(SamplingData[[#This Row],[Candidate 8]]))),(SamplingData[[#This Row],[Total]]+SamplingData[[#This Row],[Winning Candidate]]-SamplingData[[#This Row],[Candidate 8]])/(SamplingData[[#Totals],[Winning Candidate]]-SamplingData[[#Totals],[Candidate 8]]), 0)</f>
        <v>0</v>
      </c>
      <c r="X5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00">
        <f>MAX(SamplingData[[#This Row],[Error Bound (up) - Max. possible relative overstatement - Losing Candidate]:[Error Bound (up) - Max. possible relative overstatement - Candidate 12]])</f>
        <v>6.9101988252662E-4</v>
      </c>
      <c r="AC540" s="100">
        <f>IF(SamplingData[[#This Row],[Max Error Bound (up)]] = 0,0,SamplingData[[#This Row],[Max Error Bound (up)]]/SamplingData[[#Totals],[Max Error Bound (up)]])</f>
        <v>2.9612878910246067E-4</v>
      </c>
      <c r="AD540" s="104">
        <f>SUM($AC$5:AC540)</f>
        <v>0.11495181176977348</v>
      </c>
      <c r="AE540" s="100" t="str" cm="1">
        <f t="array" ref="AE540">IF(SamplingData[[#This Row],[up/U Selection Probability]] = 0, "Zero", TEXT(SamplingData[[#This Row],[Lower Range]], REPT("0",LEN('General Info'!$B$42))) &amp; " - " &amp; TEXT(SamplingData[[#This Row],[Upper Range]], REPT("0",LEN('General Info'!$B$42))))</f>
        <v>11466 - 11494</v>
      </c>
      <c r="AF540" s="100">
        <f>SamplingData[[#This Row],[Upper Range]]-SamplingData[[#This Row],[Span]]</f>
        <v>11465.568298067103</v>
      </c>
      <c r="AG540" s="100">
        <f>IF(ISNUMBER('General Info'!$B$42), ((SamplingData[[#This Row],[up/U Selection Probability]]) * 'General Info'!$B$44) - 1, 0)</f>
        <v>28.612878910246067</v>
      </c>
      <c r="AH540" s="100">
        <f>IF(ISNUMBER('General Info'!$B$42), (SamplingData[[#This Row],[Running (cumulative) sum]] * ('General Info'!$B$42 -'General Info'!$B$43 + 1)) + 'General Info'!$B$43 - 1, 0)</f>
        <v>11494.181176977349</v>
      </c>
      <c r="AI540" s="100" t="str">
        <f>IF(ISERROR(MATCH(SamplingData[[#This Row],[Batch by Type (p)]],SelectedPrecincts[Batch Name], 0)), "", INDEX(SelectedPrecincts[Draw], MATCH(SamplingData[[#This Row],[Batch by Type (p)]],SelectedPrecincts[Batch Name], 0)))</f>
        <v/>
      </c>
      <c r="AJ540" s="101">
        <f>IF(COUNTIF(SelectedPrecincts[Batch Name],SamplingData[[#This Row],[Batch by Type (p)]]) &lt;&gt; 0, COUNTIF(SelectedPrecincts[Batch Name],SamplingData[[#This Row],[Batch by Type (p)]]), 0)</f>
        <v>0</v>
      </c>
    </row>
    <row r="541" spans="1:36" ht="15" customHeight="1" x14ac:dyDescent="0.35">
      <c r="A541" s="98" t="s">
        <v>752</v>
      </c>
      <c r="B541" s="98">
        <v>11</v>
      </c>
      <c r="C541" s="98">
        <v>3</v>
      </c>
      <c r="D541" s="93"/>
      <c r="E541" s="93"/>
      <c r="F541" s="93"/>
      <c r="G541" s="97"/>
      <c r="H541" s="97"/>
      <c r="I541" s="93"/>
      <c r="J541" s="93"/>
      <c r="K541" s="93"/>
      <c r="L541" s="93"/>
      <c r="M541" s="93"/>
      <c r="N541" s="98">
        <v>0</v>
      </c>
      <c r="O541" s="98">
        <v>0</v>
      </c>
      <c r="P541" s="99">
        <f>SUM(SamplingData[[#This Row],[Winning Candidate]:[Under Votes]])</f>
        <v>14</v>
      </c>
      <c r="Q541"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541" s="100">
        <f>IF(AND(SamplingData[[#This Row],[Total]]&lt;&gt; 0, NOT(ISBLANK(SamplingData[[#This Row],[Candidate 3]]))),(SamplingData[[#This Row],[Total]]+SamplingData[[#This Row],[Winning Candidate]]-SamplingData[[#This Row],[Candidate 3]])/(SamplingData[[#Totals],[Winning Candidate]]-SamplingData[[#Totals],[Candidate 3]]), 0)</f>
        <v>0</v>
      </c>
      <c r="S541" s="100">
        <f>IF(AND(SamplingData[[#This Row],[Total]]&lt;&gt; 0, NOT(ISBLANK(SamplingData[[#This Row],[Candidate 4]]))),(SamplingData[[#This Row],[Total]]+SamplingData[[#This Row],[Winning Candidate]]-SamplingData[[#This Row],[Candidate 4]])/(SamplingData[[#Totals],[Winning Candidate]]-SamplingData[[#Totals],[Candidate 4]]), 0)</f>
        <v>0</v>
      </c>
      <c r="T541" s="100">
        <f>IF(AND(SamplingData[[#This Row],[Total]]&lt;&gt; 0, NOT(ISBLANK(SamplingData[[#This Row],[Candidate 5]]))),(SamplingData[[#This Row],[Total]]+SamplingData[[#This Row],[Winning Candidate]]-SamplingData[[#This Row],[Candidate 5]])/(SamplingData[[#Totals],[Winning Candidate]]-SamplingData[[#Totals],[Candidate 5]]), 0)</f>
        <v>0</v>
      </c>
      <c r="U541" s="100">
        <f>IF(AND(SamplingData[[#This Row],[Total]]&lt;&gt; 0, NOT(ISBLANK(SamplingData[[#This Row],[Candidate 6]]))),(SamplingData[[#This Row],[Total]]+SamplingData[[#This Row],[Losing Candidate]]-SamplingData[[#This Row],[Candidate 6]])/(SamplingData[[#Totals],[Winning Candidate]]-SamplingData[[#Totals],[Candidate 6]]), 0)</f>
        <v>0</v>
      </c>
      <c r="V541" s="100">
        <f>IF(AND(SamplingData[[#This Row],[Total]]&lt;&gt; 0, NOT(ISBLANK(SamplingData[[#This Row],[Candidate 7]]))),(SamplingData[[#This Row],[Total]]+SamplingData[[#This Row],[Winning Candidate]]-SamplingData[[#This Row],[Candidate 7]])/(SamplingData[[#Totals],[Winning Candidate]]-SamplingData[[#Totals],[Candidate 7]]), 0)</f>
        <v>0</v>
      </c>
      <c r="W541" s="100">
        <f>IF(AND(SamplingData[[#This Row],[Total]]&lt;&gt; 0, NOT(ISBLANK(SamplingData[[#This Row],[Candidate 8]]))),(SamplingData[[#This Row],[Total]]+SamplingData[[#This Row],[Winning Candidate]]-SamplingData[[#This Row],[Candidate 8]])/(SamplingData[[#Totals],[Winning Candidate]]-SamplingData[[#Totals],[Candidate 8]]), 0)</f>
        <v>0</v>
      </c>
      <c r="X5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00">
        <f>MAX(SamplingData[[#This Row],[Error Bound (up) - Max. possible relative overstatement - Losing Candidate]:[Error Bound (up) - Max. possible relative overstatement - Candidate 12]])</f>
        <v>6.9101988252662E-4</v>
      </c>
      <c r="AC541" s="100">
        <f>IF(SamplingData[[#This Row],[Max Error Bound (up)]] = 0,0,SamplingData[[#This Row],[Max Error Bound (up)]]/SamplingData[[#Totals],[Max Error Bound (up)]])</f>
        <v>2.9612878910246067E-4</v>
      </c>
      <c r="AD541" s="104">
        <f>SUM($AC$5:AC541)</f>
        <v>0.11524794055887594</v>
      </c>
      <c r="AE541" s="100" t="str" cm="1">
        <f t="array" ref="AE541">IF(SamplingData[[#This Row],[up/U Selection Probability]] = 0, "Zero", TEXT(SamplingData[[#This Row],[Lower Range]], REPT("0",LEN('General Info'!$B$42))) &amp; " - " &amp; TEXT(SamplingData[[#This Row],[Upper Range]], REPT("0",LEN('General Info'!$B$42))))</f>
        <v>11495 - 11524</v>
      </c>
      <c r="AF541" s="100">
        <f>SamplingData[[#This Row],[Upper Range]]-SamplingData[[#This Row],[Span]]</f>
        <v>11495.181176977349</v>
      </c>
      <c r="AG541" s="100">
        <f>IF(ISNUMBER('General Info'!$B$42), ((SamplingData[[#This Row],[up/U Selection Probability]]) * 'General Info'!$B$44) - 1, 0)</f>
        <v>28.612878910246067</v>
      </c>
      <c r="AH541" s="100">
        <f>IF(ISNUMBER('General Info'!$B$42), (SamplingData[[#This Row],[Running (cumulative) sum]] * ('General Info'!$B$42 -'General Info'!$B$43 + 1)) + 'General Info'!$B$43 - 1, 0)</f>
        <v>11523.794055887594</v>
      </c>
      <c r="AI541" s="100" t="str">
        <f>IF(ISERROR(MATCH(SamplingData[[#This Row],[Batch by Type (p)]],SelectedPrecincts[Batch Name], 0)), "", INDEX(SelectedPrecincts[Draw], MATCH(SamplingData[[#This Row],[Batch by Type (p)]],SelectedPrecincts[Batch Name], 0)))</f>
        <v/>
      </c>
      <c r="AJ541" s="101">
        <f>IF(COUNTIF(SelectedPrecincts[Batch Name],SamplingData[[#This Row],[Batch by Type (p)]]) &lt;&gt; 0, COUNTIF(SelectedPrecincts[Batch Name],SamplingData[[#This Row],[Batch by Type (p)]]), 0)</f>
        <v>0</v>
      </c>
    </row>
    <row r="542" spans="1:36" ht="15" customHeight="1" x14ac:dyDescent="0.35">
      <c r="A542" s="98" t="s">
        <v>753</v>
      </c>
      <c r="B542" s="98">
        <v>4</v>
      </c>
      <c r="C542" s="98">
        <v>0</v>
      </c>
      <c r="D542" s="93"/>
      <c r="E542" s="93"/>
      <c r="F542" s="93"/>
      <c r="G542" s="97"/>
      <c r="H542" s="97"/>
      <c r="I542" s="93"/>
      <c r="J542" s="93"/>
      <c r="K542" s="93"/>
      <c r="L542" s="93"/>
      <c r="M542" s="93"/>
      <c r="N542" s="98">
        <v>0</v>
      </c>
      <c r="O542" s="98">
        <v>0</v>
      </c>
      <c r="P542" s="99">
        <f>SUM(SamplingData[[#This Row],[Winning Candidate]:[Under Votes]])</f>
        <v>4</v>
      </c>
      <c r="Q542"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542" s="100">
        <f>IF(AND(SamplingData[[#This Row],[Total]]&lt;&gt; 0, NOT(ISBLANK(SamplingData[[#This Row],[Candidate 3]]))),(SamplingData[[#This Row],[Total]]+SamplingData[[#This Row],[Winning Candidate]]-SamplingData[[#This Row],[Candidate 3]])/(SamplingData[[#Totals],[Winning Candidate]]-SamplingData[[#Totals],[Candidate 3]]), 0)</f>
        <v>0</v>
      </c>
      <c r="S542" s="100">
        <f>IF(AND(SamplingData[[#This Row],[Total]]&lt;&gt; 0, NOT(ISBLANK(SamplingData[[#This Row],[Candidate 4]]))),(SamplingData[[#This Row],[Total]]+SamplingData[[#This Row],[Winning Candidate]]-SamplingData[[#This Row],[Candidate 4]])/(SamplingData[[#Totals],[Winning Candidate]]-SamplingData[[#Totals],[Candidate 4]]), 0)</f>
        <v>0</v>
      </c>
      <c r="T542" s="100">
        <f>IF(AND(SamplingData[[#This Row],[Total]]&lt;&gt; 0, NOT(ISBLANK(SamplingData[[#This Row],[Candidate 5]]))),(SamplingData[[#This Row],[Total]]+SamplingData[[#This Row],[Winning Candidate]]-SamplingData[[#This Row],[Candidate 5]])/(SamplingData[[#Totals],[Winning Candidate]]-SamplingData[[#Totals],[Candidate 5]]), 0)</f>
        <v>0</v>
      </c>
      <c r="U542" s="100">
        <f>IF(AND(SamplingData[[#This Row],[Total]]&lt;&gt; 0, NOT(ISBLANK(SamplingData[[#This Row],[Candidate 6]]))),(SamplingData[[#This Row],[Total]]+SamplingData[[#This Row],[Losing Candidate]]-SamplingData[[#This Row],[Candidate 6]])/(SamplingData[[#Totals],[Winning Candidate]]-SamplingData[[#Totals],[Candidate 6]]), 0)</f>
        <v>0</v>
      </c>
      <c r="V542" s="100">
        <f>IF(AND(SamplingData[[#This Row],[Total]]&lt;&gt; 0, NOT(ISBLANK(SamplingData[[#This Row],[Candidate 7]]))),(SamplingData[[#This Row],[Total]]+SamplingData[[#This Row],[Winning Candidate]]-SamplingData[[#This Row],[Candidate 7]])/(SamplingData[[#Totals],[Winning Candidate]]-SamplingData[[#Totals],[Candidate 7]]), 0)</f>
        <v>0</v>
      </c>
      <c r="W542" s="100">
        <f>IF(AND(SamplingData[[#This Row],[Total]]&lt;&gt; 0, NOT(ISBLANK(SamplingData[[#This Row],[Candidate 8]]))),(SamplingData[[#This Row],[Total]]+SamplingData[[#This Row],[Winning Candidate]]-SamplingData[[#This Row],[Candidate 8]])/(SamplingData[[#Totals],[Winning Candidate]]-SamplingData[[#Totals],[Candidate 8]]), 0)</f>
        <v>0</v>
      </c>
      <c r="X5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00">
        <f>MAX(SamplingData[[#This Row],[Error Bound (up) - Max. possible relative overstatement - Losing Candidate]:[Error Bound (up) - Max. possible relative overstatement - Candidate 12]])</f>
        <v>2.5127995728240724E-4</v>
      </c>
      <c r="AC542" s="100">
        <f>IF(SamplingData[[#This Row],[Max Error Bound (up)]] = 0,0,SamplingData[[#This Row],[Max Error Bound (up)]]/SamplingData[[#Totals],[Max Error Bound (up)]])</f>
        <v>1.0768319603725841E-4</v>
      </c>
      <c r="AD542" s="104">
        <f>SUM($AC$5:AC542)</f>
        <v>0.11535562375491319</v>
      </c>
      <c r="AE542" s="100" t="str" cm="1">
        <f t="array" ref="AE542">IF(SamplingData[[#This Row],[up/U Selection Probability]] = 0, "Zero", TEXT(SamplingData[[#This Row],[Lower Range]], REPT("0",LEN('General Info'!$B$42))) &amp; " - " &amp; TEXT(SamplingData[[#This Row],[Upper Range]], REPT("0",LEN('General Info'!$B$42))))</f>
        <v>11525 - 11535</v>
      </c>
      <c r="AF542" s="100">
        <f>SamplingData[[#This Row],[Upper Range]]-SamplingData[[#This Row],[Span]]</f>
        <v>11524.794055887594</v>
      </c>
      <c r="AG542" s="100">
        <f>IF(ISNUMBER('General Info'!$B$42), ((SamplingData[[#This Row],[up/U Selection Probability]]) * 'General Info'!$B$44) - 1, 0)</f>
        <v>9.7683196037258408</v>
      </c>
      <c r="AH542" s="100">
        <f>IF(ISNUMBER('General Info'!$B$42), (SamplingData[[#This Row],[Running (cumulative) sum]] * ('General Info'!$B$42 -'General Info'!$B$43 + 1)) + 'General Info'!$B$43 - 1, 0)</f>
        <v>11534.562375491319</v>
      </c>
      <c r="AI542" s="100" t="str">
        <f>IF(ISERROR(MATCH(SamplingData[[#This Row],[Batch by Type (p)]],SelectedPrecincts[Batch Name], 0)), "", INDEX(SelectedPrecincts[Draw], MATCH(SamplingData[[#This Row],[Batch by Type (p)]],SelectedPrecincts[Batch Name], 0)))</f>
        <v/>
      </c>
      <c r="AJ542" s="101">
        <f>IF(COUNTIF(SelectedPrecincts[Batch Name],SamplingData[[#This Row],[Batch by Type (p)]]) &lt;&gt; 0, COUNTIF(SelectedPrecincts[Batch Name],SamplingData[[#This Row],[Batch by Type (p)]]), 0)</f>
        <v>0</v>
      </c>
    </row>
    <row r="543" spans="1:36" ht="15" customHeight="1" x14ac:dyDescent="0.35">
      <c r="A543" s="98" t="s">
        <v>754</v>
      </c>
      <c r="B543" s="98">
        <v>27</v>
      </c>
      <c r="C543" s="98">
        <v>1</v>
      </c>
      <c r="D543" s="93"/>
      <c r="E543" s="93"/>
      <c r="F543" s="93"/>
      <c r="G543" s="97"/>
      <c r="H543" s="97"/>
      <c r="I543" s="93"/>
      <c r="J543" s="93"/>
      <c r="K543" s="93"/>
      <c r="L543" s="93"/>
      <c r="M543" s="93"/>
      <c r="N543" s="98">
        <v>0</v>
      </c>
      <c r="O543" s="98">
        <v>0</v>
      </c>
      <c r="P543" s="99">
        <f>SUM(SamplingData[[#This Row],[Winning Candidate]:[Under Votes]])</f>
        <v>28</v>
      </c>
      <c r="Q543" s="100">
        <f>IF(AND(SamplingData[[#This Row],[Total]]&lt;&gt; 0, NOT(ISBLANK(SamplingData[[#This Row],[Losing Candidate]]))),(SamplingData[[#This Row],[Total]]+SamplingData[[#This Row],[Winning Candidate]]-SamplingData[[#This Row],[Losing Candidate]])/(SamplingData[[#Totals],[Winning Candidate]]-SamplingData[[#Totals],[Losing Candidate]]), 0)</f>
        <v>1.6961397116562491E-3</v>
      </c>
      <c r="R543" s="100">
        <f>IF(AND(SamplingData[[#This Row],[Total]]&lt;&gt; 0, NOT(ISBLANK(SamplingData[[#This Row],[Candidate 3]]))),(SamplingData[[#This Row],[Total]]+SamplingData[[#This Row],[Winning Candidate]]-SamplingData[[#This Row],[Candidate 3]])/(SamplingData[[#Totals],[Winning Candidate]]-SamplingData[[#Totals],[Candidate 3]]), 0)</f>
        <v>0</v>
      </c>
      <c r="S543" s="100">
        <f>IF(AND(SamplingData[[#This Row],[Total]]&lt;&gt; 0, NOT(ISBLANK(SamplingData[[#This Row],[Candidate 4]]))),(SamplingData[[#This Row],[Total]]+SamplingData[[#This Row],[Winning Candidate]]-SamplingData[[#This Row],[Candidate 4]])/(SamplingData[[#Totals],[Winning Candidate]]-SamplingData[[#Totals],[Candidate 4]]), 0)</f>
        <v>0</v>
      </c>
      <c r="T543" s="100">
        <f>IF(AND(SamplingData[[#This Row],[Total]]&lt;&gt; 0, NOT(ISBLANK(SamplingData[[#This Row],[Candidate 5]]))),(SamplingData[[#This Row],[Total]]+SamplingData[[#This Row],[Winning Candidate]]-SamplingData[[#This Row],[Candidate 5]])/(SamplingData[[#Totals],[Winning Candidate]]-SamplingData[[#Totals],[Candidate 5]]), 0)</f>
        <v>0</v>
      </c>
      <c r="U543" s="100">
        <f>IF(AND(SamplingData[[#This Row],[Total]]&lt;&gt; 0, NOT(ISBLANK(SamplingData[[#This Row],[Candidate 6]]))),(SamplingData[[#This Row],[Total]]+SamplingData[[#This Row],[Losing Candidate]]-SamplingData[[#This Row],[Candidate 6]])/(SamplingData[[#Totals],[Winning Candidate]]-SamplingData[[#Totals],[Candidate 6]]), 0)</f>
        <v>0</v>
      </c>
      <c r="V543" s="100">
        <f>IF(AND(SamplingData[[#This Row],[Total]]&lt;&gt; 0, NOT(ISBLANK(SamplingData[[#This Row],[Candidate 7]]))),(SamplingData[[#This Row],[Total]]+SamplingData[[#This Row],[Winning Candidate]]-SamplingData[[#This Row],[Candidate 7]])/(SamplingData[[#Totals],[Winning Candidate]]-SamplingData[[#Totals],[Candidate 7]]), 0)</f>
        <v>0</v>
      </c>
      <c r="W543" s="100">
        <f>IF(AND(SamplingData[[#This Row],[Total]]&lt;&gt; 0, NOT(ISBLANK(SamplingData[[#This Row],[Candidate 8]]))),(SamplingData[[#This Row],[Total]]+SamplingData[[#This Row],[Winning Candidate]]-SamplingData[[#This Row],[Candidate 8]])/(SamplingData[[#Totals],[Winning Candidate]]-SamplingData[[#Totals],[Candidate 8]]), 0)</f>
        <v>0</v>
      </c>
      <c r="X5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00">
        <f>MAX(SamplingData[[#This Row],[Error Bound (up) - Max. possible relative overstatement - Losing Candidate]:[Error Bound (up) - Max. possible relative overstatement - Candidate 12]])</f>
        <v>1.6961397116562491E-3</v>
      </c>
      <c r="AC543" s="100">
        <f>IF(SamplingData[[#This Row],[Max Error Bound (up)]] = 0,0,SamplingData[[#This Row],[Max Error Bound (up)]]/SamplingData[[#Totals],[Max Error Bound (up)]])</f>
        <v>7.2686157325149443E-4</v>
      </c>
      <c r="AD543" s="104">
        <f>SUM($AC$5:AC543)</f>
        <v>0.11608248532816469</v>
      </c>
      <c r="AE543" s="100" t="str" cm="1">
        <f t="array" ref="AE543">IF(SamplingData[[#This Row],[up/U Selection Probability]] = 0, "Zero", TEXT(SamplingData[[#This Row],[Lower Range]], REPT("0",LEN('General Info'!$B$42))) &amp; " - " &amp; TEXT(SamplingData[[#This Row],[Upper Range]], REPT("0",LEN('General Info'!$B$42))))</f>
        <v>11536 - 11607</v>
      </c>
      <c r="AF543" s="100">
        <f>SamplingData[[#This Row],[Upper Range]]-SamplingData[[#This Row],[Span]]</f>
        <v>11535.562375491319</v>
      </c>
      <c r="AG543" s="100">
        <f>IF(ISNUMBER('General Info'!$B$42), ((SamplingData[[#This Row],[up/U Selection Probability]]) * 'General Info'!$B$44) - 1, 0)</f>
        <v>71.686157325149438</v>
      </c>
      <c r="AH543" s="100">
        <f>IF(ISNUMBER('General Info'!$B$42), (SamplingData[[#This Row],[Running (cumulative) sum]] * ('General Info'!$B$42 -'General Info'!$B$43 + 1)) + 'General Info'!$B$43 - 1, 0)</f>
        <v>11607.248532816469</v>
      </c>
      <c r="AI543" s="100" t="str">
        <f>IF(ISERROR(MATCH(SamplingData[[#This Row],[Batch by Type (p)]],SelectedPrecincts[Batch Name], 0)), "", INDEX(SelectedPrecincts[Draw], MATCH(SamplingData[[#This Row],[Batch by Type (p)]],SelectedPrecincts[Batch Name], 0)))</f>
        <v/>
      </c>
      <c r="AJ543" s="101">
        <f>IF(COUNTIF(SelectedPrecincts[Batch Name],SamplingData[[#This Row],[Batch by Type (p)]]) &lt;&gt; 0, COUNTIF(SelectedPrecincts[Batch Name],SamplingData[[#This Row],[Batch by Type (p)]]), 0)</f>
        <v>0</v>
      </c>
    </row>
    <row r="544" spans="1:36" ht="15" customHeight="1" x14ac:dyDescent="0.35">
      <c r="A544" s="98" t="s">
        <v>755</v>
      </c>
      <c r="B544" s="98">
        <v>4</v>
      </c>
      <c r="C544" s="98">
        <v>2</v>
      </c>
      <c r="D544" s="93"/>
      <c r="E544" s="93"/>
      <c r="F544" s="93"/>
      <c r="G544" s="97"/>
      <c r="H544" s="97"/>
      <c r="I544" s="93"/>
      <c r="J544" s="93"/>
      <c r="K544" s="93"/>
      <c r="L544" s="93"/>
      <c r="M544" s="93"/>
      <c r="N544" s="98">
        <v>0</v>
      </c>
      <c r="O544" s="98">
        <v>0</v>
      </c>
      <c r="P544" s="99">
        <f>SUM(SamplingData[[#This Row],[Winning Candidate]:[Under Votes]])</f>
        <v>6</v>
      </c>
      <c r="Q544"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544" s="100">
        <f>IF(AND(SamplingData[[#This Row],[Total]]&lt;&gt; 0, NOT(ISBLANK(SamplingData[[#This Row],[Candidate 3]]))),(SamplingData[[#This Row],[Total]]+SamplingData[[#This Row],[Winning Candidate]]-SamplingData[[#This Row],[Candidate 3]])/(SamplingData[[#Totals],[Winning Candidate]]-SamplingData[[#Totals],[Candidate 3]]), 0)</f>
        <v>0</v>
      </c>
      <c r="S544" s="100">
        <f>IF(AND(SamplingData[[#This Row],[Total]]&lt;&gt; 0, NOT(ISBLANK(SamplingData[[#This Row],[Candidate 4]]))),(SamplingData[[#This Row],[Total]]+SamplingData[[#This Row],[Winning Candidate]]-SamplingData[[#This Row],[Candidate 4]])/(SamplingData[[#Totals],[Winning Candidate]]-SamplingData[[#Totals],[Candidate 4]]), 0)</f>
        <v>0</v>
      </c>
      <c r="T544" s="100">
        <f>IF(AND(SamplingData[[#This Row],[Total]]&lt;&gt; 0, NOT(ISBLANK(SamplingData[[#This Row],[Candidate 5]]))),(SamplingData[[#This Row],[Total]]+SamplingData[[#This Row],[Winning Candidate]]-SamplingData[[#This Row],[Candidate 5]])/(SamplingData[[#Totals],[Winning Candidate]]-SamplingData[[#Totals],[Candidate 5]]), 0)</f>
        <v>0</v>
      </c>
      <c r="U544" s="100">
        <f>IF(AND(SamplingData[[#This Row],[Total]]&lt;&gt; 0, NOT(ISBLANK(SamplingData[[#This Row],[Candidate 6]]))),(SamplingData[[#This Row],[Total]]+SamplingData[[#This Row],[Losing Candidate]]-SamplingData[[#This Row],[Candidate 6]])/(SamplingData[[#Totals],[Winning Candidate]]-SamplingData[[#Totals],[Candidate 6]]), 0)</f>
        <v>0</v>
      </c>
      <c r="V544" s="100">
        <f>IF(AND(SamplingData[[#This Row],[Total]]&lt;&gt; 0, NOT(ISBLANK(SamplingData[[#This Row],[Candidate 7]]))),(SamplingData[[#This Row],[Total]]+SamplingData[[#This Row],[Winning Candidate]]-SamplingData[[#This Row],[Candidate 7]])/(SamplingData[[#Totals],[Winning Candidate]]-SamplingData[[#Totals],[Candidate 7]]), 0)</f>
        <v>0</v>
      </c>
      <c r="W544" s="100">
        <f>IF(AND(SamplingData[[#This Row],[Total]]&lt;&gt; 0, NOT(ISBLANK(SamplingData[[#This Row],[Candidate 8]]))),(SamplingData[[#This Row],[Total]]+SamplingData[[#This Row],[Winning Candidate]]-SamplingData[[#This Row],[Candidate 8]])/(SamplingData[[#Totals],[Winning Candidate]]-SamplingData[[#Totals],[Candidate 8]]), 0)</f>
        <v>0</v>
      </c>
      <c r="X5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00">
        <f>MAX(SamplingData[[#This Row],[Error Bound (up) - Max. possible relative overstatement - Losing Candidate]:[Error Bound (up) - Max. possible relative overstatement - Candidate 12]])</f>
        <v>2.5127995728240724E-4</v>
      </c>
      <c r="AC544" s="100">
        <f>IF(SamplingData[[#This Row],[Max Error Bound (up)]] = 0,0,SamplingData[[#This Row],[Max Error Bound (up)]]/SamplingData[[#Totals],[Max Error Bound (up)]])</f>
        <v>1.0768319603725841E-4</v>
      </c>
      <c r="AD544" s="104">
        <f>SUM($AC$5:AC544)</f>
        <v>0.11619016852420194</v>
      </c>
      <c r="AE544" s="100" t="str" cm="1">
        <f t="array" ref="AE544">IF(SamplingData[[#This Row],[up/U Selection Probability]] = 0, "Zero", TEXT(SamplingData[[#This Row],[Lower Range]], REPT("0",LEN('General Info'!$B$42))) &amp; " - " &amp; TEXT(SamplingData[[#This Row],[Upper Range]], REPT("0",LEN('General Info'!$B$42))))</f>
        <v>11608 - 11618</v>
      </c>
      <c r="AF544" s="100">
        <f>SamplingData[[#This Row],[Upper Range]]-SamplingData[[#This Row],[Span]]</f>
        <v>11608.248532816469</v>
      </c>
      <c r="AG544" s="100">
        <f>IF(ISNUMBER('General Info'!$B$42), ((SamplingData[[#This Row],[up/U Selection Probability]]) * 'General Info'!$B$44) - 1, 0)</f>
        <v>9.7683196037258408</v>
      </c>
      <c r="AH544" s="100">
        <f>IF(ISNUMBER('General Info'!$B$42), (SamplingData[[#This Row],[Running (cumulative) sum]] * ('General Info'!$B$42 -'General Info'!$B$43 + 1)) + 'General Info'!$B$43 - 1, 0)</f>
        <v>11618.016852420194</v>
      </c>
      <c r="AI544" s="100" t="str">
        <f>IF(ISERROR(MATCH(SamplingData[[#This Row],[Batch by Type (p)]],SelectedPrecincts[Batch Name], 0)), "", INDEX(SelectedPrecincts[Draw], MATCH(SamplingData[[#This Row],[Batch by Type (p)]],SelectedPrecincts[Batch Name], 0)))</f>
        <v/>
      </c>
      <c r="AJ544" s="101">
        <f>IF(COUNTIF(SelectedPrecincts[Batch Name],SamplingData[[#This Row],[Batch by Type (p)]]) &lt;&gt; 0, COUNTIF(SelectedPrecincts[Batch Name],SamplingData[[#This Row],[Batch by Type (p)]]), 0)</f>
        <v>0</v>
      </c>
    </row>
    <row r="545" spans="1:36" ht="15" customHeight="1" x14ac:dyDescent="0.35">
      <c r="A545" s="98" t="s">
        <v>756</v>
      </c>
      <c r="B545" s="98">
        <v>14</v>
      </c>
      <c r="C545" s="98">
        <v>4</v>
      </c>
      <c r="D545" s="93"/>
      <c r="E545" s="93"/>
      <c r="F545" s="93"/>
      <c r="G545" s="97"/>
      <c r="H545" s="97"/>
      <c r="I545" s="93"/>
      <c r="J545" s="93"/>
      <c r="K545" s="93"/>
      <c r="L545" s="93"/>
      <c r="M545" s="93"/>
      <c r="N545" s="98">
        <v>0</v>
      </c>
      <c r="O545" s="98">
        <v>1</v>
      </c>
      <c r="P545" s="99">
        <f>SUM(SamplingData[[#This Row],[Winning Candidate]:[Under Votes]])</f>
        <v>19</v>
      </c>
      <c r="Q545" s="100">
        <f>IF(AND(SamplingData[[#This Row],[Total]]&lt;&gt; 0, NOT(ISBLANK(SamplingData[[#This Row],[Losing Candidate]]))),(SamplingData[[#This Row],[Total]]+SamplingData[[#This Row],[Winning Candidate]]-SamplingData[[#This Row],[Losing Candidate]])/(SamplingData[[#Totals],[Winning Candidate]]-SamplingData[[#Totals],[Losing Candidate]]), 0)</f>
        <v>9.108898451487263E-4</v>
      </c>
      <c r="R545" s="100">
        <f>IF(AND(SamplingData[[#This Row],[Total]]&lt;&gt; 0, NOT(ISBLANK(SamplingData[[#This Row],[Candidate 3]]))),(SamplingData[[#This Row],[Total]]+SamplingData[[#This Row],[Winning Candidate]]-SamplingData[[#This Row],[Candidate 3]])/(SamplingData[[#Totals],[Winning Candidate]]-SamplingData[[#Totals],[Candidate 3]]), 0)</f>
        <v>0</v>
      </c>
      <c r="S545" s="100">
        <f>IF(AND(SamplingData[[#This Row],[Total]]&lt;&gt; 0, NOT(ISBLANK(SamplingData[[#This Row],[Candidate 4]]))),(SamplingData[[#This Row],[Total]]+SamplingData[[#This Row],[Winning Candidate]]-SamplingData[[#This Row],[Candidate 4]])/(SamplingData[[#Totals],[Winning Candidate]]-SamplingData[[#Totals],[Candidate 4]]), 0)</f>
        <v>0</v>
      </c>
      <c r="T545" s="100">
        <f>IF(AND(SamplingData[[#This Row],[Total]]&lt;&gt; 0, NOT(ISBLANK(SamplingData[[#This Row],[Candidate 5]]))),(SamplingData[[#This Row],[Total]]+SamplingData[[#This Row],[Winning Candidate]]-SamplingData[[#This Row],[Candidate 5]])/(SamplingData[[#Totals],[Winning Candidate]]-SamplingData[[#Totals],[Candidate 5]]), 0)</f>
        <v>0</v>
      </c>
      <c r="U545" s="100">
        <f>IF(AND(SamplingData[[#This Row],[Total]]&lt;&gt; 0, NOT(ISBLANK(SamplingData[[#This Row],[Candidate 6]]))),(SamplingData[[#This Row],[Total]]+SamplingData[[#This Row],[Losing Candidate]]-SamplingData[[#This Row],[Candidate 6]])/(SamplingData[[#Totals],[Winning Candidate]]-SamplingData[[#Totals],[Candidate 6]]), 0)</f>
        <v>0</v>
      </c>
      <c r="V545" s="100">
        <f>IF(AND(SamplingData[[#This Row],[Total]]&lt;&gt; 0, NOT(ISBLANK(SamplingData[[#This Row],[Candidate 7]]))),(SamplingData[[#This Row],[Total]]+SamplingData[[#This Row],[Winning Candidate]]-SamplingData[[#This Row],[Candidate 7]])/(SamplingData[[#Totals],[Winning Candidate]]-SamplingData[[#Totals],[Candidate 7]]), 0)</f>
        <v>0</v>
      </c>
      <c r="W545" s="100">
        <f>IF(AND(SamplingData[[#This Row],[Total]]&lt;&gt; 0, NOT(ISBLANK(SamplingData[[#This Row],[Candidate 8]]))),(SamplingData[[#This Row],[Total]]+SamplingData[[#This Row],[Winning Candidate]]-SamplingData[[#This Row],[Candidate 8]])/(SamplingData[[#Totals],[Winning Candidate]]-SamplingData[[#Totals],[Candidate 8]]), 0)</f>
        <v>0</v>
      </c>
      <c r="X5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00">
        <f>MAX(SamplingData[[#This Row],[Error Bound (up) - Max. possible relative overstatement - Losing Candidate]:[Error Bound (up) - Max. possible relative overstatement - Candidate 12]])</f>
        <v>9.108898451487263E-4</v>
      </c>
      <c r="AC545" s="100">
        <f>IF(SamplingData[[#This Row],[Max Error Bound (up)]] = 0,0,SamplingData[[#This Row],[Max Error Bound (up)]]/SamplingData[[#Totals],[Max Error Bound (up)]])</f>
        <v>3.9035158563506176E-4</v>
      </c>
      <c r="AD545" s="104">
        <f>SUM($AC$5:AC545)</f>
        <v>0.11658052010983701</v>
      </c>
      <c r="AE545" s="100" t="str" cm="1">
        <f t="array" ref="AE545">IF(SamplingData[[#This Row],[up/U Selection Probability]] = 0, "Zero", TEXT(SamplingData[[#This Row],[Lower Range]], REPT("0",LEN('General Info'!$B$42))) &amp; " - " &amp; TEXT(SamplingData[[#This Row],[Upper Range]], REPT("0",LEN('General Info'!$B$42))))</f>
        <v>11619 - 11657</v>
      </c>
      <c r="AF545" s="100">
        <f>SamplingData[[#This Row],[Upper Range]]-SamplingData[[#This Row],[Span]]</f>
        <v>11619.016852420196</v>
      </c>
      <c r="AG545" s="100">
        <f>IF(ISNUMBER('General Info'!$B$42), ((SamplingData[[#This Row],[up/U Selection Probability]]) * 'General Info'!$B$44) - 1, 0)</f>
        <v>38.035158563506172</v>
      </c>
      <c r="AH545" s="100">
        <f>IF(ISNUMBER('General Info'!$B$42), (SamplingData[[#This Row],[Running (cumulative) sum]] * ('General Info'!$B$42 -'General Info'!$B$43 + 1)) + 'General Info'!$B$43 - 1, 0)</f>
        <v>11657.052010983702</v>
      </c>
      <c r="AI545" s="100" t="str">
        <f>IF(ISERROR(MATCH(SamplingData[[#This Row],[Batch by Type (p)]],SelectedPrecincts[Batch Name], 0)), "", INDEX(SelectedPrecincts[Draw], MATCH(SamplingData[[#This Row],[Batch by Type (p)]],SelectedPrecincts[Batch Name], 0)))</f>
        <v/>
      </c>
      <c r="AJ545" s="101">
        <f>IF(COUNTIF(SelectedPrecincts[Batch Name],SamplingData[[#This Row],[Batch by Type (p)]]) &lt;&gt; 0, COUNTIF(SelectedPrecincts[Batch Name],SamplingData[[#This Row],[Batch by Type (p)]]), 0)</f>
        <v>0</v>
      </c>
    </row>
    <row r="546" spans="1:36" ht="15" customHeight="1" x14ac:dyDescent="0.35">
      <c r="A546" s="98" t="s">
        <v>757</v>
      </c>
      <c r="B546" s="98">
        <v>15</v>
      </c>
      <c r="C546" s="98">
        <v>0</v>
      </c>
      <c r="D546" s="93"/>
      <c r="E546" s="93"/>
      <c r="F546" s="93"/>
      <c r="G546" s="97"/>
      <c r="H546" s="97"/>
      <c r="I546" s="93"/>
      <c r="J546" s="93"/>
      <c r="K546" s="93"/>
      <c r="L546" s="93"/>
      <c r="M546" s="93"/>
      <c r="N546" s="98">
        <v>0</v>
      </c>
      <c r="O546" s="98">
        <v>0</v>
      </c>
      <c r="P546" s="99">
        <f>SUM(SamplingData[[#This Row],[Winning Candidate]:[Under Votes]])</f>
        <v>15</v>
      </c>
      <c r="Q546"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546" s="100">
        <f>IF(AND(SamplingData[[#This Row],[Total]]&lt;&gt; 0, NOT(ISBLANK(SamplingData[[#This Row],[Candidate 3]]))),(SamplingData[[#This Row],[Total]]+SamplingData[[#This Row],[Winning Candidate]]-SamplingData[[#This Row],[Candidate 3]])/(SamplingData[[#Totals],[Winning Candidate]]-SamplingData[[#Totals],[Candidate 3]]), 0)</f>
        <v>0</v>
      </c>
      <c r="S546" s="100">
        <f>IF(AND(SamplingData[[#This Row],[Total]]&lt;&gt; 0, NOT(ISBLANK(SamplingData[[#This Row],[Candidate 4]]))),(SamplingData[[#This Row],[Total]]+SamplingData[[#This Row],[Winning Candidate]]-SamplingData[[#This Row],[Candidate 4]])/(SamplingData[[#Totals],[Winning Candidate]]-SamplingData[[#Totals],[Candidate 4]]), 0)</f>
        <v>0</v>
      </c>
      <c r="T546" s="100">
        <f>IF(AND(SamplingData[[#This Row],[Total]]&lt;&gt; 0, NOT(ISBLANK(SamplingData[[#This Row],[Candidate 5]]))),(SamplingData[[#This Row],[Total]]+SamplingData[[#This Row],[Winning Candidate]]-SamplingData[[#This Row],[Candidate 5]])/(SamplingData[[#Totals],[Winning Candidate]]-SamplingData[[#Totals],[Candidate 5]]), 0)</f>
        <v>0</v>
      </c>
      <c r="U546" s="100">
        <f>IF(AND(SamplingData[[#This Row],[Total]]&lt;&gt; 0, NOT(ISBLANK(SamplingData[[#This Row],[Candidate 6]]))),(SamplingData[[#This Row],[Total]]+SamplingData[[#This Row],[Losing Candidate]]-SamplingData[[#This Row],[Candidate 6]])/(SamplingData[[#Totals],[Winning Candidate]]-SamplingData[[#Totals],[Candidate 6]]), 0)</f>
        <v>0</v>
      </c>
      <c r="V546" s="100">
        <f>IF(AND(SamplingData[[#This Row],[Total]]&lt;&gt; 0, NOT(ISBLANK(SamplingData[[#This Row],[Candidate 7]]))),(SamplingData[[#This Row],[Total]]+SamplingData[[#This Row],[Winning Candidate]]-SamplingData[[#This Row],[Candidate 7]])/(SamplingData[[#Totals],[Winning Candidate]]-SamplingData[[#Totals],[Candidate 7]]), 0)</f>
        <v>0</v>
      </c>
      <c r="W546" s="100">
        <f>IF(AND(SamplingData[[#This Row],[Total]]&lt;&gt; 0, NOT(ISBLANK(SamplingData[[#This Row],[Candidate 8]]))),(SamplingData[[#This Row],[Total]]+SamplingData[[#This Row],[Winning Candidate]]-SamplingData[[#This Row],[Candidate 8]])/(SamplingData[[#Totals],[Winning Candidate]]-SamplingData[[#Totals],[Candidate 8]]), 0)</f>
        <v>0</v>
      </c>
      <c r="X5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00">
        <f>MAX(SamplingData[[#This Row],[Error Bound (up) - Max. possible relative overstatement - Losing Candidate]:[Error Bound (up) - Max. possible relative overstatement - Candidate 12]])</f>
        <v>9.4229983980902718E-4</v>
      </c>
      <c r="AC546" s="100">
        <f>IF(SamplingData[[#This Row],[Max Error Bound (up)]] = 0,0,SamplingData[[#This Row],[Max Error Bound (up)]]/SamplingData[[#Totals],[Max Error Bound (up)]])</f>
        <v>4.0381198513971905E-4</v>
      </c>
      <c r="AD546" s="104">
        <f>SUM($AC$5:AC546)</f>
        <v>0.11698433209497673</v>
      </c>
      <c r="AE546" s="100" t="str" cm="1">
        <f t="array" ref="AE546">IF(SamplingData[[#This Row],[up/U Selection Probability]] = 0, "Zero", TEXT(SamplingData[[#This Row],[Lower Range]], REPT("0",LEN('General Info'!$B$42))) &amp; " - " &amp; TEXT(SamplingData[[#This Row],[Upper Range]], REPT("0",LEN('General Info'!$B$42))))</f>
        <v>11658 - 11697</v>
      </c>
      <c r="AF546" s="100">
        <f>SamplingData[[#This Row],[Upper Range]]-SamplingData[[#This Row],[Span]]</f>
        <v>11658.0520109837</v>
      </c>
      <c r="AG546" s="100">
        <f>IF(ISNUMBER('General Info'!$B$42), ((SamplingData[[#This Row],[up/U Selection Probability]]) * 'General Info'!$B$44) - 1, 0)</f>
        <v>39.381198513971903</v>
      </c>
      <c r="AH546" s="100">
        <f>IF(ISNUMBER('General Info'!$B$42), (SamplingData[[#This Row],[Running (cumulative) sum]] * ('General Info'!$B$42 -'General Info'!$B$43 + 1)) + 'General Info'!$B$43 - 1, 0)</f>
        <v>11697.433209497673</v>
      </c>
      <c r="AI546" s="100" t="str">
        <f>IF(ISERROR(MATCH(SamplingData[[#This Row],[Batch by Type (p)]],SelectedPrecincts[Batch Name], 0)), "", INDEX(SelectedPrecincts[Draw], MATCH(SamplingData[[#This Row],[Batch by Type (p)]],SelectedPrecincts[Batch Name], 0)))</f>
        <v/>
      </c>
      <c r="AJ546" s="101">
        <f>IF(COUNTIF(SelectedPrecincts[Batch Name],SamplingData[[#This Row],[Batch by Type (p)]]) &lt;&gt; 0, COUNTIF(SelectedPrecincts[Batch Name],SamplingData[[#This Row],[Batch by Type (p)]]), 0)</f>
        <v>0</v>
      </c>
    </row>
    <row r="547" spans="1:36" ht="15" customHeight="1" x14ac:dyDescent="0.35">
      <c r="A547" s="98" t="s">
        <v>758</v>
      </c>
      <c r="B547" s="98">
        <v>7</v>
      </c>
      <c r="C547" s="98">
        <v>4</v>
      </c>
      <c r="D547" s="93"/>
      <c r="E547" s="93"/>
      <c r="F547" s="93"/>
      <c r="G547" s="97"/>
      <c r="H547" s="97"/>
      <c r="I547" s="93"/>
      <c r="J547" s="93"/>
      <c r="K547" s="93"/>
      <c r="L547" s="93"/>
      <c r="M547" s="93"/>
      <c r="N547" s="98">
        <v>0</v>
      </c>
      <c r="O547" s="98">
        <v>2</v>
      </c>
      <c r="P547" s="99">
        <f>SUM(SamplingData[[#This Row],[Winning Candidate]:[Under Votes]])</f>
        <v>13</v>
      </c>
      <c r="Q547"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547" s="100">
        <f>IF(AND(SamplingData[[#This Row],[Total]]&lt;&gt; 0, NOT(ISBLANK(SamplingData[[#This Row],[Candidate 3]]))),(SamplingData[[#This Row],[Total]]+SamplingData[[#This Row],[Winning Candidate]]-SamplingData[[#This Row],[Candidate 3]])/(SamplingData[[#Totals],[Winning Candidate]]-SamplingData[[#Totals],[Candidate 3]]), 0)</f>
        <v>0</v>
      </c>
      <c r="S547" s="100">
        <f>IF(AND(SamplingData[[#This Row],[Total]]&lt;&gt; 0, NOT(ISBLANK(SamplingData[[#This Row],[Candidate 4]]))),(SamplingData[[#This Row],[Total]]+SamplingData[[#This Row],[Winning Candidate]]-SamplingData[[#This Row],[Candidate 4]])/(SamplingData[[#Totals],[Winning Candidate]]-SamplingData[[#Totals],[Candidate 4]]), 0)</f>
        <v>0</v>
      </c>
      <c r="T547" s="100">
        <f>IF(AND(SamplingData[[#This Row],[Total]]&lt;&gt; 0, NOT(ISBLANK(SamplingData[[#This Row],[Candidate 5]]))),(SamplingData[[#This Row],[Total]]+SamplingData[[#This Row],[Winning Candidate]]-SamplingData[[#This Row],[Candidate 5]])/(SamplingData[[#Totals],[Winning Candidate]]-SamplingData[[#Totals],[Candidate 5]]), 0)</f>
        <v>0</v>
      </c>
      <c r="U547" s="100">
        <f>IF(AND(SamplingData[[#This Row],[Total]]&lt;&gt; 0, NOT(ISBLANK(SamplingData[[#This Row],[Candidate 6]]))),(SamplingData[[#This Row],[Total]]+SamplingData[[#This Row],[Losing Candidate]]-SamplingData[[#This Row],[Candidate 6]])/(SamplingData[[#Totals],[Winning Candidate]]-SamplingData[[#Totals],[Candidate 6]]), 0)</f>
        <v>0</v>
      </c>
      <c r="V547" s="100">
        <f>IF(AND(SamplingData[[#This Row],[Total]]&lt;&gt; 0, NOT(ISBLANK(SamplingData[[#This Row],[Candidate 7]]))),(SamplingData[[#This Row],[Total]]+SamplingData[[#This Row],[Winning Candidate]]-SamplingData[[#This Row],[Candidate 7]])/(SamplingData[[#Totals],[Winning Candidate]]-SamplingData[[#Totals],[Candidate 7]]), 0)</f>
        <v>0</v>
      </c>
      <c r="W547" s="100">
        <f>IF(AND(SamplingData[[#This Row],[Total]]&lt;&gt; 0, NOT(ISBLANK(SamplingData[[#This Row],[Candidate 8]]))),(SamplingData[[#This Row],[Total]]+SamplingData[[#This Row],[Winning Candidate]]-SamplingData[[#This Row],[Candidate 8]])/(SamplingData[[#Totals],[Winning Candidate]]-SamplingData[[#Totals],[Candidate 8]]), 0)</f>
        <v>0</v>
      </c>
      <c r="X5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00">
        <f>MAX(SamplingData[[#This Row],[Error Bound (up) - Max. possible relative overstatement - Losing Candidate]:[Error Bound (up) - Max. possible relative overstatement - Candidate 12]])</f>
        <v>5.0255991456481448E-4</v>
      </c>
      <c r="AC547" s="100">
        <f>IF(SamplingData[[#This Row],[Max Error Bound (up)]] = 0,0,SamplingData[[#This Row],[Max Error Bound (up)]]/SamplingData[[#Totals],[Max Error Bound (up)]])</f>
        <v>2.1536639207451683E-4</v>
      </c>
      <c r="AD547" s="104">
        <f>SUM($AC$5:AC547)</f>
        <v>0.11719969848705125</v>
      </c>
      <c r="AE547" s="100" t="str" cm="1">
        <f t="array" ref="AE547">IF(SamplingData[[#This Row],[up/U Selection Probability]] = 0, "Zero", TEXT(SamplingData[[#This Row],[Lower Range]], REPT("0",LEN('General Info'!$B$42))) &amp; " - " &amp; TEXT(SamplingData[[#This Row],[Upper Range]], REPT("0",LEN('General Info'!$B$42))))</f>
        <v>11698 - 11719</v>
      </c>
      <c r="AF547" s="100">
        <f>SamplingData[[#This Row],[Upper Range]]-SamplingData[[#This Row],[Span]]</f>
        <v>11698.433209497673</v>
      </c>
      <c r="AG547" s="100">
        <f>IF(ISNUMBER('General Info'!$B$42), ((SamplingData[[#This Row],[up/U Selection Probability]]) * 'General Info'!$B$44) - 1, 0)</f>
        <v>20.536639207451682</v>
      </c>
      <c r="AH547" s="100">
        <f>IF(ISNUMBER('General Info'!$B$42), (SamplingData[[#This Row],[Running (cumulative) sum]] * ('General Info'!$B$42 -'General Info'!$B$43 + 1)) + 'General Info'!$B$43 - 1, 0)</f>
        <v>11718.969848705125</v>
      </c>
      <c r="AI547" s="100" t="str">
        <f>IF(ISERROR(MATCH(SamplingData[[#This Row],[Batch by Type (p)]],SelectedPrecincts[Batch Name], 0)), "", INDEX(SelectedPrecincts[Draw], MATCH(SamplingData[[#This Row],[Batch by Type (p)]],SelectedPrecincts[Batch Name], 0)))</f>
        <v/>
      </c>
      <c r="AJ547" s="101">
        <f>IF(COUNTIF(SelectedPrecincts[Batch Name],SamplingData[[#This Row],[Batch by Type (p)]]) &lt;&gt; 0, COUNTIF(SelectedPrecincts[Batch Name],SamplingData[[#This Row],[Batch by Type (p)]]), 0)</f>
        <v>0</v>
      </c>
    </row>
    <row r="548" spans="1:36" ht="15" customHeight="1" x14ac:dyDescent="0.35">
      <c r="A548" s="98" t="s">
        <v>759</v>
      </c>
      <c r="B548" s="98">
        <v>13</v>
      </c>
      <c r="C548" s="98">
        <v>1</v>
      </c>
      <c r="D548" s="93"/>
      <c r="E548" s="93"/>
      <c r="F548" s="93"/>
      <c r="G548" s="97"/>
      <c r="H548" s="97"/>
      <c r="I548" s="93"/>
      <c r="J548" s="93"/>
      <c r="K548" s="93"/>
      <c r="L548" s="93"/>
      <c r="M548" s="93"/>
      <c r="N548" s="98">
        <v>0</v>
      </c>
      <c r="O548" s="98">
        <v>0</v>
      </c>
      <c r="P548" s="99">
        <f>SUM(SamplingData[[#This Row],[Winning Candidate]:[Under Votes]])</f>
        <v>14</v>
      </c>
      <c r="Q548"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548" s="100">
        <f>IF(AND(SamplingData[[#This Row],[Total]]&lt;&gt; 0, NOT(ISBLANK(SamplingData[[#This Row],[Candidate 3]]))),(SamplingData[[#This Row],[Total]]+SamplingData[[#This Row],[Winning Candidate]]-SamplingData[[#This Row],[Candidate 3]])/(SamplingData[[#Totals],[Winning Candidate]]-SamplingData[[#Totals],[Candidate 3]]), 0)</f>
        <v>0</v>
      </c>
      <c r="S548" s="100">
        <f>IF(AND(SamplingData[[#This Row],[Total]]&lt;&gt; 0, NOT(ISBLANK(SamplingData[[#This Row],[Candidate 4]]))),(SamplingData[[#This Row],[Total]]+SamplingData[[#This Row],[Winning Candidate]]-SamplingData[[#This Row],[Candidate 4]])/(SamplingData[[#Totals],[Winning Candidate]]-SamplingData[[#Totals],[Candidate 4]]), 0)</f>
        <v>0</v>
      </c>
      <c r="T548" s="100">
        <f>IF(AND(SamplingData[[#This Row],[Total]]&lt;&gt; 0, NOT(ISBLANK(SamplingData[[#This Row],[Candidate 5]]))),(SamplingData[[#This Row],[Total]]+SamplingData[[#This Row],[Winning Candidate]]-SamplingData[[#This Row],[Candidate 5]])/(SamplingData[[#Totals],[Winning Candidate]]-SamplingData[[#Totals],[Candidate 5]]), 0)</f>
        <v>0</v>
      </c>
      <c r="U548" s="100">
        <f>IF(AND(SamplingData[[#This Row],[Total]]&lt;&gt; 0, NOT(ISBLANK(SamplingData[[#This Row],[Candidate 6]]))),(SamplingData[[#This Row],[Total]]+SamplingData[[#This Row],[Losing Candidate]]-SamplingData[[#This Row],[Candidate 6]])/(SamplingData[[#Totals],[Winning Candidate]]-SamplingData[[#Totals],[Candidate 6]]), 0)</f>
        <v>0</v>
      </c>
      <c r="V548" s="100">
        <f>IF(AND(SamplingData[[#This Row],[Total]]&lt;&gt; 0, NOT(ISBLANK(SamplingData[[#This Row],[Candidate 7]]))),(SamplingData[[#This Row],[Total]]+SamplingData[[#This Row],[Winning Candidate]]-SamplingData[[#This Row],[Candidate 7]])/(SamplingData[[#Totals],[Winning Candidate]]-SamplingData[[#Totals],[Candidate 7]]), 0)</f>
        <v>0</v>
      </c>
      <c r="W548" s="100">
        <f>IF(AND(SamplingData[[#This Row],[Total]]&lt;&gt; 0, NOT(ISBLANK(SamplingData[[#This Row],[Candidate 8]]))),(SamplingData[[#This Row],[Total]]+SamplingData[[#This Row],[Winning Candidate]]-SamplingData[[#This Row],[Candidate 8]])/(SamplingData[[#Totals],[Winning Candidate]]-SamplingData[[#Totals],[Candidate 8]]), 0)</f>
        <v>0</v>
      </c>
      <c r="X5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00">
        <f>MAX(SamplingData[[#This Row],[Error Bound (up) - Max. possible relative overstatement - Losing Candidate]:[Error Bound (up) - Max. possible relative overstatement - Candidate 12]])</f>
        <v>8.1665986116782364E-4</v>
      </c>
      <c r="AC548" s="100">
        <f>IF(SamplingData[[#This Row],[Max Error Bound (up)]] = 0,0,SamplingData[[#This Row],[Max Error Bound (up)]]/SamplingData[[#Totals],[Max Error Bound (up)]])</f>
        <v>3.4997038712108992E-4</v>
      </c>
      <c r="AD548" s="104">
        <f>SUM($AC$5:AC548)</f>
        <v>0.11754966887417234</v>
      </c>
      <c r="AE548" s="100" t="str" cm="1">
        <f t="array" ref="AE548">IF(SamplingData[[#This Row],[up/U Selection Probability]] = 0, "Zero", TEXT(SamplingData[[#This Row],[Lower Range]], REPT("0",LEN('General Info'!$B$42))) &amp; " - " &amp; TEXT(SamplingData[[#This Row],[Upper Range]], REPT("0",LEN('General Info'!$B$42))))</f>
        <v>11720 - 11754</v>
      </c>
      <c r="AF548" s="100">
        <f>SamplingData[[#This Row],[Upper Range]]-SamplingData[[#This Row],[Span]]</f>
        <v>11719.969848705126</v>
      </c>
      <c r="AG548" s="100">
        <f>IF(ISNUMBER('General Info'!$B$42), ((SamplingData[[#This Row],[up/U Selection Probability]]) * 'General Info'!$B$44) - 1, 0)</f>
        <v>33.997038712108989</v>
      </c>
      <c r="AH548" s="100">
        <f>IF(ISNUMBER('General Info'!$B$42), (SamplingData[[#This Row],[Running (cumulative) sum]] * ('General Info'!$B$42 -'General Info'!$B$43 + 1)) + 'General Info'!$B$43 - 1, 0)</f>
        <v>11753.966887417235</v>
      </c>
      <c r="AI548" s="100" t="str">
        <f>IF(ISERROR(MATCH(SamplingData[[#This Row],[Batch by Type (p)]],SelectedPrecincts[Batch Name], 0)), "", INDEX(SelectedPrecincts[Draw], MATCH(SamplingData[[#This Row],[Batch by Type (p)]],SelectedPrecincts[Batch Name], 0)))</f>
        <v/>
      </c>
      <c r="AJ548" s="101">
        <f>IF(COUNTIF(SelectedPrecincts[Batch Name],SamplingData[[#This Row],[Batch by Type (p)]]) &lt;&gt; 0, COUNTIF(SelectedPrecincts[Batch Name],SamplingData[[#This Row],[Batch by Type (p)]]), 0)</f>
        <v>0</v>
      </c>
    </row>
    <row r="549" spans="1:36" ht="15" customHeight="1" x14ac:dyDescent="0.35">
      <c r="A549" s="98" t="s">
        <v>760</v>
      </c>
      <c r="B549" s="98">
        <v>0</v>
      </c>
      <c r="C549" s="98">
        <v>0</v>
      </c>
      <c r="D549" s="93"/>
      <c r="E549" s="93"/>
      <c r="F549" s="93"/>
      <c r="G549" s="97"/>
      <c r="H549" s="97"/>
      <c r="I549" s="93"/>
      <c r="J549" s="93"/>
      <c r="K549" s="93"/>
      <c r="L549" s="93"/>
      <c r="M549" s="93"/>
      <c r="N549" s="98">
        <v>0</v>
      </c>
      <c r="O549" s="98">
        <v>0</v>
      </c>
      <c r="P549" s="99">
        <f>SUM(SamplingData[[#This Row],[Winning Candidate]:[Under Votes]])</f>
        <v>0</v>
      </c>
      <c r="Q549" s="100">
        <f>IF(AND(SamplingData[[#This Row],[Total]]&lt;&gt; 0, NOT(ISBLANK(SamplingData[[#This Row],[Losing Candidate]]))),(SamplingData[[#This Row],[Total]]+SamplingData[[#This Row],[Winning Candidate]]-SamplingData[[#This Row],[Losing Candidate]])/(SamplingData[[#Totals],[Winning Candidate]]-SamplingData[[#Totals],[Losing Candidate]]), 0)</f>
        <v>0</v>
      </c>
      <c r="R549" s="100">
        <f>IF(AND(SamplingData[[#This Row],[Total]]&lt;&gt; 0, NOT(ISBLANK(SamplingData[[#This Row],[Candidate 3]]))),(SamplingData[[#This Row],[Total]]+SamplingData[[#This Row],[Winning Candidate]]-SamplingData[[#This Row],[Candidate 3]])/(SamplingData[[#Totals],[Winning Candidate]]-SamplingData[[#Totals],[Candidate 3]]), 0)</f>
        <v>0</v>
      </c>
      <c r="S549" s="100">
        <f>IF(AND(SamplingData[[#This Row],[Total]]&lt;&gt; 0, NOT(ISBLANK(SamplingData[[#This Row],[Candidate 4]]))),(SamplingData[[#This Row],[Total]]+SamplingData[[#This Row],[Winning Candidate]]-SamplingData[[#This Row],[Candidate 4]])/(SamplingData[[#Totals],[Winning Candidate]]-SamplingData[[#Totals],[Candidate 4]]), 0)</f>
        <v>0</v>
      </c>
      <c r="T549" s="100">
        <f>IF(AND(SamplingData[[#This Row],[Total]]&lt;&gt; 0, NOT(ISBLANK(SamplingData[[#This Row],[Candidate 5]]))),(SamplingData[[#This Row],[Total]]+SamplingData[[#This Row],[Winning Candidate]]-SamplingData[[#This Row],[Candidate 5]])/(SamplingData[[#Totals],[Winning Candidate]]-SamplingData[[#Totals],[Candidate 5]]), 0)</f>
        <v>0</v>
      </c>
      <c r="U549" s="100">
        <f>IF(AND(SamplingData[[#This Row],[Total]]&lt;&gt; 0, NOT(ISBLANK(SamplingData[[#This Row],[Candidate 6]]))),(SamplingData[[#This Row],[Total]]+SamplingData[[#This Row],[Losing Candidate]]-SamplingData[[#This Row],[Candidate 6]])/(SamplingData[[#Totals],[Winning Candidate]]-SamplingData[[#Totals],[Candidate 6]]), 0)</f>
        <v>0</v>
      </c>
      <c r="V549" s="100">
        <f>IF(AND(SamplingData[[#This Row],[Total]]&lt;&gt; 0, NOT(ISBLANK(SamplingData[[#This Row],[Candidate 7]]))),(SamplingData[[#This Row],[Total]]+SamplingData[[#This Row],[Winning Candidate]]-SamplingData[[#This Row],[Candidate 7]])/(SamplingData[[#Totals],[Winning Candidate]]-SamplingData[[#Totals],[Candidate 7]]), 0)</f>
        <v>0</v>
      </c>
      <c r="W549" s="100">
        <f>IF(AND(SamplingData[[#This Row],[Total]]&lt;&gt; 0, NOT(ISBLANK(SamplingData[[#This Row],[Candidate 8]]))),(SamplingData[[#This Row],[Total]]+SamplingData[[#This Row],[Winning Candidate]]-SamplingData[[#This Row],[Candidate 8]])/(SamplingData[[#Totals],[Winning Candidate]]-SamplingData[[#Totals],[Candidate 8]]), 0)</f>
        <v>0</v>
      </c>
      <c r="X5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00">
        <f>MAX(SamplingData[[#This Row],[Error Bound (up) - Max. possible relative overstatement - Losing Candidate]:[Error Bound (up) - Max. possible relative overstatement - Candidate 12]])</f>
        <v>0</v>
      </c>
      <c r="AC549" s="100">
        <f>IF(SamplingData[[#This Row],[Max Error Bound (up)]] = 0,0,SamplingData[[#This Row],[Max Error Bound (up)]]/SamplingData[[#Totals],[Max Error Bound (up)]])</f>
        <v>0</v>
      </c>
      <c r="AD549" s="104">
        <f>SUM($AC$5:AC549)</f>
        <v>0.11754966887417234</v>
      </c>
      <c r="AE549" s="100" t="str" cm="1">
        <f t="array" ref="AE549">IF(SamplingData[[#This Row],[up/U Selection Probability]] = 0, "Zero", TEXT(SamplingData[[#This Row],[Lower Range]], REPT("0",LEN('General Info'!$B$42))) &amp; " - " &amp; TEXT(SamplingData[[#This Row],[Upper Range]], REPT("0",LEN('General Info'!$B$42))))</f>
        <v>Zero</v>
      </c>
      <c r="AF549" s="100">
        <f>SamplingData[[#This Row],[Upper Range]]-SamplingData[[#This Row],[Span]]</f>
        <v>11754.966887417235</v>
      </c>
      <c r="AG549" s="100">
        <f>IF(ISNUMBER('General Info'!$B$42), ((SamplingData[[#This Row],[up/U Selection Probability]]) * 'General Info'!$B$44) - 1, 0)</f>
        <v>-1</v>
      </c>
      <c r="AH549" s="100">
        <f>IF(ISNUMBER('General Info'!$B$42), (SamplingData[[#This Row],[Running (cumulative) sum]] * ('General Info'!$B$42 -'General Info'!$B$43 + 1)) + 'General Info'!$B$43 - 1, 0)</f>
        <v>11753.966887417235</v>
      </c>
      <c r="AI549" s="100" t="str">
        <f>IF(ISERROR(MATCH(SamplingData[[#This Row],[Batch by Type (p)]],SelectedPrecincts[Batch Name], 0)), "", INDEX(SelectedPrecincts[Draw], MATCH(SamplingData[[#This Row],[Batch by Type (p)]],SelectedPrecincts[Batch Name], 0)))</f>
        <v/>
      </c>
      <c r="AJ549" s="101">
        <f>IF(COUNTIF(SelectedPrecincts[Batch Name],SamplingData[[#This Row],[Batch by Type (p)]]) &lt;&gt; 0, COUNTIF(SelectedPrecincts[Batch Name],SamplingData[[#This Row],[Batch by Type (p)]]), 0)</f>
        <v>0</v>
      </c>
    </row>
    <row r="550" spans="1:36" ht="15" customHeight="1" x14ac:dyDescent="0.35">
      <c r="A550" s="98" t="s">
        <v>761</v>
      </c>
      <c r="B550" s="98">
        <v>8</v>
      </c>
      <c r="C550" s="98">
        <v>1</v>
      </c>
      <c r="D550" s="93"/>
      <c r="E550" s="93"/>
      <c r="F550" s="93"/>
      <c r="G550" s="97"/>
      <c r="H550" s="97"/>
      <c r="I550" s="93"/>
      <c r="J550" s="93"/>
      <c r="K550" s="93"/>
      <c r="L550" s="93"/>
      <c r="M550" s="93"/>
      <c r="N550" s="98">
        <v>0</v>
      </c>
      <c r="O550" s="98">
        <v>0</v>
      </c>
      <c r="P550" s="99">
        <f>SUM(SamplingData[[#This Row],[Winning Candidate]:[Under Votes]])</f>
        <v>9</v>
      </c>
      <c r="Q550"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550" s="100">
        <f>IF(AND(SamplingData[[#This Row],[Total]]&lt;&gt; 0, NOT(ISBLANK(SamplingData[[#This Row],[Candidate 3]]))),(SamplingData[[#This Row],[Total]]+SamplingData[[#This Row],[Winning Candidate]]-SamplingData[[#This Row],[Candidate 3]])/(SamplingData[[#Totals],[Winning Candidate]]-SamplingData[[#Totals],[Candidate 3]]), 0)</f>
        <v>0</v>
      </c>
      <c r="S550" s="100">
        <f>IF(AND(SamplingData[[#This Row],[Total]]&lt;&gt; 0, NOT(ISBLANK(SamplingData[[#This Row],[Candidate 4]]))),(SamplingData[[#This Row],[Total]]+SamplingData[[#This Row],[Winning Candidate]]-SamplingData[[#This Row],[Candidate 4]])/(SamplingData[[#Totals],[Winning Candidate]]-SamplingData[[#Totals],[Candidate 4]]), 0)</f>
        <v>0</v>
      </c>
      <c r="T550" s="100">
        <f>IF(AND(SamplingData[[#This Row],[Total]]&lt;&gt; 0, NOT(ISBLANK(SamplingData[[#This Row],[Candidate 5]]))),(SamplingData[[#This Row],[Total]]+SamplingData[[#This Row],[Winning Candidate]]-SamplingData[[#This Row],[Candidate 5]])/(SamplingData[[#Totals],[Winning Candidate]]-SamplingData[[#Totals],[Candidate 5]]), 0)</f>
        <v>0</v>
      </c>
      <c r="U550" s="100">
        <f>IF(AND(SamplingData[[#This Row],[Total]]&lt;&gt; 0, NOT(ISBLANK(SamplingData[[#This Row],[Candidate 6]]))),(SamplingData[[#This Row],[Total]]+SamplingData[[#This Row],[Losing Candidate]]-SamplingData[[#This Row],[Candidate 6]])/(SamplingData[[#Totals],[Winning Candidate]]-SamplingData[[#Totals],[Candidate 6]]), 0)</f>
        <v>0</v>
      </c>
      <c r="V550" s="100">
        <f>IF(AND(SamplingData[[#This Row],[Total]]&lt;&gt; 0, NOT(ISBLANK(SamplingData[[#This Row],[Candidate 7]]))),(SamplingData[[#This Row],[Total]]+SamplingData[[#This Row],[Winning Candidate]]-SamplingData[[#This Row],[Candidate 7]])/(SamplingData[[#Totals],[Winning Candidate]]-SamplingData[[#Totals],[Candidate 7]]), 0)</f>
        <v>0</v>
      </c>
      <c r="W550" s="100">
        <f>IF(AND(SamplingData[[#This Row],[Total]]&lt;&gt; 0, NOT(ISBLANK(SamplingData[[#This Row],[Candidate 8]]))),(SamplingData[[#This Row],[Total]]+SamplingData[[#This Row],[Winning Candidate]]-SamplingData[[#This Row],[Candidate 8]])/(SamplingData[[#Totals],[Winning Candidate]]-SamplingData[[#Totals],[Candidate 8]]), 0)</f>
        <v>0</v>
      </c>
      <c r="X5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00">
        <f>MAX(SamplingData[[#This Row],[Error Bound (up) - Max. possible relative overstatement - Losing Candidate]:[Error Bound (up) - Max. possible relative overstatement - Candidate 12]])</f>
        <v>5.0255991456481448E-4</v>
      </c>
      <c r="AC550" s="100">
        <f>IF(SamplingData[[#This Row],[Max Error Bound (up)]] = 0,0,SamplingData[[#This Row],[Max Error Bound (up)]]/SamplingData[[#Totals],[Max Error Bound (up)]])</f>
        <v>2.1536639207451683E-4</v>
      </c>
      <c r="AD550" s="104">
        <f>SUM($AC$5:AC550)</f>
        <v>0.11776503526624686</v>
      </c>
      <c r="AE550" s="100" t="str" cm="1">
        <f t="array" ref="AE550">IF(SamplingData[[#This Row],[up/U Selection Probability]] = 0, "Zero", TEXT(SamplingData[[#This Row],[Lower Range]], REPT("0",LEN('General Info'!$B$42))) &amp; " - " &amp; TEXT(SamplingData[[#This Row],[Upper Range]], REPT("0",LEN('General Info'!$B$42))))</f>
        <v>11755 - 11776</v>
      </c>
      <c r="AF550" s="100">
        <f>SamplingData[[#This Row],[Upper Range]]-SamplingData[[#This Row],[Span]]</f>
        <v>11754.966887417235</v>
      </c>
      <c r="AG550" s="100">
        <f>IF(ISNUMBER('General Info'!$B$42), ((SamplingData[[#This Row],[up/U Selection Probability]]) * 'General Info'!$B$44) - 1, 0)</f>
        <v>20.536639207451682</v>
      </c>
      <c r="AH550" s="100">
        <f>IF(ISNUMBER('General Info'!$B$42), (SamplingData[[#This Row],[Running (cumulative) sum]] * ('General Info'!$B$42 -'General Info'!$B$43 + 1)) + 'General Info'!$B$43 - 1, 0)</f>
        <v>11775.503526624687</v>
      </c>
      <c r="AI550" s="100" t="str">
        <f>IF(ISERROR(MATCH(SamplingData[[#This Row],[Batch by Type (p)]],SelectedPrecincts[Batch Name], 0)), "", INDEX(SelectedPrecincts[Draw], MATCH(SamplingData[[#This Row],[Batch by Type (p)]],SelectedPrecincts[Batch Name], 0)))</f>
        <v/>
      </c>
      <c r="AJ550" s="101">
        <f>IF(COUNTIF(SelectedPrecincts[Batch Name],SamplingData[[#This Row],[Batch by Type (p)]]) &lt;&gt; 0, COUNTIF(SelectedPrecincts[Batch Name],SamplingData[[#This Row],[Batch by Type (p)]]), 0)</f>
        <v>0</v>
      </c>
    </row>
    <row r="551" spans="1:36" ht="15" customHeight="1" x14ac:dyDescent="0.35">
      <c r="A551" s="98" t="s">
        <v>762</v>
      </c>
      <c r="B551" s="98">
        <v>8</v>
      </c>
      <c r="C551" s="98">
        <v>1</v>
      </c>
      <c r="D551" s="93"/>
      <c r="E551" s="93"/>
      <c r="F551" s="93"/>
      <c r="G551" s="97"/>
      <c r="H551" s="97"/>
      <c r="I551" s="93"/>
      <c r="J551" s="93"/>
      <c r="K551" s="93"/>
      <c r="L551" s="93"/>
      <c r="M551" s="93"/>
      <c r="N551" s="98">
        <v>0</v>
      </c>
      <c r="O551" s="98">
        <v>0</v>
      </c>
      <c r="P551" s="99">
        <f>SUM(SamplingData[[#This Row],[Winning Candidate]:[Under Votes]])</f>
        <v>9</v>
      </c>
      <c r="Q551"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551" s="100">
        <f>IF(AND(SamplingData[[#This Row],[Total]]&lt;&gt; 0, NOT(ISBLANK(SamplingData[[#This Row],[Candidate 3]]))),(SamplingData[[#This Row],[Total]]+SamplingData[[#This Row],[Winning Candidate]]-SamplingData[[#This Row],[Candidate 3]])/(SamplingData[[#Totals],[Winning Candidate]]-SamplingData[[#Totals],[Candidate 3]]), 0)</f>
        <v>0</v>
      </c>
      <c r="S551" s="100">
        <f>IF(AND(SamplingData[[#This Row],[Total]]&lt;&gt; 0, NOT(ISBLANK(SamplingData[[#This Row],[Candidate 4]]))),(SamplingData[[#This Row],[Total]]+SamplingData[[#This Row],[Winning Candidate]]-SamplingData[[#This Row],[Candidate 4]])/(SamplingData[[#Totals],[Winning Candidate]]-SamplingData[[#Totals],[Candidate 4]]), 0)</f>
        <v>0</v>
      </c>
      <c r="T551" s="100">
        <f>IF(AND(SamplingData[[#This Row],[Total]]&lt;&gt; 0, NOT(ISBLANK(SamplingData[[#This Row],[Candidate 5]]))),(SamplingData[[#This Row],[Total]]+SamplingData[[#This Row],[Winning Candidate]]-SamplingData[[#This Row],[Candidate 5]])/(SamplingData[[#Totals],[Winning Candidate]]-SamplingData[[#Totals],[Candidate 5]]), 0)</f>
        <v>0</v>
      </c>
      <c r="U551" s="100">
        <f>IF(AND(SamplingData[[#This Row],[Total]]&lt;&gt; 0, NOT(ISBLANK(SamplingData[[#This Row],[Candidate 6]]))),(SamplingData[[#This Row],[Total]]+SamplingData[[#This Row],[Losing Candidate]]-SamplingData[[#This Row],[Candidate 6]])/(SamplingData[[#Totals],[Winning Candidate]]-SamplingData[[#Totals],[Candidate 6]]), 0)</f>
        <v>0</v>
      </c>
      <c r="V551" s="100">
        <f>IF(AND(SamplingData[[#This Row],[Total]]&lt;&gt; 0, NOT(ISBLANK(SamplingData[[#This Row],[Candidate 7]]))),(SamplingData[[#This Row],[Total]]+SamplingData[[#This Row],[Winning Candidate]]-SamplingData[[#This Row],[Candidate 7]])/(SamplingData[[#Totals],[Winning Candidate]]-SamplingData[[#Totals],[Candidate 7]]), 0)</f>
        <v>0</v>
      </c>
      <c r="W551" s="100">
        <f>IF(AND(SamplingData[[#This Row],[Total]]&lt;&gt; 0, NOT(ISBLANK(SamplingData[[#This Row],[Candidate 8]]))),(SamplingData[[#This Row],[Total]]+SamplingData[[#This Row],[Winning Candidate]]-SamplingData[[#This Row],[Candidate 8]])/(SamplingData[[#Totals],[Winning Candidate]]-SamplingData[[#Totals],[Candidate 8]]), 0)</f>
        <v>0</v>
      </c>
      <c r="X5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00">
        <f>MAX(SamplingData[[#This Row],[Error Bound (up) - Max. possible relative overstatement - Losing Candidate]:[Error Bound (up) - Max. possible relative overstatement - Candidate 12]])</f>
        <v>5.0255991456481448E-4</v>
      </c>
      <c r="AC551" s="100">
        <f>IF(SamplingData[[#This Row],[Max Error Bound (up)]] = 0,0,SamplingData[[#This Row],[Max Error Bound (up)]]/SamplingData[[#Totals],[Max Error Bound (up)]])</f>
        <v>2.1536639207451683E-4</v>
      </c>
      <c r="AD551" s="104">
        <f>SUM($AC$5:AC551)</f>
        <v>0.11798040165832138</v>
      </c>
      <c r="AE551" s="100" t="str" cm="1">
        <f t="array" ref="AE551">IF(SamplingData[[#This Row],[up/U Selection Probability]] = 0, "Zero", TEXT(SamplingData[[#This Row],[Lower Range]], REPT("0",LEN('General Info'!$B$42))) &amp; " - " &amp; TEXT(SamplingData[[#This Row],[Upper Range]], REPT("0",LEN('General Info'!$B$42))))</f>
        <v>11777 - 11797</v>
      </c>
      <c r="AF551" s="100">
        <f>SamplingData[[#This Row],[Upper Range]]-SamplingData[[#This Row],[Span]]</f>
        <v>11776.503526624687</v>
      </c>
      <c r="AG551" s="100">
        <f>IF(ISNUMBER('General Info'!$B$42), ((SamplingData[[#This Row],[up/U Selection Probability]]) * 'General Info'!$B$44) - 1, 0)</f>
        <v>20.536639207451682</v>
      </c>
      <c r="AH551" s="100">
        <f>IF(ISNUMBER('General Info'!$B$42), (SamplingData[[#This Row],[Running (cumulative) sum]] * ('General Info'!$B$42 -'General Info'!$B$43 + 1)) + 'General Info'!$B$43 - 1, 0)</f>
        <v>11797.040165832139</v>
      </c>
      <c r="AI551" s="100" t="str">
        <f>IF(ISERROR(MATCH(SamplingData[[#This Row],[Batch by Type (p)]],SelectedPrecincts[Batch Name], 0)), "", INDEX(SelectedPrecincts[Draw], MATCH(SamplingData[[#This Row],[Batch by Type (p)]],SelectedPrecincts[Batch Name], 0)))</f>
        <v/>
      </c>
      <c r="AJ551" s="101">
        <f>IF(COUNTIF(SelectedPrecincts[Batch Name],SamplingData[[#This Row],[Batch by Type (p)]]) &lt;&gt; 0, COUNTIF(SelectedPrecincts[Batch Name],SamplingData[[#This Row],[Batch by Type (p)]]), 0)</f>
        <v>0</v>
      </c>
    </row>
    <row r="552" spans="1:36" ht="15" customHeight="1" x14ac:dyDescent="0.35">
      <c r="A552" s="98" t="s">
        <v>763</v>
      </c>
      <c r="B552" s="98">
        <v>13</v>
      </c>
      <c r="C552" s="98">
        <v>1</v>
      </c>
      <c r="D552" s="93"/>
      <c r="E552" s="93"/>
      <c r="F552" s="93"/>
      <c r="G552" s="97"/>
      <c r="H552" s="97"/>
      <c r="I552" s="93"/>
      <c r="J552" s="93"/>
      <c r="K552" s="93"/>
      <c r="L552" s="93"/>
      <c r="M552" s="93"/>
      <c r="N552" s="98">
        <v>0</v>
      </c>
      <c r="O552" s="98">
        <v>1</v>
      </c>
      <c r="P552" s="99">
        <f>SUM(SamplingData[[#This Row],[Winning Candidate]:[Under Votes]])</f>
        <v>15</v>
      </c>
      <c r="Q552" s="100">
        <f>IF(AND(SamplingData[[#This Row],[Total]]&lt;&gt; 0, NOT(ISBLANK(SamplingData[[#This Row],[Losing Candidate]]))),(SamplingData[[#This Row],[Total]]+SamplingData[[#This Row],[Winning Candidate]]-SamplingData[[#This Row],[Losing Candidate]])/(SamplingData[[#Totals],[Winning Candidate]]-SamplingData[[#Totals],[Losing Candidate]]), 0)</f>
        <v>8.4806985582812453E-4</v>
      </c>
      <c r="R552" s="100">
        <f>IF(AND(SamplingData[[#This Row],[Total]]&lt;&gt; 0, NOT(ISBLANK(SamplingData[[#This Row],[Candidate 3]]))),(SamplingData[[#This Row],[Total]]+SamplingData[[#This Row],[Winning Candidate]]-SamplingData[[#This Row],[Candidate 3]])/(SamplingData[[#Totals],[Winning Candidate]]-SamplingData[[#Totals],[Candidate 3]]), 0)</f>
        <v>0</v>
      </c>
      <c r="S552" s="100">
        <f>IF(AND(SamplingData[[#This Row],[Total]]&lt;&gt; 0, NOT(ISBLANK(SamplingData[[#This Row],[Candidate 4]]))),(SamplingData[[#This Row],[Total]]+SamplingData[[#This Row],[Winning Candidate]]-SamplingData[[#This Row],[Candidate 4]])/(SamplingData[[#Totals],[Winning Candidate]]-SamplingData[[#Totals],[Candidate 4]]), 0)</f>
        <v>0</v>
      </c>
      <c r="T552" s="100">
        <f>IF(AND(SamplingData[[#This Row],[Total]]&lt;&gt; 0, NOT(ISBLANK(SamplingData[[#This Row],[Candidate 5]]))),(SamplingData[[#This Row],[Total]]+SamplingData[[#This Row],[Winning Candidate]]-SamplingData[[#This Row],[Candidate 5]])/(SamplingData[[#Totals],[Winning Candidate]]-SamplingData[[#Totals],[Candidate 5]]), 0)</f>
        <v>0</v>
      </c>
      <c r="U552" s="100">
        <f>IF(AND(SamplingData[[#This Row],[Total]]&lt;&gt; 0, NOT(ISBLANK(SamplingData[[#This Row],[Candidate 6]]))),(SamplingData[[#This Row],[Total]]+SamplingData[[#This Row],[Losing Candidate]]-SamplingData[[#This Row],[Candidate 6]])/(SamplingData[[#Totals],[Winning Candidate]]-SamplingData[[#Totals],[Candidate 6]]), 0)</f>
        <v>0</v>
      </c>
      <c r="V552" s="100">
        <f>IF(AND(SamplingData[[#This Row],[Total]]&lt;&gt; 0, NOT(ISBLANK(SamplingData[[#This Row],[Candidate 7]]))),(SamplingData[[#This Row],[Total]]+SamplingData[[#This Row],[Winning Candidate]]-SamplingData[[#This Row],[Candidate 7]])/(SamplingData[[#Totals],[Winning Candidate]]-SamplingData[[#Totals],[Candidate 7]]), 0)</f>
        <v>0</v>
      </c>
      <c r="W552" s="100">
        <f>IF(AND(SamplingData[[#This Row],[Total]]&lt;&gt; 0, NOT(ISBLANK(SamplingData[[#This Row],[Candidate 8]]))),(SamplingData[[#This Row],[Total]]+SamplingData[[#This Row],[Winning Candidate]]-SamplingData[[#This Row],[Candidate 8]])/(SamplingData[[#Totals],[Winning Candidate]]-SamplingData[[#Totals],[Candidate 8]]), 0)</f>
        <v>0</v>
      </c>
      <c r="X5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00">
        <f>MAX(SamplingData[[#This Row],[Error Bound (up) - Max. possible relative overstatement - Losing Candidate]:[Error Bound (up) - Max. possible relative overstatement - Candidate 12]])</f>
        <v>8.4806985582812453E-4</v>
      </c>
      <c r="AC552" s="100">
        <f>IF(SamplingData[[#This Row],[Max Error Bound (up)]] = 0,0,SamplingData[[#This Row],[Max Error Bound (up)]]/SamplingData[[#Totals],[Max Error Bound (up)]])</f>
        <v>3.6343078662574721E-4</v>
      </c>
      <c r="AD552" s="104">
        <f>SUM($AC$5:AC552)</f>
        <v>0.11834383244494713</v>
      </c>
      <c r="AE552" s="100" t="str" cm="1">
        <f t="array" ref="AE552">IF(SamplingData[[#This Row],[up/U Selection Probability]] = 0, "Zero", TEXT(SamplingData[[#This Row],[Lower Range]], REPT("0",LEN('General Info'!$B$42))) &amp; " - " &amp; TEXT(SamplingData[[#This Row],[Upper Range]], REPT("0",LEN('General Info'!$B$42))))</f>
        <v>11798 - 11833</v>
      </c>
      <c r="AF552" s="100">
        <f>SamplingData[[#This Row],[Upper Range]]-SamplingData[[#This Row],[Span]]</f>
        <v>11798.040165832139</v>
      </c>
      <c r="AG552" s="100">
        <f>IF(ISNUMBER('General Info'!$B$42), ((SamplingData[[#This Row],[up/U Selection Probability]]) * 'General Info'!$B$44) - 1, 0)</f>
        <v>35.343078662574719</v>
      </c>
      <c r="AH552" s="100">
        <f>IF(ISNUMBER('General Info'!$B$42), (SamplingData[[#This Row],[Running (cumulative) sum]] * ('General Info'!$B$42 -'General Info'!$B$43 + 1)) + 'General Info'!$B$43 - 1, 0)</f>
        <v>11833.383244494713</v>
      </c>
      <c r="AI552" s="100" t="str">
        <f>IF(ISERROR(MATCH(SamplingData[[#This Row],[Batch by Type (p)]],SelectedPrecincts[Batch Name], 0)), "", INDEX(SelectedPrecincts[Draw], MATCH(SamplingData[[#This Row],[Batch by Type (p)]],SelectedPrecincts[Batch Name], 0)))</f>
        <v/>
      </c>
      <c r="AJ552" s="101">
        <f>IF(COUNTIF(SelectedPrecincts[Batch Name],SamplingData[[#This Row],[Batch by Type (p)]]) &lt;&gt; 0, COUNTIF(SelectedPrecincts[Batch Name],SamplingData[[#This Row],[Batch by Type (p)]]), 0)</f>
        <v>0</v>
      </c>
    </row>
    <row r="553" spans="1:36" ht="15" customHeight="1" x14ac:dyDescent="0.35">
      <c r="A553" s="98" t="s">
        <v>764</v>
      </c>
      <c r="B553" s="98">
        <v>9</v>
      </c>
      <c r="C553" s="98">
        <v>1</v>
      </c>
      <c r="D553" s="93"/>
      <c r="E553" s="93"/>
      <c r="F553" s="93"/>
      <c r="G553" s="97"/>
      <c r="H553" s="97"/>
      <c r="I553" s="93"/>
      <c r="J553" s="93"/>
      <c r="K553" s="93"/>
      <c r="L553" s="93"/>
      <c r="M553" s="93"/>
      <c r="N553" s="98">
        <v>0</v>
      </c>
      <c r="O553" s="98">
        <v>0</v>
      </c>
      <c r="P553" s="99">
        <f>SUM(SamplingData[[#This Row],[Winning Candidate]:[Under Votes]])</f>
        <v>10</v>
      </c>
      <c r="Q553"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553" s="100">
        <f>IF(AND(SamplingData[[#This Row],[Total]]&lt;&gt; 0, NOT(ISBLANK(SamplingData[[#This Row],[Candidate 3]]))),(SamplingData[[#This Row],[Total]]+SamplingData[[#This Row],[Winning Candidate]]-SamplingData[[#This Row],[Candidate 3]])/(SamplingData[[#Totals],[Winning Candidate]]-SamplingData[[#Totals],[Candidate 3]]), 0)</f>
        <v>0</v>
      </c>
      <c r="S553" s="100">
        <f>IF(AND(SamplingData[[#This Row],[Total]]&lt;&gt; 0, NOT(ISBLANK(SamplingData[[#This Row],[Candidate 4]]))),(SamplingData[[#This Row],[Total]]+SamplingData[[#This Row],[Winning Candidate]]-SamplingData[[#This Row],[Candidate 4]])/(SamplingData[[#Totals],[Winning Candidate]]-SamplingData[[#Totals],[Candidate 4]]), 0)</f>
        <v>0</v>
      </c>
      <c r="T553" s="100">
        <f>IF(AND(SamplingData[[#This Row],[Total]]&lt;&gt; 0, NOT(ISBLANK(SamplingData[[#This Row],[Candidate 5]]))),(SamplingData[[#This Row],[Total]]+SamplingData[[#This Row],[Winning Candidate]]-SamplingData[[#This Row],[Candidate 5]])/(SamplingData[[#Totals],[Winning Candidate]]-SamplingData[[#Totals],[Candidate 5]]), 0)</f>
        <v>0</v>
      </c>
      <c r="U553" s="100">
        <f>IF(AND(SamplingData[[#This Row],[Total]]&lt;&gt; 0, NOT(ISBLANK(SamplingData[[#This Row],[Candidate 6]]))),(SamplingData[[#This Row],[Total]]+SamplingData[[#This Row],[Losing Candidate]]-SamplingData[[#This Row],[Candidate 6]])/(SamplingData[[#Totals],[Winning Candidate]]-SamplingData[[#Totals],[Candidate 6]]), 0)</f>
        <v>0</v>
      </c>
      <c r="V553" s="100">
        <f>IF(AND(SamplingData[[#This Row],[Total]]&lt;&gt; 0, NOT(ISBLANK(SamplingData[[#This Row],[Candidate 7]]))),(SamplingData[[#This Row],[Total]]+SamplingData[[#This Row],[Winning Candidate]]-SamplingData[[#This Row],[Candidate 7]])/(SamplingData[[#Totals],[Winning Candidate]]-SamplingData[[#Totals],[Candidate 7]]), 0)</f>
        <v>0</v>
      </c>
      <c r="W553" s="100">
        <f>IF(AND(SamplingData[[#This Row],[Total]]&lt;&gt; 0, NOT(ISBLANK(SamplingData[[#This Row],[Candidate 8]]))),(SamplingData[[#This Row],[Total]]+SamplingData[[#This Row],[Winning Candidate]]-SamplingData[[#This Row],[Candidate 8]])/(SamplingData[[#Totals],[Winning Candidate]]-SamplingData[[#Totals],[Candidate 8]]), 0)</f>
        <v>0</v>
      </c>
      <c r="X5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00">
        <f>MAX(SamplingData[[#This Row],[Error Bound (up) - Max. possible relative overstatement - Losing Candidate]:[Error Bound (up) - Max. possible relative overstatement - Candidate 12]])</f>
        <v>5.6537990388541635E-4</v>
      </c>
      <c r="AC553" s="100">
        <f>IF(SamplingData[[#This Row],[Max Error Bound (up)]] = 0,0,SamplingData[[#This Row],[Max Error Bound (up)]]/SamplingData[[#Totals],[Max Error Bound (up)]])</f>
        <v>2.4228719108383145E-4</v>
      </c>
      <c r="AD553" s="104">
        <f>SUM($AC$5:AC553)</f>
        <v>0.11858611963603097</v>
      </c>
      <c r="AE553" s="100" t="str" cm="1">
        <f t="array" ref="AE553">IF(SamplingData[[#This Row],[up/U Selection Probability]] = 0, "Zero", TEXT(SamplingData[[#This Row],[Lower Range]], REPT("0",LEN('General Info'!$B$42))) &amp; " - " &amp; TEXT(SamplingData[[#This Row],[Upper Range]], REPT("0",LEN('General Info'!$B$42))))</f>
        <v>11834 - 11858</v>
      </c>
      <c r="AF553" s="100">
        <f>SamplingData[[#This Row],[Upper Range]]-SamplingData[[#This Row],[Span]]</f>
        <v>11834.383244494713</v>
      </c>
      <c r="AG553" s="100">
        <f>IF(ISNUMBER('General Info'!$B$42), ((SamplingData[[#This Row],[up/U Selection Probability]]) * 'General Info'!$B$44) - 1, 0)</f>
        <v>23.228719108383146</v>
      </c>
      <c r="AH553" s="100">
        <f>IF(ISNUMBER('General Info'!$B$42), (SamplingData[[#This Row],[Running (cumulative) sum]] * ('General Info'!$B$42 -'General Info'!$B$43 + 1)) + 'General Info'!$B$43 - 1, 0)</f>
        <v>11857.611963603096</v>
      </c>
      <c r="AI553" s="100" t="str">
        <f>IF(ISERROR(MATCH(SamplingData[[#This Row],[Batch by Type (p)]],SelectedPrecincts[Batch Name], 0)), "", INDEX(SelectedPrecincts[Draw], MATCH(SamplingData[[#This Row],[Batch by Type (p)]],SelectedPrecincts[Batch Name], 0)))</f>
        <v/>
      </c>
      <c r="AJ553" s="101">
        <f>IF(COUNTIF(SelectedPrecincts[Batch Name],SamplingData[[#This Row],[Batch by Type (p)]]) &lt;&gt; 0, COUNTIF(SelectedPrecincts[Batch Name],SamplingData[[#This Row],[Batch by Type (p)]]), 0)</f>
        <v>0</v>
      </c>
    </row>
    <row r="554" spans="1:36" ht="15" customHeight="1" x14ac:dyDescent="0.35">
      <c r="A554" s="98" t="s">
        <v>765</v>
      </c>
      <c r="B554" s="98">
        <v>15</v>
      </c>
      <c r="C554" s="98">
        <v>0</v>
      </c>
      <c r="D554" s="93"/>
      <c r="E554" s="93"/>
      <c r="F554" s="93"/>
      <c r="G554" s="97"/>
      <c r="H554" s="97"/>
      <c r="I554" s="93"/>
      <c r="J554" s="93"/>
      <c r="K554" s="93"/>
      <c r="L554" s="93"/>
      <c r="M554" s="93"/>
      <c r="N554" s="98">
        <v>0</v>
      </c>
      <c r="O554" s="98">
        <v>0</v>
      </c>
      <c r="P554" s="99">
        <f>SUM(SamplingData[[#This Row],[Winning Candidate]:[Under Votes]])</f>
        <v>15</v>
      </c>
      <c r="Q554"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554" s="100">
        <f>IF(AND(SamplingData[[#This Row],[Total]]&lt;&gt; 0, NOT(ISBLANK(SamplingData[[#This Row],[Candidate 3]]))),(SamplingData[[#This Row],[Total]]+SamplingData[[#This Row],[Winning Candidate]]-SamplingData[[#This Row],[Candidate 3]])/(SamplingData[[#Totals],[Winning Candidate]]-SamplingData[[#Totals],[Candidate 3]]), 0)</f>
        <v>0</v>
      </c>
      <c r="S554" s="100">
        <f>IF(AND(SamplingData[[#This Row],[Total]]&lt;&gt; 0, NOT(ISBLANK(SamplingData[[#This Row],[Candidate 4]]))),(SamplingData[[#This Row],[Total]]+SamplingData[[#This Row],[Winning Candidate]]-SamplingData[[#This Row],[Candidate 4]])/(SamplingData[[#Totals],[Winning Candidate]]-SamplingData[[#Totals],[Candidate 4]]), 0)</f>
        <v>0</v>
      </c>
      <c r="T554" s="100">
        <f>IF(AND(SamplingData[[#This Row],[Total]]&lt;&gt; 0, NOT(ISBLANK(SamplingData[[#This Row],[Candidate 5]]))),(SamplingData[[#This Row],[Total]]+SamplingData[[#This Row],[Winning Candidate]]-SamplingData[[#This Row],[Candidate 5]])/(SamplingData[[#Totals],[Winning Candidate]]-SamplingData[[#Totals],[Candidate 5]]), 0)</f>
        <v>0</v>
      </c>
      <c r="U554" s="100">
        <f>IF(AND(SamplingData[[#This Row],[Total]]&lt;&gt; 0, NOT(ISBLANK(SamplingData[[#This Row],[Candidate 6]]))),(SamplingData[[#This Row],[Total]]+SamplingData[[#This Row],[Losing Candidate]]-SamplingData[[#This Row],[Candidate 6]])/(SamplingData[[#Totals],[Winning Candidate]]-SamplingData[[#Totals],[Candidate 6]]), 0)</f>
        <v>0</v>
      </c>
      <c r="V554" s="100">
        <f>IF(AND(SamplingData[[#This Row],[Total]]&lt;&gt; 0, NOT(ISBLANK(SamplingData[[#This Row],[Candidate 7]]))),(SamplingData[[#This Row],[Total]]+SamplingData[[#This Row],[Winning Candidate]]-SamplingData[[#This Row],[Candidate 7]])/(SamplingData[[#Totals],[Winning Candidate]]-SamplingData[[#Totals],[Candidate 7]]), 0)</f>
        <v>0</v>
      </c>
      <c r="W554" s="100">
        <f>IF(AND(SamplingData[[#This Row],[Total]]&lt;&gt; 0, NOT(ISBLANK(SamplingData[[#This Row],[Candidate 8]]))),(SamplingData[[#This Row],[Total]]+SamplingData[[#This Row],[Winning Candidate]]-SamplingData[[#This Row],[Candidate 8]])/(SamplingData[[#Totals],[Winning Candidate]]-SamplingData[[#Totals],[Candidate 8]]), 0)</f>
        <v>0</v>
      </c>
      <c r="X5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00">
        <f>MAX(SamplingData[[#This Row],[Error Bound (up) - Max. possible relative overstatement - Losing Candidate]:[Error Bound (up) - Max. possible relative overstatement - Candidate 12]])</f>
        <v>9.4229983980902718E-4</v>
      </c>
      <c r="AC554" s="100">
        <f>IF(SamplingData[[#This Row],[Max Error Bound (up)]] = 0,0,SamplingData[[#This Row],[Max Error Bound (up)]]/SamplingData[[#Totals],[Max Error Bound (up)]])</f>
        <v>4.0381198513971905E-4</v>
      </c>
      <c r="AD554" s="104">
        <f>SUM($AC$5:AC554)</f>
        <v>0.11898993162117069</v>
      </c>
      <c r="AE554" s="100" t="str" cm="1">
        <f t="array" ref="AE554">IF(SamplingData[[#This Row],[up/U Selection Probability]] = 0, "Zero", TEXT(SamplingData[[#This Row],[Lower Range]], REPT("0",LEN('General Info'!$B$42))) &amp; " - " &amp; TEXT(SamplingData[[#This Row],[Upper Range]], REPT("0",LEN('General Info'!$B$42))))</f>
        <v>11859 - 11898</v>
      </c>
      <c r="AF554" s="100">
        <f>SamplingData[[#This Row],[Upper Range]]-SamplingData[[#This Row],[Span]]</f>
        <v>11858.611963603096</v>
      </c>
      <c r="AG554" s="100">
        <f>IF(ISNUMBER('General Info'!$B$42), ((SamplingData[[#This Row],[up/U Selection Probability]]) * 'General Info'!$B$44) - 1, 0)</f>
        <v>39.381198513971903</v>
      </c>
      <c r="AH554" s="100">
        <f>IF(ISNUMBER('General Info'!$B$42), (SamplingData[[#This Row],[Running (cumulative) sum]] * ('General Info'!$B$42 -'General Info'!$B$43 + 1)) + 'General Info'!$B$43 - 1, 0)</f>
        <v>11897.993162117069</v>
      </c>
      <c r="AI554" s="100" t="str">
        <f>IF(ISERROR(MATCH(SamplingData[[#This Row],[Batch by Type (p)]],SelectedPrecincts[Batch Name], 0)), "", INDEX(SelectedPrecincts[Draw], MATCH(SamplingData[[#This Row],[Batch by Type (p)]],SelectedPrecincts[Batch Name], 0)))</f>
        <v/>
      </c>
      <c r="AJ554" s="101">
        <f>IF(COUNTIF(SelectedPrecincts[Batch Name],SamplingData[[#This Row],[Batch by Type (p)]]) &lt;&gt; 0, COUNTIF(SelectedPrecincts[Batch Name],SamplingData[[#This Row],[Batch by Type (p)]]), 0)</f>
        <v>0</v>
      </c>
    </row>
    <row r="555" spans="1:36" ht="15" customHeight="1" x14ac:dyDescent="0.35">
      <c r="A555" s="98" t="s">
        <v>766</v>
      </c>
      <c r="B555" s="98">
        <v>6</v>
      </c>
      <c r="C555" s="98">
        <v>0</v>
      </c>
      <c r="D555" s="93"/>
      <c r="E555" s="93"/>
      <c r="F555" s="93"/>
      <c r="G555" s="97"/>
      <c r="H555" s="97"/>
      <c r="I555" s="93"/>
      <c r="J555" s="93"/>
      <c r="K555" s="93"/>
      <c r="L555" s="93"/>
      <c r="M555" s="93"/>
      <c r="N555" s="98">
        <v>0</v>
      </c>
      <c r="O555" s="98">
        <v>0</v>
      </c>
      <c r="P555" s="99">
        <f>SUM(SamplingData[[#This Row],[Winning Candidate]:[Under Votes]])</f>
        <v>6</v>
      </c>
      <c r="Q555"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555" s="100">
        <f>IF(AND(SamplingData[[#This Row],[Total]]&lt;&gt; 0, NOT(ISBLANK(SamplingData[[#This Row],[Candidate 3]]))),(SamplingData[[#This Row],[Total]]+SamplingData[[#This Row],[Winning Candidate]]-SamplingData[[#This Row],[Candidate 3]])/(SamplingData[[#Totals],[Winning Candidate]]-SamplingData[[#Totals],[Candidate 3]]), 0)</f>
        <v>0</v>
      </c>
      <c r="S555" s="100">
        <f>IF(AND(SamplingData[[#This Row],[Total]]&lt;&gt; 0, NOT(ISBLANK(SamplingData[[#This Row],[Candidate 4]]))),(SamplingData[[#This Row],[Total]]+SamplingData[[#This Row],[Winning Candidate]]-SamplingData[[#This Row],[Candidate 4]])/(SamplingData[[#Totals],[Winning Candidate]]-SamplingData[[#Totals],[Candidate 4]]), 0)</f>
        <v>0</v>
      </c>
      <c r="T555" s="100">
        <f>IF(AND(SamplingData[[#This Row],[Total]]&lt;&gt; 0, NOT(ISBLANK(SamplingData[[#This Row],[Candidate 5]]))),(SamplingData[[#This Row],[Total]]+SamplingData[[#This Row],[Winning Candidate]]-SamplingData[[#This Row],[Candidate 5]])/(SamplingData[[#Totals],[Winning Candidate]]-SamplingData[[#Totals],[Candidate 5]]), 0)</f>
        <v>0</v>
      </c>
      <c r="U555" s="100">
        <f>IF(AND(SamplingData[[#This Row],[Total]]&lt;&gt; 0, NOT(ISBLANK(SamplingData[[#This Row],[Candidate 6]]))),(SamplingData[[#This Row],[Total]]+SamplingData[[#This Row],[Losing Candidate]]-SamplingData[[#This Row],[Candidate 6]])/(SamplingData[[#Totals],[Winning Candidate]]-SamplingData[[#Totals],[Candidate 6]]), 0)</f>
        <v>0</v>
      </c>
      <c r="V555" s="100">
        <f>IF(AND(SamplingData[[#This Row],[Total]]&lt;&gt; 0, NOT(ISBLANK(SamplingData[[#This Row],[Candidate 7]]))),(SamplingData[[#This Row],[Total]]+SamplingData[[#This Row],[Winning Candidate]]-SamplingData[[#This Row],[Candidate 7]])/(SamplingData[[#Totals],[Winning Candidate]]-SamplingData[[#Totals],[Candidate 7]]), 0)</f>
        <v>0</v>
      </c>
      <c r="W555" s="100">
        <f>IF(AND(SamplingData[[#This Row],[Total]]&lt;&gt; 0, NOT(ISBLANK(SamplingData[[#This Row],[Candidate 8]]))),(SamplingData[[#This Row],[Total]]+SamplingData[[#This Row],[Winning Candidate]]-SamplingData[[#This Row],[Candidate 8]])/(SamplingData[[#Totals],[Winning Candidate]]-SamplingData[[#Totals],[Candidate 8]]), 0)</f>
        <v>0</v>
      </c>
      <c r="X5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00">
        <f>MAX(SamplingData[[#This Row],[Error Bound (up) - Max. possible relative overstatement - Losing Candidate]:[Error Bound (up) - Max. possible relative overstatement - Candidate 12]])</f>
        <v>3.7691993592361088E-4</v>
      </c>
      <c r="AC555" s="100">
        <f>IF(SamplingData[[#This Row],[Max Error Bound (up)]] = 0,0,SamplingData[[#This Row],[Max Error Bound (up)]]/SamplingData[[#Totals],[Max Error Bound (up)]])</f>
        <v>1.6152479405588763E-4</v>
      </c>
      <c r="AD555" s="104">
        <f>SUM($AC$5:AC555)</f>
        <v>0.11915145641522658</v>
      </c>
      <c r="AE555" s="100" t="str" cm="1">
        <f t="array" ref="AE555">IF(SamplingData[[#This Row],[up/U Selection Probability]] = 0, "Zero", TEXT(SamplingData[[#This Row],[Lower Range]], REPT("0",LEN('General Info'!$B$42))) &amp; " - " &amp; TEXT(SamplingData[[#This Row],[Upper Range]], REPT("0",LEN('General Info'!$B$42))))</f>
        <v>11899 - 11914</v>
      </c>
      <c r="AF555" s="100">
        <f>SamplingData[[#This Row],[Upper Range]]-SamplingData[[#This Row],[Span]]</f>
        <v>11898.993162117069</v>
      </c>
      <c r="AG555" s="100">
        <f>IF(ISNUMBER('General Info'!$B$42), ((SamplingData[[#This Row],[up/U Selection Probability]]) * 'General Info'!$B$44) - 1, 0)</f>
        <v>15.152479405588764</v>
      </c>
      <c r="AH555" s="100">
        <f>IF(ISNUMBER('General Info'!$B$42), (SamplingData[[#This Row],[Running (cumulative) sum]] * ('General Info'!$B$42 -'General Info'!$B$43 + 1)) + 'General Info'!$B$43 - 1, 0)</f>
        <v>11914.145641522658</v>
      </c>
      <c r="AI555" s="100" t="str">
        <f>IF(ISERROR(MATCH(SamplingData[[#This Row],[Batch by Type (p)]],SelectedPrecincts[Batch Name], 0)), "", INDEX(SelectedPrecincts[Draw], MATCH(SamplingData[[#This Row],[Batch by Type (p)]],SelectedPrecincts[Batch Name], 0)))</f>
        <v/>
      </c>
      <c r="AJ555" s="101">
        <f>IF(COUNTIF(SelectedPrecincts[Batch Name],SamplingData[[#This Row],[Batch by Type (p)]]) &lt;&gt; 0, COUNTIF(SelectedPrecincts[Batch Name],SamplingData[[#This Row],[Batch by Type (p)]]), 0)</f>
        <v>0</v>
      </c>
    </row>
    <row r="556" spans="1:36" ht="15" customHeight="1" x14ac:dyDescent="0.35">
      <c r="A556" s="98" t="s">
        <v>767</v>
      </c>
      <c r="B556" s="98">
        <v>2</v>
      </c>
      <c r="C556" s="98">
        <v>3</v>
      </c>
      <c r="D556" s="93"/>
      <c r="E556" s="93"/>
      <c r="F556" s="93"/>
      <c r="G556" s="97"/>
      <c r="H556" s="97"/>
      <c r="I556" s="93"/>
      <c r="J556" s="93"/>
      <c r="K556" s="93"/>
      <c r="L556" s="93"/>
      <c r="M556" s="93"/>
      <c r="N556" s="98">
        <v>0</v>
      </c>
      <c r="O556" s="98">
        <v>0</v>
      </c>
      <c r="P556" s="99">
        <f>SUM(SamplingData[[#This Row],[Winning Candidate]:[Under Votes]])</f>
        <v>5</v>
      </c>
      <c r="Q556"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56" s="100">
        <f>IF(AND(SamplingData[[#This Row],[Total]]&lt;&gt; 0, NOT(ISBLANK(SamplingData[[#This Row],[Candidate 3]]))),(SamplingData[[#This Row],[Total]]+SamplingData[[#This Row],[Winning Candidate]]-SamplingData[[#This Row],[Candidate 3]])/(SamplingData[[#Totals],[Winning Candidate]]-SamplingData[[#Totals],[Candidate 3]]), 0)</f>
        <v>0</v>
      </c>
      <c r="S556" s="100">
        <f>IF(AND(SamplingData[[#This Row],[Total]]&lt;&gt; 0, NOT(ISBLANK(SamplingData[[#This Row],[Candidate 4]]))),(SamplingData[[#This Row],[Total]]+SamplingData[[#This Row],[Winning Candidate]]-SamplingData[[#This Row],[Candidate 4]])/(SamplingData[[#Totals],[Winning Candidate]]-SamplingData[[#Totals],[Candidate 4]]), 0)</f>
        <v>0</v>
      </c>
      <c r="T556" s="100">
        <f>IF(AND(SamplingData[[#This Row],[Total]]&lt;&gt; 0, NOT(ISBLANK(SamplingData[[#This Row],[Candidate 5]]))),(SamplingData[[#This Row],[Total]]+SamplingData[[#This Row],[Winning Candidate]]-SamplingData[[#This Row],[Candidate 5]])/(SamplingData[[#Totals],[Winning Candidate]]-SamplingData[[#Totals],[Candidate 5]]), 0)</f>
        <v>0</v>
      </c>
      <c r="U556" s="100">
        <f>IF(AND(SamplingData[[#This Row],[Total]]&lt;&gt; 0, NOT(ISBLANK(SamplingData[[#This Row],[Candidate 6]]))),(SamplingData[[#This Row],[Total]]+SamplingData[[#This Row],[Losing Candidate]]-SamplingData[[#This Row],[Candidate 6]])/(SamplingData[[#Totals],[Winning Candidate]]-SamplingData[[#Totals],[Candidate 6]]), 0)</f>
        <v>0</v>
      </c>
      <c r="V556" s="100">
        <f>IF(AND(SamplingData[[#This Row],[Total]]&lt;&gt; 0, NOT(ISBLANK(SamplingData[[#This Row],[Candidate 7]]))),(SamplingData[[#This Row],[Total]]+SamplingData[[#This Row],[Winning Candidate]]-SamplingData[[#This Row],[Candidate 7]])/(SamplingData[[#Totals],[Winning Candidate]]-SamplingData[[#Totals],[Candidate 7]]), 0)</f>
        <v>0</v>
      </c>
      <c r="W556" s="100">
        <f>IF(AND(SamplingData[[#This Row],[Total]]&lt;&gt; 0, NOT(ISBLANK(SamplingData[[#This Row],[Candidate 8]]))),(SamplingData[[#This Row],[Total]]+SamplingData[[#This Row],[Winning Candidate]]-SamplingData[[#This Row],[Candidate 8]])/(SamplingData[[#Totals],[Winning Candidate]]-SamplingData[[#Totals],[Candidate 8]]), 0)</f>
        <v>0</v>
      </c>
      <c r="X5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00">
        <f>MAX(SamplingData[[#This Row],[Error Bound (up) - Max. possible relative overstatement - Losing Candidate]:[Error Bound (up) - Max. possible relative overstatement - Candidate 12]])</f>
        <v>1.2563997864120362E-4</v>
      </c>
      <c r="AC556" s="100">
        <f>IF(SamplingData[[#This Row],[Max Error Bound (up)]] = 0,0,SamplingData[[#This Row],[Max Error Bound (up)]]/SamplingData[[#Totals],[Max Error Bound (up)]])</f>
        <v>5.3841598018629206E-5</v>
      </c>
      <c r="AD556" s="104">
        <f>SUM($AC$5:AC556)</f>
        <v>0.11920529801324521</v>
      </c>
      <c r="AE556" s="100" t="str" cm="1">
        <f t="array" ref="AE556">IF(SamplingData[[#This Row],[up/U Selection Probability]] = 0, "Zero", TEXT(SamplingData[[#This Row],[Lower Range]], REPT("0",LEN('General Info'!$B$42))) &amp; " - " &amp; TEXT(SamplingData[[#This Row],[Upper Range]], REPT("0",LEN('General Info'!$B$42))))</f>
        <v>11915 - 11920</v>
      </c>
      <c r="AF556" s="100">
        <f>SamplingData[[#This Row],[Upper Range]]-SamplingData[[#This Row],[Span]]</f>
        <v>11915.145641522658</v>
      </c>
      <c r="AG556" s="100">
        <f>IF(ISNUMBER('General Info'!$B$42), ((SamplingData[[#This Row],[up/U Selection Probability]]) * 'General Info'!$B$44) - 1, 0)</f>
        <v>4.3841598018629204</v>
      </c>
      <c r="AH556" s="100">
        <f>IF(ISNUMBER('General Info'!$B$42), (SamplingData[[#This Row],[Running (cumulative) sum]] * ('General Info'!$B$42 -'General Info'!$B$43 + 1)) + 'General Info'!$B$43 - 1, 0)</f>
        <v>11919.529801324521</v>
      </c>
      <c r="AI556" s="100" t="str">
        <f>IF(ISERROR(MATCH(SamplingData[[#This Row],[Batch by Type (p)]],SelectedPrecincts[Batch Name], 0)), "", INDEX(SelectedPrecincts[Draw], MATCH(SamplingData[[#This Row],[Batch by Type (p)]],SelectedPrecincts[Batch Name], 0)))</f>
        <v/>
      </c>
      <c r="AJ556" s="101">
        <f>IF(COUNTIF(SelectedPrecincts[Batch Name],SamplingData[[#This Row],[Batch by Type (p)]]) &lt;&gt; 0, COUNTIF(SelectedPrecincts[Batch Name],SamplingData[[#This Row],[Batch by Type (p)]]), 0)</f>
        <v>0</v>
      </c>
    </row>
    <row r="557" spans="1:36" ht="15" customHeight="1" x14ac:dyDescent="0.35">
      <c r="A557" s="98" t="s">
        <v>768</v>
      </c>
      <c r="B557" s="98">
        <v>2</v>
      </c>
      <c r="C557" s="98">
        <v>0</v>
      </c>
      <c r="D557" s="93"/>
      <c r="E557" s="93"/>
      <c r="F557" s="93"/>
      <c r="G557" s="97"/>
      <c r="H557" s="97"/>
      <c r="I557" s="93"/>
      <c r="J557" s="93"/>
      <c r="K557" s="93"/>
      <c r="L557" s="93"/>
      <c r="M557" s="93"/>
      <c r="N557" s="98">
        <v>0</v>
      </c>
      <c r="O557" s="98">
        <v>0</v>
      </c>
      <c r="P557" s="99">
        <f>SUM(SamplingData[[#This Row],[Winning Candidate]:[Under Votes]])</f>
        <v>2</v>
      </c>
      <c r="Q557"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57" s="100">
        <f>IF(AND(SamplingData[[#This Row],[Total]]&lt;&gt; 0, NOT(ISBLANK(SamplingData[[#This Row],[Candidate 3]]))),(SamplingData[[#This Row],[Total]]+SamplingData[[#This Row],[Winning Candidate]]-SamplingData[[#This Row],[Candidate 3]])/(SamplingData[[#Totals],[Winning Candidate]]-SamplingData[[#Totals],[Candidate 3]]), 0)</f>
        <v>0</v>
      </c>
      <c r="S557" s="100">
        <f>IF(AND(SamplingData[[#This Row],[Total]]&lt;&gt; 0, NOT(ISBLANK(SamplingData[[#This Row],[Candidate 4]]))),(SamplingData[[#This Row],[Total]]+SamplingData[[#This Row],[Winning Candidate]]-SamplingData[[#This Row],[Candidate 4]])/(SamplingData[[#Totals],[Winning Candidate]]-SamplingData[[#Totals],[Candidate 4]]), 0)</f>
        <v>0</v>
      </c>
      <c r="T557" s="100">
        <f>IF(AND(SamplingData[[#This Row],[Total]]&lt;&gt; 0, NOT(ISBLANK(SamplingData[[#This Row],[Candidate 5]]))),(SamplingData[[#This Row],[Total]]+SamplingData[[#This Row],[Winning Candidate]]-SamplingData[[#This Row],[Candidate 5]])/(SamplingData[[#Totals],[Winning Candidate]]-SamplingData[[#Totals],[Candidate 5]]), 0)</f>
        <v>0</v>
      </c>
      <c r="U557" s="100">
        <f>IF(AND(SamplingData[[#This Row],[Total]]&lt;&gt; 0, NOT(ISBLANK(SamplingData[[#This Row],[Candidate 6]]))),(SamplingData[[#This Row],[Total]]+SamplingData[[#This Row],[Losing Candidate]]-SamplingData[[#This Row],[Candidate 6]])/(SamplingData[[#Totals],[Winning Candidate]]-SamplingData[[#Totals],[Candidate 6]]), 0)</f>
        <v>0</v>
      </c>
      <c r="V557" s="100">
        <f>IF(AND(SamplingData[[#This Row],[Total]]&lt;&gt; 0, NOT(ISBLANK(SamplingData[[#This Row],[Candidate 7]]))),(SamplingData[[#This Row],[Total]]+SamplingData[[#This Row],[Winning Candidate]]-SamplingData[[#This Row],[Candidate 7]])/(SamplingData[[#Totals],[Winning Candidate]]-SamplingData[[#Totals],[Candidate 7]]), 0)</f>
        <v>0</v>
      </c>
      <c r="W557" s="100">
        <f>IF(AND(SamplingData[[#This Row],[Total]]&lt;&gt; 0, NOT(ISBLANK(SamplingData[[#This Row],[Candidate 8]]))),(SamplingData[[#This Row],[Total]]+SamplingData[[#This Row],[Winning Candidate]]-SamplingData[[#This Row],[Candidate 8]])/(SamplingData[[#Totals],[Winning Candidate]]-SamplingData[[#Totals],[Candidate 8]]), 0)</f>
        <v>0</v>
      </c>
      <c r="X5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00">
        <f>MAX(SamplingData[[#This Row],[Error Bound (up) - Max. possible relative overstatement - Losing Candidate]:[Error Bound (up) - Max. possible relative overstatement - Candidate 12]])</f>
        <v>1.2563997864120362E-4</v>
      </c>
      <c r="AC557" s="100">
        <f>IF(SamplingData[[#This Row],[Max Error Bound (up)]] = 0,0,SamplingData[[#This Row],[Max Error Bound (up)]]/SamplingData[[#Totals],[Max Error Bound (up)]])</f>
        <v>5.3841598018629206E-5</v>
      </c>
      <c r="AD557" s="104">
        <f>SUM($AC$5:AC557)</f>
        <v>0.11925913961126385</v>
      </c>
      <c r="AE557" s="100" t="str" cm="1">
        <f t="array" ref="AE557">IF(SamplingData[[#This Row],[up/U Selection Probability]] = 0, "Zero", TEXT(SamplingData[[#This Row],[Lower Range]], REPT("0",LEN('General Info'!$B$42))) &amp; " - " &amp; TEXT(SamplingData[[#This Row],[Upper Range]], REPT("0",LEN('General Info'!$B$42))))</f>
        <v>11921 - 11925</v>
      </c>
      <c r="AF557" s="100">
        <f>SamplingData[[#This Row],[Upper Range]]-SamplingData[[#This Row],[Span]]</f>
        <v>11920.529801324523</v>
      </c>
      <c r="AG557" s="100">
        <f>IF(ISNUMBER('General Info'!$B$42), ((SamplingData[[#This Row],[up/U Selection Probability]]) * 'General Info'!$B$44) - 1, 0)</f>
        <v>4.3841598018629204</v>
      </c>
      <c r="AH557" s="100">
        <f>IF(ISNUMBER('General Info'!$B$42), (SamplingData[[#This Row],[Running (cumulative) sum]] * ('General Info'!$B$42 -'General Info'!$B$43 + 1)) + 'General Info'!$B$43 - 1, 0)</f>
        <v>11924.913961126385</v>
      </c>
      <c r="AI557" s="100" t="str">
        <f>IF(ISERROR(MATCH(SamplingData[[#This Row],[Batch by Type (p)]],SelectedPrecincts[Batch Name], 0)), "", INDEX(SelectedPrecincts[Draw], MATCH(SamplingData[[#This Row],[Batch by Type (p)]],SelectedPrecincts[Batch Name], 0)))</f>
        <v/>
      </c>
      <c r="AJ557" s="101">
        <f>IF(COUNTIF(SelectedPrecincts[Batch Name],SamplingData[[#This Row],[Batch by Type (p)]]) &lt;&gt; 0, COUNTIF(SelectedPrecincts[Batch Name],SamplingData[[#This Row],[Batch by Type (p)]]), 0)</f>
        <v>0</v>
      </c>
    </row>
    <row r="558" spans="1:36" ht="15" customHeight="1" x14ac:dyDescent="0.35">
      <c r="A558" s="98" t="s">
        <v>769</v>
      </c>
      <c r="B558" s="98">
        <v>10</v>
      </c>
      <c r="C558" s="98">
        <v>2</v>
      </c>
      <c r="D558" s="93"/>
      <c r="E558" s="93"/>
      <c r="F558" s="93"/>
      <c r="G558" s="97"/>
      <c r="H558" s="97"/>
      <c r="I558" s="93"/>
      <c r="J558" s="93"/>
      <c r="K558" s="93"/>
      <c r="L558" s="93"/>
      <c r="M558" s="93"/>
      <c r="N558" s="98">
        <v>0</v>
      </c>
      <c r="O558" s="98">
        <v>0</v>
      </c>
      <c r="P558" s="99">
        <f>SUM(SamplingData[[#This Row],[Winning Candidate]:[Under Votes]])</f>
        <v>12</v>
      </c>
      <c r="Q558"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558" s="100">
        <f>IF(AND(SamplingData[[#This Row],[Total]]&lt;&gt; 0, NOT(ISBLANK(SamplingData[[#This Row],[Candidate 3]]))),(SamplingData[[#This Row],[Total]]+SamplingData[[#This Row],[Winning Candidate]]-SamplingData[[#This Row],[Candidate 3]])/(SamplingData[[#Totals],[Winning Candidate]]-SamplingData[[#Totals],[Candidate 3]]), 0)</f>
        <v>0</v>
      </c>
      <c r="S558" s="100">
        <f>IF(AND(SamplingData[[#This Row],[Total]]&lt;&gt; 0, NOT(ISBLANK(SamplingData[[#This Row],[Candidate 4]]))),(SamplingData[[#This Row],[Total]]+SamplingData[[#This Row],[Winning Candidate]]-SamplingData[[#This Row],[Candidate 4]])/(SamplingData[[#Totals],[Winning Candidate]]-SamplingData[[#Totals],[Candidate 4]]), 0)</f>
        <v>0</v>
      </c>
      <c r="T558" s="100">
        <f>IF(AND(SamplingData[[#This Row],[Total]]&lt;&gt; 0, NOT(ISBLANK(SamplingData[[#This Row],[Candidate 5]]))),(SamplingData[[#This Row],[Total]]+SamplingData[[#This Row],[Winning Candidate]]-SamplingData[[#This Row],[Candidate 5]])/(SamplingData[[#Totals],[Winning Candidate]]-SamplingData[[#Totals],[Candidate 5]]), 0)</f>
        <v>0</v>
      </c>
      <c r="U558" s="100">
        <f>IF(AND(SamplingData[[#This Row],[Total]]&lt;&gt; 0, NOT(ISBLANK(SamplingData[[#This Row],[Candidate 6]]))),(SamplingData[[#This Row],[Total]]+SamplingData[[#This Row],[Losing Candidate]]-SamplingData[[#This Row],[Candidate 6]])/(SamplingData[[#Totals],[Winning Candidate]]-SamplingData[[#Totals],[Candidate 6]]), 0)</f>
        <v>0</v>
      </c>
      <c r="V558" s="100">
        <f>IF(AND(SamplingData[[#This Row],[Total]]&lt;&gt; 0, NOT(ISBLANK(SamplingData[[#This Row],[Candidate 7]]))),(SamplingData[[#This Row],[Total]]+SamplingData[[#This Row],[Winning Candidate]]-SamplingData[[#This Row],[Candidate 7]])/(SamplingData[[#Totals],[Winning Candidate]]-SamplingData[[#Totals],[Candidate 7]]), 0)</f>
        <v>0</v>
      </c>
      <c r="W558" s="100">
        <f>IF(AND(SamplingData[[#This Row],[Total]]&lt;&gt; 0, NOT(ISBLANK(SamplingData[[#This Row],[Candidate 8]]))),(SamplingData[[#This Row],[Total]]+SamplingData[[#This Row],[Winning Candidate]]-SamplingData[[#This Row],[Candidate 8]])/(SamplingData[[#Totals],[Winning Candidate]]-SamplingData[[#Totals],[Candidate 8]]), 0)</f>
        <v>0</v>
      </c>
      <c r="X5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00">
        <f>MAX(SamplingData[[#This Row],[Error Bound (up) - Max. possible relative overstatement - Losing Candidate]:[Error Bound (up) - Max. possible relative overstatement - Candidate 12]])</f>
        <v>6.2819989320601812E-4</v>
      </c>
      <c r="AC558" s="100">
        <f>IF(SamplingData[[#This Row],[Max Error Bound (up)]] = 0,0,SamplingData[[#This Row],[Max Error Bound (up)]]/SamplingData[[#Totals],[Max Error Bound (up)]])</f>
        <v>2.6920799009314607E-4</v>
      </c>
      <c r="AD558" s="104">
        <f>SUM($AC$5:AC558)</f>
        <v>0.11952834760135699</v>
      </c>
      <c r="AE558" s="100" t="str" cm="1">
        <f t="array" ref="AE558">IF(SamplingData[[#This Row],[up/U Selection Probability]] = 0, "Zero", TEXT(SamplingData[[#This Row],[Lower Range]], REPT("0",LEN('General Info'!$B$42))) &amp; " - " &amp; TEXT(SamplingData[[#This Row],[Upper Range]], REPT("0",LEN('General Info'!$B$42))))</f>
        <v>11926 - 11952</v>
      </c>
      <c r="AF558" s="100">
        <f>SamplingData[[#This Row],[Upper Range]]-SamplingData[[#This Row],[Span]]</f>
        <v>11925.913961126384</v>
      </c>
      <c r="AG558" s="100">
        <f>IF(ISNUMBER('General Info'!$B$42), ((SamplingData[[#This Row],[up/U Selection Probability]]) * 'General Info'!$B$44) - 1, 0)</f>
        <v>25.920799009314607</v>
      </c>
      <c r="AH558" s="100">
        <f>IF(ISNUMBER('General Info'!$B$42), (SamplingData[[#This Row],[Running (cumulative) sum]] * ('General Info'!$B$42 -'General Info'!$B$43 + 1)) + 'General Info'!$B$43 - 1, 0)</f>
        <v>11951.834760135698</v>
      </c>
      <c r="AI558" s="100" t="str">
        <f>IF(ISERROR(MATCH(SamplingData[[#This Row],[Batch by Type (p)]],SelectedPrecincts[Batch Name], 0)), "", INDEX(SelectedPrecincts[Draw], MATCH(SamplingData[[#This Row],[Batch by Type (p)]],SelectedPrecincts[Batch Name], 0)))</f>
        <v/>
      </c>
      <c r="AJ558" s="101">
        <f>IF(COUNTIF(SelectedPrecincts[Batch Name],SamplingData[[#This Row],[Batch by Type (p)]]) &lt;&gt; 0, COUNTIF(SelectedPrecincts[Batch Name],SamplingData[[#This Row],[Batch by Type (p)]]), 0)</f>
        <v>0</v>
      </c>
    </row>
    <row r="559" spans="1:36" ht="15" customHeight="1" x14ac:dyDescent="0.35">
      <c r="A559" s="98" t="s">
        <v>770</v>
      </c>
      <c r="B559" s="98">
        <v>8</v>
      </c>
      <c r="C559" s="98">
        <v>0</v>
      </c>
      <c r="D559" s="93"/>
      <c r="E559" s="93"/>
      <c r="F559" s="93"/>
      <c r="G559" s="97"/>
      <c r="H559" s="97"/>
      <c r="I559" s="93"/>
      <c r="J559" s="93"/>
      <c r="K559" s="93"/>
      <c r="L559" s="93"/>
      <c r="M559" s="93"/>
      <c r="N559" s="98">
        <v>0</v>
      </c>
      <c r="O559" s="98">
        <v>0</v>
      </c>
      <c r="P559" s="99">
        <f>SUM(SamplingData[[#This Row],[Winning Candidate]:[Under Votes]])</f>
        <v>8</v>
      </c>
      <c r="Q559"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559" s="100">
        <f>IF(AND(SamplingData[[#This Row],[Total]]&lt;&gt; 0, NOT(ISBLANK(SamplingData[[#This Row],[Candidate 3]]))),(SamplingData[[#This Row],[Total]]+SamplingData[[#This Row],[Winning Candidate]]-SamplingData[[#This Row],[Candidate 3]])/(SamplingData[[#Totals],[Winning Candidate]]-SamplingData[[#Totals],[Candidate 3]]), 0)</f>
        <v>0</v>
      </c>
      <c r="S559" s="100">
        <f>IF(AND(SamplingData[[#This Row],[Total]]&lt;&gt; 0, NOT(ISBLANK(SamplingData[[#This Row],[Candidate 4]]))),(SamplingData[[#This Row],[Total]]+SamplingData[[#This Row],[Winning Candidate]]-SamplingData[[#This Row],[Candidate 4]])/(SamplingData[[#Totals],[Winning Candidate]]-SamplingData[[#Totals],[Candidate 4]]), 0)</f>
        <v>0</v>
      </c>
      <c r="T559" s="100">
        <f>IF(AND(SamplingData[[#This Row],[Total]]&lt;&gt; 0, NOT(ISBLANK(SamplingData[[#This Row],[Candidate 5]]))),(SamplingData[[#This Row],[Total]]+SamplingData[[#This Row],[Winning Candidate]]-SamplingData[[#This Row],[Candidate 5]])/(SamplingData[[#Totals],[Winning Candidate]]-SamplingData[[#Totals],[Candidate 5]]), 0)</f>
        <v>0</v>
      </c>
      <c r="U559" s="100">
        <f>IF(AND(SamplingData[[#This Row],[Total]]&lt;&gt; 0, NOT(ISBLANK(SamplingData[[#This Row],[Candidate 6]]))),(SamplingData[[#This Row],[Total]]+SamplingData[[#This Row],[Losing Candidate]]-SamplingData[[#This Row],[Candidate 6]])/(SamplingData[[#Totals],[Winning Candidate]]-SamplingData[[#Totals],[Candidate 6]]), 0)</f>
        <v>0</v>
      </c>
      <c r="V559" s="100">
        <f>IF(AND(SamplingData[[#This Row],[Total]]&lt;&gt; 0, NOT(ISBLANK(SamplingData[[#This Row],[Candidate 7]]))),(SamplingData[[#This Row],[Total]]+SamplingData[[#This Row],[Winning Candidate]]-SamplingData[[#This Row],[Candidate 7]])/(SamplingData[[#Totals],[Winning Candidate]]-SamplingData[[#Totals],[Candidate 7]]), 0)</f>
        <v>0</v>
      </c>
      <c r="W559" s="100">
        <f>IF(AND(SamplingData[[#This Row],[Total]]&lt;&gt; 0, NOT(ISBLANK(SamplingData[[#This Row],[Candidate 8]]))),(SamplingData[[#This Row],[Total]]+SamplingData[[#This Row],[Winning Candidate]]-SamplingData[[#This Row],[Candidate 8]])/(SamplingData[[#Totals],[Winning Candidate]]-SamplingData[[#Totals],[Candidate 8]]), 0)</f>
        <v>0</v>
      </c>
      <c r="X5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00">
        <f>MAX(SamplingData[[#This Row],[Error Bound (up) - Max. possible relative overstatement - Losing Candidate]:[Error Bound (up) - Max. possible relative overstatement - Candidate 12]])</f>
        <v>5.0255991456481448E-4</v>
      </c>
      <c r="AC559" s="100">
        <f>IF(SamplingData[[#This Row],[Max Error Bound (up)]] = 0,0,SamplingData[[#This Row],[Max Error Bound (up)]]/SamplingData[[#Totals],[Max Error Bound (up)]])</f>
        <v>2.1536639207451683E-4</v>
      </c>
      <c r="AD559" s="104">
        <f>SUM($AC$5:AC559)</f>
        <v>0.11974371399343151</v>
      </c>
      <c r="AE559" s="100" t="str" cm="1">
        <f t="array" ref="AE559">IF(SamplingData[[#This Row],[up/U Selection Probability]] = 0, "Zero", TEXT(SamplingData[[#This Row],[Lower Range]], REPT("0",LEN('General Info'!$B$42))) &amp; " - " &amp; TEXT(SamplingData[[#This Row],[Upper Range]], REPT("0",LEN('General Info'!$B$42))))</f>
        <v>11953 - 11973</v>
      </c>
      <c r="AF559" s="100">
        <f>SamplingData[[#This Row],[Upper Range]]-SamplingData[[#This Row],[Span]]</f>
        <v>11952.834760135698</v>
      </c>
      <c r="AG559" s="100">
        <f>IF(ISNUMBER('General Info'!$B$42), ((SamplingData[[#This Row],[up/U Selection Probability]]) * 'General Info'!$B$44) - 1, 0)</f>
        <v>20.536639207451682</v>
      </c>
      <c r="AH559" s="100">
        <f>IF(ISNUMBER('General Info'!$B$42), (SamplingData[[#This Row],[Running (cumulative) sum]] * ('General Info'!$B$42 -'General Info'!$B$43 + 1)) + 'General Info'!$B$43 - 1, 0)</f>
        <v>11973.37139934315</v>
      </c>
      <c r="AI559" s="100" t="str">
        <f>IF(ISERROR(MATCH(SamplingData[[#This Row],[Batch by Type (p)]],SelectedPrecincts[Batch Name], 0)), "", INDEX(SelectedPrecincts[Draw], MATCH(SamplingData[[#This Row],[Batch by Type (p)]],SelectedPrecincts[Batch Name], 0)))</f>
        <v/>
      </c>
      <c r="AJ559" s="101">
        <f>IF(COUNTIF(SelectedPrecincts[Batch Name],SamplingData[[#This Row],[Batch by Type (p)]]) &lt;&gt; 0, COUNTIF(SelectedPrecincts[Batch Name],SamplingData[[#This Row],[Batch by Type (p)]]), 0)</f>
        <v>0</v>
      </c>
    </row>
    <row r="560" spans="1:36" ht="15" customHeight="1" x14ac:dyDescent="0.35">
      <c r="A560" s="98" t="s">
        <v>771</v>
      </c>
      <c r="B560" s="98">
        <v>16</v>
      </c>
      <c r="C560" s="98">
        <v>2</v>
      </c>
      <c r="D560" s="93"/>
      <c r="E560" s="93"/>
      <c r="F560" s="93"/>
      <c r="G560" s="97"/>
      <c r="H560" s="97"/>
      <c r="I560" s="93"/>
      <c r="J560" s="93"/>
      <c r="K560" s="93"/>
      <c r="L560" s="93"/>
      <c r="M560" s="93"/>
      <c r="N560" s="98">
        <v>0</v>
      </c>
      <c r="O560" s="98">
        <v>0</v>
      </c>
      <c r="P560" s="99">
        <f>SUM(SamplingData[[#This Row],[Winning Candidate]:[Under Votes]])</f>
        <v>18</v>
      </c>
      <c r="Q560"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560" s="100">
        <f>IF(AND(SamplingData[[#This Row],[Total]]&lt;&gt; 0, NOT(ISBLANK(SamplingData[[#This Row],[Candidate 3]]))),(SamplingData[[#This Row],[Total]]+SamplingData[[#This Row],[Winning Candidate]]-SamplingData[[#This Row],[Candidate 3]])/(SamplingData[[#Totals],[Winning Candidate]]-SamplingData[[#Totals],[Candidate 3]]), 0)</f>
        <v>0</v>
      </c>
      <c r="S560" s="100">
        <f>IF(AND(SamplingData[[#This Row],[Total]]&lt;&gt; 0, NOT(ISBLANK(SamplingData[[#This Row],[Candidate 4]]))),(SamplingData[[#This Row],[Total]]+SamplingData[[#This Row],[Winning Candidate]]-SamplingData[[#This Row],[Candidate 4]])/(SamplingData[[#Totals],[Winning Candidate]]-SamplingData[[#Totals],[Candidate 4]]), 0)</f>
        <v>0</v>
      </c>
      <c r="T560" s="100">
        <f>IF(AND(SamplingData[[#This Row],[Total]]&lt;&gt; 0, NOT(ISBLANK(SamplingData[[#This Row],[Candidate 5]]))),(SamplingData[[#This Row],[Total]]+SamplingData[[#This Row],[Winning Candidate]]-SamplingData[[#This Row],[Candidate 5]])/(SamplingData[[#Totals],[Winning Candidate]]-SamplingData[[#Totals],[Candidate 5]]), 0)</f>
        <v>0</v>
      </c>
      <c r="U560" s="100">
        <f>IF(AND(SamplingData[[#This Row],[Total]]&lt;&gt; 0, NOT(ISBLANK(SamplingData[[#This Row],[Candidate 6]]))),(SamplingData[[#This Row],[Total]]+SamplingData[[#This Row],[Losing Candidate]]-SamplingData[[#This Row],[Candidate 6]])/(SamplingData[[#Totals],[Winning Candidate]]-SamplingData[[#Totals],[Candidate 6]]), 0)</f>
        <v>0</v>
      </c>
      <c r="V560" s="100">
        <f>IF(AND(SamplingData[[#This Row],[Total]]&lt;&gt; 0, NOT(ISBLANK(SamplingData[[#This Row],[Candidate 7]]))),(SamplingData[[#This Row],[Total]]+SamplingData[[#This Row],[Winning Candidate]]-SamplingData[[#This Row],[Candidate 7]])/(SamplingData[[#Totals],[Winning Candidate]]-SamplingData[[#Totals],[Candidate 7]]), 0)</f>
        <v>0</v>
      </c>
      <c r="W560" s="100">
        <f>IF(AND(SamplingData[[#This Row],[Total]]&lt;&gt; 0, NOT(ISBLANK(SamplingData[[#This Row],[Candidate 8]]))),(SamplingData[[#This Row],[Total]]+SamplingData[[#This Row],[Winning Candidate]]-SamplingData[[#This Row],[Candidate 8]])/(SamplingData[[#Totals],[Winning Candidate]]-SamplingData[[#Totals],[Candidate 8]]), 0)</f>
        <v>0</v>
      </c>
      <c r="X5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00">
        <f>MAX(SamplingData[[#This Row],[Error Bound (up) - Max. possible relative overstatement - Losing Candidate]:[Error Bound (up) - Max. possible relative overstatement - Candidate 12]])</f>
        <v>1.005119829129629E-3</v>
      </c>
      <c r="AC560" s="100">
        <f>IF(SamplingData[[#This Row],[Max Error Bound (up)]] = 0,0,SamplingData[[#This Row],[Max Error Bound (up)]]/SamplingData[[#Totals],[Max Error Bound (up)]])</f>
        <v>4.3073278414903365E-4</v>
      </c>
      <c r="AD560" s="104">
        <f>SUM($AC$5:AC560)</f>
        <v>0.12017444677758055</v>
      </c>
      <c r="AE560" s="100" t="str" cm="1">
        <f t="array" ref="AE560">IF(SamplingData[[#This Row],[up/U Selection Probability]] = 0, "Zero", TEXT(SamplingData[[#This Row],[Lower Range]], REPT("0",LEN('General Info'!$B$42))) &amp; " - " &amp; TEXT(SamplingData[[#This Row],[Upper Range]], REPT("0",LEN('General Info'!$B$42))))</f>
        <v>11974 - 12016</v>
      </c>
      <c r="AF560" s="100">
        <f>SamplingData[[#This Row],[Upper Range]]-SamplingData[[#This Row],[Span]]</f>
        <v>11974.37139934315</v>
      </c>
      <c r="AG560" s="100">
        <f>IF(ISNUMBER('General Info'!$B$42), ((SamplingData[[#This Row],[up/U Selection Probability]]) * 'General Info'!$B$44) - 1, 0)</f>
        <v>42.073278414903363</v>
      </c>
      <c r="AH560" s="100">
        <f>IF(ISNUMBER('General Info'!$B$42), (SamplingData[[#This Row],[Running (cumulative) sum]] * ('General Info'!$B$42 -'General Info'!$B$43 + 1)) + 'General Info'!$B$43 - 1, 0)</f>
        <v>12016.444677758054</v>
      </c>
      <c r="AI560" s="100" t="str">
        <f>IF(ISERROR(MATCH(SamplingData[[#This Row],[Batch by Type (p)]],SelectedPrecincts[Batch Name], 0)), "", INDEX(SelectedPrecincts[Draw], MATCH(SamplingData[[#This Row],[Batch by Type (p)]],SelectedPrecincts[Batch Name], 0)))</f>
        <v/>
      </c>
      <c r="AJ560" s="101">
        <f>IF(COUNTIF(SelectedPrecincts[Batch Name],SamplingData[[#This Row],[Batch by Type (p)]]) &lt;&gt; 0, COUNTIF(SelectedPrecincts[Batch Name],SamplingData[[#This Row],[Batch by Type (p)]]), 0)</f>
        <v>0</v>
      </c>
    </row>
    <row r="561" spans="1:36" ht="15" customHeight="1" x14ac:dyDescent="0.35">
      <c r="A561" s="98" t="s">
        <v>772</v>
      </c>
      <c r="B561" s="98">
        <v>14</v>
      </c>
      <c r="C561" s="98">
        <v>0</v>
      </c>
      <c r="D561" s="93"/>
      <c r="E561" s="93"/>
      <c r="F561" s="93"/>
      <c r="G561" s="97"/>
      <c r="H561" s="97"/>
      <c r="I561" s="93"/>
      <c r="J561" s="93"/>
      <c r="K561" s="93"/>
      <c r="L561" s="93"/>
      <c r="M561" s="93"/>
      <c r="N561" s="98">
        <v>0</v>
      </c>
      <c r="O561" s="98">
        <v>0</v>
      </c>
      <c r="P561" s="99">
        <f>SUM(SamplingData[[#This Row],[Winning Candidate]:[Under Votes]])</f>
        <v>14</v>
      </c>
      <c r="Q561"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561" s="100">
        <f>IF(AND(SamplingData[[#This Row],[Total]]&lt;&gt; 0, NOT(ISBLANK(SamplingData[[#This Row],[Candidate 3]]))),(SamplingData[[#This Row],[Total]]+SamplingData[[#This Row],[Winning Candidate]]-SamplingData[[#This Row],[Candidate 3]])/(SamplingData[[#Totals],[Winning Candidate]]-SamplingData[[#Totals],[Candidate 3]]), 0)</f>
        <v>0</v>
      </c>
      <c r="S561" s="100">
        <f>IF(AND(SamplingData[[#This Row],[Total]]&lt;&gt; 0, NOT(ISBLANK(SamplingData[[#This Row],[Candidate 4]]))),(SamplingData[[#This Row],[Total]]+SamplingData[[#This Row],[Winning Candidate]]-SamplingData[[#This Row],[Candidate 4]])/(SamplingData[[#Totals],[Winning Candidate]]-SamplingData[[#Totals],[Candidate 4]]), 0)</f>
        <v>0</v>
      </c>
      <c r="T561" s="100">
        <f>IF(AND(SamplingData[[#This Row],[Total]]&lt;&gt; 0, NOT(ISBLANK(SamplingData[[#This Row],[Candidate 5]]))),(SamplingData[[#This Row],[Total]]+SamplingData[[#This Row],[Winning Candidate]]-SamplingData[[#This Row],[Candidate 5]])/(SamplingData[[#Totals],[Winning Candidate]]-SamplingData[[#Totals],[Candidate 5]]), 0)</f>
        <v>0</v>
      </c>
      <c r="U561" s="100">
        <f>IF(AND(SamplingData[[#This Row],[Total]]&lt;&gt; 0, NOT(ISBLANK(SamplingData[[#This Row],[Candidate 6]]))),(SamplingData[[#This Row],[Total]]+SamplingData[[#This Row],[Losing Candidate]]-SamplingData[[#This Row],[Candidate 6]])/(SamplingData[[#Totals],[Winning Candidate]]-SamplingData[[#Totals],[Candidate 6]]), 0)</f>
        <v>0</v>
      </c>
      <c r="V561" s="100">
        <f>IF(AND(SamplingData[[#This Row],[Total]]&lt;&gt; 0, NOT(ISBLANK(SamplingData[[#This Row],[Candidate 7]]))),(SamplingData[[#This Row],[Total]]+SamplingData[[#This Row],[Winning Candidate]]-SamplingData[[#This Row],[Candidate 7]])/(SamplingData[[#Totals],[Winning Candidate]]-SamplingData[[#Totals],[Candidate 7]]), 0)</f>
        <v>0</v>
      </c>
      <c r="W561" s="100">
        <f>IF(AND(SamplingData[[#This Row],[Total]]&lt;&gt; 0, NOT(ISBLANK(SamplingData[[#This Row],[Candidate 8]]))),(SamplingData[[#This Row],[Total]]+SamplingData[[#This Row],[Winning Candidate]]-SamplingData[[#This Row],[Candidate 8]])/(SamplingData[[#Totals],[Winning Candidate]]-SamplingData[[#Totals],[Candidate 8]]), 0)</f>
        <v>0</v>
      </c>
      <c r="X5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00">
        <f>MAX(SamplingData[[#This Row],[Error Bound (up) - Max. possible relative overstatement - Losing Candidate]:[Error Bound (up) - Max. possible relative overstatement - Candidate 12]])</f>
        <v>8.7947985048842541E-4</v>
      </c>
      <c r="AC561" s="100">
        <f>IF(SamplingData[[#This Row],[Max Error Bound (up)]] = 0,0,SamplingData[[#This Row],[Max Error Bound (up)]]/SamplingData[[#Totals],[Max Error Bound (up)]])</f>
        <v>3.7689118613040446E-4</v>
      </c>
      <c r="AD561" s="104">
        <f>SUM($AC$5:AC561)</f>
        <v>0.12055133796371095</v>
      </c>
      <c r="AE561" s="100" t="str" cm="1">
        <f t="array" ref="AE561">IF(SamplingData[[#This Row],[up/U Selection Probability]] = 0, "Zero", TEXT(SamplingData[[#This Row],[Lower Range]], REPT("0",LEN('General Info'!$B$42))) &amp; " - " &amp; TEXT(SamplingData[[#This Row],[Upper Range]], REPT("0",LEN('General Info'!$B$42))))</f>
        <v>12017 - 12054</v>
      </c>
      <c r="AF561" s="100">
        <f>SamplingData[[#This Row],[Upper Range]]-SamplingData[[#This Row],[Span]]</f>
        <v>12017.444677758056</v>
      </c>
      <c r="AG561" s="100">
        <f>IF(ISNUMBER('General Info'!$B$42), ((SamplingData[[#This Row],[up/U Selection Probability]]) * 'General Info'!$B$44) - 1, 0)</f>
        <v>36.689118613040449</v>
      </c>
      <c r="AH561" s="100">
        <f>IF(ISNUMBER('General Info'!$B$42), (SamplingData[[#This Row],[Running (cumulative) sum]] * ('General Info'!$B$42 -'General Info'!$B$43 + 1)) + 'General Info'!$B$43 - 1, 0)</f>
        <v>12054.133796371096</v>
      </c>
      <c r="AI561" s="100" t="str">
        <f>IF(ISERROR(MATCH(SamplingData[[#This Row],[Batch by Type (p)]],SelectedPrecincts[Batch Name], 0)), "", INDEX(SelectedPrecincts[Draw], MATCH(SamplingData[[#This Row],[Batch by Type (p)]],SelectedPrecincts[Batch Name], 0)))</f>
        <v/>
      </c>
      <c r="AJ561" s="101">
        <f>IF(COUNTIF(SelectedPrecincts[Batch Name],SamplingData[[#This Row],[Batch by Type (p)]]) &lt;&gt; 0, COUNTIF(SelectedPrecincts[Batch Name],SamplingData[[#This Row],[Batch by Type (p)]]), 0)</f>
        <v>0</v>
      </c>
    </row>
    <row r="562" spans="1:36" ht="15" customHeight="1" x14ac:dyDescent="0.35">
      <c r="A562" s="98" t="s">
        <v>773</v>
      </c>
      <c r="B562" s="98">
        <v>3</v>
      </c>
      <c r="C562" s="98">
        <v>0</v>
      </c>
      <c r="D562" s="93"/>
      <c r="E562" s="93"/>
      <c r="F562" s="93"/>
      <c r="G562" s="97"/>
      <c r="H562" s="97"/>
      <c r="I562" s="93"/>
      <c r="J562" s="93"/>
      <c r="K562" s="93"/>
      <c r="L562" s="93"/>
      <c r="M562" s="93"/>
      <c r="N562" s="98">
        <v>0</v>
      </c>
      <c r="O562" s="98">
        <v>0</v>
      </c>
      <c r="P562" s="99">
        <f>SUM(SamplingData[[#This Row],[Winning Candidate]:[Under Votes]])</f>
        <v>3</v>
      </c>
      <c r="Q562"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562" s="100">
        <f>IF(AND(SamplingData[[#This Row],[Total]]&lt;&gt; 0, NOT(ISBLANK(SamplingData[[#This Row],[Candidate 3]]))),(SamplingData[[#This Row],[Total]]+SamplingData[[#This Row],[Winning Candidate]]-SamplingData[[#This Row],[Candidate 3]])/(SamplingData[[#Totals],[Winning Candidate]]-SamplingData[[#Totals],[Candidate 3]]), 0)</f>
        <v>0</v>
      </c>
      <c r="S562" s="100">
        <f>IF(AND(SamplingData[[#This Row],[Total]]&lt;&gt; 0, NOT(ISBLANK(SamplingData[[#This Row],[Candidate 4]]))),(SamplingData[[#This Row],[Total]]+SamplingData[[#This Row],[Winning Candidate]]-SamplingData[[#This Row],[Candidate 4]])/(SamplingData[[#Totals],[Winning Candidate]]-SamplingData[[#Totals],[Candidate 4]]), 0)</f>
        <v>0</v>
      </c>
      <c r="T562" s="100">
        <f>IF(AND(SamplingData[[#This Row],[Total]]&lt;&gt; 0, NOT(ISBLANK(SamplingData[[#This Row],[Candidate 5]]))),(SamplingData[[#This Row],[Total]]+SamplingData[[#This Row],[Winning Candidate]]-SamplingData[[#This Row],[Candidate 5]])/(SamplingData[[#Totals],[Winning Candidate]]-SamplingData[[#Totals],[Candidate 5]]), 0)</f>
        <v>0</v>
      </c>
      <c r="U562" s="100">
        <f>IF(AND(SamplingData[[#This Row],[Total]]&lt;&gt; 0, NOT(ISBLANK(SamplingData[[#This Row],[Candidate 6]]))),(SamplingData[[#This Row],[Total]]+SamplingData[[#This Row],[Losing Candidate]]-SamplingData[[#This Row],[Candidate 6]])/(SamplingData[[#Totals],[Winning Candidate]]-SamplingData[[#Totals],[Candidate 6]]), 0)</f>
        <v>0</v>
      </c>
      <c r="V562" s="100">
        <f>IF(AND(SamplingData[[#This Row],[Total]]&lt;&gt; 0, NOT(ISBLANK(SamplingData[[#This Row],[Candidate 7]]))),(SamplingData[[#This Row],[Total]]+SamplingData[[#This Row],[Winning Candidate]]-SamplingData[[#This Row],[Candidate 7]])/(SamplingData[[#Totals],[Winning Candidate]]-SamplingData[[#Totals],[Candidate 7]]), 0)</f>
        <v>0</v>
      </c>
      <c r="W562" s="100">
        <f>IF(AND(SamplingData[[#This Row],[Total]]&lt;&gt; 0, NOT(ISBLANK(SamplingData[[#This Row],[Candidate 8]]))),(SamplingData[[#This Row],[Total]]+SamplingData[[#This Row],[Winning Candidate]]-SamplingData[[#This Row],[Candidate 8]])/(SamplingData[[#Totals],[Winning Candidate]]-SamplingData[[#Totals],[Candidate 8]]), 0)</f>
        <v>0</v>
      </c>
      <c r="X5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00">
        <f>MAX(SamplingData[[#This Row],[Error Bound (up) - Max. possible relative overstatement - Losing Candidate]:[Error Bound (up) - Max. possible relative overstatement - Candidate 12]])</f>
        <v>1.8845996796180544E-4</v>
      </c>
      <c r="AC562" s="100">
        <f>IF(SamplingData[[#This Row],[Max Error Bound (up)]] = 0,0,SamplingData[[#This Row],[Max Error Bound (up)]]/SamplingData[[#Totals],[Max Error Bound (up)]])</f>
        <v>8.0762397027943816E-5</v>
      </c>
      <c r="AD562" s="104">
        <f>SUM($AC$5:AC562)</f>
        <v>0.1206321003607389</v>
      </c>
      <c r="AE562" s="100" t="str" cm="1">
        <f t="array" ref="AE562">IF(SamplingData[[#This Row],[up/U Selection Probability]] = 0, "Zero", TEXT(SamplingData[[#This Row],[Lower Range]], REPT("0",LEN('General Info'!$B$42))) &amp; " - " &amp; TEXT(SamplingData[[#This Row],[Upper Range]], REPT("0",LEN('General Info'!$B$42))))</f>
        <v>12055 - 12062</v>
      </c>
      <c r="AF562" s="100">
        <f>SamplingData[[#This Row],[Upper Range]]-SamplingData[[#This Row],[Span]]</f>
        <v>12055.133796371096</v>
      </c>
      <c r="AG562" s="100">
        <f>IF(ISNUMBER('General Info'!$B$42), ((SamplingData[[#This Row],[up/U Selection Probability]]) * 'General Info'!$B$44) - 1, 0)</f>
        <v>7.076239702794382</v>
      </c>
      <c r="AH562" s="100">
        <f>IF(ISNUMBER('General Info'!$B$42), (SamplingData[[#This Row],[Running (cumulative) sum]] * ('General Info'!$B$42 -'General Info'!$B$43 + 1)) + 'General Info'!$B$43 - 1, 0)</f>
        <v>12062.21003607389</v>
      </c>
      <c r="AI562" s="100" t="str">
        <f>IF(ISERROR(MATCH(SamplingData[[#This Row],[Batch by Type (p)]],SelectedPrecincts[Batch Name], 0)), "", INDEX(SelectedPrecincts[Draw], MATCH(SamplingData[[#This Row],[Batch by Type (p)]],SelectedPrecincts[Batch Name], 0)))</f>
        <v/>
      </c>
      <c r="AJ562" s="101">
        <f>IF(COUNTIF(SelectedPrecincts[Batch Name],SamplingData[[#This Row],[Batch by Type (p)]]) &lt;&gt; 0, COUNTIF(SelectedPrecincts[Batch Name],SamplingData[[#This Row],[Batch by Type (p)]]), 0)</f>
        <v>0</v>
      </c>
    </row>
    <row r="563" spans="1:36" ht="15" customHeight="1" x14ac:dyDescent="0.35">
      <c r="A563" s="98" t="s">
        <v>774</v>
      </c>
      <c r="B563" s="98">
        <v>6</v>
      </c>
      <c r="C563" s="98">
        <v>3</v>
      </c>
      <c r="D563" s="93"/>
      <c r="E563" s="93"/>
      <c r="F563" s="93"/>
      <c r="G563" s="97"/>
      <c r="H563" s="97"/>
      <c r="I563" s="93"/>
      <c r="J563" s="93"/>
      <c r="K563" s="93"/>
      <c r="L563" s="93"/>
      <c r="M563" s="93"/>
      <c r="N563" s="98">
        <v>0</v>
      </c>
      <c r="O563" s="98">
        <v>0</v>
      </c>
      <c r="P563" s="99">
        <f>SUM(SamplingData[[#This Row],[Winning Candidate]:[Under Votes]])</f>
        <v>9</v>
      </c>
      <c r="Q563"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563" s="100">
        <f>IF(AND(SamplingData[[#This Row],[Total]]&lt;&gt; 0, NOT(ISBLANK(SamplingData[[#This Row],[Candidate 3]]))),(SamplingData[[#This Row],[Total]]+SamplingData[[#This Row],[Winning Candidate]]-SamplingData[[#This Row],[Candidate 3]])/(SamplingData[[#Totals],[Winning Candidate]]-SamplingData[[#Totals],[Candidate 3]]), 0)</f>
        <v>0</v>
      </c>
      <c r="S563" s="100">
        <f>IF(AND(SamplingData[[#This Row],[Total]]&lt;&gt; 0, NOT(ISBLANK(SamplingData[[#This Row],[Candidate 4]]))),(SamplingData[[#This Row],[Total]]+SamplingData[[#This Row],[Winning Candidate]]-SamplingData[[#This Row],[Candidate 4]])/(SamplingData[[#Totals],[Winning Candidate]]-SamplingData[[#Totals],[Candidate 4]]), 0)</f>
        <v>0</v>
      </c>
      <c r="T563" s="100">
        <f>IF(AND(SamplingData[[#This Row],[Total]]&lt;&gt; 0, NOT(ISBLANK(SamplingData[[#This Row],[Candidate 5]]))),(SamplingData[[#This Row],[Total]]+SamplingData[[#This Row],[Winning Candidate]]-SamplingData[[#This Row],[Candidate 5]])/(SamplingData[[#Totals],[Winning Candidate]]-SamplingData[[#Totals],[Candidate 5]]), 0)</f>
        <v>0</v>
      </c>
      <c r="U563" s="100">
        <f>IF(AND(SamplingData[[#This Row],[Total]]&lt;&gt; 0, NOT(ISBLANK(SamplingData[[#This Row],[Candidate 6]]))),(SamplingData[[#This Row],[Total]]+SamplingData[[#This Row],[Losing Candidate]]-SamplingData[[#This Row],[Candidate 6]])/(SamplingData[[#Totals],[Winning Candidate]]-SamplingData[[#Totals],[Candidate 6]]), 0)</f>
        <v>0</v>
      </c>
      <c r="V563" s="100">
        <f>IF(AND(SamplingData[[#This Row],[Total]]&lt;&gt; 0, NOT(ISBLANK(SamplingData[[#This Row],[Candidate 7]]))),(SamplingData[[#This Row],[Total]]+SamplingData[[#This Row],[Winning Candidate]]-SamplingData[[#This Row],[Candidate 7]])/(SamplingData[[#Totals],[Winning Candidate]]-SamplingData[[#Totals],[Candidate 7]]), 0)</f>
        <v>0</v>
      </c>
      <c r="W563" s="100">
        <f>IF(AND(SamplingData[[#This Row],[Total]]&lt;&gt; 0, NOT(ISBLANK(SamplingData[[#This Row],[Candidate 8]]))),(SamplingData[[#This Row],[Total]]+SamplingData[[#This Row],[Winning Candidate]]-SamplingData[[#This Row],[Candidate 8]])/(SamplingData[[#Totals],[Winning Candidate]]-SamplingData[[#Totals],[Candidate 8]]), 0)</f>
        <v>0</v>
      </c>
      <c r="X5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00">
        <f>MAX(SamplingData[[#This Row],[Error Bound (up) - Max. possible relative overstatement - Losing Candidate]:[Error Bound (up) - Max. possible relative overstatement - Candidate 12]])</f>
        <v>3.7691993592361088E-4</v>
      </c>
      <c r="AC563" s="100">
        <f>IF(SamplingData[[#This Row],[Max Error Bound (up)]] = 0,0,SamplingData[[#This Row],[Max Error Bound (up)]]/SamplingData[[#Totals],[Max Error Bound (up)]])</f>
        <v>1.6152479405588763E-4</v>
      </c>
      <c r="AD563" s="104">
        <f>SUM($AC$5:AC563)</f>
        <v>0.12079362515479479</v>
      </c>
      <c r="AE563" s="100" t="str" cm="1">
        <f t="array" ref="AE563">IF(SamplingData[[#This Row],[up/U Selection Probability]] = 0, "Zero", TEXT(SamplingData[[#This Row],[Lower Range]], REPT("0",LEN('General Info'!$B$42))) &amp; " - " &amp; TEXT(SamplingData[[#This Row],[Upper Range]], REPT("0",LEN('General Info'!$B$42))))</f>
        <v>12063 - 12078</v>
      </c>
      <c r="AF563" s="100">
        <f>SamplingData[[#This Row],[Upper Range]]-SamplingData[[#This Row],[Span]]</f>
        <v>12063.21003607389</v>
      </c>
      <c r="AG563" s="100">
        <f>IF(ISNUMBER('General Info'!$B$42), ((SamplingData[[#This Row],[up/U Selection Probability]]) * 'General Info'!$B$44) - 1, 0)</f>
        <v>15.152479405588764</v>
      </c>
      <c r="AH563" s="100">
        <f>IF(ISNUMBER('General Info'!$B$42), (SamplingData[[#This Row],[Running (cumulative) sum]] * ('General Info'!$B$42 -'General Info'!$B$43 + 1)) + 'General Info'!$B$43 - 1, 0)</f>
        <v>12078.362515479479</v>
      </c>
      <c r="AI563" s="100" t="str">
        <f>IF(ISERROR(MATCH(SamplingData[[#This Row],[Batch by Type (p)]],SelectedPrecincts[Batch Name], 0)), "", INDEX(SelectedPrecincts[Draw], MATCH(SamplingData[[#This Row],[Batch by Type (p)]],SelectedPrecincts[Batch Name], 0)))</f>
        <v/>
      </c>
      <c r="AJ563" s="101">
        <f>IF(COUNTIF(SelectedPrecincts[Batch Name],SamplingData[[#This Row],[Batch by Type (p)]]) &lt;&gt; 0, COUNTIF(SelectedPrecincts[Batch Name],SamplingData[[#This Row],[Batch by Type (p)]]), 0)</f>
        <v>0</v>
      </c>
    </row>
    <row r="564" spans="1:36" ht="15" customHeight="1" x14ac:dyDescent="0.35">
      <c r="A564" s="98" t="s">
        <v>775</v>
      </c>
      <c r="B564" s="98">
        <v>14</v>
      </c>
      <c r="C564" s="98">
        <v>2</v>
      </c>
      <c r="D564" s="93"/>
      <c r="E564" s="93"/>
      <c r="F564" s="93"/>
      <c r="G564" s="97"/>
      <c r="H564" s="97"/>
      <c r="I564" s="93"/>
      <c r="J564" s="93"/>
      <c r="K564" s="93"/>
      <c r="L564" s="93"/>
      <c r="M564" s="93"/>
      <c r="N564" s="98">
        <v>0</v>
      </c>
      <c r="O564" s="98">
        <v>0</v>
      </c>
      <c r="P564" s="99">
        <f>SUM(SamplingData[[#This Row],[Winning Candidate]:[Under Votes]])</f>
        <v>16</v>
      </c>
      <c r="Q564"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564" s="100">
        <f>IF(AND(SamplingData[[#This Row],[Total]]&lt;&gt; 0, NOT(ISBLANK(SamplingData[[#This Row],[Candidate 3]]))),(SamplingData[[#This Row],[Total]]+SamplingData[[#This Row],[Winning Candidate]]-SamplingData[[#This Row],[Candidate 3]])/(SamplingData[[#Totals],[Winning Candidate]]-SamplingData[[#Totals],[Candidate 3]]), 0)</f>
        <v>0</v>
      </c>
      <c r="S564" s="100">
        <f>IF(AND(SamplingData[[#This Row],[Total]]&lt;&gt; 0, NOT(ISBLANK(SamplingData[[#This Row],[Candidate 4]]))),(SamplingData[[#This Row],[Total]]+SamplingData[[#This Row],[Winning Candidate]]-SamplingData[[#This Row],[Candidate 4]])/(SamplingData[[#Totals],[Winning Candidate]]-SamplingData[[#Totals],[Candidate 4]]), 0)</f>
        <v>0</v>
      </c>
      <c r="T564" s="100">
        <f>IF(AND(SamplingData[[#This Row],[Total]]&lt;&gt; 0, NOT(ISBLANK(SamplingData[[#This Row],[Candidate 5]]))),(SamplingData[[#This Row],[Total]]+SamplingData[[#This Row],[Winning Candidate]]-SamplingData[[#This Row],[Candidate 5]])/(SamplingData[[#Totals],[Winning Candidate]]-SamplingData[[#Totals],[Candidate 5]]), 0)</f>
        <v>0</v>
      </c>
      <c r="U564" s="100">
        <f>IF(AND(SamplingData[[#This Row],[Total]]&lt;&gt; 0, NOT(ISBLANK(SamplingData[[#This Row],[Candidate 6]]))),(SamplingData[[#This Row],[Total]]+SamplingData[[#This Row],[Losing Candidate]]-SamplingData[[#This Row],[Candidate 6]])/(SamplingData[[#Totals],[Winning Candidate]]-SamplingData[[#Totals],[Candidate 6]]), 0)</f>
        <v>0</v>
      </c>
      <c r="V564" s="100">
        <f>IF(AND(SamplingData[[#This Row],[Total]]&lt;&gt; 0, NOT(ISBLANK(SamplingData[[#This Row],[Candidate 7]]))),(SamplingData[[#This Row],[Total]]+SamplingData[[#This Row],[Winning Candidate]]-SamplingData[[#This Row],[Candidate 7]])/(SamplingData[[#Totals],[Winning Candidate]]-SamplingData[[#Totals],[Candidate 7]]), 0)</f>
        <v>0</v>
      </c>
      <c r="W564" s="100">
        <f>IF(AND(SamplingData[[#This Row],[Total]]&lt;&gt; 0, NOT(ISBLANK(SamplingData[[#This Row],[Candidate 8]]))),(SamplingData[[#This Row],[Total]]+SamplingData[[#This Row],[Winning Candidate]]-SamplingData[[#This Row],[Candidate 8]])/(SamplingData[[#Totals],[Winning Candidate]]-SamplingData[[#Totals],[Candidate 8]]), 0)</f>
        <v>0</v>
      </c>
      <c r="X5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00">
        <f>MAX(SamplingData[[#This Row],[Error Bound (up) - Max. possible relative overstatement - Losing Candidate]:[Error Bound (up) - Max. possible relative overstatement - Candidate 12]])</f>
        <v>8.7947985048842541E-4</v>
      </c>
      <c r="AC564" s="100">
        <f>IF(SamplingData[[#This Row],[Max Error Bound (up)]] = 0,0,SamplingData[[#This Row],[Max Error Bound (up)]]/SamplingData[[#Totals],[Max Error Bound (up)]])</f>
        <v>3.7689118613040446E-4</v>
      </c>
      <c r="AD564" s="104">
        <f>SUM($AC$5:AC564)</f>
        <v>0.1211705163409252</v>
      </c>
      <c r="AE564" s="100" t="str" cm="1">
        <f t="array" ref="AE564">IF(SamplingData[[#This Row],[up/U Selection Probability]] = 0, "Zero", TEXT(SamplingData[[#This Row],[Lower Range]], REPT("0",LEN('General Info'!$B$42))) &amp; " - " &amp; TEXT(SamplingData[[#This Row],[Upper Range]], REPT("0",LEN('General Info'!$B$42))))</f>
        <v>12079 - 12116</v>
      </c>
      <c r="AF564" s="100">
        <f>SamplingData[[#This Row],[Upper Range]]-SamplingData[[#This Row],[Span]]</f>
        <v>12079.362515479481</v>
      </c>
      <c r="AG564" s="100">
        <f>IF(ISNUMBER('General Info'!$B$42), ((SamplingData[[#This Row],[up/U Selection Probability]]) * 'General Info'!$B$44) - 1, 0)</f>
        <v>36.689118613040449</v>
      </c>
      <c r="AH564" s="100">
        <f>IF(ISNUMBER('General Info'!$B$42), (SamplingData[[#This Row],[Running (cumulative) sum]] * ('General Info'!$B$42 -'General Info'!$B$43 + 1)) + 'General Info'!$B$43 - 1, 0)</f>
        <v>12116.051634092521</v>
      </c>
      <c r="AI564" s="100" t="str">
        <f>IF(ISERROR(MATCH(SamplingData[[#This Row],[Batch by Type (p)]],SelectedPrecincts[Batch Name], 0)), "", INDEX(SelectedPrecincts[Draw], MATCH(SamplingData[[#This Row],[Batch by Type (p)]],SelectedPrecincts[Batch Name], 0)))</f>
        <v/>
      </c>
      <c r="AJ564" s="101">
        <f>IF(COUNTIF(SelectedPrecincts[Batch Name],SamplingData[[#This Row],[Batch by Type (p)]]) &lt;&gt; 0, COUNTIF(SelectedPrecincts[Batch Name],SamplingData[[#This Row],[Batch by Type (p)]]), 0)</f>
        <v>0</v>
      </c>
    </row>
    <row r="565" spans="1:36" ht="15" customHeight="1" x14ac:dyDescent="0.35">
      <c r="A565" s="98" t="s">
        <v>776</v>
      </c>
      <c r="B565" s="98">
        <v>7</v>
      </c>
      <c r="C565" s="98">
        <v>0</v>
      </c>
      <c r="D565" s="93"/>
      <c r="E565" s="93"/>
      <c r="F565" s="93"/>
      <c r="G565" s="97"/>
      <c r="H565" s="97"/>
      <c r="I565" s="93"/>
      <c r="J565" s="93"/>
      <c r="K565" s="93"/>
      <c r="L565" s="93"/>
      <c r="M565" s="93"/>
      <c r="N565" s="98">
        <v>0</v>
      </c>
      <c r="O565" s="98">
        <v>0</v>
      </c>
      <c r="P565" s="99">
        <f>SUM(SamplingData[[#This Row],[Winning Candidate]:[Under Votes]])</f>
        <v>7</v>
      </c>
      <c r="Q565"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565" s="100">
        <f>IF(AND(SamplingData[[#This Row],[Total]]&lt;&gt; 0, NOT(ISBLANK(SamplingData[[#This Row],[Candidate 3]]))),(SamplingData[[#This Row],[Total]]+SamplingData[[#This Row],[Winning Candidate]]-SamplingData[[#This Row],[Candidate 3]])/(SamplingData[[#Totals],[Winning Candidate]]-SamplingData[[#Totals],[Candidate 3]]), 0)</f>
        <v>0</v>
      </c>
      <c r="S565" s="100">
        <f>IF(AND(SamplingData[[#This Row],[Total]]&lt;&gt; 0, NOT(ISBLANK(SamplingData[[#This Row],[Candidate 4]]))),(SamplingData[[#This Row],[Total]]+SamplingData[[#This Row],[Winning Candidate]]-SamplingData[[#This Row],[Candidate 4]])/(SamplingData[[#Totals],[Winning Candidate]]-SamplingData[[#Totals],[Candidate 4]]), 0)</f>
        <v>0</v>
      </c>
      <c r="T565" s="100">
        <f>IF(AND(SamplingData[[#This Row],[Total]]&lt;&gt; 0, NOT(ISBLANK(SamplingData[[#This Row],[Candidate 5]]))),(SamplingData[[#This Row],[Total]]+SamplingData[[#This Row],[Winning Candidate]]-SamplingData[[#This Row],[Candidate 5]])/(SamplingData[[#Totals],[Winning Candidate]]-SamplingData[[#Totals],[Candidate 5]]), 0)</f>
        <v>0</v>
      </c>
      <c r="U565" s="100">
        <f>IF(AND(SamplingData[[#This Row],[Total]]&lt;&gt; 0, NOT(ISBLANK(SamplingData[[#This Row],[Candidate 6]]))),(SamplingData[[#This Row],[Total]]+SamplingData[[#This Row],[Losing Candidate]]-SamplingData[[#This Row],[Candidate 6]])/(SamplingData[[#Totals],[Winning Candidate]]-SamplingData[[#Totals],[Candidate 6]]), 0)</f>
        <v>0</v>
      </c>
      <c r="V565" s="100">
        <f>IF(AND(SamplingData[[#This Row],[Total]]&lt;&gt; 0, NOT(ISBLANK(SamplingData[[#This Row],[Candidate 7]]))),(SamplingData[[#This Row],[Total]]+SamplingData[[#This Row],[Winning Candidate]]-SamplingData[[#This Row],[Candidate 7]])/(SamplingData[[#Totals],[Winning Candidate]]-SamplingData[[#Totals],[Candidate 7]]), 0)</f>
        <v>0</v>
      </c>
      <c r="W565" s="100">
        <f>IF(AND(SamplingData[[#This Row],[Total]]&lt;&gt; 0, NOT(ISBLANK(SamplingData[[#This Row],[Candidate 8]]))),(SamplingData[[#This Row],[Total]]+SamplingData[[#This Row],[Winning Candidate]]-SamplingData[[#This Row],[Candidate 8]])/(SamplingData[[#Totals],[Winning Candidate]]-SamplingData[[#Totals],[Candidate 8]]), 0)</f>
        <v>0</v>
      </c>
      <c r="X5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00">
        <f>MAX(SamplingData[[#This Row],[Error Bound (up) - Max. possible relative overstatement - Losing Candidate]:[Error Bound (up) - Max. possible relative overstatement - Candidate 12]])</f>
        <v>4.3973992524421271E-4</v>
      </c>
      <c r="AC565" s="100">
        <f>IF(SamplingData[[#This Row],[Max Error Bound (up)]] = 0,0,SamplingData[[#This Row],[Max Error Bound (up)]]/SamplingData[[#Totals],[Max Error Bound (up)]])</f>
        <v>1.8844559306520223E-4</v>
      </c>
      <c r="AD565" s="104">
        <f>SUM($AC$5:AC565)</f>
        <v>0.1213589619339904</v>
      </c>
      <c r="AE565" s="100" t="str" cm="1">
        <f t="array" ref="AE565">IF(SamplingData[[#This Row],[up/U Selection Probability]] = 0, "Zero", TEXT(SamplingData[[#This Row],[Lower Range]], REPT("0",LEN('General Info'!$B$42))) &amp; " - " &amp; TEXT(SamplingData[[#This Row],[Upper Range]], REPT("0",LEN('General Info'!$B$42))))</f>
        <v>12117 - 12135</v>
      </c>
      <c r="AF565" s="100">
        <f>SamplingData[[#This Row],[Upper Range]]-SamplingData[[#This Row],[Span]]</f>
        <v>12117.051634092519</v>
      </c>
      <c r="AG565" s="100">
        <f>IF(ISNUMBER('General Info'!$B$42), ((SamplingData[[#This Row],[up/U Selection Probability]]) * 'General Info'!$B$44) - 1, 0)</f>
        <v>17.844559306520225</v>
      </c>
      <c r="AH565" s="100">
        <f>IF(ISNUMBER('General Info'!$B$42), (SamplingData[[#This Row],[Running (cumulative) sum]] * ('General Info'!$B$42 -'General Info'!$B$43 + 1)) + 'General Info'!$B$43 - 1, 0)</f>
        <v>12134.896193399039</v>
      </c>
      <c r="AI565" s="100" t="str">
        <f>IF(ISERROR(MATCH(SamplingData[[#This Row],[Batch by Type (p)]],SelectedPrecincts[Batch Name], 0)), "", INDEX(SelectedPrecincts[Draw], MATCH(SamplingData[[#This Row],[Batch by Type (p)]],SelectedPrecincts[Batch Name], 0)))</f>
        <v/>
      </c>
      <c r="AJ565" s="101">
        <f>IF(COUNTIF(SelectedPrecincts[Batch Name],SamplingData[[#This Row],[Batch by Type (p)]]) &lt;&gt; 0, COUNTIF(SelectedPrecincts[Batch Name],SamplingData[[#This Row],[Batch by Type (p)]]), 0)</f>
        <v>0</v>
      </c>
    </row>
    <row r="566" spans="1:36" ht="15" customHeight="1" x14ac:dyDescent="0.35">
      <c r="A566" s="98" t="s">
        <v>777</v>
      </c>
      <c r="B566" s="98">
        <v>0</v>
      </c>
      <c r="C566" s="98">
        <v>0</v>
      </c>
      <c r="D566" s="93"/>
      <c r="E566" s="93"/>
      <c r="F566" s="93"/>
      <c r="G566" s="97"/>
      <c r="H566" s="97"/>
      <c r="I566" s="93"/>
      <c r="J566" s="93"/>
      <c r="K566" s="93"/>
      <c r="L566" s="93"/>
      <c r="M566" s="93"/>
      <c r="N566" s="98">
        <v>0</v>
      </c>
      <c r="O566" s="98">
        <v>0</v>
      </c>
      <c r="P566" s="99">
        <f>SUM(SamplingData[[#This Row],[Winning Candidate]:[Under Votes]])</f>
        <v>0</v>
      </c>
      <c r="Q566" s="100">
        <f>IF(AND(SamplingData[[#This Row],[Total]]&lt;&gt; 0, NOT(ISBLANK(SamplingData[[#This Row],[Losing Candidate]]))),(SamplingData[[#This Row],[Total]]+SamplingData[[#This Row],[Winning Candidate]]-SamplingData[[#This Row],[Losing Candidate]])/(SamplingData[[#Totals],[Winning Candidate]]-SamplingData[[#Totals],[Losing Candidate]]), 0)</f>
        <v>0</v>
      </c>
      <c r="R566" s="100">
        <f>IF(AND(SamplingData[[#This Row],[Total]]&lt;&gt; 0, NOT(ISBLANK(SamplingData[[#This Row],[Candidate 3]]))),(SamplingData[[#This Row],[Total]]+SamplingData[[#This Row],[Winning Candidate]]-SamplingData[[#This Row],[Candidate 3]])/(SamplingData[[#Totals],[Winning Candidate]]-SamplingData[[#Totals],[Candidate 3]]), 0)</f>
        <v>0</v>
      </c>
      <c r="S566" s="100">
        <f>IF(AND(SamplingData[[#This Row],[Total]]&lt;&gt; 0, NOT(ISBLANK(SamplingData[[#This Row],[Candidate 4]]))),(SamplingData[[#This Row],[Total]]+SamplingData[[#This Row],[Winning Candidate]]-SamplingData[[#This Row],[Candidate 4]])/(SamplingData[[#Totals],[Winning Candidate]]-SamplingData[[#Totals],[Candidate 4]]), 0)</f>
        <v>0</v>
      </c>
      <c r="T566" s="100">
        <f>IF(AND(SamplingData[[#This Row],[Total]]&lt;&gt; 0, NOT(ISBLANK(SamplingData[[#This Row],[Candidate 5]]))),(SamplingData[[#This Row],[Total]]+SamplingData[[#This Row],[Winning Candidate]]-SamplingData[[#This Row],[Candidate 5]])/(SamplingData[[#Totals],[Winning Candidate]]-SamplingData[[#Totals],[Candidate 5]]), 0)</f>
        <v>0</v>
      </c>
      <c r="U566" s="100">
        <f>IF(AND(SamplingData[[#This Row],[Total]]&lt;&gt; 0, NOT(ISBLANK(SamplingData[[#This Row],[Candidate 6]]))),(SamplingData[[#This Row],[Total]]+SamplingData[[#This Row],[Losing Candidate]]-SamplingData[[#This Row],[Candidate 6]])/(SamplingData[[#Totals],[Winning Candidate]]-SamplingData[[#Totals],[Candidate 6]]), 0)</f>
        <v>0</v>
      </c>
      <c r="V566" s="100">
        <f>IF(AND(SamplingData[[#This Row],[Total]]&lt;&gt; 0, NOT(ISBLANK(SamplingData[[#This Row],[Candidate 7]]))),(SamplingData[[#This Row],[Total]]+SamplingData[[#This Row],[Winning Candidate]]-SamplingData[[#This Row],[Candidate 7]])/(SamplingData[[#Totals],[Winning Candidate]]-SamplingData[[#Totals],[Candidate 7]]), 0)</f>
        <v>0</v>
      </c>
      <c r="W566" s="100">
        <f>IF(AND(SamplingData[[#This Row],[Total]]&lt;&gt; 0, NOT(ISBLANK(SamplingData[[#This Row],[Candidate 8]]))),(SamplingData[[#This Row],[Total]]+SamplingData[[#This Row],[Winning Candidate]]-SamplingData[[#This Row],[Candidate 8]])/(SamplingData[[#Totals],[Winning Candidate]]-SamplingData[[#Totals],[Candidate 8]]), 0)</f>
        <v>0</v>
      </c>
      <c r="X5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00">
        <f>MAX(SamplingData[[#This Row],[Error Bound (up) - Max. possible relative overstatement - Losing Candidate]:[Error Bound (up) - Max. possible relative overstatement - Candidate 12]])</f>
        <v>0</v>
      </c>
      <c r="AC566" s="100">
        <f>IF(SamplingData[[#This Row],[Max Error Bound (up)]] = 0,0,SamplingData[[#This Row],[Max Error Bound (up)]]/SamplingData[[#Totals],[Max Error Bound (up)]])</f>
        <v>0</v>
      </c>
      <c r="AD566" s="104">
        <f>SUM($AC$5:AC566)</f>
        <v>0.1213589619339904</v>
      </c>
      <c r="AE566" s="100" t="str" cm="1">
        <f t="array" ref="AE566">IF(SamplingData[[#This Row],[up/U Selection Probability]] = 0, "Zero", TEXT(SamplingData[[#This Row],[Lower Range]], REPT("0",LEN('General Info'!$B$42))) &amp; " - " &amp; TEXT(SamplingData[[#This Row],[Upper Range]], REPT("0",LEN('General Info'!$B$42))))</f>
        <v>Zero</v>
      </c>
      <c r="AF566" s="100">
        <f>SamplingData[[#This Row],[Upper Range]]-SamplingData[[#This Row],[Span]]</f>
        <v>12135.896193399039</v>
      </c>
      <c r="AG566" s="100">
        <f>IF(ISNUMBER('General Info'!$B$42), ((SamplingData[[#This Row],[up/U Selection Probability]]) * 'General Info'!$B$44) - 1, 0)</f>
        <v>-1</v>
      </c>
      <c r="AH566" s="100">
        <f>IF(ISNUMBER('General Info'!$B$42), (SamplingData[[#This Row],[Running (cumulative) sum]] * ('General Info'!$B$42 -'General Info'!$B$43 + 1)) + 'General Info'!$B$43 - 1, 0)</f>
        <v>12134.896193399039</v>
      </c>
      <c r="AI566" s="100" t="str">
        <f>IF(ISERROR(MATCH(SamplingData[[#This Row],[Batch by Type (p)]],SelectedPrecincts[Batch Name], 0)), "", INDEX(SelectedPrecincts[Draw], MATCH(SamplingData[[#This Row],[Batch by Type (p)]],SelectedPrecincts[Batch Name], 0)))</f>
        <v/>
      </c>
      <c r="AJ566" s="101">
        <f>IF(COUNTIF(SelectedPrecincts[Batch Name],SamplingData[[#This Row],[Batch by Type (p)]]) &lt;&gt; 0, COUNTIF(SelectedPrecincts[Batch Name],SamplingData[[#This Row],[Batch by Type (p)]]), 0)</f>
        <v>0</v>
      </c>
    </row>
    <row r="567" spans="1:36" ht="15" customHeight="1" x14ac:dyDescent="0.35">
      <c r="A567" s="98" t="s">
        <v>778</v>
      </c>
      <c r="B567" s="98">
        <v>2</v>
      </c>
      <c r="C567" s="98">
        <v>0</v>
      </c>
      <c r="D567" s="93"/>
      <c r="E567" s="93"/>
      <c r="F567" s="93"/>
      <c r="G567" s="97"/>
      <c r="H567" s="97"/>
      <c r="I567" s="93"/>
      <c r="J567" s="93"/>
      <c r="K567" s="93"/>
      <c r="L567" s="93"/>
      <c r="M567" s="93"/>
      <c r="N567" s="98">
        <v>0</v>
      </c>
      <c r="O567" s="98">
        <v>0</v>
      </c>
      <c r="P567" s="99">
        <f>SUM(SamplingData[[#This Row],[Winning Candidate]:[Under Votes]])</f>
        <v>2</v>
      </c>
      <c r="Q567"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567" s="100">
        <f>IF(AND(SamplingData[[#This Row],[Total]]&lt;&gt; 0, NOT(ISBLANK(SamplingData[[#This Row],[Candidate 3]]))),(SamplingData[[#This Row],[Total]]+SamplingData[[#This Row],[Winning Candidate]]-SamplingData[[#This Row],[Candidate 3]])/(SamplingData[[#Totals],[Winning Candidate]]-SamplingData[[#Totals],[Candidate 3]]), 0)</f>
        <v>0</v>
      </c>
      <c r="S567" s="100">
        <f>IF(AND(SamplingData[[#This Row],[Total]]&lt;&gt; 0, NOT(ISBLANK(SamplingData[[#This Row],[Candidate 4]]))),(SamplingData[[#This Row],[Total]]+SamplingData[[#This Row],[Winning Candidate]]-SamplingData[[#This Row],[Candidate 4]])/(SamplingData[[#Totals],[Winning Candidate]]-SamplingData[[#Totals],[Candidate 4]]), 0)</f>
        <v>0</v>
      </c>
      <c r="T567" s="100">
        <f>IF(AND(SamplingData[[#This Row],[Total]]&lt;&gt; 0, NOT(ISBLANK(SamplingData[[#This Row],[Candidate 5]]))),(SamplingData[[#This Row],[Total]]+SamplingData[[#This Row],[Winning Candidate]]-SamplingData[[#This Row],[Candidate 5]])/(SamplingData[[#Totals],[Winning Candidate]]-SamplingData[[#Totals],[Candidate 5]]), 0)</f>
        <v>0</v>
      </c>
      <c r="U567" s="100">
        <f>IF(AND(SamplingData[[#This Row],[Total]]&lt;&gt; 0, NOT(ISBLANK(SamplingData[[#This Row],[Candidate 6]]))),(SamplingData[[#This Row],[Total]]+SamplingData[[#This Row],[Losing Candidate]]-SamplingData[[#This Row],[Candidate 6]])/(SamplingData[[#Totals],[Winning Candidate]]-SamplingData[[#Totals],[Candidate 6]]), 0)</f>
        <v>0</v>
      </c>
      <c r="V567" s="100">
        <f>IF(AND(SamplingData[[#This Row],[Total]]&lt;&gt; 0, NOT(ISBLANK(SamplingData[[#This Row],[Candidate 7]]))),(SamplingData[[#This Row],[Total]]+SamplingData[[#This Row],[Winning Candidate]]-SamplingData[[#This Row],[Candidate 7]])/(SamplingData[[#Totals],[Winning Candidate]]-SamplingData[[#Totals],[Candidate 7]]), 0)</f>
        <v>0</v>
      </c>
      <c r="W567" s="100">
        <f>IF(AND(SamplingData[[#This Row],[Total]]&lt;&gt; 0, NOT(ISBLANK(SamplingData[[#This Row],[Candidate 8]]))),(SamplingData[[#This Row],[Total]]+SamplingData[[#This Row],[Winning Candidate]]-SamplingData[[#This Row],[Candidate 8]])/(SamplingData[[#Totals],[Winning Candidate]]-SamplingData[[#Totals],[Candidate 8]]), 0)</f>
        <v>0</v>
      </c>
      <c r="X5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00">
        <f>MAX(SamplingData[[#This Row],[Error Bound (up) - Max. possible relative overstatement - Losing Candidate]:[Error Bound (up) - Max. possible relative overstatement - Candidate 12]])</f>
        <v>1.2563997864120362E-4</v>
      </c>
      <c r="AC567" s="100">
        <f>IF(SamplingData[[#This Row],[Max Error Bound (up)]] = 0,0,SamplingData[[#This Row],[Max Error Bound (up)]]/SamplingData[[#Totals],[Max Error Bound (up)]])</f>
        <v>5.3841598018629206E-5</v>
      </c>
      <c r="AD567" s="104">
        <f>SUM($AC$5:AC567)</f>
        <v>0.12141280353200903</v>
      </c>
      <c r="AE567" s="100" t="str" cm="1">
        <f t="array" ref="AE567">IF(SamplingData[[#This Row],[up/U Selection Probability]] = 0, "Zero", TEXT(SamplingData[[#This Row],[Lower Range]], REPT("0",LEN('General Info'!$B$42))) &amp; " - " &amp; TEXT(SamplingData[[#This Row],[Upper Range]], REPT("0",LEN('General Info'!$B$42))))</f>
        <v>12136 - 12140</v>
      </c>
      <c r="AF567" s="100">
        <f>SamplingData[[#This Row],[Upper Range]]-SamplingData[[#This Row],[Span]]</f>
        <v>12135.896193399041</v>
      </c>
      <c r="AG567" s="100">
        <f>IF(ISNUMBER('General Info'!$B$42), ((SamplingData[[#This Row],[up/U Selection Probability]]) * 'General Info'!$B$44) - 1, 0)</f>
        <v>4.3841598018629204</v>
      </c>
      <c r="AH567" s="100">
        <f>IF(ISNUMBER('General Info'!$B$42), (SamplingData[[#This Row],[Running (cumulative) sum]] * ('General Info'!$B$42 -'General Info'!$B$43 + 1)) + 'General Info'!$B$43 - 1, 0)</f>
        <v>12140.280353200904</v>
      </c>
      <c r="AI567" s="100" t="str">
        <f>IF(ISERROR(MATCH(SamplingData[[#This Row],[Batch by Type (p)]],SelectedPrecincts[Batch Name], 0)), "", INDEX(SelectedPrecincts[Draw], MATCH(SamplingData[[#This Row],[Batch by Type (p)]],SelectedPrecincts[Batch Name], 0)))</f>
        <v/>
      </c>
      <c r="AJ567" s="101">
        <f>IF(COUNTIF(SelectedPrecincts[Batch Name],SamplingData[[#This Row],[Batch by Type (p)]]) &lt;&gt; 0, COUNTIF(SelectedPrecincts[Batch Name],SamplingData[[#This Row],[Batch by Type (p)]]), 0)</f>
        <v>0</v>
      </c>
    </row>
    <row r="568" spans="1:36" ht="15" customHeight="1" x14ac:dyDescent="0.35">
      <c r="A568" s="98" t="s">
        <v>779</v>
      </c>
      <c r="B568" s="98">
        <v>43</v>
      </c>
      <c r="C568" s="98">
        <v>1</v>
      </c>
      <c r="D568" s="93"/>
      <c r="E568" s="93"/>
      <c r="F568" s="93"/>
      <c r="G568" s="97"/>
      <c r="H568" s="97"/>
      <c r="I568" s="93"/>
      <c r="J568" s="93"/>
      <c r="K568" s="93"/>
      <c r="L568" s="93"/>
      <c r="M568" s="93"/>
      <c r="N568" s="98">
        <v>0</v>
      </c>
      <c r="O568" s="98">
        <v>0</v>
      </c>
      <c r="P568" s="99">
        <f>SUM(SamplingData[[#This Row],[Winning Candidate]:[Under Votes]])</f>
        <v>44</v>
      </c>
      <c r="Q568" s="100">
        <f>IF(AND(SamplingData[[#This Row],[Total]]&lt;&gt; 0, NOT(ISBLANK(SamplingData[[#This Row],[Losing Candidate]]))),(SamplingData[[#This Row],[Total]]+SamplingData[[#This Row],[Winning Candidate]]-SamplingData[[#This Row],[Losing Candidate]])/(SamplingData[[#Totals],[Winning Candidate]]-SamplingData[[#Totals],[Losing Candidate]]), 0)</f>
        <v>2.701259540785878E-3</v>
      </c>
      <c r="R568" s="100">
        <f>IF(AND(SamplingData[[#This Row],[Total]]&lt;&gt; 0, NOT(ISBLANK(SamplingData[[#This Row],[Candidate 3]]))),(SamplingData[[#This Row],[Total]]+SamplingData[[#This Row],[Winning Candidate]]-SamplingData[[#This Row],[Candidate 3]])/(SamplingData[[#Totals],[Winning Candidate]]-SamplingData[[#Totals],[Candidate 3]]), 0)</f>
        <v>0</v>
      </c>
      <c r="S568" s="100">
        <f>IF(AND(SamplingData[[#This Row],[Total]]&lt;&gt; 0, NOT(ISBLANK(SamplingData[[#This Row],[Candidate 4]]))),(SamplingData[[#This Row],[Total]]+SamplingData[[#This Row],[Winning Candidate]]-SamplingData[[#This Row],[Candidate 4]])/(SamplingData[[#Totals],[Winning Candidate]]-SamplingData[[#Totals],[Candidate 4]]), 0)</f>
        <v>0</v>
      </c>
      <c r="T568" s="100">
        <f>IF(AND(SamplingData[[#This Row],[Total]]&lt;&gt; 0, NOT(ISBLANK(SamplingData[[#This Row],[Candidate 5]]))),(SamplingData[[#This Row],[Total]]+SamplingData[[#This Row],[Winning Candidate]]-SamplingData[[#This Row],[Candidate 5]])/(SamplingData[[#Totals],[Winning Candidate]]-SamplingData[[#Totals],[Candidate 5]]), 0)</f>
        <v>0</v>
      </c>
      <c r="U568" s="100">
        <f>IF(AND(SamplingData[[#This Row],[Total]]&lt;&gt; 0, NOT(ISBLANK(SamplingData[[#This Row],[Candidate 6]]))),(SamplingData[[#This Row],[Total]]+SamplingData[[#This Row],[Losing Candidate]]-SamplingData[[#This Row],[Candidate 6]])/(SamplingData[[#Totals],[Winning Candidate]]-SamplingData[[#Totals],[Candidate 6]]), 0)</f>
        <v>0</v>
      </c>
      <c r="V568" s="100">
        <f>IF(AND(SamplingData[[#This Row],[Total]]&lt;&gt; 0, NOT(ISBLANK(SamplingData[[#This Row],[Candidate 7]]))),(SamplingData[[#This Row],[Total]]+SamplingData[[#This Row],[Winning Candidate]]-SamplingData[[#This Row],[Candidate 7]])/(SamplingData[[#Totals],[Winning Candidate]]-SamplingData[[#Totals],[Candidate 7]]), 0)</f>
        <v>0</v>
      </c>
      <c r="W568" s="100">
        <f>IF(AND(SamplingData[[#This Row],[Total]]&lt;&gt; 0, NOT(ISBLANK(SamplingData[[#This Row],[Candidate 8]]))),(SamplingData[[#This Row],[Total]]+SamplingData[[#This Row],[Winning Candidate]]-SamplingData[[#This Row],[Candidate 8]])/(SamplingData[[#Totals],[Winning Candidate]]-SamplingData[[#Totals],[Candidate 8]]), 0)</f>
        <v>0</v>
      </c>
      <c r="X5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00">
        <f>MAX(SamplingData[[#This Row],[Error Bound (up) - Max. possible relative overstatement - Losing Candidate]:[Error Bound (up) - Max. possible relative overstatement - Candidate 12]])</f>
        <v>2.701259540785878E-3</v>
      </c>
      <c r="AC568" s="100">
        <f>IF(SamplingData[[#This Row],[Max Error Bound (up)]] = 0,0,SamplingData[[#This Row],[Max Error Bound (up)]]/SamplingData[[#Totals],[Max Error Bound (up)]])</f>
        <v>1.1575943574005281E-3</v>
      </c>
      <c r="AD568" s="104">
        <f>SUM($AC$5:AC568)</f>
        <v>0.12257039788940956</v>
      </c>
      <c r="AE568" s="100" t="str" cm="1">
        <f t="array" ref="AE568">IF(SamplingData[[#This Row],[up/U Selection Probability]] = 0, "Zero", TEXT(SamplingData[[#This Row],[Lower Range]], REPT("0",LEN('General Info'!$B$42))) &amp; " - " &amp; TEXT(SamplingData[[#This Row],[Upper Range]], REPT("0",LEN('General Info'!$B$42))))</f>
        <v>12141 - 12256</v>
      </c>
      <c r="AF568" s="100">
        <f>SamplingData[[#This Row],[Upper Range]]-SamplingData[[#This Row],[Span]]</f>
        <v>12141.280353200904</v>
      </c>
      <c r="AG568" s="100">
        <f>IF(ISNUMBER('General Info'!$B$42), ((SamplingData[[#This Row],[up/U Selection Probability]]) * 'General Info'!$B$44) - 1, 0)</f>
        <v>114.75943574005281</v>
      </c>
      <c r="AH568" s="100">
        <f>IF(ISNUMBER('General Info'!$B$42), (SamplingData[[#This Row],[Running (cumulative) sum]] * ('General Info'!$B$42 -'General Info'!$B$43 + 1)) + 'General Info'!$B$43 - 1, 0)</f>
        <v>12256.039788940956</v>
      </c>
      <c r="AI568" s="100" t="str">
        <f>IF(ISERROR(MATCH(SamplingData[[#This Row],[Batch by Type (p)]],SelectedPrecincts[Batch Name], 0)), "", INDEX(SelectedPrecincts[Draw], MATCH(SamplingData[[#This Row],[Batch by Type (p)]],SelectedPrecincts[Batch Name], 0)))</f>
        <v/>
      </c>
      <c r="AJ568" s="101">
        <f>IF(COUNTIF(SelectedPrecincts[Batch Name],SamplingData[[#This Row],[Batch by Type (p)]]) &lt;&gt; 0, COUNTIF(SelectedPrecincts[Batch Name],SamplingData[[#This Row],[Batch by Type (p)]]), 0)</f>
        <v>0</v>
      </c>
    </row>
    <row r="569" spans="1:36" ht="15" customHeight="1" x14ac:dyDescent="0.35">
      <c r="A569" s="98" t="s">
        <v>780</v>
      </c>
      <c r="B569" s="98">
        <v>68</v>
      </c>
      <c r="C569" s="98">
        <v>12</v>
      </c>
      <c r="D569" s="93"/>
      <c r="E569" s="93"/>
      <c r="F569" s="93"/>
      <c r="G569" s="97"/>
      <c r="H569" s="97"/>
      <c r="I569" s="93"/>
      <c r="J569" s="93"/>
      <c r="K569" s="93"/>
      <c r="L569" s="93"/>
      <c r="M569" s="93"/>
      <c r="N569" s="98">
        <v>0</v>
      </c>
      <c r="O569" s="98">
        <v>0</v>
      </c>
      <c r="P569" s="99">
        <f>SUM(SamplingData[[#This Row],[Winning Candidate]:[Under Votes]])</f>
        <v>80</v>
      </c>
      <c r="Q569" s="100">
        <f>IF(AND(SamplingData[[#This Row],[Total]]&lt;&gt; 0, NOT(ISBLANK(SamplingData[[#This Row],[Losing Candidate]]))),(SamplingData[[#This Row],[Total]]+SamplingData[[#This Row],[Winning Candidate]]-SamplingData[[#This Row],[Losing Candidate]])/(SamplingData[[#Totals],[Winning Candidate]]-SamplingData[[#Totals],[Losing Candidate]]), 0)</f>
        <v>4.2717592738009237E-3</v>
      </c>
      <c r="R569" s="100">
        <f>IF(AND(SamplingData[[#This Row],[Total]]&lt;&gt; 0, NOT(ISBLANK(SamplingData[[#This Row],[Candidate 3]]))),(SamplingData[[#This Row],[Total]]+SamplingData[[#This Row],[Winning Candidate]]-SamplingData[[#This Row],[Candidate 3]])/(SamplingData[[#Totals],[Winning Candidate]]-SamplingData[[#Totals],[Candidate 3]]), 0)</f>
        <v>0</v>
      </c>
      <c r="S569" s="100">
        <f>IF(AND(SamplingData[[#This Row],[Total]]&lt;&gt; 0, NOT(ISBLANK(SamplingData[[#This Row],[Candidate 4]]))),(SamplingData[[#This Row],[Total]]+SamplingData[[#This Row],[Winning Candidate]]-SamplingData[[#This Row],[Candidate 4]])/(SamplingData[[#Totals],[Winning Candidate]]-SamplingData[[#Totals],[Candidate 4]]), 0)</f>
        <v>0</v>
      </c>
      <c r="T569" s="100">
        <f>IF(AND(SamplingData[[#This Row],[Total]]&lt;&gt; 0, NOT(ISBLANK(SamplingData[[#This Row],[Candidate 5]]))),(SamplingData[[#This Row],[Total]]+SamplingData[[#This Row],[Winning Candidate]]-SamplingData[[#This Row],[Candidate 5]])/(SamplingData[[#Totals],[Winning Candidate]]-SamplingData[[#Totals],[Candidate 5]]), 0)</f>
        <v>0</v>
      </c>
      <c r="U569" s="100">
        <f>IF(AND(SamplingData[[#This Row],[Total]]&lt;&gt; 0, NOT(ISBLANK(SamplingData[[#This Row],[Candidate 6]]))),(SamplingData[[#This Row],[Total]]+SamplingData[[#This Row],[Losing Candidate]]-SamplingData[[#This Row],[Candidate 6]])/(SamplingData[[#Totals],[Winning Candidate]]-SamplingData[[#Totals],[Candidate 6]]), 0)</f>
        <v>0</v>
      </c>
      <c r="V569" s="100">
        <f>IF(AND(SamplingData[[#This Row],[Total]]&lt;&gt; 0, NOT(ISBLANK(SamplingData[[#This Row],[Candidate 7]]))),(SamplingData[[#This Row],[Total]]+SamplingData[[#This Row],[Winning Candidate]]-SamplingData[[#This Row],[Candidate 7]])/(SamplingData[[#Totals],[Winning Candidate]]-SamplingData[[#Totals],[Candidate 7]]), 0)</f>
        <v>0</v>
      </c>
      <c r="W569" s="100">
        <f>IF(AND(SamplingData[[#This Row],[Total]]&lt;&gt; 0, NOT(ISBLANK(SamplingData[[#This Row],[Candidate 8]]))),(SamplingData[[#This Row],[Total]]+SamplingData[[#This Row],[Winning Candidate]]-SamplingData[[#This Row],[Candidate 8]])/(SamplingData[[#Totals],[Winning Candidate]]-SamplingData[[#Totals],[Candidate 8]]), 0)</f>
        <v>0</v>
      </c>
      <c r="X5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00">
        <f>MAX(SamplingData[[#This Row],[Error Bound (up) - Max. possible relative overstatement - Losing Candidate]:[Error Bound (up) - Max. possible relative overstatement - Candidate 12]])</f>
        <v>4.2717592738009237E-3</v>
      </c>
      <c r="AC569" s="100">
        <f>IF(SamplingData[[#This Row],[Max Error Bound (up)]] = 0,0,SamplingData[[#This Row],[Max Error Bound (up)]]/SamplingData[[#Totals],[Max Error Bound (up)]])</f>
        <v>1.8306143326333934E-3</v>
      </c>
      <c r="AD569" s="104">
        <f>SUM($AC$5:AC569)</f>
        <v>0.12440101222204294</v>
      </c>
      <c r="AE569" s="100" t="str" cm="1">
        <f t="array" ref="AE569">IF(SamplingData[[#This Row],[up/U Selection Probability]] = 0, "Zero", TEXT(SamplingData[[#This Row],[Lower Range]], REPT("0",LEN('General Info'!$B$42))) &amp; " - " &amp; TEXT(SamplingData[[#This Row],[Upper Range]], REPT("0",LEN('General Info'!$B$42))))</f>
        <v>12257 - 12439</v>
      </c>
      <c r="AF569" s="100">
        <f>SamplingData[[#This Row],[Upper Range]]-SamplingData[[#This Row],[Span]]</f>
        <v>12257.039788940954</v>
      </c>
      <c r="AG569" s="100">
        <f>IF(ISNUMBER('General Info'!$B$42), ((SamplingData[[#This Row],[up/U Selection Probability]]) * 'General Info'!$B$44) - 1, 0)</f>
        <v>182.06143326333935</v>
      </c>
      <c r="AH569" s="100">
        <f>IF(ISNUMBER('General Info'!$B$42), (SamplingData[[#This Row],[Running (cumulative) sum]] * ('General Info'!$B$42 -'General Info'!$B$43 + 1)) + 'General Info'!$B$43 - 1, 0)</f>
        <v>12439.101222204294</v>
      </c>
      <c r="AI569" s="100" t="str">
        <f>IF(ISERROR(MATCH(SamplingData[[#This Row],[Batch by Type (p)]],SelectedPrecincts[Batch Name], 0)), "", INDEX(SelectedPrecincts[Draw], MATCH(SamplingData[[#This Row],[Batch by Type (p)]],SelectedPrecincts[Batch Name], 0)))</f>
        <v/>
      </c>
      <c r="AJ569" s="101">
        <f>IF(COUNTIF(SelectedPrecincts[Batch Name],SamplingData[[#This Row],[Batch by Type (p)]]) &lt;&gt; 0, COUNTIF(SelectedPrecincts[Batch Name],SamplingData[[#This Row],[Batch by Type (p)]]), 0)</f>
        <v>0</v>
      </c>
    </row>
    <row r="570" spans="1:36" ht="15" customHeight="1" x14ac:dyDescent="0.35">
      <c r="A570" s="98" t="s">
        <v>781</v>
      </c>
      <c r="B570" s="98">
        <v>24</v>
      </c>
      <c r="C570" s="98">
        <v>11</v>
      </c>
      <c r="D570" s="93"/>
      <c r="E570" s="93"/>
      <c r="F570" s="93"/>
      <c r="G570" s="97"/>
      <c r="H570" s="97"/>
      <c r="I570" s="93"/>
      <c r="J570" s="93"/>
      <c r="K570" s="93"/>
      <c r="L570" s="93"/>
      <c r="M570" s="93"/>
      <c r="N570" s="98">
        <v>0</v>
      </c>
      <c r="O570" s="98">
        <v>1</v>
      </c>
      <c r="P570" s="99">
        <f>SUM(SamplingData[[#This Row],[Winning Candidate]:[Under Votes]])</f>
        <v>36</v>
      </c>
      <c r="Q570" s="100">
        <f>IF(AND(SamplingData[[#This Row],[Total]]&lt;&gt; 0, NOT(ISBLANK(SamplingData[[#This Row],[Losing Candidate]]))),(SamplingData[[#This Row],[Total]]+SamplingData[[#This Row],[Winning Candidate]]-SamplingData[[#This Row],[Losing Candidate]])/(SamplingData[[#Totals],[Winning Candidate]]-SamplingData[[#Totals],[Losing Candidate]]), 0)</f>
        <v>1.5390897383547445E-3</v>
      </c>
      <c r="R570" s="100">
        <f>IF(AND(SamplingData[[#This Row],[Total]]&lt;&gt; 0, NOT(ISBLANK(SamplingData[[#This Row],[Candidate 3]]))),(SamplingData[[#This Row],[Total]]+SamplingData[[#This Row],[Winning Candidate]]-SamplingData[[#This Row],[Candidate 3]])/(SamplingData[[#Totals],[Winning Candidate]]-SamplingData[[#Totals],[Candidate 3]]), 0)</f>
        <v>0</v>
      </c>
      <c r="S570" s="100">
        <f>IF(AND(SamplingData[[#This Row],[Total]]&lt;&gt; 0, NOT(ISBLANK(SamplingData[[#This Row],[Candidate 4]]))),(SamplingData[[#This Row],[Total]]+SamplingData[[#This Row],[Winning Candidate]]-SamplingData[[#This Row],[Candidate 4]])/(SamplingData[[#Totals],[Winning Candidate]]-SamplingData[[#Totals],[Candidate 4]]), 0)</f>
        <v>0</v>
      </c>
      <c r="T570" s="100">
        <f>IF(AND(SamplingData[[#This Row],[Total]]&lt;&gt; 0, NOT(ISBLANK(SamplingData[[#This Row],[Candidate 5]]))),(SamplingData[[#This Row],[Total]]+SamplingData[[#This Row],[Winning Candidate]]-SamplingData[[#This Row],[Candidate 5]])/(SamplingData[[#Totals],[Winning Candidate]]-SamplingData[[#Totals],[Candidate 5]]), 0)</f>
        <v>0</v>
      </c>
      <c r="U570" s="100">
        <f>IF(AND(SamplingData[[#This Row],[Total]]&lt;&gt; 0, NOT(ISBLANK(SamplingData[[#This Row],[Candidate 6]]))),(SamplingData[[#This Row],[Total]]+SamplingData[[#This Row],[Losing Candidate]]-SamplingData[[#This Row],[Candidate 6]])/(SamplingData[[#Totals],[Winning Candidate]]-SamplingData[[#Totals],[Candidate 6]]), 0)</f>
        <v>0</v>
      </c>
      <c r="V570" s="100">
        <f>IF(AND(SamplingData[[#This Row],[Total]]&lt;&gt; 0, NOT(ISBLANK(SamplingData[[#This Row],[Candidate 7]]))),(SamplingData[[#This Row],[Total]]+SamplingData[[#This Row],[Winning Candidate]]-SamplingData[[#This Row],[Candidate 7]])/(SamplingData[[#Totals],[Winning Candidate]]-SamplingData[[#Totals],[Candidate 7]]), 0)</f>
        <v>0</v>
      </c>
      <c r="W570" s="100">
        <f>IF(AND(SamplingData[[#This Row],[Total]]&lt;&gt; 0, NOT(ISBLANK(SamplingData[[#This Row],[Candidate 8]]))),(SamplingData[[#This Row],[Total]]+SamplingData[[#This Row],[Winning Candidate]]-SamplingData[[#This Row],[Candidate 8]])/(SamplingData[[#Totals],[Winning Candidate]]-SamplingData[[#Totals],[Candidate 8]]), 0)</f>
        <v>0</v>
      </c>
      <c r="X5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00">
        <f>MAX(SamplingData[[#This Row],[Error Bound (up) - Max. possible relative overstatement - Losing Candidate]:[Error Bound (up) - Max. possible relative overstatement - Candidate 12]])</f>
        <v>1.5390897383547445E-3</v>
      </c>
      <c r="AC570" s="100">
        <f>IF(SamplingData[[#This Row],[Max Error Bound (up)]] = 0,0,SamplingData[[#This Row],[Max Error Bound (up)]]/SamplingData[[#Totals],[Max Error Bound (up)]])</f>
        <v>6.5955957572820783E-4</v>
      </c>
      <c r="AD570" s="104">
        <f>SUM($AC$5:AC570)</f>
        <v>0.12506057179777116</v>
      </c>
      <c r="AE570" s="100" t="str" cm="1">
        <f t="array" ref="AE570">IF(SamplingData[[#This Row],[up/U Selection Probability]] = 0, "Zero", TEXT(SamplingData[[#This Row],[Lower Range]], REPT("0",LEN('General Info'!$B$42))) &amp; " - " &amp; TEXT(SamplingData[[#This Row],[Upper Range]], REPT("0",LEN('General Info'!$B$42))))</f>
        <v>12440 - 12505</v>
      </c>
      <c r="AF570" s="100">
        <f>SamplingData[[#This Row],[Upper Range]]-SamplingData[[#This Row],[Span]]</f>
        <v>12440.101222204297</v>
      </c>
      <c r="AG570" s="100">
        <f>IF(ISNUMBER('General Info'!$B$42), ((SamplingData[[#This Row],[up/U Selection Probability]]) * 'General Info'!$B$44) - 1, 0)</f>
        <v>64.955957572820779</v>
      </c>
      <c r="AH570" s="100">
        <f>IF(ISNUMBER('General Info'!$B$42), (SamplingData[[#This Row],[Running (cumulative) sum]] * ('General Info'!$B$42 -'General Info'!$B$43 + 1)) + 'General Info'!$B$43 - 1, 0)</f>
        <v>12505.057179777117</v>
      </c>
      <c r="AI570" s="100" t="str">
        <f>IF(ISERROR(MATCH(SamplingData[[#This Row],[Batch by Type (p)]],SelectedPrecincts[Batch Name], 0)), "", INDEX(SelectedPrecincts[Draw], MATCH(SamplingData[[#This Row],[Batch by Type (p)]],SelectedPrecincts[Batch Name], 0)))</f>
        <v/>
      </c>
      <c r="AJ570" s="101">
        <f>IF(COUNTIF(SelectedPrecincts[Batch Name],SamplingData[[#This Row],[Batch by Type (p)]]) &lt;&gt; 0, COUNTIF(SelectedPrecincts[Batch Name],SamplingData[[#This Row],[Batch by Type (p)]]), 0)</f>
        <v>0</v>
      </c>
    </row>
    <row r="571" spans="1:36" ht="15" customHeight="1" x14ac:dyDescent="0.35">
      <c r="A571" s="98" t="s">
        <v>782</v>
      </c>
      <c r="B571" s="98">
        <v>29</v>
      </c>
      <c r="C571" s="98">
        <v>4</v>
      </c>
      <c r="D571" s="93"/>
      <c r="E571" s="93"/>
      <c r="F571" s="93"/>
      <c r="G571" s="97"/>
      <c r="H571" s="97"/>
      <c r="I571" s="93"/>
      <c r="J571" s="93"/>
      <c r="K571" s="93"/>
      <c r="L571" s="93"/>
      <c r="M571" s="93"/>
      <c r="N571" s="98">
        <v>0</v>
      </c>
      <c r="O571" s="98">
        <v>0</v>
      </c>
      <c r="P571" s="99">
        <f>SUM(SamplingData[[#This Row],[Winning Candidate]:[Under Votes]])</f>
        <v>33</v>
      </c>
      <c r="Q571"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571" s="100">
        <f>IF(AND(SamplingData[[#This Row],[Total]]&lt;&gt; 0, NOT(ISBLANK(SamplingData[[#This Row],[Candidate 3]]))),(SamplingData[[#This Row],[Total]]+SamplingData[[#This Row],[Winning Candidate]]-SamplingData[[#This Row],[Candidate 3]])/(SamplingData[[#Totals],[Winning Candidate]]-SamplingData[[#Totals],[Candidate 3]]), 0)</f>
        <v>0</v>
      </c>
      <c r="S571" s="100">
        <f>IF(AND(SamplingData[[#This Row],[Total]]&lt;&gt; 0, NOT(ISBLANK(SamplingData[[#This Row],[Candidate 4]]))),(SamplingData[[#This Row],[Total]]+SamplingData[[#This Row],[Winning Candidate]]-SamplingData[[#This Row],[Candidate 4]])/(SamplingData[[#Totals],[Winning Candidate]]-SamplingData[[#Totals],[Candidate 4]]), 0)</f>
        <v>0</v>
      </c>
      <c r="T571" s="100">
        <f>IF(AND(SamplingData[[#This Row],[Total]]&lt;&gt; 0, NOT(ISBLANK(SamplingData[[#This Row],[Candidate 5]]))),(SamplingData[[#This Row],[Total]]+SamplingData[[#This Row],[Winning Candidate]]-SamplingData[[#This Row],[Candidate 5]])/(SamplingData[[#Totals],[Winning Candidate]]-SamplingData[[#Totals],[Candidate 5]]), 0)</f>
        <v>0</v>
      </c>
      <c r="U571" s="100">
        <f>IF(AND(SamplingData[[#This Row],[Total]]&lt;&gt; 0, NOT(ISBLANK(SamplingData[[#This Row],[Candidate 6]]))),(SamplingData[[#This Row],[Total]]+SamplingData[[#This Row],[Losing Candidate]]-SamplingData[[#This Row],[Candidate 6]])/(SamplingData[[#Totals],[Winning Candidate]]-SamplingData[[#Totals],[Candidate 6]]), 0)</f>
        <v>0</v>
      </c>
      <c r="V571" s="100">
        <f>IF(AND(SamplingData[[#This Row],[Total]]&lt;&gt; 0, NOT(ISBLANK(SamplingData[[#This Row],[Candidate 7]]))),(SamplingData[[#This Row],[Total]]+SamplingData[[#This Row],[Winning Candidate]]-SamplingData[[#This Row],[Candidate 7]])/(SamplingData[[#Totals],[Winning Candidate]]-SamplingData[[#Totals],[Candidate 7]]), 0)</f>
        <v>0</v>
      </c>
      <c r="W571" s="100">
        <f>IF(AND(SamplingData[[#This Row],[Total]]&lt;&gt; 0, NOT(ISBLANK(SamplingData[[#This Row],[Candidate 8]]))),(SamplingData[[#This Row],[Total]]+SamplingData[[#This Row],[Winning Candidate]]-SamplingData[[#This Row],[Candidate 8]])/(SamplingData[[#Totals],[Winning Candidate]]-SamplingData[[#Totals],[Candidate 8]]), 0)</f>
        <v>0</v>
      </c>
      <c r="X5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00">
        <f>MAX(SamplingData[[#This Row],[Error Bound (up) - Max. possible relative overstatement - Losing Candidate]:[Error Bound (up) - Max. possible relative overstatement - Candidate 12]])</f>
        <v>1.8217796902974526E-3</v>
      </c>
      <c r="AC571" s="100">
        <f>IF(SamplingData[[#This Row],[Max Error Bound (up)]] = 0,0,SamplingData[[#This Row],[Max Error Bound (up)]]/SamplingData[[#Totals],[Max Error Bound (up)]])</f>
        <v>7.8070317127012351E-4</v>
      </c>
      <c r="AD571" s="104">
        <f>SUM($AC$5:AC571)</f>
        <v>0.12584127496904129</v>
      </c>
      <c r="AE571" s="100" t="str" cm="1">
        <f t="array" ref="AE571">IF(SamplingData[[#This Row],[up/U Selection Probability]] = 0, "Zero", TEXT(SamplingData[[#This Row],[Lower Range]], REPT("0",LEN('General Info'!$B$42))) &amp; " - " &amp; TEXT(SamplingData[[#This Row],[Upper Range]], REPT("0",LEN('General Info'!$B$42))))</f>
        <v>12506 - 12583</v>
      </c>
      <c r="AF571" s="100">
        <f>SamplingData[[#This Row],[Upper Range]]-SamplingData[[#This Row],[Span]]</f>
        <v>12506.057179777117</v>
      </c>
      <c r="AG571" s="100">
        <f>IF(ISNUMBER('General Info'!$B$42), ((SamplingData[[#This Row],[up/U Selection Probability]]) * 'General Info'!$B$44) - 1, 0)</f>
        <v>77.070317127012345</v>
      </c>
      <c r="AH571" s="100">
        <f>IF(ISNUMBER('General Info'!$B$42), (SamplingData[[#This Row],[Running (cumulative) sum]] * ('General Info'!$B$42 -'General Info'!$B$43 + 1)) + 'General Info'!$B$43 - 1, 0)</f>
        <v>12583.12749690413</v>
      </c>
      <c r="AI571" s="100" t="str">
        <f>IF(ISERROR(MATCH(SamplingData[[#This Row],[Batch by Type (p)]],SelectedPrecincts[Batch Name], 0)), "", INDEX(SelectedPrecincts[Draw], MATCH(SamplingData[[#This Row],[Batch by Type (p)]],SelectedPrecincts[Batch Name], 0)))</f>
        <v/>
      </c>
      <c r="AJ571" s="101">
        <f>IF(COUNTIF(SelectedPrecincts[Batch Name],SamplingData[[#This Row],[Batch by Type (p)]]) &lt;&gt; 0, COUNTIF(SelectedPrecincts[Batch Name],SamplingData[[#This Row],[Batch by Type (p)]]), 0)</f>
        <v>0</v>
      </c>
    </row>
    <row r="572" spans="1:36" ht="15" customHeight="1" x14ac:dyDescent="0.35">
      <c r="A572" s="98" t="s">
        <v>783</v>
      </c>
      <c r="B572" s="98">
        <v>47</v>
      </c>
      <c r="C572" s="98">
        <v>7</v>
      </c>
      <c r="D572" s="93"/>
      <c r="E572" s="93"/>
      <c r="F572" s="93"/>
      <c r="G572" s="97"/>
      <c r="H572" s="97"/>
      <c r="I572" s="93"/>
      <c r="J572" s="93"/>
      <c r="K572" s="93"/>
      <c r="L572" s="93"/>
      <c r="M572" s="93"/>
      <c r="N572" s="98">
        <v>0</v>
      </c>
      <c r="O572" s="98">
        <v>1</v>
      </c>
      <c r="P572" s="99">
        <f>SUM(SamplingData[[#This Row],[Winning Candidate]:[Under Votes]])</f>
        <v>55</v>
      </c>
      <c r="Q572" s="100">
        <f>IF(AND(SamplingData[[#This Row],[Total]]&lt;&gt; 0, NOT(ISBLANK(SamplingData[[#This Row],[Losing Candidate]]))),(SamplingData[[#This Row],[Total]]+SamplingData[[#This Row],[Winning Candidate]]-SamplingData[[#This Row],[Losing Candidate]])/(SamplingData[[#Totals],[Winning Candidate]]-SamplingData[[#Totals],[Losing Candidate]]), 0)</f>
        <v>2.9839494927285863E-3</v>
      </c>
      <c r="R572" s="100">
        <f>IF(AND(SamplingData[[#This Row],[Total]]&lt;&gt; 0, NOT(ISBLANK(SamplingData[[#This Row],[Candidate 3]]))),(SamplingData[[#This Row],[Total]]+SamplingData[[#This Row],[Winning Candidate]]-SamplingData[[#This Row],[Candidate 3]])/(SamplingData[[#Totals],[Winning Candidate]]-SamplingData[[#Totals],[Candidate 3]]), 0)</f>
        <v>0</v>
      </c>
      <c r="S572" s="100">
        <f>IF(AND(SamplingData[[#This Row],[Total]]&lt;&gt; 0, NOT(ISBLANK(SamplingData[[#This Row],[Candidate 4]]))),(SamplingData[[#This Row],[Total]]+SamplingData[[#This Row],[Winning Candidate]]-SamplingData[[#This Row],[Candidate 4]])/(SamplingData[[#Totals],[Winning Candidate]]-SamplingData[[#Totals],[Candidate 4]]), 0)</f>
        <v>0</v>
      </c>
      <c r="T572" s="100">
        <f>IF(AND(SamplingData[[#This Row],[Total]]&lt;&gt; 0, NOT(ISBLANK(SamplingData[[#This Row],[Candidate 5]]))),(SamplingData[[#This Row],[Total]]+SamplingData[[#This Row],[Winning Candidate]]-SamplingData[[#This Row],[Candidate 5]])/(SamplingData[[#Totals],[Winning Candidate]]-SamplingData[[#Totals],[Candidate 5]]), 0)</f>
        <v>0</v>
      </c>
      <c r="U572" s="100">
        <f>IF(AND(SamplingData[[#This Row],[Total]]&lt;&gt; 0, NOT(ISBLANK(SamplingData[[#This Row],[Candidate 6]]))),(SamplingData[[#This Row],[Total]]+SamplingData[[#This Row],[Losing Candidate]]-SamplingData[[#This Row],[Candidate 6]])/(SamplingData[[#Totals],[Winning Candidate]]-SamplingData[[#Totals],[Candidate 6]]), 0)</f>
        <v>0</v>
      </c>
      <c r="V572" s="100">
        <f>IF(AND(SamplingData[[#This Row],[Total]]&lt;&gt; 0, NOT(ISBLANK(SamplingData[[#This Row],[Candidate 7]]))),(SamplingData[[#This Row],[Total]]+SamplingData[[#This Row],[Winning Candidate]]-SamplingData[[#This Row],[Candidate 7]])/(SamplingData[[#Totals],[Winning Candidate]]-SamplingData[[#Totals],[Candidate 7]]), 0)</f>
        <v>0</v>
      </c>
      <c r="W572" s="100">
        <f>IF(AND(SamplingData[[#This Row],[Total]]&lt;&gt; 0, NOT(ISBLANK(SamplingData[[#This Row],[Candidate 8]]))),(SamplingData[[#This Row],[Total]]+SamplingData[[#This Row],[Winning Candidate]]-SamplingData[[#This Row],[Candidate 8]])/(SamplingData[[#Totals],[Winning Candidate]]-SamplingData[[#Totals],[Candidate 8]]), 0)</f>
        <v>0</v>
      </c>
      <c r="X5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00">
        <f>MAX(SamplingData[[#This Row],[Error Bound (up) - Max. possible relative overstatement - Losing Candidate]:[Error Bound (up) - Max. possible relative overstatement - Candidate 12]])</f>
        <v>2.9839494927285863E-3</v>
      </c>
      <c r="AC572" s="100">
        <f>IF(SamplingData[[#This Row],[Max Error Bound (up)]] = 0,0,SamplingData[[#This Row],[Max Error Bound (up)]]/SamplingData[[#Totals],[Max Error Bound (up)]])</f>
        <v>1.2787379529424438E-3</v>
      </c>
      <c r="AD572" s="104">
        <f>SUM($AC$5:AC572)</f>
        <v>0.12712001292198374</v>
      </c>
      <c r="AE572" s="100" t="str" cm="1">
        <f t="array" ref="AE572">IF(SamplingData[[#This Row],[up/U Selection Probability]] = 0, "Zero", TEXT(SamplingData[[#This Row],[Lower Range]], REPT("0",LEN('General Info'!$B$42))) &amp; " - " &amp; TEXT(SamplingData[[#This Row],[Upper Range]], REPT("0",LEN('General Info'!$B$42))))</f>
        <v>12584 - 12711</v>
      </c>
      <c r="AF572" s="100">
        <f>SamplingData[[#This Row],[Upper Range]]-SamplingData[[#This Row],[Span]]</f>
        <v>12584.12749690413</v>
      </c>
      <c r="AG572" s="100">
        <f>IF(ISNUMBER('General Info'!$B$42), ((SamplingData[[#This Row],[up/U Selection Probability]]) * 'General Info'!$B$44) - 1, 0)</f>
        <v>126.87379529424437</v>
      </c>
      <c r="AH572" s="100">
        <f>IF(ISNUMBER('General Info'!$B$42), (SamplingData[[#This Row],[Running (cumulative) sum]] * ('General Info'!$B$42 -'General Info'!$B$43 + 1)) + 'General Info'!$B$43 - 1, 0)</f>
        <v>12711.001292198374</v>
      </c>
      <c r="AI572" s="100" t="str">
        <f>IF(ISERROR(MATCH(SamplingData[[#This Row],[Batch by Type (p)]],SelectedPrecincts[Batch Name], 0)), "", INDEX(SelectedPrecincts[Draw], MATCH(SamplingData[[#This Row],[Batch by Type (p)]],SelectedPrecincts[Batch Name], 0)))</f>
        <v/>
      </c>
      <c r="AJ572" s="101">
        <f>IF(COUNTIF(SelectedPrecincts[Batch Name],SamplingData[[#This Row],[Batch by Type (p)]]) &lt;&gt; 0, COUNTIF(SelectedPrecincts[Batch Name],SamplingData[[#This Row],[Batch by Type (p)]]), 0)</f>
        <v>0</v>
      </c>
    </row>
    <row r="573" spans="1:36" ht="15" customHeight="1" x14ac:dyDescent="0.35">
      <c r="A573" s="98" t="s">
        <v>784</v>
      </c>
      <c r="B573" s="98">
        <v>88</v>
      </c>
      <c r="C573" s="98">
        <v>7</v>
      </c>
      <c r="D573" s="93"/>
      <c r="E573" s="93"/>
      <c r="F573" s="93"/>
      <c r="G573" s="97"/>
      <c r="H573" s="97"/>
      <c r="I573" s="93"/>
      <c r="J573" s="93"/>
      <c r="K573" s="93"/>
      <c r="L573" s="93"/>
      <c r="M573" s="93"/>
      <c r="N573" s="98">
        <v>0</v>
      </c>
      <c r="O573" s="98">
        <v>0</v>
      </c>
      <c r="P573" s="99">
        <f>SUM(SamplingData[[#This Row],[Winning Candidate]:[Under Votes]])</f>
        <v>95</v>
      </c>
      <c r="Q573" s="100">
        <f>IF(AND(SamplingData[[#This Row],[Total]]&lt;&gt; 0, NOT(ISBLANK(SamplingData[[#This Row],[Losing Candidate]]))),(SamplingData[[#This Row],[Total]]+SamplingData[[#This Row],[Winning Candidate]]-SamplingData[[#This Row],[Losing Candidate]])/(SamplingData[[#Totals],[Winning Candidate]]-SamplingData[[#Totals],[Losing Candidate]]), 0)</f>
        <v>5.52815906021296E-3</v>
      </c>
      <c r="R573" s="100">
        <f>IF(AND(SamplingData[[#This Row],[Total]]&lt;&gt; 0, NOT(ISBLANK(SamplingData[[#This Row],[Candidate 3]]))),(SamplingData[[#This Row],[Total]]+SamplingData[[#This Row],[Winning Candidate]]-SamplingData[[#This Row],[Candidate 3]])/(SamplingData[[#Totals],[Winning Candidate]]-SamplingData[[#Totals],[Candidate 3]]), 0)</f>
        <v>0</v>
      </c>
      <c r="S573" s="100">
        <f>IF(AND(SamplingData[[#This Row],[Total]]&lt;&gt; 0, NOT(ISBLANK(SamplingData[[#This Row],[Candidate 4]]))),(SamplingData[[#This Row],[Total]]+SamplingData[[#This Row],[Winning Candidate]]-SamplingData[[#This Row],[Candidate 4]])/(SamplingData[[#Totals],[Winning Candidate]]-SamplingData[[#Totals],[Candidate 4]]), 0)</f>
        <v>0</v>
      </c>
      <c r="T573" s="100">
        <f>IF(AND(SamplingData[[#This Row],[Total]]&lt;&gt; 0, NOT(ISBLANK(SamplingData[[#This Row],[Candidate 5]]))),(SamplingData[[#This Row],[Total]]+SamplingData[[#This Row],[Winning Candidate]]-SamplingData[[#This Row],[Candidate 5]])/(SamplingData[[#Totals],[Winning Candidate]]-SamplingData[[#Totals],[Candidate 5]]), 0)</f>
        <v>0</v>
      </c>
      <c r="U573" s="100">
        <f>IF(AND(SamplingData[[#This Row],[Total]]&lt;&gt; 0, NOT(ISBLANK(SamplingData[[#This Row],[Candidate 6]]))),(SamplingData[[#This Row],[Total]]+SamplingData[[#This Row],[Losing Candidate]]-SamplingData[[#This Row],[Candidate 6]])/(SamplingData[[#Totals],[Winning Candidate]]-SamplingData[[#Totals],[Candidate 6]]), 0)</f>
        <v>0</v>
      </c>
      <c r="V573" s="100">
        <f>IF(AND(SamplingData[[#This Row],[Total]]&lt;&gt; 0, NOT(ISBLANK(SamplingData[[#This Row],[Candidate 7]]))),(SamplingData[[#This Row],[Total]]+SamplingData[[#This Row],[Winning Candidate]]-SamplingData[[#This Row],[Candidate 7]])/(SamplingData[[#Totals],[Winning Candidate]]-SamplingData[[#Totals],[Candidate 7]]), 0)</f>
        <v>0</v>
      </c>
      <c r="W573" s="100">
        <f>IF(AND(SamplingData[[#This Row],[Total]]&lt;&gt; 0, NOT(ISBLANK(SamplingData[[#This Row],[Candidate 8]]))),(SamplingData[[#This Row],[Total]]+SamplingData[[#This Row],[Winning Candidate]]-SamplingData[[#This Row],[Candidate 8]])/(SamplingData[[#Totals],[Winning Candidate]]-SamplingData[[#Totals],[Candidate 8]]), 0)</f>
        <v>0</v>
      </c>
      <c r="X5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00">
        <f>MAX(SamplingData[[#This Row],[Error Bound (up) - Max. possible relative overstatement - Losing Candidate]:[Error Bound (up) - Max. possible relative overstatement - Candidate 12]])</f>
        <v>5.52815906021296E-3</v>
      </c>
      <c r="AC573" s="100">
        <f>IF(SamplingData[[#This Row],[Max Error Bound (up)]] = 0,0,SamplingData[[#This Row],[Max Error Bound (up)]]/SamplingData[[#Totals],[Max Error Bound (up)]])</f>
        <v>2.3690303128196854E-3</v>
      </c>
      <c r="AD573" s="104">
        <f>SUM($AC$5:AC573)</f>
        <v>0.12948904323480342</v>
      </c>
      <c r="AE573" s="100" t="str" cm="1">
        <f t="array" ref="AE573">IF(SamplingData[[#This Row],[up/U Selection Probability]] = 0, "Zero", TEXT(SamplingData[[#This Row],[Lower Range]], REPT("0",LEN('General Info'!$B$42))) &amp; " - " &amp; TEXT(SamplingData[[#This Row],[Upper Range]], REPT("0",LEN('General Info'!$B$42))))</f>
        <v>12712 - 12948</v>
      </c>
      <c r="AF573" s="100">
        <f>SamplingData[[#This Row],[Upper Range]]-SamplingData[[#This Row],[Span]]</f>
        <v>12712.001292198374</v>
      </c>
      <c r="AG573" s="100">
        <f>IF(ISNUMBER('General Info'!$B$42), ((SamplingData[[#This Row],[up/U Selection Probability]]) * 'General Info'!$B$44) - 1, 0)</f>
        <v>235.90303128196854</v>
      </c>
      <c r="AH573" s="100">
        <f>IF(ISNUMBER('General Info'!$B$42), (SamplingData[[#This Row],[Running (cumulative) sum]] * ('General Info'!$B$42 -'General Info'!$B$43 + 1)) + 'General Info'!$B$43 - 1, 0)</f>
        <v>12947.904323480343</v>
      </c>
      <c r="AI573" s="100" t="str">
        <f>IF(ISERROR(MATCH(SamplingData[[#This Row],[Batch by Type (p)]],SelectedPrecincts[Batch Name], 0)), "", INDEX(SelectedPrecincts[Draw], MATCH(SamplingData[[#This Row],[Batch by Type (p)]],SelectedPrecincts[Batch Name], 0)))</f>
        <v/>
      </c>
      <c r="AJ573" s="101">
        <f>IF(COUNTIF(SelectedPrecincts[Batch Name],SamplingData[[#This Row],[Batch by Type (p)]]) &lt;&gt; 0, COUNTIF(SelectedPrecincts[Batch Name],SamplingData[[#This Row],[Batch by Type (p)]]), 0)</f>
        <v>0</v>
      </c>
    </row>
    <row r="574" spans="1:36" ht="15" customHeight="1" x14ac:dyDescent="0.35">
      <c r="A574" s="98" t="s">
        <v>785</v>
      </c>
      <c r="B574" s="98">
        <v>38</v>
      </c>
      <c r="C574" s="98">
        <v>5</v>
      </c>
      <c r="D574" s="93"/>
      <c r="E574" s="93"/>
      <c r="F574" s="93"/>
      <c r="G574" s="97"/>
      <c r="H574" s="97"/>
      <c r="I574" s="93"/>
      <c r="J574" s="93"/>
      <c r="K574" s="93"/>
      <c r="L574" s="93"/>
      <c r="M574" s="93"/>
      <c r="N574" s="98">
        <v>0</v>
      </c>
      <c r="O574" s="98">
        <v>1</v>
      </c>
      <c r="P574" s="99">
        <f>SUM(SamplingData[[#This Row],[Winning Candidate]:[Under Votes]])</f>
        <v>44</v>
      </c>
      <c r="Q574" s="100">
        <f>IF(AND(SamplingData[[#This Row],[Total]]&lt;&gt; 0, NOT(ISBLANK(SamplingData[[#This Row],[Losing Candidate]]))),(SamplingData[[#This Row],[Total]]+SamplingData[[#This Row],[Winning Candidate]]-SamplingData[[#This Row],[Losing Candidate]])/(SamplingData[[#Totals],[Winning Candidate]]-SamplingData[[#Totals],[Losing Candidate]]), 0)</f>
        <v>2.4185695888431697E-3</v>
      </c>
      <c r="R574" s="100">
        <f>IF(AND(SamplingData[[#This Row],[Total]]&lt;&gt; 0, NOT(ISBLANK(SamplingData[[#This Row],[Candidate 3]]))),(SamplingData[[#This Row],[Total]]+SamplingData[[#This Row],[Winning Candidate]]-SamplingData[[#This Row],[Candidate 3]])/(SamplingData[[#Totals],[Winning Candidate]]-SamplingData[[#Totals],[Candidate 3]]), 0)</f>
        <v>0</v>
      </c>
      <c r="S574" s="100">
        <f>IF(AND(SamplingData[[#This Row],[Total]]&lt;&gt; 0, NOT(ISBLANK(SamplingData[[#This Row],[Candidate 4]]))),(SamplingData[[#This Row],[Total]]+SamplingData[[#This Row],[Winning Candidate]]-SamplingData[[#This Row],[Candidate 4]])/(SamplingData[[#Totals],[Winning Candidate]]-SamplingData[[#Totals],[Candidate 4]]), 0)</f>
        <v>0</v>
      </c>
      <c r="T574" s="100">
        <f>IF(AND(SamplingData[[#This Row],[Total]]&lt;&gt; 0, NOT(ISBLANK(SamplingData[[#This Row],[Candidate 5]]))),(SamplingData[[#This Row],[Total]]+SamplingData[[#This Row],[Winning Candidate]]-SamplingData[[#This Row],[Candidate 5]])/(SamplingData[[#Totals],[Winning Candidate]]-SamplingData[[#Totals],[Candidate 5]]), 0)</f>
        <v>0</v>
      </c>
      <c r="U574" s="100">
        <f>IF(AND(SamplingData[[#This Row],[Total]]&lt;&gt; 0, NOT(ISBLANK(SamplingData[[#This Row],[Candidate 6]]))),(SamplingData[[#This Row],[Total]]+SamplingData[[#This Row],[Losing Candidate]]-SamplingData[[#This Row],[Candidate 6]])/(SamplingData[[#Totals],[Winning Candidate]]-SamplingData[[#Totals],[Candidate 6]]), 0)</f>
        <v>0</v>
      </c>
      <c r="V574" s="100">
        <f>IF(AND(SamplingData[[#This Row],[Total]]&lt;&gt; 0, NOT(ISBLANK(SamplingData[[#This Row],[Candidate 7]]))),(SamplingData[[#This Row],[Total]]+SamplingData[[#This Row],[Winning Candidate]]-SamplingData[[#This Row],[Candidate 7]])/(SamplingData[[#Totals],[Winning Candidate]]-SamplingData[[#Totals],[Candidate 7]]), 0)</f>
        <v>0</v>
      </c>
      <c r="W574" s="100">
        <f>IF(AND(SamplingData[[#This Row],[Total]]&lt;&gt; 0, NOT(ISBLANK(SamplingData[[#This Row],[Candidate 8]]))),(SamplingData[[#This Row],[Total]]+SamplingData[[#This Row],[Winning Candidate]]-SamplingData[[#This Row],[Candidate 8]])/(SamplingData[[#Totals],[Winning Candidate]]-SamplingData[[#Totals],[Candidate 8]]), 0)</f>
        <v>0</v>
      </c>
      <c r="X5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00">
        <f>MAX(SamplingData[[#This Row],[Error Bound (up) - Max. possible relative overstatement - Losing Candidate]:[Error Bound (up) - Max. possible relative overstatement - Candidate 12]])</f>
        <v>2.4185695888431697E-3</v>
      </c>
      <c r="AC574" s="100">
        <f>IF(SamplingData[[#This Row],[Max Error Bound (up)]] = 0,0,SamplingData[[#This Row],[Max Error Bound (up)]]/SamplingData[[#Totals],[Max Error Bound (up)]])</f>
        <v>1.0364507618586122E-3</v>
      </c>
      <c r="AD574" s="104">
        <f>SUM($AC$5:AC574)</f>
        <v>0.13052549399666202</v>
      </c>
      <c r="AE574" s="100" t="str" cm="1">
        <f t="array" ref="AE574">IF(SamplingData[[#This Row],[up/U Selection Probability]] = 0, "Zero", TEXT(SamplingData[[#This Row],[Lower Range]], REPT("0",LEN('General Info'!$B$42))) &amp; " - " &amp; TEXT(SamplingData[[#This Row],[Upper Range]], REPT("0",LEN('General Info'!$B$42))))</f>
        <v>12949 - 13052</v>
      </c>
      <c r="AF574" s="100">
        <f>SamplingData[[#This Row],[Upper Range]]-SamplingData[[#This Row],[Span]]</f>
        <v>12948.904323480341</v>
      </c>
      <c r="AG574" s="100">
        <f>IF(ISNUMBER('General Info'!$B$42), ((SamplingData[[#This Row],[up/U Selection Probability]]) * 'General Info'!$B$44) - 1, 0)</f>
        <v>102.64507618586121</v>
      </c>
      <c r="AH574" s="100">
        <f>IF(ISNUMBER('General Info'!$B$42), (SamplingData[[#This Row],[Running (cumulative) sum]] * ('General Info'!$B$42 -'General Info'!$B$43 + 1)) + 'General Info'!$B$43 - 1, 0)</f>
        <v>13051.549399666203</v>
      </c>
      <c r="AI574" s="100" t="str">
        <f>IF(ISERROR(MATCH(SamplingData[[#This Row],[Batch by Type (p)]],SelectedPrecincts[Batch Name], 0)), "", INDEX(SelectedPrecincts[Draw], MATCH(SamplingData[[#This Row],[Batch by Type (p)]],SelectedPrecincts[Batch Name], 0)))</f>
        <v/>
      </c>
      <c r="AJ574" s="101">
        <f>IF(COUNTIF(SelectedPrecincts[Batch Name],SamplingData[[#This Row],[Batch by Type (p)]]) &lt;&gt; 0, COUNTIF(SelectedPrecincts[Batch Name],SamplingData[[#This Row],[Batch by Type (p)]]), 0)</f>
        <v>0</v>
      </c>
    </row>
    <row r="575" spans="1:36" ht="15" customHeight="1" x14ac:dyDescent="0.35">
      <c r="A575" s="98" t="s">
        <v>786</v>
      </c>
      <c r="B575" s="98">
        <v>33</v>
      </c>
      <c r="C575" s="98">
        <v>4</v>
      </c>
      <c r="D575" s="93"/>
      <c r="E575" s="93"/>
      <c r="F575" s="93"/>
      <c r="G575" s="97"/>
      <c r="H575" s="97"/>
      <c r="I575" s="93"/>
      <c r="J575" s="93"/>
      <c r="K575" s="93"/>
      <c r="L575" s="93"/>
      <c r="M575" s="93"/>
      <c r="N575" s="98">
        <v>0</v>
      </c>
      <c r="O575" s="98">
        <v>0</v>
      </c>
      <c r="P575" s="99">
        <f>SUM(SamplingData[[#This Row],[Winning Candidate]:[Under Votes]])</f>
        <v>37</v>
      </c>
      <c r="Q575"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575" s="100">
        <f>IF(AND(SamplingData[[#This Row],[Total]]&lt;&gt; 0, NOT(ISBLANK(SamplingData[[#This Row],[Candidate 3]]))),(SamplingData[[#This Row],[Total]]+SamplingData[[#This Row],[Winning Candidate]]-SamplingData[[#This Row],[Candidate 3]])/(SamplingData[[#Totals],[Winning Candidate]]-SamplingData[[#Totals],[Candidate 3]]), 0)</f>
        <v>0</v>
      </c>
      <c r="S575" s="100">
        <f>IF(AND(SamplingData[[#This Row],[Total]]&lt;&gt; 0, NOT(ISBLANK(SamplingData[[#This Row],[Candidate 4]]))),(SamplingData[[#This Row],[Total]]+SamplingData[[#This Row],[Winning Candidate]]-SamplingData[[#This Row],[Candidate 4]])/(SamplingData[[#Totals],[Winning Candidate]]-SamplingData[[#Totals],[Candidate 4]]), 0)</f>
        <v>0</v>
      </c>
      <c r="T575" s="100">
        <f>IF(AND(SamplingData[[#This Row],[Total]]&lt;&gt; 0, NOT(ISBLANK(SamplingData[[#This Row],[Candidate 5]]))),(SamplingData[[#This Row],[Total]]+SamplingData[[#This Row],[Winning Candidate]]-SamplingData[[#This Row],[Candidate 5]])/(SamplingData[[#Totals],[Winning Candidate]]-SamplingData[[#Totals],[Candidate 5]]), 0)</f>
        <v>0</v>
      </c>
      <c r="U575" s="100">
        <f>IF(AND(SamplingData[[#This Row],[Total]]&lt;&gt; 0, NOT(ISBLANK(SamplingData[[#This Row],[Candidate 6]]))),(SamplingData[[#This Row],[Total]]+SamplingData[[#This Row],[Losing Candidate]]-SamplingData[[#This Row],[Candidate 6]])/(SamplingData[[#Totals],[Winning Candidate]]-SamplingData[[#Totals],[Candidate 6]]), 0)</f>
        <v>0</v>
      </c>
      <c r="V575" s="100">
        <f>IF(AND(SamplingData[[#This Row],[Total]]&lt;&gt; 0, NOT(ISBLANK(SamplingData[[#This Row],[Candidate 7]]))),(SamplingData[[#This Row],[Total]]+SamplingData[[#This Row],[Winning Candidate]]-SamplingData[[#This Row],[Candidate 7]])/(SamplingData[[#Totals],[Winning Candidate]]-SamplingData[[#Totals],[Candidate 7]]), 0)</f>
        <v>0</v>
      </c>
      <c r="W575" s="100">
        <f>IF(AND(SamplingData[[#This Row],[Total]]&lt;&gt; 0, NOT(ISBLANK(SamplingData[[#This Row],[Candidate 8]]))),(SamplingData[[#This Row],[Total]]+SamplingData[[#This Row],[Winning Candidate]]-SamplingData[[#This Row],[Candidate 8]])/(SamplingData[[#Totals],[Winning Candidate]]-SamplingData[[#Totals],[Candidate 8]]), 0)</f>
        <v>0</v>
      </c>
      <c r="X5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00">
        <f>MAX(SamplingData[[#This Row],[Error Bound (up) - Max. possible relative overstatement - Losing Candidate]:[Error Bound (up) - Max. possible relative overstatement - Candidate 12]])</f>
        <v>2.0730596475798599E-3</v>
      </c>
      <c r="AC575" s="100">
        <f>IF(SamplingData[[#This Row],[Max Error Bound (up)]] = 0,0,SamplingData[[#This Row],[Max Error Bound (up)]]/SamplingData[[#Totals],[Max Error Bound (up)]])</f>
        <v>8.8838636730738201E-4</v>
      </c>
      <c r="AD575" s="104">
        <f>SUM($AC$5:AC575)</f>
        <v>0.13141388036396939</v>
      </c>
      <c r="AE575" s="100" t="str" cm="1">
        <f t="array" ref="AE575">IF(SamplingData[[#This Row],[up/U Selection Probability]] = 0, "Zero", TEXT(SamplingData[[#This Row],[Lower Range]], REPT("0",LEN('General Info'!$B$42))) &amp; " - " &amp; TEXT(SamplingData[[#This Row],[Upper Range]], REPT("0",LEN('General Info'!$B$42))))</f>
        <v>13053 - 13140</v>
      </c>
      <c r="AF575" s="100">
        <f>SamplingData[[#This Row],[Upper Range]]-SamplingData[[#This Row],[Span]]</f>
        <v>13052.549399666203</v>
      </c>
      <c r="AG575" s="100">
        <f>IF(ISNUMBER('General Info'!$B$42), ((SamplingData[[#This Row],[up/U Selection Probability]]) * 'General Info'!$B$44) - 1, 0)</f>
        <v>87.838636730738202</v>
      </c>
      <c r="AH575" s="100">
        <f>IF(ISNUMBER('General Info'!$B$42), (SamplingData[[#This Row],[Running (cumulative) sum]] * ('General Info'!$B$42 -'General Info'!$B$43 + 1)) + 'General Info'!$B$43 - 1, 0)</f>
        <v>13140.38803639694</v>
      </c>
      <c r="AI575" s="100" t="str">
        <f>IF(ISERROR(MATCH(SamplingData[[#This Row],[Batch by Type (p)]],SelectedPrecincts[Batch Name], 0)), "", INDEX(SelectedPrecincts[Draw], MATCH(SamplingData[[#This Row],[Batch by Type (p)]],SelectedPrecincts[Batch Name], 0)))</f>
        <v/>
      </c>
      <c r="AJ575" s="101">
        <f>IF(COUNTIF(SelectedPrecincts[Batch Name],SamplingData[[#This Row],[Batch by Type (p)]]) &lt;&gt; 0, COUNTIF(SelectedPrecincts[Batch Name],SamplingData[[#This Row],[Batch by Type (p)]]), 0)</f>
        <v>0</v>
      </c>
    </row>
    <row r="576" spans="1:36" ht="15" customHeight="1" x14ac:dyDescent="0.35">
      <c r="A576" s="98" t="s">
        <v>787</v>
      </c>
      <c r="B576" s="98">
        <v>72</v>
      </c>
      <c r="C576" s="98">
        <v>7</v>
      </c>
      <c r="D576" s="93"/>
      <c r="E576" s="93"/>
      <c r="F576" s="93"/>
      <c r="G576" s="97"/>
      <c r="H576" s="97"/>
      <c r="I576" s="93"/>
      <c r="J576" s="93"/>
      <c r="K576" s="93"/>
      <c r="L576" s="93"/>
      <c r="M576" s="93"/>
      <c r="N576" s="98">
        <v>1</v>
      </c>
      <c r="O576" s="98">
        <v>1</v>
      </c>
      <c r="P576" s="99">
        <f>SUM(SamplingData[[#This Row],[Winning Candidate]:[Under Votes]])</f>
        <v>81</v>
      </c>
      <c r="Q576" s="100">
        <f>IF(AND(SamplingData[[#This Row],[Total]]&lt;&gt; 0, NOT(ISBLANK(SamplingData[[#This Row],[Losing Candidate]]))),(SamplingData[[#This Row],[Total]]+SamplingData[[#This Row],[Winning Candidate]]-SamplingData[[#This Row],[Losing Candidate]])/(SamplingData[[#Totals],[Winning Candidate]]-SamplingData[[#Totals],[Losing Candidate]]), 0)</f>
        <v>4.5858592204039324E-3</v>
      </c>
      <c r="R576" s="100">
        <f>IF(AND(SamplingData[[#This Row],[Total]]&lt;&gt; 0, NOT(ISBLANK(SamplingData[[#This Row],[Candidate 3]]))),(SamplingData[[#This Row],[Total]]+SamplingData[[#This Row],[Winning Candidate]]-SamplingData[[#This Row],[Candidate 3]])/(SamplingData[[#Totals],[Winning Candidate]]-SamplingData[[#Totals],[Candidate 3]]), 0)</f>
        <v>0</v>
      </c>
      <c r="S576" s="100">
        <f>IF(AND(SamplingData[[#This Row],[Total]]&lt;&gt; 0, NOT(ISBLANK(SamplingData[[#This Row],[Candidate 4]]))),(SamplingData[[#This Row],[Total]]+SamplingData[[#This Row],[Winning Candidate]]-SamplingData[[#This Row],[Candidate 4]])/(SamplingData[[#Totals],[Winning Candidate]]-SamplingData[[#Totals],[Candidate 4]]), 0)</f>
        <v>0</v>
      </c>
      <c r="T576" s="100">
        <f>IF(AND(SamplingData[[#This Row],[Total]]&lt;&gt; 0, NOT(ISBLANK(SamplingData[[#This Row],[Candidate 5]]))),(SamplingData[[#This Row],[Total]]+SamplingData[[#This Row],[Winning Candidate]]-SamplingData[[#This Row],[Candidate 5]])/(SamplingData[[#Totals],[Winning Candidate]]-SamplingData[[#Totals],[Candidate 5]]), 0)</f>
        <v>0</v>
      </c>
      <c r="U576" s="100">
        <f>IF(AND(SamplingData[[#This Row],[Total]]&lt;&gt; 0, NOT(ISBLANK(SamplingData[[#This Row],[Candidate 6]]))),(SamplingData[[#This Row],[Total]]+SamplingData[[#This Row],[Losing Candidate]]-SamplingData[[#This Row],[Candidate 6]])/(SamplingData[[#Totals],[Winning Candidate]]-SamplingData[[#Totals],[Candidate 6]]), 0)</f>
        <v>0</v>
      </c>
      <c r="V576" s="100">
        <f>IF(AND(SamplingData[[#This Row],[Total]]&lt;&gt; 0, NOT(ISBLANK(SamplingData[[#This Row],[Candidate 7]]))),(SamplingData[[#This Row],[Total]]+SamplingData[[#This Row],[Winning Candidate]]-SamplingData[[#This Row],[Candidate 7]])/(SamplingData[[#Totals],[Winning Candidate]]-SamplingData[[#Totals],[Candidate 7]]), 0)</f>
        <v>0</v>
      </c>
      <c r="W576" s="100">
        <f>IF(AND(SamplingData[[#This Row],[Total]]&lt;&gt; 0, NOT(ISBLANK(SamplingData[[#This Row],[Candidate 8]]))),(SamplingData[[#This Row],[Total]]+SamplingData[[#This Row],[Winning Candidate]]-SamplingData[[#This Row],[Candidate 8]])/(SamplingData[[#Totals],[Winning Candidate]]-SamplingData[[#Totals],[Candidate 8]]), 0)</f>
        <v>0</v>
      </c>
      <c r="X5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00">
        <f>MAX(SamplingData[[#This Row],[Error Bound (up) - Max. possible relative overstatement - Losing Candidate]:[Error Bound (up) - Max. possible relative overstatement - Candidate 12]])</f>
        <v>4.5858592204039324E-3</v>
      </c>
      <c r="AC576" s="100">
        <f>IF(SamplingData[[#This Row],[Max Error Bound (up)]] = 0,0,SamplingData[[#This Row],[Max Error Bound (up)]]/SamplingData[[#Totals],[Max Error Bound (up)]])</f>
        <v>1.965218327679966E-3</v>
      </c>
      <c r="AD576" s="104">
        <f>SUM($AC$5:AC576)</f>
        <v>0.13337909869164935</v>
      </c>
      <c r="AE576" s="100" t="str" cm="1">
        <f t="array" ref="AE576">IF(SamplingData[[#This Row],[up/U Selection Probability]] = 0, "Zero", TEXT(SamplingData[[#This Row],[Lower Range]], REPT("0",LEN('General Info'!$B$42))) &amp; " - " &amp; TEXT(SamplingData[[#This Row],[Upper Range]], REPT("0",LEN('General Info'!$B$42))))</f>
        <v>13141 - 13337</v>
      </c>
      <c r="AF576" s="100">
        <f>SamplingData[[#This Row],[Upper Range]]-SamplingData[[#This Row],[Span]]</f>
        <v>13141.388036396938</v>
      </c>
      <c r="AG576" s="100">
        <f>IF(ISNUMBER('General Info'!$B$42), ((SamplingData[[#This Row],[up/U Selection Probability]]) * 'General Info'!$B$44) - 1, 0)</f>
        <v>195.52183276799659</v>
      </c>
      <c r="AH576" s="100">
        <f>IF(ISNUMBER('General Info'!$B$42), (SamplingData[[#This Row],[Running (cumulative) sum]] * ('General Info'!$B$42 -'General Info'!$B$43 + 1)) + 'General Info'!$B$43 - 1, 0)</f>
        <v>13336.909869164934</v>
      </c>
      <c r="AI576" s="100" t="str">
        <f>IF(ISERROR(MATCH(SamplingData[[#This Row],[Batch by Type (p)]],SelectedPrecincts[Batch Name], 0)), "", INDEX(SelectedPrecincts[Draw], MATCH(SamplingData[[#This Row],[Batch by Type (p)]],SelectedPrecincts[Batch Name], 0)))</f>
        <v/>
      </c>
      <c r="AJ576" s="101">
        <f>IF(COUNTIF(SelectedPrecincts[Batch Name],SamplingData[[#This Row],[Batch by Type (p)]]) &lt;&gt; 0, COUNTIF(SelectedPrecincts[Batch Name],SamplingData[[#This Row],[Batch by Type (p)]]), 0)</f>
        <v>0</v>
      </c>
    </row>
    <row r="577" spans="1:36" ht="15" customHeight="1" x14ac:dyDescent="0.35">
      <c r="A577" s="98" t="s">
        <v>788</v>
      </c>
      <c r="B577" s="98">
        <v>55</v>
      </c>
      <c r="C577" s="98">
        <v>6</v>
      </c>
      <c r="D577" s="93"/>
      <c r="E577" s="93"/>
      <c r="F577" s="93"/>
      <c r="G577" s="97"/>
      <c r="H577" s="97"/>
      <c r="I577" s="93"/>
      <c r="J577" s="93"/>
      <c r="K577" s="93"/>
      <c r="L577" s="93"/>
      <c r="M577" s="93"/>
      <c r="N577" s="98">
        <v>0</v>
      </c>
      <c r="O577" s="98">
        <v>0</v>
      </c>
      <c r="P577" s="99">
        <f>SUM(SamplingData[[#This Row],[Winning Candidate]:[Under Votes]])</f>
        <v>61</v>
      </c>
      <c r="Q577" s="100">
        <f>IF(AND(SamplingData[[#This Row],[Total]]&lt;&gt; 0, NOT(ISBLANK(SamplingData[[#This Row],[Losing Candidate]]))),(SamplingData[[#This Row],[Total]]+SamplingData[[#This Row],[Winning Candidate]]-SamplingData[[#This Row],[Losing Candidate]])/(SamplingData[[#Totals],[Winning Candidate]]-SamplingData[[#Totals],[Losing Candidate]]), 0)</f>
        <v>3.4550994126330997E-3</v>
      </c>
      <c r="R577" s="100">
        <f>IF(AND(SamplingData[[#This Row],[Total]]&lt;&gt; 0, NOT(ISBLANK(SamplingData[[#This Row],[Candidate 3]]))),(SamplingData[[#This Row],[Total]]+SamplingData[[#This Row],[Winning Candidate]]-SamplingData[[#This Row],[Candidate 3]])/(SamplingData[[#Totals],[Winning Candidate]]-SamplingData[[#Totals],[Candidate 3]]), 0)</f>
        <v>0</v>
      </c>
      <c r="S577" s="100">
        <f>IF(AND(SamplingData[[#This Row],[Total]]&lt;&gt; 0, NOT(ISBLANK(SamplingData[[#This Row],[Candidate 4]]))),(SamplingData[[#This Row],[Total]]+SamplingData[[#This Row],[Winning Candidate]]-SamplingData[[#This Row],[Candidate 4]])/(SamplingData[[#Totals],[Winning Candidate]]-SamplingData[[#Totals],[Candidate 4]]), 0)</f>
        <v>0</v>
      </c>
      <c r="T577" s="100">
        <f>IF(AND(SamplingData[[#This Row],[Total]]&lt;&gt; 0, NOT(ISBLANK(SamplingData[[#This Row],[Candidate 5]]))),(SamplingData[[#This Row],[Total]]+SamplingData[[#This Row],[Winning Candidate]]-SamplingData[[#This Row],[Candidate 5]])/(SamplingData[[#Totals],[Winning Candidate]]-SamplingData[[#Totals],[Candidate 5]]), 0)</f>
        <v>0</v>
      </c>
      <c r="U577" s="100">
        <f>IF(AND(SamplingData[[#This Row],[Total]]&lt;&gt; 0, NOT(ISBLANK(SamplingData[[#This Row],[Candidate 6]]))),(SamplingData[[#This Row],[Total]]+SamplingData[[#This Row],[Losing Candidate]]-SamplingData[[#This Row],[Candidate 6]])/(SamplingData[[#Totals],[Winning Candidate]]-SamplingData[[#Totals],[Candidate 6]]), 0)</f>
        <v>0</v>
      </c>
      <c r="V577" s="100">
        <f>IF(AND(SamplingData[[#This Row],[Total]]&lt;&gt; 0, NOT(ISBLANK(SamplingData[[#This Row],[Candidate 7]]))),(SamplingData[[#This Row],[Total]]+SamplingData[[#This Row],[Winning Candidate]]-SamplingData[[#This Row],[Candidate 7]])/(SamplingData[[#Totals],[Winning Candidate]]-SamplingData[[#Totals],[Candidate 7]]), 0)</f>
        <v>0</v>
      </c>
      <c r="W577" s="100">
        <f>IF(AND(SamplingData[[#This Row],[Total]]&lt;&gt; 0, NOT(ISBLANK(SamplingData[[#This Row],[Candidate 8]]))),(SamplingData[[#This Row],[Total]]+SamplingData[[#This Row],[Winning Candidate]]-SamplingData[[#This Row],[Candidate 8]])/(SamplingData[[#Totals],[Winning Candidate]]-SamplingData[[#Totals],[Candidate 8]]), 0)</f>
        <v>0</v>
      </c>
      <c r="X5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00">
        <f>MAX(SamplingData[[#This Row],[Error Bound (up) - Max. possible relative overstatement - Losing Candidate]:[Error Bound (up) - Max. possible relative overstatement - Candidate 12]])</f>
        <v>3.4550994126330997E-3</v>
      </c>
      <c r="AC577" s="100">
        <f>IF(SamplingData[[#This Row],[Max Error Bound (up)]] = 0,0,SamplingData[[#This Row],[Max Error Bound (up)]]/SamplingData[[#Totals],[Max Error Bound (up)]])</f>
        <v>1.4806439455123032E-3</v>
      </c>
      <c r="AD577" s="104">
        <f>SUM($AC$5:AC577)</f>
        <v>0.13485974263716166</v>
      </c>
      <c r="AE577" s="100" t="str" cm="1">
        <f t="array" ref="AE577">IF(SamplingData[[#This Row],[up/U Selection Probability]] = 0, "Zero", TEXT(SamplingData[[#This Row],[Lower Range]], REPT("0",LEN('General Info'!$B$42))) &amp; " - " &amp; TEXT(SamplingData[[#This Row],[Upper Range]], REPT("0",LEN('General Info'!$B$42))))</f>
        <v>13338 - 13485</v>
      </c>
      <c r="AF577" s="100">
        <f>SamplingData[[#This Row],[Upper Range]]-SamplingData[[#This Row],[Span]]</f>
        <v>13337.909869164934</v>
      </c>
      <c r="AG577" s="100">
        <f>IF(ISNUMBER('General Info'!$B$42), ((SamplingData[[#This Row],[up/U Selection Probability]]) * 'General Info'!$B$44) - 1, 0)</f>
        <v>147.06439455123032</v>
      </c>
      <c r="AH577" s="100">
        <f>IF(ISNUMBER('General Info'!$B$42), (SamplingData[[#This Row],[Running (cumulative) sum]] * ('General Info'!$B$42 -'General Info'!$B$43 + 1)) + 'General Info'!$B$43 - 1, 0)</f>
        <v>13484.974263716165</v>
      </c>
      <c r="AI577" s="100" t="str">
        <f>IF(ISERROR(MATCH(SamplingData[[#This Row],[Batch by Type (p)]],SelectedPrecincts[Batch Name], 0)), "", INDEX(SelectedPrecincts[Draw], MATCH(SamplingData[[#This Row],[Batch by Type (p)]],SelectedPrecincts[Batch Name], 0)))</f>
        <v/>
      </c>
      <c r="AJ577" s="101">
        <f>IF(COUNTIF(SelectedPrecincts[Batch Name],SamplingData[[#This Row],[Batch by Type (p)]]) &lt;&gt; 0, COUNTIF(SelectedPrecincts[Batch Name],SamplingData[[#This Row],[Batch by Type (p)]]), 0)</f>
        <v>0</v>
      </c>
    </row>
    <row r="578" spans="1:36" ht="15" customHeight="1" x14ac:dyDescent="0.35">
      <c r="A578" s="98" t="s">
        <v>789</v>
      </c>
      <c r="B578" s="98">
        <v>30</v>
      </c>
      <c r="C578" s="98">
        <v>5</v>
      </c>
      <c r="D578" s="93"/>
      <c r="E578" s="93"/>
      <c r="F578" s="93"/>
      <c r="G578" s="97"/>
      <c r="H578" s="97"/>
      <c r="I578" s="93"/>
      <c r="J578" s="93"/>
      <c r="K578" s="93"/>
      <c r="L578" s="93"/>
      <c r="M578" s="93"/>
      <c r="N578" s="98">
        <v>0</v>
      </c>
      <c r="O578" s="98">
        <v>0</v>
      </c>
      <c r="P578" s="99">
        <f>SUM(SamplingData[[#This Row],[Winning Candidate]:[Under Votes]])</f>
        <v>35</v>
      </c>
      <c r="Q578"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1.8845996796180544E-3</v>
      </c>
      <c r="R578" s="100">
        <f>IF(AND(SamplingData[[#This Row],[Total]]&lt;&gt; 0, NOT(ISBLANK(SamplingData[[#This Row],[Candidate 3]]))),(SamplingData[[#This Row],[Total]]+SamplingData[[#This Row],[Winning Candidate]]-SamplingData[[#This Row],[Candidate 3]])/(SamplingData[[#Totals],[Winning Candidate]]-SamplingData[[#Totals],[Candidate 3]]), 0)</f>
        <v>0</v>
      </c>
      <c r="S578" s="100">
        <f>IF(AND(SamplingData[[#This Row],[Total]]&lt;&gt; 0, NOT(ISBLANK(SamplingData[[#This Row],[Candidate 4]]))),(SamplingData[[#This Row],[Total]]+SamplingData[[#This Row],[Winning Candidate]]-SamplingData[[#This Row],[Candidate 4]])/(SamplingData[[#Totals],[Winning Candidate]]-SamplingData[[#Totals],[Candidate 4]]), 0)</f>
        <v>0</v>
      </c>
      <c r="T578" s="100">
        <f>IF(AND(SamplingData[[#This Row],[Total]]&lt;&gt; 0, NOT(ISBLANK(SamplingData[[#This Row],[Candidate 5]]))),(SamplingData[[#This Row],[Total]]+SamplingData[[#This Row],[Winning Candidate]]-SamplingData[[#This Row],[Candidate 5]])/(SamplingData[[#Totals],[Winning Candidate]]-SamplingData[[#Totals],[Candidate 5]]), 0)</f>
        <v>0</v>
      </c>
      <c r="U578" s="100">
        <f>IF(AND(SamplingData[[#This Row],[Total]]&lt;&gt; 0, NOT(ISBLANK(SamplingData[[#This Row],[Candidate 6]]))),(SamplingData[[#This Row],[Total]]+SamplingData[[#This Row],[Losing Candidate]]-SamplingData[[#This Row],[Candidate 6]])/(SamplingData[[#Totals],[Winning Candidate]]-SamplingData[[#Totals],[Candidate 6]]), 0)</f>
        <v>0</v>
      </c>
      <c r="V578" s="100">
        <f>IF(AND(SamplingData[[#This Row],[Total]]&lt;&gt; 0, NOT(ISBLANK(SamplingData[[#This Row],[Candidate 7]]))),(SamplingData[[#This Row],[Total]]+SamplingData[[#This Row],[Winning Candidate]]-SamplingData[[#This Row],[Candidate 7]])/(SamplingData[[#Totals],[Winning Candidate]]-SamplingData[[#Totals],[Candidate 7]]), 0)</f>
        <v>0</v>
      </c>
      <c r="W578" s="100">
        <f>IF(AND(SamplingData[[#This Row],[Total]]&lt;&gt; 0, NOT(ISBLANK(SamplingData[[#This Row],[Candidate 8]]))),(SamplingData[[#This Row],[Total]]+SamplingData[[#This Row],[Winning Candidate]]-SamplingData[[#This Row],[Candidate 8]])/(SamplingData[[#Totals],[Winning Candidate]]-SamplingData[[#Totals],[Candidate 8]]), 0)</f>
        <v>0</v>
      </c>
      <c r="X5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00">
        <f>MAX(SamplingData[[#This Row],[Error Bound (up) - Max. possible relative overstatement - Losing Candidate]:[Error Bound (up) - Max. possible relative overstatement - Candidate 12]])</f>
        <v>1.8845996796180544E-3</v>
      </c>
      <c r="AC578" s="100">
        <f>IF(SamplingData[[#This Row],[Max Error Bound (up)]] = 0,0,SamplingData[[#This Row],[Max Error Bound (up)]]/SamplingData[[#Totals],[Max Error Bound (up)]])</f>
        <v>8.0762397027943811E-4</v>
      </c>
      <c r="AD578" s="104">
        <f>SUM($AC$5:AC578)</f>
        <v>0.13566736660744111</v>
      </c>
      <c r="AE578" s="100" t="str" cm="1">
        <f t="array" ref="AE578">IF(SamplingData[[#This Row],[up/U Selection Probability]] = 0, "Zero", TEXT(SamplingData[[#This Row],[Lower Range]], REPT("0",LEN('General Info'!$B$42))) &amp; " - " &amp; TEXT(SamplingData[[#This Row],[Upper Range]], REPT("0",LEN('General Info'!$B$42))))</f>
        <v>13486 - 13566</v>
      </c>
      <c r="AF578" s="100">
        <f>SamplingData[[#This Row],[Upper Range]]-SamplingData[[#This Row],[Span]]</f>
        <v>13485.974263716167</v>
      </c>
      <c r="AG578" s="100">
        <f>IF(ISNUMBER('General Info'!$B$42), ((SamplingData[[#This Row],[up/U Selection Probability]]) * 'General Info'!$B$44) - 1, 0)</f>
        <v>79.762397027943805</v>
      </c>
      <c r="AH578" s="100">
        <f>IF(ISNUMBER('General Info'!$B$42), (SamplingData[[#This Row],[Running (cumulative) sum]] * ('General Info'!$B$42 -'General Info'!$B$43 + 1)) + 'General Info'!$B$43 - 1, 0)</f>
        <v>13565.736660744111</v>
      </c>
      <c r="AI578" s="100" t="str">
        <f>IF(ISERROR(MATCH(SamplingData[[#This Row],[Batch by Type (p)]],SelectedPrecincts[Batch Name], 0)), "", INDEX(SelectedPrecincts[Draw], MATCH(SamplingData[[#This Row],[Batch by Type (p)]],SelectedPrecincts[Batch Name], 0)))</f>
        <v/>
      </c>
      <c r="AJ578" s="101">
        <f>IF(COUNTIF(SelectedPrecincts[Batch Name],SamplingData[[#This Row],[Batch by Type (p)]]) &lt;&gt; 0, COUNTIF(SelectedPrecincts[Batch Name],SamplingData[[#This Row],[Batch by Type (p)]]), 0)</f>
        <v>0</v>
      </c>
    </row>
    <row r="579" spans="1:36" ht="15" customHeight="1" x14ac:dyDescent="0.35">
      <c r="A579" s="98" t="s">
        <v>790</v>
      </c>
      <c r="B579" s="98">
        <v>40</v>
      </c>
      <c r="C579" s="98">
        <v>6</v>
      </c>
      <c r="D579" s="93"/>
      <c r="E579" s="93"/>
      <c r="F579" s="93"/>
      <c r="G579" s="97"/>
      <c r="H579" s="97"/>
      <c r="I579" s="93"/>
      <c r="J579" s="93"/>
      <c r="K579" s="93"/>
      <c r="L579" s="93"/>
      <c r="M579" s="93"/>
      <c r="N579" s="98">
        <v>0</v>
      </c>
      <c r="O579" s="98">
        <v>0</v>
      </c>
      <c r="P579" s="99">
        <f>SUM(SamplingData[[#This Row],[Winning Candidate]:[Under Votes]])</f>
        <v>46</v>
      </c>
      <c r="Q579" s="100">
        <f>IF(AND(SamplingData[[#This Row],[Total]]&lt;&gt; 0, NOT(ISBLANK(SamplingData[[#This Row],[Losing Candidate]]))),(SamplingData[[#This Row],[Total]]+SamplingData[[#This Row],[Winning Candidate]]-SamplingData[[#This Row],[Losing Candidate]])/(SamplingData[[#Totals],[Winning Candidate]]-SamplingData[[#Totals],[Losing Candidate]]), 0)</f>
        <v>2.5127995728240725E-3</v>
      </c>
      <c r="R579" s="100">
        <f>IF(AND(SamplingData[[#This Row],[Total]]&lt;&gt; 0, NOT(ISBLANK(SamplingData[[#This Row],[Candidate 3]]))),(SamplingData[[#This Row],[Total]]+SamplingData[[#This Row],[Winning Candidate]]-SamplingData[[#This Row],[Candidate 3]])/(SamplingData[[#Totals],[Winning Candidate]]-SamplingData[[#Totals],[Candidate 3]]), 0)</f>
        <v>0</v>
      </c>
      <c r="S579" s="100">
        <f>IF(AND(SamplingData[[#This Row],[Total]]&lt;&gt; 0, NOT(ISBLANK(SamplingData[[#This Row],[Candidate 4]]))),(SamplingData[[#This Row],[Total]]+SamplingData[[#This Row],[Winning Candidate]]-SamplingData[[#This Row],[Candidate 4]])/(SamplingData[[#Totals],[Winning Candidate]]-SamplingData[[#Totals],[Candidate 4]]), 0)</f>
        <v>0</v>
      </c>
      <c r="T579" s="100">
        <f>IF(AND(SamplingData[[#This Row],[Total]]&lt;&gt; 0, NOT(ISBLANK(SamplingData[[#This Row],[Candidate 5]]))),(SamplingData[[#This Row],[Total]]+SamplingData[[#This Row],[Winning Candidate]]-SamplingData[[#This Row],[Candidate 5]])/(SamplingData[[#Totals],[Winning Candidate]]-SamplingData[[#Totals],[Candidate 5]]), 0)</f>
        <v>0</v>
      </c>
      <c r="U579" s="100">
        <f>IF(AND(SamplingData[[#This Row],[Total]]&lt;&gt; 0, NOT(ISBLANK(SamplingData[[#This Row],[Candidate 6]]))),(SamplingData[[#This Row],[Total]]+SamplingData[[#This Row],[Losing Candidate]]-SamplingData[[#This Row],[Candidate 6]])/(SamplingData[[#Totals],[Winning Candidate]]-SamplingData[[#Totals],[Candidate 6]]), 0)</f>
        <v>0</v>
      </c>
      <c r="V579" s="100">
        <f>IF(AND(SamplingData[[#This Row],[Total]]&lt;&gt; 0, NOT(ISBLANK(SamplingData[[#This Row],[Candidate 7]]))),(SamplingData[[#This Row],[Total]]+SamplingData[[#This Row],[Winning Candidate]]-SamplingData[[#This Row],[Candidate 7]])/(SamplingData[[#Totals],[Winning Candidate]]-SamplingData[[#Totals],[Candidate 7]]), 0)</f>
        <v>0</v>
      </c>
      <c r="W579" s="100">
        <f>IF(AND(SamplingData[[#This Row],[Total]]&lt;&gt; 0, NOT(ISBLANK(SamplingData[[#This Row],[Candidate 8]]))),(SamplingData[[#This Row],[Total]]+SamplingData[[#This Row],[Winning Candidate]]-SamplingData[[#This Row],[Candidate 8]])/(SamplingData[[#Totals],[Winning Candidate]]-SamplingData[[#Totals],[Candidate 8]]), 0)</f>
        <v>0</v>
      </c>
      <c r="X5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00">
        <f>MAX(SamplingData[[#This Row],[Error Bound (up) - Max. possible relative overstatement - Losing Candidate]:[Error Bound (up) - Max. possible relative overstatement - Candidate 12]])</f>
        <v>2.5127995728240725E-3</v>
      </c>
      <c r="AC579" s="100">
        <f>IF(SamplingData[[#This Row],[Max Error Bound (up)]] = 0,0,SamplingData[[#This Row],[Max Error Bound (up)]]/SamplingData[[#Totals],[Max Error Bound (up)]])</f>
        <v>1.0768319603725843E-3</v>
      </c>
      <c r="AD579" s="104">
        <f>SUM($AC$5:AC579)</f>
        <v>0.1367441985678137</v>
      </c>
      <c r="AE579" s="100" t="str" cm="1">
        <f t="array" ref="AE579">IF(SamplingData[[#This Row],[up/U Selection Probability]] = 0, "Zero", TEXT(SamplingData[[#This Row],[Lower Range]], REPT("0",LEN('General Info'!$B$42))) &amp; " - " &amp; TEXT(SamplingData[[#This Row],[Upper Range]], REPT("0",LEN('General Info'!$B$42))))</f>
        <v>13567 - 13673</v>
      </c>
      <c r="AF579" s="100">
        <f>SamplingData[[#This Row],[Upper Range]]-SamplingData[[#This Row],[Span]]</f>
        <v>13566.736660744111</v>
      </c>
      <c r="AG579" s="100">
        <f>IF(ISNUMBER('General Info'!$B$42), ((SamplingData[[#This Row],[up/U Selection Probability]]) * 'General Info'!$B$44) - 1, 0)</f>
        <v>106.68319603725843</v>
      </c>
      <c r="AH579" s="100">
        <f>IF(ISNUMBER('General Info'!$B$42), (SamplingData[[#This Row],[Running (cumulative) sum]] * ('General Info'!$B$42 -'General Info'!$B$43 + 1)) + 'General Info'!$B$43 - 1, 0)</f>
        <v>13673.419856781369</v>
      </c>
      <c r="AI579" s="100" t="str">
        <f>IF(ISERROR(MATCH(SamplingData[[#This Row],[Batch by Type (p)]],SelectedPrecincts[Batch Name], 0)), "", INDEX(SelectedPrecincts[Draw], MATCH(SamplingData[[#This Row],[Batch by Type (p)]],SelectedPrecincts[Batch Name], 0)))</f>
        <v/>
      </c>
      <c r="AJ579" s="101">
        <f>IF(COUNTIF(SelectedPrecincts[Batch Name],SamplingData[[#This Row],[Batch by Type (p)]]) &lt;&gt; 0, COUNTIF(SelectedPrecincts[Batch Name],SamplingData[[#This Row],[Batch by Type (p)]]), 0)</f>
        <v>0</v>
      </c>
    </row>
    <row r="580" spans="1:36" ht="15" customHeight="1" x14ac:dyDescent="0.35">
      <c r="A580" s="98" t="s">
        <v>791</v>
      </c>
      <c r="B580" s="98">
        <v>41</v>
      </c>
      <c r="C580" s="98">
        <v>3</v>
      </c>
      <c r="D580" s="93"/>
      <c r="E580" s="93"/>
      <c r="F580" s="93"/>
      <c r="G580" s="97"/>
      <c r="H580" s="97"/>
      <c r="I580" s="93"/>
      <c r="J580" s="93"/>
      <c r="K580" s="93"/>
      <c r="L580" s="93"/>
      <c r="M580" s="93"/>
      <c r="N580" s="98">
        <v>0</v>
      </c>
      <c r="O580" s="98">
        <v>1</v>
      </c>
      <c r="P580" s="99">
        <f>SUM(SamplingData[[#This Row],[Winning Candidate]:[Under Votes]])</f>
        <v>45</v>
      </c>
      <c r="Q580" s="100">
        <f>IF(AND(SamplingData[[#This Row],[Total]]&lt;&gt; 0, NOT(ISBLANK(SamplingData[[#This Row],[Losing Candidate]]))),(SamplingData[[#This Row],[Total]]+SamplingData[[#This Row],[Winning Candidate]]-SamplingData[[#This Row],[Losing Candidate]])/(SamplingData[[#Totals],[Winning Candidate]]-SamplingData[[#Totals],[Losing Candidate]]), 0)</f>
        <v>2.6070295568049752E-3</v>
      </c>
      <c r="R580" s="100">
        <f>IF(AND(SamplingData[[#This Row],[Total]]&lt;&gt; 0, NOT(ISBLANK(SamplingData[[#This Row],[Candidate 3]]))),(SamplingData[[#This Row],[Total]]+SamplingData[[#This Row],[Winning Candidate]]-SamplingData[[#This Row],[Candidate 3]])/(SamplingData[[#Totals],[Winning Candidate]]-SamplingData[[#Totals],[Candidate 3]]), 0)</f>
        <v>0</v>
      </c>
      <c r="S580" s="100">
        <f>IF(AND(SamplingData[[#This Row],[Total]]&lt;&gt; 0, NOT(ISBLANK(SamplingData[[#This Row],[Candidate 4]]))),(SamplingData[[#This Row],[Total]]+SamplingData[[#This Row],[Winning Candidate]]-SamplingData[[#This Row],[Candidate 4]])/(SamplingData[[#Totals],[Winning Candidate]]-SamplingData[[#Totals],[Candidate 4]]), 0)</f>
        <v>0</v>
      </c>
      <c r="T580" s="100">
        <f>IF(AND(SamplingData[[#This Row],[Total]]&lt;&gt; 0, NOT(ISBLANK(SamplingData[[#This Row],[Candidate 5]]))),(SamplingData[[#This Row],[Total]]+SamplingData[[#This Row],[Winning Candidate]]-SamplingData[[#This Row],[Candidate 5]])/(SamplingData[[#Totals],[Winning Candidate]]-SamplingData[[#Totals],[Candidate 5]]), 0)</f>
        <v>0</v>
      </c>
      <c r="U580" s="100">
        <f>IF(AND(SamplingData[[#This Row],[Total]]&lt;&gt; 0, NOT(ISBLANK(SamplingData[[#This Row],[Candidate 6]]))),(SamplingData[[#This Row],[Total]]+SamplingData[[#This Row],[Losing Candidate]]-SamplingData[[#This Row],[Candidate 6]])/(SamplingData[[#Totals],[Winning Candidate]]-SamplingData[[#Totals],[Candidate 6]]), 0)</f>
        <v>0</v>
      </c>
      <c r="V580" s="100">
        <f>IF(AND(SamplingData[[#This Row],[Total]]&lt;&gt; 0, NOT(ISBLANK(SamplingData[[#This Row],[Candidate 7]]))),(SamplingData[[#This Row],[Total]]+SamplingData[[#This Row],[Winning Candidate]]-SamplingData[[#This Row],[Candidate 7]])/(SamplingData[[#Totals],[Winning Candidate]]-SamplingData[[#Totals],[Candidate 7]]), 0)</f>
        <v>0</v>
      </c>
      <c r="W580" s="100">
        <f>IF(AND(SamplingData[[#This Row],[Total]]&lt;&gt; 0, NOT(ISBLANK(SamplingData[[#This Row],[Candidate 8]]))),(SamplingData[[#This Row],[Total]]+SamplingData[[#This Row],[Winning Candidate]]-SamplingData[[#This Row],[Candidate 8]])/(SamplingData[[#Totals],[Winning Candidate]]-SamplingData[[#Totals],[Candidate 8]]), 0)</f>
        <v>0</v>
      </c>
      <c r="X5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00">
        <f>MAX(SamplingData[[#This Row],[Error Bound (up) - Max. possible relative overstatement - Losing Candidate]:[Error Bound (up) - Max. possible relative overstatement - Candidate 12]])</f>
        <v>2.6070295568049752E-3</v>
      </c>
      <c r="AC580" s="100">
        <f>IF(SamplingData[[#This Row],[Max Error Bound (up)]] = 0,0,SamplingData[[#This Row],[Max Error Bound (up)]]/SamplingData[[#Totals],[Max Error Bound (up)]])</f>
        <v>1.1172131588865562E-3</v>
      </c>
      <c r="AD580" s="104">
        <f>SUM($AC$5:AC580)</f>
        <v>0.13786141172670024</v>
      </c>
      <c r="AE580" s="100" t="str" cm="1">
        <f t="array" ref="AE580">IF(SamplingData[[#This Row],[up/U Selection Probability]] = 0, "Zero", TEXT(SamplingData[[#This Row],[Lower Range]], REPT("0",LEN('General Info'!$B$42))) &amp; " - " &amp; TEXT(SamplingData[[#This Row],[Upper Range]], REPT("0",LEN('General Info'!$B$42))))</f>
        <v>13674 - 13785</v>
      </c>
      <c r="AF580" s="100">
        <f>SamplingData[[#This Row],[Upper Range]]-SamplingData[[#This Row],[Span]]</f>
        <v>13674.419856781369</v>
      </c>
      <c r="AG580" s="100">
        <f>IF(ISNUMBER('General Info'!$B$42), ((SamplingData[[#This Row],[up/U Selection Probability]]) * 'General Info'!$B$44) - 1, 0)</f>
        <v>110.72131588865562</v>
      </c>
      <c r="AH580" s="100">
        <f>IF(ISNUMBER('General Info'!$B$42), (SamplingData[[#This Row],[Running (cumulative) sum]] * ('General Info'!$B$42 -'General Info'!$B$43 + 1)) + 'General Info'!$B$43 - 1, 0)</f>
        <v>13785.141172670024</v>
      </c>
      <c r="AI580" s="100" t="str">
        <f>IF(ISERROR(MATCH(SamplingData[[#This Row],[Batch by Type (p)]],SelectedPrecincts[Batch Name], 0)), "", INDEX(SelectedPrecincts[Draw], MATCH(SamplingData[[#This Row],[Batch by Type (p)]],SelectedPrecincts[Batch Name], 0)))</f>
        <v/>
      </c>
      <c r="AJ580" s="101">
        <f>IF(COUNTIF(SelectedPrecincts[Batch Name],SamplingData[[#This Row],[Batch by Type (p)]]) &lt;&gt; 0, COUNTIF(SelectedPrecincts[Batch Name],SamplingData[[#This Row],[Batch by Type (p)]]), 0)</f>
        <v>0</v>
      </c>
    </row>
    <row r="581" spans="1:36" ht="15" customHeight="1" x14ac:dyDescent="0.35">
      <c r="A581" s="98" t="s">
        <v>792</v>
      </c>
      <c r="B581" s="98">
        <v>17</v>
      </c>
      <c r="C581" s="98">
        <v>6</v>
      </c>
      <c r="D581" s="93"/>
      <c r="E581" s="93"/>
      <c r="F581" s="93"/>
      <c r="G581" s="97"/>
      <c r="H581" s="97"/>
      <c r="I581" s="93"/>
      <c r="J581" s="93"/>
      <c r="K581" s="93"/>
      <c r="L581" s="93"/>
      <c r="M581" s="93"/>
      <c r="N581" s="98">
        <v>0</v>
      </c>
      <c r="O581" s="98">
        <v>0</v>
      </c>
      <c r="P581" s="99">
        <f>SUM(SamplingData[[#This Row],[Winning Candidate]:[Under Votes]])</f>
        <v>23</v>
      </c>
      <c r="Q581"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581" s="100">
        <f>IF(AND(SamplingData[[#This Row],[Total]]&lt;&gt; 0, NOT(ISBLANK(SamplingData[[#This Row],[Candidate 3]]))),(SamplingData[[#This Row],[Total]]+SamplingData[[#This Row],[Winning Candidate]]-SamplingData[[#This Row],[Candidate 3]])/(SamplingData[[#Totals],[Winning Candidate]]-SamplingData[[#Totals],[Candidate 3]]), 0)</f>
        <v>0</v>
      </c>
      <c r="S581" s="100">
        <f>IF(AND(SamplingData[[#This Row],[Total]]&lt;&gt; 0, NOT(ISBLANK(SamplingData[[#This Row],[Candidate 4]]))),(SamplingData[[#This Row],[Total]]+SamplingData[[#This Row],[Winning Candidate]]-SamplingData[[#This Row],[Candidate 4]])/(SamplingData[[#Totals],[Winning Candidate]]-SamplingData[[#Totals],[Candidate 4]]), 0)</f>
        <v>0</v>
      </c>
      <c r="T581" s="100">
        <f>IF(AND(SamplingData[[#This Row],[Total]]&lt;&gt; 0, NOT(ISBLANK(SamplingData[[#This Row],[Candidate 5]]))),(SamplingData[[#This Row],[Total]]+SamplingData[[#This Row],[Winning Candidate]]-SamplingData[[#This Row],[Candidate 5]])/(SamplingData[[#Totals],[Winning Candidate]]-SamplingData[[#Totals],[Candidate 5]]), 0)</f>
        <v>0</v>
      </c>
      <c r="U581" s="100">
        <f>IF(AND(SamplingData[[#This Row],[Total]]&lt;&gt; 0, NOT(ISBLANK(SamplingData[[#This Row],[Candidate 6]]))),(SamplingData[[#This Row],[Total]]+SamplingData[[#This Row],[Losing Candidate]]-SamplingData[[#This Row],[Candidate 6]])/(SamplingData[[#Totals],[Winning Candidate]]-SamplingData[[#Totals],[Candidate 6]]), 0)</f>
        <v>0</v>
      </c>
      <c r="V581" s="100">
        <f>IF(AND(SamplingData[[#This Row],[Total]]&lt;&gt; 0, NOT(ISBLANK(SamplingData[[#This Row],[Candidate 7]]))),(SamplingData[[#This Row],[Total]]+SamplingData[[#This Row],[Winning Candidate]]-SamplingData[[#This Row],[Candidate 7]])/(SamplingData[[#Totals],[Winning Candidate]]-SamplingData[[#Totals],[Candidate 7]]), 0)</f>
        <v>0</v>
      </c>
      <c r="W581" s="100">
        <f>IF(AND(SamplingData[[#This Row],[Total]]&lt;&gt; 0, NOT(ISBLANK(SamplingData[[#This Row],[Candidate 8]]))),(SamplingData[[#This Row],[Total]]+SamplingData[[#This Row],[Winning Candidate]]-SamplingData[[#This Row],[Candidate 8]])/(SamplingData[[#Totals],[Winning Candidate]]-SamplingData[[#Totals],[Candidate 8]]), 0)</f>
        <v>0</v>
      </c>
      <c r="X5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00">
        <f>MAX(SamplingData[[#This Row],[Error Bound (up) - Max. possible relative overstatement - Losing Candidate]:[Error Bound (up) - Max. possible relative overstatement - Candidate 12]])</f>
        <v>1.0679398184502309E-3</v>
      </c>
      <c r="AC581" s="100">
        <f>IF(SamplingData[[#This Row],[Max Error Bound (up)]] = 0,0,SamplingData[[#This Row],[Max Error Bound (up)]]/SamplingData[[#Totals],[Max Error Bound (up)]])</f>
        <v>4.5765358315834836E-4</v>
      </c>
      <c r="AD581" s="104">
        <f>SUM($AC$5:AC581)</f>
        <v>0.1383190653098586</v>
      </c>
      <c r="AE581" s="100" t="str" cm="1">
        <f t="array" ref="AE581">IF(SamplingData[[#This Row],[up/U Selection Probability]] = 0, "Zero", TEXT(SamplingData[[#This Row],[Lower Range]], REPT("0",LEN('General Info'!$B$42))) &amp; " - " &amp; TEXT(SamplingData[[#This Row],[Upper Range]], REPT("0",LEN('General Info'!$B$42))))</f>
        <v>13786 - 13831</v>
      </c>
      <c r="AF581" s="100">
        <f>SamplingData[[#This Row],[Upper Range]]-SamplingData[[#This Row],[Span]]</f>
        <v>13786.141172670024</v>
      </c>
      <c r="AG581" s="100">
        <f>IF(ISNUMBER('General Info'!$B$42), ((SamplingData[[#This Row],[up/U Selection Probability]]) * 'General Info'!$B$44) - 1, 0)</f>
        <v>44.765358315834838</v>
      </c>
      <c r="AH581" s="100">
        <f>IF(ISNUMBER('General Info'!$B$42), (SamplingData[[#This Row],[Running (cumulative) sum]] * ('General Info'!$B$42 -'General Info'!$B$43 + 1)) + 'General Info'!$B$43 - 1, 0)</f>
        <v>13830.90653098586</v>
      </c>
      <c r="AI581" s="100" t="str">
        <f>IF(ISERROR(MATCH(SamplingData[[#This Row],[Batch by Type (p)]],SelectedPrecincts[Batch Name], 0)), "", INDEX(SelectedPrecincts[Draw], MATCH(SamplingData[[#This Row],[Batch by Type (p)]],SelectedPrecincts[Batch Name], 0)))</f>
        <v/>
      </c>
      <c r="AJ581" s="101">
        <f>IF(COUNTIF(SelectedPrecincts[Batch Name],SamplingData[[#This Row],[Batch by Type (p)]]) &lt;&gt; 0, COUNTIF(SelectedPrecincts[Batch Name],SamplingData[[#This Row],[Batch by Type (p)]]), 0)</f>
        <v>0</v>
      </c>
    </row>
    <row r="582" spans="1:36" ht="15" customHeight="1" x14ac:dyDescent="0.35">
      <c r="A582" s="98" t="s">
        <v>793</v>
      </c>
      <c r="B582" s="98">
        <v>15</v>
      </c>
      <c r="C582" s="98">
        <v>2</v>
      </c>
      <c r="D582" s="93"/>
      <c r="E582" s="93"/>
      <c r="F582" s="93"/>
      <c r="G582" s="97"/>
      <c r="H582" s="97"/>
      <c r="I582" s="93"/>
      <c r="J582" s="93"/>
      <c r="K582" s="93"/>
      <c r="L582" s="93"/>
      <c r="M582" s="93"/>
      <c r="N582" s="98">
        <v>0</v>
      </c>
      <c r="O582" s="98">
        <v>0</v>
      </c>
      <c r="P582" s="99">
        <f>SUM(SamplingData[[#This Row],[Winning Candidate]:[Under Votes]])</f>
        <v>17</v>
      </c>
      <c r="Q582"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582" s="100">
        <f>IF(AND(SamplingData[[#This Row],[Total]]&lt;&gt; 0, NOT(ISBLANK(SamplingData[[#This Row],[Candidate 3]]))),(SamplingData[[#This Row],[Total]]+SamplingData[[#This Row],[Winning Candidate]]-SamplingData[[#This Row],[Candidate 3]])/(SamplingData[[#Totals],[Winning Candidate]]-SamplingData[[#Totals],[Candidate 3]]), 0)</f>
        <v>0</v>
      </c>
      <c r="S582" s="100">
        <f>IF(AND(SamplingData[[#This Row],[Total]]&lt;&gt; 0, NOT(ISBLANK(SamplingData[[#This Row],[Candidate 4]]))),(SamplingData[[#This Row],[Total]]+SamplingData[[#This Row],[Winning Candidate]]-SamplingData[[#This Row],[Candidate 4]])/(SamplingData[[#Totals],[Winning Candidate]]-SamplingData[[#Totals],[Candidate 4]]), 0)</f>
        <v>0</v>
      </c>
      <c r="T582" s="100">
        <f>IF(AND(SamplingData[[#This Row],[Total]]&lt;&gt; 0, NOT(ISBLANK(SamplingData[[#This Row],[Candidate 5]]))),(SamplingData[[#This Row],[Total]]+SamplingData[[#This Row],[Winning Candidate]]-SamplingData[[#This Row],[Candidate 5]])/(SamplingData[[#Totals],[Winning Candidate]]-SamplingData[[#Totals],[Candidate 5]]), 0)</f>
        <v>0</v>
      </c>
      <c r="U582" s="100">
        <f>IF(AND(SamplingData[[#This Row],[Total]]&lt;&gt; 0, NOT(ISBLANK(SamplingData[[#This Row],[Candidate 6]]))),(SamplingData[[#This Row],[Total]]+SamplingData[[#This Row],[Losing Candidate]]-SamplingData[[#This Row],[Candidate 6]])/(SamplingData[[#Totals],[Winning Candidate]]-SamplingData[[#Totals],[Candidate 6]]), 0)</f>
        <v>0</v>
      </c>
      <c r="V582" s="100">
        <f>IF(AND(SamplingData[[#This Row],[Total]]&lt;&gt; 0, NOT(ISBLANK(SamplingData[[#This Row],[Candidate 7]]))),(SamplingData[[#This Row],[Total]]+SamplingData[[#This Row],[Winning Candidate]]-SamplingData[[#This Row],[Candidate 7]])/(SamplingData[[#Totals],[Winning Candidate]]-SamplingData[[#Totals],[Candidate 7]]), 0)</f>
        <v>0</v>
      </c>
      <c r="W582" s="100">
        <f>IF(AND(SamplingData[[#This Row],[Total]]&lt;&gt; 0, NOT(ISBLANK(SamplingData[[#This Row],[Candidate 8]]))),(SamplingData[[#This Row],[Total]]+SamplingData[[#This Row],[Winning Candidate]]-SamplingData[[#This Row],[Candidate 8]])/(SamplingData[[#Totals],[Winning Candidate]]-SamplingData[[#Totals],[Candidate 8]]), 0)</f>
        <v>0</v>
      </c>
      <c r="X5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00">
        <f>MAX(SamplingData[[#This Row],[Error Bound (up) - Max. possible relative overstatement - Losing Candidate]:[Error Bound (up) - Max. possible relative overstatement - Candidate 12]])</f>
        <v>9.4229983980902718E-4</v>
      </c>
      <c r="AC582" s="100">
        <f>IF(SamplingData[[#This Row],[Max Error Bound (up)]] = 0,0,SamplingData[[#This Row],[Max Error Bound (up)]]/SamplingData[[#Totals],[Max Error Bound (up)]])</f>
        <v>4.0381198513971905E-4</v>
      </c>
      <c r="AD582" s="104">
        <f>SUM($AC$5:AC582)</f>
        <v>0.13872287729499833</v>
      </c>
      <c r="AE582" s="100" t="str" cm="1">
        <f t="array" ref="AE582">IF(SamplingData[[#This Row],[up/U Selection Probability]] = 0, "Zero", TEXT(SamplingData[[#This Row],[Lower Range]], REPT("0",LEN('General Info'!$B$42))) &amp; " - " &amp; TEXT(SamplingData[[#This Row],[Upper Range]], REPT("0",LEN('General Info'!$B$42))))</f>
        <v>13832 - 13871</v>
      </c>
      <c r="AF582" s="100">
        <f>SamplingData[[#This Row],[Upper Range]]-SamplingData[[#This Row],[Span]]</f>
        <v>13831.90653098586</v>
      </c>
      <c r="AG582" s="100">
        <f>IF(ISNUMBER('General Info'!$B$42), ((SamplingData[[#This Row],[up/U Selection Probability]]) * 'General Info'!$B$44) - 1, 0)</f>
        <v>39.381198513971903</v>
      </c>
      <c r="AH582" s="100">
        <f>IF(ISNUMBER('General Info'!$B$42), (SamplingData[[#This Row],[Running (cumulative) sum]] * ('General Info'!$B$42 -'General Info'!$B$43 + 1)) + 'General Info'!$B$43 - 1, 0)</f>
        <v>13871.287729499832</v>
      </c>
      <c r="AI582" s="100" t="str">
        <f>IF(ISERROR(MATCH(SamplingData[[#This Row],[Batch by Type (p)]],SelectedPrecincts[Batch Name], 0)), "", INDEX(SelectedPrecincts[Draw], MATCH(SamplingData[[#This Row],[Batch by Type (p)]],SelectedPrecincts[Batch Name], 0)))</f>
        <v/>
      </c>
      <c r="AJ582" s="101">
        <f>IF(COUNTIF(SelectedPrecincts[Batch Name],SamplingData[[#This Row],[Batch by Type (p)]]) &lt;&gt; 0, COUNTIF(SelectedPrecincts[Batch Name],SamplingData[[#This Row],[Batch by Type (p)]]), 0)</f>
        <v>0</v>
      </c>
    </row>
    <row r="583" spans="1:36" ht="15" customHeight="1" x14ac:dyDescent="0.35">
      <c r="A583" s="98" t="s">
        <v>794</v>
      </c>
      <c r="B583" s="98">
        <v>13</v>
      </c>
      <c r="C583" s="98">
        <v>4</v>
      </c>
      <c r="D583" s="93"/>
      <c r="E583" s="93"/>
      <c r="F583" s="93"/>
      <c r="G583" s="97"/>
      <c r="H583" s="97"/>
      <c r="I583" s="93"/>
      <c r="J583" s="93"/>
      <c r="K583" s="93"/>
      <c r="L583" s="93"/>
      <c r="M583" s="93"/>
      <c r="N583" s="98">
        <v>0</v>
      </c>
      <c r="O583" s="98">
        <v>0</v>
      </c>
      <c r="P583" s="99">
        <f>SUM(SamplingData[[#This Row],[Winning Candidate]:[Under Votes]])</f>
        <v>17</v>
      </c>
      <c r="Q583"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583" s="100">
        <f>IF(AND(SamplingData[[#This Row],[Total]]&lt;&gt; 0, NOT(ISBLANK(SamplingData[[#This Row],[Candidate 3]]))),(SamplingData[[#This Row],[Total]]+SamplingData[[#This Row],[Winning Candidate]]-SamplingData[[#This Row],[Candidate 3]])/(SamplingData[[#Totals],[Winning Candidate]]-SamplingData[[#Totals],[Candidate 3]]), 0)</f>
        <v>0</v>
      </c>
      <c r="S583" s="100">
        <f>IF(AND(SamplingData[[#This Row],[Total]]&lt;&gt; 0, NOT(ISBLANK(SamplingData[[#This Row],[Candidate 4]]))),(SamplingData[[#This Row],[Total]]+SamplingData[[#This Row],[Winning Candidate]]-SamplingData[[#This Row],[Candidate 4]])/(SamplingData[[#Totals],[Winning Candidate]]-SamplingData[[#Totals],[Candidate 4]]), 0)</f>
        <v>0</v>
      </c>
      <c r="T583" s="100">
        <f>IF(AND(SamplingData[[#This Row],[Total]]&lt;&gt; 0, NOT(ISBLANK(SamplingData[[#This Row],[Candidate 5]]))),(SamplingData[[#This Row],[Total]]+SamplingData[[#This Row],[Winning Candidate]]-SamplingData[[#This Row],[Candidate 5]])/(SamplingData[[#Totals],[Winning Candidate]]-SamplingData[[#Totals],[Candidate 5]]), 0)</f>
        <v>0</v>
      </c>
      <c r="U583" s="100">
        <f>IF(AND(SamplingData[[#This Row],[Total]]&lt;&gt; 0, NOT(ISBLANK(SamplingData[[#This Row],[Candidate 6]]))),(SamplingData[[#This Row],[Total]]+SamplingData[[#This Row],[Losing Candidate]]-SamplingData[[#This Row],[Candidate 6]])/(SamplingData[[#Totals],[Winning Candidate]]-SamplingData[[#Totals],[Candidate 6]]), 0)</f>
        <v>0</v>
      </c>
      <c r="V583" s="100">
        <f>IF(AND(SamplingData[[#This Row],[Total]]&lt;&gt; 0, NOT(ISBLANK(SamplingData[[#This Row],[Candidate 7]]))),(SamplingData[[#This Row],[Total]]+SamplingData[[#This Row],[Winning Candidate]]-SamplingData[[#This Row],[Candidate 7]])/(SamplingData[[#Totals],[Winning Candidate]]-SamplingData[[#Totals],[Candidate 7]]), 0)</f>
        <v>0</v>
      </c>
      <c r="W583" s="100">
        <f>IF(AND(SamplingData[[#This Row],[Total]]&lt;&gt; 0, NOT(ISBLANK(SamplingData[[#This Row],[Candidate 8]]))),(SamplingData[[#This Row],[Total]]+SamplingData[[#This Row],[Winning Candidate]]-SamplingData[[#This Row],[Candidate 8]])/(SamplingData[[#Totals],[Winning Candidate]]-SamplingData[[#Totals],[Candidate 8]]), 0)</f>
        <v>0</v>
      </c>
      <c r="X5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00">
        <f>MAX(SamplingData[[#This Row],[Error Bound (up) - Max. possible relative overstatement - Losing Candidate]:[Error Bound (up) - Max. possible relative overstatement - Candidate 12]])</f>
        <v>8.1665986116782364E-4</v>
      </c>
      <c r="AC583" s="100">
        <f>IF(SamplingData[[#This Row],[Max Error Bound (up)]] = 0,0,SamplingData[[#This Row],[Max Error Bound (up)]]/SamplingData[[#Totals],[Max Error Bound (up)]])</f>
        <v>3.4997038712108992E-4</v>
      </c>
      <c r="AD583" s="104">
        <f>SUM($AC$5:AC583)</f>
        <v>0.13907284768211942</v>
      </c>
      <c r="AE583" s="100" t="str" cm="1">
        <f t="array" ref="AE583">IF(SamplingData[[#This Row],[up/U Selection Probability]] = 0, "Zero", TEXT(SamplingData[[#This Row],[Lower Range]], REPT("0",LEN('General Info'!$B$42))) &amp; " - " &amp; TEXT(SamplingData[[#This Row],[Upper Range]], REPT("0",LEN('General Info'!$B$42))))</f>
        <v>13872 - 13906</v>
      </c>
      <c r="AF583" s="100">
        <f>SamplingData[[#This Row],[Upper Range]]-SamplingData[[#This Row],[Span]]</f>
        <v>13872.287729499832</v>
      </c>
      <c r="AG583" s="100">
        <f>IF(ISNUMBER('General Info'!$B$42), ((SamplingData[[#This Row],[up/U Selection Probability]]) * 'General Info'!$B$44) - 1, 0)</f>
        <v>33.997038712108989</v>
      </c>
      <c r="AH583" s="100">
        <f>IF(ISNUMBER('General Info'!$B$42), (SamplingData[[#This Row],[Running (cumulative) sum]] * ('General Info'!$B$42 -'General Info'!$B$43 + 1)) + 'General Info'!$B$43 - 1, 0)</f>
        <v>13906.284768211941</v>
      </c>
      <c r="AI583" s="100" t="str">
        <f>IF(ISERROR(MATCH(SamplingData[[#This Row],[Batch by Type (p)]],SelectedPrecincts[Batch Name], 0)), "", INDEX(SelectedPrecincts[Draw], MATCH(SamplingData[[#This Row],[Batch by Type (p)]],SelectedPrecincts[Batch Name], 0)))</f>
        <v/>
      </c>
      <c r="AJ583" s="101">
        <f>IF(COUNTIF(SelectedPrecincts[Batch Name],SamplingData[[#This Row],[Batch by Type (p)]]) &lt;&gt; 0, COUNTIF(SelectedPrecincts[Batch Name],SamplingData[[#This Row],[Batch by Type (p)]]), 0)</f>
        <v>0</v>
      </c>
    </row>
    <row r="584" spans="1:36" ht="15" customHeight="1" x14ac:dyDescent="0.35">
      <c r="A584" s="98" t="s">
        <v>795</v>
      </c>
      <c r="B584" s="98">
        <v>39</v>
      </c>
      <c r="C584" s="98">
        <v>4</v>
      </c>
      <c r="D584" s="93"/>
      <c r="E584" s="93"/>
      <c r="F584" s="93"/>
      <c r="G584" s="97"/>
      <c r="H584" s="97"/>
      <c r="I584" s="93"/>
      <c r="J584" s="93"/>
      <c r="K584" s="93"/>
      <c r="L584" s="93"/>
      <c r="M584" s="93"/>
      <c r="N584" s="98">
        <v>0</v>
      </c>
      <c r="O584" s="98">
        <v>0</v>
      </c>
      <c r="P584" s="99">
        <f>SUM(SamplingData[[#This Row],[Winning Candidate]:[Under Votes]])</f>
        <v>43</v>
      </c>
      <c r="Q584" s="100">
        <f>IF(AND(SamplingData[[#This Row],[Total]]&lt;&gt; 0, NOT(ISBLANK(SamplingData[[#This Row],[Losing Candidate]]))),(SamplingData[[#This Row],[Total]]+SamplingData[[#This Row],[Winning Candidate]]-SamplingData[[#This Row],[Losing Candidate]])/(SamplingData[[#Totals],[Winning Candidate]]-SamplingData[[#Totals],[Losing Candidate]]), 0)</f>
        <v>2.4499795835034709E-3</v>
      </c>
      <c r="R584" s="100">
        <f>IF(AND(SamplingData[[#This Row],[Total]]&lt;&gt; 0, NOT(ISBLANK(SamplingData[[#This Row],[Candidate 3]]))),(SamplingData[[#This Row],[Total]]+SamplingData[[#This Row],[Winning Candidate]]-SamplingData[[#This Row],[Candidate 3]])/(SamplingData[[#Totals],[Winning Candidate]]-SamplingData[[#Totals],[Candidate 3]]), 0)</f>
        <v>0</v>
      </c>
      <c r="S584" s="100">
        <f>IF(AND(SamplingData[[#This Row],[Total]]&lt;&gt; 0, NOT(ISBLANK(SamplingData[[#This Row],[Candidate 4]]))),(SamplingData[[#This Row],[Total]]+SamplingData[[#This Row],[Winning Candidate]]-SamplingData[[#This Row],[Candidate 4]])/(SamplingData[[#Totals],[Winning Candidate]]-SamplingData[[#Totals],[Candidate 4]]), 0)</f>
        <v>0</v>
      </c>
      <c r="T584" s="100">
        <f>IF(AND(SamplingData[[#This Row],[Total]]&lt;&gt; 0, NOT(ISBLANK(SamplingData[[#This Row],[Candidate 5]]))),(SamplingData[[#This Row],[Total]]+SamplingData[[#This Row],[Winning Candidate]]-SamplingData[[#This Row],[Candidate 5]])/(SamplingData[[#Totals],[Winning Candidate]]-SamplingData[[#Totals],[Candidate 5]]), 0)</f>
        <v>0</v>
      </c>
      <c r="U584" s="100">
        <f>IF(AND(SamplingData[[#This Row],[Total]]&lt;&gt; 0, NOT(ISBLANK(SamplingData[[#This Row],[Candidate 6]]))),(SamplingData[[#This Row],[Total]]+SamplingData[[#This Row],[Losing Candidate]]-SamplingData[[#This Row],[Candidate 6]])/(SamplingData[[#Totals],[Winning Candidate]]-SamplingData[[#Totals],[Candidate 6]]), 0)</f>
        <v>0</v>
      </c>
      <c r="V584" s="100">
        <f>IF(AND(SamplingData[[#This Row],[Total]]&lt;&gt; 0, NOT(ISBLANK(SamplingData[[#This Row],[Candidate 7]]))),(SamplingData[[#This Row],[Total]]+SamplingData[[#This Row],[Winning Candidate]]-SamplingData[[#This Row],[Candidate 7]])/(SamplingData[[#Totals],[Winning Candidate]]-SamplingData[[#Totals],[Candidate 7]]), 0)</f>
        <v>0</v>
      </c>
      <c r="W584" s="100">
        <f>IF(AND(SamplingData[[#This Row],[Total]]&lt;&gt; 0, NOT(ISBLANK(SamplingData[[#This Row],[Candidate 8]]))),(SamplingData[[#This Row],[Total]]+SamplingData[[#This Row],[Winning Candidate]]-SamplingData[[#This Row],[Candidate 8]])/(SamplingData[[#Totals],[Winning Candidate]]-SamplingData[[#Totals],[Candidate 8]]), 0)</f>
        <v>0</v>
      </c>
      <c r="X5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00">
        <f>MAX(SamplingData[[#This Row],[Error Bound (up) - Max. possible relative overstatement - Losing Candidate]:[Error Bound (up) - Max. possible relative overstatement - Candidate 12]])</f>
        <v>2.4499795835034709E-3</v>
      </c>
      <c r="AC584" s="100">
        <f>IF(SamplingData[[#This Row],[Max Error Bound (up)]] = 0,0,SamplingData[[#This Row],[Max Error Bound (up)]]/SamplingData[[#Totals],[Max Error Bound (up)]])</f>
        <v>1.0499111613632697E-3</v>
      </c>
      <c r="AD584" s="104">
        <f>SUM($AC$5:AC584)</f>
        <v>0.14012275884348269</v>
      </c>
      <c r="AE584" s="100" t="str" cm="1">
        <f t="array" ref="AE584">IF(SamplingData[[#This Row],[up/U Selection Probability]] = 0, "Zero", TEXT(SamplingData[[#This Row],[Lower Range]], REPT("0",LEN('General Info'!$B$42))) &amp; " - " &amp; TEXT(SamplingData[[#This Row],[Upper Range]], REPT("0",LEN('General Info'!$B$42))))</f>
        <v>13907 - 14011</v>
      </c>
      <c r="AF584" s="100">
        <f>SamplingData[[#This Row],[Upper Range]]-SamplingData[[#This Row],[Span]]</f>
        <v>13907.284768211941</v>
      </c>
      <c r="AG584" s="100">
        <f>IF(ISNUMBER('General Info'!$B$42), ((SamplingData[[#This Row],[up/U Selection Probability]]) * 'General Info'!$B$44) - 1, 0)</f>
        <v>103.99111613632697</v>
      </c>
      <c r="AH584" s="100">
        <f>IF(ISNUMBER('General Info'!$B$42), (SamplingData[[#This Row],[Running (cumulative) sum]] * ('General Info'!$B$42 -'General Info'!$B$43 + 1)) + 'General Info'!$B$43 - 1, 0)</f>
        <v>14011.275884348268</v>
      </c>
      <c r="AI584" s="100" t="str">
        <f>IF(ISERROR(MATCH(SamplingData[[#This Row],[Batch by Type (p)]],SelectedPrecincts[Batch Name], 0)), "", INDEX(SelectedPrecincts[Draw], MATCH(SamplingData[[#This Row],[Batch by Type (p)]],SelectedPrecincts[Batch Name], 0)))</f>
        <v/>
      </c>
      <c r="AJ584" s="101">
        <f>IF(COUNTIF(SelectedPrecincts[Batch Name],SamplingData[[#This Row],[Batch by Type (p)]]) &lt;&gt; 0, COUNTIF(SelectedPrecincts[Batch Name],SamplingData[[#This Row],[Batch by Type (p)]]), 0)</f>
        <v>0</v>
      </c>
    </row>
    <row r="585" spans="1:36" ht="15" customHeight="1" x14ac:dyDescent="0.35">
      <c r="A585" s="98" t="s">
        <v>796</v>
      </c>
      <c r="B585" s="98">
        <v>29</v>
      </c>
      <c r="C585" s="98">
        <v>4</v>
      </c>
      <c r="D585" s="93"/>
      <c r="E585" s="93"/>
      <c r="F585" s="93"/>
      <c r="G585" s="97"/>
      <c r="H585" s="97"/>
      <c r="I585" s="93"/>
      <c r="J585" s="93"/>
      <c r="K585" s="93"/>
      <c r="L585" s="93"/>
      <c r="M585" s="93"/>
      <c r="N585" s="98">
        <v>0</v>
      </c>
      <c r="O585" s="98">
        <v>0</v>
      </c>
      <c r="P585" s="99">
        <f>SUM(SamplingData[[#This Row],[Winning Candidate]:[Under Votes]])</f>
        <v>33</v>
      </c>
      <c r="Q585"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585" s="100">
        <f>IF(AND(SamplingData[[#This Row],[Total]]&lt;&gt; 0, NOT(ISBLANK(SamplingData[[#This Row],[Candidate 3]]))),(SamplingData[[#This Row],[Total]]+SamplingData[[#This Row],[Winning Candidate]]-SamplingData[[#This Row],[Candidate 3]])/(SamplingData[[#Totals],[Winning Candidate]]-SamplingData[[#Totals],[Candidate 3]]), 0)</f>
        <v>0</v>
      </c>
      <c r="S585" s="100">
        <f>IF(AND(SamplingData[[#This Row],[Total]]&lt;&gt; 0, NOT(ISBLANK(SamplingData[[#This Row],[Candidate 4]]))),(SamplingData[[#This Row],[Total]]+SamplingData[[#This Row],[Winning Candidate]]-SamplingData[[#This Row],[Candidate 4]])/(SamplingData[[#Totals],[Winning Candidate]]-SamplingData[[#Totals],[Candidate 4]]), 0)</f>
        <v>0</v>
      </c>
      <c r="T585" s="100">
        <f>IF(AND(SamplingData[[#This Row],[Total]]&lt;&gt; 0, NOT(ISBLANK(SamplingData[[#This Row],[Candidate 5]]))),(SamplingData[[#This Row],[Total]]+SamplingData[[#This Row],[Winning Candidate]]-SamplingData[[#This Row],[Candidate 5]])/(SamplingData[[#Totals],[Winning Candidate]]-SamplingData[[#Totals],[Candidate 5]]), 0)</f>
        <v>0</v>
      </c>
      <c r="U585" s="100">
        <f>IF(AND(SamplingData[[#This Row],[Total]]&lt;&gt; 0, NOT(ISBLANK(SamplingData[[#This Row],[Candidate 6]]))),(SamplingData[[#This Row],[Total]]+SamplingData[[#This Row],[Losing Candidate]]-SamplingData[[#This Row],[Candidate 6]])/(SamplingData[[#Totals],[Winning Candidate]]-SamplingData[[#Totals],[Candidate 6]]), 0)</f>
        <v>0</v>
      </c>
      <c r="V585" s="100">
        <f>IF(AND(SamplingData[[#This Row],[Total]]&lt;&gt; 0, NOT(ISBLANK(SamplingData[[#This Row],[Candidate 7]]))),(SamplingData[[#This Row],[Total]]+SamplingData[[#This Row],[Winning Candidate]]-SamplingData[[#This Row],[Candidate 7]])/(SamplingData[[#Totals],[Winning Candidate]]-SamplingData[[#Totals],[Candidate 7]]), 0)</f>
        <v>0</v>
      </c>
      <c r="W585" s="100">
        <f>IF(AND(SamplingData[[#This Row],[Total]]&lt;&gt; 0, NOT(ISBLANK(SamplingData[[#This Row],[Candidate 8]]))),(SamplingData[[#This Row],[Total]]+SamplingData[[#This Row],[Winning Candidate]]-SamplingData[[#This Row],[Candidate 8]])/(SamplingData[[#Totals],[Winning Candidate]]-SamplingData[[#Totals],[Candidate 8]]), 0)</f>
        <v>0</v>
      </c>
      <c r="X5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00">
        <f>MAX(SamplingData[[#This Row],[Error Bound (up) - Max. possible relative overstatement - Losing Candidate]:[Error Bound (up) - Max. possible relative overstatement - Candidate 12]])</f>
        <v>1.8217796902974526E-3</v>
      </c>
      <c r="AC585" s="100">
        <f>IF(SamplingData[[#This Row],[Max Error Bound (up)]] = 0,0,SamplingData[[#This Row],[Max Error Bound (up)]]/SamplingData[[#Totals],[Max Error Bound (up)]])</f>
        <v>7.8070317127012351E-4</v>
      </c>
      <c r="AD585" s="104">
        <f>SUM($AC$5:AC585)</f>
        <v>0.14090346201475282</v>
      </c>
      <c r="AE585" s="100" t="str" cm="1">
        <f t="array" ref="AE585">IF(SamplingData[[#This Row],[up/U Selection Probability]] = 0, "Zero", TEXT(SamplingData[[#This Row],[Lower Range]], REPT("0",LEN('General Info'!$B$42))) &amp; " - " &amp; TEXT(SamplingData[[#This Row],[Upper Range]], REPT("0",LEN('General Info'!$B$42))))</f>
        <v>14012 - 14089</v>
      </c>
      <c r="AF585" s="100">
        <f>SamplingData[[#This Row],[Upper Range]]-SamplingData[[#This Row],[Span]]</f>
        <v>14012.27588434827</v>
      </c>
      <c r="AG585" s="100">
        <f>IF(ISNUMBER('General Info'!$B$42), ((SamplingData[[#This Row],[up/U Selection Probability]]) * 'General Info'!$B$44) - 1, 0)</f>
        <v>77.070317127012345</v>
      </c>
      <c r="AH585" s="100">
        <f>IF(ISNUMBER('General Info'!$B$42), (SamplingData[[#This Row],[Running (cumulative) sum]] * ('General Info'!$B$42 -'General Info'!$B$43 + 1)) + 'General Info'!$B$43 - 1, 0)</f>
        <v>14089.346201475282</v>
      </c>
      <c r="AI585" s="100" t="str">
        <f>IF(ISERROR(MATCH(SamplingData[[#This Row],[Batch by Type (p)]],SelectedPrecincts[Batch Name], 0)), "", INDEX(SelectedPrecincts[Draw], MATCH(SamplingData[[#This Row],[Batch by Type (p)]],SelectedPrecincts[Batch Name], 0)))</f>
        <v/>
      </c>
      <c r="AJ585" s="101">
        <f>IF(COUNTIF(SelectedPrecincts[Batch Name],SamplingData[[#This Row],[Batch by Type (p)]]) &lt;&gt; 0, COUNTIF(SelectedPrecincts[Batch Name],SamplingData[[#This Row],[Batch by Type (p)]]), 0)</f>
        <v>0</v>
      </c>
    </row>
    <row r="586" spans="1:36" ht="15" customHeight="1" x14ac:dyDescent="0.35">
      <c r="A586" s="98" t="s">
        <v>797</v>
      </c>
      <c r="B586" s="98">
        <v>18</v>
      </c>
      <c r="C586" s="98">
        <v>2</v>
      </c>
      <c r="D586" s="93"/>
      <c r="E586" s="93"/>
      <c r="F586" s="93"/>
      <c r="G586" s="97"/>
      <c r="H586" s="97"/>
      <c r="I586" s="93"/>
      <c r="J586" s="93"/>
      <c r="K586" s="93"/>
      <c r="L586" s="93"/>
      <c r="M586" s="93"/>
      <c r="N586" s="98">
        <v>0</v>
      </c>
      <c r="O586" s="98">
        <v>0</v>
      </c>
      <c r="P586" s="99">
        <f>SUM(SamplingData[[#This Row],[Winning Candidate]:[Under Votes]])</f>
        <v>20</v>
      </c>
      <c r="Q586"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586" s="100">
        <f>IF(AND(SamplingData[[#This Row],[Total]]&lt;&gt; 0, NOT(ISBLANK(SamplingData[[#This Row],[Candidate 3]]))),(SamplingData[[#This Row],[Total]]+SamplingData[[#This Row],[Winning Candidate]]-SamplingData[[#This Row],[Candidate 3]])/(SamplingData[[#Totals],[Winning Candidate]]-SamplingData[[#Totals],[Candidate 3]]), 0)</f>
        <v>0</v>
      </c>
      <c r="S586" s="100">
        <f>IF(AND(SamplingData[[#This Row],[Total]]&lt;&gt; 0, NOT(ISBLANK(SamplingData[[#This Row],[Candidate 4]]))),(SamplingData[[#This Row],[Total]]+SamplingData[[#This Row],[Winning Candidate]]-SamplingData[[#This Row],[Candidate 4]])/(SamplingData[[#Totals],[Winning Candidate]]-SamplingData[[#Totals],[Candidate 4]]), 0)</f>
        <v>0</v>
      </c>
      <c r="T586" s="100">
        <f>IF(AND(SamplingData[[#This Row],[Total]]&lt;&gt; 0, NOT(ISBLANK(SamplingData[[#This Row],[Candidate 5]]))),(SamplingData[[#This Row],[Total]]+SamplingData[[#This Row],[Winning Candidate]]-SamplingData[[#This Row],[Candidate 5]])/(SamplingData[[#Totals],[Winning Candidate]]-SamplingData[[#Totals],[Candidate 5]]), 0)</f>
        <v>0</v>
      </c>
      <c r="U586" s="100">
        <f>IF(AND(SamplingData[[#This Row],[Total]]&lt;&gt; 0, NOT(ISBLANK(SamplingData[[#This Row],[Candidate 6]]))),(SamplingData[[#This Row],[Total]]+SamplingData[[#This Row],[Losing Candidate]]-SamplingData[[#This Row],[Candidate 6]])/(SamplingData[[#Totals],[Winning Candidate]]-SamplingData[[#Totals],[Candidate 6]]), 0)</f>
        <v>0</v>
      </c>
      <c r="V586" s="100">
        <f>IF(AND(SamplingData[[#This Row],[Total]]&lt;&gt; 0, NOT(ISBLANK(SamplingData[[#This Row],[Candidate 7]]))),(SamplingData[[#This Row],[Total]]+SamplingData[[#This Row],[Winning Candidate]]-SamplingData[[#This Row],[Candidate 7]])/(SamplingData[[#Totals],[Winning Candidate]]-SamplingData[[#Totals],[Candidate 7]]), 0)</f>
        <v>0</v>
      </c>
      <c r="W586" s="100">
        <f>IF(AND(SamplingData[[#This Row],[Total]]&lt;&gt; 0, NOT(ISBLANK(SamplingData[[#This Row],[Candidate 8]]))),(SamplingData[[#This Row],[Total]]+SamplingData[[#This Row],[Winning Candidate]]-SamplingData[[#This Row],[Candidate 8]])/(SamplingData[[#Totals],[Winning Candidate]]-SamplingData[[#Totals],[Candidate 8]]), 0)</f>
        <v>0</v>
      </c>
      <c r="X5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00">
        <f>MAX(SamplingData[[#This Row],[Error Bound (up) - Max. possible relative overstatement - Losing Candidate]:[Error Bound (up) - Max. possible relative overstatement - Candidate 12]])</f>
        <v>1.1307598077708327E-3</v>
      </c>
      <c r="AC586" s="100">
        <f>IF(SamplingData[[#This Row],[Max Error Bound (up)]] = 0,0,SamplingData[[#This Row],[Max Error Bound (up)]]/SamplingData[[#Totals],[Max Error Bound (up)]])</f>
        <v>4.845743821676629E-4</v>
      </c>
      <c r="AD586" s="104">
        <f>SUM($AC$5:AC586)</f>
        <v>0.14138803639692049</v>
      </c>
      <c r="AE586" s="100" t="str" cm="1">
        <f t="array" ref="AE586">IF(SamplingData[[#This Row],[up/U Selection Probability]] = 0, "Zero", TEXT(SamplingData[[#This Row],[Lower Range]], REPT("0",LEN('General Info'!$B$42))) &amp; " - " &amp; TEXT(SamplingData[[#This Row],[Upper Range]], REPT("0",LEN('General Info'!$B$42))))</f>
        <v>14090 - 14138</v>
      </c>
      <c r="AF586" s="100">
        <f>SamplingData[[#This Row],[Upper Range]]-SamplingData[[#This Row],[Span]]</f>
        <v>14090.346201475282</v>
      </c>
      <c r="AG586" s="100">
        <f>IF(ISNUMBER('General Info'!$B$42), ((SamplingData[[#This Row],[up/U Selection Probability]]) * 'General Info'!$B$44) - 1, 0)</f>
        <v>47.457438216766292</v>
      </c>
      <c r="AH586" s="100">
        <f>IF(ISNUMBER('General Info'!$B$42), (SamplingData[[#This Row],[Running (cumulative) sum]] * ('General Info'!$B$42 -'General Info'!$B$43 + 1)) + 'General Info'!$B$43 - 1, 0)</f>
        <v>14137.803639692049</v>
      </c>
      <c r="AI586" s="100" t="str">
        <f>IF(ISERROR(MATCH(SamplingData[[#This Row],[Batch by Type (p)]],SelectedPrecincts[Batch Name], 0)), "", INDEX(SelectedPrecincts[Draw], MATCH(SamplingData[[#This Row],[Batch by Type (p)]],SelectedPrecincts[Batch Name], 0)))</f>
        <v/>
      </c>
      <c r="AJ586" s="101">
        <f>IF(COUNTIF(SelectedPrecincts[Batch Name],SamplingData[[#This Row],[Batch by Type (p)]]) &lt;&gt; 0, COUNTIF(SelectedPrecincts[Batch Name],SamplingData[[#This Row],[Batch by Type (p)]]), 0)</f>
        <v>0</v>
      </c>
    </row>
    <row r="587" spans="1:36" ht="15" customHeight="1" x14ac:dyDescent="0.35">
      <c r="A587" s="98" t="s">
        <v>798</v>
      </c>
      <c r="B587" s="98">
        <v>44</v>
      </c>
      <c r="C587" s="98">
        <v>8</v>
      </c>
      <c r="D587" s="93"/>
      <c r="E587" s="93"/>
      <c r="F587" s="93"/>
      <c r="G587" s="97"/>
      <c r="H587" s="97"/>
      <c r="I587" s="93"/>
      <c r="J587" s="93"/>
      <c r="K587" s="93"/>
      <c r="L587" s="93"/>
      <c r="M587" s="93"/>
      <c r="N587" s="98">
        <v>0</v>
      </c>
      <c r="O587" s="98">
        <v>0</v>
      </c>
      <c r="P587" s="99">
        <f>SUM(SamplingData[[#This Row],[Winning Candidate]:[Under Votes]])</f>
        <v>52</v>
      </c>
      <c r="Q587" s="100">
        <f>IF(AND(SamplingData[[#This Row],[Total]]&lt;&gt; 0, NOT(ISBLANK(SamplingData[[#This Row],[Losing Candidate]]))),(SamplingData[[#This Row],[Total]]+SamplingData[[#This Row],[Winning Candidate]]-SamplingData[[#This Row],[Losing Candidate]])/(SamplingData[[#Totals],[Winning Candidate]]-SamplingData[[#Totals],[Losing Candidate]]), 0)</f>
        <v>2.76407953010648E-3</v>
      </c>
      <c r="R587" s="100">
        <f>IF(AND(SamplingData[[#This Row],[Total]]&lt;&gt; 0, NOT(ISBLANK(SamplingData[[#This Row],[Candidate 3]]))),(SamplingData[[#This Row],[Total]]+SamplingData[[#This Row],[Winning Candidate]]-SamplingData[[#This Row],[Candidate 3]])/(SamplingData[[#Totals],[Winning Candidate]]-SamplingData[[#Totals],[Candidate 3]]), 0)</f>
        <v>0</v>
      </c>
      <c r="S587" s="100">
        <f>IF(AND(SamplingData[[#This Row],[Total]]&lt;&gt; 0, NOT(ISBLANK(SamplingData[[#This Row],[Candidate 4]]))),(SamplingData[[#This Row],[Total]]+SamplingData[[#This Row],[Winning Candidate]]-SamplingData[[#This Row],[Candidate 4]])/(SamplingData[[#Totals],[Winning Candidate]]-SamplingData[[#Totals],[Candidate 4]]), 0)</f>
        <v>0</v>
      </c>
      <c r="T587" s="100">
        <f>IF(AND(SamplingData[[#This Row],[Total]]&lt;&gt; 0, NOT(ISBLANK(SamplingData[[#This Row],[Candidate 5]]))),(SamplingData[[#This Row],[Total]]+SamplingData[[#This Row],[Winning Candidate]]-SamplingData[[#This Row],[Candidate 5]])/(SamplingData[[#Totals],[Winning Candidate]]-SamplingData[[#Totals],[Candidate 5]]), 0)</f>
        <v>0</v>
      </c>
      <c r="U587" s="100">
        <f>IF(AND(SamplingData[[#This Row],[Total]]&lt;&gt; 0, NOT(ISBLANK(SamplingData[[#This Row],[Candidate 6]]))),(SamplingData[[#This Row],[Total]]+SamplingData[[#This Row],[Losing Candidate]]-SamplingData[[#This Row],[Candidate 6]])/(SamplingData[[#Totals],[Winning Candidate]]-SamplingData[[#Totals],[Candidate 6]]), 0)</f>
        <v>0</v>
      </c>
      <c r="V587" s="100">
        <f>IF(AND(SamplingData[[#This Row],[Total]]&lt;&gt; 0, NOT(ISBLANK(SamplingData[[#This Row],[Candidate 7]]))),(SamplingData[[#This Row],[Total]]+SamplingData[[#This Row],[Winning Candidate]]-SamplingData[[#This Row],[Candidate 7]])/(SamplingData[[#Totals],[Winning Candidate]]-SamplingData[[#Totals],[Candidate 7]]), 0)</f>
        <v>0</v>
      </c>
      <c r="W587" s="100">
        <f>IF(AND(SamplingData[[#This Row],[Total]]&lt;&gt; 0, NOT(ISBLANK(SamplingData[[#This Row],[Candidate 8]]))),(SamplingData[[#This Row],[Total]]+SamplingData[[#This Row],[Winning Candidate]]-SamplingData[[#This Row],[Candidate 8]])/(SamplingData[[#Totals],[Winning Candidate]]-SamplingData[[#Totals],[Candidate 8]]), 0)</f>
        <v>0</v>
      </c>
      <c r="X5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00">
        <f>MAX(SamplingData[[#This Row],[Error Bound (up) - Max. possible relative overstatement - Losing Candidate]:[Error Bound (up) - Max. possible relative overstatement - Candidate 12]])</f>
        <v>2.76407953010648E-3</v>
      </c>
      <c r="AC587" s="100">
        <f>IF(SamplingData[[#This Row],[Max Error Bound (up)]] = 0,0,SamplingData[[#This Row],[Max Error Bound (up)]]/SamplingData[[#Totals],[Max Error Bound (up)]])</f>
        <v>1.1845151564098427E-3</v>
      </c>
      <c r="AD587" s="104">
        <f>SUM($AC$5:AC587)</f>
        <v>0.14257255155333035</v>
      </c>
      <c r="AE587" s="100" t="str" cm="1">
        <f t="array" ref="AE587">IF(SamplingData[[#This Row],[up/U Selection Probability]] = 0, "Zero", TEXT(SamplingData[[#This Row],[Lower Range]], REPT("0",LEN('General Info'!$B$42))) &amp; " - " &amp; TEXT(SamplingData[[#This Row],[Upper Range]], REPT("0",LEN('General Info'!$B$42))))</f>
        <v>14139 - 14256</v>
      </c>
      <c r="AF587" s="100">
        <f>SamplingData[[#This Row],[Upper Range]]-SamplingData[[#This Row],[Span]]</f>
        <v>14138.803639692051</v>
      </c>
      <c r="AG587" s="100">
        <f>IF(ISNUMBER('General Info'!$B$42), ((SamplingData[[#This Row],[up/U Selection Probability]]) * 'General Info'!$B$44) - 1, 0)</f>
        <v>117.45151564098427</v>
      </c>
      <c r="AH587" s="100">
        <f>IF(ISNUMBER('General Info'!$B$42), (SamplingData[[#This Row],[Running (cumulative) sum]] * ('General Info'!$B$42 -'General Info'!$B$43 + 1)) + 'General Info'!$B$43 - 1, 0)</f>
        <v>14256.255155333034</v>
      </c>
      <c r="AI587" s="100" t="str">
        <f>IF(ISERROR(MATCH(SamplingData[[#This Row],[Batch by Type (p)]],SelectedPrecincts[Batch Name], 0)), "", INDEX(SelectedPrecincts[Draw], MATCH(SamplingData[[#This Row],[Batch by Type (p)]],SelectedPrecincts[Batch Name], 0)))</f>
        <v/>
      </c>
      <c r="AJ587" s="101">
        <f>IF(COUNTIF(SelectedPrecincts[Batch Name],SamplingData[[#This Row],[Batch by Type (p)]]) &lt;&gt; 0, COUNTIF(SelectedPrecincts[Batch Name],SamplingData[[#This Row],[Batch by Type (p)]]), 0)</f>
        <v>0</v>
      </c>
    </row>
    <row r="588" spans="1:36" ht="15" customHeight="1" x14ac:dyDescent="0.35">
      <c r="A588" s="98" t="s">
        <v>799</v>
      </c>
      <c r="B588" s="98">
        <v>10</v>
      </c>
      <c r="C588" s="98">
        <v>2</v>
      </c>
      <c r="D588" s="93"/>
      <c r="E588" s="93"/>
      <c r="F588" s="93"/>
      <c r="G588" s="97"/>
      <c r="H588" s="97"/>
      <c r="I588" s="93"/>
      <c r="J588" s="93"/>
      <c r="K588" s="93"/>
      <c r="L588" s="93"/>
      <c r="M588" s="93"/>
      <c r="N588" s="98">
        <v>0</v>
      </c>
      <c r="O588" s="98">
        <v>0</v>
      </c>
      <c r="P588" s="99">
        <f>SUM(SamplingData[[#This Row],[Winning Candidate]:[Under Votes]])</f>
        <v>12</v>
      </c>
      <c r="Q588"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588" s="100">
        <f>IF(AND(SamplingData[[#This Row],[Total]]&lt;&gt; 0, NOT(ISBLANK(SamplingData[[#This Row],[Candidate 3]]))),(SamplingData[[#This Row],[Total]]+SamplingData[[#This Row],[Winning Candidate]]-SamplingData[[#This Row],[Candidate 3]])/(SamplingData[[#Totals],[Winning Candidate]]-SamplingData[[#Totals],[Candidate 3]]), 0)</f>
        <v>0</v>
      </c>
      <c r="S588" s="100">
        <f>IF(AND(SamplingData[[#This Row],[Total]]&lt;&gt; 0, NOT(ISBLANK(SamplingData[[#This Row],[Candidate 4]]))),(SamplingData[[#This Row],[Total]]+SamplingData[[#This Row],[Winning Candidate]]-SamplingData[[#This Row],[Candidate 4]])/(SamplingData[[#Totals],[Winning Candidate]]-SamplingData[[#Totals],[Candidate 4]]), 0)</f>
        <v>0</v>
      </c>
      <c r="T588" s="100">
        <f>IF(AND(SamplingData[[#This Row],[Total]]&lt;&gt; 0, NOT(ISBLANK(SamplingData[[#This Row],[Candidate 5]]))),(SamplingData[[#This Row],[Total]]+SamplingData[[#This Row],[Winning Candidate]]-SamplingData[[#This Row],[Candidate 5]])/(SamplingData[[#Totals],[Winning Candidate]]-SamplingData[[#Totals],[Candidate 5]]), 0)</f>
        <v>0</v>
      </c>
      <c r="U588" s="100">
        <f>IF(AND(SamplingData[[#This Row],[Total]]&lt;&gt; 0, NOT(ISBLANK(SamplingData[[#This Row],[Candidate 6]]))),(SamplingData[[#This Row],[Total]]+SamplingData[[#This Row],[Losing Candidate]]-SamplingData[[#This Row],[Candidate 6]])/(SamplingData[[#Totals],[Winning Candidate]]-SamplingData[[#Totals],[Candidate 6]]), 0)</f>
        <v>0</v>
      </c>
      <c r="V588" s="100">
        <f>IF(AND(SamplingData[[#This Row],[Total]]&lt;&gt; 0, NOT(ISBLANK(SamplingData[[#This Row],[Candidate 7]]))),(SamplingData[[#This Row],[Total]]+SamplingData[[#This Row],[Winning Candidate]]-SamplingData[[#This Row],[Candidate 7]])/(SamplingData[[#Totals],[Winning Candidate]]-SamplingData[[#Totals],[Candidate 7]]), 0)</f>
        <v>0</v>
      </c>
      <c r="W588" s="100">
        <f>IF(AND(SamplingData[[#This Row],[Total]]&lt;&gt; 0, NOT(ISBLANK(SamplingData[[#This Row],[Candidate 8]]))),(SamplingData[[#This Row],[Total]]+SamplingData[[#This Row],[Winning Candidate]]-SamplingData[[#This Row],[Candidate 8]])/(SamplingData[[#Totals],[Winning Candidate]]-SamplingData[[#Totals],[Candidate 8]]), 0)</f>
        <v>0</v>
      </c>
      <c r="X5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00">
        <f>MAX(SamplingData[[#This Row],[Error Bound (up) - Max. possible relative overstatement - Losing Candidate]:[Error Bound (up) - Max. possible relative overstatement - Candidate 12]])</f>
        <v>6.2819989320601812E-4</v>
      </c>
      <c r="AC588" s="100">
        <f>IF(SamplingData[[#This Row],[Max Error Bound (up)]] = 0,0,SamplingData[[#This Row],[Max Error Bound (up)]]/SamplingData[[#Totals],[Max Error Bound (up)]])</f>
        <v>2.6920799009314607E-4</v>
      </c>
      <c r="AD588" s="104">
        <f>SUM($AC$5:AC588)</f>
        <v>0.14284175954342349</v>
      </c>
      <c r="AE588" s="100" t="str" cm="1">
        <f t="array" ref="AE588">IF(SamplingData[[#This Row],[up/U Selection Probability]] = 0, "Zero", TEXT(SamplingData[[#This Row],[Lower Range]], REPT("0",LEN('General Info'!$B$42))) &amp; " - " &amp; TEXT(SamplingData[[#This Row],[Upper Range]], REPT("0",LEN('General Info'!$B$42))))</f>
        <v>14257 - 14283</v>
      </c>
      <c r="AF588" s="100">
        <f>SamplingData[[#This Row],[Upper Range]]-SamplingData[[#This Row],[Span]]</f>
        <v>14257.255155333034</v>
      </c>
      <c r="AG588" s="100">
        <f>IF(ISNUMBER('General Info'!$B$42), ((SamplingData[[#This Row],[up/U Selection Probability]]) * 'General Info'!$B$44) - 1, 0)</f>
        <v>25.920799009314607</v>
      </c>
      <c r="AH588" s="100">
        <f>IF(ISNUMBER('General Info'!$B$42), (SamplingData[[#This Row],[Running (cumulative) sum]] * ('General Info'!$B$42 -'General Info'!$B$43 + 1)) + 'General Info'!$B$43 - 1, 0)</f>
        <v>14283.175954342349</v>
      </c>
      <c r="AI588" s="100" t="str">
        <f>IF(ISERROR(MATCH(SamplingData[[#This Row],[Batch by Type (p)]],SelectedPrecincts[Batch Name], 0)), "", INDEX(SelectedPrecincts[Draw], MATCH(SamplingData[[#This Row],[Batch by Type (p)]],SelectedPrecincts[Batch Name], 0)))</f>
        <v/>
      </c>
      <c r="AJ588" s="101">
        <f>IF(COUNTIF(SelectedPrecincts[Batch Name],SamplingData[[#This Row],[Batch by Type (p)]]) &lt;&gt; 0, COUNTIF(SelectedPrecincts[Batch Name],SamplingData[[#This Row],[Batch by Type (p)]]), 0)</f>
        <v>0</v>
      </c>
    </row>
    <row r="589" spans="1:36" ht="15" customHeight="1" x14ac:dyDescent="0.35">
      <c r="A589" s="98" t="s">
        <v>800</v>
      </c>
      <c r="B589" s="98">
        <v>38</v>
      </c>
      <c r="C589" s="98">
        <v>6</v>
      </c>
      <c r="D589" s="93"/>
      <c r="E589" s="93"/>
      <c r="F589" s="93"/>
      <c r="G589" s="97"/>
      <c r="H589" s="97"/>
      <c r="I589" s="93"/>
      <c r="J589" s="93"/>
      <c r="K589" s="93"/>
      <c r="L589" s="93"/>
      <c r="M589" s="93"/>
      <c r="N589" s="98">
        <v>0</v>
      </c>
      <c r="O589" s="98">
        <v>2</v>
      </c>
      <c r="P589" s="99">
        <f>SUM(SamplingData[[#This Row],[Winning Candidate]:[Under Votes]])</f>
        <v>46</v>
      </c>
      <c r="Q589" s="100">
        <f>IF(AND(SamplingData[[#This Row],[Total]]&lt;&gt; 0, NOT(ISBLANK(SamplingData[[#This Row],[Losing Candidate]]))),(SamplingData[[#This Row],[Total]]+SamplingData[[#This Row],[Winning Candidate]]-SamplingData[[#This Row],[Losing Candidate]])/(SamplingData[[#Totals],[Winning Candidate]]-SamplingData[[#Totals],[Losing Candidate]]), 0)</f>
        <v>2.4499795835034709E-3</v>
      </c>
      <c r="R589" s="100">
        <f>IF(AND(SamplingData[[#This Row],[Total]]&lt;&gt; 0, NOT(ISBLANK(SamplingData[[#This Row],[Candidate 3]]))),(SamplingData[[#This Row],[Total]]+SamplingData[[#This Row],[Winning Candidate]]-SamplingData[[#This Row],[Candidate 3]])/(SamplingData[[#Totals],[Winning Candidate]]-SamplingData[[#Totals],[Candidate 3]]), 0)</f>
        <v>0</v>
      </c>
      <c r="S589" s="100">
        <f>IF(AND(SamplingData[[#This Row],[Total]]&lt;&gt; 0, NOT(ISBLANK(SamplingData[[#This Row],[Candidate 4]]))),(SamplingData[[#This Row],[Total]]+SamplingData[[#This Row],[Winning Candidate]]-SamplingData[[#This Row],[Candidate 4]])/(SamplingData[[#Totals],[Winning Candidate]]-SamplingData[[#Totals],[Candidate 4]]), 0)</f>
        <v>0</v>
      </c>
      <c r="T589" s="100">
        <f>IF(AND(SamplingData[[#This Row],[Total]]&lt;&gt; 0, NOT(ISBLANK(SamplingData[[#This Row],[Candidate 5]]))),(SamplingData[[#This Row],[Total]]+SamplingData[[#This Row],[Winning Candidate]]-SamplingData[[#This Row],[Candidate 5]])/(SamplingData[[#Totals],[Winning Candidate]]-SamplingData[[#Totals],[Candidate 5]]), 0)</f>
        <v>0</v>
      </c>
      <c r="U589" s="100">
        <f>IF(AND(SamplingData[[#This Row],[Total]]&lt;&gt; 0, NOT(ISBLANK(SamplingData[[#This Row],[Candidate 6]]))),(SamplingData[[#This Row],[Total]]+SamplingData[[#This Row],[Losing Candidate]]-SamplingData[[#This Row],[Candidate 6]])/(SamplingData[[#Totals],[Winning Candidate]]-SamplingData[[#Totals],[Candidate 6]]), 0)</f>
        <v>0</v>
      </c>
      <c r="V589" s="100">
        <f>IF(AND(SamplingData[[#This Row],[Total]]&lt;&gt; 0, NOT(ISBLANK(SamplingData[[#This Row],[Candidate 7]]))),(SamplingData[[#This Row],[Total]]+SamplingData[[#This Row],[Winning Candidate]]-SamplingData[[#This Row],[Candidate 7]])/(SamplingData[[#Totals],[Winning Candidate]]-SamplingData[[#Totals],[Candidate 7]]), 0)</f>
        <v>0</v>
      </c>
      <c r="W589" s="100">
        <f>IF(AND(SamplingData[[#This Row],[Total]]&lt;&gt; 0, NOT(ISBLANK(SamplingData[[#This Row],[Candidate 8]]))),(SamplingData[[#This Row],[Total]]+SamplingData[[#This Row],[Winning Candidate]]-SamplingData[[#This Row],[Candidate 8]])/(SamplingData[[#Totals],[Winning Candidate]]-SamplingData[[#Totals],[Candidate 8]]), 0)</f>
        <v>0</v>
      </c>
      <c r="X5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00">
        <f>MAX(SamplingData[[#This Row],[Error Bound (up) - Max. possible relative overstatement - Losing Candidate]:[Error Bound (up) - Max. possible relative overstatement - Candidate 12]])</f>
        <v>2.4499795835034709E-3</v>
      </c>
      <c r="AC589" s="100">
        <f>IF(SamplingData[[#This Row],[Max Error Bound (up)]] = 0,0,SamplingData[[#This Row],[Max Error Bound (up)]]/SamplingData[[#Totals],[Max Error Bound (up)]])</f>
        <v>1.0499111613632697E-3</v>
      </c>
      <c r="AD589" s="104">
        <f>SUM($AC$5:AC589)</f>
        <v>0.14389167070478676</v>
      </c>
      <c r="AE589" s="100" t="str" cm="1">
        <f t="array" ref="AE589">IF(SamplingData[[#This Row],[up/U Selection Probability]] = 0, "Zero", TEXT(SamplingData[[#This Row],[Lower Range]], REPT("0",LEN('General Info'!$B$42))) &amp; " - " &amp; TEXT(SamplingData[[#This Row],[Upper Range]], REPT("0",LEN('General Info'!$B$42))))</f>
        <v>14284 - 14388</v>
      </c>
      <c r="AF589" s="100">
        <f>SamplingData[[#This Row],[Upper Range]]-SamplingData[[#This Row],[Span]]</f>
        <v>14284.175954342349</v>
      </c>
      <c r="AG589" s="100">
        <f>IF(ISNUMBER('General Info'!$B$42), ((SamplingData[[#This Row],[up/U Selection Probability]]) * 'General Info'!$B$44) - 1, 0)</f>
        <v>103.99111613632697</v>
      </c>
      <c r="AH589" s="100">
        <f>IF(ISNUMBER('General Info'!$B$42), (SamplingData[[#This Row],[Running (cumulative) sum]] * ('General Info'!$B$42 -'General Info'!$B$43 + 1)) + 'General Info'!$B$43 - 1, 0)</f>
        <v>14388.167070478676</v>
      </c>
      <c r="AI589" s="100" t="str">
        <f>IF(ISERROR(MATCH(SamplingData[[#This Row],[Batch by Type (p)]],SelectedPrecincts[Batch Name], 0)), "", INDEX(SelectedPrecincts[Draw], MATCH(SamplingData[[#This Row],[Batch by Type (p)]],SelectedPrecincts[Batch Name], 0)))</f>
        <v/>
      </c>
      <c r="AJ589" s="101">
        <f>IF(COUNTIF(SelectedPrecincts[Batch Name],SamplingData[[#This Row],[Batch by Type (p)]]) &lt;&gt; 0, COUNTIF(SelectedPrecincts[Batch Name],SamplingData[[#This Row],[Batch by Type (p)]]), 0)</f>
        <v>0</v>
      </c>
    </row>
    <row r="590" spans="1:36" ht="15" customHeight="1" x14ac:dyDescent="0.35">
      <c r="A590" s="98" t="s">
        <v>801</v>
      </c>
      <c r="B590" s="98">
        <v>31</v>
      </c>
      <c r="C590" s="98">
        <v>8</v>
      </c>
      <c r="D590" s="93"/>
      <c r="E590" s="93"/>
      <c r="F590" s="93"/>
      <c r="G590" s="97"/>
      <c r="H590" s="97"/>
      <c r="I590" s="93"/>
      <c r="J590" s="93"/>
      <c r="K590" s="93"/>
      <c r="L590" s="93"/>
      <c r="M590" s="93"/>
      <c r="N590" s="98">
        <v>0</v>
      </c>
      <c r="O590" s="98">
        <v>1</v>
      </c>
      <c r="P590" s="99">
        <f>SUM(SamplingData[[#This Row],[Winning Candidate]:[Under Votes]])</f>
        <v>40</v>
      </c>
      <c r="Q590" s="100">
        <f>IF(AND(SamplingData[[#This Row],[Total]]&lt;&gt; 0, NOT(ISBLANK(SamplingData[[#This Row],[Losing Candidate]]))),(SamplingData[[#This Row],[Total]]+SamplingData[[#This Row],[Winning Candidate]]-SamplingData[[#This Row],[Losing Candidate]])/(SamplingData[[#Totals],[Winning Candidate]]-SamplingData[[#Totals],[Losing Candidate]]), 0)</f>
        <v>1.9788296635989571E-3</v>
      </c>
      <c r="R590" s="100">
        <f>IF(AND(SamplingData[[#This Row],[Total]]&lt;&gt; 0, NOT(ISBLANK(SamplingData[[#This Row],[Candidate 3]]))),(SamplingData[[#This Row],[Total]]+SamplingData[[#This Row],[Winning Candidate]]-SamplingData[[#This Row],[Candidate 3]])/(SamplingData[[#Totals],[Winning Candidate]]-SamplingData[[#Totals],[Candidate 3]]), 0)</f>
        <v>0</v>
      </c>
      <c r="S590" s="100">
        <f>IF(AND(SamplingData[[#This Row],[Total]]&lt;&gt; 0, NOT(ISBLANK(SamplingData[[#This Row],[Candidate 4]]))),(SamplingData[[#This Row],[Total]]+SamplingData[[#This Row],[Winning Candidate]]-SamplingData[[#This Row],[Candidate 4]])/(SamplingData[[#Totals],[Winning Candidate]]-SamplingData[[#Totals],[Candidate 4]]), 0)</f>
        <v>0</v>
      </c>
      <c r="T590" s="100">
        <f>IF(AND(SamplingData[[#This Row],[Total]]&lt;&gt; 0, NOT(ISBLANK(SamplingData[[#This Row],[Candidate 5]]))),(SamplingData[[#This Row],[Total]]+SamplingData[[#This Row],[Winning Candidate]]-SamplingData[[#This Row],[Candidate 5]])/(SamplingData[[#Totals],[Winning Candidate]]-SamplingData[[#Totals],[Candidate 5]]), 0)</f>
        <v>0</v>
      </c>
      <c r="U590" s="100">
        <f>IF(AND(SamplingData[[#This Row],[Total]]&lt;&gt; 0, NOT(ISBLANK(SamplingData[[#This Row],[Candidate 6]]))),(SamplingData[[#This Row],[Total]]+SamplingData[[#This Row],[Losing Candidate]]-SamplingData[[#This Row],[Candidate 6]])/(SamplingData[[#Totals],[Winning Candidate]]-SamplingData[[#Totals],[Candidate 6]]), 0)</f>
        <v>0</v>
      </c>
      <c r="V590" s="100">
        <f>IF(AND(SamplingData[[#This Row],[Total]]&lt;&gt; 0, NOT(ISBLANK(SamplingData[[#This Row],[Candidate 7]]))),(SamplingData[[#This Row],[Total]]+SamplingData[[#This Row],[Winning Candidate]]-SamplingData[[#This Row],[Candidate 7]])/(SamplingData[[#Totals],[Winning Candidate]]-SamplingData[[#Totals],[Candidate 7]]), 0)</f>
        <v>0</v>
      </c>
      <c r="W590" s="100">
        <f>IF(AND(SamplingData[[#This Row],[Total]]&lt;&gt; 0, NOT(ISBLANK(SamplingData[[#This Row],[Candidate 8]]))),(SamplingData[[#This Row],[Total]]+SamplingData[[#This Row],[Winning Candidate]]-SamplingData[[#This Row],[Candidate 8]])/(SamplingData[[#Totals],[Winning Candidate]]-SamplingData[[#Totals],[Candidate 8]]), 0)</f>
        <v>0</v>
      </c>
      <c r="X5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00">
        <f>MAX(SamplingData[[#This Row],[Error Bound (up) - Max. possible relative overstatement - Losing Candidate]:[Error Bound (up) - Max. possible relative overstatement - Candidate 12]])</f>
        <v>1.9788296635989571E-3</v>
      </c>
      <c r="AC590" s="100">
        <f>IF(SamplingData[[#This Row],[Max Error Bound (up)]] = 0,0,SamplingData[[#This Row],[Max Error Bound (up)]]/SamplingData[[#Totals],[Max Error Bound (up)]])</f>
        <v>8.4800516879341011E-4</v>
      </c>
      <c r="AD590" s="104">
        <f>SUM($AC$5:AC590)</f>
        <v>0.14473967587358016</v>
      </c>
      <c r="AE590" s="100" t="str" cm="1">
        <f t="array" ref="AE590">IF(SamplingData[[#This Row],[up/U Selection Probability]] = 0, "Zero", TEXT(SamplingData[[#This Row],[Lower Range]], REPT("0",LEN('General Info'!$B$42))) &amp; " - " &amp; TEXT(SamplingData[[#This Row],[Upper Range]], REPT("0",LEN('General Info'!$B$42))))</f>
        <v>14389 - 14473</v>
      </c>
      <c r="AF590" s="100">
        <f>SamplingData[[#This Row],[Upper Range]]-SamplingData[[#This Row],[Span]]</f>
        <v>14389.167070478676</v>
      </c>
      <c r="AG590" s="100">
        <f>IF(ISNUMBER('General Info'!$B$42), ((SamplingData[[#This Row],[up/U Selection Probability]]) * 'General Info'!$B$44) - 1, 0)</f>
        <v>83.800516879341018</v>
      </c>
      <c r="AH590" s="100">
        <f>IF(ISNUMBER('General Info'!$B$42), (SamplingData[[#This Row],[Running (cumulative) sum]] * ('General Info'!$B$42 -'General Info'!$B$43 + 1)) + 'General Info'!$B$43 - 1, 0)</f>
        <v>14472.967587358016</v>
      </c>
      <c r="AI590" s="100" t="str">
        <f>IF(ISERROR(MATCH(SamplingData[[#This Row],[Batch by Type (p)]],SelectedPrecincts[Batch Name], 0)), "", INDEX(SelectedPrecincts[Draw], MATCH(SamplingData[[#This Row],[Batch by Type (p)]],SelectedPrecincts[Batch Name], 0)))</f>
        <v/>
      </c>
      <c r="AJ590" s="101">
        <f>IF(COUNTIF(SelectedPrecincts[Batch Name],SamplingData[[#This Row],[Batch by Type (p)]]) &lt;&gt; 0, COUNTIF(SelectedPrecincts[Batch Name],SamplingData[[#This Row],[Batch by Type (p)]]), 0)</f>
        <v>0</v>
      </c>
    </row>
    <row r="591" spans="1:36" ht="15" customHeight="1" x14ac:dyDescent="0.35">
      <c r="A591" s="98" t="s">
        <v>802</v>
      </c>
      <c r="B591" s="98">
        <v>34</v>
      </c>
      <c r="C591" s="98">
        <v>3</v>
      </c>
      <c r="D591" s="93"/>
      <c r="E591" s="93"/>
      <c r="F591" s="93"/>
      <c r="G591" s="97"/>
      <c r="H591" s="97"/>
      <c r="I591" s="93"/>
      <c r="J591" s="93"/>
      <c r="K591" s="93"/>
      <c r="L591" s="93"/>
      <c r="M591" s="93"/>
      <c r="N591" s="98">
        <v>0</v>
      </c>
      <c r="O591" s="98">
        <v>1</v>
      </c>
      <c r="P591" s="99">
        <f>SUM(SamplingData[[#This Row],[Winning Candidate]:[Under Votes]])</f>
        <v>38</v>
      </c>
      <c r="Q591" s="100">
        <f>IF(AND(SamplingData[[#This Row],[Total]]&lt;&gt; 0, NOT(ISBLANK(SamplingData[[#This Row],[Losing Candidate]]))),(SamplingData[[#This Row],[Total]]+SamplingData[[#This Row],[Winning Candidate]]-SamplingData[[#This Row],[Losing Candidate]])/(SamplingData[[#Totals],[Winning Candidate]]-SamplingData[[#Totals],[Losing Candidate]]), 0)</f>
        <v>2.1672896315607626E-3</v>
      </c>
      <c r="R591" s="100">
        <f>IF(AND(SamplingData[[#This Row],[Total]]&lt;&gt; 0, NOT(ISBLANK(SamplingData[[#This Row],[Candidate 3]]))),(SamplingData[[#This Row],[Total]]+SamplingData[[#This Row],[Winning Candidate]]-SamplingData[[#This Row],[Candidate 3]])/(SamplingData[[#Totals],[Winning Candidate]]-SamplingData[[#Totals],[Candidate 3]]), 0)</f>
        <v>0</v>
      </c>
      <c r="S591" s="100">
        <f>IF(AND(SamplingData[[#This Row],[Total]]&lt;&gt; 0, NOT(ISBLANK(SamplingData[[#This Row],[Candidate 4]]))),(SamplingData[[#This Row],[Total]]+SamplingData[[#This Row],[Winning Candidate]]-SamplingData[[#This Row],[Candidate 4]])/(SamplingData[[#Totals],[Winning Candidate]]-SamplingData[[#Totals],[Candidate 4]]), 0)</f>
        <v>0</v>
      </c>
      <c r="T591" s="100">
        <f>IF(AND(SamplingData[[#This Row],[Total]]&lt;&gt; 0, NOT(ISBLANK(SamplingData[[#This Row],[Candidate 5]]))),(SamplingData[[#This Row],[Total]]+SamplingData[[#This Row],[Winning Candidate]]-SamplingData[[#This Row],[Candidate 5]])/(SamplingData[[#Totals],[Winning Candidate]]-SamplingData[[#Totals],[Candidate 5]]), 0)</f>
        <v>0</v>
      </c>
      <c r="U591" s="100">
        <f>IF(AND(SamplingData[[#This Row],[Total]]&lt;&gt; 0, NOT(ISBLANK(SamplingData[[#This Row],[Candidate 6]]))),(SamplingData[[#This Row],[Total]]+SamplingData[[#This Row],[Losing Candidate]]-SamplingData[[#This Row],[Candidate 6]])/(SamplingData[[#Totals],[Winning Candidate]]-SamplingData[[#Totals],[Candidate 6]]), 0)</f>
        <v>0</v>
      </c>
      <c r="V591" s="100">
        <f>IF(AND(SamplingData[[#This Row],[Total]]&lt;&gt; 0, NOT(ISBLANK(SamplingData[[#This Row],[Candidate 7]]))),(SamplingData[[#This Row],[Total]]+SamplingData[[#This Row],[Winning Candidate]]-SamplingData[[#This Row],[Candidate 7]])/(SamplingData[[#Totals],[Winning Candidate]]-SamplingData[[#Totals],[Candidate 7]]), 0)</f>
        <v>0</v>
      </c>
      <c r="W591" s="100">
        <f>IF(AND(SamplingData[[#This Row],[Total]]&lt;&gt; 0, NOT(ISBLANK(SamplingData[[#This Row],[Candidate 8]]))),(SamplingData[[#This Row],[Total]]+SamplingData[[#This Row],[Winning Candidate]]-SamplingData[[#This Row],[Candidate 8]])/(SamplingData[[#Totals],[Winning Candidate]]-SamplingData[[#Totals],[Candidate 8]]), 0)</f>
        <v>0</v>
      </c>
      <c r="X5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00">
        <f>MAX(SamplingData[[#This Row],[Error Bound (up) - Max. possible relative overstatement - Losing Candidate]:[Error Bound (up) - Max. possible relative overstatement - Candidate 12]])</f>
        <v>2.1672896315607626E-3</v>
      </c>
      <c r="AC591" s="100">
        <f>IF(SamplingData[[#This Row],[Max Error Bound (up)]] = 0,0,SamplingData[[#This Row],[Max Error Bound (up)]]/SamplingData[[#Totals],[Max Error Bound (up)]])</f>
        <v>9.287675658213539E-4</v>
      </c>
      <c r="AD591" s="104">
        <f>SUM($AC$5:AC591)</f>
        <v>0.14566844343940152</v>
      </c>
      <c r="AE591" s="100" t="str" cm="1">
        <f t="array" ref="AE591">IF(SamplingData[[#This Row],[up/U Selection Probability]] = 0, "Zero", TEXT(SamplingData[[#This Row],[Lower Range]], REPT("0",LEN('General Info'!$B$42))) &amp; " - " &amp; TEXT(SamplingData[[#This Row],[Upper Range]], REPT("0",LEN('General Info'!$B$42))))</f>
        <v>14474 - 14566</v>
      </c>
      <c r="AF591" s="100">
        <f>SamplingData[[#This Row],[Upper Range]]-SamplingData[[#This Row],[Span]]</f>
        <v>14473.967587358016</v>
      </c>
      <c r="AG591" s="100">
        <f>IF(ISNUMBER('General Info'!$B$42), ((SamplingData[[#This Row],[up/U Selection Probability]]) * 'General Info'!$B$44) - 1, 0)</f>
        <v>91.876756582135386</v>
      </c>
      <c r="AH591" s="100">
        <f>IF(ISNUMBER('General Info'!$B$42), (SamplingData[[#This Row],[Running (cumulative) sum]] * ('General Info'!$B$42 -'General Info'!$B$43 + 1)) + 'General Info'!$B$43 - 1, 0)</f>
        <v>14565.844343940153</v>
      </c>
      <c r="AI591" s="100" t="str">
        <f>IF(ISERROR(MATCH(SamplingData[[#This Row],[Batch by Type (p)]],SelectedPrecincts[Batch Name], 0)), "", INDEX(SelectedPrecincts[Draw], MATCH(SamplingData[[#This Row],[Batch by Type (p)]],SelectedPrecincts[Batch Name], 0)))</f>
        <v/>
      </c>
      <c r="AJ591" s="101">
        <f>IF(COUNTIF(SelectedPrecincts[Batch Name],SamplingData[[#This Row],[Batch by Type (p)]]) &lt;&gt; 0, COUNTIF(SelectedPrecincts[Batch Name],SamplingData[[#This Row],[Batch by Type (p)]]), 0)</f>
        <v>0</v>
      </c>
    </row>
    <row r="592" spans="1:36" ht="15" customHeight="1" x14ac:dyDescent="0.35">
      <c r="A592" s="98" t="s">
        <v>803</v>
      </c>
      <c r="B592" s="98">
        <v>1</v>
      </c>
      <c r="C592" s="98">
        <v>2</v>
      </c>
      <c r="D592" s="93"/>
      <c r="E592" s="93"/>
      <c r="F592" s="93"/>
      <c r="G592" s="97"/>
      <c r="H592" s="97"/>
      <c r="I592" s="93"/>
      <c r="J592" s="93"/>
      <c r="K592" s="93"/>
      <c r="L592" s="93"/>
      <c r="M592" s="93"/>
      <c r="N592" s="98">
        <v>0</v>
      </c>
      <c r="O592" s="98">
        <v>0</v>
      </c>
      <c r="P592" s="99">
        <f>SUM(SamplingData[[#This Row],[Winning Candidate]:[Under Votes]])</f>
        <v>3</v>
      </c>
      <c r="Q592"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592" s="100">
        <f>IF(AND(SamplingData[[#This Row],[Total]]&lt;&gt; 0, NOT(ISBLANK(SamplingData[[#This Row],[Candidate 3]]))),(SamplingData[[#This Row],[Total]]+SamplingData[[#This Row],[Winning Candidate]]-SamplingData[[#This Row],[Candidate 3]])/(SamplingData[[#Totals],[Winning Candidate]]-SamplingData[[#Totals],[Candidate 3]]), 0)</f>
        <v>0</v>
      </c>
      <c r="S592" s="100">
        <f>IF(AND(SamplingData[[#This Row],[Total]]&lt;&gt; 0, NOT(ISBLANK(SamplingData[[#This Row],[Candidate 4]]))),(SamplingData[[#This Row],[Total]]+SamplingData[[#This Row],[Winning Candidate]]-SamplingData[[#This Row],[Candidate 4]])/(SamplingData[[#Totals],[Winning Candidate]]-SamplingData[[#Totals],[Candidate 4]]), 0)</f>
        <v>0</v>
      </c>
      <c r="T592" s="100">
        <f>IF(AND(SamplingData[[#This Row],[Total]]&lt;&gt; 0, NOT(ISBLANK(SamplingData[[#This Row],[Candidate 5]]))),(SamplingData[[#This Row],[Total]]+SamplingData[[#This Row],[Winning Candidate]]-SamplingData[[#This Row],[Candidate 5]])/(SamplingData[[#Totals],[Winning Candidate]]-SamplingData[[#Totals],[Candidate 5]]), 0)</f>
        <v>0</v>
      </c>
      <c r="U592" s="100">
        <f>IF(AND(SamplingData[[#This Row],[Total]]&lt;&gt; 0, NOT(ISBLANK(SamplingData[[#This Row],[Candidate 6]]))),(SamplingData[[#This Row],[Total]]+SamplingData[[#This Row],[Losing Candidate]]-SamplingData[[#This Row],[Candidate 6]])/(SamplingData[[#Totals],[Winning Candidate]]-SamplingData[[#Totals],[Candidate 6]]), 0)</f>
        <v>0</v>
      </c>
      <c r="V592" s="100">
        <f>IF(AND(SamplingData[[#This Row],[Total]]&lt;&gt; 0, NOT(ISBLANK(SamplingData[[#This Row],[Candidate 7]]))),(SamplingData[[#This Row],[Total]]+SamplingData[[#This Row],[Winning Candidate]]-SamplingData[[#This Row],[Candidate 7]])/(SamplingData[[#Totals],[Winning Candidate]]-SamplingData[[#Totals],[Candidate 7]]), 0)</f>
        <v>0</v>
      </c>
      <c r="W592" s="100">
        <f>IF(AND(SamplingData[[#This Row],[Total]]&lt;&gt; 0, NOT(ISBLANK(SamplingData[[#This Row],[Candidate 8]]))),(SamplingData[[#This Row],[Total]]+SamplingData[[#This Row],[Winning Candidate]]-SamplingData[[#This Row],[Candidate 8]])/(SamplingData[[#Totals],[Winning Candidate]]-SamplingData[[#Totals],[Candidate 8]]), 0)</f>
        <v>0</v>
      </c>
      <c r="X5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00">
        <f>MAX(SamplingData[[#This Row],[Error Bound (up) - Max. possible relative overstatement - Losing Candidate]:[Error Bound (up) - Max. possible relative overstatement - Candidate 12]])</f>
        <v>6.2819989320601809E-5</v>
      </c>
      <c r="AC592" s="100">
        <f>IF(SamplingData[[#This Row],[Max Error Bound (up)]] = 0,0,SamplingData[[#This Row],[Max Error Bound (up)]]/SamplingData[[#Totals],[Max Error Bound (up)]])</f>
        <v>2.6920799009314603E-5</v>
      </c>
      <c r="AD592" s="104">
        <f>SUM($AC$5:AC592)</f>
        <v>0.14569536423841084</v>
      </c>
      <c r="AE592" s="100" t="str" cm="1">
        <f t="array" ref="AE592">IF(SamplingData[[#This Row],[up/U Selection Probability]] = 0, "Zero", TEXT(SamplingData[[#This Row],[Lower Range]], REPT("0",LEN('General Info'!$B$42))) &amp; " - " &amp; TEXT(SamplingData[[#This Row],[Upper Range]], REPT("0",LEN('General Info'!$B$42))))</f>
        <v>14567 - 14569</v>
      </c>
      <c r="AF592" s="100">
        <f>SamplingData[[#This Row],[Upper Range]]-SamplingData[[#This Row],[Span]]</f>
        <v>14566.844343940153</v>
      </c>
      <c r="AG592" s="100">
        <f>IF(ISNUMBER('General Info'!$B$42), ((SamplingData[[#This Row],[up/U Selection Probability]]) * 'General Info'!$B$44) - 1, 0)</f>
        <v>1.6920799009314602</v>
      </c>
      <c r="AH592" s="100">
        <f>IF(ISNUMBER('General Info'!$B$42), (SamplingData[[#This Row],[Running (cumulative) sum]] * ('General Info'!$B$42 -'General Info'!$B$43 + 1)) + 'General Info'!$B$43 - 1, 0)</f>
        <v>14568.536423841084</v>
      </c>
      <c r="AI592" s="100" t="str">
        <f>IF(ISERROR(MATCH(SamplingData[[#This Row],[Batch by Type (p)]],SelectedPrecincts[Batch Name], 0)), "", INDEX(SelectedPrecincts[Draw], MATCH(SamplingData[[#This Row],[Batch by Type (p)]],SelectedPrecincts[Batch Name], 0)))</f>
        <v/>
      </c>
      <c r="AJ592" s="101">
        <f>IF(COUNTIF(SelectedPrecincts[Batch Name],SamplingData[[#This Row],[Batch by Type (p)]]) &lt;&gt; 0, COUNTIF(SelectedPrecincts[Batch Name],SamplingData[[#This Row],[Batch by Type (p)]]), 0)</f>
        <v>0</v>
      </c>
    </row>
    <row r="593" spans="1:36" ht="15" customHeight="1" x14ac:dyDescent="0.35">
      <c r="A593" s="98" t="s">
        <v>804</v>
      </c>
      <c r="B593" s="98">
        <v>17</v>
      </c>
      <c r="C593" s="98">
        <v>2</v>
      </c>
      <c r="D593" s="93"/>
      <c r="E593" s="93"/>
      <c r="F593" s="93"/>
      <c r="G593" s="97"/>
      <c r="H593" s="97"/>
      <c r="I593" s="93"/>
      <c r="J593" s="93"/>
      <c r="K593" s="93"/>
      <c r="L593" s="93"/>
      <c r="M593" s="93"/>
      <c r="N593" s="98">
        <v>0</v>
      </c>
      <c r="O593" s="98">
        <v>0</v>
      </c>
      <c r="P593" s="99">
        <f>SUM(SamplingData[[#This Row],[Winning Candidate]:[Under Votes]])</f>
        <v>19</v>
      </c>
      <c r="Q593"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593" s="100">
        <f>IF(AND(SamplingData[[#This Row],[Total]]&lt;&gt; 0, NOT(ISBLANK(SamplingData[[#This Row],[Candidate 3]]))),(SamplingData[[#This Row],[Total]]+SamplingData[[#This Row],[Winning Candidate]]-SamplingData[[#This Row],[Candidate 3]])/(SamplingData[[#Totals],[Winning Candidate]]-SamplingData[[#Totals],[Candidate 3]]), 0)</f>
        <v>0</v>
      </c>
      <c r="S593" s="100">
        <f>IF(AND(SamplingData[[#This Row],[Total]]&lt;&gt; 0, NOT(ISBLANK(SamplingData[[#This Row],[Candidate 4]]))),(SamplingData[[#This Row],[Total]]+SamplingData[[#This Row],[Winning Candidate]]-SamplingData[[#This Row],[Candidate 4]])/(SamplingData[[#Totals],[Winning Candidate]]-SamplingData[[#Totals],[Candidate 4]]), 0)</f>
        <v>0</v>
      </c>
      <c r="T593" s="100">
        <f>IF(AND(SamplingData[[#This Row],[Total]]&lt;&gt; 0, NOT(ISBLANK(SamplingData[[#This Row],[Candidate 5]]))),(SamplingData[[#This Row],[Total]]+SamplingData[[#This Row],[Winning Candidate]]-SamplingData[[#This Row],[Candidate 5]])/(SamplingData[[#Totals],[Winning Candidate]]-SamplingData[[#Totals],[Candidate 5]]), 0)</f>
        <v>0</v>
      </c>
      <c r="U593" s="100">
        <f>IF(AND(SamplingData[[#This Row],[Total]]&lt;&gt; 0, NOT(ISBLANK(SamplingData[[#This Row],[Candidate 6]]))),(SamplingData[[#This Row],[Total]]+SamplingData[[#This Row],[Losing Candidate]]-SamplingData[[#This Row],[Candidate 6]])/(SamplingData[[#Totals],[Winning Candidate]]-SamplingData[[#Totals],[Candidate 6]]), 0)</f>
        <v>0</v>
      </c>
      <c r="V593" s="100">
        <f>IF(AND(SamplingData[[#This Row],[Total]]&lt;&gt; 0, NOT(ISBLANK(SamplingData[[#This Row],[Candidate 7]]))),(SamplingData[[#This Row],[Total]]+SamplingData[[#This Row],[Winning Candidate]]-SamplingData[[#This Row],[Candidate 7]])/(SamplingData[[#Totals],[Winning Candidate]]-SamplingData[[#Totals],[Candidate 7]]), 0)</f>
        <v>0</v>
      </c>
      <c r="W593" s="100">
        <f>IF(AND(SamplingData[[#This Row],[Total]]&lt;&gt; 0, NOT(ISBLANK(SamplingData[[#This Row],[Candidate 8]]))),(SamplingData[[#This Row],[Total]]+SamplingData[[#This Row],[Winning Candidate]]-SamplingData[[#This Row],[Candidate 8]])/(SamplingData[[#Totals],[Winning Candidate]]-SamplingData[[#Totals],[Candidate 8]]), 0)</f>
        <v>0</v>
      </c>
      <c r="X5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00">
        <f>MAX(SamplingData[[#This Row],[Error Bound (up) - Max. possible relative overstatement - Losing Candidate]:[Error Bound (up) - Max. possible relative overstatement - Candidate 12]])</f>
        <v>1.0679398184502309E-3</v>
      </c>
      <c r="AC593" s="100">
        <f>IF(SamplingData[[#This Row],[Max Error Bound (up)]] = 0,0,SamplingData[[#This Row],[Max Error Bound (up)]]/SamplingData[[#Totals],[Max Error Bound (up)]])</f>
        <v>4.5765358315834836E-4</v>
      </c>
      <c r="AD593" s="104">
        <f>SUM($AC$5:AC593)</f>
        <v>0.1461530178215692</v>
      </c>
      <c r="AE593" s="100" t="str" cm="1">
        <f t="array" ref="AE593">IF(SamplingData[[#This Row],[up/U Selection Probability]] = 0, "Zero", TEXT(SamplingData[[#This Row],[Lower Range]], REPT("0",LEN('General Info'!$B$42))) &amp; " - " &amp; TEXT(SamplingData[[#This Row],[Upper Range]], REPT("0",LEN('General Info'!$B$42))))</f>
        <v>14570 - 14614</v>
      </c>
      <c r="AF593" s="100">
        <f>SamplingData[[#This Row],[Upper Range]]-SamplingData[[#This Row],[Span]]</f>
        <v>14569.536423841084</v>
      </c>
      <c r="AG593" s="100">
        <f>IF(ISNUMBER('General Info'!$B$42), ((SamplingData[[#This Row],[up/U Selection Probability]]) * 'General Info'!$B$44) - 1, 0)</f>
        <v>44.765358315834838</v>
      </c>
      <c r="AH593" s="100">
        <f>IF(ISNUMBER('General Info'!$B$42), (SamplingData[[#This Row],[Running (cumulative) sum]] * ('General Info'!$B$42 -'General Info'!$B$43 + 1)) + 'General Info'!$B$43 - 1, 0)</f>
        <v>14614.301782156919</v>
      </c>
      <c r="AI593" s="100" t="str">
        <f>IF(ISERROR(MATCH(SamplingData[[#This Row],[Batch by Type (p)]],SelectedPrecincts[Batch Name], 0)), "", INDEX(SelectedPrecincts[Draw], MATCH(SamplingData[[#This Row],[Batch by Type (p)]],SelectedPrecincts[Batch Name], 0)))</f>
        <v/>
      </c>
      <c r="AJ593" s="101">
        <f>IF(COUNTIF(SelectedPrecincts[Batch Name],SamplingData[[#This Row],[Batch by Type (p)]]) &lt;&gt; 0, COUNTIF(SelectedPrecincts[Batch Name],SamplingData[[#This Row],[Batch by Type (p)]]), 0)</f>
        <v>0</v>
      </c>
    </row>
    <row r="594" spans="1:36" ht="15" customHeight="1" x14ac:dyDescent="0.35">
      <c r="A594" s="98" t="s">
        <v>805</v>
      </c>
      <c r="B594" s="98">
        <v>23</v>
      </c>
      <c r="C594" s="98">
        <v>3</v>
      </c>
      <c r="D594" s="93"/>
      <c r="E594" s="93"/>
      <c r="F594" s="93"/>
      <c r="G594" s="97"/>
      <c r="H594" s="97"/>
      <c r="I594" s="93"/>
      <c r="J594" s="93"/>
      <c r="K594" s="93"/>
      <c r="L594" s="93"/>
      <c r="M594" s="93"/>
      <c r="N594" s="98">
        <v>0</v>
      </c>
      <c r="O594" s="98">
        <v>1</v>
      </c>
      <c r="P594" s="99">
        <f>SUM(SamplingData[[#This Row],[Winning Candidate]:[Under Votes]])</f>
        <v>27</v>
      </c>
      <c r="Q594" s="100">
        <f>IF(AND(SamplingData[[#This Row],[Total]]&lt;&gt; 0, NOT(ISBLANK(SamplingData[[#This Row],[Losing Candidate]]))),(SamplingData[[#This Row],[Total]]+SamplingData[[#This Row],[Winning Candidate]]-SamplingData[[#This Row],[Losing Candidate]])/(SamplingData[[#Totals],[Winning Candidate]]-SamplingData[[#Totals],[Losing Candidate]]), 0)</f>
        <v>1.4762697490341428E-3</v>
      </c>
      <c r="R594" s="100">
        <f>IF(AND(SamplingData[[#This Row],[Total]]&lt;&gt; 0, NOT(ISBLANK(SamplingData[[#This Row],[Candidate 3]]))),(SamplingData[[#This Row],[Total]]+SamplingData[[#This Row],[Winning Candidate]]-SamplingData[[#This Row],[Candidate 3]])/(SamplingData[[#Totals],[Winning Candidate]]-SamplingData[[#Totals],[Candidate 3]]), 0)</f>
        <v>0</v>
      </c>
      <c r="S594" s="100">
        <f>IF(AND(SamplingData[[#This Row],[Total]]&lt;&gt; 0, NOT(ISBLANK(SamplingData[[#This Row],[Candidate 4]]))),(SamplingData[[#This Row],[Total]]+SamplingData[[#This Row],[Winning Candidate]]-SamplingData[[#This Row],[Candidate 4]])/(SamplingData[[#Totals],[Winning Candidate]]-SamplingData[[#Totals],[Candidate 4]]), 0)</f>
        <v>0</v>
      </c>
      <c r="T594" s="100">
        <f>IF(AND(SamplingData[[#This Row],[Total]]&lt;&gt; 0, NOT(ISBLANK(SamplingData[[#This Row],[Candidate 5]]))),(SamplingData[[#This Row],[Total]]+SamplingData[[#This Row],[Winning Candidate]]-SamplingData[[#This Row],[Candidate 5]])/(SamplingData[[#Totals],[Winning Candidate]]-SamplingData[[#Totals],[Candidate 5]]), 0)</f>
        <v>0</v>
      </c>
      <c r="U594" s="100">
        <f>IF(AND(SamplingData[[#This Row],[Total]]&lt;&gt; 0, NOT(ISBLANK(SamplingData[[#This Row],[Candidate 6]]))),(SamplingData[[#This Row],[Total]]+SamplingData[[#This Row],[Losing Candidate]]-SamplingData[[#This Row],[Candidate 6]])/(SamplingData[[#Totals],[Winning Candidate]]-SamplingData[[#Totals],[Candidate 6]]), 0)</f>
        <v>0</v>
      </c>
      <c r="V594" s="100">
        <f>IF(AND(SamplingData[[#This Row],[Total]]&lt;&gt; 0, NOT(ISBLANK(SamplingData[[#This Row],[Candidate 7]]))),(SamplingData[[#This Row],[Total]]+SamplingData[[#This Row],[Winning Candidate]]-SamplingData[[#This Row],[Candidate 7]])/(SamplingData[[#Totals],[Winning Candidate]]-SamplingData[[#Totals],[Candidate 7]]), 0)</f>
        <v>0</v>
      </c>
      <c r="W594" s="100">
        <f>IF(AND(SamplingData[[#This Row],[Total]]&lt;&gt; 0, NOT(ISBLANK(SamplingData[[#This Row],[Candidate 8]]))),(SamplingData[[#This Row],[Total]]+SamplingData[[#This Row],[Winning Candidate]]-SamplingData[[#This Row],[Candidate 8]])/(SamplingData[[#Totals],[Winning Candidate]]-SamplingData[[#Totals],[Candidate 8]]), 0)</f>
        <v>0</v>
      </c>
      <c r="X5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00">
        <f>MAX(SamplingData[[#This Row],[Error Bound (up) - Max. possible relative overstatement - Losing Candidate]:[Error Bound (up) - Max. possible relative overstatement - Candidate 12]])</f>
        <v>1.4762697490341428E-3</v>
      </c>
      <c r="AC594" s="100">
        <f>IF(SamplingData[[#This Row],[Max Error Bound (up)]] = 0,0,SamplingData[[#This Row],[Max Error Bound (up)]]/SamplingData[[#Totals],[Max Error Bound (up)]])</f>
        <v>6.3263877671889323E-4</v>
      </c>
      <c r="AD594" s="104">
        <f>SUM($AC$5:AC594)</f>
        <v>0.1467856565982881</v>
      </c>
      <c r="AE594" s="100" t="str" cm="1">
        <f t="array" ref="AE594">IF(SamplingData[[#This Row],[up/U Selection Probability]] = 0, "Zero", TEXT(SamplingData[[#This Row],[Lower Range]], REPT("0",LEN('General Info'!$B$42))) &amp; " - " &amp; TEXT(SamplingData[[#This Row],[Upper Range]], REPT("0",LEN('General Info'!$B$42))))</f>
        <v>14615 - 14678</v>
      </c>
      <c r="AF594" s="100">
        <f>SamplingData[[#This Row],[Upper Range]]-SamplingData[[#This Row],[Span]]</f>
        <v>14615.301782156921</v>
      </c>
      <c r="AG594" s="100">
        <f>IF(ISNUMBER('General Info'!$B$42), ((SamplingData[[#This Row],[up/U Selection Probability]]) * 'General Info'!$B$44) - 1, 0)</f>
        <v>62.263877671889325</v>
      </c>
      <c r="AH594" s="100">
        <f>IF(ISNUMBER('General Info'!$B$42), (SamplingData[[#This Row],[Running (cumulative) sum]] * ('General Info'!$B$42 -'General Info'!$B$43 + 1)) + 'General Info'!$B$43 - 1, 0)</f>
        <v>14677.56565982881</v>
      </c>
      <c r="AI594" s="100" t="str">
        <f>IF(ISERROR(MATCH(SamplingData[[#This Row],[Batch by Type (p)]],SelectedPrecincts[Batch Name], 0)), "", INDEX(SelectedPrecincts[Draw], MATCH(SamplingData[[#This Row],[Batch by Type (p)]],SelectedPrecincts[Batch Name], 0)))</f>
        <v/>
      </c>
      <c r="AJ594" s="101">
        <f>IF(COUNTIF(SelectedPrecincts[Batch Name],SamplingData[[#This Row],[Batch by Type (p)]]) &lt;&gt; 0, COUNTIF(SelectedPrecincts[Batch Name],SamplingData[[#This Row],[Batch by Type (p)]]), 0)</f>
        <v>0</v>
      </c>
    </row>
    <row r="595" spans="1:36" ht="15" customHeight="1" x14ac:dyDescent="0.35">
      <c r="A595" s="98" t="s">
        <v>806</v>
      </c>
      <c r="B595" s="98">
        <v>4</v>
      </c>
      <c r="C595" s="98">
        <v>3</v>
      </c>
      <c r="D595" s="93"/>
      <c r="E595" s="93"/>
      <c r="F595" s="93"/>
      <c r="G595" s="97"/>
      <c r="H595" s="97"/>
      <c r="I595" s="93"/>
      <c r="J595" s="93"/>
      <c r="K595" s="93"/>
      <c r="L595" s="93"/>
      <c r="M595" s="93"/>
      <c r="N595" s="98">
        <v>0</v>
      </c>
      <c r="O595" s="98">
        <v>1</v>
      </c>
      <c r="P595" s="99">
        <f>SUM(SamplingData[[#This Row],[Winning Candidate]:[Under Votes]])</f>
        <v>8</v>
      </c>
      <c r="Q595"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595" s="100">
        <f>IF(AND(SamplingData[[#This Row],[Total]]&lt;&gt; 0, NOT(ISBLANK(SamplingData[[#This Row],[Candidate 3]]))),(SamplingData[[#This Row],[Total]]+SamplingData[[#This Row],[Winning Candidate]]-SamplingData[[#This Row],[Candidate 3]])/(SamplingData[[#Totals],[Winning Candidate]]-SamplingData[[#Totals],[Candidate 3]]), 0)</f>
        <v>0</v>
      </c>
      <c r="S595" s="100">
        <f>IF(AND(SamplingData[[#This Row],[Total]]&lt;&gt; 0, NOT(ISBLANK(SamplingData[[#This Row],[Candidate 4]]))),(SamplingData[[#This Row],[Total]]+SamplingData[[#This Row],[Winning Candidate]]-SamplingData[[#This Row],[Candidate 4]])/(SamplingData[[#Totals],[Winning Candidate]]-SamplingData[[#Totals],[Candidate 4]]), 0)</f>
        <v>0</v>
      </c>
      <c r="T595" s="100">
        <f>IF(AND(SamplingData[[#This Row],[Total]]&lt;&gt; 0, NOT(ISBLANK(SamplingData[[#This Row],[Candidate 5]]))),(SamplingData[[#This Row],[Total]]+SamplingData[[#This Row],[Winning Candidate]]-SamplingData[[#This Row],[Candidate 5]])/(SamplingData[[#Totals],[Winning Candidate]]-SamplingData[[#Totals],[Candidate 5]]), 0)</f>
        <v>0</v>
      </c>
      <c r="U595" s="100">
        <f>IF(AND(SamplingData[[#This Row],[Total]]&lt;&gt; 0, NOT(ISBLANK(SamplingData[[#This Row],[Candidate 6]]))),(SamplingData[[#This Row],[Total]]+SamplingData[[#This Row],[Losing Candidate]]-SamplingData[[#This Row],[Candidate 6]])/(SamplingData[[#Totals],[Winning Candidate]]-SamplingData[[#Totals],[Candidate 6]]), 0)</f>
        <v>0</v>
      </c>
      <c r="V595" s="100">
        <f>IF(AND(SamplingData[[#This Row],[Total]]&lt;&gt; 0, NOT(ISBLANK(SamplingData[[#This Row],[Candidate 7]]))),(SamplingData[[#This Row],[Total]]+SamplingData[[#This Row],[Winning Candidate]]-SamplingData[[#This Row],[Candidate 7]])/(SamplingData[[#Totals],[Winning Candidate]]-SamplingData[[#Totals],[Candidate 7]]), 0)</f>
        <v>0</v>
      </c>
      <c r="W595" s="100">
        <f>IF(AND(SamplingData[[#This Row],[Total]]&lt;&gt; 0, NOT(ISBLANK(SamplingData[[#This Row],[Candidate 8]]))),(SamplingData[[#This Row],[Total]]+SamplingData[[#This Row],[Winning Candidate]]-SamplingData[[#This Row],[Candidate 8]])/(SamplingData[[#Totals],[Winning Candidate]]-SamplingData[[#Totals],[Candidate 8]]), 0)</f>
        <v>0</v>
      </c>
      <c r="X5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00">
        <f>MAX(SamplingData[[#This Row],[Error Bound (up) - Max. possible relative overstatement - Losing Candidate]:[Error Bound (up) - Max. possible relative overstatement - Candidate 12]])</f>
        <v>2.8268995194270818E-4</v>
      </c>
      <c r="AC595" s="100">
        <f>IF(SamplingData[[#This Row],[Max Error Bound (up)]] = 0,0,SamplingData[[#This Row],[Max Error Bound (up)]]/SamplingData[[#Totals],[Max Error Bound (up)]])</f>
        <v>1.2114359554191572E-4</v>
      </c>
      <c r="AD595" s="104">
        <f>SUM($AC$5:AC595)</f>
        <v>0.14690680019383001</v>
      </c>
      <c r="AE595" s="100" t="str" cm="1">
        <f t="array" ref="AE595">IF(SamplingData[[#This Row],[up/U Selection Probability]] = 0, "Zero", TEXT(SamplingData[[#This Row],[Lower Range]], REPT("0",LEN('General Info'!$B$42))) &amp; " - " &amp; TEXT(SamplingData[[#This Row],[Upper Range]], REPT("0",LEN('General Info'!$B$42))))</f>
        <v>14679 - 14690</v>
      </c>
      <c r="AF595" s="100">
        <f>SamplingData[[#This Row],[Upper Range]]-SamplingData[[#This Row],[Span]]</f>
        <v>14678.56565982881</v>
      </c>
      <c r="AG595" s="100">
        <f>IF(ISNUMBER('General Info'!$B$42), ((SamplingData[[#This Row],[up/U Selection Probability]]) * 'General Info'!$B$44) - 1, 0)</f>
        <v>11.114359554191573</v>
      </c>
      <c r="AH595" s="100">
        <f>IF(ISNUMBER('General Info'!$B$42), (SamplingData[[#This Row],[Running (cumulative) sum]] * ('General Info'!$B$42 -'General Info'!$B$43 + 1)) + 'General Info'!$B$43 - 1, 0)</f>
        <v>14689.680019383</v>
      </c>
      <c r="AI595" s="100" t="str">
        <f>IF(ISERROR(MATCH(SamplingData[[#This Row],[Batch by Type (p)]],SelectedPrecincts[Batch Name], 0)), "", INDEX(SelectedPrecincts[Draw], MATCH(SamplingData[[#This Row],[Batch by Type (p)]],SelectedPrecincts[Batch Name], 0)))</f>
        <v/>
      </c>
      <c r="AJ595" s="101">
        <f>IF(COUNTIF(SelectedPrecincts[Batch Name],SamplingData[[#This Row],[Batch by Type (p)]]) &lt;&gt; 0, COUNTIF(SelectedPrecincts[Batch Name],SamplingData[[#This Row],[Batch by Type (p)]]), 0)</f>
        <v>0</v>
      </c>
    </row>
    <row r="596" spans="1:36" ht="15" customHeight="1" x14ac:dyDescent="0.35">
      <c r="A596" s="98" t="s">
        <v>807</v>
      </c>
      <c r="B596" s="98">
        <v>4</v>
      </c>
      <c r="C596" s="98">
        <v>2</v>
      </c>
      <c r="D596" s="93"/>
      <c r="E596" s="93"/>
      <c r="F596" s="93"/>
      <c r="G596" s="97"/>
      <c r="H596" s="97"/>
      <c r="I596" s="93"/>
      <c r="J596" s="93"/>
      <c r="K596" s="93"/>
      <c r="L596" s="93"/>
      <c r="M596" s="93"/>
      <c r="N596" s="98">
        <v>0</v>
      </c>
      <c r="O596" s="98">
        <v>1</v>
      </c>
      <c r="P596" s="99">
        <f>SUM(SamplingData[[#This Row],[Winning Candidate]:[Under Votes]])</f>
        <v>7</v>
      </c>
      <c r="Q596"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596" s="100">
        <f>IF(AND(SamplingData[[#This Row],[Total]]&lt;&gt; 0, NOT(ISBLANK(SamplingData[[#This Row],[Candidate 3]]))),(SamplingData[[#This Row],[Total]]+SamplingData[[#This Row],[Winning Candidate]]-SamplingData[[#This Row],[Candidate 3]])/(SamplingData[[#Totals],[Winning Candidate]]-SamplingData[[#Totals],[Candidate 3]]), 0)</f>
        <v>0</v>
      </c>
      <c r="S596" s="100">
        <f>IF(AND(SamplingData[[#This Row],[Total]]&lt;&gt; 0, NOT(ISBLANK(SamplingData[[#This Row],[Candidate 4]]))),(SamplingData[[#This Row],[Total]]+SamplingData[[#This Row],[Winning Candidate]]-SamplingData[[#This Row],[Candidate 4]])/(SamplingData[[#Totals],[Winning Candidate]]-SamplingData[[#Totals],[Candidate 4]]), 0)</f>
        <v>0</v>
      </c>
      <c r="T596" s="100">
        <f>IF(AND(SamplingData[[#This Row],[Total]]&lt;&gt; 0, NOT(ISBLANK(SamplingData[[#This Row],[Candidate 5]]))),(SamplingData[[#This Row],[Total]]+SamplingData[[#This Row],[Winning Candidate]]-SamplingData[[#This Row],[Candidate 5]])/(SamplingData[[#Totals],[Winning Candidate]]-SamplingData[[#Totals],[Candidate 5]]), 0)</f>
        <v>0</v>
      </c>
      <c r="U596" s="100">
        <f>IF(AND(SamplingData[[#This Row],[Total]]&lt;&gt; 0, NOT(ISBLANK(SamplingData[[#This Row],[Candidate 6]]))),(SamplingData[[#This Row],[Total]]+SamplingData[[#This Row],[Losing Candidate]]-SamplingData[[#This Row],[Candidate 6]])/(SamplingData[[#Totals],[Winning Candidate]]-SamplingData[[#Totals],[Candidate 6]]), 0)</f>
        <v>0</v>
      </c>
      <c r="V596" s="100">
        <f>IF(AND(SamplingData[[#This Row],[Total]]&lt;&gt; 0, NOT(ISBLANK(SamplingData[[#This Row],[Candidate 7]]))),(SamplingData[[#This Row],[Total]]+SamplingData[[#This Row],[Winning Candidate]]-SamplingData[[#This Row],[Candidate 7]])/(SamplingData[[#Totals],[Winning Candidate]]-SamplingData[[#Totals],[Candidate 7]]), 0)</f>
        <v>0</v>
      </c>
      <c r="W596" s="100">
        <f>IF(AND(SamplingData[[#This Row],[Total]]&lt;&gt; 0, NOT(ISBLANK(SamplingData[[#This Row],[Candidate 8]]))),(SamplingData[[#This Row],[Total]]+SamplingData[[#This Row],[Winning Candidate]]-SamplingData[[#This Row],[Candidate 8]])/(SamplingData[[#Totals],[Winning Candidate]]-SamplingData[[#Totals],[Candidate 8]]), 0)</f>
        <v>0</v>
      </c>
      <c r="X5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00">
        <f>MAX(SamplingData[[#This Row],[Error Bound (up) - Max. possible relative overstatement - Losing Candidate]:[Error Bound (up) - Max. possible relative overstatement - Candidate 12]])</f>
        <v>2.8268995194270818E-4</v>
      </c>
      <c r="AC596" s="100">
        <f>IF(SamplingData[[#This Row],[Max Error Bound (up)]] = 0,0,SamplingData[[#This Row],[Max Error Bound (up)]]/SamplingData[[#Totals],[Max Error Bound (up)]])</f>
        <v>1.2114359554191572E-4</v>
      </c>
      <c r="AD596" s="104">
        <f>SUM($AC$5:AC596)</f>
        <v>0.14702794378937192</v>
      </c>
      <c r="AE596" s="100" t="str" cm="1">
        <f t="array" ref="AE596">IF(SamplingData[[#This Row],[up/U Selection Probability]] = 0, "Zero", TEXT(SamplingData[[#This Row],[Lower Range]], REPT("0",LEN('General Info'!$B$42))) &amp; " - " &amp; TEXT(SamplingData[[#This Row],[Upper Range]], REPT("0",LEN('General Info'!$B$42))))</f>
        <v>14691 - 14702</v>
      </c>
      <c r="AF596" s="100">
        <f>SamplingData[[#This Row],[Upper Range]]-SamplingData[[#This Row],[Span]]</f>
        <v>14690.680019383002</v>
      </c>
      <c r="AG596" s="100">
        <f>IF(ISNUMBER('General Info'!$B$42), ((SamplingData[[#This Row],[up/U Selection Probability]]) * 'General Info'!$B$44) - 1, 0)</f>
        <v>11.114359554191573</v>
      </c>
      <c r="AH596" s="100">
        <f>IF(ISNUMBER('General Info'!$B$42), (SamplingData[[#This Row],[Running (cumulative) sum]] * ('General Info'!$B$42 -'General Info'!$B$43 + 1)) + 'General Info'!$B$43 - 1, 0)</f>
        <v>14701.794378937193</v>
      </c>
      <c r="AI596" s="100" t="str">
        <f>IF(ISERROR(MATCH(SamplingData[[#This Row],[Batch by Type (p)]],SelectedPrecincts[Batch Name], 0)), "", INDEX(SelectedPrecincts[Draw], MATCH(SamplingData[[#This Row],[Batch by Type (p)]],SelectedPrecincts[Batch Name], 0)))</f>
        <v/>
      </c>
      <c r="AJ596" s="101">
        <f>IF(COUNTIF(SelectedPrecincts[Batch Name],SamplingData[[#This Row],[Batch by Type (p)]]) &lt;&gt; 0, COUNTIF(SelectedPrecincts[Batch Name],SamplingData[[#This Row],[Batch by Type (p)]]), 0)</f>
        <v>0</v>
      </c>
    </row>
    <row r="597" spans="1:36" ht="15" customHeight="1" x14ac:dyDescent="0.35">
      <c r="A597" s="98" t="s">
        <v>808</v>
      </c>
      <c r="B597" s="98">
        <v>55</v>
      </c>
      <c r="C597" s="98">
        <v>4</v>
      </c>
      <c r="D597" s="93"/>
      <c r="E597" s="93"/>
      <c r="F597" s="93"/>
      <c r="G597" s="97"/>
      <c r="H597" s="97"/>
      <c r="I597" s="93"/>
      <c r="J597" s="93"/>
      <c r="K597" s="93"/>
      <c r="L597" s="93"/>
      <c r="M597" s="93"/>
      <c r="N597" s="98">
        <v>0</v>
      </c>
      <c r="O597" s="98">
        <v>0</v>
      </c>
      <c r="P597" s="99">
        <f>SUM(SamplingData[[#This Row],[Winning Candidate]:[Under Votes]])</f>
        <v>59</v>
      </c>
      <c r="Q597" s="100">
        <f>IF(AND(SamplingData[[#This Row],[Total]]&lt;&gt; 0, NOT(ISBLANK(SamplingData[[#This Row],[Losing Candidate]]))),(SamplingData[[#This Row],[Total]]+SamplingData[[#This Row],[Winning Candidate]]-SamplingData[[#This Row],[Losing Candidate]])/(SamplingData[[#Totals],[Winning Candidate]]-SamplingData[[#Totals],[Losing Candidate]]), 0)</f>
        <v>3.4550994126330997E-3</v>
      </c>
      <c r="R597" s="100">
        <f>IF(AND(SamplingData[[#This Row],[Total]]&lt;&gt; 0, NOT(ISBLANK(SamplingData[[#This Row],[Candidate 3]]))),(SamplingData[[#This Row],[Total]]+SamplingData[[#This Row],[Winning Candidate]]-SamplingData[[#This Row],[Candidate 3]])/(SamplingData[[#Totals],[Winning Candidate]]-SamplingData[[#Totals],[Candidate 3]]), 0)</f>
        <v>0</v>
      </c>
      <c r="S597" s="100">
        <f>IF(AND(SamplingData[[#This Row],[Total]]&lt;&gt; 0, NOT(ISBLANK(SamplingData[[#This Row],[Candidate 4]]))),(SamplingData[[#This Row],[Total]]+SamplingData[[#This Row],[Winning Candidate]]-SamplingData[[#This Row],[Candidate 4]])/(SamplingData[[#Totals],[Winning Candidate]]-SamplingData[[#Totals],[Candidate 4]]), 0)</f>
        <v>0</v>
      </c>
      <c r="T597" s="100">
        <f>IF(AND(SamplingData[[#This Row],[Total]]&lt;&gt; 0, NOT(ISBLANK(SamplingData[[#This Row],[Candidate 5]]))),(SamplingData[[#This Row],[Total]]+SamplingData[[#This Row],[Winning Candidate]]-SamplingData[[#This Row],[Candidate 5]])/(SamplingData[[#Totals],[Winning Candidate]]-SamplingData[[#Totals],[Candidate 5]]), 0)</f>
        <v>0</v>
      </c>
      <c r="U597" s="100">
        <f>IF(AND(SamplingData[[#This Row],[Total]]&lt;&gt; 0, NOT(ISBLANK(SamplingData[[#This Row],[Candidate 6]]))),(SamplingData[[#This Row],[Total]]+SamplingData[[#This Row],[Losing Candidate]]-SamplingData[[#This Row],[Candidate 6]])/(SamplingData[[#Totals],[Winning Candidate]]-SamplingData[[#Totals],[Candidate 6]]), 0)</f>
        <v>0</v>
      </c>
      <c r="V597" s="100">
        <f>IF(AND(SamplingData[[#This Row],[Total]]&lt;&gt; 0, NOT(ISBLANK(SamplingData[[#This Row],[Candidate 7]]))),(SamplingData[[#This Row],[Total]]+SamplingData[[#This Row],[Winning Candidate]]-SamplingData[[#This Row],[Candidate 7]])/(SamplingData[[#Totals],[Winning Candidate]]-SamplingData[[#Totals],[Candidate 7]]), 0)</f>
        <v>0</v>
      </c>
      <c r="W597" s="100">
        <f>IF(AND(SamplingData[[#This Row],[Total]]&lt;&gt; 0, NOT(ISBLANK(SamplingData[[#This Row],[Candidate 8]]))),(SamplingData[[#This Row],[Total]]+SamplingData[[#This Row],[Winning Candidate]]-SamplingData[[#This Row],[Candidate 8]])/(SamplingData[[#Totals],[Winning Candidate]]-SamplingData[[#Totals],[Candidate 8]]), 0)</f>
        <v>0</v>
      </c>
      <c r="X5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00">
        <f>MAX(SamplingData[[#This Row],[Error Bound (up) - Max. possible relative overstatement - Losing Candidate]:[Error Bound (up) - Max. possible relative overstatement - Candidate 12]])</f>
        <v>3.4550994126330997E-3</v>
      </c>
      <c r="AC597" s="100">
        <f>IF(SamplingData[[#This Row],[Max Error Bound (up)]] = 0,0,SamplingData[[#This Row],[Max Error Bound (up)]]/SamplingData[[#Totals],[Max Error Bound (up)]])</f>
        <v>1.4806439455123032E-3</v>
      </c>
      <c r="AD597" s="104">
        <f>SUM($AC$5:AC597)</f>
        <v>0.14850858773488423</v>
      </c>
      <c r="AE597" s="100" t="str" cm="1">
        <f t="array" ref="AE597">IF(SamplingData[[#This Row],[up/U Selection Probability]] = 0, "Zero", TEXT(SamplingData[[#This Row],[Lower Range]], REPT("0",LEN('General Info'!$B$42))) &amp; " - " &amp; TEXT(SamplingData[[#This Row],[Upper Range]], REPT("0",LEN('General Info'!$B$42))))</f>
        <v>14703 - 14850</v>
      </c>
      <c r="AF597" s="100">
        <f>SamplingData[[#This Row],[Upper Range]]-SamplingData[[#This Row],[Span]]</f>
        <v>14702.794378937193</v>
      </c>
      <c r="AG597" s="100">
        <f>IF(ISNUMBER('General Info'!$B$42), ((SamplingData[[#This Row],[up/U Selection Probability]]) * 'General Info'!$B$44) - 1, 0)</f>
        <v>147.06439455123032</v>
      </c>
      <c r="AH597" s="100">
        <f>IF(ISNUMBER('General Info'!$B$42), (SamplingData[[#This Row],[Running (cumulative) sum]] * ('General Info'!$B$42 -'General Info'!$B$43 + 1)) + 'General Info'!$B$43 - 1, 0)</f>
        <v>14849.858773488424</v>
      </c>
      <c r="AI597" s="100" t="str">
        <f>IF(ISERROR(MATCH(SamplingData[[#This Row],[Batch by Type (p)]],SelectedPrecincts[Batch Name], 0)), "", INDEX(SelectedPrecincts[Draw], MATCH(SamplingData[[#This Row],[Batch by Type (p)]],SelectedPrecincts[Batch Name], 0)))</f>
        <v/>
      </c>
      <c r="AJ597" s="101">
        <f>IF(COUNTIF(SelectedPrecincts[Batch Name],SamplingData[[#This Row],[Batch by Type (p)]]) &lt;&gt; 0, COUNTIF(SelectedPrecincts[Batch Name],SamplingData[[#This Row],[Batch by Type (p)]]), 0)</f>
        <v>0</v>
      </c>
    </row>
    <row r="598" spans="1:36" ht="15" customHeight="1" x14ac:dyDescent="0.35">
      <c r="A598" s="98" t="s">
        <v>809</v>
      </c>
      <c r="B598" s="98">
        <v>31</v>
      </c>
      <c r="C598" s="98">
        <v>3</v>
      </c>
      <c r="D598" s="93"/>
      <c r="E598" s="93"/>
      <c r="F598" s="93"/>
      <c r="G598" s="97"/>
      <c r="H598" s="97"/>
      <c r="I598" s="93"/>
      <c r="J598" s="93"/>
      <c r="K598" s="93"/>
      <c r="L598" s="93"/>
      <c r="M598" s="93"/>
      <c r="N598" s="98">
        <v>0</v>
      </c>
      <c r="O598" s="98">
        <v>1</v>
      </c>
      <c r="P598" s="99">
        <f>SUM(SamplingData[[#This Row],[Winning Candidate]:[Under Votes]])</f>
        <v>35</v>
      </c>
      <c r="Q598" s="100">
        <f>IF(AND(SamplingData[[#This Row],[Total]]&lt;&gt; 0, NOT(ISBLANK(SamplingData[[#This Row],[Losing Candidate]]))),(SamplingData[[#This Row],[Total]]+SamplingData[[#This Row],[Winning Candidate]]-SamplingData[[#This Row],[Losing Candidate]])/(SamplingData[[#Totals],[Winning Candidate]]-SamplingData[[#Totals],[Losing Candidate]]), 0)</f>
        <v>1.9788296635989571E-3</v>
      </c>
      <c r="R598" s="100">
        <f>IF(AND(SamplingData[[#This Row],[Total]]&lt;&gt; 0, NOT(ISBLANK(SamplingData[[#This Row],[Candidate 3]]))),(SamplingData[[#This Row],[Total]]+SamplingData[[#This Row],[Winning Candidate]]-SamplingData[[#This Row],[Candidate 3]])/(SamplingData[[#Totals],[Winning Candidate]]-SamplingData[[#Totals],[Candidate 3]]), 0)</f>
        <v>0</v>
      </c>
      <c r="S598" s="100">
        <f>IF(AND(SamplingData[[#This Row],[Total]]&lt;&gt; 0, NOT(ISBLANK(SamplingData[[#This Row],[Candidate 4]]))),(SamplingData[[#This Row],[Total]]+SamplingData[[#This Row],[Winning Candidate]]-SamplingData[[#This Row],[Candidate 4]])/(SamplingData[[#Totals],[Winning Candidate]]-SamplingData[[#Totals],[Candidate 4]]), 0)</f>
        <v>0</v>
      </c>
      <c r="T598" s="100">
        <f>IF(AND(SamplingData[[#This Row],[Total]]&lt;&gt; 0, NOT(ISBLANK(SamplingData[[#This Row],[Candidate 5]]))),(SamplingData[[#This Row],[Total]]+SamplingData[[#This Row],[Winning Candidate]]-SamplingData[[#This Row],[Candidate 5]])/(SamplingData[[#Totals],[Winning Candidate]]-SamplingData[[#Totals],[Candidate 5]]), 0)</f>
        <v>0</v>
      </c>
      <c r="U598" s="100">
        <f>IF(AND(SamplingData[[#This Row],[Total]]&lt;&gt; 0, NOT(ISBLANK(SamplingData[[#This Row],[Candidate 6]]))),(SamplingData[[#This Row],[Total]]+SamplingData[[#This Row],[Losing Candidate]]-SamplingData[[#This Row],[Candidate 6]])/(SamplingData[[#Totals],[Winning Candidate]]-SamplingData[[#Totals],[Candidate 6]]), 0)</f>
        <v>0</v>
      </c>
      <c r="V598" s="100">
        <f>IF(AND(SamplingData[[#This Row],[Total]]&lt;&gt; 0, NOT(ISBLANK(SamplingData[[#This Row],[Candidate 7]]))),(SamplingData[[#This Row],[Total]]+SamplingData[[#This Row],[Winning Candidate]]-SamplingData[[#This Row],[Candidate 7]])/(SamplingData[[#Totals],[Winning Candidate]]-SamplingData[[#Totals],[Candidate 7]]), 0)</f>
        <v>0</v>
      </c>
      <c r="W598" s="100">
        <f>IF(AND(SamplingData[[#This Row],[Total]]&lt;&gt; 0, NOT(ISBLANK(SamplingData[[#This Row],[Candidate 8]]))),(SamplingData[[#This Row],[Total]]+SamplingData[[#This Row],[Winning Candidate]]-SamplingData[[#This Row],[Candidate 8]])/(SamplingData[[#Totals],[Winning Candidate]]-SamplingData[[#Totals],[Candidate 8]]), 0)</f>
        <v>0</v>
      </c>
      <c r="X5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00">
        <f>MAX(SamplingData[[#This Row],[Error Bound (up) - Max. possible relative overstatement - Losing Candidate]:[Error Bound (up) - Max. possible relative overstatement - Candidate 12]])</f>
        <v>1.9788296635989571E-3</v>
      </c>
      <c r="AC598" s="100">
        <f>IF(SamplingData[[#This Row],[Max Error Bound (up)]] = 0,0,SamplingData[[#This Row],[Max Error Bound (up)]]/SamplingData[[#Totals],[Max Error Bound (up)]])</f>
        <v>8.4800516879341011E-4</v>
      </c>
      <c r="AD598" s="104">
        <f>SUM($AC$5:AC598)</f>
        <v>0.14935659290367764</v>
      </c>
      <c r="AE598" s="100" t="str" cm="1">
        <f t="array" ref="AE598">IF(SamplingData[[#This Row],[up/U Selection Probability]] = 0, "Zero", TEXT(SamplingData[[#This Row],[Lower Range]], REPT("0",LEN('General Info'!$B$42))) &amp; " - " &amp; TEXT(SamplingData[[#This Row],[Upper Range]], REPT("0",LEN('General Info'!$B$42))))</f>
        <v>14851 - 14935</v>
      </c>
      <c r="AF598" s="100">
        <f>SamplingData[[#This Row],[Upper Range]]-SamplingData[[#This Row],[Span]]</f>
        <v>14850.858773488424</v>
      </c>
      <c r="AG598" s="100">
        <f>IF(ISNUMBER('General Info'!$B$42), ((SamplingData[[#This Row],[up/U Selection Probability]]) * 'General Info'!$B$44) - 1, 0)</f>
        <v>83.800516879341018</v>
      </c>
      <c r="AH598" s="100">
        <f>IF(ISNUMBER('General Info'!$B$42), (SamplingData[[#This Row],[Running (cumulative) sum]] * ('General Info'!$B$42 -'General Info'!$B$43 + 1)) + 'General Info'!$B$43 - 1, 0)</f>
        <v>14934.659290367765</v>
      </c>
      <c r="AI598" s="100" t="str">
        <f>IF(ISERROR(MATCH(SamplingData[[#This Row],[Batch by Type (p)]],SelectedPrecincts[Batch Name], 0)), "", INDEX(SelectedPrecincts[Draw], MATCH(SamplingData[[#This Row],[Batch by Type (p)]],SelectedPrecincts[Batch Name], 0)))</f>
        <v/>
      </c>
      <c r="AJ598" s="101">
        <f>IF(COUNTIF(SelectedPrecincts[Batch Name],SamplingData[[#This Row],[Batch by Type (p)]]) &lt;&gt; 0, COUNTIF(SelectedPrecincts[Batch Name],SamplingData[[#This Row],[Batch by Type (p)]]), 0)</f>
        <v>0</v>
      </c>
    </row>
    <row r="599" spans="1:36" ht="15" customHeight="1" x14ac:dyDescent="0.35">
      <c r="A599" s="98" t="s">
        <v>810</v>
      </c>
      <c r="B599" s="98">
        <v>19</v>
      </c>
      <c r="C599" s="98">
        <v>4</v>
      </c>
      <c r="D599" s="93"/>
      <c r="E599" s="93"/>
      <c r="F599" s="93"/>
      <c r="G599" s="97"/>
      <c r="H599" s="97"/>
      <c r="I599" s="93"/>
      <c r="J599" s="93"/>
      <c r="K599" s="93"/>
      <c r="L599" s="93"/>
      <c r="M599" s="93"/>
      <c r="N599" s="98">
        <v>0</v>
      </c>
      <c r="O599" s="98">
        <v>2</v>
      </c>
      <c r="P599" s="99">
        <f>SUM(SamplingData[[#This Row],[Winning Candidate]:[Under Votes]])</f>
        <v>25</v>
      </c>
      <c r="Q599"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599" s="100">
        <f>IF(AND(SamplingData[[#This Row],[Total]]&lt;&gt; 0, NOT(ISBLANK(SamplingData[[#This Row],[Candidate 3]]))),(SamplingData[[#This Row],[Total]]+SamplingData[[#This Row],[Winning Candidate]]-SamplingData[[#This Row],[Candidate 3]])/(SamplingData[[#Totals],[Winning Candidate]]-SamplingData[[#Totals],[Candidate 3]]), 0)</f>
        <v>0</v>
      </c>
      <c r="S599" s="100">
        <f>IF(AND(SamplingData[[#This Row],[Total]]&lt;&gt; 0, NOT(ISBLANK(SamplingData[[#This Row],[Candidate 4]]))),(SamplingData[[#This Row],[Total]]+SamplingData[[#This Row],[Winning Candidate]]-SamplingData[[#This Row],[Candidate 4]])/(SamplingData[[#Totals],[Winning Candidate]]-SamplingData[[#Totals],[Candidate 4]]), 0)</f>
        <v>0</v>
      </c>
      <c r="T599" s="100">
        <f>IF(AND(SamplingData[[#This Row],[Total]]&lt;&gt; 0, NOT(ISBLANK(SamplingData[[#This Row],[Candidate 5]]))),(SamplingData[[#This Row],[Total]]+SamplingData[[#This Row],[Winning Candidate]]-SamplingData[[#This Row],[Candidate 5]])/(SamplingData[[#Totals],[Winning Candidate]]-SamplingData[[#Totals],[Candidate 5]]), 0)</f>
        <v>0</v>
      </c>
      <c r="U599" s="100">
        <f>IF(AND(SamplingData[[#This Row],[Total]]&lt;&gt; 0, NOT(ISBLANK(SamplingData[[#This Row],[Candidate 6]]))),(SamplingData[[#This Row],[Total]]+SamplingData[[#This Row],[Losing Candidate]]-SamplingData[[#This Row],[Candidate 6]])/(SamplingData[[#Totals],[Winning Candidate]]-SamplingData[[#Totals],[Candidate 6]]), 0)</f>
        <v>0</v>
      </c>
      <c r="V599" s="100">
        <f>IF(AND(SamplingData[[#This Row],[Total]]&lt;&gt; 0, NOT(ISBLANK(SamplingData[[#This Row],[Candidate 7]]))),(SamplingData[[#This Row],[Total]]+SamplingData[[#This Row],[Winning Candidate]]-SamplingData[[#This Row],[Candidate 7]])/(SamplingData[[#Totals],[Winning Candidate]]-SamplingData[[#Totals],[Candidate 7]]), 0)</f>
        <v>0</v>
      </c>
      <c r="W599" s="100">
        <f>IF(AND(SamplingData[[#This Row],[Total]]&lt;&gt; 0, NOT(ISBLANK(SamplingData[[#This Row],[Candidate 8]]))),(SamplingData[[#This Row],[Total]]+SamplingData[[#This Row],[Winning Candidate]]-SamplingData[[#This Row],[Candidate 8]])/(SamplingData[[#Totals],[Winning Candidate]]-SamplingData[[#Totals],[Candidate 8]]), 0)</f>
        <v>0</v>
      </c>
      <c r="X5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00">
        <f>MAX(SamplingData[[#This Row],[Error Bound (up) - Max. possible relative overstatement - Losing Candidate]:[Error Bound (up) - Max. possible relative overstatement - Candidate 12]])</f>
        <v>1.2563997864120362E-3</v>
      </c>
      <c r="AC599" s="100">
        <f>IF(SamplingData[[#This Row],[Max Error Bound (up)]] = 0,0,SamplingData[[#This Row],[Max Error Bound (up)]]/SamplingData[[#Totals],[Max Error Bound (up)]])</f>
        <v>5.3841598018629215E-4</v>
      </c>
      <c r="AD599" s="104">
        <f>SUM($AC$5:AC599)</f>
        <v>0.14989500888386392</v>
      </c>
      <c r="AE599" s="100" t="str" cm="1">
        <f t="array" ref="AE599">IF(SamplingData[[#This Row],[up/U Selection Probability]] = 0, "Zero", TEXT(SamplingData[[#This Row],[Lower Range]], REPT("0",LEN('General Info'!$B$42))) &amp; " - " &amp; TEXT(SamplingData[[#This Row],[Upper Range]], REPT("0",LEN('General Info'!$B$42))))</f>
        <v>14936 - 14989</v>
      </c>
      <c r="AF599" s="100">
        <f>SamplingData[[#This Row],[Upper Range]]-SamplingData[[#This Row],[Span]]</f>
        <v>14935.659290367763</v>
      </c>
      <c r="AG599" s="100">
        <f>IF(ISNUMBER('General Info'!$B$42), ((SamplingData[[#This Row],[up/U Selection Probability]]) * 'General Info'!$B$44) - 1, 0)</f>
        <v>52.841598018629213</v>
      </c>
      <c r="AH599" s="100">
        <f>IF(ISNUMBER('General Info'!$B$42), (SamplingData[[#This Row],[Running (cumulative) sum]] * ('General Info'!$B$42 -'General Info'!$B$43 + 1)) + 'General Info'!$B$43 - 1, 0)</f>
        <v>14988.500888386392</v>
      </c>
      <c r="AI599" s="100" t="str">
        <f>IF(ISERROR(MATCH(SamplingData[[#This Row],[Batch by Type (p)]],SelectedPrecincts[Batch Name], 0)), "", INDEX(SelectedPrecincts[Draw], MATCH(SamplingData[[#This Row],[Batch by Type (p)]],SelectedPrecincts[Batch Name], 0)))</f>
        <v/>
      </c>
      <c r="AJ599" s="101">
        <f>IF(COUNTIF(SelectedPrecincts[Batch Name],SamplingData[[#This Row],[Batch by Type (p)]]) &lt;&gt; 0, COUNTIF(SelectedPrecincts[Batch Name],SamplingData[[#This Row],[Batch by Type (p)]]), 0)</f>
        <v>0</v>
      </c>
    </row>
    <row r="600" spans="1:36" ht="15" customHeight="1" x14ac:dyDescent="0.35">
      <c r="A600" s="98" t="s">
        <v>811</v>
      </c>
      <c r="B600" s="98">
        <v>45</v>
      </c>
      <c r="C600" s="98">
        <v>4</v>
      </c>
      <c r="D600" s="93"/>
      <c r="E600" s="93"/>
      <c r="F600" s="93"/>
      <c r="G600" s="97"/>
      <c r="H600" s="97"/>
      <c r="I600" s="93"/>
      <c r="J600" s="93"/>
      <c r="K600" s="93"/>
      <c r="L600" s="93"/>
      <c r="M600" s="93"/>
      <c r="N600" s="98">
        <v>0</v>
      </c>
      <c r="O600" s="98">
        <v>1</v>
      </c>
      <c r="P600" s="99">
        <f>SUM(SamplingData[[#This Row],[Winning Candidate]:[Under Votes]])</f>
        <v>50</v>
      </c>
      <c r="Q600" s="100">
        <f>IF(AND(SamplingData[[#This Row],[Total]]&lt;&gt; 0, NOT(ISBLANK(SamplingData[[#This Row],[Losing Candidate]]))),(SamplingData[[#This Row],[Total]]+SamplingData[[#This Row],[Winning Candidate]]-SamplingData[[#This Row],[Losing Candidate]])/(SamplingData[[#Totals],[Winning Candidate]]-SamplingData[[#Totals],[Losing Candidate]]), 0)</f>
        <v>2.8583095140873828E-3</v>
      </c>
      <c r="R600" s="100">
        <f>IF(AND(SamplingData[[#This Row],[Total]]&lt;&gt; 0, NOT(ISBLANK(SamplingData[[#This Row],[Candidate 3]]))),(SamplingData[[#This Row],[Total]]+SamplingData[[#This Row],[Winning Candidate]]-SamplingData[[#This Row],[Candidate 3]])/(SamplingData[[#Totals],[Winning Candidate]]-SamplingData[[#Totals],[Candidate 3]]), 0)</f>
        <v>0</v>
      </c>
      <c r="S600" s="100">
        <f>IF(AND(SamplingData[[#This Row],[Total]]&lt;&gt; 0, NOT(ISBLANK(SamplingData[[#This Row],[Candidate 4]]))),(SamplingData[[#This Row],[Total]]+SamplingData[[#This Row],[Winning Candidate]]-SamplingData[[#This Row],[Candidate 4]])/(SamplingData[[#Totals],[Winning Candidate]]-SamplingData[[#Totals],[Candidate 4]]), 0)</f>
        <v>0</v>
      </c>
      <c r="T600" s="100">
        <f>IF(AND(SamplingData[[#This Row],[Total]]&lt;&gt; 0, NOT(ISBLANK(SamplingData[[#This Row],[Candidate 5]]))),(SamplingData[[#This Row],[Total]]+SamplingData[[#This Row],[Winning Candidate]]-SamplingData[[#This Row],[Candidate 5]])/(SamplingData[[#Totals],[Winning Candidate]]-SamplingData[[#Totals],[Candidate 5]]), 0)</f>
        <v>0</v>
      </c>
      <c r="U600" s="100">
        <f>IF(AND(SamplingData[[#This Row],[Total]]&lt;&gt; 0, NOT(ISBLANK(SamplingData[[#This Row],[Candidate 6]]))),(SamplingData[[#This Row],[Total]]+SamplingData[[#This Row],[Losing Candidate]]-SamplingData[[#This Row],[Candidate 6]])/(SamplingData[[#Totals],[Winning Candidate]]-SamplingData[[#Totals],[Candidate 6]]), 0)</f>
        <v>0</v>
      </c>
      <c r="V600" s="100">
        <f>IF(AND(SamplingData[[#This Row],[Total]]&lt;&gt; 0, NOT(ISBLANK(SamplingData[[#This Row],[Candidate 7]]))),(SamplingData[[#This Row],[Total]]+SamplingData[[#This Row],[Winning Candidate]]-SamplingData[[#This Row],[Candidate 7]])/(SamplingData[[#Totals],[Winning Candidate]]-SamplingData[[#Totals],[Candidate 7]]), 0)</f>
        <v>0</v>
      </c>
      <c r="W600" s="100">
        <f>IF(AND(SamplingData[[#This Row],[Total]]&lt;&gt; 0, NOT(ISBLANK(SamplingData[[#This Row],[Candidate 8]]))),(SamplingData[[#This Row],[Total]]+SamplingData[[#This Row],[Winning Candidate]]-SamplingData[[#This Row],[Candidate 8]])/(SamplingData[[#Totals],[Winning Candidate]]-SamplingData[[#Totals],[Candidate 8]]), 0)</f>
        <v>0</v>
      </c>
      <c r="X6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00">
        <f>MAX(SamplingData[[#This Row],[Error Bound (up) - Max. possible relative overstatement - Losing Candidate]:[Error Bound (up) - Max. possible relative overstatement - Candidate 12]])</f>
        <v>2.8583095140873828E-3</v>
      </c>
      <c r="AC600" s="100">
        <f>IF(SamplingData[[#This Row],[Max Error Bound (up)]] = 0,0,SamplingData[[#This Row],[Max Error Bound (up)]]/SamplingData[[#Totals],[Max Error Bound (up)]])</f>
        <v>1.2248963549238146E-3</v>
      </c>
      <c r="AD600" s="104">
        <f>SUM($AC$5:AC600)</f>
        <v>0.15111990523878774</v>
      </c>
      <c r="AE600" s="100" t="str" cm="1">
        <f t="array" ref="AE600">IF(SamplingData[[#This Row],[up/U Selection Probability]] = 0, "Zero", TEXT(SamplingData[[#This Row],[Lower Range]], REPT("0",LEN('General Info'!$B$42))) &amp; " - " &amp; TEXT(SamplingData[[#This Row],[Upper Range]], REPT("0",LEN('General Info'!$B$42))))</f>
        <v>14990 - 15111</v>
      </c>
      <c r="AF600" s="100">
        <f>SamplingData[[#This Row],[Upper Range]]-SamplingData[[#This Row],[Span]]</f>
        <v>14989.500888386392</v>
      </c>
      <c r="AG600" s="100">
        <f>IF(ISNUMBER('General Info'!$B$42), ((SamplingData[[#This Row],[up/U Selection Probability]]) * 'General Info'!$B$44) - 1, 0)</f>
        <v>121.48963549238145</v>
      </c>
      <c r="AH600" s="100">
        <f>IF(ISNUMBER('General Info'!$B$42), (SamplingData[[#This Row],[Running (cumulative) sum]] * ('General Info'!$B$42 -'General Info'!$B$43 + 1)) + 'General Info'!$B$43 - 1, 0)</f>
        <v>15110.990523878774</v>
      </c>
      <c r="AI600" s="100" t="str">
        <f>IF(ISERROR(MATCH(SamplingData[[#This Row],[Batch by Type (p)]],SelectedPrecincts[Batch Name], 0)), "", INDEX(SelectedPrecincts[Draw], MATCH(SamplingData[[#This Row],[Batch by Type (p)]],SelectedPrecincts[Batch Name], 0)))</f>
        <v/>
      </c>
      <c r="AJ600" s="101">
        <f>IF(COUNTIF(SelectedPrecincts[Batch Name],SamplingData[[#This Row],[Batch by Type (p)]]) &lt;&gt; 0, COUNTIF(SelectedPrecincts[Batch Name],SamplingData[[#This Row],[Batch by Type (p)]]), 0)</f>
        <v>0</v>
      </c>
    </row>
    <row r="601" spans="1:36" ht="15" customHeight="1" x14ac:dyDescent="0.35">
      <c r="A601" s="98" t="s">
        <v>812</v>
      </c>
      <c r="B601" s="98">
        <v>42</v>
      </c>
      <c r="C601" s="98">
        <v>4</v>
      </c>
      <c r="D601" s="93"/>
      <c r="E601" s="93"/>
      <c r="F601" s="93"/>
      <c r="G601" s="97"/>
      <c r="H601" s="97"/>
      <c r="I601" s="93"/>
      <c r="J601" s="93"/>
      <c r="K601" s="93"/>
      <c r="L601" s="93"/>
      <c r="M601" s="93"/>
      <c r="N601" s="98">
        <v>0</v>
      </c>
      <c r="O601" s="98">
        <v>1</v>
      </c>
      <c r="P601" s="99">
        <f>SUM(SamplingData[[#This Row],[Winning Candidate]:[Under Votes]])</f>
        <v>47</v>
      </c>
      <c r="Q601" s="100">
        <f>IF(AND(SamplingData[[#This Row],[Total]]&lt;&gt; 0, NOT(ISBLANK(SamplingData[[#This Row],[Losing Candidate]]))),(SamplingData[[#This Row],[Total]]+SamplingData[[#This Row],[Winning Candidate]]-SamplingData[[#This Row],[Losing Candidate]])/(SamplingData[[#Totals],[Winning Candidate]]-SamplingData[[#Totals],[Losing Candidate]]), 0)</f>
        <v>2.6698495461255772E-3</v>
      </c>
      <c r="R601" s="100">
        <f>IF(AND(SamplingData[[#This Row],[Total]]&lt;&gt; 0, NOT(ISBLANK(SamplingData[[#This Row],[Candidate 3]]))),(SamplingData[[#This Row],[Total]]+SamplingData[[#This Row],[Winning Candidate]]-SamplingData[[#This Row],[Candidate 3]])/(SamplingData[[#Totals],[Winning Candidate]]-SamplingData[[#Totals],[Candidate 3]]), 0)</f>
        <v>0</v>
      </c>
      <c r="S601" s="100">
        <f>IF(AND(SamplingData[[#This Row],[Total]]&lt;&gt; 0, NOT(ISBLANK(SamplingData[[#This Row],[Candidate 4]]))),(SamplingData[[#This Row],[Total]]+SamplingData[[#This Row],[Winning Candidate]]-SamplingData[[#This Row],[Candidate 4]])/(SamplingData[[#Totals],[Winning Candidate]]-SamplingData[[#Totals],[Candidate 4]]), 0)</f>
        <v>0</v>
      </c>
      <c r="T601" s="100">
        <f>IF(AND(SamplingData[[#This Row],[Total]]&lt;&gt; 0, NOT(ISBLANK(SamplingData[[#This Row],[Candidate 5]]))),(SamplingData[[#This Row],[Total]]+SamplingData[[#This Row],[Winning Candidate]]-SamplingData[[#This Row],[Candidate 5]])/(SamplingData[[#Totals],[Winning Candidate]]-SamplingData[[#Totals],[Candidate 5]]), 0)</f>
        <v>0</v>
      </c>
      <c r="U601" s="100">
        <f>IF(AND(SamplingData[[#This Row],[Total]]&lt;&gt; 0, NOT(ISBLANK(SamplingData[[#This Row],[Candidate 6]]))),(SamplingData[[#This Row],[Total]]+SamplingData[[#This Row],[Losing Candidate]]-SamplingData[[#This Row],[Candidate 6]])/(SamplingData[[#Totals],[Winning Candidate]]-SamplingData[[#Totals],[Candidate 6]]), 0)</f>
        <v>0</v>
      </c>
      <c r="V601" s="100">
        <f>IF(AND(SamplingData[[#This Row],[Total]]&lt;&gt; 0, NOT(ISBLANK(SamplingData[[#This Row],[Candidate 7]]))),(SamplingData[[#This Row],[Total]]+SamplingData[[#This Row],[Winning Candidate]]-SamplingData[[#This Row],[Candidate 7]])/(SamplingData[[#Totals],[Winning Candidate]]-SamplingData[[#Totals],[Candidate 7]]), 0)</f>
        <v>0</v>
      </c>
      <c r="W601" s="100">
        <f>IF(AND(SamplingData[[#This Row],[Total]]&lt;&gt; 0, NOT(ISBLANK(SamplingData[[#This Row],[Candidate 8]]))),(SamplingData[[#This Row],[Total]]+SamplingData[[#This Row],[Winning Candidate]]-SamplingData[[#This Row],[Candidate 8]])/(SamplingData[[#Totals],[Winning Candidate]]-SamplingData[[#Totals],[Candidate 8]]), 0)</f>
        <v>0</v>
      </c>
      <c r="X6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00">
        <f>MAX(SamplingData[[#This Row],[Error Bound (up) - Max. possible relative overstatement - Losing Candidate]:[Error Bound (up) - Max. possible relative overstatement - Candidate 12]])</f>
        <v>2.6698495461255772E-3</v>
      </c>
      <c r="AC601" s="100">
        <f>IF(SamplingData[[#This Row],[Max Error Bound (up)]] = 0,0,SamplingData[[#This Row],[Max Error Bound (up)]]/SamplingData[[#Totals],[Max Error Bound (up)]])</f>
        <v>1.1441339578958708E-3</v>
      </c>
      <c r="AD601" s="104">
        <f>SUM($AC$5:AC601)</f>
        <v>0.1522640391966836</v>
      </c>
      <c r="AE601" s="100" t="str" cm="1">
        <f t="array" ref="AE601">IF(SamplingData[[#This Row],[up/U Selection Probability]] = 0, "Zero", TEXT(SamplingData[[#This Row],[Lower Range]], REPT("0",LEN('General Info'!$B$42))) &amp; " - " &amp; TEXT(SamplingData[[#This Row],[Upper Range]], REPT("0",LEN('General Info'!$B$42))))</f>
        <v>15112 - 15225</v>
      </c>
      <c r="AF601" s="100">
        <f>SamplingData[[#This Row],[Upper Range]]-SamplingData[[#This Row],[Span]]</f>
        <v>15111.990523878774</v>
      </c>
      <c r="AG601" s="100">
        <f>IF(ISNUMBER('General Info'!$B$42), ((SamplingData[[#This Row],[up/U Selection Probability]]) * 'General Info'!$B$44) - 1, 0)</f>
        <v>113.41339578958709</v>
      </c>
      <c r="AH601" s="100">
        <f>IF(ISNUMBER('General Info'!$B$42), (SamplingData[[#This Row],[Running (cumulative) sum]] * ('General Info'!$B$42 -'General Info'!$B$43 + 1)) + 'General Info'!$B$43 - 1, 0)</f>
        <v>15225.403919668361</v>
      </c>
      <c r="AI601" s="100" t="str">
        <f>IF(ISERROR(MATCH(SamplingData[[#This Row],[Batch by Type (p)]],SelectedPrecincts[Batch Name], 0)), "", INDEX(SelectedPrecincts[Draw], MATCH(SamplingData[[#This Row],[Batch by Type (p)]],SelectedPrecincts[Batch Name], 0)))</f>
        <v/>
      </c>
      <c r="AJ601" s="101">
        <f>IF(COUNTIF(SelectedPrecincts[Batch Name],SamplingData[[#This Row],[Batch by Type (p)]]) &lt;&gt; 0, COUNTIF(SelectedPrecincts[Batch Name],SamplingData[[#This Row],[Batch by Type (p)]]), 0)</f>
        <v>0</v>
      </c>
    </row>
    <row r="602" spans="1:36" ht="15" customHeight="1" x14ac:dyDescent="0.35">
      <c r="A602" s="98" t="s">
        <v>813</v>
      </c>
      <c r="B602" s="98">
        <v>38</v>
      </c>
      <c r="C602" s="98">
        <v>6</v>
      </c>
      <c r="D602" s="93"/>
      <c r="E602" s="93"/>
      <c r="F602" s="93"/>
      <c r="G602" s="97"/>
      <c r="H602" s="97"/>
      <c r="I602" s="93"/>
      <c r="J602" s="93"/>
      <c r="K602" s="93"/>
      <c r="L602" s="93"/>
      <c r="M602" s="93"/>
      <c r="N602" s="98">
        <v>0</v>
      </c>
      <c r="O602" s="98">
        <v>0</v>
      </c>
      <c r="P602" s="99">
        <f>SUM(SamplingData[[#This Row],[Winning Candidate]:[Under Votes]])</f>
        <v>44</v>
      </c>
      <c r="Q602" s="100">
        <f>IF(AND(SamplingData[[#This Row],[Total]]&lt;&gt; 0, NOT(ISBLANK(SamplingData[[#This Row],[Losing Candidate]]))),(SamplingData[[#This Row],[Total]]+SamplingData[[#This Row],[Winning Candidate]]-SamplingData[[#This Row],[Losing Candidate]])/(SamplingData[[#Totals],[Winning Candidate]]-SamplingData[[#Totals],[Losing Candidate]]), 0)</f>
        <v>2.3871595941828689E-3</v>
      </c>
      <c r="R602" s="100">
        <f>IF(AND(SamplingData[[#This Row],[Total]]&lt;&gt; 0, NOT(ISBLANK(SamplingData[[#This Row],[Candidate 3]]))),(SamplingData[[#This Row],[Total]]+SamplingData[[#This Row],[Winning Candidate]]-SamplingData[[#This Row],[Candidate 3]])/(SamplingData[[#Totals],[Winning Candidate]]-SamplingData[[#Totals],[Candidate 3]]), 0)</f>
        <v>0</v>
      </c>
      <c r="S602" s="100">
        <f>IF(AND(SamplingData[[#This Row],[Total]]&lt;&gt; 0, NOT(ISBLANK(SamplingData[[#This Row],[Candidate 4]]))),(SamplingData[[#This Row],[Total]]+SamplingData[[#This Row],[Winning Candidate]]-SamplingData[[#This Row],[Candidate 4]])/(SamplingData[[#Totals],[Winning Candidate]]-SamplingData[[#Totals],[Candidate 4]]), 0)</f>
        <v>0</v>
      </c>
      <c r="T602" s="100">
        <f>IF(AND(SamplingData[[#This Row],[Total]]&lt;&gt; 0, NOT(ISBLANK(SamplingData[[#This Row],[Candidate 5]]))),(SamplingData[[#This Row],[Total]]+SamplingData[[#This Row],[Winning Candidate]]-SamplingData[[#This Row],[Candidate 5]])/(SamplingData[[#Totals],[Winning Candidate]]-SamplingData[[#Totals],[Candidate 5]]), 0)</f>
        <v>0</v>
      </c>
      <c r="U602" s="100">
        <f>IF(AND(SamplingData[[#This Row],[Total]]&lt;&gt; 0, NOT(ISBLANK(SamplingData[[#This Row],[Candidate 6]]))),(SamplingData[[#This Row],[Total]]+SamplingData[[#This Row],[Losing Candidate]]-SamplingData[[#This Row],[Candidate 6]])/(SamplingData[[#Totals],[Winning Candidate]]-SamplingData[[#Totals],[Candidate 6]]), 0)</f>
        <v>0</v>
      </c>
      <c r="V602" s="100">
        <f>IF(AND(SamplingData[[#This Row],[Total]]&lt;&gt; 0, NOT(ISBLANK(SamplingData[[#This Row],[Candidate 7]]))),(SamplingData[[#This Row],[Total]]+SamplingData[[#This Row],[Winning Candidate]]-SamplingData[[#This Row],[Candidate 7]])/(SamplingData[[#Totals],[Winning Candidate]]-SamplingData[[#Totals],[Candidate 7]]), 0)</f>
        <v>0</v>
      </c>
      <c r="W602" s="100">
        <f>IF(AND(SamplingData[[#This Row],[Total]]&lt;&gt; 0, NOT(ISBLANK(SamplingData[[#This Row],[Candidate 8]]))),(SamplingData[[#This Row],[Total]]+SamplingData[[#This Row],[Winning Candidate]]-SamplingData[[#This Row],[Candidate 8]])/(SamplingData[[#Totals],[Winning Candidate]]-SamplingData[[#Totals],[Candidate 8]]), 0)</f>
        <v>0</v>
      </c>
      <c r="X6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00">
        <f>MAX(SamplingData[[#This Row],[Error Bound (up) - Max. possible relative overstatement - Losing Candidate]:[Error Bound (up) - Max. possible relative overstatement - Candidate 12]])</f>
        <v>2.3871595941828689E-3</v>
      </c>
      <c r="AC602" s="100">
        <f>IF(SamplingData[[#This Row],[Max Error Bound (up)]] = 0,0,SamplingData[[#This Row],[Max Error Bound (up)]]/SamplingData[[#Totals],[Max Error Bound (up)]])</f>
        <v>1.0229903623539551E-3</v>
      </c>
      <c r="AD602" s="104">
        <f>SUM($AC$5:AC602)</f>
        <v>0.15328702955903756</v>
      </c>
      <c r="AE602" s="100" t="str" cm="1">
        <f t="array" ref="AE602">IF(SamplingData[[#This Row],[up/U Selection Probability]] = 0, "Zero", TEXT(SamplingData[[#This Row],[Lower Range]], REPT("0",LEN('General Info'!$B$42))) &amp; " - " &amp; TEXT(SamplingData[[#This Row],[Upper Range]], REPT("0",LEN('General Info'!$B$42))))</f>
        <v>15226 - 15328</v>
      </c>
      <c r="AF602" s="100">
        <f>SamplingData[[#This Row],[Upper Range]]-SamplingData[[#This Row],[Span]]</f>
        <v>15226.403919668361</v>
      </c>
      <c r="AG602" s="100">
        <f>IF(ISNUMBER('General Info'!$B$42), ((SamplingData[[#This Row],[up/U Selection Probability]]) * 'General Info'!$B$44) - 1, 0)</f>
        <v>101.2990362353955</v>
      </c>
      <c r="AH602" s="100">
        <f>IF(ISNUMBER('General Info'!$B$42), (SamplingData[[#This Row],[Running (cumulative) sum]] * ('General Info'!$B$42 -'General Info'!$B$43 + 1)) + 'General Info'!$B$43 - 1, 0)</f>
        <v>15327.702955903756</v>
      </c>
      <c r="AI602" s="100" t="str">
        <f>IF(ISERROR(MATCH(SamplingData[[#This Row],[Batch by Type (p)]],SelectedPrecincts[Batch Name], 0)), "", INDEX(SelectedPrecincts[Draw], MATCH(SamplingData[[#This Row],[Batch by Type (p)]],SelectedPrecincts[Batch Name], 0)))</f>
        <v/>
      </c>
      <c r="AJ602" s="101">
        <f>IF(COUNTIF(SelectedPrecincts[Batch Name],SamplingData[[#This Row],[Batch by Type (p)]]) &lt;&gt; 0, COUNTIF(SelectedPrecincts[Batch Name],SamplingData[[#This Row],[Batch by Type (p)]]), 0)</f>
        <v>0</v>
      </c>
    </row>
    <row r="603" spans="1:36" ht="15" customHeight="1" x14ac:dyDescent="0.35">
      <c r="A603" s="98" t="s">
        <v>814</v>
      </c>
      <c r="B603" s="98">
        <v>69</v>
      </c>
      <c r="C603" s="98">
        <v>9</v>
      </c>
      <c r="D603" s="93"/>
      <c r="E603" s="93"/>
      <c r="F603" s="93"/>
      <c r="G603" s="97"/>
      <c r="H603" s="97"/>
      <c r="I603" s="93"/>
      <c r="J603" s="93"/>
      <c r="K603" s="93"/>
      <c r="L603" s="93"/>
      <c r="M603" s="93"/>
      <c r="N603" s="98">
        <v>0</v>
      </c>
      <c r="O603" s="98">
        <v>0</v>
      </c>
      <c r="P603" s="99">
        <f>SUM(SamplingData[[#This Row],[Winning Candidate]:[Under Votes]])</f>
        <v>78</v>
      </c>
      <c r="Q603" s="100">
        <f>IF(AND(SamplingData[[#This Row],[Total]]&lt;&gt; 0, NOT(ISBLANK(SamplingData[[#This Row],[Losing Candidate]]))),(SamplingData[[#This Row],[Total]]+SamplingData[[#This Row],[Winning Candidate]]-SamplingData[[#This Row],[Losing Candidate]])/(SamplingData[[#Totals],[Winning Candidate]]-SamplingData[[#Totals],[Losing Candidate]]), 0)</f>
        <v>4.3345792631215253E-3</v>
      </c>
      <c r="R603" s="100">
        <f>IF(AND(SamplingData[[#This Row],[Total]]&lt;&gt; 0, NOT(ISBLANK(SamplingData[[#This Row],[Candidate 3]]))),(SamplingData[[#This Row],[Total]]+SamplingData[[#This Row],[Winning Candidate]]-SamplingData[[#This Row],[Candidate 3]])/(SamplingData[[#Totals],[Winning Candidate]]-SamplingData[[#Totals],[Candidate 3]]), 0)</f>
        <v>0</v>
      </c>
      <c r="S603" s="100">
        <f>IF(AND(SamplingData[[#This Row],[Total]]&lt;&gt; 0, NOT(ISBLANK(SamplingData[[#This Row],[Candidate 4]]))),(SamplingData[[#This Row],[Total]]+SamplingData[[#This Row],[Winning Candidate]]-SamplingData[[#This Row],[Candidate 4]])/(SamplingData[[#Totals],[Winning Candidate]]-SamplingData[[#Totals],[Candidate 4]]), 0)</f>
        <v>0</v>
      </c>
      <c r="T603" s="100">
        <f>IF(AND(SamplingData[[#This Row],[Total]]&lt;&gt; 0, NOT(ISBLANK(SamplingData[[#This Row],[Candidate 5]]))),(SamplingData[[#This Row],[Total]]+SamplingData[[#This Row],[Winning Candidate]]-SamplingData[[#This Row],[Candidate 5]])/(SamplingData[[#Totals],[Winning Candidate]]-SamplingData[[#Totals],[Candidate 5]]), 0)</f>
        <v>0</v>
      </c>
      <c r="U603" s="100">
        <f>IF(AND(SamplingData[[#This Row],[Total]]&lt;&gt; 0, NOT(ISBLANK(SamplingData[[#This Row],[Candidate 6]]))),(SamplingData[[#This Row],[Total]]+SamplingData[[#This Row],[Losing Candidate]]-SamplingData[[#This Row],[Candidate 6]])/(SamplingData[[#Totals],[Winning Candidate]]-SamplingData[[#Totals],[Candidate 6]]), 0)</f>
        <v>0</v>
      </c>
      <c r="V603" s="100">
        <f>IF(AND(SamplingData[[#This Row],[Total]]&lt;&gt; 0, NOT(ISBLANK(SamplingData[[#This Row],[Candidate 7]]))),(SamplingData[[#This Row],[Total]]+SamplingData[[#This Row],[Winning Candidate]]-SamplingData[[#This Row],[Candidate 7]])/(SamplingData[[#Totals],[Winning Candidate]]-SamplingData[[#Totals],[Candidate 7]]), 0)</f>
        <v>0</v>
      </c>
      <c r="W603" s="100">
        <f>IF(AND(SamplingData[[#This Row],[Total]]&lt;&gt; 0, NOT(ISBLANK(SamplingData[[#This Row],[Candidate 8]]))),(SamplingData[[#This Row],[Total]]+SamplingData[[#This Row],[Winning Candidate]]-SamplingData[[#This Row],[Candidate 8]])/(SamplingData[[#Totals],[Winning Candidate]]-SamplingData[[#Totals],[Candidate 8]]), 0)</f>
        <v>0</v>
      </c>
      <c r="X6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00">
        <f>MAX(SamplingData[[#This Row],[Error Bound (up) - Max. possible relative overstatement - Losing Candidate]:[Error Bound (up) - Max. possible relative overstatement - Candidate 12]])</f>
        <v>4.3345792631215253E-3</v>
      </c>
      <c r="AC603" s="100">
        <f>IF(SamplingData[[#This Row],[Max Error Bound (up)]] = 0,0,SamplingData[[#This Row],[Max Error Bound (up)]]/SamplingData[[#Totals],[Max Error Bound (up)]])</f>
        <v>1.8575351316427078E-3</v>
      </c>
      <c r="AD603" s="104">
        <f>SUM($AC$5:AC603)</f>
        <v>0.15514456469068028</v>
      </c>
      <c r="AE603" s="100" t="str" cm="1">
        <f t="array" ref="AE603">IF(SamplingData[[#This Row],[up/U Selection Probability]] = 0, "Zero", TEXT(SamplingData[[#This Row],[Lower Range]], REPT("0",LEN('General Info'!$B$42))) &amp; " - " &amp; TEXT(SamplingData[[#This Row],[Upper Range]], REPT("0",LEN('General Info'!$B$42))))</f>
        <v>15329 - 15513</v>
      </c>
      <c r="AF603" s="100">
        <f>SamplingData[[#This Row],[Upper Range]]-SamplingData[[#This Row],[Span]]</f>
        <v>15328.702955903756</v>
      </c>
      <c r="AG603" s="100">
        <f>IF(ISNUMBER('General Info'!$B$42), ((SamplingData[[#This Row],[up/U Selection Probability]]) * 'General Info'!$B$44) - 1, 0)</f>
        <v>184.75351316427077</v>
      </c>
      <c r="AH603" s="100">
        <f>IF(ISNUMBER('General Info'!$B$42), (SamplingData[[#This Row],[Running (cumulative) sum]] * ('General Info'!$B$42 -'General Info'!$B$43 + 1)) + 'General Info'!$B$43 - 1, 0)</f>
        <v>15513.456469068027</v>
      </c>
      <c r="AI603" s="100" t="str">
        <f>IF(ISERROR(MATCH(SamplingData[[#This Row],[Batch by Type (p)]],SelectedPrecincts[Batch Name], 0)), "", INDEX(SelectedPrecincts[Draw], MATCH(SamplingData[[#This Row],[Batch by Type (p)]],SelectedPrecincts[Batch Name], 0)))</f>
        <v/>
      </c>
      <c r="AJ603" s="101">
        <f>IF(COUNTIF(SelectedPrecincts[Batch Name],SamplingData[[#This Row],[Batch by Type (p)]]) &lt;&gt; 0, COUNTIF(SelectedPrecincts[Batch Name],SamplingData[[#This Row],[Batch by Type (p)]]), 0)</f>
        <v>0</v>
      </c>
    </row>
    <row r="604" spans="1:36" ht="15" customHeight="1" x14ac:dyDescent="0.35">
      <c r="A604" s="98" t="s">
        <v>815</v>
      </c>
      <c r="B604" s="98">
        <v>39</v>
      </c>
      <c r="C604" s="98">
        <v>3</v>
      </c>
      <c r="D604" s="93"/>
      <c r="E604" s="93"/>
      <c r="F604" s="93"/>
      <c r="G604" s="97"/>
      <c r="H604" s="97"/>
      <c r="I604" s="93"/>
      <c r="J604" s="93"/>
      <c r="K604" s="93"/>
      <c r="L604" s="93"/>
      <c r="M604" s="93"/>
      <c r="N604" s="98">
        <v>0</v>
      </c>
      <c r="O604" s="98">
        <v>1</v>
      </c>
      <c r="P604" s="99">
        <f>SUM(SamplingData[[#This Row],[Winning Candidate]:[Under Votes]])</f>
        <v>43</v>
      </c>
      <c r="Q604" s="100">
        <f>IF(AND(SamplingData[[#This Row],[Total]]&lt;&gt; 0, NOT(ISBLANK(SamplingData[[#This Row],[Losing Candidate]]))),(SamplingData[[#This Row],[Total]]+SamplingData[[#This Row],[Winning Candidate]]-SamplingData[[#This Row],[Losing Candidate]])/(SamplingData[[#Totals],[Winning Candidate]]-SamplingData[[#Totals],[Losing Candidate]]), 0)</f>
        <v>2.4813895781637717E-3</v>
      </c>
      <c r="R604" s="100">
        <f>IF(AND(SamplingData[[#This Row],[Total]]&lt;&gt; 0, NOT(ISBLANK(SamplingData[[#This Row],[Candidate 3]]))),(SamplingData[[#This Row],[Total]]+SamplingData[[#This Row],[Winning Candidate]]-SamplingData[[#This Row],[Candidate 3]])/(SamplingData[[#Totals],[Winning Candidate]]-SamplingData[[#Totals],[Candidate 3]]), 0)</f>
        <v>0</v>
      </c>
      <c r="S604" s="100">
        <f>IF(AND(SamplingData[[#This Row],[Total]]&lt;&gt; 0, NOT(ISBLANK(SamplingData[[#This Row],[Candidate 4]]))),(SamplingData[[#This Row],[Total]]+SamplingData[[#This Row],[Winning Candidate]]-SamplingData[[#This Row],[Candidate 4]])/(SamplingData[[#Totals],[Winning Candidate]]-SamplingData[[#Totals],[Candidate 4]]), 0)</f>
        <v>0</v>
      </c>
      <c r="T604" s="100">
        <f>IF(AND(SamplingData[[#This Row],[Total]]&lt;&gt; 0, NOT(ISBLANK(SamplingData[[#This Row],[Candidate 5]]))),(SamplingData[[#This Row],[Total]]+SamplingData[[#This Row],[Winning Candidate]]-SamplingData[[#This Row],[Candidate 5]])/(SamplingData[[#Totals],[Winning Candidate]]-SamplingData[[#Totals],[Candidate 5]]), 0)</f>
        <v>0</v>
      </c>
      <c r="U604" s="100">
        <f>IF(AND(SamplingData[[#This Row],[Total]]&lt;&gt; 0, NOT(ISBLANK(SamplingData[[#This Row],[Candidate 6]]))),(SamplingData[[#This Row],[Total]]+SamplingData[[#This Row],[Losing Candidate]]-SamplingData[[#This Row],[Candidate 6]])/(SamplingData[[#Totals],[Winning Candidate]]-SamplingData[[#Totals],[Candidate 6]]), 0)</f>
        <v>0</v>
      </c>
      <c r="V604" s="100">
        <f>IF(AND(SamplingData[[#This Row],[Total]]&lt;&gt; 0, NOT(ISBLANK(SamplingData[[#This Row],[Candidate 7]]))),(SamplingData[[#This Row],[Total]]+SamplingData[[#This Row],[Winning Candidate]]-SamplingData[[#This Row],[Candidate 7]])/(SamplingData[[#Totals],[Winning Candidate]]-SamplingData[[#Totals],[Candidate 7]]), 0)</f>
        <v>0</v>
      </c>
      <c r="W604" s="100">
        <f>IF(AND(SamplingData[[#This Row],[Total]]&lt;&gt; 0, NOT(ISBLANK(SamplingData[[#This Row],[Candidate 8]]))),(SamplingData[[#This Row],[Total]]+SamplingData[[#This Row],[Winning Candidate]]-SamplingData[[#This Row],[Candidate 8]])/(SamplingData[[#Totals],[Winning Candidate]]-SamplingData[[#Totals],[Candidate 8]]), 0)</f>
        <v>0</v>
      </c>
      <c r="X6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00">
        <f>MAX(SamplingData[[#This Row],[Error Bound (up) - Max. possible relative overstatement - Losing Candidate]:[Error Bound (up) - Max. possible relative overstatement - Candidate 12]])</f>
        <v>2.4813895781637717E-3</v>
      </c>
      <c r="AC604" s="100">
        <f>IF(SamplingData[[#This Row],[Max Error Bound (up)]] = 0,0,SamplingData[[#This Row],[Max Error Bound (up)]]/SamplingData[[#Totals],[Max Error Bound (up)]])</f>
        <v>1.063371560867927E-3</v>
      </c>
      <c r="AD604" s="104">
        <f>SUM($AC$5:AC604)</f>
        <v>0.15620793625154819</v>
      </c>
      <c r="AE604" s="100" t="str" cm="1">
        <f t="array" ref="AE604">IF(SamplingData[[#This Row],[up/U Selection Probability]] = 0, "Zero", TEXT(SamplingData[[#This Row],[Lower Range]], REPT("0",LEN('General Info'!$B$42))) &amp; " - " &amp; TEXT(SamplingData[[#This Row],[Upper Range]], REPT("0",LEN('General Info'!$B$42))))</f>
        <v>15514 - 15620</v>
      </c>
      <c r="AF604" s="100">
        <f>SamplingData[[#This Row],[Upper Range]]-SamplingData[[#This Row],[Span]]</f>
        <v>15514.456469068027</v>
      </c>
      <c r="AG604" s="100">
        <f>IF(ISNUMBER('General Info'!$B$42), ((SamplingData[[#This Row],[up/U Selection Probability]]) * 'General Info'!$B$44) - 1, 0)</f>
        <v>105.3371560867927</v>
      </c>
      <c r="AH604" s="100">
        <f>IF(ISNUMBER('General Info'!$B$42), (SamplingData[[#This Row],[Running (cumulative) sum]] * ('General Info'!$B$42 -'General Info'!$B$43 + 1)) + 'General Info'!$B$43 - 1, 0)</f>
        <v>15619.79362515482</v>
      </c>
      <c r="AI604" s="100" t="str">
        <f>IF(ISERROR(MATCH(SamplingData[[#This Row],[Batch by Type (p)]],SelectedPrecincts[Batch Name], 0)), "", INDEX(SelectedPrecincts[Draw], MATCH(SamplingData[[#This Row],[Batch by Type (p)]],SelectedPrecincts[Batch Name], 0)))</f>
        <v/>
      </c>
      <c r="AJ604" s="101">
        <f>IF(COUNTIF(SelectedPrecincts[Batch Name],SamplingData[[#This Row],[Batch by Type (p)]]) &lt;&gt; 0, COUNTIF(SelectedPrecincts[Batch Name],SamplingData[[#This Row],[Batch by Type (p)]]), 0)</f>
        <v>0</v>
      </c>
    </row>
    <row r="605" spans="1:36" ht="15" customHeight="1" x14ac:dyDescent="0.35">
      <c r="A605" s="98" t="s">
        <v>816</v>
      </c>
      <c r="B605" s="98">
        <v>65</v>
      </c>
      <c r="C605" s="98">
        <v>2</v>
      </c>
      <c r="D605" s="93"/>
      <c r="E605" s="93"/>
      <c r="F605" s="93"/>
      <c r="G605" s="97"/>
      <c r="H605" s="97"/>
      <c r="I605" s="93"/>
      <c r="J605" s="93"/>
      <c r="K605" s="93"/>
      <c r="L605" s="93"/>
      <c r="M605" s="93"/>
      <c r="N605" s="98">
        <v>0</v>
      </c>
      <c r="O605" s="98">
        <v>2</v>
      </c>
      <c r="P605" s="99">
        <f>SUM(SamplingData[[#This Row],[Winning Candidate]:[Under Votes]])</f>
        <v>69</v>
      </c>
      <c r="Q605" s="100">
        <f>IF(AND(SamplingData[[#This Row],[Total]]&lt;&gt; 0, NOT(ISBLANK(SamplingData[[#This Row],[Losing Candidate]]))),(SamplingData[[#This Row],[Total]]+SamplingData[[#This Row],[Winning Candidate]]-SamplingData[[#This Row],[Losing Candidate]])/(SamplingData[[#Totals],[Winning Candidate]]-SamplingData[[#Totals],[Losing Candidate]]), 0)</f>
        <v>4.1461192951597198E-3</v>
      </c>
      <c r="R605" s="100">
        <f>IF(AND(SamplingData[[#This Row],[Total]]&lt;&gt; 0, NOT(ISBLANK(SamplingData[[#This Row],[Candidate 3]]))),(SamplingData[[#This Row],[Total]]+SamplingData[[#This Row],[Winning Candidate]]-SamplingData[[#This Row],[Candidate 3]])/(SamplingData[[#Totals],[Winning Candidate]]-SamplingData[[#Totals],[Candidate 3]]), 0)</f>
        <v>0</v>
      </c>
      <c r="S605" s="100">
        <f>IF(AND(SamplingData[[#This Row],[Total]]&lt;&gt; 0, NOT(ISBLANK(SamplingData[[#This Row],[Candidate 4]]))),(SamplingData[[#This Row],[Total]]+SamplingData[[#This Row],[Winning Candidate]]-SamplingData[[#This Row],[Candidate 4]])/(SamplingData[[#Totals],[Winning Candidate]]-SamplingData[[#Totals],[Candidate 4]]), 0)</f>
        <v>0</v>
      </c>
      <c r="T605" s="100">
        <f>IF(AND(SamplingData[[#This Row],[Total]]&lt;&gt; 0, NOT(ISBLANK(SamplingData[[#This Row],[Candidate 5]]))),(SamplingData[[#This Row],[Total]]+SamplingData[[#This Row],[Winning Candidate]]-SamplingData[[#This Row],[Candidate 5]])/(SamplingData[[#Totals],[Winning Candidate]]-SamplingData[[#Totals],[Candidate 5]]), 0)</f>
        <v>0</v>
      </c>
      <c r="U605" s="100">
        <f>IF(AND(SamplingData[[#This Row],[Total]]&lt;&gt; 0, NOT(ISBLANK(SamplingData[[#This Row],[Candidate 6]]))),(SamplingData[[#This Row],[Total]]+SamplingData[[#This Row],[Losing Candidate]]-SamplingData[[#This Row],[Candidate 6]])/(SamplingData[[#Totals],[Winning Candidate]]-SamplingData[[#Totals],[Candidate 6]]), 0)</f>
        <v>0</v>
      </c>
      <c r="V605" s="100">
        <f>IF(AND(SamplingData[[#This Row],[Total]]&lt;&gt; 0, NOT(ISBLANK(SamplingData[[#This Row],[Candidate 7]]))),(SamplingData[[#This Row],[Total]]+SamplingData[[#This Row],[Winning Candidate]]-SamplingData[[#This Row],[Candidate 7]])/(SamplingData[[#Totals],[Winning Candidate]]-SamplingData[[#Totals],[Candidate 7]]), 0)</f>
        <v>0</v>
      </c>
      <c r="W605" s="100">
        <f>IF(AND(SamplingData[[#This Row],[Total]]&lt;&gt; 0, NOT(ISBLANK(SamplingData[[#This Row],[Candidate 8]]))),(SamplingData[[#This Row],[Total]]+SamplingData[[#This Row],[Winning Candidate]]-SamplingData[[#This Row],[Candidate 8]])/(SamplingData[[#Totals],[Winning Candidate]]-SamplingData[[#Totals],[Candidate 8]]), 0)</f>
        <v>0</v>
      </c>
      <c r="X6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00">
        <f>MAX(SamplingData[[#This Row],[Error Bound (up) - Max. possible relative overstatement - Losing Candidate]:[Error Bound (up) - Max. possible relative overstatement - Candidate 12]])</f>
        <v>4.1461192951597198E-3</v>
      </c>
      <c r="AC605" s="100">
        <f>IF(SamplingData[[#This Row],[Max Error Bound (up)]] = 0,0,SamplingData[[#This Row],[Max Error Bound (up)]]/SamplingData[[#Totals],[Max Error Bound (up)]])</f>
        <v>1.776772734614764E-3</v>
      </c>
      <c r="AD605" s="104">
        <f>SUM($AC$5:AC605)</f>
        <v>0.15798470898616296</v>
      </c>
      <c r="AE605" s="100" t="str" cm="1">
        <f t="array" ref="AE605">IF(SamplingData[[#This Row],[up/U Selection Probability]] = 0, "Zero", TEXT(SamplingData[[#This Row],[Lower Range]], REPT("0",LEN('General Info'!$B$42))) &amp; " - " &amp; TEXT(SamplingData[[#This Row],[Upper Range]], REPT("0",LEN('General Info'!$B$42))))</f>
        <v>15621 - 15797</v>
      </c>
      <c r="AF605" s="100">
        <f>SamplingData[[#This Row],[Upper Range]]-SamplingData[[#This Row],[Span]]</f>
        <v>15620.793625154818</v>
      </c>
      <c r="AG605" s="100">
        <f>IF(ISNUMBER('General Info'!$B$42), ((SamplingData[[#This Row],[up/U Selection Probability]]) * 'General Info'!$B$44) - 1, 0)</f>
        <v>176.6772734614764</v>
      </c>
      <c r="AH605" s="100">
        <f>IF(ISNUMBER('General Info'!$B$42), (SamplingData[[#This Row],[Running (cumulative) sum]] * ('General Info'!$B$42 -'General Info'!$B$43 + 1)) + 'General Info'!$B$43 - 1, 0)</f>
        <v>15797.470898616295</v>
      </c>
      <c r="AI605" s="100" t="str">
        <f>IF(ISERROR(MATCH(SamplingData[[#This Row],[Batch by Type (p)]],SelectedPrecincts[Batch Name], 0)), "", INDEX(SelectedPrecincts[Draw], MATCH(SamplingData[[#This Row],[Batch by Type (p)]],SelectedPrecincts[Batch Name], 0)))</f>
        <v/>
      </c>
      <c r="AJ605" s="101">
        <f>IF(COUNTIF(SelectedPrecincts[Batch Name],SamplingData[[#This Row],[Batch by Type (p)]]) &lt;&gt; 0, COUNTIF(SelectedPrecincts[Batch Name],SamplingData[[#This Row],[Batch by Type (p)]]), 0)</f>
        <v>0</v>
      </c>
    </row>
    <row r="606" spans="1:36" ht="15" customHeight="1" x14ac:dyDescent="0.35">
      <c r="A606" s="98" t="s">
        <v>817</v>
      </c>
      <c r="B606" s="98">
        <v>40</v>
      </c>
      <c r="C606" s="98">
        <v>8</v>
      </c>
      <c r="D606" s="93"/>
      <c r="E606" s="93"/>
      <c r="F606" s="93"/>
      <c r="G606" s="97"/>
      <c r="H606" s="97"/>
      <c r="I606" s="93"/>
      <c r="J606" s="93"/>
      <c r="K606" s="93"/>
      <c r="L606" s="93"/>
      <c r="M606" s="93"/>
      <c r="N606" s="98">
        <v>0</v>
      </c>
      <c r="O606" s="98">
        <v>0</v>
      </c>
      <c r="P606" s="99">
        <f>SUM(SamplingData[[#This Row],[Winning Candidate]:[Under Votes]])</f>
        <v>48</v>
      </c>
      <c r="Q606" s="100">
        <f>IF(AND(SamplingData[[#This Row],[Total]]&lt;&gt; 0, NOT(ISBLANK(SamplingData[[#This Row],[Losing Candidate]]))),(SamplingData[[#This Row],[Total]]+SamplingData[[#This Row],[Winning Candidate]]-SamplingData[[#This Row],[Losing Candidate]])/(SamplingData[[#Totals],[Winning Candidate]]-SamplingData[[#Totals],[Losing Candidate]]), 0)</f>
        <v>2.5127995728240725E-3</v>
      </c>
      <c r="R606" s="100">
        <f>IF(AND(SamplingData[[#This Row],[Total]]&lt;&gt; 0, NOT(ISBLANK(SamplingData[[#This Row],[Candidate 3]]))),(SamplingData[[#This Row],[Total]]+SamplingData[[#This Row],[Winning Candidate]]-SamplingData[[#This Row],[Candidate 3]])/(SamplingData[[#Totals],[Winning Candidate]]-SamplingData[[#Totals],[Candidate 3]]), 0)</f>
        <v>0</v>
      </c>
      <c r="S606" s="100">
        <f>IF(AND(SamplingData[[#This Row],[Total]]&lt;&gt; 0, NOT(ISBLANK(SamplingData[[#This Row],[Candidate 4]]))),(SamplingData[[#This Row],[Total]]+SamplingData[[#This Row],[Winning Candidate]]-SamplingData[[#This Row],[Candidate 4]])/(SamplingData[[#Totals],[Winning Candidate]]-SamplingData[[#Totals],[Candidate 4]]), 0)</f>
        <v>0</v>
      </c>
      <c r="T606" s="100">
        <f>IF(AND(SamplingData[[#This Row],[Total]]&lt;&gt; 0, NOT(ISBLANK(SamplingData[[#This Row],[Candidate 5]]))),(SamplingData[[#This Row],[Total]]+SamplingData[[#This Row],[Winning Candidate]]-SamplingData[[#This Row],[Candidate 5]])/(SamplingData[[#Totals],[Winning Candidate]]-SamplingData[[#Totals],[Candidate 5]]), 0)</f>
        <v>0</v>
      </c>
      <c r="U606" s="100">
        <f>IF(AND(SamplingData[[#This Row],[Total]]&lt;&gt; 0, NOT(ISBLANK(SamplingData[[#This Row],[Candidate 6]]))),(SamplingData[[#This Row],[Total]]+SamplingData[[#This Row],[Losing Candidate]]-SamplingData[[#This Row],[Candidate 6]])/(SamplingData[[#Totals],[Winning Candidate]]-SamplingData[[#Totals],[Candidate 6]]), 0)</f>
        <v>0</v>
      </c>
      <c r="V606" s="100">
        <f>IF(AND(SamplingData[[#This Row],[Total]]&lt;&gt; 0, NOT(ISBLANK(SamplingData[[#This Row],[Candidate 7]]))),(SamplingData[[#This Row],[Total]]+SamplingData[[#This Row],[Winning Candidate]]-SamplingData[[#This Row],[Candidate 7]])/(SamplingData[[#Totals],[Winning Candidate]]-SamplingData[[#Totals],[Candidate 7]]), 0)</f>
        <v>0</v>
      </c>
      <c r="W606" s="100">
        <f>IF(AND(SamplingData[[#This Row],[Total]]&lt;&gt; 0, NOT(ISBLANK(SamplingData[[#This Row],[Candidate 8]]))),(SamplingData[[#This Row],[Total]]+SamplingData[[#This Row],[Winning Candidate]]-SamplingData[[#This Row],[Candidate 8]])/(SamplingData[[#Totals],[Winning Candidate]]-SamplingData[[#Totals],[Candidate 8]]), 0)</f>
        <v>0</v>
      </c>
      <c r="X6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00">
        <f>MAX(SamplingData[[#This Row],[Error Bound (up) - Max. possible relative overstatement - Losing Candidate]:[Error Bound (up) - Max. possible relative overstatement - Candidate 12]])</f>
        <v>2.5127995728240725E-3</v>
      </c>
      <c r="AC606" s="100">
        <f>IF(SamplingData[[#This Row],[Max Error Bound (up)]] = 0,0,SamplingData[[#This Row],[Max Error Bound (up)]]/SamplingData[[#Totals],[Max Error Bound (up)]])</f>
        <v>1.0768319603725843E-3</v>
      </c>
      <c r="AD606" s="104">
        <f>SUM($AC$5:AC606)</f>
        <v>0.15906154094653555</v>
      </c>
      <c r="AE606" s="100" t="str" cm="1">
        <f t="array" ref="AE606">IF(SamplingData[[#This Row],[up/U Selection Probability]] = 0, "Zero", TEXT(SamplingData[[#This Row],[Lower Range]], REPT("0",LEN('General Info'!$B$42))) &amp; " - " &amp; TEXT(SamplingData[[#This Row],[Upper Range]], REPT("0",LEN('General Info'!$B$42))))</f>
        <v>15798 - 15905</v>
      </c>
      <c r="AF606" s="100">
        <f>SamplingData[[#This Row],[Upper Range]]-SamplingData[[#This Row],[Span]]</f>
        <v>15798.470898616297</v>
      </c>
      <c r="AG606" s="100">
        <f>IF(ISNUMBER('General Info'!$B$42), ((SamplingData[[#This Row],[up/U Selection Probability]]) * 'General Info'!$B$44) - 1, 0)</f>
        <v>106.68319603725843</v>
      </c>
      <c r="AH606" s="100">
        <f>IF(ISNUMBER('General Info'!$B$42), (SamplingData[[#This Row],[Running (cumulative) sum]] * ('General Info'!$B$42 -'General Info'!$B$43 + 1)) + 'General Info'!$B$43 - 1, 0)</f>
        <v>15905.154094653555</v>
      </c>
      <c r="AI606" s="100" t="str">
        <f>IF(ISERROR(MATCH(SamplingData[[#This Row],[Batch by Type (p)]],SelectedPrecincts[Batch Name], 0)), "", INDEX(SelectedPrecincts[Draw], MATCH(SamplingData[[#This Row],[Batch by Type (p)]],SelectedPrecincts[Batch Name], 0)))</f>
        <v/>
      </c>
      <c r="AJ606" s="101">
        <f>IF(COUNTIF(SelectedPrecincts[Batch Name],SamplingData[[#This Row],[Batch by Type (p)]]) &lt;&gt; 0, COUNTIF(SelectedPrecincts[Batch Name],SamplingData[[#This Row],[Batch by Type (p)]]), 0)</f>
        <v>0</v>
      </c>
    </row>
    <row r="607" spans="1:36" ht="15" customHeight="1" x14ac:dyDescent="0.35">
      <c r="A607" s="98" t="s">
        <v>818</v>
      </c>
      <c r="B607" s="98">
        <v>31</v>
      </c>
      <c r="C607" s="98">
        <v>8</v>
      </c>
      <c r="D607" s="93"/>
      <c r="E607" s="93"/>
      <c r="F607" s="93"/>
      <c r="G607" s="97"/>
      <c r="H607" s="97"/>
      <c r="I607" s="93"/>
      <c r="J607" s="93"/>
      <c r="K607" s="93"/>
      <c r="L607" s="93"/>
      <c r="M607" s="93"/>
      <c r="N607" s="98">
        <v>0</v>
      </c>
      <c r="O607" s="98">
        <v>0</v>
      </c>
      <c r="P607" s="99">
        <f>SUM(SamplingData[[#This Row],[Winning Candidate]:[Under Votes]])</f>
        <v>39</v>
      </c>
      <c r="Q607" s="100">
        <f>IF(AND(SamplingData[[#This Row],[Total]]&lt;&gt; 0, NOT(ISBLANK(SamplingData[[#This Row],[Losing Candidate]]))),(SamplingData[[#This Row],[Total]]+SamplingData[[#This Row],[Winning Candidate]]-SamplingData[[#This Row],[Losing Candidate]])/(SamplingData[[#Totals],[Winning Candidate]]-SamplingData[[#Totals],[Losing Candidate]]), 0)</f>
        <v>1.9474196689386564E-3</v>
      </c>
      <c r="R607" s="100">
        <f>IF(AND(SamplingData[[#This Row],[Total]]&lt;&gt; 0, NOT(ISBLANK(SamplingData[[#This Row],[Candidate 3]]))),(SamplingData[[#This Row],[Total]]+SamplingData[[#This Row],[Winning Candidate]]-SamplingData[[#This Row],[Candidate 3]])/(SamplingData[[#Totals],[Winning Candidate]]-SamplingData[[#Totals],[Candidate 3]]), 0)</f>
        <v>0</v>
      </c>
      <c r="S607" s="100">
        <f>IF(AND(SamplingData[[#This Row],[Total]]&lt;&gt; 0, NOT(ISBLANK(SamplingData[[#This Row],[Candidate 4]]))),(SamplingData[[#This Row],[Total]]+SamplingData[[#This Row],[Winning Candidate]]-SamplingData[[#This Row],[Candidate 4]])/(SamplingData[[#Totals],[Winning Candidate]]-SamplingData[[#Totals],[Candidate 4]]), 0)</f>
        <v>0</v>
      </c>
      <c r="T607" s="100">
        <f>IF(AND(SamplingData[[#This Row],[Total]]&lt;&gt; 0, NOT(ISBLANK(SamplingData[[#This Row],[Candidate 5]]))),(SamplingData[[#This Row],[Total]]+SamplingData[[#This Row],[Winning Candidate]]-SamplingData[[#This Row],[Candidate 5]])/(SamplingData[[#Totals],[Winning Candidate]]-SamplingData[[#Totals],[Candidate 5]]), 0)</f>
        <v>0</v>
      </c>
      <c r="U607" s="100">
        <f>IF(AND(SamplingData[[#This Row],[Total]]&lt;&gt; 0, NOT(ISBLANK(SamplingData[[#This Row],[Candidate 6]]))),(SamplingData[[#This Row],[Total]]+SamplingData[[#This Row],[Losing Candidate]]-SamplingData[[#This Row],[Candidate 6]])/(SamplingData[[#Totals],[Winning Candidate]]-SamplingData[[#Totals],[Candidate 6]]), 0)</f>
        <v>0</v>
      </c>
      <c r="V607" s="100">
        <f>IF(AND(SamplingData[[#This Row],[Total]]&lt;&gt; 0, NOT(ISBLANK(SamplingData[[#This Row],[Candidate 7]]))),(SamplingData[[#This Row],[Total]]+SamplingData[[#This Row],[Winning Candidate]]-SamplingData[[#This Row],[Candidate 7]])/(SamplingData[[#Totals],[Winning Candidate]]-SamplingData[[#Totals],[Candidate 7]]), 0)</f>
        <v>0</v>
      </c>
      <c r="W607" s="100">
        <f>IF(AND(SamplingData[[#This Row],[Total]]&lt;&gt; 0, NOT(ISBLANK(SamplingData[[#This Row],[Candidate 8]]))),(SamplingData[[#This Row],[Total]]+SamplingData[[#This Row],[Winning Candidate]]-SamplingData[[#This Row],[Candidate 8]])/(SamplingData[[#Totals],[Winning Candidate]]-SamplingData[[#Totals],[Candidate 8]]), 0)</f>
        <v>0</v>
      </c>
      <c r="X6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00">
        <f>MAX(SamplingData[[#This Row],[Error Bound (up) - Max. possible relative overstatement - Losing Candidate]:[Error Bound (up) - Max. possible relative overstatement - Candidate 12]])</f>
        <v>1.9474196689386564E-3</v>
      </c>
      <c r="AC607" s="100">
        <f>IF(SamplingData[[#This Row],[Max Error Bound (up)]] = 0,0,SamplingData[[#This Row],[Max Error Bound (up)]]/SamplingData[[#Totals],[Max Error Bound (up)]])</f>
        <v>8.3454476928875281E-4</v>
      </c>
      <c r="AD607" s="104">
        <f>SUM($AC$5:AC607)</f>
        <v>0.15989608571582431</v>
      </c>
      <c r="AE607" s="100" t="str" cm="1">
        <f t="array" ref="AE607">IF(SamplingData[[#This Row],[up/U Selection Probability]] = 0, "Zero", TEXT(SamplingData[[#This Row],[Lower Range]], REPT("0",LEN('General Info'!$B$42))) &amp; " - " &amp; TEXT(SamplingData[[#This Row],[Upper Range]], REPT("0",LEN('General Info'!$B$42))))</f>
        <v>15906 - 15989</v>
      </c>
      <c r="AF607" s="100">
        <f>SamplingData[[#This Row],[Upper Range]]-SamplingData[[#This Row],[Span]]</f>
        <v>15906.154094653555</v>
      </c>
      <c r="AG607" s="100">
        <f>IF(ISNUMBER('General Info'!$B$42), ((SamplingData[[#This Row],[up/U Selection Probability]]) * 'General Info'!$B$44) - 1, 0)</f>
        <v>82.45447692887528</v>
      </c>
      <c r="AH607" s="100">
        <f>IF(ISNUMBER('General Info'!$B$42), (SamplingData[[#This Row],[Running (cumulative) sum]] * ('General Info'!$B$42 -'General Info'!$B$43 + 1)) + 'General Info'!$B$43 - 1, 0)</f>
        <v>15988.60857158243</v>
      </c>
      <c r="AI607" s="100" t="str">
        <f>IF(ISERROR(MATCH(SamplingData[[#This Row],[Batch by Type (p)]],SelectedPrecincts[Batch Name], 0)), "", INDEX(SelectedPrecincts[Draw], MATCH(SamplingData[[#This Row],[Batch by Type (p)]],SelectedPrecincts[Batch Name], 0)))</f>
        <v/>
      </c>
      <c r="AJ607" s="101">
        <f>IF(COUNTIF(SelectedPrecincts[Batch Name],SamplingData[[#This Row],[Batch by Type (p)]]) &lt;&gt; 0, COUNTIF(SelectedPrecincts[Batch Name],SamplingData[[#This Row],[Batch by Type (p)]]), 0)</f>
        <v>0</v>
      </c>
    </row>
    <row r="608" spans="1:36" ht="15" customHeight="1" x14ac:dyDescent="0.35">
      <c r="A608" s="98" t="s">
        <v>819</v>
      </c>
      <c r="B608" s="98">
        <v>65</v>
      </c>
      <c r="C608" s="98">
        <v>6</v>
      </c>
      <c r="D608" s="93"/>
      <c r="E608" s="93"/>
      <c r="F608" s="93"/>
      <c r="G608" s="97"/>
      <c r="H608" s="97"/>
      <c r="I608" s="93"/>
      <c r="J608" s="93"/>
      <c r="K608" s="93"/>
      <c r="L608" s="93"/>
      <c r="M608" s="93"/>
      <c r="N608" s="98">
        <v>0</v>
      </c>
      <c r="O608" s="98">
        <v>1</v>
      </c>
      <c r="P608" s="99">
        <f>SUM(SamplingData[[#This Row],[Winning Candidate]:[Under Votes]])</f>
        <v>72</v>
      </c>
      <c r="Q608" s="100">
        <f>IF(AND(SamplingData[[#This Row],[Total]]&lt;&gt; 0, NOT(ISBLANK(SamplingData[[#This Row],[Losing Candidate]]))),(SamplingData[[#This Row],[Total]]+SamplingData[[#This Row],[Winning Candidate]]-SamplingData[[#This Row],[Losing Candidate]])/(SamplingData[[#Totals],[Winning Candidate]]-SamplingData[[#Totals],[Losing Candidate]]), 0)</f>
        <v>4.114709300499419E-3</v>
      </c>
      <c r="R608" s="100">
        <f>IF(AND(SamplingData[[#This Row],[Total]]&lt;&gt; 0, NOT(ISBLANK(SamplingData[[#This Row],[Candidate 3]]))),(SamplingData[[#This Row],[Total]]+SamplingData[[#This Row],[Winning Candidate]]-SamplingData[[#This Row],[Candidate 3]])/(SamplingData[[#Totals],[Winning Candidate]]-SamplingData[[#Totals],[Candidate 3]]), 0)</f>
        <v>0</v>
      </c>
      <c r="S608" s="100">
        <f>IF(AND(SamplingData[[#This Row],[Total]]&lt;&gt; 0, NOT(ISBLANK(SamplingData[[#This Row],[Candidate 4]]))),(SamplingData[[#This Row],[Total]]+SamplingData[[#This Row],[Winning Candidate]]-SamplingData[[#This Row],[Candidate 4]])/(SamplingData[[#Totals],[Winning Candidate]]-SamplingData[[#Totals],[Candidate 4]]), 0)</f>
        <v>0</v>
      </c>
      <c r="T608" s="100">
        <f>IF(AND(SamplingData[[#This Row],[Total]]&lt;&gt; 0, NOT(ISBLANK(SamplingData[[#This Row],[Candidate 5]]))),(SamplingData[[#This Row],[Total]]+SamplingData[[#This Row],[Winning Candidate]]-SamplingData[[#This Row],[Candidate 5]])/(SamplingData[[#Totals],[Winning Candidate]]-SamplingData[[#Totals],[Candidate 5]]), 0)</f>
        <v>0</v>
      </c>
      <c r="U608" s="100">
        <f>IF(AND(SamplingData[[#This Row],[Total]]&lt;&gt; 0, NOT(ISBLANK(SamplingData[[#This Row],[Candidate 6]]))),(SamplingData[[#This Row],[Total]]+SamplingData[[#This Row],[Losing Candidate]]-SamplingData[[#This Row],[Candidate 6]])/(SamplingData[[#Totals],[Winning Candidate]]-SamplingData[[#Totals],[Candidate 6]]), 0)</f>
        <v>0</v>
      </c>
      <c r="V608" s="100">
        <f>IF(AND(SamplingData[[#This Row],[Total]]&lt;&gt; 0, NOT(ISBLANK(SamplingData[[#This Row],[Candidate 7]]))),(SamplingData[[#This Row],[Total]]+SamplingData[[#This Row],[Winning Candidate]]-SamplingData[[#This Row],[Candidate 7]])/(SamplingData[[#Totals],[Winning Candidate]]-SamplingData[[#Totals],[Candidate 7]]), 0)</f>
        <v>0</v>
      </c>
      <c r="W608" s="100">
        <f>IF(AND(SamplingData[[#This Row],[Total]]&lt;&gt; 0, NOT(ISBLANK(SamplingData[[#This Row],[Candidate 8]]))),(SamplingData[[#This Row],[Total]]+SamplingData[[#This Row],[Winning Candidate]]-SamplingData[[#This Row],[Candidate 8]])/(SamplingData[[#Totals],[Winning Candidate]]-SamplingData[[#Totals],[Candidate 8]]), 0)</f>
        <v>0</v>
      </c>
      <c r="X6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00">
        <f>MAX(SamplingData[[#This Row],[Error Bound (up) - Max. possible relative overstatement - Losing Candidate]:[Error Bound (up) - Max. possible relative overstatement - Candidate 12]])</f>
        <v>4.114709300499419E-3</v>
      </c>
      <c r="AC608" s="100">
        <f>IF(SamplingData[[#This Row],[Max Error Bound (up)]] = 0,0,SamplingData[[#This Row],[Max Error Bound (up)]]/SamplingData[[#Totals],[Max Error Bound (up)]])</f>
        <v>1.7633123351101067E-3</v>
      </c>
      <c r="AD608" s="104">
        <f>SUM($AC$5:AC608)</f>
        <v>0.16165939805093441</v>
      </c>
      <c r="AE608" s="100" t="str" cm="1">
        <f t="array" ref="AE608">IF(SamplingData[[#This Row],[up/U Selection Probability]] = 0, "Zero", TEXT(SamplingData[[#This Row],[Lower Range]], REPT("0",LEN('General Info'!$B$42))) &amp; " - " &amp; TEXT(SamplingData[[#This Row],[Upper Range]], REPT("0",LEN('General Info'!$B$42))))</f>
        <v>15990 - 16165</v>
      </c>
      <c r="AF608" s="100">
        <f>SamplingData[[#This Row],[Upper Range]]-SamplingData[[#This Row],[Span]]</f>
        <v>15989.608571582428</v>
      </c>
      <c r="AG608" s="100">
        <f>IF(ISNUMBER('General Info'!$B$42), ((SamplingData[[#This Row],[up/U Selection Probability]]) * 'General Info'!$B$44) - 1, 0)</f>
        <v>175.33123351101068</v>
      </c>
      <c r="AH608" s="100">
        <f>IF(ISNUMBER('General Info'!$B$42), (SamplingData[[#This Row],[Running (cumulative) sum]] * ('General Info'!$B$42 -'General Info'!$B$43 + 1)) + 'General Info'!$B$43 - 1, 0)</f>
        <v>16164.93980509344</v>
      </c>
      <c r="AI608" s="100" t="str">
        <f>IF(ISERROR(MATCH(SamplingData[[#This Row],[Batch by Type (p)]],SelectedPrecincts[Batch Name], 0)), "", INDEX(SelectedPrecincts[Draw], MATCH(SamplingData[[#This Row],[Batch by Type (p)]],SelectedPrecincts[Batch Name], 0)))</f>
        <v/>
      </c>
      <c r="AJ608" s="101">
        <f>IF(COUNTIF(SelectedPrecincts[Batch Name],SamplingData[[#This Row],[Batch by Type (p)]]) &lt;&gt; 0, COUNTIF(SelectedPrecincts[Batch Name],SamplingData[[#This Row],[Batch by Type (p)]]), 0)</f>
        <v>0</v>
      </c>
    </row>
    <row r="609" spans="1:36" ht="15" customHeight="1" x14ac:dyDescent="0.35">
      <c r="A609" s="98" t="s">
        <v>820</v>
      </c>
      <c r="B609" s="98">
        <v>38</v>
      </c>
      <c r="C609" s="98">
        <v>3</v>
      </c>
      <c r="D609" s="93"/>
      <c r="E609" s="93"/>
      <c r="F609" s="93"/>
      <c r="G609" s="97"/>
      <c r="H609" s="97"/>
      <c r="I609" s="93"/>
      <c r="J609" s="93"/>
      <c r="K609" s="93"/>
      <c r="L609" s="93"/>
      <c r="M609" s="93"/>
      <c r="N609" s="98">
        <v>0</v>
      </c>
      <c r="O609" s="98">
        <v>3</v>
      </c>
      <c r="P609" s="99">
        <f>SUM(SamplingData[[#This Row],[Winning Candidate]:[Under Votes]])</f>
        <v>44</v>
      </c>
      <c r="Q609" s="100">
        <f>IF(AND(SamplingData[[#This Row],[Total]]&lt;&gt; 0, NOT(ISBLANK(SamplingData[[#This Row],[Losing Candidate]]))),(SamplingData[[#This Row],[Total]]+SamplingData[[#This Row],[Winning Candidate]]-SamplingData[[#This Row],[Losing Candidate]])/(SamplingData[[#Totals],[Winning Candidate]]-SamplingData[[#Totals],[Losing Candidate]]), 0)</f>
        <v>2.4813895781637717E-3</v>
      </c>
      <c r="R609" s="100">
        <f>IF(AND(SamplingData[[#This Row],[Total]]&lt;&gt; 0, NOT(ISBLANK(SamplingData[[#This Row],[Candidate 3]]))),(SamplingData[[#This Row],[Total]]+SamplingData[[#This Row],[Winning Candidate]]-SamplingData[[#This Row],[Candidate 3]])/(SamplingData[[#Totals],[Winning Candidate]]-SamplingData[[#Totals],[Candidate 3]]), 0)</f>
        <v>0</v>
      </c>
      <c r="S609" s="100">
        <f>IF(AND(SamplingData[[#This Row],[Total]]&lt;&gt; 0, NOT(ISBLANK(SamplingData[[#This Row],[Candidate 4]]))),(SamplingData[[#This Row],[Total]]+SamplingData[[#This Row],[Winning Candidate]]-SamplingData[[#This Row],[Candidate 4]])/(SamplingData[[#Totals],[Winning Candidate]]-SamplingData[[#Totals],[Candidate 4]]), 0)</f>
        <v>0</v>
      </c>
      <c r="T609" s="100">
        <f>IF(AND(SamplingData[[#This Row],[Total]]&lt;&gt; 0, NOT(ISBLANK(SamplingData[[#This Row],[Candidate 5]]))),(SamplingData[[#This Row],[Total]]+SamplingData[[#This Row],[Winning Candidate]]-SamplingData[[#This Row],[Candidate 5]])/(SamplingData[[#Totals],[Winning Candidate]]-SamplingData[[#Totals],[Candidate 5]]), 0)</f>
        <v>0</v>
      </c>
      <c r="U609" s="100">
        <f>IF(AND(SamplingData[[#This Row],[Total]]&lt;&gt; 0, NOT(ISBLANK(SamplingData[[#This Row],[Candidate 6]]))),(SamplingData[[#This Row],[Total]]+SamplingData[[#This Row],[Losing Candidate]]-SamplingData[[#This Row],[Candidate 6]])/(SamplingData[[#Totals],[Winning Candidate]]-SamplingData[[#Totals],[Candidate 6]]), 0)</f>
        <v>0</v>
      </c>
      <c r="V609" s="100">
        <f>IF(AND(SamplingData[[#This Row],[Total]]&lt;&gt; 0, NOT(ISBLANK(SamplingData[[#This Row],[Candidate 7]]))),(SamplingData[[#This Row],[Total]]+SamplingData[[#This Row],[Winning Candidate]]-SamplingData[[#This Row],[Candidate 7]])/(SamplingData[[#Totals],[Winning Candidate]]-SamplingData[[#Totals],[Candidate 7]]), 0)</f>
        <v>0</v>
      </c>
      <c r="W609" s="100">
        <f>IF(AND(SamplingData[[#This Row],[Total]]&lt;&gt; 0, NOT(ISBLANK(SamplingData[[#This Row],[Candidate 8]]))),(SamplingData[[#This Row],[Total]]+SamplingData[[#This Row],[Winning Candidate]]-SamplingData[[#This Row],[Candidate 8]])/(SamplingData[[#Totals],[Winning Candidate]]-SamplingData[[#Totals],[Candidate 8]]), 0)</f>
        <v>0</v>
      </c>
      <c r="X6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00">
        <f>MAX(SamplingData[[#This Row],[Error Bound (up) - Max. possible relative overstatement - Losing Candidate]:[Error Bound (up) - Max. possible relative overstatement - Candidate 12]])</f>
        <v>2.4813895781637717E-3</v>
      </c>
      <c r="AC609" s="100">
        <f>IF(SamplingData[[#This Row],[Max Error Bound (up)]] = 0,0,SamplingData[[#This Row],[Max Error Bound (up)]]/SamplingData[[#Totals],[Max Error Bound (up)]])</f>
        <v>1.063371560867927E-3</v>
      </c>
      <c r="AD609" s="104">
        <f>SUM($AC$5:AC609)</f>
        <v>0.16272276961180232</v>
      </c>
      <c r="AE609" s="100" t="str" cm="1">
        <f t="array" ref="AE609">IF(SamplingData[[#This Row],[up/U Selection Probability]] = 0, "Zero", TEXT(SamplingData[[#This Row],[Lower Range]], REPT("0",LEN('General Info'!$B$42))) &amp; " - " &amp; TEXT(SamplingData[[#This Row],[Upper Range]], REPT("0",LEN('General Info'!$B$42))))</f>
        <v>16166 - 16271</v>
      </c>
      <c r="AF609" s="100">
        <f>SamplingData[[#This Row],[Upper Range]]-SamplingData[[#This Row],[Span]]</f>
        <v>16165.93980509344</v>
      </c>
      <c r="AG609" s="100">
        <f>IF(ISNUMBER('General Info'!$B$42), ((SamplingData[[#This Row],[up/U Selection Probability]]) * 'General Info'!$B$44) - 1, 0)</f>
        <v>105.3371560867927</v>
      </c>
      <c r="AH609" s="100">
        <f>IF(ISNUMBER('General Info'!$B$42), (SamplingData[[#This Row],[Running (cumulative) sum]] * ('General Info'!$B$42 -'General Info'!$B$43 + 1)) + 'General Info'!$B$43 - 1, 0)</f>
        <v>16271.276961180232</v>
      </c>
      <c r="AI609" s="100" t="str">
        <f>IF(ISERROR(MATCH(SamplingData[[#This Row],[Batch by Type (p)]],SelectedPrecincts[Batch Name], 0)), "", INDEX(SelectedPrecincts[Draw], MATCH(SamplingData[[#This Row],[Batch by Type (p)]],SelectedPrecincts[Batch Name], 0)))</f>
        <v/>
      </c>
      <c r="AJ609" s="101">
        <f>IF(COUNTIF(SelectedPrecincts[Batch Name],SamplingData[[#This Row],[Batch by Type (p)]]) &lt;&gt; 0, COUNTIF(SelectedPrecincts[Batch Name],SamplingData[[#This Row],[Batch by Type (p)]]), 0)</f>
        <v>0</v>
      </c>
    </row>
    <row r="610" spans="1:36" ht="15" customHeight="1" x14ac:dyDescent="0.35">
      <c r="A610" s="98" t="s">
        <v>821</v>
      </c>
      <c r="B610" s="98">
        <v>32</v>
      </c>
      <c r="C610" s="98">
        <v>6</v>
      </c>
      <c r="D610" s="93"/>
      <c r="E610" s="93"/>
      <c r="F610" s="93"/>
      <c r="G610" s="97"/>
      <c r="H610" s="97"/>
      <c r="I610" s="93"/>
      <c r="J610" s="93"/>
      <c r="K610" s="93"/>
      <c r="L610" s="93"/>
      <c r="M610" s="93"/>
      <c r="N610" s="98">
        <v>0</v>
      </c>
      <c r="O610" s="98">
        <v>0</v>
      </c>
      <c r="P610" s="99">
        <f>SUM(SamplingData[[#This Row],[Winning Candidate]:[Under Votes]])</f>
        <v>38</v>
      </c>
      <c r="Q610" s="100">
        <f>IF(AND(SamplingData[[#This Row],[Total]]&lt;&gt; 0, NOT(ISBLANK(SamplingData[[#This Row],[Losing Candidate]]))),(SamplingData[[#This Row],[Total]]+SamplingData[[#This Row],[Winning Candidate]]-SamplingData[[#This Row],[Losing Candidate]])/(SamplingData[[#Totals],[Winning Candidate]]-SamplingData[[#Totals],[Losing Candidate]]), 0)</f>
        <v>2.0102396582592579E-3</v>
      </c>
      <c r="R610" s="100">
        <f>IF(AND(SamplingData[[#This Row],[Total]]&lt;&gt; 0, NOT(ISBLANK(SamplingData[[#This Row],[Candidate 3]]))),(SamplingData[[#This Row],[Total]]+SamplingData[[#This Row],[Winning Candidate]]-SamplingData[[#This Row],[Candidate 3]])/(SamplingData[[#Totals],[Winning Candidate]]-SamplingData[[#Totals],[Candidate 3]]), 0)</f>
        <v>0</v>
      </c>
      <c r="S610" s="100">
        <f>IF(AND(SamplingData[[#This Row],[Total]]&lt;&gt; 0, NOT(ISBLANK(SamplingData[[#This Row],[Candidate 4]]))),(SamplingData[[#This Row],[Total]]+SamplingData[[#This Row],[Winning Candidate]]-SamplingData[[#This Row],[Candidate 4]])/(SamplingData[[#Totals],[Winning Candidate]]-SamplingData[[#Totals],[Candidate 4]]), 0)</f>
        <v>0</v>
      </c>
      <c r="T610" s="100">
        <f>IF(AND(SamplingData[[#This Row],[Total]]&lt;&gt; 0, NOT(ISBLANK(SamplingData[[#This Row],[Candidate 5]]))),(SamplingData[[#This Row],[Total]]+SamplingData[[#This Row],[Winning Candidate]]-SamplingData[[#This Row],[Candidate 5]])/(SamplingData[[#Totals],[Winning Candidate]]-SamplingData[[#Totals],[Candidate 5]]), 0)</f>
        <v>0</v>
      </c>
      <c r="U610" s="100">
        <f>IF(AND(SamplingData[[#This Row],[Total]]&lt;&gt; 0, NOT(ISBLANK(SamplingData[[#This Row],[Candidate 6]]))),(SamplingData[[#This Row],[Total]]+SamplingData[[#This Row],[Losing Candidate]]-SamplingData[[#This Row],[Candidate 6]])/(SamplingData[[#Totals],[Winning Candidate]]-SamplingData[[#Totals],[Candidate 6]]), 0)</f>
        <v>0</v>
      </c>
      <c r="V610" s="100">
        <f>IF(AND(SamplingData[[#This Row],[Total]]&lt;&gt; 0, NOT(ISBLANK(SamplingData[[#This Row],[Candidate 7]]))),(SamplingData[[#This Row],[Total]]+SamplingData[[#This Row],[Winning Candidate]]-SamplingData[[#This Row],[Candidate 7]])/(SamplingData[[#Totals],[Winning Candidate]]-SamplingData[[#Totals],[Candidate 7]]), 0)</f>
        <v>0</v>
      </c>
      <c r="W610" s="100">
        <f>IF(AND(SamplingData[[#This Row],[Total]]&lt;&gt; 0, NOT(ISBLANK(SamplingData[[#This Row],[Candidate 8]]))),(SamplingData[[#This Row],[Total]]+SamplingData[[#This Row],[Winning Candidate]]-SamplingData[[#This Row],[Candidate 8]])/(SamplingData[[#Totals],[Winning Candidate]]-SamplingData[[#Totals],[Candidate 8]]), 0)</f>
        <v>0</v>
      </c>
      <c r="X6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00">
        <f>MAX(SamplingData[[#This Row],[Error Bound (up) - Max. possible relative overstatement - Losing Candidate]:[Error Bound (up) - Max. possible relative overstatement - Candidate 12]])</f>
        <v>2.0102396582592579E-3</v>
      </c>
      <c r="AC610" s="100">
        <f>IF(SamplingData[[#This Row],[Max Error Bound (up)]] = 0,0,SamplingData[[#This Row],[Max Error Bound (up)]]/SamplingData[[#Totals],[Max Error Bound (up)]])</f>
        <v>8.614655682980673E-4</v>
      </c>
      <c r="AD610" s="104">
        <f>SUM($AC$5:AC610)</f>
        <v>0.1635842351801004</v>
      </c>
      <c r="AE610" s="100" t="str" cm="1">
        <f t="array" ref="AE610">IF(SamplingData[[#This Row],[up/U Selection Probability]] = 0, "Zero", TEXT(SamplingData[[#This Row],[Lower Range]], REPT("0",LEN('General Info'!$B$42))) &amp; " - " &amp; TEXT(SamplingData[[#This Row],[Upper Range]], REPT("0",LEN('General Info'!$B$42))))</f>
        <v>16272 - 16357</v>
      </c>
      <c r="AF610" s="100">
        <f>SamplingData[[#This Row],[Upper Range]]-SamplingData[[#This Row],[Span]]</f>
        <v>16272.276961180234</v>
      </c>
      <c r="AG610" s="100">
        <f>IF(ISNUMBER('General Info'!$B$42), ((SamplingData[[#This Row],[up/U Selection Probability]]) * 'General Info'!$B$44) - 1, 0)</f>
        <v>85.146556829806727</v>
      </c>
      <c r="AH610" s="100">
        <f>IF(ISNUMBER('General Info'!$B$42), (SamplingData[[#This Row],[Running (cumulative) sum]] * ('General Info'!$B$42 -'General Info'!$B$43 + 1)) + 'General Info'!$B$43 - 1, 0)</f>
        <v>16357.42351801004</v>
      </c>
      <c r="AI610" s="100" t="str">
        <f>IF(ISERROR(MATCH(SamplingData[[#This Row],[Batch by Type (p)]],SelectedPrecincts[Batch Name], 0)), "", INDEX(SelectedPrecincts[Draw], MATCH(SamplingData[[#This Row],[Batch by Type (p)]],SelectedPrecincts[Batch Name], 0)))</f>
        <v/>
      </c>
      <c r="AJ610" s="101">
        <f>IF(COUNTIF(SelectedPrecincts[Batch Name],SamplingData[[#This Row],[Batch by Type (p)]]) &lt;&gt; 0, COUNTIF(SelectedPrecincts[Batch Name],SamplingData[[#This Row],[Batch by Type (p)]]), 0)</f>
        <v>0</v>
      </c>
    </row>
    <row r="611" spans="1:36" ht="15" customHeight="1" x14ac:dyDescent="0.35">
      <c r="A611" s="98" t="s">
        <v>822</v>
      </c>
      <c r="B611" s="98">
        <v>58</v>
      </c>
      <c r="C611" s="98">
        <v>4</v>
      </c>
      <c r="D611" s="93"/>
      <c r="E611" s="93"/>
      <c r="F611" s="93"/>
      <c r="G611" s="97"/>
      <c r="H611" s="97"/>
      <c r="I611" s="93"/>
      <c r="J611" s="93"/>
      <c r="K611" s="93"/>
      <c r="L611" s="93"/>
      <c r="M611" s="93"/>
      <c r="N611" s="98">
        <v>0</v>
      </c>
      <c r="O611" s="98">
        <v>2</v>
      </c>
      <c r="P611" s="99">
        <f>SUM(SamplingData[[#This Row],[Winning Candidate]:[Under Votes]])</f>
        <v>64</v>
      </c>
      <c r="Q611" s="100">
        <f>IF(AND(SamplingData[[#This Row],[Total]]&lt;&gt; 0, NOT(ISBLANK(SamplingData[[#This Row],[Losing Candidate]]))),(SamplingData[[#This Row],[Total]]+SamplingData[[#This Row],[Winning Candidate]]-SamplingData[[#This Row],[Losing Candidate]])/(SamplingData[[#Totals],[Winning Candidate]]-SamplingData[[#Totals],[Losing Candidate]]), 0)</f>
        <v>3.7063793699155072E-3</v>
      </c>
      <c r="R611" s="100">
        <f>IF(AND(SamplingData[[#This Row],[Total]]&lt;&gt; 0, NOT(ISBLANK(SamplingData[[#This Row],[Candidate 3]]))),(SamplingData[[#This Row],[Total]]+SamplingData[[#This Row],[Winning Candidate]]-SamplingData[[#This Row],[Candidate 3]])/(SamplingData[[#Totals],[Winning Candidate]]-SamplingData[[#Totals],[Candidate 3]]), 0)</f>
        <v>0</v>
      </c>
      <c r="S611" s="100">
        <f>IF(AND(SamplingData[[#This Row],[Total]]&lt;&gt; 0, NOT(ISBLANK(SamplingData[[#This Row],[Candidate 4]]))),(SamplingData[[#This Row],[Total]]+SamplingData[[#This Row],[Winning Candidate]]-SamplingData[[#This Row],[Candidate 4]])/(SamplingData[[#Totals],[Winning Candidate]]-SamplingData[[#Totals],[Candidate 4]]), 0)</f>
        <v>0</v>
      </c>
      <c r="T611" s="100">
        <f>IF(AND(SamplingData[[#This Row],[Total]]&lt;&gt; 0, NOT(ISBLANK(SamplingData[[#This Row],[Candidate 5]]))),(SamplingData[[#This Row],[Total]]+SamplingData[[#This Row],[Winning Candidate]]-SamplingData[[#This Row],[Candidate 5]])/(SamplingData[[#Totals],[Winning Candidate]]-SamplingData[[#Totals],[Candidate 5]]), 0)</f>
        <v>0</v>
      </c>
      <c r="U611" s="100">
        <f>IF(AND(SamplingData[[#This Row],[Total]]&lt;&gt; 0, NOT(ISBLANK(SamplingData[[#This Row],[Candidate 6]]))),(SamplingData[[#This Row],[Total]]+SamplingData[[#This Row],[Losing Candidate]]-SamplingData[[#This Row],[Candidate 6]])/(SamplingData[[#Totals],[Winning Candidate]]-SamplingData[[#Totals],[Candidate 6]]), 0)</f>
        <v>0</v>
      </c>
      <c r="V611" s="100">
        <f>IF(AND(SamplingData[[#This Row],[Total]]&lt;&gt; 0, NOT(ISBLANK(SamplingData[[#This Row],[Candidate 7]]))),(SamplingData[[#This Row],[Total]]+SamplingData[[#This Row],[Winning Candidate]]-SamplingData[[#This Row],[Candidate 7]])/(SamplingData[[#Totals],[Winning Candidate]]-SamplingData[[#Totals],[Candidate 7]]), 0)</f>
        <v>0</v>
      </c>
      <c r="W611" s="100">
        <f>IF(AND(SamplingData[[#This Row],[Total]]&lt;&gt; 0, NOT(ISBLANK(SamplingData[[#This Row],[Candidate 8]]))),(SamplingData[[#This Row],[Total]]+SamplingData[[#This Row],[Winning Candidate]]-SamplingData[[#This Row],[Candidate 8]])/(SamplingData[[#Totals],[Winning Candidate]]-SamplingData[[#Totals],[Candidate 8]]), 0)</f>
        <v>0</v>
      </c>
      <c r="X6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00">
        <f>MAX(SamplingData[[#This Row],[Error Bound (up) - Max. possible relative overstatement - Losing Candidate]:[Error Bound (up) - Max. possible relative overstatement - Candidate 12]])</f>
        <v>3.7063793699155072E-3</v>
      </c>
      <c r="AC611" s="100">
        <f>IF(SamplingData[[#This Row],[Max Error Bound (up)]] = 0,0,SamplingData[[#This Row],[Max Error Bound (up)]]/SamplingData[[#Totals],[Max Error Bound (up)]])</f>
        <v>1.5883271415495618E-3</v>
      </c>
      <c r="AD611" s="104">
        <f>SUM($AC$5:AC611)</f>
        <v>0.16517256232164995</v>
      </c>
      <c r="AE611" s="100" t="str" cm="1">
        <f t="array" ref="AE611">IF(SamplingData[[#This Row],[up/U Selection Probability]] = 0, "Zero", TEXT(SamplingData[[#This Row],[Lower Range]], REPT("0",LEN('General Info'!$B$42))) &amp; " - " &amp; TEXT(SamplingData[[#This Row],[Upper Range]], REPT("0",LEN('General Info'!$B$42))))</f>
        <v>16358 - 16516</v>
      </c>
      <c r="AF611" s="100">
        <f>SamplingData[[#This Row],[Upper Range]]-SamplingData[[#This Row],[Span]]</f>
        <v>16358.42351801004</v>
      </c>
      <c r="AG611" s="100">
        <f>IF(ISNUMBER('General Info'!$B$42), ((SamplingData[[#This Row],[up/U Selection Probability]]) * 'General Info'!$B$44) - 1, 0)</f>
        <v>157.83271415495619</v>
      </c>
      <c r="AH611" s="100">
        <f>IF(ISNUMBER('General Info'!$B$42), (SamplingData[[#This Row],[Running (cumulative) sum]] * ('General Info'!$B$42 -'General Info'!$B$43 + 1)) + 'General Info'!$B$43 - 1, 0)</f>
        <v>16516.256232164997</v>
      </c>
      <c r="AI611" s="100" t="str">
        <f>IF(ISERROR(MATCH(SamplingData[[#This Row],[Batch by Type (p)]],SelectedPrecincts[Batch Name], 0)), "", INDEX(SelectedPrecincts[Draw], MATCH(SamplingData[[#This Row],[Batch by Type (p)]],SelectedPrecincts[Batch Name], 0)))</f>
        <v/>
      </c>
      <c r="AJ611" s="101">
        <f>IF(COUNTIF(SelectedPrecincts[Batch Name],SamplingData[[#This Row],[Batch by Type (p)]]) &lt;&gt; 0, COUNTIF(SelectedPrecincts[Batch Name],SamplingData[[#This Row],[Batch by Type (p)]]), 0)</f>
        <v>0</v>
      </c>
    </row>
    <row r="612" spans="1:36" ht="15" customHeight="1" x14ac:dyDescent="0.35">
      <c r="A612" s="98" t="s">
        <v>823</v>
      </c>
      <c r="B612" s="98">
        <v>6</v>
      </c>
      <c r="C612" s="98">
        <v>0</v>
      </c>
      <c r="D612" s="93"/>
      <c r="E612" s="93"/>
      <c r="F612" s="93"/>
      <c r="G612" s="97"/>
      <c r="H612" s="97"/>
      <c r="I612" s="93"/>
      <c r="J612" s="93"/>
      <c r="K612" s="93"/>
      <c r="L612" s="93"/>
      <c r="M612" s="93"/>
      <c r="N612" s="98">
        <v>0</v>
      </c>
      <c r="O612" s="98">
        <v>0</v>
      </c>
      <c r="P612" s="99">
        <f>SUM(SamplingData[[#This Row],[Winning Candidate]:[Under Votes]])</f>
        <v>6</v>
      </c>
      <c r="Q612"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12" s="100">
        <f>IF(AND(SamplingData[[#This Row],[Total]]&lt;&gt; 0, NOT(ISBLANK(SamplingData[[#This Row],[Candidate 3]]))),(SamplingData[[#This Row],[Total]]+SamplingData[[#This Row],[Winning Candidate]]-SamplingData[[#This Row],[Candidate 3]])/(SamplingData[[#Totals],[Winning Candidate]]-SamplingData[[#Totals],[Candidate 3]]), 0)</f>
        <v>0</v>
      </c>
      <c r="S612" s="100">
        <f>IF(AND(SamplingData[[#This Row],[Total]]&lt;&gt; 0, NOT(ISBLANK(SamplingData[[#This Row],[Candidate 4]]))),(SamplingData[[#This Row],[Total]]+SamplingData[[#This Row],[Winning Candidate]]-SamplingData[[#This Row],[Candidate 4]])/(SamplingData[[#Totals],[Winning Candidate]]-SamplingData[[#Totals],[Candidate 4]]), 0)</f>
        <v>0</v>
      </c>
      <c r="T612" s="100">
        <f>IF(AND(SamplingData[[#This Row],[Total]]&lt;&gt; 0, NOT(ISBLANK(SamplingData[[#This Row],[Candidate 5]]))),(SamplingData[[#This Row],[Total]]+SamplingData[[#This Row],[Winning Candidate]]-SamplingData[[#This Row],[Candidate 5]])/(SamplingData[[#Totals],[Winning Candidate]]-SamplingData[[#Totals],[Candidate 5]]), 0)</f>
        <v>0</v>
      </c>
      <c r="U612" s="100">
        <f>IF(AND(SamplingData[[#This Row],[Total]]&lt;&gt; 0, NOT(ISBLANK(SamplingData[[#This Row],[Candidate 6]]))),(SamplingData[[#This Row],[Total]]+SamplingData[[#This Row],[Losing Candidate]]-SamplingData[[#This Row],[Candidate 6]])/(SamplingData[[#Totals],[Winning Candidate]]-SamplingData[[#Totals],[Candidate 6]]), 0)</f>
        <v>0</v>
      </c>
      <c r="V612" s="100">
        <f>IF(AND(SamplingData[[#This Row],[Total]]&lt;&gt; 0, NOT(ISBLANK(SamplingData[[#This Row],[Candidate 7]]))),(SamplingData[[#This Row],[Total]]+SamplingData[[#This Row],[Winning Candidate]]-SamplingData[[#This Row],[Candidate 7]])/(SamplingData[[#Totals],[Winning Candidate]]-SamplingData[[#Totals],[Candidate 7]]), 0)</f>
        <v>0</v>
      </c>
      <c r="W612" s="100">
        <f>IF(AND(SamplingData[[#This Row],[Total]]&lt;&gt; 0, NOT(ISBLANK(SamplingData[[#This Row],[Candidate 8]]))),(SamplingData[[#This Row],[Total]]+SamplingData[[#This Row],[Winning Candidate]]-SamplingData[[#This Row],[Candidate 8]])/(SamplingData[[#Totals],[Winning Candidate]]-SamplingData[[#Totals],[Candidate 8]]), 0)</f>
        <v>0</v>
      </c>
      <c r="X6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00">
        <f>MAX(SamplingData[[#This Row],[Error Bound (up) - Max. possible relative overstatement - Losing Candidate]:[Error Bound (up) - Max. possible relative overstatement - Candidate 12]])</f>
        <v>3.7691993592361088E-4</v>
      </c>
      <c r="AC612" s="100">
        <f>IF(SamplingData[[#This Row],[Max Error Bound (up)]] = 0,0,SamplingData[[#This Row],[Max Error Bound (up)]]/SamplingData[[#Totals],[Max Error Bound (up)]])</f>
        <v>1.6152479405588763E-4</v>
      </c>
      <c r="AD612" s="104">
        <f>SUM($AC$5:AC612)</f>
        <v>0.16533408711570585</v>
      </c>
      <c r="AE612" s="100" t="str" cm="1">
        <f t="array" ref="AE612">IF(SamplingData[[#This Row],[up/U Selection Probability]] = 0, "Zero", TEXT(SamplingData[[#This Row],[Lower Range]], REPT("0",LEN('General Info'!$B$42))) &amp; " - " &amp; TEXT(SamplingData[[#This Row],[Upper Range]], REPT("0",LEN('General Info'!$B$42))))</f>
        <v>16517 - 16532</v>
      </c>
      <c r="AF612" s="100">
        <f>SamplingData[[#This Row],[Upper Range]]-SamplingData[[#This Row],[Span]]</f>
        <v>16517.256232164997</v>
      </c>
      <c r="AG612" s="100">
        <f>IF(ISNUMBER('General Info'!$B$42), ((SamplingData[[#This Row],[up/U Selection Probability]]) * 'General Info'!$B$44) - 1, 0)</f>
        <v>15.152479405588764</v>
      </c>
      <c r="AH612" s="100">
        <f>IF(ISNUMBER('General Info'!$B$42), (SamplingData[[#This Row],[Running (cumulative) sum]] * ('General Info'!$B$42 -'General Info'!$B$43 + 1)) + 'General Info'!$B$43 - 1, 0)</f>
        <v>16532.408711570584</v>
      </c>
      <c r="AI612" s="100" t="str">
        <f>IF(ISERROR(MATCH(SamplingData[[#This Row],[Batch by Type (p)]],SelectedPrecincts[Batch Name], 0)), "", INDEX(SelectedPrecincts[Draw], MATCH(SamplingData[[#This Row],[Batch by Type (p)]],SelectedPrecincts[Batch Name], 0)))</f>
        <v/>
      </c>
      <c r="AJ612" s="101">
        <f>IF(COUNTIF(SelectedPrecincts[Batch Name],SamplingData[[#This Row],[Batch by Type (p)]]) &lt;&gt; 0, COUNTIF(SelectedPrecincts[Batch Name],SamplingData[[#This Row],[Batch by Type (p)]]), 0)</f>
        <v>0</v>
      </c>
    </row>
    <row r="613" spans="1:36" ht="15" customHeight="1" x14ac:dyDescent="0.35">
      <c r="A613" s="98" t="s">
        <v>824</v>
      </c>
      <c r="B613" s="98">
        <v>75</v>
      </c>
      <c r="C613" s="98">
        <v>3</v>
      </c>
      <c r="D613" s="93"/>
      <c r="E613" s="93"/>
      <c r="F613" s="93"/>
      <c r="G613" s="97"/>
      <c r="H613" s="97"/>
      <c r="I613" s="93"/>
      <c r="J613" s="93"/>
      <c r="K613" s="93"/>
      <c r="L613" s="93"/>
      <c r="M613" s="93"/>
      <c r="N613" s="98">
        <v>0</v>
      </c>
      <c r="O613" s="98">
        <v>3</v>
      </c>
      <c r="P613" s="99">
        <f>SUM(SamplingData[[#This Row],[Winning Candidate]:[Under Votes]])</f>
        <v>81</v>
      </c>
      <c r="Q613" s="100">
        <f>IF(AND(SamplingData[[#This Row],[Total]]&lt;&gt; 0, NOT(ISBLANK(SamplingData[[#This Row],[Losing Candidate]]))),(SamplingData[[#This Row],[Total]]+SamplingData[[#This Row],[Winning Candidate]]-SamplingData[[#This Row],[Losing Candidate]])/(SamplingData[[#Totals],[Winning Candidate]]-SamplingData[[#Totals],[Losing Candidate]]), 0)</f>
        <v>4.8057291830260387E-3</v>
      </c>
      <c r="R613" s="100">
        <f>IF(AND(SamplingData[[#This Row],[Total]]&lt;&gt; 0, NOT(ISBLANK(SamplingData[[#This Row],[Candidate 3]]))),(SamplingData[[#This Row],[Total]]+SamplingData[[#This Row],[Winning Candidate]]-SamplingData[[#This Row],[Candidate 3]])/(SamplingData[[#Totals],[Winning Candidate]]-SamplingData[[#Totals],[Candidate 3]]), 0)</f>
        <v>0</v>
      </c>
      <c r="S613" s="100">
        <f>IF(AND(SamplingData[[#This Row],[Total]]&lt;&gt; 0, NOT(ISBLANK(SamplingData[[#This Row],[Candidate 4]]))),(SamplingData[[#This Row],[Total]]+SamplingData[[#This Row],[Winning Candidate]]-SamplingData[[#This Row],[Candidate 4]])/(SamplingData[[#Totals],[Winning Candidate]]-SamplingData[[#Totals],[Candidate 4]]), 0)</f>
        <v>0</v>
      </c>
      <c r="T613" s="100">
        <f>IF(AND(SamplingData[[#This Row],[Total]]&lt;&gt; 0, NOT(ISBLANK(SamplingData[[#This Row],[Candidate 5]]))),(SamplingData[[#This Row],[Total]]+SamplingData[[#This Row],[Winning Candidate]]-SamplingData[[#This Row],[Candidate 5]])/(SamplingData[[#Totals],[Winning Candidate]]-SamplingData[[#Totals],[Candidate 5]]), 0)</f>
        <v>0</v>
      </c>
      <c r="U613" s="100">
        <f>IF(AND(SamplingData[[#This Row],[Total]]&lt;&gt; 0, NOT(ISBLANK(SamplingData[[#This Row],[Candidate 6]]))),(SamplingData[[#This Row],[Total]]+SamplingData[[#This Row],[Losing Candidate]]-SamplingData[[#This Row],[Candidate 6]])/(SamplingData[[#Totals],[Winning Candidate]]-SamplingData[[#Totals],[Candidate 6]]), 0)</f>
        <v>0</v>
      </c>
      <c r="V613" s="100">
        <f>IF(AND(SamplingData[[#This Row],[Total]]&lt;&gt; 0, NOT(ISBLANK(SamplingData[[#This Row],[Candidate 7]]))),(SamplingData[[#This Row],[Total]]+SamplingData[[#This Row],[Winning Candidate]]-SamplingData[[#This Row],[Candidate 7]])/(SamplingData[[#Totals],[Winning Candidate]]-SamplingData[[#Totals],[Candidate 7]]), 0)</f>
        <v>0</v>
      </c>
      <c r="W613" s="100">
        <f>IF(AND(SamplingData[[#This Row],[Total]]&lt;&gt; 0, NOT(ISBLANK(SamplingData[[#This Row],[Candidate 8]]))),(SamplingData[[#This Row],[Total]]+SamplingData[[#This Row],[Winning Candidate]]-SamplingData[[#This Row],[Candidate 8]])/(SamplingData[[#Totals],[Winning Candidate]]-SamplingData[[#Totals],[Candidate 8]]), 0)</f>
        <v>0</v>
      </c>
      <c r="X6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00">
        <f>MAX(SamplingData[[#This Row],[Error Bound (up) - Max. possible relative overstatement - Losing Candidate]:[Error Bound (up) - Max. possible relative overstatement - Candidate 12]])</f>
        <v>4.8057291830260387E-3</v>
      </c>
      <c r="AC613" s="100">
        <f>IF(SamplingData[[#This Row],[Max Error Bound (up)]] = 0,0,SamplingData[[#This Row],[Max Error Bound (up)]]/SamplingData[[#Totals],[Max Error Bound (up)]])</f>
        <v>2.0594411242125673E-3</v>
      </c>
      <c r="AD613" s="104">
        <f>SUM($AC$5:AC613)</f>
        <v>0.16739352823991843</v>
      </c>
      <c r="AE613" s="100" t="str" cm="1">
        <f t="array" ref="AE613">IF(SamplingData[[#This Row],[up/U Selection Probability]] = 0, "Zero", TEXT(SamplingData[[#This Row],[Lower Range]], REPT("0",LEN('General Info'!$B$42))) &amp; " - " &amp; TEXT(SamplingData[[#This Row],[Upper Range]], REPT("0",LEN('General Info'!$B$42))))</f>
        <v>16533 - 16738</v>
      </c>
      <c r="AF613" s="100">
        <f>SamplingData[[#This Row],[Upper Range]]-SamplingData[[#This Row],[Span]]</f>
        <v>16533.408711570584</v>
      </c>
      <c r="AG613" s="100">
        <f>IF(ISNUMBER('General Info'!$B$42), ((SamplingData[[#This Row],[up/U Selection Probability]]) * 'General Info'!$B$44) - 1, 0)</f>
        <v>204.94411242125673</v>
      </c>
      <c r="AH613" s="100">
        <f>IF(ISNUMBER('General Info'!$B$42), (SamplingData[[#This Row],[Running (cumulative) sum]] * ('General Info'!$B$42 -'General Info'!$B$43 + 1)) + 'General Info'!$B$43 - 1, 0)</f>
        <v>16738.352823991841</v>
      </c>
      <c r="AI613" s="100" t="str">
        <f>IF(ISERROR(MATCH(SamplingData[[#This Row],[Batch by Type (p)]],SelectedPrecincts[Batch Name], 0)), "", INDEX(SelectedPrecincts[Draw], MATCH(SamplingData[[#This Row],[Batch by Type (p)]],SelectedPrecincts[Batch Name], 0)))</f>
        <v/>
      </c>
      <c r="AJ613" s="101">
        <f>IF(COUNTIF(SelectedPrecincts[Batch Name],SamplingData[[#This Row],[Batch by Type (p)]]) &lt;&gt; 0, COUNTIF(SelectedPrecincts[Batch Name],SamplingData[[#This Row],[Batch by Type (p)]]), 0)</f>
        <v>0</v>
      </c>
    </row>
    <row r="614" spans="1:36" ht="15" customHeight="1" x14ac:dyDescent="0.35">
      <c r="A614" s="98" t="s">
        <v>825</v>
      </c>
      <c r="B614" s="98">
        <v>30</v>
      </c>
      <c r="C614" s="98">
        <v>8</v>
      </c>
      <c r="D614" s="93"/>
      <c r="E614" s="93"/>
      <c r="F614" s="93"/>
      <c r="G614" s="97"/>
      <c r="H614" s="97"/>
      <c r="I614" s="93"/>
      <c r="J614" s="93"/>
      <c r="K614" s="93"/>
      <c r="L614" s="93"/>
      <c r="M614" s="93"/>
      <c r="N614" s="98">
        <v>0</v>
      </c>
      <c r="O614" s="98">
        <v>0</v>
      </c>
      <c r="P614" s="99">
        <f>SUM(SamplingData[[#This Row],[Winning Candidate]:[Under Votes]])</f>
        <v>38</v>
      </c>
      <c r="Q61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1.8845996796180544E-3</v>
      </c>
      <c r="R614" s="100">
        <f>IF(AND(SamplingData[[#This Row],[Total]]&lt;&gt; 0, NOT(ISBLANK(SamplingData[[#This Row],[Candidate 3]]))),(SamplingData[[#This Row],[Total]]+SamplingData[[#This Row],[Winning Candidate]]-SamplingData[[#This Row],[Candidate 3]])/(SamplingData[[#Totals],[Winning Candidate]]-SamplingData[[#Totals],[Candidate 3]]), 0)</f>
        <v>0</v>
      </c>
      <c r="S614" s="100">
        <f>IF(AND(SamplingData[[#This Row],[Total]]&lt;&gt; 0, NOT(ISBLANK(SamplingData[[#This Row],[Candidate 4]]))),(SamplingData[[#This Row],[Total]]+SamplingData[[#This Row],[Winning Candidate]]-SamplingData[[#This Row],[Candidate 4]])/(SamplingData[[#Totals],[Winning Candidate]]-SamplingData[[#Totals],[Candidate 4]]), 0)</f>
        <v>0</v>
      </c>
      <c r="T614" s="100">
        <f>IF(AND(SamplingData[[#This Row],[Total]]&lt;&gt; 0, NOT(ISBLANK(SamplingData[[#This Row],[Candidate 5]]))),(SamplingData[[#This Row],[Total]]+SamplingData[[#This Row],[Winning Candidate]]-SamplingData[[#This Row],[Candidate 5]])/(SamplingData[[#Totals],[Winning Candidate]]-SamplingData[[#Totals],[Candidate 5]]), 0)</f>
        <v>0</v>
      </c>
      <c r="U614" s="100">
        <f>IF(AND(SamplingData[[#This Row],[Total]]&lt;&gt; 0, NOT(ISBLANK(SamplingData[[#This Row],[Candidate 6]]))),(SamplingData[[#This Row],[Total]]+SamplingData[[#This Row],[Losing Candidate]]-SamplingData[[#This Row],[Candidate 6]])/(SamplingData[[#Totals],[Winning Candidate]]-SamplingData[[#Totals],[Candidate 6]]), 0)</f>
        <v>0</v>
      </c>
      <c r="V614" s="100">
        <f>IF(AND(SamplingData[[#This Row],[Total]]&lt;&gt; 0, NOT(ISBLANK(SamplingData[[#This Row],[Candidate 7]]))),(SamplingData[[#This Row],[Total]]+SamplingData[[#This Row],[Winning Candidate]]-SamplingData[[#This Row],[Candidate 7]])/(SamplingData[[#Totals],[Winning Candidate]]-SamplingData[[#Totals],[Candidate 7]]), 0)</f>
        <v>0</v>
      </c>
      <c r="W614" s="100">
        <f>IF(AND(SamplingData[[#This Row],[Total]]&lt;&gt; 0, NOT(ISBLANK(SamplingData[[#This Row],[Candidate 8]]))),(SamplingData[[#This Row],[Total]]+SamplingData[[#This Row],[Winning Candidate]]-SamplingData[[#This Row],[Candidate 8]])/(SamplingData[[#Totals],[Winning Candidate]]-SamplingData[[#Totals],[Candidate 8]]), 0)</f>
        <v>0</v>
      </c>
      <c r="X6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00">
        <f>MAX(SamplingData[[#This Row],[Error Bound (up) - Max. possible relative overstatement - Losing Candidate]:[Error Bound (up) - Max. possible relative overstatement - Candidate 12]])</f>
        <v>1.8845996796180544E-3</v>
      </c>
      <c r="AC614" s="100">
        <f>IF(SamplingData[[#This Row],[Max Error Bound (up)]] = 0,0,SamplingData[[#This Row],[Max Error Bound (up)]]/SamplingData[[#Totals],[Max Error Bound (up)]])</f>
        <v>8.0762397027943811E-4</v>
      </c>
      <c r="AD614" s="104">
        <f>SUM($AC$5:AC614)</f>
        <v>0.16820115221019788</v>
      </c>
      <c r="AE614" s="100" t="str" cm="1">
        <f t="array" ref="AE614">IF(SamplingData[[#This Row],[up/U Selection Probability]] = 0, "Zero", TEXT(SamplingData[[#This Row],[Lower Range]], REPT("0",LEN('General Info'!$B$42))) &amp; " - " &amp; TEXT(SamplingData[[#This Row],[Upper Range]], REPT("0",LEN('General Info'!$B$42))))</f>
        <v>16739 - 16819</v>
      </c>
      <c r="AF614" s="100">
        <f>SamplingData[[#This Row],[Upper Range]]-SamplingData[[#This Row],[Span]]</f>
        <v>16739.352823991841</v>
      </c>
      <c r="AG614" s="100">
        <f>IF(ISNUMBER('General Info'!$B$42), ((SamplingData[[#This Row],[up/U Selection Probability]]) * 'General Info'!$B$44) - 1, 0)</f>
        <v>79.762397027943805</v>
      </c>
      <c r="AH614" s="100">
        <f>IF(ISNUMBER('General Info'!$B$42), (SamplingData[[#This Row],[Running (cumulative) sum]] * ('General Info'!$B$42 -'General Info'!$B$43 + 1)) + 'General Info'!$B$43 - 1, 0)</f>
        <v>16819.115221019787</v>
      </c>
      <c r="AI614" s="100" t="str">
        <f>IF(ISERROR(MATCH(SamplingData[[#This Row],[Batch by Type (p)]],SelectedPrecincts[Batch Name], 0)), "", INDEX(SelectedPrecincts[Draw], MATCH(SamplingData[[#This Row],[Batch by Type (p)]],SelectedPrecincts[Batch Name], 0)))</f>
        <v/>
      </c>
      <c r="AJ614" s="101">
        <f>IF(COUNTIF(SelectedPrecincts[Batch Name],SamplingData[[#This Row],[Batch by Type (p)]]) &lt;&gt; 0, COUNTIF(SelectedPrecincts[Batch Name],SamplingData[[#This Row],[Batch by Type (p)]]), 0)</f>
        <v>0</v>
      </c>
    </row>
    <row r="615" spans="1:36" ht="15" customHeight="1" x14ac:dyDescent="0.35">
      <c r="A615" s="98" t="s">
        <v>826</v>
      </c>
      <c r="B615" s="98">
        <v>15</v>
      </c>
      <c r="C615" s="98">
        <v>5</v>
      </c>
      <c r="D615" s="93"/>
      <c r="E615" s="93"/>
      <c r="F615" s="93"/>
      <c r="G615" s="97"/>
      <c r="H615" s="97"/>
      <c r="I615" s="93"/>
      <c r="J615" s="93"/>
      <c r="K615" s="93"/>
      <c r="L615" s="93"/>
      <c r="M615" s="93"/>
      <c r="N615" s="98">
        <v>0</v>
      </c>
      <c r="O615" s="98">
        <v>0</v>
      </c>
      <c r="P615" s="99">
        <f>SUM(SamplingData[[#This Row],[Winning Candidate]:[Under Votes]])</f>
        <v>20</v>
      </c>
      <c r="Q615"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615" s="100">
        <f>IF(AND(SamplingData[[#This Row],[Total]]&lt;&gt; 0, NOT(ISBLANK(SamplingData[[#This Row],[Candidate 3]]))),(SamplingData[[#This Row],[Total]]+SamplingData[[#This Row],[Winning Candidate]]-SamplingData[[#This Row],[Candidate 3]])/(SamplingData[[#Totals],[Winning Candidate]]-SamplingData[[#Totals],[Candidate 3]]), 0)</f>
        <v>0</v>
      </c>
      <c r="S615" s="100">
        <f>IF(AND(SamplingData[[#This Row],[Total]]&lt;&gt; 0, NOT(ISBLANK(SamplingData[[#This Row],[Candidate 4]]))),(SamplingData[[#This Row],[Total]]+SamplingData[[#This Row],[Winning Candidate]]-SamplingData[[#This Row],[Candidate 4]])/(SamplingData[[#Totals],[Winning Candidate]]-SamplingData[[#Totals],[Candidate 4]]), 0)</f>
        <v>0</v>
      </c>
      <c r="T615" s="100">
        <f>IF(AND(SamplingData[[#This Row],[Total]]&lt;&gt; 0, NOT(ISBLANK(SamplingData[[#This Row],[Candidate 5]]))),(SamplingData[[#This Row],[Total]]+SamplingData[[#This Row],[Winning Candidate]]-SamplingData[[#This Row],[Candidate 5]])/(SamplingData[[#Totals],[Winning Candidate]]-SamplingData[[#Totals],[Candidate 5]]), 0)</f>
        <v>0</v>
      </c>
      <c r="U615" s="100">
        <f>IF(AND(SamplingData[[#This Row],[Total]]&lt;&gt; 0, NOT(ISBLANK(SamplingData[[#This Row],[Candidate 6]]))),(SamplingData[[#This Row],[Total]]+SamplingData[[#This Row],[Losing Candidate]]-SamplingData[[#This Row],[Candidate 6]])/(SamplingData[[#Totals],[Winning Candidate]]-SamplingData[[#Totals],[Candidate 6]]), 0)</f>
        <v>0</v>
      </c>
      <c r="V615" s="100">
        <f>IF(AND(SamplingData[[#This Row],[Total]]&lt;&gt; 0, NOT(ISBLANK(SamplingData[[#This Row],[Candidate 7]]))),(SamplingData[[#This Row],[Total]]+SamplingData[[#This Row],[Winning Candidate]]-SamplingData[[#This Row],[Candidate 7]])/(SamplingData[[#Totals],[Winning Candidate]]-SamplingData[[#Totals],[Candidate 7]]), 0)</f>
        <v>0</v>
      </c>
      <c r="W615" s="100">
        <f>IF(AND(SamplingData[[#This Row],[Total]]&lt;&gt; 0, NOT(ISBLANK(SamplingData[[#This Row],[Candidate 8]]))),(SamplingData[[#This Row],[Total]]+SamplingData[[#This Row],[Winning Candidate]]-SamplingData[[#This Row],[Candidate 8]])/(SamplingData[[#Totals],[Winning Candidate]]-SamplingData[[#Totals],[Candidate 8]]), 0)</f>
        <v>0</v>
      </c>
      <c r="X6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00">
        <f>MAX(SamplingData[[#This Row],[Error Bound (up) - Max. possible relative overstatement - Losing Candidate]:[Error Bound (up) - Max. possible relative overstatement - Candidate 12]])</f>
        <v>9.4229983980902718E-4</v>
      </c>
      <c r="AC615" s="100">
        <f>IF(SamplingData[[#This Row],[Max Error Bound (up)]] = 0,0,SamplingData[[#This Row],[Max Error Bound (up)]]/SamplingData[[#Totals],[Max Error Bound (up)]])</f>
        <v>4.0381198513971905E-4</v>
      </c>
      <c r="AD615" s="104">
        <f>SUM($AC$5:AC615)</f>
        <v>0.1686049641953376</v>
      </c>
      <c r="AE615" s="100" t="str" cm="1">
        <f t="array" ref="AE615">IF(SamplingData[[#This Row],[up/U Selection Probability]] = 0, "Zero", TEXT(SamplingData[[#This Row],[Lower Range]], REPT("0",LEN('General Info'!$B$42))) &amp; " - " &amp; TEXT(SamplingData[[#This Row],[Upper Range]], REPT("0",LEN('General Info'!$B$42))))</f>
        <v>16820 - 16859</v>
      </c>
      <c r="AF615" s="100">
        <f>SamplingData[[#This Row],[Upper Range]]-SamplingData[[#This Row],[Span]]</f>
        <v>16820.115221019787</v>
      </c>
      <c r="AG615" s="100">
        <f>IF(ISNUMBER('General Info'!$B$42), ((SamplingData[[#This Row],[up/U Selection Probability]]) * 'General Info'!$B$44) - 1, 0)</f>
        <v>39.381198513971903</v>
      </c>
      <c r="AH615" s="100">
        <f>IF(ISNUMBER('General Info'!$B$42), (SamplingData[[#This Row],[Running (cumulative) sum]] * ('General Info'!$B$42 -'General Info'!$B$43 + 1)) + 'General Info'!$B$43 - 1, 0)</f>
        <v>16859.49641953376</v>
      </c>
      <c r="AI615" s="100" t="str">
        <f>IF(ISERROR(MATCH(SamplingData[[#This Row],[Batch by Type (p)]],SelectedPrecincts[Batch Name], 0)), "", INDEX(SelectedPrecincts[Draw], MATCH(SamplingData[[#This Row],[Batch by Type (p)]],SelectedPrecincts[Batch Name], 0)))</f>
        <v/>
      </c>
      <c r="AJ615" s="101">
        <f>IF(COUNTIF(SelectedPrecincts[Batch Name],SamplingData[[#This Row],[Batch by Type (p)]]) &lt;&gt; 0, COUNTIF(SelectedPrecincts[Batch Name],SamplingData[[#This Row],[Batch by Type (p)]]), 0)</f>
        <v>0</v>
      </c>
    </row>
    <row r="616" spans="1:36" ht="15" customHeight="1" x14ac:dyDescent="0.35">
      <c r="A616" s="98" t="s">
        <v>827</v>
      </c>
      <c r="B616" s="98">
        <v>8</v>
      </c>
      <c r="C616" s="98">
        <v>3</v>
      </c>
      <c r="D616" s="93"/>
      <c r="E616" s="93"/>
      <c r="F616" s="93"/>
      <c r="G616" s="97"/>
      <c r="H616" s="97"/>
      <c r="I616" s="93"/>
      <c r="J616" s="93"/>
      <c r="K616" s="93"/>
      <c r="L616" s="93"/>
      <c r="M616" s="93"/>
      <c r="N616" s="98">
        <v>0</v>
      </c>
      <c r="O616" s="98">
        <v>0</v>
      </c>
      <c r="P616" s="99">
        <f>SUM(SamplingData[[#This Row],[Winning Candidate]:[Under Votes]])</f>
        <v>11</v>
      </c>
      <c r="Q616"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616" s="100">
        <f>IF(AND(SamplingData[[#This Row],[Total]]&lt;&gt; 0, NOT(ISBLANK(SamplingData[[#This Row],[Candidate 3]]))),(SamplingData[[#This Row],[Total]]+SamplingData[[#This Row],[Winning Candidate]]-SamplingData[[#This Row],[Candidate 3]])/(SamplingData[[#Totals],[Winning Candidate]]-SamplingData[[#Totals],[Candidate 3]]), 0)</f>
        <v>0</v>
      </c>
      <c r="S616" s="100">
        <f>IF(AND(SamplingData[[#This Row],[Total]]&lt;&gt; 0, NOT(ISBLANK(SamplingData[[#This Row],[Candidate 4]]))),(SamplingData[[#This Row],[Total]]+SamplingData[[#This Row],[Winning Candidate]]-SamplingData[[#This Row],[Candidate 4]])/(SamplingData[[#Totals],[Winning Candidate]]-SamplingData[[#Totals],[Candidate 4]]), 0)</f>
        <v>0</v>
      </c>
      <c r="T616" s="100">
        <f>IF(AND(SamplingData[[#This Row],[Total]]&lt;&gt; 0, NOT(ISBLANK(SamplingData[[#This Row],[Candidate 5]]))),(SamplingData[[#This Row],[Total]]+SamplingData[[#This Row],[Winning Candidate]]-SamplingData[[#This Row],[Candidate 5]])/(SamplingData[[#Totals],[Winning Candidate]]-SamplingData[[#Totals],[Candidate 5]]), 0)</f>
        <v>0</v>
      </c>
      <c r="U616" s="100">
        <f>IF(AND(SamplingData[[#This Row],[Total]]&lt;&gt; 0, NOT(ISBLANK(SamplingData[[#This Row],[Candidate 6]]))),(SamplingData[[#This Row],[Total]]+SamplingData[[#This Row],[Losing Candidate]]-SamplingData[[#This Row],[Candidate 6]])/(SamplingData[[#Totals],[Winning Candidate]]-SamplingData[[#Totals],[Candidate 6]]), 0)</f>
        <v>0</v>
      </c>
      <c r="V616" s="100">
        <f>IF(AND(SamplingData[[#This Row],[Total]]&lt;&gt; 0, NOT(ISBLANK(SamplingData[[#This Row],[Candidate 7]]))),(SamplingData[[#This Row],[Total]]+SamplingData[[#This Row],[Winning Candidate]]-SamplingData[[#This Row],[Candidate 7]])/(SamplingData[[#Totals],[Winning Candidate]]-SamplingData[[#Totals],[Candidate 7]]), 0)</f>
        <v>0</v>
      </c>
      <c r="W616" s="100">
        <f>IF(AND(SamplingData[[#This Row],[Total]]&lt;&gt; 0, NOT(ISBLANK(SamplingData[[#This Row],[Candidate 8]]))),(SamplingData[[#This Row],[Total]]+SamplingData[[#This Row],[Winning Candidate]]-SamplingData[[#This Row],[Candidate 8]])/(SamplingData[[#Totals],[Winning Candidate]]-SamplingData[[#Totals],[Candidate 8]]), 0)</f>
        <v>0</v>
      </c>
      <c r="X6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00">
        <f>MAX(SamplingData[[#This Row],[Error Bound (up) - Max. possible relative overstatement - Losing Candidate]:[Error Bound (up) - Max. possible relative overstatement - Candidate 12]])</f>
        <v>5.0255991456481448E-4</v>
      </c>
      <c r="AC616" s="100">
        <f>IF(SamplingData[[#This Row],[Max Error Bound (up)]] = 0,0,SamplingData[[#This Row],[Max Error Bound (up)]]/SamplingData[[#Totals],[Max Error Bound (up)]])</f>
        <v>2.1536639207451683E-4</v>
      </c>
      <c r="AD616" s="104">
        <f>SUM($AC$5:AC616)</f>
        <v>0.16882033058741211</v>
      </c>
      <c r="AE616" s="100" t="str" cm="1">
        <f t="array" ref="AE616">IF(SamplingData[[#This Row],[up/U Selection Probability]] = 0, "Zero", TEXT(SamplingData[[#This Row],[Lower Range]], REPT("0",LEN('General Info'!$B$42))) &amp; " - " &amp; TEXT(SamplingData[[#This Row],[Upper Range]], REPT("0",LEN('General Info'!$B$42))))</f>
        <v>16860 - 16881</v>
      </c>
      <c r="AF616" s="100">
        <f>SamplingData[[#This Row],[Upper Range]]-SamplingData[[#This Row],[Span]]</f>
        <v>16860.49641953376</v>
      </c>
      <c r="AG616" s="100">
        <f>IF(ISNUMBER('General Info'!$B$42), ((SamplingData[[#This Row],[up/U Selection Probability]]) * 'General Info'!$B$44) - 1, 0)</f>
        <v>20.536639207451682</v>
      </c>
      <c r="AH616" s="100">
        <f>IF(ISNUMBER('General Info'!$B$42), (SamplingData[[#This Row],[Running (cumulative) sum]] * ('General Info'!$B$42 -'General Info'!$B$43 + 1)) + 'General Info'!$B$43 - 1, 0)</f>
        <v>16881.03305874121</v>
      </c>
      <c r="AI616" s="100" t="str">
        <f>IF(ISERROR(MATCH(SamplingData[[#This Row],[Batch by Type (p)]],SelectedPrecincts[Batch Name], 0)), "", INDEX(SelectedPrecincts[Draw], MATCH(SamplingData[[#This Row],[Batch by Type (p)]],SelectedPrecincts[Batch Name], 0)))</f>
        <v/>
      </c>
      <c r="AJ616" s="101">
        <f>IF(COUNTIF(SelectedPrecincts[Batch Name],SamplingData[[#This Row],[Batch by Type (p)]]) &lt;&gt; 0, COUNTIF(SelectedPrecincts[Batch Name],SamplingData[[#This Row],[Batch by Type (p)]]), 0)</f>
        <v>0</v>
      </c>
    </row>
    <row r="617" spans="1:36" ht="15" customHeight="1" x14ac:dyDescent="0.35">
      <c r="A617" s="98" t="s">
        <v>828</v>
      </c>
      <c r="B617" s="98">
        <v>4</v>
      </c>
      <c r="C617" s="98">
        <v>2</v>
      </c>
      <c r="D617" s="93"/>
      <c r="E617" s="93"/>
      <c r="F617" s="93"/>
      <c r="G617" s="97"/>
      <c r="H617" s="97"/>
      <c r="I617" s="93"/>
      <c r="J617" s="93"/>
      <c r="K617" s="93"/>
      <c r="L617" s="93"/>
      <c r="M617" s="93"/>
      <c r="N617" s="98">
        <v>0</v>
      </c>
      <c r="O617" s="98">
        <v>1</v>
      </c>
      <c r="P617" s="99">
        <f>SUM(SamplingData[[#This Row],[Winning Candidate]:[Under Votes]])</f>
        <v>7</v>
      </c>
      <c r="Q617" s="100">
        <f>IF(AND(SamplingData[[#This Row],[Total]]&lt;&gt; 0, NOT(ISBLANK(SamplingData[[#This Row],[Losing Candidate]]))),(SamplingData[[#This Row],[Total]]+SamplingData[[#This Row],[Winning Candidate]]-SamplingData[[#This Row],[Losing Candidate]])/(SamplingData[[#Totals],[Winning Candidate]]-SamplingData[[#Totals],[Losing Candidate]]), 0)</f>
        <v>2.8268995194270818E-4</v>
      </c>
      <c r="R617" s="100">
        <f>IF(AND(SamplingData[[#This Row],[Total]]&lt;&gt; 0, NOT(ISBLANK(SamplingData[[#This Row],[Candidate 3]]))),(SamplingData[[#This Row],[Total]]+SamplingData[[#This Row],[Winning Candidate]]-SamplingData[[#This Row],[Candidate 3]])/(SamplingData[[#Totals],[Winning Candidate]]-SamplingData[[#Totals],[Candidate 3]]), 0)</f>
        <v>0</v>
      </c>
      <c r="S617" s="100">
        <f>IF(AND(SamplingData[[#This Row],[Total]]&lt;&gt; 0, NOT(ISBLANK(SamplingData[[#This Row],[Candidate 4]]))),(SamplingData[[#This Row],[Total]]+SamplingData[[#This Row],[Winning Candidate]]-SamplingData[[#This Row],[Candidate 4]])/(SamplingData[[#Totals],[Winning Candidate]]-SamplingData[[#Totals],[Candidate 4]]), 0)</f>
        <v>0</v>
      </c>
      <c r="T617" s="100">
        <f>IF(AND(SamplingData[[#This Row],[Total]]&lt;&gt; 0, NOT(ISBLANK(SamplingData[[#This Row],[Candidate 5]]))),(SamplingData[[#This Row],[Total]]+SamplingData[[#This Row],[Winning Candidate]]-SamplingData[[#This Row],[Candidate 5]])/(SamplingData[[#Totals],[Winning Candidate]]-SamplingData[[#Totals],[Candidate 5]]), 0)</f>
        <v>0</v>
      </c>
      <c r="U617" s="100">
        <f>IF(AND(SamplingData[[#This Row],[Total]]&lt;&gt; 0, NOT(ISBLANK(SamplingData[[#This Row],[Candidate 6]]))),(SamplingData[[#This Row],[Total]]+SamplingData[[#This Row],[Losing Candidate]]-SamplingData[[#This Row],[Candidate 6]])/(SamplingData[[#Totals],[Winning Candidate]]-SamplingData[[#Totals],[Candidate 6]]), 0)</f>
        <v>0</v>
      </c>
      <c r="V617" s="100">
        <f>IF(AND(SamplingData[[#This Row],[Total]]&lt;&gt; 0, NOT(ISBLANK(SamplingData[[#This Row],[Candidate 7]]))),(SamplingData[[#This Row],[Total]]+SamplingData[[#This Row],[Winning Candidate]]-SamplingData[[#This Row],[Candidate 7]])/(SamplingData[[#Totals],[Winning Candidate]]-SamplingData[[#Totals],[Candidate 7]]), 0)</f>
        <v>0</v>
      </c>
      <c r="W617" s="100">
        <f>IF(AND(SamplingData[[#This Row],[Total]]&lt;&gt; 0, NOT(ISBLANK(SamplingData[[#This Row],[Candidate 8]]))),(SamplingData[[#This Row],[Total]]+SamplingData[[#This Row],[Winning Candidate]]-SamplingData[[#This Row],[Candidate 8]])/(SamplingData[[#Totals],[Winning Candidate]]-SamplingData[[#Totals],[Candidate 8]]), 0)</f>
        <v>0</v>
      </c>
      <c r="X6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00">
        <f>MAX(SamplingData[[#This Row],[Error Bound (up) - Max. possible relative overstatement - Losing Candidate]:[Error Bound (up) - Max. possible relative overstatement - Candidate 12]])</f>
        <v>2.8268995194270818E-4</v>
      </c>
      <c r="AC617" s="100">
        <f>IF(SamplingData[[#This Row],[Max Error Bound (up)]] = 0,0,SamplingData[[#This Row],[Max Error Bound (up)]]/SamplingData[[#Totals],[Max Error Bound (up)]])</f>
        <v>1.2114359554191572E-4</v>
      </c>
      <c r="AD617" s="104">
        <f>SUM($AC$5:AC617)</f>
        <v>0.16894147418295402</v>
      </c>
      <c r="AE617" s="100" t="str" cm="1">
        <f t="array" ref="AE617">IF(SamplingData[[#This Row],[up/U Selection Probability]] = 0, "Zero", TEXT(SamplingData[[#This Row],[Lower Range]], REPT("0",LEN('General Info'!$B$42))) &amp; " - " &amp; TEXT(SamplingData[[#This Row],[Upper Range]], REPT("0",LEN('General Info'!$B$42))))</f>
        <v>16882 - 16893</v>
      </c>
      <c r="AF617" s="100">
        <f>SamplingData[[#This Row],[Upper Range]]-SamplingData[[#This Row],[Span]]</f>
        <v>16882.03305874121</v>
      </c>
      <c r="AG617" s="100">
        <f>IF(ISNUMBER('General Info'!$B$42), ((SamplingData[[#This Row],[up/U Selection Probability]]) * 'General Info'!$B$44) - 1, 0)</f>
        <v>11.114359554191573</v>
      </c>
      <c r="AH617" s="100">
        <f>IF(ISNUMBER('General Info'!$B$42), (SamplingData[[#This Row],[Running (cumulative) sum]] * ('General Info'!$B$42 -'General Info'!$B$43 + 1)) + 'General Info'!$B$43 - 1, 0)</f>
        <v>16893.147418295401</v>
      </c>
      <c r="AI617" s="100" t="str">
        <f>IF(ISERROR(MATCH(SamplingData[[#This Row],[Batch by Type (p)]],SelectedPrecincts[Batch Name], 0)), "", INDEX(SelectedPrecincts[Draw], MATCH(SamplingData[[#This Row],[Batch by Type (p)]],SelectedPrecincts[Batch Name], 0)))</f>
        <v/>
      </c>
      <c r="AJ617" s="101">
        <f>IF(COUNTIF(SelectedPrecincts[Batch Name],SamplingData[[#This Row],[Batch by Type (p)]]) &lt;&gt; 0, COUNTIF(SelectedPrecincts[Batch Name],SamplingData[[#This Row],[Batch by Type (p)]]), 0)</f>
        <v>0</v>
      </c>
    </row>
    <row r="618" spans="1:36" ht="15" customHeight="1" x14ac:dyDescent="0.35">
      <c r="A618" s="98" t="s">
        <v>829</v>
      </c>
      <c r="B618" s="98">
        <v>26</v>
      </c>
      <c r="C618" s="98">
        <v>6</v>
      </c>
      <c r="D618" s="93"/>
      <c r="E618" s="93"/>
      <c r="F618" s="93"/>
      <c r="G618" s="97"/>
      <c r="H618" s="97"/>
      <c r="I618" s="93"/>
      <c r="J618" s="93"/>
      <c r="K618" s="93"/>
      <c r="L618" s="93"/>
      <c r="M618" s="93"/>
      <c r="N618" s="98">
        <v>0</v>
      </c>
      <c r="O618" s="98">
        <v>0</v>
      </c>
      <c r="P618" s="99">
        <f>SUM(SamplingData[[#This Row],[Winning Candidate]:[Under Votes]])</f>
        <v>32</v>
      </c>
      <c r="Q618" s="100">
        <f>IF(AND(SamplingData[[#This Row],[Total]]&lt;&gt; 0, NOT(ISBLANK(SamplingData[[#This Row],[Losing Candidate]]))),(SamplingData[[#This Row],[Total]]+SamplingData[[#This Row],[Winning Candidate]]-SamplingData[[#This Row],[Losing Candidate]])/(SamplingData[[#Totals],[Winning Candidate]]-SamplingData[[#Totals],[Losing Candidate]]), 0)</f>
        <v>1.6333197223356473E-3</v>
      </c>
      <c r="R618" s="100">
        <f>IF(AND(SamplingData[[#This Row],[Total]]&lt;&gt; 0, NOT(ISBLANK(SamplingData[[#This Row],[Candidate 3]]))),(SamplingData[[#This Row],[Total]]+SamplingData[[#This Row],[Winning Candidate]]-SamplingData[[#This Row],[Candidate 3]])/(SamplingData[[#Totals],[Winning Candidate]]-SamplingData[[#Totals],[Candidate 3]]), 0)</f>
        <v>0</v>
      </c>
      <c r="S618" s="100">
        <f>IF(AND(SamplingData[[#This Row],[Total]]&lt;&gt; 0, NOT(ISBLANK(SamplingData[[#This Row],[Candidate 4]]))),(SamplingData[[#This Row],[Total]]+SamplingData[[#This Row],[Winning Candidate]]-SamplingData[[#This Row],[Candidate 4]])/(SamplingData[[#Totals],[Winning Candidate]]-SamplingData[[#Totals],[Candidate 4]]), 0)</f>
        <v>0</v>
      </c>
      <c r="T618" s="100">
        <f>IF(AND(SamplingData[[#This Row],[Total]]&lt;&gt; 0, NOT(ISBLANK(SamplingData[[#This Row],[Candidate 5]]))),(SamplingData[[#This Row],[Total]]+SamplingData[[#This Row],[Winning Candidate]]-SamplingData[[#This Row],[Candidate 5]])/(SamplingData[[#Totals],[Winning Candidate]]-SamplingData[[#Totals],[Candidate 5]]), 0)</f>
        <v>0</v>
      </c>
      <c r="U618" s="100">
        <f>IF(AND(SamplingData[[#This Row],[Total]]&lt;&gt; 0, NOT(ISBLANK(SamplingData[[#This Row],[Candidate 6]]))),(SamplingData[[#This Row],[Total]]+SamplingData[[#This Row],[Losing Candidate]]-SamplingData[[#This Row],[Candidate 6]])/(SamplingData[[#Totals],[Winning Candidate]]-SamplingData[[#Totals],[Candidate 6]]), 0)</f>
        <v>0</v>
      </c>
      <c r="V618" s="100">
        <f>IF(AND(SamplingData[[#This Row],[Total]]&lt;&gt; 0, NOT(ISBLANK(SamplingData[[#This Row],[Candidate 7]]))),(SamplingData[[#This Row],[Total]]+SamplingData[[#This Row],[Winning Candidate]]-SamplingData[[#This Row],[Candidate 7]])/(SamplingData[[#Totals],[Winning Candidate]]-SamplingData[[#Totals],[Candidate 7]]), 0)</f>
        <v>0</v>
      </c>
      <c r="W618" s="100">
        <f>IF(AND(SamplingData[[#This Row],[Total]]&lt;&gt; 0, NOT(ISBLANK(SamplingData[[#This Row],[Candidate 8]]))),(SamplingData[[#This Row],[Total]]+SamplingData[[#This Row],[Winning Candidate]]-SamplingData[[#This Row],[Candidate 8]])/(SamplingData[[#Totals],[Winning Candidate]]-SamplingData[[#Totals],[Candidate 8]]), 0)</f>
        <v>0</v>
      </c>
      <c r="X6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00">
        <f>MAX(SamplingData[[#This Row],[Error Bound (up) - Max. possible relative overstatement - Losing Candidate]:[Error Bound (up) - Max. possible relative overstatement - Candidate 12]])</f>
        <v>1.6333197223356473E-3</v>
      </c>
      <c r="AC618" s="100">
        <f>IF(SamplingData[[#This Row],[Max Error Bound (up)]] = 0,0,SamplingData[[#This Row],[Max Error Bound (up)]]/SamplingData[[#Totals],[Max Error Bound (up)]])</f>
        <v>6.9994077424217983E-4</v>
      </c>
      <c r="AD618" s="104">
        <f>SUM($AC$5:AC618)</f>
        <v>0.1696414149571962</v>
      </c>
      <c r="AE618" s="100" t="str" cm="1">
        <f t="array" ref="AE618">IF(SamplingData[[#This Row],[up/U Selection Probability]] = 0, "Zero", TEXT(SamplingData[[#This Row],[Lower Range]], REPT("0",LEN('General Info'!$B$42))) &amp; " - " &amp; TEXT(SamplingData[[#This Row],[Upper Range]], REPT("0",LEN('General Info'!$B$42))))</f>
        <v>16894 - 16963</v>
      </c>
      <c r="AF618" s="100">
        <f>SamplingData[[#This Row],[Upper Range]]-SamplingData[[#This Row],[Span]]</f>
        <v>16894.147418295404</v>
      </c>
      <c r="AG618" s="100">
        <f>IF(ISNUMBER('General Info'!$B$42), ((SamplingData[[#This Row],[up/U Selection Probability]]) * 'General Info'!$B$44) - 1, 0)</f>
        <v>68.994077424217977</v>
      </c>
      <c r="AH618" s="100">
        <f>IF(ISNUMBER('General Info'!$B$42), (SamplingData[[#This Row],[Running (cumulative) sum]] * ('General Info'!$B$42 -'General Info'!$B$43 + 1)) + 'General Info'!$B$43 - 1, 0)</f>
        <v>16963.141495719621</v>
      </c>
      <c r="AI618" s="100" t="str">
        <f>IF(ISERROR(MATCH(SamplingData[[#This Row],[Batch by Type (p)]],SelectedPrecincts[Batch Name], 0)), "", INDEX(SelectedPrecincts[Draw], MATCH(SamplingData[[#This Row],[Batch by Type (p)]],SelectedPrecincts[Batch Name], 0)))</f>
        <v/>
      </c>
      <c r="AJ618" s="101">
        <f>IF(COUNTIF(SelectedPrecincts[Batch Name],SamplingData[[#This Row],[Batch by Type (p)]]) &lt;&gt; 0, COUNTIF(SelectedPrecincts[Batch Name],SamplingData[[#This Row],[Batch by Type (p)]]), 0)</f>
        <v>0</v>
      </c>
    </row>
    <row r="619" spans="1:36" ht="15" customHeight="1" x14ac:dyDescent="0.35">
      <c r="A619" s="98" t="s">
        <v>830</v>
      </c>
      <c r="B619" s="98">
        <v>6</v>
      </c>
      <c r="C619" s="98">
        <v>1</v>
      </c>
      <c r="D619" s="93"/>
      <c r="E619" s="93"/>
      <c r="F619" s="93"/>
      <c r="G619" s="97"/>
      <c r="H619" s="97"/>
      <c r="I619" s="93"/>
      <c r="J619" s="93"/>
      <c r="K619" s="93"/>
      <c r="L619" s="93"/>
      <c r="M619" s="93"/>
      <c r="N619" s="98">
        <v>0</v>
      </c>
      <c r="O619" s="98">
        <v>0</v>
      </c>
      <c r="P619" s="99">
        <f>SUM(SamplingData[[#This Row],[Winning Candidate]:[Under Votes]])</f>
        <v>7</v>
      </c>
      <c r="Q619"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19" s="100">
        <f>IF(AND(SamplingData[[#This Row],[Total]]&lt;&gt; 0, NOT(ISBLANK(SamplingData[[#This Row],[Candidate 3]]))),(SamplingData[[#This Row],[Total]]+SamplingData[[#This Row],[Winning Candidate]]-SamplingData[[#This Row],[Candidate 3]])/(SamplingData[[#Totals],[Winning Candidate]]-SamplingData[[#Totals],[Candidate 3]]), 0)</f>
        <v>0</v>
      </c>
      <c r="S619" s="100">
        <f>IF(AND(SamplingData[[#This Row],[Total]]&lt;&gt; 0, NOT(ISBLANK(SamplingData[[#This Row],[Candidate 4]]))),(SamplingData[[#This Row],[Total]]+SamplingData[[#This Row],[Winning Candidate]]-SamplingData[[#This Row],[Candidate 4]])/(SamplingData[[#Totals],[Winning Candidate]]-SamplingData[[#Totals],[Candidate 4]]), 0)</f>
        <v>0</v>
      </c>
      <c r="T619" s="100">
        <f>IF(AND(SamplingData[[#This Row],[Total]]&lt;&gt; 0, NOT(ISBLANK(SamplingData[[#This Row],[Candidate 5]]))),(SamplingData[[#This Row],[Total]]+SamplingData[[#This Row],[Winning Candidate]]-SamplingData[[#This Row],[Candidate 5]])/(SamplingData[[#Totals],[Winning Candidate]]-SamplingData[[#Totals],[Candidate 5]]), 0)</f>
        <v>0</v>
      </c>
      <c r="U619" s="100">
        <f>IF(AND(SamplingData[[#This Row],[Total]]&lt;&gt; 0, NOT(ISBLANK(SamplingData[[#This Row],[Candidate 6]]))),(SamplingData[[#This Row],[Total]]+SamplingData[[#This Row],[Losing Candidate]]-SamplingData[[#This Row],[Candidate 6]])/(SamplingData[[#Totals],[Winning Candidate]]-SamplingData[[#Totals],[Candidate 6]]), 0)</f>
        <v>0</v>
      </c>
      <c r="V619" s="100">
        <f>IF(AND(SamplingData[[#This Row],[Total]]&lt;&gt; 0, NOT(ISBLANK(SamplingData[[#This Row],[Candidate 7]]))),(SamplingData[[#This Row],[Total]]+SamplingData[[#This Row],[Winning Candidate]]-SamplingData[[#This Row],[Candidate 7]])/(SamplingData[[#Totals],[Winning Candidate]]-SamplingData[[#Totals],[Candidate 7]]), 0)</f>
        <v>0</v>
      </c>
      <c r="W619" s="100">
        <f>IF(AND(SamplingData[[#This Row],[Total]]&lt;&gt; 0, NOT(ISBLANK(SamplingData[[#This Row],[Candidate 8]]))),(SamplingData[[#This Row],[Total]]+SamplingData[[#This Row],[Winning Candidate]]-SamplingData[[#This Row],[Candidate 8]])/(SamplingData[[#Totals],[Winning Candidate]]-SamplingData[[#Totals],[Candidate 8]]), 0)</f>
        <v>0</v>
      </c>
      <c r="X6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00">
        <f>MAX(SamplingData[[#This Row],[Error Bound (up) - Max. possible relative overstatement - Losing Candidate]:[Error Bound (up) - Max. possible relative overstatement - Candidate 12]])</f>
        <v>3.7691993592361088E-4</v>
      </c>
      <c r="AC619" s="100">
        <f>IF(SamplingData[[#This Row],[Max Error Bound (up)]] = 0,0,SamplingData[[#This Row],[Max Error Bound (up)]]/SamplingData[[#Totals],[Max Error Bound (up)]])</f>
        <v>1.6152479405588763E-4</v>
      </c>
      <c r="AD619" s="104">
        <f>SUM($AC$5:AC619)</f>
        <v>0.1698029397512521</v>
      </c>
      <c r="AE619" s="100" t="str" cm="1">
        <f t="array" ref="AE619">IF(SamplingData[[#This Row],[up/U Selection Probability]] = 0, "Zero", TEXT(SamplingData[[#This Row],[Lower Range]], REPT("0",LEN('General Info'!$B$42))) &amp; " - " &amp; TEXT(SamplingData[[#This Row],[Upper Range]], REPT("0",LEN('General Info'!$B$42))))</f>
        <v>16964 - 16979</v>
      </c>
      <c r="AF619" s="100">
        <f>SamplingData[[#This Row],[Upper Range]]-SamplingData[[#This Row],[Span]]</f>
        <v>16964.141495719621</v>
      </c>
      <c r="AG619" s="100">
        <f>IF(ISNUMBER('General Info'!$B$42), ((SamplingData[[#This Row],[up/U Selection Probability]]) * 'General Info'!$B$44) - 1, 0)</f>
        <v>15.152479405588764</v>
      </c>
      <c r="AH619" s="100">
        <f>IF(ISNUMBER('General Info'!$B$42), (SamplingData[[#This Row],[Running (cumulative) sum]] * ('General Info'!$B$42 -'General Info'!$B$43 + 1)) + 'General Info'!$B$43 - 1, 0)</f>
        <v>16979.293975125209</v>
      </c>
      <c r="AI619" s="100" t="str">
        <f>IF(ISERROR(MATCH(SamplingData[[#This Row],[Batch by Type (p)]],SelectedPrecincts[Batch Name], 0)), "", INDEX(SelectedPrecincts[Draw], MATCH(SamplingData[[#This Row],[Batch by Type (p)]],SelectedPrecincts[Batch Name], 0)))</f>
        <v/>
      </c>
      <c r="AJ619" s="101">
        <f>IF(COUNTIF(SelectedPrecincts[Batch Name],SamplingData[[#This Row],[Batch by Type (p)]]) &lt;&gt; 0, COUNTIF(SelectedPrecincts[Batch Name],SamplingData[[#This Row],[Batch by Type (p)]]), 0)</f>
        <v>0</v>
      </c>
    </row>
    <row r="620" spans="1:36" ht="15" customHeight="1" x14ac:dyDescent="0.35">
      <c r="A620" s="98" t="s">
        <v>831</v>
      </c>
      <c r="B620" s="98">
        <v>0</v>
      </c>
      <c r="C620" s="98">
        <v>3</v>
      </c>
      <c r="D620" s="93"/>
      <c r="E620" s="93"/>
      <c r="F620" s="93"/>
      <c r="G620" s="97"/>
      <c r="H620" s="97"/>
      <c r="I620" s="93"/>
      <c r="J620" s="93"/>
      <c r="K620" s="93"/>
      <c r="L620" s="93"/>
      <c r="M620" s="93"/>
      <c r="N620" s="98">
        <v>0</v>
      </c>
      <c r="O620" s="98">
        <v>1</v>
      </c>
      <c r="P620" s="99">
        <f>SUM(SamplingData[[#This Row],[Winning Candidate]:[Under Votes]])</f>
        <v>4</v>
      </c>
      <c r="Q620" s="100">
        <f>IF(AND(SamplingData[[#This Row],[Total]]&lt;&gt; 0, NOT(ISBLANK(SamplingData[[#This Row],[Losing Candidate]]))),(SamplingData[[#This Row],[Total]]+SamplingData[[#This Row],[Winning Candidate]]-SamplingData[[#This Row],[Losing Candidate]])/(SamplingData[[#Totals],[Winning Candidate]]-SamplingData[[#Totals],[Losing Candidate]]), 0)</f>
        <v>3.1409994660300905E-5</v>
      </c>
      <c r="R620" s="100">
        <f>IF(AND(SamplingData[[#This Row],[Total]]&lt;&gt; 0, NOT(ISBLANK(SamplingData[[#This Row],[Candidate 3]]))),(SamplingData[[#This Row],[Total]]+SamplingData[[#This Row],[Winning Candidate]]-SamplingData[[#This Row],[Candidate 3]])/(SamplingData[[#Totals],[Winning Candidate]]-SamplingData[[#Totals],[Candidate 3]]), 0)</f>
        <v>0</v>
      </c>
      <c r="S620" s="100">
        <f>IF(AND(SamplingData[[#This Row],[Total]]&lt;&gt; 0, NOT(ISBLANK(SamplingData[[#This Row],[Candidate 4]]))),(SamplingData[[#This Row],[Total]]+SamplingData[[#This Row],[Winning Candidate]]-SamplingData[[#This Row],[Candidate 4]])/(SamplingData[[#Totals],[Winning Candidate]]-SamplingData[[#Totals],[Candidate 4]]), 0)</f>
        <v>0</v>
      </c>
      <c r="T620" s="100">
        <f>IF(AND(SamplingData[[#This Row],[Total]]&lt;&gt; 0, NOT(ISBLANK(SamplingData[[#This Row],[Candidate 5]]))),(SamplingData[[#This Row],[Total]]+SamplingData[[#This Row],[Winning Candidate]]-SamplingData[[#This Row],[Candidate 5]])/(SamplingData[[#Totals],[Winning Candidate]]-SamplingData[[#Totals],[Candidate 5]]), 0)</f>
        <v>0</v>
      </c>
      <c r="U620" s="100">
        <f>IF(AND(SamplingData[[#This Row],[Total]]&lt;&gt; 0, NOT(ISBLANK(SamplingData[[#This Row],[Candidate 6]]))),(SamplingData[[#This Row],[Total]]+SamplingData[[#This Row],[Losing Candidate]]-SamplingData[[#This Row],[Candidate 6]])/(SamplingData[[#Totals],[Winning Candidate]]-SamplingData[[#Totals],[Candidate 6]]), 0)</f>
        <v>0</v>
      </c>
      <c r="V620" s="100">
        <f>IF(AND(SamplingData[[#This Row],[Total]]&lt;&gt; 0, NOT(ISBLANK(SamplingData[[#This Row],[Candidate 7]]))),(SamplingData[[#This Row],[Total]]+SamplingData[[#This Row],[Winning Candidate]]-SamplingData[[#This Row],[Candidate 7]])/(SamplingData[[#Totals],[Winning Candidate]]-SamplingData[[#Totals],[Candidate 7]]), 0)</f>
        <v>0</v>
      </c>
      <c r="W620" s="100">
        <f>IF(AND(SamplingData[[#This Row],[Total]]&lt;&gt; 0, NOT(ISBLANK(SamplingData[[#This Row],[Candidate 8]]))),(SamplingData[[#This Row],[Total]]+SamplingData[[#This Row],[Winning Candidate]]-SamplingData[[#This Row],[Candidate 8]])/(SamplingData[[#Totals],[Winning Candidate]]-SamplingData[[#Totals],[Candidate 8]]), 0)</f>
        <v>0</v>
      </c>
      <c r="X6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00">
        <f>MAX(SamplingData[[#This Row],[Error Bound (up) - Max. possible relative overstatement - Losing Candidate]:[Error Bound (up) - Max. possible relative overstatement - Candidate 12]])</f>
        <v>3.1409994660300905E-5</v>
      </c>
      <c r="AC620" s="100">
        <f>IF(SamplingData[[#This Row],[Max Error Bound (up)]] = 0,0,SamplingData[[#This Row],[Max Error Bound (up)]]/SamplingData[[#Totals],[Max Error Bound (up)]])</f>
        <v>1.3460399504657302E-5</v>
      </c>
      <c r="AD620" s="104">
        <f>SUM($AC$5:AC620)</f>
        <v>0.16981640015075675</v>
      </c>
      <c r="AE620" s="100" t="str" cm="1">
        <f t="array" ref="AE620">IF(SamplingData[[#This Row],[up/U Selection Probability]] = 0, "Zero", TEXT(SamplingData[[#This Row],[Lower Range]], REPT("0",LEN('General Info'!$B$42))) &amp; " - " &amp; TEXT(SamplingData[[#This Row],[Upper Range]], REPT("0",LEN('General Info'!$B$42))))</f>
        <v>16980 - 16981</v>
      </c>
      <c r="AF620" s="100">
        <f>SamplingData[[#This Row],[Upper Range]]-SamplingData[[#This Row],[Span]]</f>
        <v>16980.293975125209</v>
      </c>
      <c r="AG620" s="100">
        <f>IF(ISNUMBER('General Info'!$B$42), ((SamplingData[[#This Row],[up/U Selection Probability]]) * 'General Info'!$B$44) - 1, 0)</f>
        <v>0.34603995046573011</v>
      </c>
      <c r="AH620" s="100">
        <f>IF(ISNUMBER('General Info'!$B$42), (SamplingData[[#This Row],[Running (cumulative) sum]] * ('General Info'!$B$42 -'General Info'!$B$43 + 1)) + 'General Info'!$B$43 - 1, 0)</f>
        <v>16980.640015075674</v>
      </c>
      <c r="AI620" s="100" t="str">
        <f>IF(ISERROR(MATCH(SamplingData[[#This Row],[Batch by Type (p)]],SelectedPrecincts[Batch Name], 0)), "", INDEX(SelectedPrecincts[Draw], MATCH(SamplingData[[#This Row],[Batch by Type (p)]],SelectedPrecincts[Batch Name], 0)))</f>
        <v/>
      </c>
      <c r="AJ620" s="101">
        <f>IF(COUNTIF(SelectedPrecincts[Batch Name],SamplingData[[#This Row],[Batch by Type (p)]]) &lt;&gt; 0, COUNTIF(SelectedPrecincts[Batch Name],SamplingData[[#This Row],[Batch by Type (p)]]), 0)</f>
        <v>0</v>
      </c>
    </row>
    <row r="621" spans="1:36" ht="15" customHeight="1" x14ac:dyDescent="0.35">
      <c r="A621" s="98" t="s">
        <v>832</v>
      </c>
      <c r="B621" s="98">
        <v>0</v>
      </c>
      <c r="C621" s="98">
        <v>0</v>
      </c>
      <c r="D621" s="93"/>
      <c r="E621" s="93"/>
      <c r="F621" s="93"/>
      <c r="G621" s="97"/>
      <c r="H621" s="97"/>
      <c r="I621" s="93"/>
      <c r="J621" s="93"/>
      <c r="K621" s="93"/>
      <c r="L621" s="93"/>
      <c r="M621" s="93"/>
      <c r="N621" s="98">
        <v>0</v>
      </c>
      <c r="O621" s="98">
        <v>0</v>
      </c>
      <c r="P621" s="99">
        <f>SUM(SamplingData[[#This Row],[Winning Candidate]:[Under Votes]])</f>
        <v>0</v>
      </c>
      <c r="Q621" s="100">
        <f>IF(AND(SamplingData[[#This Row],[Total]]&lt;&gt; 0, NOT(ISBLANK(SamplingData[[#This Row],[Losing Candidate]]))),(SamplingData[[#This Row],[Total]]+SamplingData[[#This Row],[Winning Candidate]]-SamplingData[[#This Row],[Losing Candidate]])/(SamplingData[[#Totals],[Winning Candidate]]-SamplingData[[#Totals],[Losing Candidate]]), 0)</f>
        <v>0</v>
      </c>
      <c r="R621" s="100">
        <f>IF(AND(SamplingData[[#This Row],[Total]]&lt;&gt; 0, NOT(ISBLANK(SamplingData[[#This Row],[Candidate 3]]))),(SamplingData[[#This Row],[Total]]+SamplingData[[#This Row],[Winning Candidate]]-SamplingData[[#This Row],[Candidate 3]])/(SamplingData[[#Totals],[Winning Candidate]]-SamplingData[[#Totals],[Candidate 3]]), 0)</f>
        <v>0</v>
      </c>
      <c r="S621" s="100">
        <f>IF(AND(SamplingData[[#This Row],[Total]]&lt;&gt; 0, NOT(ISBLANK(SamplingData[[#This Row],[Candidate 4]]))),(SamplingData[[#This Row],[Total]]+SamplingData[[#This Row],[Winning Candidate]]-SamplingData[[#This Row],[Candidate 4]])/(SamplingData[[#Totals],[Winning Candidate]]-SamplingData[[#Totals],[Candidate 4]]), 0)</f>
        <v>0</v>
      </c>
      <c r="T621" s="100">
        <f>IF(AND(SamplingData[[#This Row],[Total]]&lt;&gt; 0, NOT(ISBLANK(SamplingData[[#This Row],[Candidate 5]]))),(SamplingData[[#This Row],[Total]]+SamplingData[[#This Row],[Winning Candidate]]-SamplingData[[#This Row],[Candidate 5]])/(SamplingData[[#Totals],[Winning Candidate]]-SamplingData[[#Totals],[Candidate 5]]), 0)</f>
        <v>0</v>
      </c>
      <c r="U621" s="100">
        <f>IF(AND(SamplingData[[#This Row],[Total]]&lt;&gt; 0, NOT(ISBLANK(SamplingData[[#This Row],[Candidate 6]]))),(SamplingData[[#This Row],[Total]]+SamplingData[[#This Row],[Losing Candidate]]-SamplingData[[#This Row],[Candidate 6]])/(SamplingData[[#Totals],[Winning Candidate]]-SamplingData[[#Totals],[Candidate 6]]), 0)</f>
        <v>0</v>
      </c>
      <c r="V621" s="100">
        <f>IF(AND(SamplingData[[#This Row],[Total]]&lt;&gt; 0, NOT(ISBLANK(SamplingData[[#This Row],[Candidate 7]]))),(SamplingData[[#This Row],[Total]]+SamplingData[[#This Row],[Winning Candidate]]-SamplingData[[#This Row],[Candidate 7]])/(SamplingData[[#Totals],[Winning Candidate]]-SamplingData[[#Totals],[Candidate 7]]), 0)</f>
        <v>0</v>
      </c>
      <c r="W621" s="100">
        <f>IF(AND(SamplingData[[#This Row],[Total]]&lt;&gt; 0, NOT(ISBLANK(SamplingData[[#This Row],[Candidate 8]]))),(SamplingData[[#This Row],[Total]]+SamplingData[[#This Row],[Winning Candidate]]-SamplingData[[#This Row],[Candidate 8]])/(SamplingData[[#Totals],[Winning Candidate]]-SamplingData[[#Totals],[Candidate 8]]), 0)</f>
        <v>0</v>
      </c>
      <c r="X6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00">
        <f>MAX(SamplingData[[#This Row],[Error Bound (up) - Max. possible relative overstatement - Losing Candidate]:[Error Bound (up) - Max. possible relative overstatement - Candidate 12]])</f>
        <v>0</v>
      </c>
      <c r="AC621" s="100">
        <f>IF(SamplingData[[#This Row],[Max Error Bound (up)]] = 0,0,SamplingData[[#This Row],[Max Error Bound (up)]]/SamplingData[[#Totals],[Max Error Bound (up)]])</f>
        <v>0</v>
      </c>
      <c r="AD621" s="104">
        <f>SUM($AC$5:AC621)</f>
        <v>0.16981640015075675</v>
      </c>
      <c r="AE621" s="100" t="str" cm="1">
        <f t="array" ref="AE621">IF(SamplingData[[#This Row],[up/U Selection Probability]] = 0, "Zero", TEXT(SamplingData[[#This Row],[Lower Range]], REPT("0",LEN('General Info'!$B$42))) &amp; " - " &amp; TEXT(SamplingData[[#This Row],[Upper Range]], REPT("0",LEN('General Info'!$B$42))))</f>
        <v>Zero</v>
      </c>
      <c r="AF621" s="100">
        <f>SamplingData[[#This Row],[Upper Range]]-SamplingData[[#This Row],[Span]]</f>
        <v>16981.640015075674</v>
      </c>
      <c r="AG621" s="100">
        <f>IF(ISNUMBER('General Info'!$B$42), ((SamplingData[[#This Row],[up/U Selection Probability]]) * 'General Info'!$B$44) - 1, 0)</f>
        <v>-1</v>
      </c>
      <c r="AH621" s="100">
        <f>IF(ISNUMBER('General Info'!$B$42), (SamplingData[[#This Row],[Running (cumulative) sum]] * ('General Info'!$B$42 -'General Info'!$B$43 + 1)) + 'General Info'!$B$43 - 1, 0)</f>
        <v>16980.640015075674</v>
      </c>
      <c r="AI621" s="100" t="str">
        <f>IF(ISERROR(MATCH(SamplingData[[#This Row],[Batch by Type (p)]],SelectedPrecincts[Batch Name], 0)), "", INDEX(SelectedPrecincts[Draw], MATCH(SamplingData[[#This Row],[Batch by Type (p)]],SelectedPrecincts[Batch Name], 0)))</f>
        <v/>
      </c>
      <c r="AJ621" s="101">
        <f>IF(COUNTIF(SelectedPrecincts[Batch Name],SamplingData[[#This Row],[Batch by Type (p)]]) &lt;&gt; 0, COUNTIF(SelectedPrecincts[Batch Name],SamplingData[[#This Row],[Batch by Type (p)]]), 0)</f>
        <v>0</v>
      </c>
    </row>
    <row r="622" spans="1:36" ht="15" customHeight="1" x14ac:dyDescent="0.35">
      <c r="A622" s="98" t="s">
        <v>833</v>
      </c>
      <c r="B622" s="98">
        <v>3</v>
      </c>
      <c r="C622" s="98">
        <v>0</v>
      </c>
      <c r="D622" s="93"/>
      <c r="E622" s="93"/>
      <c r="F622" s="93"/>
      <c r="G622" s="97"/>
      <c r="H622" s="97"/>
      <c r="I622" s="93"/>
      <c r="J622" s="93"/>
      <c r="K622" s="93"/>
      <c r="L622" s="93"/>
      <c r="M622" s="93"/>
      <c r="N622" s="98">
        <v>0</v>
      </c>
      <c r="O622" s="98">
        <v>0</v>
      </c>
      <c r="P622" s="99">
        <f>SUM(SamplingData[[#This Row],[Winning Candidate]:[Under Votes]])</f>
        <v>3</v>
      </c>
      <c r="Q622"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622" s="100">
        <f>IF(AND(SamplingData[[#This Row],[Total]]&lt;&gt; 0, NOT(ISBLANK(SamplingData[[#This Row],[Candidate 3]]))),(SamplingData[[#This Row],[Total]]+SamplingData[[#This Row],[Winning Candidate]]-SamplingData[[#This Row],[Candidate 3]])/(SamplingData[[#Totals],[Winning Candidate]]-SamplingData[[#Totals],[Candidate 3]]), 0)</f>
        <v>0</v>
      </c>
      <c r="S622" s="100">
        <f>IF(AND(SamplingData[[#This Row],[Total]]&lt;&gt; 0, NOT(ISBLANK(SamplingData[[#This Row],[Candidate 4]]))),(SamplingData[[#This Row],[Total]]+SamplingData[[#This Row],[Winning Candidate]]-SamplingData[[#This Row],[Candidate 4]])/(SamplingData[[#Totals],[Winning Candidate]]-SamplingData[[#Totals],[Candidate 4]]), 0)</f>
        <v>0</v>
      </c>
      <c r="T622" s="100">
        <f>IF(AND(SamplingData[[#This Row],[Total]]&lt;&gt; 0, NOT(ISBLANK(SamplingData[[#This Row],[Candidate 5]]))),(SamplingData[[#This Row],[Total]]+SamplingData[[#This Row],[Winning Candidate]]-SamplingData[[#This Row],[Candidate 5]])/(SamplingData[[#Totals],[Winning Candidate]]-SamplingData[[#Totals],[Candidate 5]]), 0)</f>
        <v>0</v>
      </c>
      <c r="U622" s="100">
        <f>IF(AND(SamplingData[[#This Row],[Total]]&lt;&gt; 0, NOT(ISBLANK(SamplingData[[#This Row],[Candidate 6]]))),(SamplingData[[#This Row],[Total]]+SamplingData[[#This Row],[Losing Candidate]]-SamplingData[[#This Row],[Candidate 6]])/(SamplingData[[#Totals],[Winning Candidate]]-SamplingData[[#Totals],[Candidate 6]]), 0)</f>
        <v>0</v>
      </c>
      <c r="V622" s="100">
        <f>IF(AND(SamplingData[[#This Row],[Total]]&lt;&gt; 0, NOT(ISBLANK(SamplingData[[#This Row],[Candidate 7]]))),(SamplingData[[#This Row],[Total]]+SamplingData[[#This Row],[Winning Candidate]]-SamplingData[[#This Row],[Candidate 7]])/(SamplingData[[#Totals],[Winning Candidate]]-SamplingData[[#Totals],[Candidate 7]]), 0)</f>
        <v>0</v>
      </c>
      <c r="W622" s="100">
        <f>IF(AND(SamplingData[[#This Row],[Total]]&lt;&gt; 0, NOT(ISBLANK(SamplingData[[#This Row],[Candidate 8]]))),(SamplingData[[#This Row],[Total]]+SamplingData[[#This Row],[Winning Candidate]]-SamplingData[[#This Row],[Candidate 8]])/(SamplingData[[#Totals],[Winning Candidate]]-SamplingData[[#Totals],[Candidate 8]]), 0)</f>
        <v>0</v>
      </c>
      <c r="X6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00">
        <f>MAX(SamplingData[[#This Row],[Error Bound (up) - Max. possible relative overstatement - Losing Candidate]:[Error Bound (up) - Max. possible relative overstatement - Candidate 12]])</f>
        <v>1.8845996796180544E-4</v>
      </c>
      <c r="AC622" s="100">
        <f>IF(SamplingData[[#This Row],[Max Error Bound (up)]] = 0,0,SamplingData[[#This Row],[Max Error Bound (up)]]/SamplingData[[#Totals],[Max Error Bound (up)]])</f>
        <v>8.0762397027943816E-5</v>
      </c>
      <c r="AD622" s="104">
        <f>SUM($AC$5:AC622)</f>
        <v>0.1698971625477847</v>
      </c>
      <c r="AE622" s="100" t="str" cm="1">
        <f t="array" ref="AE622">IF(SamplingData[[#This Row],[up/U Selection Probability]] = 0, "Zero", TEXT(SamplingData[[#This Row],[Lower Range]], REPT("0",LEN('General Info'!$B$42))) &amp; " - " &amp; TEXT(SamplingData[[#This Row],[Upper Range]], REPT("0",LEN('General Info'!$B$42))))</f>
        <v>16982 - 16989</v>
      </c>
      <c r="AF622" s="100">
        <f>SamplingData[[#This Row],[Upper Range]]-SamplingData[[#This Row],[Span]]</f>
        <v>16981.640015075674</v>
      </c>
      <c r="AG622" s="100">
        <f>IF(ISNUMBER('General Info'!$B$42), ((SamplingData[[#This Row],[up/U Selection Probability]]) * 'General Info'!$B$44) - 1, 0)</f>
        <v>7.076239702794382</v>
      </c>
      <c r="AH622" s="100">
        <f>IF(ISNUMBER('General Info'!$B$42), (SamplingData[[#This Row],[Running (cumulative) sum]] * ('General Info'!$B$42 -'General Info'!$B$43 + 1)) + 'General Info'!$B$43 - 1, 0)</f>
        <v>16988.716254778468</v>
      </c>
      <c r="AI622" s="100" t="str">
        <f>IF(ISERROR(MATCH(SamplingData[[#This Row],[Batch by Type (p)]],SelectedPrecincts[Batch Name], 0)), "", INDEX(SelectedPrecincts[Draw], MATCH(SamplingData[[#This Row],[Batch by Type (p)]],SelectedPrecincts[Batch Name], 0)))</f>
        <v/>
      </c>
      <c r="AJ622" s="101">
        <f>IF(COUNTIF(SelectedPrecincts[Batch Name],SamplingData[[#This Row],[Batch by Type (p)]]) &lt;&gt; 0, COUNTIF(SelectedPrecincts[Batch Name],SamplingData[[#This Row],[Batch by Type (p)]]), 0)</f>
        <v>0</v>
      </c>
    </row>
    <row r="623" spans="1:36" ht="15" customHeight="1" x14ac:dyDescent="0.35">
      <c r="A623" s="98" t="s">
        <v>834</v>
      </c>
      <c r="B623" s="98">
        <v>1</v>
      </c>
      <c r="C623" s="98">
        <v>0</v>
      </c>
      <c r="D623" s="93"/>
      <c r="E623" s="93"/>
      <c r="F623" s="93"/>
      <c r="G623" s="97"/>
      <c r="H623" s="97"/>
      <c r="I623" s="93"/>
      <c r="J623" s="93"/>
      <c r="K623" s="93"/>
      <c r="L623" s="93"/>
      <c r="M623" s="93"/>
      <c r="N623" s="98">
        <v>0</v>
      </c>
      <c r="O623" s="98">
        <v>2</v>
      </c>
      <c r="P623" s="99">
        <f>SUM(SamplingData[[#This Row],[Winning Candidate]:[Under Votes]])</f>
        <v>3</v>
      </c>
      <c r="Q62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23" s="100">
        <f>IF(AND(SamplingData[[#This Row],[Total]]&lt;&gt; 0, NOT(ISBLANK(SamplingData[[#This Row],[Candidate 3]]))),(SamplingData[[#This Row],[Total]]+SamplingData[[#This Row],[Winning Candidate]]-SamplingData[[#This Row],[Candidate 3]])/(SamplingData[[#Totals],[Winning Candidate]]-SamplingData[[#Totals],[Candidate 3]]), 0)</f>
        <v>0</v>
      </c>
      <c r="S623" s="100">
        <f>IF(AND(SamplingData[[#This Row],[Total]]&lt;&gt; 0, NOT(ISBLANK(SamplingData[[#This Row],[Candidate 4]]))),(SamplingData[[#This Row],[Total]]+SamplingData[[#This Row],[Winning Candidate]]-SamplingData[[#This Row],[Candidate 4]])/(SamplingData[[#Totals],[Winning Candidate]]-SamplingData[[#Totals],[Candidate 4]]), 0)</f>
        <v>0</v>
      </c>
      <c r="T623" s="100">
        <f>IF(AND(SamplingData[[#This Row],[Total]]&lt;&gt; 0, NOT(ISBLANK(SamplingData[[#This Row],[Candidate 5]]))),(SamplingData[[#This Row],[Total]]+SamplingData[[#This Row],[Winning Candidate]]-SamplingData[[#This Row],[Candidate 5]])/(SamplingData[[#Totals],[Winning Candidate]]-SamplingData[[#Totals],[Candidate 5]]), 0)</f>
        <v>0</v>
      </c>
      <c r="U623" s="100">
        <f>IF(AND(SamplingData[[#This Row],[Total]]&lt;&gt; 0, NOT(ISBLANK(SamplingData[[#This Row],[Candidate 6]]))),(SamplingData[[#This Row],[Total]]+SamplingData[[#This Row],[Losing Candidate]]-SamplingData[[#This Row],[Candidate 6]])/(SamplingData[[#Totals],[Winning Candidate]]-SamplingData[[#Totals],[Candidate 6]]), 0)</f>
        <v>0</v>
      </c>
      <c r="V623" s="100">
        <f>IF(AND(SamplingData[[#This Row],[Total]]&lt;&gt; 0, NOT(ISBLANK(SamplingData[[#This Row],[Candidate 7]]))),(SamplingData[[#This Row],[Total]]+SamplingData[[#This Row],[Winning Candidate]]-SamplingData[[#This Row],[Candidate 7]])/(SamplingData[[#Totals],[Winning Candidate]]-SamplingData[[#Totals],[Candidate 7]]), 0)</f>
        <v>0</v>
      </c>
      <c r="W623" s="100">
        <f>IF(AND(SamplingData[[#This Row],[Total]]&lt;&gt; 0, NOT(ISBLANK(SamplingData[[#This Row],[Candidate 8]]))),(SamplingData[[#This Row],[Total]]+SamplingData[[#This Row],[Winning Candidate]]-SamplingData[[#This Row],[Candidate 8]])/(SamplingData[[#Totals],[Winning Candidate]]-SamplingData[[#Totals],[Candidate 8]]), 0)</f>
        <v>0</v>
      </c>
      <c r="X6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00">
        <f>MAX(SamplingData[[#This Row],[Error Bound (up) - Max. possible relative overstatement - Losing Candidate]:[Error Bound (up) - Max. possible relative overstatement - Candidate 12]])</f>
        <v>1.2563997864120362E-4</v>
      </c>
      <c r="AC623" s="100">
        <f>IF(SamplingData[[#This Row],[Max Error Bound (up)]] = 0,0,SamplingData[[#This Row],[Max Error Bound (up)]]/SamplingData[[#Totals],[Max Error Bound (up)]])</f>
        <v>5.3841598018629206E-5</v>
      </c>
      <c r="AD623" s="104">
        <f>SUM($AC$5:AC623)</f>
        <v>0.16995100414580333</v>
      </c>
      <c r="AE623" s="100" t="str" cm="1">
        <f t="array" ref="AE623">IF(SamplingData[[#This Row],[up/U Selection Probability]] = 0, "Zero", TEXT(SamplingData[[#This Row],[Lower Range]], REPT("0",LEN('General Info'!$B$42))) &amp; " - " &amp; TEXT(SamplingData[[#This Row],[Upper Range]], REPT("0",LEN('General Info'!$B$42))))</f>
        <v>16990 - 16994</v>
      </c>
      <c r="AF623" s="100">
        <f>SamplingData[[#This Row],[Upper Range]]-SamplingData[[#This Row],[Span]]</f>
        <v>16989.716254778472</v>
      </c>
      <c r="AG623" s="100">
        <f>IF(ISNUMBER('General Info'!$B$42), ((SamplingData[[#This Row],[up/U Selection Probability]]) * 'General Info'!$B$44) - 1, 0)</f>
        <v>4.3841598018629204</v>
      </c>
      <c r="AH623" s="100">
        <f>IF(ISNUMBER('General Info'!$B$42), (SamplingData[[#This Row],[Running (cumulative) sum]] * ('General Info'!$B$42 -'General Info'!$B$43 + 1)) + 'General Info'!$B$43 - 1, 0)</f>
        <v>16994.100414580334</v>
      </c>
      <c r="AI623" s="100" t="str">
        <f>IF(ISERROR(MATCH(SamplingData[[#This Row],[Batch by Type (p)]],SelectedPrecincts[Batch Name], 0)), "", INDEX(SelectedPrecincts[Draw], MATCH(SamplingData[[#This Row],[Batch by Type (p)]],SelectedPrecincts[Batch Name], 0)))</f>
        <v/>
      </c>
      <c r="AJ623" s="101">
        <f>IF(COUNTIF(SelectedPrecincts[Batch Name],SamplingData[[#This Row],[Batch by Type (p)]]) &lt;&gt; 0, COUNTIF(SelectedPrecincts[Batch Name],SamplingData[[#This Row],[Batch by Type (p)]]), 0)</f>
        <v>0</v>
      </c>
    </row>
    <row r="624" spans="1:36" ht="15" customHeight="1" x14ac:dyDescent="0.35">
      <c r="A624" s="98" t="s">
        <v>835</v>
      </c>
      <c r="B624" s="98">
        <v>1</v>
      </c>
      <c r="C624" s="98">
        <v>1</v>
      </c>
      <c r="D624" s="93"/>
      <c r="E624" s="93"/>
      <c r="F624" s="93"/>
      <c r="G624" s="97"/>
      <c r="H624" s="97"/>
      <c r="I624" s="93"/>
      <c r="J624" s="93"/>
      <c r="K624" s="93"/>
      <c r="L624" s="93"/>
      <c r="M624" s="93"/>
      <c r="N624" s="98">
        <v>0</v>
      </c>
      <c r="O624" s="98">
        <v>0</v>
      </c>
      <c r="P624" s="99">
        <f>SUM(SamplingData[[#This Row],[Winning Candidate]:[Under Votes]])</f>
        <v>2</v>
      </c>
      <c r="Q624"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624" s="100">
        <f>IF(AND(SamplingData[[#This Row],[Total]]&lt;&gt; 0, NOT(ISBLANK(SamplingData[[#This Row],[Candidate 3]]))),(SamplingData[[#This Row],[Total]]+SamplingData[[#This Row],[Winning Candidate]]-SamplingData[[#This Row],[Candidate 3]])/(SamplingData[[#Totals],[Winning Candidate]]-SamplingData[[#Totals],[Candidate 3]]), 0)</f>
        <v>0</v>
      </c>
      <c r="S624" s="100">
        <f>IF(AND(SamplingData[[#This Row],[Total]]&lt;&gt; 0, NOT(ISBLANK(SamplingData[[#This Row],[Candidate 4]]))),(SamplingData[[#This Row],[Total]]+SamplingData[[#This Row],[Winning Candidate]]-SamplingData[[#This Row],[Candidate 4]])/(SamplingData[[#Totals],[Winning Candidate]]-SamplingData[[#Totals],[Candidate 4]]), 0)</f>
        <v>0</v>
      </c>
      <c r="T624" s="100">
        <f>IF(AND(SamplingData[[#This Row],[Total]]&lt;&gt; 0, NOT(ISBLANK(SamplingData[[#This Row],[Candidate 5]]))),(SamplingData[[#This Row],[Total]]+SamplingData[[#This Row],[Winning Candidate]]-SamplingData[[#This Row],[Candidate 5]])/(SamplingData[[#Totals],[Winning Candidate]]-SamplingData[[#Totals],[Candidate 5]]), 0)</f>
        <v>0</v>
      </c>
      <c r="U624" s="100">
        <f>IF(AND(SamplingData[[#This Row],[Total]]&lt;&gt; 0, NOT(ISBLANK(SamplingData[[#This Row],[Candidate 6]]))),(SamplingData[[#This Row],[Total]]+SamplingData[[#This Row],[Losing Candidate]]-SamplingData[[#This Row],[Candidate 6]])/(SamplingData[[#Totals],[Winning Candidate]]-SamplingData[[#Totals],[Candidate 6]]), 0)</f>
        <v>0</v>
      </c>
      <c r="V624" s="100">
        <f>IF(AND(SamplingData[[#This Row],[Total]]&lt;&gt; 0, NOT(ISBLANK(SamplingData[[#This Row],[Candidate 7]]))),(SamplingData[[#This Row],[Total]]+SamplingData[[#This Row],[Winning Candidate]]-SamplingData[[#This Row],[Candidate 7]])/(SamplingData[[#Totals],[Winning Candidate]]-SamplingData[[#Totals],[Candidate 7]]), 0)</f>
        <v>0</v>
      </c>
      <c r="W624" s="100">
        <f>IF(AND(SamplingData[[#This Row],[Total]]&lt;&gt; 0, NOT(ISBLANK(SamplingData[[#This Row],[Candidate 8]]))),(SamplingData[[#This Row],[Total]]+SamplingData[[#This Row],[Winning Candidate]]-SamplingData[[#This Row],[Candidate 8]])/(SamplingData[[#Totals],[Winning Candidate]]-SamplingData[[#Totals],[Candidate 8]]), 0)</f>
        <v>0</v>
      </c>
      <c r="X6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00">
        <f>MAX(SamplingData[[#This Row],[Error Bound (up) - Max. possible relative overstatement - Losing Candidate]:[Error Bound (up) - Max. possible relative overstatement - Candidate 12]])</f>
        <v>6.2819989320601809E-5</v>
      </c>
      <c r="AC624" s="100">
        <f>IF(SamplingData[[#This Row],[Max Error Bound (up)]] = 0,0,SamplingData[[#This Row],[Max Error Bound (up)]]/SamplingData[[#Totals],[Max Error Bound (up)]])</f>
        <v>2.6920799009314603E-5</v>
      </c>
      <c r="AD624" s="104">
        <f>SUM($AC$5:AC624)</f>
        <v>0.16997792494481265</v>
      </c>
      <c r="AE624" s="100" t="str" cm="1">
        <f t="array" ref="AE624">IF(SamplingData[[#This Row],[up/U Selection Probability]] = 0, "Zero", TEXT(SamplingData[[#This Row],[Lower Range]], REPT("0",LEN('General Info'!$B$42))) &amp; " - " &amp; TEXT(SamplingData[[#This Row],[Upper Range]], REPT("0",LEN('General Info'!$B$42))))</f>
        <v>16995 - 16997</v>
      </c>
      <c r="AF624" s="100">
        <f>SamplingData[[#This Row],[Upper Range]]-SamplingData[[#This Row],[Span]]</f>
        <v>16995.100414580334</v>
      </c>
      <c r="AG624" s="100">
        <f>IF(ISNUMBER('General Info'!$B$42), ((SamplingData[[#This Row],[up/U Selection Probability]]) * 'General Info'!$B$44) - 1, 0)</f>
        <v>1.6920799009314602</v>
      </c>
      <c r="AH624" s="100">
        <f>IF(ISNUMBER('General Info'!$B$42), (SamplingData[[#This Row],[Running (cumulative) sum]] * ('General Info'!$B$42 -'General Info'!$B$43 + 1)) + 'General Info'!$B$43 - 1, 0)</f>
        <v>16996.792494481266</v>
      </c>
      <c r="AI624" s="100" t="str">
        <f>IF(ISERROR(MATCH(SamplingData[[#This Row],[Batch by Type (p)]],SelectedPrecincts[Batch Name], 0)), "", INDEX(SelectedPrecincts[Draw], MATCH(SamplingData[[#This Row],[Batch by Type (p)]],SelectedPrecincts[Batch Name], 0)))</f>
        <v/>
      </c>
      <c r="AJ624" s="101">
        <f>IF(COUNTIF(SelectedPrecincts[Batch Name],SamplingData[[#This Row],[Batch by Type (p)]]) &lt;&gt; 0, COUNTIF(SelectedPrecincts[Batch Name],SamplingData[[#This Row],[Batch by Type (p)]]), 0)</f>
        <v>0</v>
      </c>
    </row>
    <row r="625" spans="1:36" ht="15" customHeight="1" x14ac:dyDescent="0.35">
      <c r="A625" s="98" t="s">
        <v>836</v>
      </c>
      <c r="B625" s="98">
        <v>3</v>
      </c>
      <c r="C625" s="98">
        <v>0</v>
      </c>
      <c r="D625" s="93"/>
      <c r="E625" s="93"/>
      <c r="F625" s="93"/>
      <c r="G625" s="97"/>
      <c r="H625" s="97"/>
      <c r="I625" s="93"/>
      <c r="J625" s="93"/>
      <c r="K625" s="93"/>
      <c r="L625" s="93"/>
      <c r="M625" s="93"/>
      <c r="N625" s="98">
        <v>0</v>
      </c>
      <c r="O625" s="98">
        <v>1</v>
      </c>
      <c r="P625" s="99">
        <f>SUM(SamplingData[[#This Row],[Winning Candidate]:[Under Votes]])</f>
        <v>4</v>
      </c>
      <c r="Q625" s="100">
        <f>IF(AND(SamplingData[[#This Row],[Total]]&lt;&gt; 0, NOT(ISBLANK(SamplingData[[#This Row],[Losing Candidate]]))),(SamplingData[[#This Row],[Total]]+SamplingData[[#This Row],[Winning Candidate]]-SamplingData[[#This Row],[Losing Candidate]])/(SamplingData[[#Totals],[Winning Candidate]]-SamplingData[[#Totals],[Losing Candidate]]), 0)</f>
        <v>2.1986996262210635E-4</v>
      </c>
      <c r="R625" s="100">
        <f>IF(AND(SamplingData[[#This Row],[Total]]&lt;&gt; 0, NOT(ISBLANK(SamplingData[[#This Row],[Candidate 3]]))),(SamplingData[[#This Row],[Total]]+SamplingData[[#This Row],[Winning Candidate]]-SamplingData[[#This Row],[Candidate 3]])/(SamplingData[[#Totals],[Winning Candidate]]-SamplingData[[#Totals],[Candidate 3]]), 0)</f>
        <v>0</v>
      </c>
      <c r="S625" s="100">
        <f>IF(AND(SamplingData[[#This Row],[Total]]&lt;&gt; 0, NOT(ISBLANK(SamplingData[[#This Row],[Candidate 4]]))),(SamplingData[[#This Row],[Total]]+SamplingData[[#This Row],[Winning Candidate]]-SamplingData[[#This Row],[Candidate 4]])/(SamplingData[[#Totals],[Winning Candidate]]-SamplingData[[#Totals],[Candidate 4]]), 0)</f>
        <v>0</v>
      </c>
      <c r="T625" s="100">
        <f>IF(AND(SamplingData[[#This Row],[Total]]&lt;&gt; 0, NOT(ISBLANK(SamplingData[[#This Row],[Candidate 5]]))),(SamplingData[[#This Row],[Total]]+SamplingData[[#This Row],[Winning Candidate]]-SamplingData[[#This Row],[Candidate 5]])/(SamplingData[[#Totals],[Winning Candidate]]-SamplingData[[#Totals],[Candidate 5]]), 0)</f>
        <v>0</v>
      </c>
      <c r="U625" s="100">
        <f>IF(AND(SamplingData[[#This Row],[Total]]&lt;&gt; 0, NOT(ISBLANK(SamplingData[[#This Row],[Candidate 6]]))),(SamplingData[[#This Row],[Total]]+SamplingData[[#This Row],[Losing Candidate]]-SamplingData[[#This Row],[Candidate 6]])/(SamplingData[[#Totals],[Winning Candidate]]-SamplingData[[#Totals],[Candidate 6]]), 0)</f>
        <v>0</v>
      </c>
      <c r="V625" s="100">
        <f>IF(AND(SamplingData[[#This Row],[Total]]&lt;&gt; 0, NOT(ISBLANK(SamplingData[[#This Row],[Candidate 7]]))),(SamplingData[[#This Row],[Total]]+SamplingData[[#This Row],[Winning Candidate]]-SamplingData[[#This Row],[Candidate 7]])/(SamplingData[[#Totals],[Winning Candidate]]-SamplingData[[#Totals],[Candidate 7]]), 0)</f>
        <v>0</v>
      </c>
      <c r="W625" s="100">
        <f>IF(AND(SamplingData[[#This Row],[Total]]&lt;&gt; 0, NOT(ISBLANK(SamplingData[[#This Row],[Candidate 8]]))),(SamplingData[[#This Row],[Total]]+SamplingData[[#This Row],[Winning Candidate]]-SamplingData[[#This Row],[Candidate 8]])/(SamplingData[[#Totals],[Winning Candidate]]-SamplingData[[#Totals],[Candidate 8]]), 0)</f>
        <v>0</v>
      </c>
      <c r="X6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00">
        <f>MAX(SamplingData[[#This Row],[Error Bound (up) - Max. possible relative overstatement - Losing Candidate]:[Error Bound (up) - Max. possible relative overstatement - Candidate 12]])</f>
        <v>2.1986996262210635E-4</v>
      </c>
      <c r="AC625" s="100">
        <f>IF(SamplingData[[#This Row],[Max Error Bound (up)]] = 0,0,SamplingData[[#This Row],[Max Error Bound (up)]]/SamplingData[[#Totals],[Max Error Bound (up)]])</f>
        <v>9.4222796532601115E-5</v>
      </c>
      <c r="AD625" s="104">
        <f>SUM($AC$5:AC625)</f>
        <v>0.17007214774134524</v>
      </c>
      <c r="AE625" s="100" t="str" cm="1">
        <f t="array" ref="AE625">IF(SamplingData[[#This Row],[up/U Selection Probability]] = 0, "Zero", TEXT(SamplingData[[#This Row],[Lower Range]], REPT("0",LEN('General Info'!$B$42))) &amp; " - " &amp; TEXT(SamplingData[[#This Row],[Upper Range]], REPT("0",LEN('General Info'!$B$42))))</f>
        <v>16998 - 17006</v>
      </c>
      <c r="AF625" s="100">
        <f>SamplingData[[#This Row],[Upper Range]]-SamplingData[[#This Row],[Span]]</f>
        <v>16997.792494481266</v>
      </c>
      <c r="AG625" s="100">
        <f>IF(ISNUMBER('General Info'!$B$42), ((SamplingData[[#This Row],[up/U Selection Probability]]) * 'General Info'!$B$44) - 1, 0)</f>
        <v>8.4222796532601123</v>
      </c>
      <c r="AH625" s="100">
        <f>IF(ISNUMBER('General Info'!$B$42), (SamplingData[[#This Row],[Running (cumulative) sum]] * ('General Info'!$B$42 -'General Info'!$B$43 + 1)) + 'General Info'!$B$43 - 1, 0)</f>
        <v>17006.214774134525</v>
      </c>
      <c r="AI625" s="100" t="str">
        <f>IF(ISERROR(MATCH(SamplingData[[#This Row],[Batch by Type (p)]],SelectedPrecincts[Batch Name], 0)), "", INDEX(SelectedPrecincts[Draw], MATCH(SamplingData[[#This Row],[Batch by Type (p)]],SelectedPrecincts[Batch Name], 0)))</f>
        <v/>
      </c>
      <c r="AJ625" s="101">
        <f>IF(COUNTIF(SelectedPrecincts[Batch Name],SamplingData[[#This Row],[Batch by Type (p)]]) &lt;&gt; 0, COUNTIF(SelectedPrecincts[Batch Name],SamplingData[[#This Row],[Batch by Type (p)]]), 0)</f>
        <v>0</v>
      </c>
    </row>
    <row r="626" spans="1:36" ht="15" customHeight="1" x14ac:dyDescent="0.35">
      <c r="A626" s="98" t="s">
        <v>837</v>
      </c>
      <c r="B626" s="98">
        <v>6</v>
      </c>
      <c r="C626" s="98">
        <v>0</v>
      </c>
      <c r="D626" s="93"/>
      <c r="E626" s="93"/>
      <c r="F626" s="93"/>
      <c r="G626" s="97"/>
      <c r="H626" s="97"/>
      <c r="I626" s="93"/>
      <c r="J626" s="93"/>
      <c r="K626" s="93"/>
      <c r="L626" s="93"/>
      <c r="M626" s="93"/>
      <c r="N626" s="98">
        <v>0</v>
      </c>
      <c r="O626" s="98">
        <v>0</v>
      </c>
      <c r="P626" s="99">
        <f>SUM(SamplingData[[#This Row],[Winning Candidate]:[Under Votes]])</f>
        <v>6</v>
      </c>
      <c r="Q626"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26" s="100">
        <f>IF(AND(SamplingData[[#This Row],[Total]]&lt;&gt; 0, NOT(ISBLANK(SamplingData[[#This Row],[Candidate 3]]))),(SamplingData[[#This Row],[Total]]+SamplingData[[#This Row],[Winning Candidate]]-SamplingData[[#This Row],[Candidate 3]])/(SamplingData[[#Totals],[Winning Candidate]]-SamplingData[[#Totals],[Candidate 3]]), 0)</f>
        <v>0</v>
      </c>
      <c r="S626" s="100">
        <f>IF(AND(SamplingData[[#This Row],[Total]]&lt;&gt; 0, NOT(ISBLANK(SamplingData[[#This Row],[Candidate 4]]))),(SamplingData[[#This Row],[Total]]+SamplingData[[#This Row],[Winning Candidate]]-SamplingData[[#This Row],[Candidate 4]])/(SamplingData[[#Totals],[Winning Candidate]]-SamplingData[[#Totals],[Candidate 4]]), 0)</f>
        <v>0</v>
      </c>
      <c r="T626" s="100">
        <f>IF(AND(SamplingData[[#This Row],[Total]]&lt;&gt; 0, NOT(ISBLANK(SamplingData[[#This Row],[Candidate 5]]))),(SamplingData[[#This Row],[Total]]+SamplingData[[#This Row],[Winning Candidate]]-SamplingData[[#This Row],[Candidate 5]])/(SamplingData[[#Totals],[Winning Candidate]]-SamplingData[[#Totals],[Candidate 5]]), 0)</f>
        <v>0</v>
      </c>
      <c r="U626" s="100">
        <f>IF(AND(SamplingData[[#This Row],[Total]]&lt;&gt; 0, NOT(ISBLANK(SamplingData[[#This Row],[Candidate 6]]))),(SamplingData[[#This Row],[Total]]+SamplingData[[#This Row],[Losing Candidate]]-SamplingData[[#This Row],[Candidate 6]])/(SamplingData[[#Totals],[Winning Candidate]]-SamplingData[[#Totals],[Candidate 6]]), 0)</f>
        <v>0</v>
      </c>
      <c r="V626" s="100">
        <f>IF(AND(SamplingData[[#This Row],[Total]]&lt;&gt; 0, NOT(ISBLANK(SamplingData[[#This Row],[Candidate 7]]))),(SamplingData[[#This Row],[Total]]+SamplingData[[#This Row],[Winning Candidate]]-SamplingData[[#This Row],[Candidate 7]])/(SamplingData[[#Totals],[Winning Candidate]]-SamplingData[[#Totals],[Candidate 7]]), 0)</f>
        <v>0</v>
      </c>
      <c r="W626" s="100">
        <f>IF(AND(SamplingData[[#This Row],[Total]]&lt;&gt; 0, NOT(ISBLANK(SamplingData[[#This Row],[Candidate 8]]))),(SamplingData[[#This Row],[Total]]+SamplingData[[#This Row],[Winning Candidate]]-SamplingData[[#This Row],[Candidate 8]])/(SamplingData[[#Totals],[Winning Candidate]]-SamplingData[[#Totals],[Candidate 8]]), 0)</f>
        <v>0</v>
      </c>
      <c r="X6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00">
        <f>MAX(SamplingData[[#This Row],[Error Bound (up) - Max. possible relative overstatement - Losing Candidate]:[Error Bound (up) - Max. possible relative overstatement - Candidate 12]])</f>
        <v>3.7691993592361088E-4</v>
      </c>
      <c r="AC626" s="100">
        <f>IF(SamplingData[[#This Row],[Max Error Bound (up)]] = 0,0,SamplingData[[#This Row],[Max Error Bound (up)]]/SamplingData[[#Totals],[Max Error Bound (up)]])</f>
        <v>1.6152479405588763E-4</v>
      </c>
      <c r="AD626" s="104">
        <f>SUM($AC$5:AC626)</f>
        <v>0.17023367253540114</v>
      </c>
      <c r="AE626" s="100" t="str" cm="1">
        <f t="array" ref="AE626">IF(SamplingData[[#This Row],[up/U Selection Probability]] = 0, "Zero", TEXT(SamplingData[[#This Row],[Lower Range]], REPT("0",LEN('General Info'!$B$42))) &amp; " - " &amp; TEXT(SamplingData[[#This Row],[Upper Range]], REPT("0",LEN('General Info'!$B$42))))</f>
        <v>17007 - 17022</v>
      </c>
      <c r="AF626" s="100">
        <f>SamplingData[[#This Row],[Upper Range]]-SamplingData[[#This Row],[Span]]</f>
        <v>17007.214774134525</v>
      </c>
      <c r="AG626" s="100">
        <f>IF(ISNUMBER('General Info'!$B$42), ((SamplingData[[#This Row],[up/U Selection Probability]]) * 'General Info'!$B$44) - 1, 0)</f>
        <v>15.152479405588764</v>
      </c>
      <c r="AH626" s="100">
        <f>IF(ISNUMBER('General Info'!$B$42), (SamplingData[[#This Row],[Running (cumulative) sum]] * ('General Info'!$B$42 -'General Info'!$B$43 + 1)) + 'General Info'!$B$43 - 1, 0)</f>
        <v>17022.367253540113</v>
      </c>
      <c r="AI626" s="100" t="str">
        <f>IF(ISERROR(MATCH(SamplingData[[#This Row],[Batch by Type (p)]],SelectedPrecincts[Batch Name], 0)), "", INDEX(SelectedPrecincts[Draw], MATCH(SamplingData[[#This Row],[Batch by Type (p)]],SelectedPrecincts[Batch Name], 0)))</f>
        <v/>
      </c>
      <c r="AJ626" s="101">
        <f>IF(COUNTIF(SelectedPrecincts[Batch Name],SamplingData[[#This Row],[Batch by Type (p)]]) &lt;&gt; 0, COUNTIF(SelectedPrecincts[Batch Name],SamplingData[[#This Row],[Batch by Type (p)]]), 0)</f>
        <v>0</v>
      </c>
    </row>
    <row r="627" spans="1:36" ht="15" customHeight="1" x14ac:dyDescent="0.35">
      <c r="A627" s="98" t="s">
        <v>838</v>
      </c>
      <c r="B627" s="98">
        <v>5</v>
      </c>
      <c r="C627" s="98">
        <v>3</v>
      </c>
      <c r="D627" s="93"/>
      <c r="E627" s="93"/>
      <c r="F627" s="93"/>
      <c r="G627" s="97"/>
      <c r="H627" s="97"/>
      <c r="I627" s="93"/>
      <c r="J627" s="93"/>
      <c r="K627" s="93"/>
      <c r="L627" s="93"/>
      <c r="M627" s="93"/>
      <c r="N627" s="98">
        <v>0</v>
      </c>
      <c r="O627" s="98">
        <v>0</v>
      </c>
      <c r="P627" s="99">
        <f>SUM(SamplingData[[#This Row],[Winning Candidate]:[Under Votes]])</f>
        <v>8</v>
      </c>
      <c r="Q627"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627" s="100">
        <f>IF(AND(SamplingData[[#This Row],[Total]]&lt;&gt; 0, NOT(ISBLANK(SamplingData[[#This Row],[Candidate 3]]))),(SamplingData[[#This Row],[Total]]+SamplingData[[#This Row],[Winning Candidate]]-SamplingData[[#This Row],[Candidate 3]])/(SamplingData[[#Totals],[Winning Candidate]]-SamplingData[[#Totals],[Candidate 3]]), 0)</f>
        <v>0</v>
      </c>
      <c r="S627" s="100">
        <f>IF(AND(SamplingData[[#This Row],[Total]]&lt;&gt; 0, NOT(ISBLANK(SamplingData[[#This Row],[Candidate 4]]))),(SamplingData[[#This Row],[Total]]+SamplingData[[#This Row],[Winning Candidate]]-SamplingData[[#This Row],[Candidate 4]])/(SamplingData[[#Totals],[Winning Candidate]]-SamplingData[[#Totals],[Candidate 4]]), 0)</f>
        <v>0</v>
      </c>
      <c r="T627" s="100">
        <f>IF(AND(SamplingData[[#This Row],[Total]]&lt;&gt; 0, NOT(ISBLANK(SamplingData[[#This Row],[Candidate 5]]))),(SamplingData[[#This Row],[Total]]+SamplingData[[#This Row],[Winning Candidate]]-SamplingData[[#This Row],[Candidate 5]])/(SamplingData[[#Totals],[Winning Candidate]]-SamplingData[[#Totals],[Candidate 5]]), 0)</f>
        <v>0</v>
      </c>
      <c r="U627" s="100">
        <f>IF(AND(SamplingData[[#This Row],[Total]]&lt;&gt; 0, NOT(ISBLANK(SamplingData[[#This Row],[Candidate 6]]))),(SamplingData[[#This Row],[Total]]+SamplingData[[#This Row],[Losing Candidate]]-SamplingData[[#This Row],[Candidate 6]])/(SamplingData[[#Totals],[Winning Candidate]]-SamplingData[[#Totals],[Candidate 6]]), 0)</f>
        <v>0</v>
      </c>
      <c r="V627" s="100">
        <f>IF(AND(SamplingData[[#This Row],[Total]]&lt;&gt; 0, NOT(ISBLANK(SamplingData[[#This Row],[Candidate 7]]))),(SamplingData[[#This Row],[Total]]+SamplingData[[#This Row],[Winning Candidate]]-SamplingData[[#This Row],[Candidate 7]])/(SamplingData[[#Totals],[Winning Candidate]]-SamplingData[[#Totals],[Candidate 7]]), 0)</f>
        <v>0</v>
      </c>
      <c r="W627" s="100">
        <f>IF(AND(SamplingData[[#This Row],[Total]]&lt;&gt; 0, NOT(ISBLANK(SamplingData[[#This Row],[Candidate 8]]))),(SamplingData[[#This Row],[Total]]+SamplingData[[#This Row],[Winning Candidate]]-SamplingData[[#This Row],[Candidate 8]])/(SamplingData[[#Totals],[Winning Candidate]]-SamplingData[[#Totals],[Candidate 8]]), 0)</f>
        <v>0</v>
      </c>
      <c r="X6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00">
        <f>MAX(SamplingData[[#This Row],[Error Bound (up) - Max. possible relative overstatement - Losing Candidate]:[Error Bound (up) - Max. possible relative overstatement - Candidate 12]])</f>
        <v>3.1409994660300906E-4</v>
      </c>
      <c r="AC627" s="100">
        <f>IF(SamplingData[[#This Row],[Max Error Bound (up)]] = 0,0,SamplingData[[#This Row],[Max Error Bound (up)]]/SamplingData[[#Totals],[Max Error Bound (up)]])</f>
        <v>1.3460399504657304E-4</v>
      </c>
      <c r="AD627" s="104">
        <f>SUM($AC$5:AC627)</f>
        <v>0.17036827653044773</v>
      </c>
      <c r="AE627" s="100" t="str" cm="1">
        <f t="array" ref="AE627">IF(SamplingData[[#This Row],[up/U Selection Probability]] = 0, "Zero", TEXT(SamplingData[[#This Row],[Lower Range]], REPT("0",LEN('General Info'!$B$42))) &amp; " - " &amp; TEXT(SamplingData[[#This Row],[Upper Range]], REPT("0",LEN('General Info'!$B$42))))</f>
        <v>17023 - 17036</v>
      </c>
      <c r="AF627" s="100">
        <f>SamplingData[[#This Row],[Upper Range]]-SamplingData[[#This Row],[Span]]</f>
        <v>17023.367253540117</v>
      </c>
      <c r="AG627" s="100">
        <f>IF(ISNUMBER('General Info'!$B$42), ((SamplingData[[#This Row],[up/U Selection Probability]]) * 'General Info'!$B$44) - 1, 0)</f>
        <v>12.460399504657303</v>
      </c>
      <c r="AH627" s="100">
        <f>IF(ISNUMBER('General Info'!$B$42), (SamplingData[[#This Row],[Running (cumulative) sum]] * ('General Info'!$B$42 -'General Info'!$B$43 + 1)) + 'General Info'!$B$43 - 1, 0)</f>
        <v>17035.827653044773</v>
      </c>
      <c r="AI627" s="100" t="str">
        <f>IF(ISERROR(MATCH(SamplingData[[#This Row],[Batch by Type (p)]],SelectedPrecincts[Batch Name], 0)), "", INDEX(SelectedPrecincts[Draw], MATCH(SamplingData[[#This Row],[Batch by Type (p)]],SelectedPrecincts[Batch Name], 0)))</f>
        <v/>
      </c>
      <c r="AJ627" s="101">
        <f>IF(COUNTIF(SelectedPrecincts[Batch Name],SamplingData[[#This Row],[Batch by Type (p)]]) &lt;&gt; 0, COUNTIF(SelectedPrecincts[Batch Name],SamplingData[[#This Row],[Batch by Type (p)]]), 0)</f>
        <v>0</v>
      </c>
    </row>
    <row r="628" spans="1:36" ht="15" customHeight="1" x14ac:dyDescent="0.35">
      <c r="A628" s="98" t="s">
        <v>839</v>
      </c>
      <c r="B628" s="98">
        <v>2</v>
      </c>
      <c r="C628" s="98">
        <v>1</v>
      </c>
      <c r="D628" s="93"/>
      <c r="E628" s="93"/>
      <c r="F628" s="93"/>
      <c r="G628" s="97"/>
      <c r="H628" s="97"/>
      <c r="I628" s="93"/>
      <c r="J628" s="93"/>
      <c r="K628" s="93"/>
      <c r="L628" s="93"/>
      <c r="M628" s="93"/>
      <c r="N628" s="98">
        <v>0</v>
      </c>
      <c r="O628" s="98">
        <v>0</v>
      </c>
      <c r="P628" s="99">
        <f>SUM(SamplingData[[#This Row],[Winning Candidate]:[Under Votes]])</f>
        <v>3</v>
      </c>
      <c r="Q628"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28" s="100">
        <f>IF(AND(SamplingData[[#This Row],[Total]]&lt;&gt; 0, NOT(ISBLANK(SamplingData[[#This Row],[Candidate 3]]))),(SamplingData[[#This Row],[Total]]+SamplingData[[#This Row],[Winning Candidate]]-SamplingData[[#This Row],[Candidate 3]])/(SamplingData[[#Totals],[Winning Candidate]]-SamplingData[[#Totals],[Candidate 3]]), 0)</f>
        <v>0</v>
      </c>
      <c r="S628" s="100">
        <f>IF(AND(SamplingData[[#This Row],[Total]]&lt;&gt; 0, NOT(ISBLANK(SamplingData[[#This Row],[Candidate 4]]))),(SamplingData[[#This Row],[Total]]+SamplingData[[#This Row],[Winning Candidate]]-SamplingData[[#This Row],[Candidate 4]])/(SamplingData[[#Totals],[Winning Candidate]]-SamplingData[[#Totals],[Candidate 4]]), 0)</f>
        <v>0</v>
      </c>
      <c r="T628" s="100">
        <f>IF(AND(SamplingData[[#This Row],[Total]]&lt;&gt; 0, NOT(ISBLANK(SamplingData[[#This Row],[Candidate 5]]))),(SamplingData[[#This Row],[Total]]+SamplingData[[#This Row],[Winning Candidate]]-SamplingData[[#This Row],[Candidate 5]])/(SamplingData[[#Totals],[Winning Candidate]]-SamplingData[[#Totals],[Candidate 5]]), 0)</f>
        <v>0</v>
      </c>
      <c r="U628" s="100">
        <f>IF(AND(SamplingData[[#This Row],[Total]]&lt;&gt; 0, NOT(ISBLANK(SamplingData[[#This Row],[Candidate 6]]))),(SamplingData[[#This Row],[Total]]+SamplingData[[#This Row],[Losing Candidate]]-SamplingData[[#This Row],[Candidate 6]])/(SamplingData[[#Totals],[Winning Candidate]]-SamplingData[[#Totals],[Candidate 6]]), 0)</f>
        <v>0</v>
      </c>
      <c r="V628" s="100">
        <f>IF(AND(SamplingData[[#This Row],[Total]]&lt;&gt; 0, NOT(ISBLANK(SamplingData[[#This Row],[Candidate 7]]))),(SamplingData[[#This Row],[Total]]+SamplingData[[#This Row],[Winning Candidate]]-SamplingData[[#This Row],[Candidate 7]])/(SamplingData[[#Totals],[Winning Candidate]]-SamplingData[[#Totals],[Candidate 7]]), 0)</f>
        <v>0</v>
      </c>
      <c r="W628" s="100">
        <f>IF(AND(SamplingData[[#This Row],[Total]]&lt;&gt; 0, NOT(ISBLANK(SamplingData[[#This Row],[Candidate 8]]))),(SamplingData[[#This Row],[Total]]+SamplingData[[#This Row],[Winning Candidate]]-SamplingData[[#This Row],[Candidate 8]])/(SamplingData[[#Totals],[Winning Candidate]]-SamplingData[[#Totals],[Candidate 8]]), 0)</f>
        <v>0</v>
      </c>
      <c r="X6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00">
        <f>MAX(SamplingData[[#This Row],[Error Bound (up) - Max. possible relative overstatement - Losing Candidate]:[Error Bound (up) - Max. possible relative overstatement - Candidate 12]])</f>
        <v>1.2563997864120362E-4</v>
      </c>
      <c r="AC628" s="100">
        <f>IF(SamplingData[[#This Row],[Max Error Bound (up)]] = 0,0,SamplingData[[#This Row],[Max Error Bound (up)]]/SamplingData[[#Totals],[Max Error Bound (up)]])</f>
        <v>5.3841598018629206E-5</v>
      </c>
      <c r="AD628" s="104">
        <f>SUM($AC$5:AC628)</f>
        <v>0.17042211812846636</v>
      </c>
      <c r="AE628" s="100" t="str" cm="1">
        <f t="array" ref="AE628">IF(SamplingData[[#This Row],[up/U Selection Probability]] = 0, "Zero", TEXT(SamplingData[[#This Row],[Lower Range]], REPT("0",LEN('General Info'!$B$42))) &amp; " - " &amp; TEXT(SamplingData[[#This Row],[Upper Range]], REPT("0",LEN('General Info'!$B$42))))</f>
        <v>17037 - 17041</v>
      </c>
      <c r="AF628" s="100">
        <f>SamplingData[[#This Row],[Upper Range]]-SamplingData[[#This Row],[Span]]</f>
        <v>17036.827653044773</v>
      </c>
      <c r="AG628" s="100">
        <f>IF(ISNUMBER('General Info'!$B$42), ((SamplingData[[#This Row],[up/U Selection Probability]]) * 'General Info'!$B$44) - 1, 0)</f>
        <v>4.3841598018629204</v>
      </c>
      <c r="AH628" s="100">
        <f>IF(ISNUMBER('General Info'!$B$42), (SamplingData[[#This Row],[Running (cumulative) sum]] * ('General Info'!$B$42 -'General Info'!$B$43 + 1)) + 'General Info'!$B$43 - 1, 0)</f>
        <v>17041.211812846635</v>
      </c>
      <c r="AI628" s="100" t="str">
        <f>IF(ISERROR(MATCH(SamplingData[[#This Row],[Batch by Type (p)]],SelectedPrecincts[Batch Name], 0)), "", INDEX(SelectedPrecincts[Draw], MATCH(SamplingData[[#This Row],[Batch by Type (p)]],SelectedPrecincts[Batch Name], 0)))</f>
        <v/>
      </c>
      <c r="AJ628" s="101">
        <f>IF(COUNTIF(SelectedPrecincts[Batch Name],SamplingData[[#This Row],[Batch by Type (p)]]) &lt;&gt; 0, COUNTIF(SelectedPrecincts[Batch Name],SamplingData[[#This Row],[Batch by Type (p)]]), 0)</f>
        <v>0</v>
      </c>
    </row>
    <row r="629" spans="1:36" ht="15" customHeight="1" x14ac:dyDescent="0.35">
      <c r="A629" s="98" t="s">
        <v>840</v>
      </c>
      <c r="B629" s="98">
        <v>6</v>
      </c>
      <c r="C629" s="98">
        <v>0</v>
      </c>
      <c r="D629" s="93"/>
      <c r="E629" s="93"/>
      <c r="F629" s="93"/>
      <c r="G629" s="97"/>
      <c r="H629" s="97"/>
      <c r="I629" s="93"/>
      <c r="J629" s="93"/>
      <c r="K629" s="93"/>
      <c r="L629" s="93"/>
      <c r="M629" s="93"/>
      <c r="N629" s="98">
        <v>0</v>
      </c>
      <c r="O629" s="98">
        <v>0</v>
      </c>
      <c r="P629" s="99">
        <f>SUM(SamplingData[[#This Row],[Winning Candidate]:[Under Votes]])</f>
        <v>6</v>
      </c>
      <c r="Q629"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29" s="100">
        <f>IF(AND(SamplingData[[#This Row],[Total]]&lt;&gt; 0, NOT(ISBLANK(SamplingData[[#This Row],[Candidate 3]]))),(SamplingData[[#This Row],[Total]]+SamplingData[[#This Row],[Winning Candidate]]-SamplingData[[#This Row],[Candidate 3]])/(SamplingData[[#Totals],[Winning Candidate]]-SamplingData[[#Totals],[Candidate 3]]), 0)</f>
        <v>0</v>
      </c>
      <c r="S629" s="100">
        <f>IF(AND(SamplingData[[#This Row],[Total]]&lt;&gt; 0, NOT(ISBLANK(SamplingData[[#This Row],[Candidate 4]]))),(SamplingData[[#This Row],[Total]]+SamplingData[[#This Row],[Winning Candidate]]-SamplingData[[#This Row],[Candidate 4]])/(SamplingData[[#Totals],[Winning Candidate]]-SamplingData[[#Totals],[Candidate 4]]), 0)</f>
        <v>0</v>
      </c>
      <c r="T629" s="100">
        <f>IF(AND(SamplingData[[#This Row],[Total]]&lt;&gt; 0, NOT(ISBLANK(SamplingData[[#This Row],[Candidate 5]]))),(SamplingData[[#This Row],[Total]]+SamplingData[[#This Row],[Winning Candidate]]-SamplingData[[#This Row],[Candidate 5]])/(SamplingData[[#Totals],[Winning Candidate]]-SamplingData[[#Totals],[Candidate 5]]), 0)</f>
        <v>0</v>
      </c>
      <c r="U629" s="100">
        <f>IF(AND(SamplingData[[#This Row],[Total]]&lt;&gt; 0, NOT(ISBLANK(SamplingData[[#This Row],[Candidate 6]]))),(SamplingData[[#This Row],[Total]]+SamplingData[[#This Row],[Losing Candidate]]-SamplingData[[#This Row],[Candidate 6]])/(SamplingData[[#Totals],[Winning Candidate]]-SamplingData[[#Totals],[Candidate 6]]), 0)</f>
        <v>0</v>
      </c>
      <c r="V629" s="100">
        <f>IF(AND(SamplingData[[#This Row],[Total]]&lt;&gt; 0, NOT(ISBLANK(SamplingData[[#This Row],[Candidate 7]]))),(SamplingData[[#This Row],[Total]]+SamplingData[[#This Row],[Winning Candidate]]-SamplingData[[#This Row],[Candidate 7]])/(SamplingData[[#Totals],[Winning Candidate]]-SamplingData[[#Totals],[Candidate 7]]), 0)</f>
        <v>0</v>
      </c>
      <c r="W629" s="100">
        <f>IF(AND(SamplingData[[#This Row],[Total]]&lt;&gt; 0, NOT(ISBLANK(SamplingData[[#This Row],[Candidate 8]]))),(SamplingData[[#This Row],[Total]]+SamplingData[[#This Row],[Winning Candidate]]-SamplingData[[#This Row],[Candidate 8]])/(SamplingData[[#Totals],[Winning Candidate]]-SamplingData[[#Totals],[Candidate 8]]), 0)</f>
        <v>0</v>
      </c>
      <c r="X6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00">
        <f>MAX(SamplingData[[#This Row],[Error Bound (up) - Max. possible relative overstatement - Losing Candidate]:[Error Bound (up) - Max. possible relative overstatement - Candidate 12]])</f>
        <v>3.7691993592361088E-4</v>
      </c>
      <c r="AC629" s="100">
        <f>IF(SamplingData[[#This Row],[Max Error Bound (up)]] = 0,0,SamplingData[[#This Row],[Max Error Bound (up)]]/SamplingData[[#Totals],[Max Error Bound (up)]])</f>
        <v>1.6152479405588763E-4</v>
      </c>
      <c r="AD629" s="104">
        <f>SUM($AC$5:AC629)</f>
        <v>0.17058364292252226</v>
      </c>
      <c r="AE629" s="100" t="str" cm="1">
        <f t="array" ref="AE629">IF(SamplingData[[#This Row],[up/U Selection Probability]] = 0, "Zero", TEXT(SamplingData[[#This Row],[Lower Range]], REPT("0",LEN('General Info'!$B$42))) &amp; " - " &amp; TEXT(SamplingData[[#This Row],[Upper Range]], REPT("0",LEN('General Info'!$B$42))))</f>
        <v>17042 - 17057</v>
      </c>
      <c r="AF629" s="100">
        <f>SamplingData[[#This Row],[Upper Range]]-SamplingData[[#This Row],[Span]]</f>
        <v>17042.211812846639</v>
      </c>
      <c r="AG629" s="100">
        <f>IF(ISNUMBER('General Info'!$B$42), ((SamplingData[[#This Row],[up/U Selection Probability]]) * 'General Info'!$B$44) - 1, 0)</f>
        <v>15.152479405588764</v>
      </c>
      <c r="AH629" s="100">
        <f>IF(ISNUMBER('General Info'!$B$42), (SamplingData[[#This Row],[Running (cumulative) sum]] * ('General Info'!$B$42 -'General Info'!$B$43 + 1)) + 'General Info'!$B$43 - 1, 0)</f>
        <v>17057.364292252227</v>
      </c>
      <c r="AI629" s="100" t="str">
        <f>IF(ISERROR(MATCH(SamplingData[[#This Row],[Batch by Type (p)]],SelectedPrecincts[Batch Name], 0)), "", INDEX(SelectedPrecincts[Draw], MATCH(SamplingData[[#This Row],[Batch by Type (p)]],SelectedPrecincts[Batch Name], 0)))</f>
        <v/>
      </c>
      <c r="AJ629" s="101">
        <f>IF(COUNTIF(SelectedPrecincts[Batch Name],SamplingData[[#This Row],[Batch by Type (p)]]) &lt;&gt; 0, COUNTIF(SelectedPrecincts[Batch Name],SamplingData[[#This Row],[Batch by Type (p)]]), 0)</f>
        <v>0</v>
      </c>
    </row>
    <row r="630" spans="1:36" ht="15" customHeight="1" x14ac:dyDescent="0.35">
      <c r="A630" s="98" t="s">
        <v>841</v>
      </c>
      <c r="B630" s="98">
        <v>6</v>
      </c>
      <c r="C630" s="98">
        <v>2</v>
      </c>
      <c r="D630" s="93"/>
      <c r="E630" s="93"/>
      <c r="F630" s="93"/>
      <c r="G630" s="97"/>
      <c r="H630" s="97"/>
      <c r="I630" s="93"/>
      <c r="J630" s="93"/>
      <c r="K630" s="93"/>
      <c r="L630" s="93"/>
      <c r="M630" s="93"/>
      <c r="N630" s="98">
        <v>0</v>
      </c>
      <c r="O630" s="98">
        <v>0</v>
      </c>
      <c r="P630" s="99">
        <f>SUM(SamplingData[[#This Row],[Winning Candidate]:[Under Votes]])</f>
        <v>8</v>
      </c>
      <c r="Q630"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30" s="100">
        <f>IF(AND(SamplingData[[#This Row],[Total]]&lt;&gt; 0, NOT(ISBLANK(SamplingData[[#This Row],[Candidate 3]]))),(SamplingData[[#This Row],[Total]]+SamplingData[[#This Row],[Winning Candidate]]-SamplingData[[#This Row],[Candidate 3]])/(SamplingData[[#Totals],[Winning Candidate]]-SamplingData[[#Totals],[Candidate 3]]), 0)</f>
        <v>0</v>
      </c>
      <c r="S630" s="100">
        <f>IF(AND(SamplingData[[#This Row],[Total]]&lt;&gt; 0, NOT(ISBLANK(SamplingData[[#This Row],[Candidate 4]]))),(SamplingData[[#This Row],[Total]]+SamplingData[[#This Row],[Winning Candidate]]-SamplingData[[#This Row],[Candidate 4]])/(SamplingData[[#Totals],[Winning Candidate]]-SamplingData[[#Totals],[Candidate 4]]), 0)</f>
        <v>0</v>
      </c>
      <c r="T630" s="100">
        <f>IF(AND(SamplingData[[#This Row],[Total]]&lt;&gt; 0, NOT(ISBLANK(SamplingData[[#This Row],[Candidate 5]]))),(SamplingData[[#This Row],[Total]]+SamplingData[[#This Row],[Winning Candidate]]-SamplingData[[#This Row],[Candidate 5]])/(SamplingData[[#Totals],[Winning Candidate]]-SamplingData[[#Totals],[Candidate 5]]), 0)</f>
        <v>0</v>
      </c>
      <c r="U630" s="100">
        <f>IF(AND(SamplingData[[#This Row],[Total]]&lt;&gt; 0, NOT(ISBLANK(SamplingData[[#This Row],[Candidate 6]]))),(SamplingData[[#This Row],[Total]]+SamplingData[[#This Row],[Losing Candidate]]-SamplingData[[#This Row],[Candidate 6]])/(SamplingData[[#Totals],[Winning Candidate]]-SamplingData[[#Totals],[Candidate 6]]), 0)</f>
        <v>0</v>
      </c>
      <c r="V630" s="100">
        <f>IF(AND(SamplingData[[#This Row],[Total]]&lt;&gt; 0, NOT(ISBLANK(SamplingData[[#This Row],[Candidate 7]]))),(SamplingData[[#This Row],[Total]]+SamplingData[[#This Row],[Winning Candidate]]-SamplingData[[#This Row],[Candidate 7]])/(SamplingData[[#Totals],[Winning Candidate]]-SamplingData[[#Totals],[Candidate 7]]), 0)</f>
        <v>0</v>
      </c>
      <c r="W630" s="100">
        <f>IF(AND(SamplingData[[#This Row],[Total]]&lt;&gt; 0, NOT(ISBLANK(SamplingData[[#This Row],[Candidate 8]]))),(SamplingData[[#This Row],[Total]]+SamplingData[[#This Row],[Winning Candidate]]-SamplingData[[#This Row],[Candidate 8]])/(SamplingData[[#Totals],[Winning Candidate]]-SamplingData[[#Totals],[Candidate 8]]), 0)</f>
        <v>0</v>
      </c>
      <c r="X6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00">
        <f>MAX(SamplingData[[#This Row],[Error Bound (up) - Max. possible relative overstatement - Losing Candidate]:[Error Bound (up) - Max. possible relative overstatement - Candidate 12]])</f>
        <v>3.7691993592361088E-4</v>
      </c>
      <c r="AC630" s="100">
        <f>IF(SamplingData[[#This Row],[Max Error Bound (up)]] = 0,0,SamplingData[[#This Row],[Max Error Bound (up)]]/SamplingData[[#Totals],[Max Error Bound (up)]])</f>
        <v>1.6152479405588763E-4</v>
      </c>
      <c r="AD630" s="104">
        <f>SUM($AC$5:AC630)</f>
        <v>0.17074516771657816</v>
      </c>
      <c r="AE630" s="100" t="str" cm="1">
        <f t="array" ref="AE630">IF(SamplingData[[#This Row],[up/U Selection Probability]] = 0, "Zero", TEXT(SamplingData[[#This Row],[Lower Range]], REPT("0",LEN('General Info'!$B$42))) &amp; " - " &amp; TEXT(SamplingData[[#This Row],[Upper Range]], REPT("0",LEN('General Info'!$B$42))))</f>
        <v>17058 - 17074</v>
      </c>
      <c r="AF630" s="100">
        <f>SamplingData[[#This Row],[Upper Range]]-SamplingData[[#This Row],[Span]]</f>
        <v>17058.364292252227</v>
      </c>
      <c r="AG630" s="100">
        <f>IF(ISNUMBER('General Info'!$B$42), ((SamplingData[[#This Row],[up/U Selection Probability]]) * 'General Info'!$B$44) - 1, 0)</f>
        <v>15.152479405588764</v>
      </c>
      <c r="AH630" s="100">
        <f>IF(ISNUMBER('General Info'!$B$42), (SamplingData[[#This Row],[Running (cumulative) sum]] * ('General Info'!$B$42 -'General Info'!$B$43 + 1)) + 'General Info'!$B$43 - 1, 0)</f>
        <v>17073.516771657814</v>
      </c>
      <c r="AI630" s="100" t="str">
        <f>IF(ISERROR(MATCH(SamplingData[[#This Row],[Batch by Type (p)]],SelectedPrecincts[Batch Name], 0)), "", INDEX(SelectedPrecincts[Draw], MATCH(SamplingData[[#This Row],[Batch by Type (p)]],SelectedPrecincts[Batch Name], 0)))</f>
        <v/>
      </c>
      <c r="AJ630" s="101">
        <f>IF(COUNTIF(SelectedPrecincts[Batch Name],SamplingData[[#This Row],[Batch by Type (p)]]) &lt;&gt; 0, COUNTIF(SelectedPrecincts[Batch Name],SamplingData[[#This Row],[Batch by Type (p)]]), 0)</f>
        <v>0</v>
      </c>
    </row>
    <row r="631" spans="1:36" ht="15" customHeight="1" x14ac:dyDescent="0.35">
      <c r="A631" s="98" t="s">
        <v>842</v>
      </c>
      <c r="B631" s="98">
        <v>26</v>
      </c>
      <c r="C631" s="98">
        <v>5</v>
      </c>
      <c r="D631" s="93"/>
      <c r="E631" s="93"/>
      <c r="F631" s="93"/>
      <c r="G631" s="97"/>
      <c r="H631" s="97"/>
      <c r="I631" s="93"/>
      <c r="J631" s="93"/>
      <c r="K631" s="93"/>
      <c r="L631" s="93"/>
      <c r="M631" s="93"/>
      <c r="N631" s="98">
        <v>0</v>
      </c>
      <c r="O631" s="98">
        <v>1</v>
      </c>
      <c r="P631" s="99">
        <f>SUM(SamplingData[[#This Row],[Winning Candidate]:[Under Votes]])</f>
        <v>32</v>
      </c>
      <c r="Q631" s="100">
        <f>IF(AND(SamplingData[[#This Row],[Total]]&lt;&gt; 0, NOT(ISBLANK(SamplingData[[#This Row],[Losing Candidate]]))),(SamplingData[[#This Row],[Total]]+SamplingData[[#This Row],[Winning Candidate]]-SamplingData[[#This Row],[Losing Candidate]])/(SamplingData[[#Totals],[Winning Candidate]]-SamplingData[[#Totals],[Losing Candidate]]), 0)</f>
        <v>1.6647297169959481E-3</v>
      </c>
      <c r="R631" s="100">
        <f>IF(AND(SamplingData[[#This Row],[Total]]&lt;&gt; 0, NOT(ISBLANK(SamplingData[[#This Row],[Candidate 3]]))),(SamplingData[[#This Row],[Total]]+SamplingData[[#This Row],[Winning Candidate]]-SamplingData[[#This Row],[Candidate 3]])/(SamplingData[[#Totals],[Winning Candidate]]-SamplingData[[#Totals],[Candidate 3]]), 0)</f>
        <v>0</v>
      </c>
      <c r="S631" s="100">
        <f>IF(AND(SamplingData[[#This Row],[Total]]&lt;&gt; 0, NOT(ISBLANK(SamplingData[[#This Row],[Candidate 4]]))),(SamplingData[[#This Row],[Total]]+SamplingData[[#This Row],[Winning Candidate]]-SamplingData[[#This Row],[Candidate 4]])/(SamplingData[[#Totals],[Winning Candidate]]-SamplingData[[#Totals],[Candidate 4]]), 0)</f>
        <v>0</v>
      </c>
      <c r="T631" s="100">
        <f>IF(AND(SamplingData[[#This Row],[Total]]&lt;&gt; 0, NOT(ISBLANK(SamplingData[[#This Row],[Candidate 5]]))),(SamplingData[[#This Row],[Total]]+SamplingData[[#This Row],[Winning Candidate]]-SamplingData[[#This Row],[Candidate 5]])/(SamplingData[[#Totals],[Winning Candidate]]-SamplingData[[#Totals],[Candidate 5]]), 0)</f>
        <v>0</v>
      </c>
      <c r="U631" s="100">
        <f>IF(AND(SamplingData[[#This Row],[Total]]&lt;&gt; 0, NOT(ISBLANK(SamplingData[[#This Row],[Candidate 6]]))),(SamplingData[[#This Row],[Total]]+SamplingData[[#This Row],[Losing Candidate]]-SamplingData[[#This Row],[Candidate 6]])/(SamplingData[[#Totals],[Winning Candidate]]-SamplingData[[#Totals],[Candidate 6]]), 0)</f>
        <v>0</v>
      </c>
      <c r="V631" s="100">
        <f>IF(AND(SamplingData[[#This Row],[Total]]&lt;&gt; 0, NOT(ISBLANK(SamplingData[[#This Row],[Candidate 7]]))),(SamplingData[[#This Row],[Total]]+SamplingData[[#This Row],[Winning Candidate]]-SamplingData[[#This Row],[Candidate 7]])/(SamplingData[[#Totals],[Winning Candidate]]-SamplingData[[#Totals],[Candidate 7]]), 0)</f>
        <v>0</v>
      </c>
      <c r="W631" s="100">
        <f>IF(AND(SamplingData[[#This Row],[Total]]&lt;&gt; 0, NOT(ISBLANK(SamplingData[[#This Row],[Candidate 8]]))),(SamplingData[[#This Row],[Total]]+SamplingData[[#This Row],[Winning Candidate]]-SamplingData[[#This Row],[Candidate 8]])/(SamplingData[[#Totals],[Winning Candidate]]-SamplingData[[#Totals],[Candidate 8]]), 0)</f>
        <v>0</v>
      </c>
      <c r="X6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00">
        <f>MAX(SamplingData[[#This Row],[Error Bound (up) - Max. possible relative overstatement - Losing Candidate]:[Error Bound (up) - Max. possible relative overstatement - Candidate 12]])</f>
        <v>1.6647297169959481E-3</v>
      </c>
      <c r="AC631" s="100">
        <f>IF(SamplingData[[#This Row],[Max Error Bound (up)]] = 0,0,SamplingData[[#This Row],[Max Error Bound (up)]]/SamplingData[[#Totals],[Max Error Bound (up)]])</f>
        <v>7.1340117374683702E-4</v>
      </c>
      <c r="AD631" s="104">
        <f>SUM($AC$5:AC631)</f>
        <v>0.17145856889032499</v>
      </c>
      <c r="AE631" s="100" t="str" cm="1">
        <f t="array" ref="AE631">IF(SamplingData[[#This Row],[up/U Selection Probability]] = 0, "Zero", TEXT(SamplingData[[#This Row],[Lower Range]], REPT("0",LEN('General Info'!$B$42))) &amp; " - " &amp; TEXT(SamplingData[[#This Row],[Upper Range]], REPT("0",LEN('General Info'!$B$42))))</f>
        <v>17075 - 17145</v>
      </c>
      <c r="AF631" s="100">
        <f>SamplingData[[#This Row],[Upper Range]]-SamplingData[[#This Row],[Span]]</f>
        <v>17074.516771657814</v>
      </c>
      <c r="AG631" s="100">
        <f>IF(ISNUMBER('General Info'!$B$42), ((SamplingData[[#This Row],[up/U Selection Probability]]) * 'General Info'!$B$44) - 1, 0)</f>
        <v>70.3401173746837</v>
      </c>
      <c r="AH631" s="100">
        <f>IF(ISNUMBER('General Info'!$B$42), (SamplingData[[#This Row],[Running (cumulative) sum]] * ('General Info'!$B$42 -'General Info'!$B$43 + 1)) + 'General Info'!$B$43 - 1, 0)</f>
        <v>17144.856889032497</v>
      </c>
      <c r="AI631" s="100" t="str">
        <f>IF(ISERROR(MATCH(SamplingData[[#This Row],[Batch by Type (p)]],SelectedPrecincts[Batch Name], 0)), "", INDEX(SelectedPrecincts[Draw], MATCH(SamplingData[[#This Row],[Batch by Type (p)]],SelectedPrecincts[Batch Name], 0)))</f>
        <v/>
      </c>
      <c r="AJ631" s="101">
        <f>IF(COUNTIF(SelectedPrecincts[Batch Name],SamplingData[[#This Row],[Batch by Type (p)]]) &lt;&gt; 0, COUNTIF(SelectedPrecincts[Batch Name],SamplingData[[#This Row],[Batch by Type (p)]]), 0)</f>
        <v>0</v>
      </c>
    </row>
    <row r="632" spans="1:36" ht="15" customHeight="1" x14ac:dyDescent="0.35">
      <c r="A632" s="98" t="s">
        <v>843</v>
      </c>
      <c r="B632" s="98">
        <v>82</v>
      </c>
      <c r="C632" s="98">
        <v>5</v>
      </c>
      <c r="D632" s="93"/>
      <c r="E632" s="93"/>
      <c r="F632" s="93"/>
      <c r="G632" s="97"/>
      <c r="H632" s="97"/>
      <c r="I632" s="93"/>
      <c r="J632" s="93"/>
      <c r="K632" s="93"/>
      <c r="L632" s="93"/>
      <c r="M632" s="93"/>
      <c r="N632" s="98">
        <v>0</v>
      </c>
      <c r="O632" s="98">
        <v>0</v>
      </c>
      <c r="P632" s="99">
        <f>SUM(SamplingData[[#This Row],[Winning Candidate]:[Under Votes]])</f>
        <v>87</v>
      </c>
      <c r="Q632" s="100">
        <f>IF(AND(SamplingData[[#This Row],[Total]]&lt;&gt; 0, NOT(ISBLANK(SamplingData[[#This Row],[Losing Candidate]]))),(SamplingData[[#This Row],[Total]]+SamplingData[[#This Row],[Winning Candidate]]-SamplingData[[#This Row],[Losing Candidate]])/(SamplingData[[#Totals],[Winning Candidate]]-SamplingData[[#Totals],[Losing Candidate]]), 0)</f>
        <v>5.1512391242893489E-3</v>
      </c>
      <c r="R632" s="100">
        <f>IF(AND(SamplingData[[#This Row],[Total]]&lt;&gt; 0, NOT(ISBLANK(SamplingData[[#This Row],[Candidate 3]]))),(SamplingData[[#This Row],[Total]]+SamplingData[[#This Row],[Winning Candidate]]-SamplingData[[#This Row],[Candidate 3]])/(SamplingData[[#Totals],[Winning Candidate]]-SamplingData[[#Totals],[Candidate 3]]), 0)</f>
        <v>0</v>
      </c>
      <c r="S632" s="100">
        <f>IF(AND(SamplingData[[#This Row],[Total]]&lt;&gt; 0, NOT(ISBLANK(SamplingData[[#This Row],[Candidate 4]]))),(SamplingData[[#This Row],[Total]]+SamplingData[[#This Row],[Winning Candidate]]-SamplingData[[#This Row],[Candidate 4]])/(SamplingData[[#Totals],[Winning Candidate]]-SamplingData[[#Totals],[Candidate 4]]), 0)</f>
        <v>0</v>
      </c>
      <c r="T632" s="100">
        <f>IF(AND(SamplingData[[#This Row],[Total]]&lt;&gt; 0, NOT(ISBLANK(SamplingData[[#This Row],[Candidate 5]]))),(SamplingData[[#This Row],[Total]]+SamplingData[[#This Row],[Winning Candidate]]-SamplingData[[#This Row],[Candidate 5]])/(SamplingData[[#Totals],[Winning Candidate]]-SamplingData[[#Totals],[Candidate 5]]), 0)</f>
        <v>0</v>
      </c>
      <c r="U632" s="100">
        <f>IF(AND(SamplingData[[#This Row],[Total]]&lt;&gt; 0, NOT(ISBLANK(SamplingData[[#This Row],[Candidate 6]]))),(SamplingData[[#This Row],[Total]]+SamplingData[[#This Row],[Losing Candidate]]-SamplingData[[#This Row],[Candidate 6]])/(SamplingData[[#Totals],[Winning Candidate]]-SamplingData[[#Totals],[Candidate 6]]), 0)</f>
        <v>0</v>
      </c>
      <c r="V632" s="100">
        <f>IF(AND(SamplingData[[#This Row],[Total]]&lt;&gt; 0, NOT(ISBLANK(SamplingData[[#This Row],[Candidate 7]]))),(SamplingData[[#This Row],[Total]]+SamplingData[[#This Row],[Winning Candidate]]-SamplingData[[#This Row],[Candidate 7]])/(SamplingData[[#Totals],[Winning Candidate]]-SamplingData[[#Totals],[Candidate 7]]), 0)</f>
        <v>0</v>
      </c>
      <c r="W632" s="100">
        <f>IF(AND(SamplingData[[#This Row],[Total]]&lt;&gt; 0, NOT(ISBLANK(SamplingData[[#This Row],[Candidate 8]]))),(SamplingData[[#This Row],[Total]]+SamplingData[[#This Row],[Winning Candidate]]-SamplingData[[#This Row],[Candidate 8]])/(SamplingData[[#Totals],[Winning Candidate]]-SamplingData[[#Totals],[Candidate 8]]), 0)</f>
        <v>0</v>
      </c>
      <c r="X6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00">
        <f>MAX(SamplingData[[#This Row],[Error Bound (up) - Max. possible relative overstatement - Losing Candidate]:[Error Bound (up) - Max. possible relative overstatement - Candidate 12]])</f>
        <v>5.1512391242893489E-3</v>
      </c>
      <c r="AC632" s="100">
        <f>IF(SamplingData[[#This Row],[Max Error Bound (up)]] = 0,0,SamplingData[[#This Row],[Max Error Bound (up)]]/SamplingData[[#Totals],[Max Error Bound (up)]])</f>
        <v>2.2075055187637978E-3</v>
      </c>
      <c r="AD632" s="104">
        <f>SUM($AC$5:AC632)</f>
        <v>0.17366607440908879</v>
      </c>
      <c r="AE632" s="100" t="str" cm="1">
        <f t="array" ref="AE632">IF(SamplingData[[#This Row],[up/U Selection Probability]] = 0, "Zero", TEXT(SamplingData[[#This Row],[Lower Range]], REPT("0",LEN('General Info'!$B$42))) &amp; " - " &amp; TEXT(SamplingData[[#This Row],[Upper Range]], REPT("0",LEN('General Info'!$B$42))))</f>
        <v>17146 - 17366</v>
      </c>
      <c r="AF632" s="100">
        <f>SamplingData[[#This Row],[Upper Range]]-SamplingData[[#This Row],[Span]]</f>
        <v>17145.8568890325</v>
      </c>
      <c r="AG632" s="100">
        <f>IF(ISNUMBER('General Info'!$B$42), ((SamplingData[[#This Row],[up/U Selection Probability]]) * 'General Info'!$B$44) - 1, 0)</f>
        <v>219.75055187637977</v>
      </c>
      <c r="AH632" s="100">
        <f>IF(ISNUMBER('General Info'!$B$42), (SamplingData[[#This Row],[Running (cumulative) sum]] * ('General Info'!$B$42 -'General Info'!$B$43 + 1)) + 'General Info'!$B$43 - 1, 0)</f>
        <v>17365.60744090888</v>
      </c>
      <c r="AI632" s="100" t="str">
        <f>IF(ISERROR(MATCH(SamplingData[[#This Row],[Batch by Type (p)]],SelectedPrecincts[Batch Name], 0)), "", INDEX(SelectedPrecincts[Draw], MATCH(SamplingData[[#This Row],[Batch by Type (p)]],SelectedPrecincts[Batch Name], 0)))</f>
        <v/>
      </c>
      <c r="AJ632" s="101">
        <f>IF(COUNTIF(SelectedPrecincts[Batch Name],SamplingData[[#This Row],[Batch by Type (p)]]) &lt;&gt; 0, COUNTIF(SelectedPrecincts[Batch Name],SamplingData[[#This Row],[Batch by Type (p)]]), 0)</f>
        <v>0</v>
      </c>
    </row>
    <row r="633" spans="1:36" ht="15" customHeight="1" x14ac:dyDescent="0.35">
      <c r="A633" s="98" t="s">
        <v>844</v>
      </c>
      <c r="B633" s="98">
        <v>10</v>
      </c>
      <c r="C633" s="98">
        <v>1</v>
      </c>
      <c r="D633" s="93"/>
      <c r="E633" s="93"/>
      <c r="F633" s="93"/>
      <c r="G633" s="97"/>
      <c r="H633" s="97"/>
      <c r="I633" s="93"/>
      <c r="J633" s="93"/>
      <c r="K633" s="93"/>
      <c r="L633" s="93"/>
      <c r="M633" s="93"/>
      <c r="N633" s="98">
        <v>0</v>
      </c>
      <c r="O633" s="98">
        <v>2</v>
      </c>
      <c r="P633" s="99">
        <f>SUM(SamplingData[[#This Row],[Winning Candidate]:[Under Votes]])</f>
        <v>13</v>
      </c>
      <c r="Q633"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633" s="100">
        <f>IF(AND(SamplingData[[#This Row],[Total]]&lt;&gt; 0, NOT(ISBLANK(SamplingData[[#This Row],[Candidate 3]]))),(SamplingData[[#This Row],[Total]]+SamplingData[[#This Row],[Winning Candidate]]-SamplingData[[#This Row],[Candidate 3]])/(SamplingData[[#Totals],[Winning Candidate]]-SamplingData[[#Totals],[Candidate 3]]), 0)</f>
        <v>0</v>
      </c>
      <c r="S633" s="100">
        <f>IF(AND(SamplingData[[#This Row],[Total]]&lt;&gt; 0, NOT(ISBLANK(SamplingData[[#This Row],[Candidate 4]]))),(SamplingData[[#This Row],[Total]]+SamplingData[[#This Row],[Winning Candidate]]-SamplingData[[#This Row],[Candidate 4]])/(SamplingData[[#Totals],[Winning Candidate]]-SamplingData[[#Totals],[Candidate 4]]), 0)</f>
        <v>0</v>
      </c>
      <c r="T633" s="100">
        <f>IF(AND(SamplingData[[#This Row],[Total]]&lt;&gt; 0, NOT(ISBLANK(SamplingData[[#This Row],[Candidate 5]]))),(SamplingData[[#This Row],[Total]]+SamplingData[[#This Row],[Winning Candidate]]-SamplingData[[#This Row],[Candidate 5]])/(SamplingData[[#Totals],[Winning Candidate]]-SamplingData[[#Totals],[Candidate 5]]), 0)</f>
        <v>0</v>
      </c>
      <c r="U633" s="100">
        <f>IF(AND(SamplingData[[#This Row],[Total]]&lt;&gt; 0, NOT(ISBLANK(SamplingData[[#This Row],[Candidate 6]]))),(SamplingData[[#This Row],[Total]]+SamplingData[[#This Row],[Losing Candidate]]-SamplingData[[#This Row],[Candidate 6]])/(SamplingData[[#Totals],[Winning Candidate]]-SamplingData[[#Totals],[Candidate 6]]), 0)</f>
        <v>0</v>
      </c>
      <c r="V633" s="100">
        <f>IF(AND(SamplingData[[#This Row],[Total]]&lt;&gt; 0, NOT(ISBLANK(SamplingData[[#This Row],[Candidate 7]]))),(SamplingData[[#This Row],[Total]]+SamplingData[[#This Row],[Winning Candidate]]-SamplingData[[#This Row],[Candidate 7]])/(SamplingData[[#Totals],[Winning Candidate]]-SamplingData[[#Totals],[Candidate 7]]), 0)</f>
        <v>0</v>
      </c>
      <c r="W633" s="100">
        <f>IF(AND(SamplingData[[#This Row],[Total]]&lt;&gt; 0, NOT(ISBLANK(SamplingData[[#This Row],[Candidate 8]]))),(SamplingData[[#This Row],[Total]]+SamplingData[[#This Row],[Winning Candidate]]-SamplingData[[#This Row],[Candidate 8]])/(SamplingData[[#Totals],[Winning Candidate]]-SamplingData[[#Totals],[Candidate 8]]), 0)</f>
        <v>0</v>
      </c>
      <c r="X6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00">
        <f>MAX(SamplingData[[#This Row],[Error Bound (up) - Max. possible relative overstatement - Losing Candidate]:[Error Bound (up) - Max. possible relative overstatement - Candidate 12]])</f>
        <v>6.9101988252662E-4</v>
      </c>
      <c r="AC633" s="100">
        <f>IF(SamplingData[[#This Row],[Max Error Bound (up)]] = 0,0,SamplingData[[#This Row],[Max Error Bound (up)]]/SamplingData[[#Totals],[Max Error Bound (up)]])</f>
        <v>2.9612878910246067E-4</v>
      </c>
      <c r="AD633" s="104">
        <f>SUM($AC$5:AC633)</f>
        <v>0.17396220319819125</v>
      </c>
      <c r="AE633" s="100" t="str" cm="1">
        <f t="array" ref="AE633">IF(SamplingData[[#This Row],[up/U Selection Probability]] = 0, "Zero", TEXT(SamplingData[[#This Row],[Lower Range]], REPT("0",LEN('General Info'!$B$42))) &amp; " - " &amp; TEXT(SamplingData[[#This Row],[Upper Range]], REPT("0",LEN('General Info'!$B$42))))</f>
        <v>17367 - 17395</v>
      </c>
      <c r="AF633" s="100">
        <f>SamplingData[[#This Row],[Upper Range]]-SamplingData[[#This Row],[Span]]</f>
        <v>17366.607440908876</v>
      </c>
      <c r="AG633" s="100">
        <f>IF(ISNUMBER('General Info'!$B$42), ((SamplingData[[#This Row],[up/U Selection Probability]]) * 'General Info'!$B$44) - 1, 0)</f>
        <v>28.612878910246067</v>
      </c>
      <c r="AH633" s="100">
        <f>IF(ISNUMBER('General Info'!$B$42), (SamplingData[[#This Row],[Running (cumulative) sum]] * ('General Info'!$B$42 -'General Info'!$B$43 + 1)) + 'General Info'!$B$43 - 1, 0)</f>
        <v>17395.220319819124</v>
      </c>
      <c r="AI633" s="100" t="str">
        <f>IF(ISERROR(MATCH(SamplingData[[#This Row],[Batch by Type (p)]],SelectedPrecincts[Batch Name], 0)), "", INDEX(SelectedPrecincts[Draw], MATCH(SamplingData[[#This Row],[Batch by Type (p)]],SelectedPrecincts[Batch Name], 0)))</f>
        <v/>
      </c>
      <c r="AJ633" s="101">
        <f>IF(COUNTIF(SelectedPrecincts[Batch Name],SamplingData[[#This Row],[Batch by Type (p)]]) &lt;&gt; 0, COUNTIF(SelectedPrecincts[Batch Name],SamplingData[[#This Row],[Batch by Type (p)]]), 0)</f>
        <v>0</v>
      </c>
    </row>
    <row r="634" spans="1:36" ht="15" customHeight="1" x14ac:dyDescent="0.35">
      <c r="A634" s="98" t="s">
        <v>845</v>
      </c>
      <c r="B634" s="98">
        <v>0</v>
      </c>
      <c r="C634" s="98">
        <v>1</v>
      </c>
      <c r="D634" s="93"/>
      <c r="E634" s="93"/>
      <c r="F634" s="93"/>
      <c r="G634" s="97"/>
      <c r="H634" s="97"/>
      <c r="I634" s="93"/>
      <c r="J634" s="93"/>
      <c r="K634" s="93"/>
      <c r="L634" s="93"/>
      <c r="M634" s="93"/>
      <c r="N634" s="98">
        <v>0</v>
      </c>
      <c r="O634" s="98">
        <v>0</v>
      </c>
      <c r="P634" s="99">
        <f>SUM(SamplingData[[#This Row],[Winning Candidate]:[Under Votes]])</f>
        <v>1</v>
      </c>
      <c r="Q634" s="100">
        <f>IF(AND(SamplingData[[#This Row],[Total]]&lt;&gt; 0, NOT(ISBLANK(SamplingData[[#This Row],[Losing Candidate]]))),(SamplingData[[#This Row],[Total]]+SamplingData[[#This Row],[Winning Candidate]]-SamplingData[[#This Row],[Losing Candidate]])/(SamplingData[[#Totals],[Winning Candidate]]-SamplingData[[#Totals],[Losing Candidate]]), 0)</f>
        <v>0</v>
      </c>
      <c r="R634" s="100">
        <f>IF(AND(SamplingData[[#This Row],[Total]]&lt;&gt; 0, NOT(ISBLANK(SamplingData[[#This Row],[Candidate 3]]))),(SamplingData[[#This Row],[Total]]+SamplingData[[#This Row],[Winning Candidate]]-SamplingData[[#This Row],[Candidate 3]])/(SamplingData[[#Totals],[Winning Candidate]]-SamplingData[[#Totals],[Candidate 3]]), 0)</f>
        <v>0</v>
      </c>
      <c r="S634" s="100">
        <f>IF(AND(SamplingData[[#This Row],[Total]]&lt;&gt; 0, NOT(ISBLANK(SamplingData[[#This Row],[Candidate 4]]))),(SamplingData[[#This Row],[Total]]+SamplingData[[#This Row],[Winning Candidate]]-SamplingData[[#This Row],[Candidate 4]])/(SamplingData[[#Totals],[Winning Candidate]]-SamplingData[[#Totals],[Candidate 4]]), 0)</f>
        <v>0</v>
      </c>
      <c r="T634" s="100">
        <f>IF(AND(SamplingData[[#This Row],[Total]]&lt;&gt; 0, NOT(ISBLANK(SamplingData[[#This Row],[Candidate 5]]))),(SamplingData[[#This Row],[Total]]+SamplingData[[#This Row],[Winning Candidate]]-SamplingData[[#This Row],[Candidate 5]])/(SamplingData[[#Totals],[Winning Candidate]]-SamplingData[[#Totals],[Candidate 5]]), 0)</f>
        <v>0</v>
      </c>
      <c r="U634" s="100">
        <f>IF(AND(SamplingData[[#This Row],[Total]]&lt;&gt; 0, NOT(ISBLANK(SamplingData[[#This Row],[Candidate 6]]))),(SamplingData[[#This Row],[Total]]+SamplingData[[#This Row],[Losing Candidate]]-SamplingData[[#This Row],[Candidate 6]])/(SamplingData[[#Totals],[Winning Candidate]]-SamplingData[[#Totals],[Candidate 6]]), 0)</f>
        <v>0</v>
      </c>
      <c r="V634" s="100">
        <f>IF(AND(SamplingData[[#This Row],[Total]]&lt;&gt; 0, NOT(ISBLANK(SamplingData[[#This Row],[Candidate 7]]))),(SamplingData[[#This Row],[Total]]+SamplingData[[#This Row],[Winning Candidate]]-SamplingData[[#This Row],[Candidate 7]])/(SamplingData[[#Totals],[Winning Candidate]]-SamplingData[[#Totals],[Candidate 7]]), 0)</f>
        <v>0</v>
      </c>
      <c r="W634" s="100">
        <f>IF(AND(SamplingData[[#This Row],[Total]]&lt;&gt; 0, NOT(ISBLANK(SamplingData[[#This Row],[Candidate 8]]))),(SamplingData[[#This Row],[Total]]+SamplingData[[#This Row],[Winning Candidate]]-SamplingData[[#This Row],[Candidate 8]])/(SamplingData[[#Totals],[Winning Candidate]]-SamplingData[[#Totals],[Candidate 8]]), 0)</f>
        <v>0</v>
      </c>
      <c r="X6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00">
        <f>MAX(SamplingData[[#This Row],[Error Bound (up) - Max. possible relative overstatement - Losing Candidate]:[Error Bound (up) - Max. possible relative overstatement - Candidate 12]])</f>
        <v>0</v>
      </c>
      <c r="AC634" s="100">
        <f>IF(SamplingData[[#This Row],[Max Error Bound (up)]] = 0,0,SamplingData[[#This Row],[Max Error Bound (up)]]/SamplingData[[#Totals],[Max Error Bound (up)]])</f>
        <v>0</v>
      </c>
      <c r="AD634" s="104">
        <f>SUM($AC$5:AC634)</f>
        <v>0.17396220319819125</v>
      </c>
      <c r="AE634" s="100" t="str" cm="1">
        <f t="array" ref="AE634">IF(SamplingData[[#This Row],[up/U Selection Probability]] = 0, "Zero", TEXT(SamplingData[[#This Row],[Lower Range]], REPT("0",LEN('General Info'!$B$42))) &amp; " - " &amp; TEXT(SamplingData[[#This Row],[Upper Range]], REPT("0",LEN('General Info'!$B$42))))</f>
        <v>Zero</v>
      </c>
      <c r="AF634" s="100">
        <f>SamplingData[[#This Row],[Upper Range]]-SamplingData[[#This Row],[Span]]</f>
        <v>17396.220319819124</v>
      </c>
      <c r="AG634" s="100">
        <f>IF(ISNUMBER('General Info'!$B$42), ((SamplingData[[#This Row],[up/U Selection Probability]]) * 'General Info'!$B$44) - 1, 0)</f>
        <v>-1</v>
      </c>
      <c r="AH634" s="100">
        <f>IF(ISNUMBER('General Info'!$B$42), (SamplingData[[#This Row],[Running (cumulative) sum]] * ('General Info'!$B$42 -'General Info'!$B$43 + 1)) + 'General Info'!$B$43 - 1, 0)</f>
        <v>17395.220319819124</v>
      </c>
      <c r="AI634" s="100" t="str">
        <f>IF(ISERROR(MATCH(SamplingData[[#This Row],[Batch by Type (p)]],SelectedPrecincts[Batch Name], 0)), "", INDEX(SelectedPrecincts[Draw], MATCH(SamplingData[[#This Row],[Batch by Type (p)]],SelectedPrecincts[Batch Name], 0)))</f>
        <v/>
      </c>
      <c r="AJ634" s="101">
        <f>IF(COUNTIF(SelectedPrecincts[Batch Name],SamplingData[[#This Row],[Batch by Type (p)]]) &lt;&gt; 0, COUNTIF(SelectedPrecincts[Batch Name],SamplingData[[#This Row],[Batch by Type (p)]]), 0)</f>
        <v>0</v>
      </c>
    </row>
    <row r="635" spans="1:36" ht="15" customHeight="1" x14ac:dyDescent="0.35">
      <c r="A635" s="98" t="s">
        <v>846</v>
      </c>
      <c r="B635" s="98">
        <v>33</v>
      </c>
      <c r="C635" s="98">
        <v>7</v>
      </c>
      <c r="D635" s="93"/>
      <c r="E635" s="93"/>
      <c r="F635" s="93"/>
      <c r="G635" s="97"/>
      <c r="H635" s="97"/>
      <c r="I635" s="93"/>
      <c r="J635" s="93"/>
      <c r="K635" s="93"/>
      <c r="L635" s="93"/>
      <c r="M635" s="93"/>
      <c r="N635" s="98">
        <v>0</v>
      </c>
      <c r="O635" s="98">
        <v>0</v>
      </c>
      <c r="P635" s="99">
        <f>SUM(SamplingData[[#This Row],[Winning Candidate]:[Under Votes]])</f>
        <v>40</v>
      </c>
      <c r="Q635"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635" s="100">
        <f>IF(AND(SamplingData[[#This Row],[Total]]&lt;&gt; 0, NOT(ISBLANK(SamplingData[[#This Row],[Candidate 3]]))),(SamplingData[[#This Row],[Total]]+SamplingData[[#This Row],[Winning Candidate]]-SamplingData[[#This Row],[Candidate 3]])/(SamplingData[[#Totals],[Winning Candidate]]-SamplingData[[#Totals],[Candidate 3]]), 0)</f>
        <v>0</v>
      </c>
      <c r="S635" s="100">
        <f>IF(AND(SamplingData[[#This Row],[Total]]&lt;&gt; 0, NOT(ISBLANK(SamplingData[[#This Row],[Candidate 4]]))),(SamplingData[[#This Row],[Total]]+SamplingData[[#This Row],[Winning Candidate]]-SamplingData[[#This Row],[Candidate 4]])/(SamplingData[[#Totals],[Winning Candidate]]-SamplingData[[#Totals],[Candidate 4]]), 0)</f>
        <v>0</v>
      </c>
      <c r="T635" s="100">
        <f>IF(AND(SamplingData[[#This Row],[Total]]&lt;&gt; 0, NOT(ISBLANK(SamplingData[[#This Row],[Candidate 5]]))),(SamplingData[[#This Row],[Total]]+SamplingData[[#This Row],[Winning Candidate]]-SamplingData[[#This Row],[Candidate 5]])/(SamplingData[[#Totals],[Winning Candidate]]-SamplingData[[#Totals],[Candidate 5]]), 0)</f>
        <v>0</v>
      </c>
      <c r="U635" s="100">
        <f>IF(AND(SamplingData[[#This Row],[Total]]&lt;&gt; 0, NOT(ISBLANK(SamplingData[[#This Row],[Candidate 6]]))),(SamplingData[[#This Row],[Total]]+SamplingData[[#This Row],[Losing Candidate]]-SamplingData[[#This Row],[Candidate 6]])/(SamplingData[[#Totals],[Winning Candidate]]-SamplingData[[#Totals],[Candidate 6]]), 0)</f>
        <v>0</v>
      </c>
      <c r="V635" s="100">
        <f>IF(AND(SamplingData[[#This Row],[Total]]&lt;&gt; 0, NOT(ISBLANK(SamplingData[[#This Row],[Candidate 7]]))),(SamplingData[[#This Row],[Total]]+SamplingData[[#This Row],[Winning Candidate]]-SamplingData[[#This Row],[Candidate 7]])/(SamplingData[[#Totals],[Winning Candidate]]-SamplingData[[#Totals],[Candidate 7]]), 0)</f>
        <v>0</v>
      </c>
      <c r="W635" s="100">
        <f>IF(AND(SamplingData[[#This Row],[Total]]&lt;&gt; 0, NOT(ISBLANK(SamplingData[[#This Row],[Candidate 8]]))),(SamplingData[[#This Row],[Total]]+SamplingData[[#This Row],[Winning Candidate]]-SamplingData[[#This Row],[Candidate 8]])/(SamplingData[[#Totals],[Winning Candidate]]-SamplingData[[#Totals],[Candidate 8]]), 0)</f>
        <v>0</v>
      </c>
      <c r="X6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00">
        <f>MAX(SamplingData[[#This Row],[Error Bound (up) - Max. possible relative overstatement - Losing Candidate]:[Error Bound (up) - Max. possible relative overstatement - Candidate 12]])</f>
        <v>2.0730596475798599E-3</v>
      </c>
      <c r="AC635" s="100">
        <f>IF(SamplingData[[#This Row],[Max Error Bound (up)]] = 0,0,SamplingData[[#This Row],[Max Error Bound (up)]]/SamplingData[[#Totals],[Max Error Bound (up)]])</f>
        <v>8.8838636730738201E-4</v>
      </c>
      <c r="AD635" s="104">
        <f>SUM($AC$5:AC635)</f>
        <v>0.17485058956549862</v>
      </c>
      <c r="AE635" s="100" t="str" cm="1">
        <f t="array" ref="AE635">IF(SamplingData[[#This Row],[up/U Selection Probability]] = 0, "Zero", TEXT(SamplingData[[#This Row],[Lower Range]], REPT("0",LEN('General Info'!$B$42))) &amp; " - " &amp; TEXT(SamplingData[[#This Row],[Upper Range]], REPT("0",LEN('General Info'!$B$42))))</f>
        <v>17396 - 17484</v>
      </c>
      <c r="AF635" s="100">
        <f>SamplingData[[#This Row],[Upper Range]]-SamplingData[[#This Row],[Span]]</f>
        <v>17396.220319819124</v>
      </c>
      <c r="AG635" s="100">
        <f>IF(ISNUMBER('General Info'!$B$42), ((SamplingData[[#This Row],[up/U Selection Probability]]) * 'General Info'!$B$44) - 1, 0)</f>
        <v>87.838636730738202</v>
      </c>
      <c r="AH635" s="100">
        <f>IF(ISNUMBER('General Info'!$B$42), (SamplingData[[#This Row],[Running (cumulative) sum]] * ('General Info'!$B$42 -'General Info'!$B$43 + 1)) + 'General Info'!$B$43 - 1, 0)</f>
        <v>17484.058956549863</v>
      </c>
      <c r="AI635" s="100" t="str">
        <f>IF(ISERROR(MATCH(SamplingData[[#This Row],[Batch by Type (p)]],SelectedPrecincts[Batch Name], 0)), "", INDEX(SelectedPrecincts[Draw], MATCH(SamplingData[[#This Row],[Batch by Type (p)]],SelectedPrecincts[Batch Name], 0)))</f>
        <v/>
      </c>
      <c r="AJ635" s="101">
        <f>IF(COUNTIF(SelectedPrecincts[Batch Name],SamplingData[[#This Row],[Batch by Type (p)]]) &lt;&gt; 0, COUNTIF(SelectedPrecincts[Batch Name],SamplingData[[#This Row],[Batch by Type (p)]]), 0)</f>
        <v>0</v>
      </c>
    </row>
    <row r="636" spans="1:36" ht="15" customHeight="1" x14ac:dyDescent="0.35">
      <c r="A636" s="98" t="s">
        <v>847</v>
      </c>
      <c r="B636" s="98">
        <v>12</v>
      </c>
      <c r="C636" s="98">
        <v>0</v>
      </c>
      <c r="D636" s="93"/>
      <c r="E636" s="93"/>
      <c r="F636" s="93"/>
      <c r="G636" s="97"/>
      <c r="H636" s="97"/>
      <c r="I636" s="93"/>
      <c r="J636" s="93"/>
      <c r="K636" s="93"/>
      <c r="L636" s="93"/>
      <c r="M636" s="93"/>
      <c r="N636" s="98">
        <v>0</v>
      </c>
      <c r="O636" s="98">
        <v>0</v>
      </c>
      <c r="P636" s="99">
        <f>SUM(SamplingData[[#This Row],[Winning Candidate]:[Under Votes]])</f>
        <v>12</v>
      </c>
      <c r="Q636"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636" s="100">
        <f>IF(AND(SamplingData[[#This Row],[Total]]&lt;&gt; 0, NOT(ISBLANK(SamplingData[[#This Row],[Candidate 3]]))),(SamplingData[[#This Row],[Total]]+SamplingData[[#This Row],[Winning Candidate]]-SamplingData[[#This Row],[Candidate 3]])/(SamplingData[[#Totals],[Winning Candidate]]-SamplingData[[#Totals],[Candidate 3]]), 0)</f>
        <v>0</v>
      </c>
      <c r="S636" s="100">
        <f>IF(AND(SamplingData[[#This Row],[Total]]&lt;&gt; 0, NOT(ISBLANK(SamplingData[[#This Row],[Candidate 4]]))),(SamplingData[[#This Row],[Total]]+SamplingData[[#This Row],[Winning Candidate]]-SamplingData[[#This Row],[Candidate 4]])/(SamplingData[[#Totals],[Winning Candidate]]-SamplingData[[#Totals],[Candidate 4]]), 0)</f>
        <v>0</v>
      </c>
      <c r="T636" s="100">
        <f>IF(AND(SamplingData[[#This Row],[Total]]&lt;&gt; 0, NOT(ISBLANK(SamplingData[[#This Row],[Candidate 5]]))),(SamplingData[[#This Row],[Total]]+SamplingData[[#This Row],[Winning Candidate]]-SamplingData[[#This Row],[Candidate 5]])/(SamplingData[[#Totals],[Winning Candidate]]-SamplingData[[#Totals],[Candidate 5]]), 0)</f>
        <v>0</v>
      </c>
      <c r="U636" s="100">
        <f>IF(AND(SamplingData[[#This Row],[Total]]&lt;&gt; 0, NOT(ISBLANK(SamplingData[[#This Row],[Candidate 6]]))),(SamplingData[[#This Row],[Total]]+SamplingData[[#This Row],[Losing Candidate]]-SamplingData[[#This Row],[Candidate 6]])/(SamplingData[[#Totals],[Winning Candidate]]-SamplingData[[#Totals],[Candidate 6]]), 0)</f>
        <v>0</v>
      </c>
      <c r="V636" s="100">
        <f>IF(AND(SamplingData[[#This Row],[Total]]&lt;&gt; 0, NOT(ISBLANK(SamplingData[[#This Row],[Candidate 7]]))),(SamplingData[[#This Row],[Total]]+SamplingData[[#This Row],[Winning Candidate]]-SamplingData[[#This Row],[Candidate 7]])/(SamplingData[[#Totals],[Winning Candidate]]-SamplingData[[#Totals],[Candidate 7]]), 0)</f>
        <v>0</v>
      </c>
      <c r="W636" s="100">
        <f>IF(AND(SamplingData[[#This Row],[Total]]&lt;&gt; 0, NOT(ISBLANK(SamplingData[[#This Row],[Candidate 8]]))),(SamplingData[[#This Row],[Total]]+SamplingData[[#This Row],[Winning Candidate]]-SamplingData[[#This Row],[Candidate 8]])/(SamplingData[[#Totals],[Winning Candidate]]-SamplingData[[#Totals],[Candidate 8]]), 0)</f>
        <v>0</v>
      </c>
      <c r="X6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00">
        <f>MAX(SamplingData[[#This Row],[Error Bound (up) - Max. possible relative overstatement - Losing Candidate]:[Error Bound (up) - Max. possible relative overstatement - Candidate 12]])</f>
        <v>7.5383987184722177E-4</v>
      </c>
      <c r="AC636" s="100">
        <f>IF(SamplingData[[#This Row],[Max Error Bound (up)]] = 0,0,SamplingData[[#This Row],[Max Error Bound (up)]]/SamplingData[[#Totals],[Max Error Bound (up)]])</f>
        <v>3.2304958811177527E-4</v>
      </c>
      <c r="AD636" s="104">
        <f>SUM($AC$5:AC636)</f>
        <v>0.17517363915361039</v>
      </c>
      <c r="AE636" s="100" t="str" cm="1">
        <f t="array" ref="AE636">IF(SamplingData[[#This Row],[up/U Selection Probability]] = 0, "Zero", TEXT(SamplingData[[#This Row],[Lower Range]], REPT("0",LEN('General Info'!$B$42))) &amp; " - " &amp; TEXT(SamplingData[[#This Row],[Upper Range]], REPT("0",LEN('General Info'!$B$42))))</f>
        <v>17485 - 17516</v>
      </c>
      <c r="AF636" s="100">
        <f>SamplingData[[#This Row],[Upper Range]]-SamplingData[[#This Row],[Span]]</f>
        <v>17485.058956549859</v>
      </c>
      <c r="AG636" s="100">
        <f>IF(ISNUMBER('General Info'!$B$42), ((SamplingData[[#This Row],[up/U Selection Probability]]) * 'General Info'!$B$44) - 1, 0)</f>
        <v>31.304958811177528</v>
      </c>
      <c r="AH636" s="100">
        <f>IF(ISNUMBER('General Info'!$B$42), (SamplingData[[#This Row],[Running (cumulative) sum]] * ('General Info'!$B$42 -'General Info'!$B$43 + 1)) + 'General Info'!$B$43 - 1, 0)</f>
        <v>17516.363915361038</v>
      </c>
      <c r="AI636" s="100" t="str">
        <f>IF(ISERROR(MATCH(SamplingData[[#This Row],[Batch by Type (p)]],SelectedPrecincts[Batch Name], 0)), "", INDEX(SelectedPrecincts[Draw], MATCH(SamplingData[[#This Row],[Batch by Type (p)]],SelectedPrecincts[Batch Name], 0)))</f>
        <v/>
      </c>
      <c r="AJ636" s="101">
        <f>IF(COUNTIF(SelectedPrecincts[Batch Name],SamplingData[[#This Row],[Batch by Type (p)]]) &lt;&gt; 0, COUNTIF(SelectedPrecincts[Batch Name],SamplingData[[#This Row],[Batch by Type (p)]]), 0)</f>
        <v>0</v>
      </c>
    </row>
    <row r="637" spans="1:36" ht="15" customHeight="1" x14ac:dyDescent="0.35">
      <c r="A637" s="98" t="s">
        <v>848</v>
      </c>
      <c r="B637" s="98">
        <v>2</v>
      </c>
      <c r="C637" s="98">
        <v>0</v>
      </c>
      <c r="D637" s="93"/>
      <c r="E637" s="93"/>
      <c r="F637" s="93"/>
      <c r="G637" s="97"/>
      <c r="H637" s="97"/>
      <c r="I637" s="93"/>
      <c r="J637" s="93"/>
      <c r="K637" s="93"/>
      <c r="L637" s="93"/>
      <c r="M637" s="93"/>
      <c r="N637" s="98">
        <v>0</v>
      </c>
      <c r="O637" s="98">
        <v>0</v>
      </c>
      <c r="P637" s="99">
        <f>SUM(SamplingData[[#This Row],[Winning Candidate]:[Under Votes]])</f>
        <v>2</v>
      </c>
      <c r="Q637"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37" s="100">
        <f>IF(AND(SamplingData[[#This Row],[Total]]&lt;&gt; 0, NOT(ISBLANK(SamplingData[[#This Row],[Candidate 3]]))),(SamplingData[[#This Row],[Total]]+SamplingData[[#This Row],[Winning Candidate]]-SamplingData[[#This Row],[Candidate 3]])/(SamplingData[[#Totals],[Winning Candidate]]-SamplingData[[#Totals],[Candidate 3]]), 0)</f>
        <v>0</v>
      </c>
      <c r="S637" s="100">
        <f>IF(AND(SamplingData[[#This Row],[Total]]&lt;&gt; 0, NOT(ISBLANK(SamplingData[[#This Row],[Candidate 4]]))),(SamplingData[[#This Row],[Total]]+SamplingData[[#This Row],[Winning Candidate]]-SamplingData[[#This Row],[Candidate 4]])/(SamplingData[[#Totals],[Winning Candidate]]-SamplingData[[#Totals],[Candidate 4]]), 0)</f>
        <v>0</v>
      </c>
      <c r="T637" s="100">
        <f>IF(AND(SamplingData[[#This Row],[Total]]&lt;&gt; 0, NOT(ISBLANK(SamplingData[[#This Row],[Candidate 5]]))),(SamplingData[[#This Row],[Total]]+SamplingData[[#This Row],[Winning Candidate]]-SamplingData[[#This Row],[Candidate 5]])/(SamplingData[[#Totals],[Winning Candidate]]-SamplingData[[#Totals],[Candidate 5]]), 0)</f>
        <v>0</v>
      </c>
      <c r="U637" s="100">
        <f>IF(AND(SamplingData[[#This Row],[Total]]&lt;&gt; 0, NOT(ISBLANK(SamplingData[[#This Row],[Candidate 6]]))),(SamplingData[[#This Row],[Total]]+SamplingData[[#This Row],[Losing Candidate]]-SamplingData[[#This Row],[Candidate 6]])/(SamplingData[[#Totals],[Winning Candidate]]-SamplingData[[#Totals],[Candidate 6]]), 0)</f>
        <v>0</v>
      </c>
      <c r="V637" s="100">
        <f>IF(AND(SamplingData[[#This Row],[Total]]&lt;&gt; 0, NOT(ISBLANK(SamplingData[[#This Row],[Candidate 7]]))),(SamplingData[[#This Row],[Total]]+SamplingData[[#This Row],[Winning Candidate]]-SamplingData[[#This Row],[Candidate 7]])/(SamplingData[[#Totals],[Winning Candidate]]-SamplingData[[#Totals],[Candidate 7]]), 0)</f>
        <v>0</v>
      </c>
      <c r="W637" s="100">
        <f>IF(AND(SamplingData[[#This Row],[Total]]&lt;&gt; 0, NOT(ISBLANK(SamplingData[[#This Row],[Candidate 8]]))),(SamplingData[[#This Row],[Total]]+SamplingData[[#This Row],[Winning Candidate]]-SamplingData[[#This Row],[Candidate 8]])/(SamplingData[[#Totals],[Winning Candidate]]-SamplingData[[#Totals],[Candidate 8]]), 0)</f>
        <v>0</v>
      </c>
      <c r="X6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00">
        <f>MAX(SamplingData[[#This Row],[Error Bound (up) - Max. possible relative overstatement - Losing Candidate]:[Error Bound (up) - Max. possible relative overstatement - Candidate 12]])</f>
        <v>1.2563997864120362E-4</v>
      </c>
      <c r="AC637" s="100">
        <f>IF(SamplingData[[#This Row],[Max Error Bound (up)]] = 0,0,SamplingData[[#This Row],[Max Error Bound (up)]]/SamplingData[[#Totals],[Max Error Bound (up)]])</f>
        <v>5.3841598018629206E-5</v>
      </c>
      <c r="AD637" s="104">
        <f>SUM($AC$5:AC637)</f>
        <v>0.17522748075162903</v>
      </c>
      <c r="AE637" s="100" t="str" cm="1">
        <f t="array" ref="AE637">IF(SamplingData[[#This Row],[up/U Selection Probability]] = 0, "Zero", TEXT(SamplingData[[#This Row],[Lower Range]], REPT("0",LEN('General Info'!$B$42))) &amp; " - " &amp; TEXT(SamplingData[[#This Row],[Upper Range]], REPT("0",LEN('General Info'!$B$42))))</f>
        <v>17517 - 17522</v>
      </c>
      <c r="AF637" s="100">
        <f>SamplingData[[#This Row],[Upper Range]]-SamplingData[[#This Row],[Span]]</f>
        <v>17517.363915361042</v>
      </c>
      <c r="AG637" s="100">
        <f>IF(ISNUMBER('General Info'!$B$42), ((SamplingData[[#This Row],[up/U Selection Probability]]) * 'General Info'!$B$44) - 1, 0)</f>
        <v>4.3841598018629204</v>
      </c>
      <c r="AH637" s="100">
        <f>IF(ISNUMBER('General Info'!$B$42), (SamplingData[[#This Row],[Running (cumulative) sum]] * ('General Info'!$B$42 -'General Info'!$B$43 + 1)) + 'General Info'!$B$43 - 1, 0)</f>
        <v>17521.748075162905</v>
      </c>
      <c r="AI637" s="100" t="str">
        <f>IF(ISERROR(MATCH(SamplingData[[#This Row],[Batch by Type (p)]],SelectedPrecincts[Batch Name], 0)), "", INDEX(SelectedPrecincts[Draw], MATCH(SamplingData[[#This Row],[Batch by Type (p)]],SelectedPrecincts[Batch Name], 0)))</f>
        <v/>
      </c>
      <c r="AJ637" s="101">
        <f>IF(COUNTIF(SelectedPrecincts[Batch Name],SamplingData[[#This Row],[Batch by Type (p)]]) &lt;&gt; 0, COUNTIF(SelectedPrecincts[Batch Name],SamplingData[[#This Row],[Batch by Type (p)]]), 0)</f>
        <v>0</v>
      </c>
    </row>
    <row r="638" spans="1:36" ht="15" customHeight="1" x14ac:dyDescent="0.35">
      <c r="A638" s="98" t="s">
        <v>849</v>
      </c>
      <c r="B638" s="98">
        <v>33</v>
      </c>
      <c r="C638" s="98">
        <v>6</v>
      </c>
      <c r="D638" s="93"/>
      <c r="E638" s="93"/>
      <c r="F638" s="93"/>
      <c r="G638" s="97"/>
      <c r="H638" s="97"/>
      <c r="I638" s="93"/>
      <c r="J638" s="93"/>
      <c r="K638" s="93"/>
      <c r="L638" s="93"/>
      <c r="M638" s="93"/>
      <c r="N638" s="98">
        <v>0</v>
      </c>
      <c r="O638" s="98">
        <v>2</v>
      </c>
      <c r="P638" s="99">
        <f>SUM(SamplingData[[#This Row],[Winning Candidate]:[Under Votes]])</f>
        <v>41</v>
      </c>
      <c r="Q638" s="100">
        <f>IF(AND(SamplingData[[#This Row],[Total]]&lt;&gt; 0, NOT(ISBLANK(SamplingData[[#This Row],[Losing Candidate]]))),(SamplingData[[#This Row],[Total]]+SamplingData[[#This Row],[Winning Candidate]]-SamplingData[[#This Row],[Losing Candidate]])/(SamplingData[[#Totals],[Winning Candidate]]-SamplingData[[#Totals],[Losing Candidate]]), 0)</f>
        <v>2.1358796369004619E-3</v>
      </c>
      <c r="R638" s="100">
        <f>IF(AND(SamplingData[[#This Row],[Total]]&lt;&gt; 0, NOT(ISBLANK(SamplingData[[#This Row],[Candidate 3]]))),(SamplingData[[#This Row],[Total]]+SamplingData[[#This Row],[Winning Candidate]]-SamplingData[[#This Row],[Candidate 3]])/(SamplingData[[#Totals],[Winning Candidate]]-SamplingData[[#Totals],[Candidate 3]]), 0)</f>
        <v>0</v>
      </c>
      <c r="S638" s="100">
        <f>IF(AND(SamplingData[[#This Row],[Total]]&lt;&gt; 0, NOT(ISBLANK(SamplingData[[#This Row],[Candidate 4]]))),(SamplingData[[#This Row],[Total]]+SamplingData[[#This Row],[Winning Candidate]]-SamplingData[[#This Row],[Candidate 4]])/(SamplingData[[#Totals],[Winning Candidate]]-SamplingData[[#Totals],[Candidate 4]]), 0)</f>
        <v>0</v>
      </c>
      <c r="T638" s="100">
        <f>IF(AND(SamplingData[[#This Row],[Total]]&lt;&gt; 0, NOT(ISBLANK(SamplingData[[#This Row],[Candidate 5]]))),(SamplingData[[#This Row],[Total]]+SamplingData[[#This Row],[Winning Candidate]]-SamplingData[[#This Row],[Candidate 5]])/(SamplingData[[#Totals],[Winning Candidate]]-SamplingData[[#Totals],[Candidate 5]]), 0)</f>
        <v>0</v>
      </c>
      <c r="U638" s="100">
        <f>IF(AND(SamplingData[[#This Row],[Total]]&lt;&gt; 0, NOT(ISBLANK(SamplingData[[#This Row],[Candidate 6]]))),(SamplingData[[#This Row],[Total]]+SamplingData[[#This Row],[Losing Candidate]]-SamplingData[[#This Row],[Candidate 6]])/(SamplingData[[#Totals],[Winning Candidate]]-SamplingData[[#Totals],[Candidate 6]]), 0)</f>
        <v>0</v>
      </c>
      <c r="V638" s="100">
        <f>IF(AND(SamplingData[[#This Row],[Total]]&lt;&gt; 0, NOT(ISBLANK(SamplingData[[#This Row],[Candidate 7]]))),(SamplingData[[#This Row],[Total]]+SamplingData[[#This Row],[Winning Candidate]]-SamplingData[[#This Row],[Candidate 7]])/(SamplingData[[#Totals],[Winning Candidate]]-SamplingData[[#Totals],[Candidate 7]]), 0)</f>
        <v>0</v>
      </c>
      <c r="W638" s="100">
        <f>IF(AND(SamplingData[[#This Row],[Total]]&lt;&gt; 0, NOT(ISBLANK(SamplingData[[#This Row],[Candidate 8]]))),(SamplingData[[#This Row],[Total]]+SamplingData[[#This Row],[Winning Candidate]]-SamplingData[[#This Row],[Candidate 8]])/(SamplingData[[#Totals],[Winning Candidate]]-SamplingData[[#Totals],[Candidate 8]]), 0)</f>
        <v>0</v>
      </c>
      <c r="X6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00">
        <f>MAX(SamplingData[[#This Row],[Error Bound (up) - Max. possible relative overstatement - Losing Candidate]:[Error Bound (up) - Max. possible relative overstatement - Candidate 12]])</f>
        <v>2.1358796369004619E-3</v>
      </c>
      <c r="AC638" s="100">
        <f>IF(SamplingData[[#This Row],[Max Error Bound (up)]] = 0,0,SamplingData[[#This Row],[Max Error Bound (up)]]/SamplingData[[#Totals],[Max Error Bound (up)]])</f>
        <v>9.1530716631669671E-4</v>
      </c>
      <c r="AD638" s="104">
        <f>SUM($AC$5:AC638)</f>
        <v>0.17614278791794571</v>
      </c>
      <c r="AE638" s="100" t="str" cm="1">
        <f t="array" ref="AE638">IF(SamplingData[[#This Row],[up/U Selection Probability]] = 0, "Zero", TEXT(SamplingData[[#This Row],[Lower Range]], REPT("0",LEN('General Info'!$B$42))) &amp; " - " &amp; TEXT(SamplingData[[#This Row],[Upper Range]], REPT("0",LEN('General Info'!$B$42))))</f>
        <v>17523 - 17613</v>
      </c>
      <c r="AF638" s="100">
        <f>SamplingData[[#This Row],[Upper Range]]-SamplingData[[#This Row],[Span]]</f>
        <v>17522.748075162901</v>
      </c>
      <c r="AG638" s="100">
        <f>IF(ISNUMBER('General Info'!$B$42), ((SamplingData[[#This Row],[up/U Selection Probability]]) * 'General Info'!$B$44) - 1, 0)</f>
        <v>90.530716631669677</v>
      </c>
      <c r="AH638" s="100">
        <f>IF(ISNUMBER('General Info'!$B$42), (SamplingData[[#This Row],[Running (cumulative) sum]] * ('General Info'!$B$42 -'General Info'!$B$43 + 1)) + 'General Info'!$B$43 - 1, 0)</f>
        <v>17613.278791794572</v>
      </c>
      <c r="AI638" s="100" t="str">
        <f>IF(ISERROR(MATCH(SamplingData[[#This Row],[Batch by Type (p)]],SelectedPrecincts[Batch Name], 0)), "", INDEX(SelectedPrecincts[Draw], MATCH(SamplingData[[#This Row],[Batch by Type (p)]],SelectedPrecincts[Batch Name], 0)))</f>
        <v/>
      </c>
      <c r="AJ638" s="101">
        <f>IF(COUNTIF(SelectedPrecincts[Batch Name],SamplingData[[#This Row],[Batch by Type (p)]]) &lt;&gt; 0, COUNTIF(SelectedPrecincts[Batch Name],SamplingData[[#This Row],[Batch by Type (p)]]), 0)</f>
        <v>0</v>
      </c>
    </row>
    <row r="639" spans="1:36" ht="15" customHeight="1" x14ac:dyDescent="0.35">
      <c r="A639" s="98" t="s">
        <v>850</v>
      </c>
      <c r="B639" s="98">
        <v>3</v>
      </c>
      <c r="C639" s="98">
        <v>1</v>
      </c>
      <c r="D639" s="93"/>
      <c r="E639" s="93"/>
      <c r="F639" s="93"/>
      <c r="G639" s="97"/>
      <c r="H639" s="97"/>
      <c r="I639" s="93"/>
      <c r="J639" s="93"/>
      <c r="K639" s="93"/>
      <c r="L639" s="93"/>
      <c r="M639" s="93"/>
      <c r="N639" s="98">
        <v>0</v>
      </c>
      <c r="O639" s="98">
        <v>0</v>
      </c>
      <c r="P639" s="99">
        <f>SUM(SamplingData[[#This Row],[Winning Candidate]:[Under Votes]])</f>
        <v>4</v>
      </c>
      <c r="Q63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639" s="100">
        <f>IF(AND(SamplingData[[#This Row],[Total]]&lt;&gt; 0, NOT(ISBLANK(SamplingData[[#This Row],[Candidate 3]]))),(SamplingData[[#This Row],[Total]]+SamplingData[[#This Row],[Winning Candidate]]-SamplingData[[#This Row],[Candidate 3]])/(SamplingData[[#Totals],[Winning Candidate]]-SamplingData[[#Totals],[Candidate 3]]), 0)</f>
        <v>0</v>
      </c>
      <c r="S639" s="100">
        <f>IF(AND(SamplingData[[#This Row],[Total]]&lt;&gt; 0, NOT(ISBLANK(SamplingData[[#This Row],[Candidate 4]]))),(SamplingData[[#This Row],[Total]]+SamplingData[[#This Row],[Winning Candidate]]-SamplingData[[#This Row],[Candidate 4]])/(SamplingData[[#Totals],[Winning Candidate]]-SamplingData[[#Totals],[Candidate 4]]), 0)</f>
        <v>0</v>
      </c>
      <c r="T639" s="100">
        <f>IF(AND(SamplingData[[#This Row],[Total]]&lt;&gt; 0, NOT(ISBLANK(SamplingData[[#This Row],[Candidate 5]]))),(SamplingData[[#This Row],[Total]]+SamplingData[[#This Row],[Winning Candidate]]-SamplingData[[#This Row],[Candidate 5]])/(SamplingData[[#Totals],[Winning Candidate]]-SamplingData[[#Totals],[Candidate 5]]), 0)</f>
        <v>0</v>
      </c>
      <c r="U639" s="100">
        <f>IF(AND(SamplingData[[#This Row],[Total]]&lt;&gt; 0, NOT(ISBLANK(SamplingData[[#This Row],[Candidate 6]]))),(SamplingData[[#This Row],[Total]]+SamplingData[[#This Row],[Losing Candidate]]-SamplingData[[#This Row],[Candidate 6]])/(SamplingData[[#Totals],[Winning Candidate]]-SamplingData[[#Totals],[Candidate 6]]), 0)</f>
        <v>0</v>
      </c>
      <c r="V639" s="100">
        <f>IF(AND(SamplingData[[#This Row],[Total]]&lt;&gt; 0, NOT(ISBLANK(SamplingData[[#This Row],[Candidate 7]]))),(SamplingData[[#This Row],[Total]]+SamplingData[[#This Row],[Winning Candidate]]-SamplingData[[#This Row],[Candidate 7]])/(SamplingData[[#Totals],[Winning Candidate]]-SamplingData[[#Totals],[Candidate 7]]), 0)</f>
        <v>0</v>
      </c>
      <c r="W639" s="100">
        <f>IF(AND(SamplingData[[#This Row],[Total]]&lt;&gt; 0, NOT(ISBLANK(SamplingData[[#This Row],[Candidate 8]]))),(SamplingData[[#This Row],[Total]]+SamplingData[[#This Row],[Winning Candidate]]-SamplingData[[#This Row],[Candidate 8]])/(SamplingData[[#Totals],[Winning Candidate]]-SamplingData[[#Totals],[Candidate 8]]), 0)</f>
        <v>0</v>
      </c>
      <c r="X6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00">
        <f>MAX(SamplingData[[#This Row],[Error Bound (up) - Max. possible relative overstatement - Losing Candidate]:[Error Bound (up) - Max. possible relative overstatement - Candidate 12]])</f>
        <v>1.8845996796180544E-4</v>
      </c>
      <c r="AC639" s="100">
        <f>IF(SamplingData[[#This Row],[Max Error Bound (up)]] = 0,0,SamplingData[[#This Row],[Max Error Bound (up)]]/SamplingData[[#Totals],[Max Error Bound (up)]])</f>
        <v>8.0762397027943816E-5</v>
      </c>
      <c r="AD639" s="104">
        <f>SUM($AC$5:AC639)</f>
        <v>0.17622355031497366</v>
      </c>
      <c r="AE639" s="100" t="str" cm="1">
        <f t="array" ref="AE639">IF(SamplingData[[#This Row],[up/U Selection Probability]] = 0, "Zero", TEXT(SamplingData[[#This Row],[Lower Range]], REPT("0",LEN('General Info'!$B$42))) &amp; " - " &amp; TEXT(SamplingData[[#This Row],[Upper Range]], REPT("0",LEN('General Info'!$B$42))))</f>
        <v>17614 - 17621</v>
      </c>
      <c r="AF639" s="100">
        <f>SamplingData[[#This Row],[Upper Range]]-SamplingData[[#This Row],[Span]]</f>
        <v>17614.278791794572</v>
      </c>
      <c r="AG639" s="100">
        <f>IF(ISNUMBER('General Info'!$B$42), ((SamplingData[[#This Row],[up/U Selection Probability]]) * 'General Info'!$B$44) - 1, 0)</f>
        <v>7.076239702794382</v>
      </c>
      <c r="AH639" s="100">
        <f>IF(ISNUMBER('General Info'!$B$42), (SamplingData[[#This Row],[Running (cumulative) sum]] * ('General Info'!$B$42 -'General Info'!$B$43 + 1)) + 'General Info'!$B$43 - 1, 0)</f>
        <v>17621.355031497365</v>
      </c>
      <c r="AI639" s="100" t="str">
        <f>IF(ISERROR(MATCH(SamplingData[[#This Row],[Batch by Type (p)]],SelectedPrecincts[Batch Name], 0)), "", INDEX(SelectedPrecincts[Draw], MATCH(SamplingData[[#This Row],[Batch by Type (p)]],SelectedPrecincts[Batch Name], 0)))</f>
        <v/>
      </c>
      <c r="AJ639" s="101">
        <f>IF(COUNTIF(SelectedPrecincts[Batch Name],SamplingData[[#This Row],[Batch by Type (p)]]) &lt;&gt; 0, COUNTIF(SelectedPrecincts[Batch Name],SamplingData[[#This Row],[Batch by Type (p)]]), 0)</f>
        <v>0</v>
      </c>
    </row>
    <row r="640" spans="1:36" ht="15" customHeight="1" x14ac:dyDescent="0.35">
      <c r="A640" s="98" t="s">
        <v>851</v>
      </c>
      <c r="B640" s="98">
        <v>6</v>
      </c>
      <c r="C640" s="98">
        <v>0</v>
      </c>
      <c r="D640" s="93"/>
      <c r="E640" s="93"/>
      <c r="F640" s="93"/>
      <c r="G640" s="97"/>
      <c r="H640" s="97"/>
      <c r="I640" s="93"/>
      <c r="J640" s="93"/>
      <c r="K640" s="93"/>
      <c r="L640" s="93"/>
      <c r="M640" s="93"/>
      <c r="N640" s="98">
        <v>0</v>
      </c>
      <c r="O640" s="98">
        <v>0</v>
      </c>
      <c r="P640" s="99">
        <f>SUM(SamplingData[[#This Row],[Winning Candidate]:[Under Votes]])</f>
        <v>6</v>
      </c>
      <c r="Q640"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40" s="100">
        <f>IF(AND(SamplingData[[#This Row],[Total]]&lt;&gt; 0, NOT(ISBLANK(SamplingData[[#This Row],[Candidate 3]]))),(SamplingData[[#This Row],[Total]]+SamplingData[[#This Row],[Winning Candidate]]-SamplingData[[#This Row],[Candidate 3]])/(SamplingData[[#Totals],[Winning Candidate]]-SamplingData[[#Totals],[Candidate 3]]), 0)</f>
        <v>0</v>
      </c>
      <c r="S640" s="100">
        <f>IF(AND(SamplingData[[#This Row],[Total]]&lt;&gt; 0, NOT(ISBLANK(SamplingData[[#This Row],[Candidate 4]]))),(SamplingData[[#This Row],[Total]]+SamplingData[[#This Row],[Winning Candidate]]-SamplingData[[#This Row],[Candidate 4]])/(SamplingData[[#Totals],[Winning Candidate]]-SamplingData[[#Totals],[Candidate 4]]), 0)</f>
        <v>0</v>
      </c>
      <c r="T640" s="100">
        <f>IF(AND(SamplingData[[#This Row],[Total]]&lt;&gt; 0, NOT(ISBLANK(SamplingData[[#This Row],[Candidate 5]]))),(SamplingData[[#This Row],[Total]]+SamplingData[[#This Row],[Winning Candidate]]-SamplingData[[#This Row],[Candidate 5]])/(SamplingData[[#Totals],[Winning Candidate]]-SamplingData[[#Totals],[Candidate 5]]), 0)</f>
        <v>0</v>
      </c>
      <c r="U640" s="100">
        <f>IF(AND(SamplingData[[#This Row],[Total]]&lt;&gt; 0, NOT(ISBLANK(SamplingData[[#This Row],[Candidate 6]]))),(SamplingData[[#This Row],[Total]]+SamplingData[[#This Row],[Losing Candidate]]-SamplingData[[#This Row],[Candidate 6]])/(SamplingData[[#Totals],[Winning Candidate]]-SamplingData[[#Totals],[Candidate 6]]), 0)</f>
        <v>0</v>
      </c>
      <c r="V640" s="100">
        <f>IF(AND(SamplingData[[#This Row],[Total]]&lt;&gt; 0, NOT(ISBLANK(SamplingData[[#This Row],[Candidate 7]]))),(SamplingData[[#This Row],[Total]]+SamplingData[[#This Row],[Winning Candidate]]-SamplingData[[#This Row],[Candidate 7]])/(SamplingData[[#Totals],[Winning Candidate]]-SamplingData[[#Totals],[Candidate 7]]), 0)</f>
        <v>0</v>
      </c>
      <c r="W640" s="100">
        <f>IF(AND(SamplingData[[#This Row],[Total]]&lt;&gt; 0, NOT(ISBLANK(SamplingData[[#This Row],[Candidate 8]]))),(SamplingData[[#This Row],[Total]]+SamplingData[[#This Row],[Winning Candidate]]-SamplingData[[#This Row],[Candidate 8]])/(SamplingData[[#Totals],[Winning Candidate]]-SamplingData[[#Totals],[Candidate 8]]), 0)</f>
        <v>0</v>
      </c>
      <c r="X6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00">
        <f>MAX(SamplingData[[#This Row],[Error Bound (up) - Max. possible relative overstatement - Losing Candidate]:[Error Bound (up) - Max. possible relative overstatement - Candidate 12]])</f>
        <v>3.7691993592361088E-4</v>
      </c>
      <c r="AC640" s="100">
        <f>IF(SamplingData[[#This Row],[Max Error Bound (up)]] = 0,0,SamplingData[[#This Row],[Max Error Bound (up)]]/SamplingData[[#Totals],[Max Error Bound (up)]])</f>
        <v>1.6152479405588763E-4</v>
      </c>
      <c r="AD640" s="104">
        <f>SUM($AC$5:AC640)</f>
        <v>0.17638507510902957</v>
      </c>
      <c r="AE640" s="100" t="str" cm="1">
        <f t="array" ref="AE640">IF(SamplingData[[#This Row],[up/U Selection Probability]] = 0, "Zero", TEXT(SamplingData[[#This Row],[Lower Range]], REPT("0",LEN('General Info'!$B$42))) &amp; " - " &amp; TEXT(SamplingData[[#This Row],[Upper Range]], REPT("0",LEN('General Info'!$B$42))))</f>
        <v>17622 - 17638</v>
      </c>
      <c r="AF640" s="100">
        <f>SamplingData[[#This Row],[Upper Range]]-SamplingData[[#This Row],[Span]]</f>
        <v>17622.355031497369</v>
      </c>
      <c r="AG640" s="100">
        <f>IF(ISNUMBER('General Info'!$B$42), ((SamplingData[[#This Row],[up/U Selection Probability]]) * 'General Info'!$B$44) - 1, 0)</f>
        <v>15.152479405588764</v>
      </c>
      <c r="AH640" s="100">
        <f>IF(ISNUMBER('General Info'!$B$42), (SamplingData[[#This Row],[Running (cumulative) sum]] * ('General Info'!$B$42 -'General Info'!$B$43 + 1)) + 'General Info'!$B$43 - 1, 0)</f>
        <v>17637.507510902957</v>
      </c>
      <c r="AI640" s="100" t="str">
        <f>IF(ISERROR(MATCH(SamplingData[[#This Row],[Batch by Type (p)]],SelectedPrecincts[Batch Name], 0)), "", INDEX(SelectedPrecincts[Draw], MATCH(SamplingData[[#This Row],[Batch by Type (p)]],SelectedPrecincts[Batch Name], 0)))</f>
        <v/>
      </c>
      <c r="AJ640" s="101">
        <f>IF(COUNTIF(SelectedPrecincts[Batch Name],SamplingData[[#This Row],[Batch by Type (p)]]) &lt;&gt; 0, COUNTIF(SelectedPrecincts[Batch Name],SamplingData[[#This Row],[Batch by Type (p)]]), 0)</f>
        <v>0</v>
      </c>
    </row>
    <row r="641" spans="1:36" ht="15" customHeight="1" x14ac:dyDescent="0.35">
      <c r="A641" s="98" t="s">
        <v>852</v>
      </c>
      <c r="B641" s="98">
        <v>13</v>
      </c>
      <c r="C641" s="98">
        <v>4</v>
      </c>
      <c r="D641" s="93"/>
      <c r="E641" s="93"/>
      <c r="F641" s="93"/>
      <c r="G641" s="97"/>
      <c r="H641" s="97"/>
      <c r="I641" s="93"/>
      <c r="J641" s="93"/>
      <c r="K641" s="93"/>
      <c r="L641" s="93"/>
      <c r="M641" s="93"/>
      <c r="N641" s="98">
        <v>0</v>
      </c>
      <c r="O641" s="98">
        <v>1</v>
      </c>
      <c r="P641" s="99">
        <f>SUM(SamplingData[[#This Row],[Winning Candidate]:[Under Votes]])</f>
        <v>18</v>
      </c>
      <c r="Q641" s="100">
        <f>IF(AND(SamplingData[[#This Row],[Total]]&lt;&gt; 0, NOT(ISBLANK(SamplingData[[#This Row],[Losing Candidate]]))),(SamplingData[[#This Row],[Total]]+SamplingData[[#This Row],[Winning Candidate]]-SamplingData[[#This Row],[Losing Candidate]])/(SamplingData[[#Totals],[Winning Candidate]]-SamplingData[[#Totals],[Losing Candidate]]), 0)</f>
        <v>8.4806985582812453E-4</v>
      </c>
      <c r="R641" s="100">
        <f>IF(AND(SamplingData[[#This Row],[Total]]&lt;&gt; 0, NOT(ISBLANK(SamplingData[[#This Row],[Candidate 3]]))),(SamplingData[[#This Row],[Total]]+SamplingData[[#This Row],[Winning Candidate]]-SamplingData[[#This Row],[Candidate 3]])/(SamplingData[[#Totals],[Winning Candidate]]-SamplingData[[#Totals],[Candidate 3]]), 0)</f>
        <v>0</v>
      </c>
      <c r="S641" s="100">
        <f>IF(AND(SamplingData[[#This Row],[Total]]&lt;&gt; 0, NOT(ISBLANK(SamplingData[[#This Row],[Candidate 4]]))),(SamplingData[[#This Row],[Total]]+SamplingData[[#This Row],[Winning Candidate]]-SamplingData[[#This Row],[Candidate 4]])/(SamplingData[[#Totals],[Winning Candidate]]-SamplingData[[#Totals],[Candidate 4]]), 0)</f>
        <v>0</v>
      </c>
      <c r="T641" s="100">
        <f>IF(AND(SamplingData[[#This Row],[Total]]&lt;&gt; 0, NOT(ISBLANK(SamplingData[[#This Row],[Candidate 5]]))),(SamplingData[[#This Row],[Total]]+SamplingData[[#This Row],[Winning Candidate]]-SamplingData[[#This Row],[Candidate 5]])/(SamplingData[[#Totals],[Winning Candidate]]-SamplingData[[#Totals],[Candidate 5]]), 0)</f>
        <v>0</v>
      </c>
      <c r="U641" s="100">
        <f>IF(AND(SamplingData[[#This Row],[Total]]&lt;&gt; 0, NOT(ISBLANK(SamplingData[[#This Row],[Candidate 6]]))),(SamplingData[[#This Row],[Total]]+SamplingData[[#This Row],[Losing Candidate]]-SamplingData[[#This Row],[Candidate 6]])/(SamplingData[[#Totals],[Winning Candidate]]-SamplingData[[#Totals],[Candidate 6]]), 0)</f>
        <v>0</v>
      </c>
      <c r="V641" s="100">
        <f>IF(AND(SamplingData[[#This Row],[Total]]&lt;&gt; 0, NOT(ISBLANK(SamplingData[[#This Row],[Candidate 7]]))),(SamplingData[[#This Row],[Total]]+SamplingData[[#This Row],[Winning Candidate]]-SamplingData[[#This Row],[Candidate 7]])/(SamplingData[[#Totals],[Winning Candidate]]-SamplingData[[#Totals],[Candidate 7]]), 0)</f>
        <v>0</v>
      </c>
      <c r="W641" s="100">
        <f>IF(AND(SamplingData[[#This Row],[Total]]&lt;&gt; 0, NOT(ISBLANK(SamplingData[[#This Row],[Candidate 8]]))),(SamplingData[[#This Row],[Total]]+SamplingData[[#This Row],[Winning Candidate]]-SamplingData[[#This Row],[Candidate 8]])/(SamplingData[[#Totals],[Winning Candidate]]-SamplingData[[#Totals],[Candidate 8]]), 0)</f>
        <v>0</v>
      </c>
      <c r="X6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00">
        <f>MAX(SamplingData[[#This Row],[Error Bound (up) - Max. possible relative overstatement - Losing Candidate]:[Error Bound (up) - Max. possible relative overstatement - Candidate 12]])</f>
        <v>8.4806985582812453E-4</v>
      </c>
      <c r="AC641" s="100">
        <f>IF(SamplingData[[#This Row],[Max Error Bound (up)]] = 0,0,SamplingData[[#This Row],[Max Error Bound (up)]]/SamplingData[[#Totals],[Max Error Bound (up)]])</f>
        <v>3.6343078662574721E-4</v>
      </c>
      <c r="AD641" s="104">
        <f>SUM($AC$5:AC641)</f>
        <v>0.1767485058956553</v>
      </c>
      <c r="AE641" s="100" t="str" cm="1">
        <f t="array" ref="AE641">IF(SamplingData[[#This Row],[up/U Selection Probability]] = 0, "Zero", TEXT(SamplingData[[#This Row],[Lower Range]], REPT("0",LEN('General Info'!$B$42))) &amp; " - " &amp; TEXT(SamplingData[[#This Row],[Upper Range]], REPT("0",LEN('General Info'!$B$42))))</f>
        <v>17639 - 17674</v>
      </c>
      <c r="AF641" s="100">
        <f>SamplingData[[#This Row],[Upper Range]]-SamplingData[[#This Row],[Span]]</f>
        <v>17638.507510902953</v>
      </c>
      <c r="AG641" s="100">
        <f>IF(ISNUMBER('General Info'!$B$42), ((SamplingData[[#This Row],[up/U Selection Probability]]) * 'General Info'!$B$44) - 1, 0)</f>
        <v>35.343078662574719</v>
      </c>
      <c r="AH641" s="100">
        <f>IF(ISNUMBER('General Info'!$B$42), (SamplingData[[#This Row],[Running (cumulative) sum]] * ('General Info'!$B$42 -'General Info'!$B$43 + 1)) + 'General Info'!$B$43 - 1, 0)</f>
        <v>17673.850589565529</v>
      </c>
      <c r="AI641" s="100" t="str">
        <f>IF(ISERROR(MATCH(SamplingData[[#This Row],[Batch by Type (p)]],SelectedPrecincts[Batch Name], 0)), "", INDEX(SelectedPrecincts[Draw], MATCH(SamplingData[[#This Row],[Batch by Type (p)]],SelectedPrecincts[Batch Name], 0)))</f>
        <v/>
      </c>
      <c r="AJ641" s="101">
        <f>IF(COUNTIF(SelectedPrecincts[Batch Name],SamplingData[[#This Row],[Batch by Type (p)]]) &lt;&gt; 0, COUNTIF(SelectedPrecincts[Batch Name],SamplingData[[#This Row],[Batch by Type (p)]]), 0)</f>
        <v>0</v>
      </c>
    </row>
    <row r="642" spans="1:36" ht="15" customHeight="1" x14ac:dyDescent="0.35">
      <c r="A642" s="98" t="s">
        <v>853</v>
      </c>
      <c r="B642" s="98">
        <v>8</v>
      </c>
      <c r="C642" s="98">
        <v>1</v>
      </c>
      <c r="D642" s="93"/>
      <c r="E642" s="93"/>
      <c r="F642" s="93"/>
      <c r="G642" s="97"/>
      <c r="H642" s="97"/>
      <c r="I642" s="93"/>
      <c r="J642" s="93"/>
      <c r="K642" s="93"/>
      <c r="L642" s="93"/>
      <c r="M642" s="93"/>
      <c r="N642" s="98">
        <v>0</v>
      </c>
      <c r="O642" s="98">
        <v>0</v>
      </c>
      <c r="P642" s="99">
        <f>SUM(SamplingData[[#This Row],[Winning Candidate]:[Under Votes]])</f>
        <v>9</v>
      </c>
      <c r="Q642"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642" s="100">
        <f>IF(AND(SamplingData[[#This Row],[Total]]&lt;&gt; 0, NOT(ISBLANK(SamplingData[[#This Row],[Candidate 3]]))),(SamplingData[[#This Row],[Total]]+SamplingData[[#This Row],[Winning Candidate]]-SamplingData[[#This Row],[Candidate 3]])/(SamplingData[[#Totals],[Winning Candidate]]-SamplingData[[#Totals],[Candidate 3]]), 0)</f>
        <v>0</v>
      </c>
      <c r="S642" s="100">
        <f>IF(AND(SamplingData[[#This Row],[Total]]&lt;&gt; 0, NOT(ISBLANK(SamplingData[[#This Row],[Candidate 4]]))),(SamplingData[[#This Row],[Total]]+SamplingData[[#This Row],[Winning Candidate]]-SamplingData[[#This Row],[Candidate 4]])/(SamplingData[[#Totals],[Winning Candidate]]-SamplingData[[#Totals],[Candidate 4]]), 0)</f>
        <v>0</v>
      </c>
      <c r="T642" s="100">
        <f>IF(AND(SamplingData[[#This Row],[Total]]&lt;&gt; 0, NOT(ISBLANK(SamplingData[[#This Row],[Candidate 5]]))),(SamplingData[[#This Row],[Total]]+SamplingData[[#This Row],[Winning Candidate]]-SamplingData[[#This Row],[Candidate 5]])/(SamplingData[[#Totals],[Winning Candidate]]-SamplingData[[#Totals],[Candidate 5]]), 0)</f>
        <v>0</v>
      </c>
      <c r="U642" s="100">
        <f>IF(AND(SamplingData[[#This Row],[Total]]&lt;&gt; 0, NOT(ISBLANK(SamplingData[[#This Row],[Candidate 6]]))),(SamplingData[[#This Row],[Total]]+SamplingData[[#This Row],[Losing Candidate]]-SamplingData[[#This Row],[Candidate 6]])/(SamplingData[[#Totals],[Winning Candidate]]-SamplingData[[#Totals],[Candidate 6]]), 0)</f>
        <v>0</v>
      </c>
      <c r="V642" s="100">
        <f>IF(AND(SamplingData[[#This Row],[Total]]&lt;&gt; 0, NOT(ISBLANK(SamplingData[[#This Row],[Candidate 7]]))),(SamplingData[[#This Row],[Total]]+SamplingData[[#This Row],[Winning Candidate]]-SamplingData[[#This Row],[Candidate 7]])/(SamplingData[[#Totals],[Winning Candidate]]-SamplingData[[#Totals],[Candidate 7]]), 0)</f>
        <v>0</v>
      </c>
      <c r="W642" s="100">
        <f>IF(AND(SamplingData[[#This Row],[Total]]&lt;&gt; 0, NOT(ISBLANK(SamplingData[[#This Row],[Candidate 8]]))),(SamplingData[[#This Row],[Total]]+SamplingData[[#This Row],[Winning Candidate]]-SamplingData[[#This Row],[Candidate 8]])/(SamplingData[[#Totals],[Winning Candidate]]-SamplingData[[#Totals],[Candidate 8]]), 0)</f>
        <v>0</v>
      </c>
      <c r="X6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00">
        <f>MAX(SamplingData[[#This Row],[Error Bound (up) - Max. possible relative overstatement - Losing Candidate]:[Error Bound (up) - Max. possible relative overstatement - Candidate 12]])</f>
        <v>5.0255991456481448E-4</v>
      </c>
      <c r="AC642" s="100">
        <f>IF(SamplingData[[#This Row],[Max Error Bound (up)]] = 0,0,SamplingData[[#This Row],[Max Error Bound (up)]]/SamplingData[[#Totals],[Max Error Bound (up)]])</f>
        <v>2.1536639207451683E-4</v>
      </c>
      <c r="AD642" s="104">
        <f>SUM($AC$5:AC642)</f>
        <v>0.17696387228772981</v>
      </c>
      <c r="AE642" s="100" t="str" cm="1">
        <f t="array" ref="AE642">IF(SamplingData[[#This Row],[up/U Selection Probability]] = 0, "Zero", TEXT(SamplingData[[#This Row],[Lower Range]], REPT("0",LEN('General Info'!$B$42))) &amp; " - " &amp; TEXT(SamplingData[[#This Row],[Upper Range]], REPT("0",LEN('General Info'!$B$42))))</f>
        <v>17675 - 17695</v>
      </c>
      <c r="AF642" s="100">
        <f>SamplingData[[#This Row],[Upper Range]]-SamplingData[[#This Row],[Span]]</f>
        <v>17674.850589565529</v>
      </c>
      <c r="AG642" s="100">
        <f>IF(ISNUMBER('General Info'!$B$42), ((SamplingData[[#This Row],[up/U Selection Probability]]) * 'General Info'!$B$44) - 1, 0)</f>
        <v>20.536639207451682</v>
      </c>
      <c r="AH642" s="100">
        <f>IF(ISNUMBER('General Info'!$B$42), (SamplingData[[#This Row],[Running (cumulative) sum]] * ('General Info'!$B$42 -'General Info'!$B$43 + 1)) + 'General Info'!$B$43 - 1, 0)</f>
        <v>17695.387228772979</v>
      </c>
      <c r="AI642" s="100" t="str">
        <f>IF(ISERROR(MATCH(SamplingData[[#This Row],[Batch by Type (p)]],SelectedPrecincts[Batch Name], 0)), "", INDEX(SelectedPrecincts[Draw], MATCH(SamplingData[[#This Row],[Batch by Type (p)]],SelectedPrecincts[Batch Name], 0)))</f>
        <v/>
      </c>
      <c r="AJ642" s="101">
        <f>IF(COUNTIF(SelectedPrecincts[Batch Name],SamplingData[[#This Row],[Batch by Type (p)]]) &lt;&gt; 0, COUNTIF(SelectedPrecincts[Batch Name],SamplingData[[#This Row],[Batch by Type (p)]]), 0)</f>
        <v>0</v>
      </c>
    </row>
    <row r="643" spans="1:36" ht="15" customHeight="1" x14ac:dyDescent="0.35">
      <c r="A643" s="98" t="s">
        <v>854</v>
      </c>
      <c r="B643" s="98">
        <v>2</v>
      </c>
      <c r="C643" s="98">
        <v>2</v>
      </c>
      <c r="D643" s="93"/>
      <c r="E643" s="93"/>
      <c r="F643" s="93"/>
      <c r="G643" s="97"/>
      <c r="H643" s="97"/>
      <c r="I643" s="93"/>
      <c r="J643" s="93"/>
      <c r="K643" s="93"/>
      <c r="L643" s="93"/>
      <c r="M643" s="93"/>
      <c r="N643" s="98">
        <v>0</v>
      </c>
      <c r="O643" s="98">
        <v>0</v>
      </c>
      <c r="P643" s="99">
        <f>SUM(SamplingData[[#This Row],[Winning Candidate]:[Under Votes]])</f>
        <v>4</v>
      </c>
      <c r="Q643"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43" s="100">
        <f>IF(AND(SamplingData[[#This Row],[Total]]&lt;&gt; 0, NOT(ISBLANK(SamplingData[[#This Row],[Candidate 3]]))),(SamplingData[[#This Row],[Total]]+SamplingData[[#This Row],[Winning Candidate]]-SamplingData[[#This Row],[Candidate 3]])/(SamplingData[[#Totals],[Winning Candidate]]-SamplingData[[#Totals],[Candidate 3]]), 0)</f>
        <v>0</v>
      </c>
      <c r="S643" s="100">
        <f>IF(AND(SamplingData[[#This Row],[Total]]&lt;&gt; 0, NOT(ISBLANK(SamplingData[[#This Row],[Candidate 4]]))),(SamplingData[[#This Row],[Total]]+SamplingData[[#This Row],[Winning Candidate]]-SamplingData[[#This Row],[Candidate 4]])/(SamplingData[[#Totals],[Winning Candidate]]-SamplingData[[#Totals],[Candidate 4]]), 0)</f>
        <v>0</v>
      </c>
      <c r="T643" s="100">
        <f>IF(AND(SamplingData[[#This Row],[Total]]&lt;&gt; 0, NOT(ISBLANK(SamplingData[[#This Row],[Candidate 5]]))),(SamplingData[[#This Row],[Total]]+SamplingData[[#This Row],[Winning Candidate]]-SamplingData[[#This Row],[Candidate 5]])/(SamplingData[[#Totals],[Winning Candidate]]-SamplingData[[#Totals],[Candidate 5]]), 0)</f>
        <v>0</v>
      </c>
      <c r="U643" s="100">
        <f>IF(AND(SamplingData[[#This Row],[Total]]&lt;&gt; 0, NOT(ISBLANK(SamplingData[[#This Row],[Candidate 6]]))),(SamplingData[[#This Row],[Total]]+SamplingData[[#This Row],[Losing Candidate]]-SamplingData[[#This Row],[Candidate 6]])/(SamplingData[[#Totals],[Winning Candidate]]-SamplingData[[#Totals],[Candidate 6]]), 0)</f>
        <v>0</v>
      </c>
      <c r="V643" s="100">
        <f>IF(AND(SamplingData[[#This Row],[Total]]&lt;&gt; 0, NOT(ISBLANK(SamplingData[[#This Row],[Candidate 7]]))),(SamplingData[[#This Row],[Total]]+SamplingData[[#This Row],[Winning Candidate]]-SamplingData[[#This Row],[Candidate 7]])/(SamplingData[[#Totals],[Winning Candidate]]-SamplingData[[#Totals],[Candidate 7]]), 0)</f>
        <v>0</v>
      </c>
      <c r="W643" s="100">
        <f>IF(AND(SamplingData[[#This Row],[Total]]&lt;&gt; 0, NOT(ISBLANK(SamplingData[[#This Row],[Candidate 8]]))),(SamplingData[[#This Row],[Total]]+SamplingData[[#This Row],[Winning Candidate]]-SamplingData[[#This Row],[Candidate 8]])/(SamplingData[[#Totals],[Winning Candidate]]-SamplingData[[#Totals],[Candidate 8]]), 0)</f>
        <v>0</v>
      </c>
      <c r="X6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00">
        <f>MAX(SamplingData[[#This Row],[Error Bound (up) - Max. possible relative overstatement - Losing Candidate]:[Error Bound (up) - Max. possible relative overstatement - Candidate 12]])</f>
        <v>1.2563997864120362E-4</v>
      </c>
      <c r="AC643" s="100">
        <f>IF(SamplingData[[#This Row],[Max Error Bound (up)]] = 0,0,SamplingData[[#This Row],[Max Error Bound (up)]]/SamplingData[[#Totals],[Max Error Bound (up)]])</f>
        <v>5.3841598018629206E-5</v>
      </c>
      <c r="AD643" s="104">
        <f>SUM($AC$5:AC643)</f>
        <v>0.17701771388574844</v>
      </c>
      <c r="AE643" s="100" t="str" cm="1">
        <f t="array" ref="AE643">IF(SamplingData[[#This Row],[up/U Selection Probability]] = 0, "Zero", TEXT(SamplingData[[#This Row],[Lower Range]], REPT("0",LEN('General Info'!$B$42))) &amp; " - " &amp; TEXT(SamplingData[[#This Row],[Upper Range]], REPT("0",LEN('General Info'!$B$42))))</f>
        <v>17696 - 17701</v>
      </c>
      <c r="AF643" s="100">
        <f>SamplingData[[#This Row],[Upper Range]]-SamplingData[[#This Row],[Span]]</f>
        <v>17696.387228772983</v>
      </c>
      <c r="AG643" s="100">
        <f>IF(ISNUMBER('General Info'!$B$42), ((SamplingData[[#This Row],[up/U Selection Probability]]) * 'General Info'!$B$44) - 1, 0)</f>
        <v>4.3841598018629204</v>
      </c>
      <c r="AH643" s="100">
        <f>IF(ISNUMBER('General Info'!$B$42), (SamplingData[[#This Row],[Running (cumulative) sum]] * ('General Info'!$B$42 -'General Info'!$B$43 + 1)) + 'General Info'!$B$43 - 1, 0)</f>
        <v>17700.771388574845</v>
      </c>
      <c r="AI643" s="100" t="str">
        <f>IF(ISERROR(MATCH(SamplingData[[#This Row],[Batch by Type (p)]],SelectedPrecincts[Batch Name], 0)), "", INDEX(SelectedPrecincts[Draw], MATCH(SamplingData[[#This Row],[Batch by Type (p)]],SelectedPrecincts[Batch Name], 0)))</f>
        <v/>
      </c>
      <c r="AJ643" s="101">
        <f>IF(COUNTIF(SelectedPrecincts[Batch Name],SamplingData[[#This Row],[Batch by Type (p)]]) &lt;&gt; 0, COUNTIF(SelectedPrecincts[Batch Name],SamplingData[[#This Row],[Batch by Type (p)]]), 0)</f>
        <v>0</v>
      </c>
    </row>
    <row r="644" spans="1:36" ht="15" customHeight="1" x14ac:dyDescent="0.35">
      <c r="A644" s="98" t="s">
        <v>855</v>
      </c>
      <c r="B644" s="98">
        <v>9</v>
      </c>
      <c r="C644" s="98">
        <v>1</v>
      </c>
      <c r="D644" s="93"/>
      <c r="E644" s="93"/>
      <c r="F644" s="93"/>
      <c r="G644" s="97"/>
      <c r="H644" s="97"/>
      <c r="I644" s="93"/>
      <c r="J644" s="93"/>
      <c r="K644" s="93"/>
      <c r="L644" s="93"/>
      <c r="M644" s="93"/>
      <c r="N644" s="98">
        <v>0</v>
      </c>
      <c r="O644" s="98">
        <v>0</v>
      </c>
      <c r="P644" s="99">
        <f>SUM(SamplingData[[#This Row],[Winning Candidate]:[Under Votes]])</f>
        <v>10</v>
      </c>
      <c r="Q644"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644" s="100">
        <f>IF(AND(SamplingData[[#This Row],[Total]]&lt;&gt; 0, NOT(ISBLANK(SamplingData[[#This Row],[Candidate 3]]))),(SamplingData[[#This Row],[Total]]+SamplingData[[#This Row],[Winning Candidate]]-SamplingData[[#This Row],[Candidate 3]])/(SamplingData[[#Totals],[Winning Candidate]]-SamplingData[[#Totals],[Candidate 3]]), 0)</f>
        <v>0</v>
      </c>
      <c r="S644" s="100">
        <f>IF(AND(SamplingData[[#This Row],[Total]]&lt;&gt; 0, NOT(ISBLANK(SamplingData[[#This Row],[Candidate 4]]))),(SamplingData[[#This Row],[Total]]+SamplingData[[#This Row],[Winning Candidate]]-SamplingData[[#This Row],[Candidate 4]])/(SamplingData[[#Totals],[Winning Candidate]]-SamplingData[[#Totals],[Candidate 4]]), 0)</f>
        <v>0</v>
      </c>
      <c r="T644" s="100">
        <f>IF(AND(SamplingData[[#This Row],[Total]]&lt;&gt; 0, NOT(ISBLANK(SamplingData[[#This Row],[Candidate 5]]))),(SamplingData[[#This Row],[Total]]+SamplingData[[#This Row],[Winning Candidate]]-SamplingData[[#This Row],[Candidate 5]])/(SamplingData[[#Totals],[Winning Candidate]]-SamplingData[[#Totals],[Candidate 5]]), 0)</f>
        <v>0</v>
      </c>
      <c r="U644" s="100">
        <f>IF(AND(SamplingData[[#This Row],[Total]]&lt;&gt; 0, NOT(ISBLANK(SamplingData[[#This Row],[Candidate 6]]))),(SamplingData[[#This Row],[Total]]+SamplingData[[#This Row],[Losing Candidate]]-SamplingData[[#This Row],[Candidate 6]])/(SamplingData[[#Totals],[Winning Candidate]]-SamplingData[[#Totals],[Candidate 6]]), 0)</f>
        <v>0</v>
      </c>
      <c r="V644" s="100">
        <f>IF(AND(SamplingData[[#This Row],[Total]]&lt;&gt; 0, NOT(ISBLANK(SamplingData[[#This Row],[Candidate 7]]))),(SamplingData[[#This Row],[Total]]+SamplingData[[#This Row],[Winning Candidate]]-SamplingData[[#This Row],[Candidate 7]])/(SamplingData[[#Totals],[Winning Candidate]]-SamplingData[[#Totals],[Candidate 7]]), 0)</f>
        <v>0</v>
      </c>
      <c r="W644" s="100">
        <f>IF(AND(SamplingData[[#This Row],[Total]]&lt;&gt; 0, NOT(ISBLANK(SamplingData[[#This Row],[Candidate 8]]))),(SamplingData[[#This Row],[Total]]+SamplingData[[#This Row],[Winning Candidate]]-SamplingData[[#This Row],[Candidate 8]])/(SamplingData[[#Totals],[Winning Candidate]]-SamplingData[[#Totals],[Candidate 8]]), 0)</f>
        <v>0</v>
      </c>
      <c r="X6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00">
        <f>MAX(SamplingData[[#This Row],[Error Bound (up) - Max. possible relative overstatement - Losing Candidate]:[Error Bound (up) - Max. possible relative overstatement - Candidate 12]])</f>
        <v>5.6537990388541635E-4</v>
      </c>
      <c r="AC644" s="100">
        <f>IF(SamplingData[[#This Row],[Max Error Bound (up)]] = 0,0,SamplingData[[#This Row],[Max Error Bound (up)]]/SamplingData[[#Totals],[Max Error Bound (up)]])</f>
        <v>2.4228719108383145E-4</v>
      </c>
      <c r="AD644" s="104">
        <f>SUM($AC$5:AC644)</f>
        <v>0.17726000107683226</v>
      </c>
      <c r="AE644" s="100" t="str" cm="1">
        <f t="array" ref="AE644">IF(SamplingData[[#This Row],[up/U Selection Probability]] = 0, "Zero", TEXT(SamplingData[[#This Row],[Lower Range]], REPT("0",LEN('General Info'!$B$42))) &amp; " - " &amp; TEXT(SamplingData[[#This Row],[Upper Range]], REPT("0",LEN('General Info'!$B$42))))</f>
        <v>17702 - 17725</v>
      </c>
      <c r="AF644" s="100">
        <f>SamplingData[[#This Row],[Upper Range]]-SamplingData[[#This Row],[Span]]</f>
        <v>17701.771388574845</v>
      </c>
      <c r="AG644" s="100">
        <f>IF(ISNUMBER('General Info'!$B$42), ((SamplingData[[#This Row],[up/U Selection Probability]]) * 'General Info'!$B$44) - 1, 0)</f>
        <v>23.228719108383146</v>
      </c>
      <c r="AH644" s="100">
        <f>IF(ISNUMBER('General Info'!$B$42), (SamplingData[[#This Row],[Running (cumulative) sum]] * ('General Info'!$B$42 -'General Info'!$B$43 + 1)) + 'General Info'!$B$43 - 1, 0)</f>
        <v>17725.000107683227</v>
      </c>
      <c r="AI644" s="100" t="str">
        <f>IF(ISERROR(MATCH(SamplingData[[#This Row],[Batch by Type (p)]],SelectedPrecincts[Batch Name], 0)), "", INDEX(SelectedPrecincts[Draw], MATCH(SamplingData[[#This Row],[Batch by Type (p)]],SelectedPrecincts[Batch Name], 0)))</f>
        <v/>
      </c>
      <c r="AJ644" s="101">
        <f>IF(COUNTIF(SelectedPrecincts[Batch Name],SamplingData[[#This Row],[Batch by Type (p)]]) &lt;&gt; 0, COUNTIF(SelectedPrecincts[Batch Name],SamplingData[[#This Row],[Batch by Type (p)]]), 0)</f>
        <v>0</v>
      </c>
    </row>
    <row r="645" spans="1:36" ht="15" customHeight="1" x14ac:dyDescent="0.35">
      <c r="A645" s="98" t="s">
        <v>856</v>
      </c>
      <c r="B645" s="98">
        <v>8</v>
      </c>
      <c r="C645" s="98">
        <v>2</v>
      </c>
      <c r="D645" s="93"/>
      <c r="E645" s="93"/>
      <c r="F645" s="93"/>
      <c r="G645" s="97"/>
      <c r="H645" s="97"/>
      <c r="I645" s="93"/>
      <c r="J645" s="93"/>
      <c r="K645" s="93"/>
      <c r="L645" s="93"/>
      <c r="M645" s="93"/>
      <c r="N645" s="98">
        <v>0</v>
      </c>
      <c r="O645" s="98">
        <v>1</v>
      </c>
      <c r="P645" s="99">
        <f>SUM(SamplingData[[#This Row],[Winning Candidate]:[Under Votes]])</f>
        <v>11</v>
      </c>
      <c r="Q645" s="100">
        <f>IF(AND(SamplingData[[#This Row],[Total]]&lt;&gt; 0, NOT(ISBLANK(SamplingData[[#This Row],[Losing Candidate]]))),(SamplingData[[#This Row],[Total]]+SamplingData[[#This Row],[Winning Candidate]]-SamplingData[[#This Row],[Losing Candidate]])/(SamplingData[[#Totals],[Winning Candidate]]-SamplingData[[#Totals],[Losing Candidate]]), 0)</f>
        <v>5.3396990922511547E-4</v>
      </c>
      <c r="R645" s="100">
        <f>IF(AND(SamplingData[[#This Row],[Total]]&lt;&gt; 0, NOT(ISBLANK(SamplingData[[#This Row],[Candidate 3]]))),(SamplingData[[#This Row],[Total]]+SamplingData[[#This Row],[Winning Candidate]]-SamplingData[[#This Row],[Candidate 3]])/(SamplingData[[#Totals],[Winning Candidate]]-SamplingData[[#Totals],[Candidate 3]]), 0)</f>
        <v>0</v>
      </c>
      <c r="S645" s="100">
        <f>IF(AND(SamplingData[[#This Row],[Total]]&lt;&gt; 0, NOT(ISBLANK(SamplingData[[#This Row],[Candidate 4]]))),(SamplingData[[#This Row],[Total]]+SamplingData[[#This Row],[Winning Candidate]]-SamplingData[[#This Row],[Candidate 4]])/(SamplingData[[#Totals],[Winning Candidate]]-SamplingData[[#Totals],[Candidate 4]]), 0)</f>
        <v>0</v>
      </c>
      <c r="T645" s="100">
        <f>IF(AND(SamplingData[[#This Row],[Total]]&lt;&gt; 0, NOT(ISBLANK(SamplingData[[#This Row],[Candidate 5]]))),(SamplingData[[#This Row],[Total]]+SamplingData[[#This Row],[Winning Candidate]]-SamplingData[[#This Row],[Candidate 5]])/(SamplingData[[#Totals],[Winning Candidate]]-SamplingData[[#Totals],[Candidate 5]]), 0)</f>
        <v>0</v>
      </c>
      <c r="U645" s="100">
        <f>IF(AND(SamplingData[[#This Row],[Total]]&lt;&gt; 0, NOT(ISBLANK(SamplingData[[#This Row],[Candidate 6]]))),(SamplingData[[#This Row],[Total]]+SamplingData[[#This Row],[Losing Candidate]]-SamplingData[[#This Row],[Candidate 6]])/(SamplingData[[#Totals],[Winning Candidate]]-SamplingData[[#Totals],[Candidate 6]]), 0)</f>
        <v>0</v>
      </c>
      <c r="V645" s="100">
        <f>IF(AND(SamplingData[[#This Row],[Total]]&lt;&gt; 0, NOT(ISBLANK(SamplingData[[#This Row],[Candidate 7]]))),(SamplingData[[#This Row],[Total]]+SamplingData[[#This Row],[Winning Candidate]]-SamplingData[[#This Row],[Candidate 7]])/(SamplingData[[#Totals],[Winning Candidate]]-SamplingData[[#Totals],[Candidate 7]]), 0)</f>
        <v>0</v>
      </c>
      <c r="W645" s="100">
        <f>IF(AND(SamplingData[[#This Row],[Total]]&lt;&gt; 0, NOT(ISBLANK(SamplingData[[#This Row],[Candidate 8]]))),(SamplingData[[#This Row],[Total]]+SamplingData[[#This Row],[Winning Candidate]]-SamplingData[[#This Row],[Candidate 8]])/(SamplingData[[#Totals],[Winning Candidate]]-SamplingData[[#Totals],[Candidate 8]]), 0)</f>
        <v>0</v>
      </c>
      <c r="X6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00">
        <f>MAX(SamplingData[[#This Row],[Error Bound (up) - Max. possible relative overstatement - Losing Candidate]:[Error Bound (up) - Max. possible relative overstatement - Candidate 12]])</f>
        <v>5.3396990922511547E-4</v>
      </c>
      <c r="AC645" s="100">
        <f>IF(SamplingData[[#This Row],[Max Error Bound (up)]] = 0,0,SamplingData[[#This Row],[Max Error Bound (up)]]/SamplingData[[#Totals],[Max Error Bound (up)]])</f>
        <v>2.2882679157917418E-4</v>
      </c>
      <c r="AD645" s="104">
        <f>SUM($AC$5:AC645)</f>
        <v>0.17748882786841144</v>
      </c>
      <c r="AE645" s="100" t="str" cm="1">
        <f t="array" ref="AE645">IF(SamplingData[[#This Row],[up/U Selection Probability]] = 0, "Zero", TEXT(SamplingData[[#This Row],[Lower Range]], REPT("0",LEN('General Info'!$B$42))) &amp; " - " &amp; TEXT(SamplingData[[#This Row],[Upper Range]], REPT("0",LEN('General Info'!$B$42))))</f>
        <v>17726 - 17748</v>
      </c>
      <c r="AF645" s="100">
        <f>SamplingData[[#This Row],[Upper Range]]-SamplingData[[#This Row],[Span]]</f>
        <v>17726.000107683227</v>
      </c>
      <c r="AG645" s="100">
        <f>IF(ISNUMBER('General Info'!$B$42), ((SamplingData[[#This Row],[up/U Selection Probability]]) * 'General Info'!$B$44) - 1, 0)</f>
        <v>21.882679157917419</v>
      </c>
      <c r="AH645" s="100">
        <f>IF(ISNUMBER('General Info'!$B$42), (SamplingData[[#This Row],[Running (cumulative) sum]] * ('General Info'!$B$42 -'General Info'!$B$43 + 1)) + 'General Info'!$B$43 - 1, 0)</f>
        <v>17747.882786841143</v>
      </c>
      <c r="AI645" s="100" t="str">
        <f>IF(ISERROR(MATCH(SamplingData[[#This Row],[Batch by Type (p)]],SelectedPrecincts[Batch Name], 0)), "", INDEX(SelectedPrecincts[Draw], MATCH(SamplingData[[#This Row],[Batch by Type (p)]],SelectedPrecincts[Batch Name], 0)))</f>
        <v/>
      </c>
      <c r="AJ645" s="101">
        <f>IF(COUNTIF(SelectedPrecincts[Batch Name],SamplingData[[#This Row],[Batch by Type (p)]]) &lt;&gt; 0, COUNTIF(SelectedPrecincts[Batch Name],SamplingData[[#This Row],[Batch by Type (p)]]), 0)</f>
        <v>0</v>
      </c>
    </row>
    <row r="646" spans="1:36" ht="15" customHeight="1" x14ac:dyDescent="0.35">
      <c r="A646" s="98" t="s">
        <v>857</v>
      </c>
      <c r="B646" s="98">
        <v>0</v>
      </c>
      <c r="C646" s="98">
        <v>0</v>
      </c>
      <c r="D646" s="93"/>
      <c r="E646" s="93"/>
      <c r="F646" s="93"/>
      <c r="G646" s="97"/>
      <c r="H646" s="97"/>
      <c r="I646" s="93"/>
      <c r="J646" s="93"/>
      <c r="K646" s="93"/>
      <c r="L646" s="93"/>
      <c r="M646" s="93"/>
      <c r="N646" s="98">
        <v>0</v>
      </c>
      <c r="O646" s="98">
        <v>0</v>
      </c>
      <c r="P646" s="99">
        <f>SUM(SamplingData[[#This Row],[Winning Candidate]:[Under Votes]])</f>
        <v>0</v>
      </c>
      <c r="Q646" s="100">
        <f>IF(AND(SamplingData[[#This Row],[Total]]&lt;&gt; 0, NOT(ISBLANK(SamplingData[[#This Row],[Losing Candidate]]))),(SamplingData[[#This Row],[Total]]+SamplingData[[#This Row],[Winning Candidate]]-SamplingData[[#This Row],[Losing Candidate]])/(SamplingData[[#Totals],[Winning Candidate]]-SamplingData[[#Totals],[Losing Candidate]]), 0)</f>
        <v>0</v>
      </c>
      <c r="R646" s="100">
        <f>IF(AND(SamplingData[[#This Row],[Total]]&lt;&gt; 0, NOT(ISBLANK(SamplingData[[#This Row],[Candidate 3]]))),(SamplingData[[#This Row],[Total]]+SamplingData[[#This Row],[Winning Candidate]]-SamplingData[[#This Row],[Candidate 3]])/(SamplingData[[#Totals],[Winning Candidate]]-SamplingData[[#Totals],[Candidate 3]]), 0)</f>
        <v>0</v>
      </c>
      <c r="S646" s="100">
        <f>IF(AND(SamplingData[[#This Row],[Total]]&lt;&gt; 0, NOT(ISBLANK(SamplingData[[#This Row],[Candidate 4]]))),(SamplingData[[#This Row],[Total]]+SamplingData[[#This Row],[Winning Candidate]]-SamplingData[[#This Row],[Candidate 4]])/(SamplingData[[#Totals],[Winning Candidate]]-SamplingData[[#Totals],[Candidate 4]]), 0)</f>
        <v>0</v>
      </c>
      <c r="T646" s="100">
        <f>IF(AND(SamplingData[[#This Row],[Total]]&lt;&gt; 0, NOT(ISBLANK(SamplingData[[#This Row],[Candidate 5]]))),(SamplingData[[#This Row],[Total]]+SamplingData[[#This Row],[Winning Candidate]]-SamplingData[[#This Row],[Candidate 5]])/(SamplingData[[#Totals],[Winning Candidate]]-SamplingData[[#Totals],[Candidate 5]]), 0)</f>
        <v>0</v>
      </c>
      <c r="U646" s="100">
        <f>IF(AND(SamplingData[[#This Row],[Total]]&lt;&gt; 0, NOT(ISBLANK(SamplingData[[#This Row],[Candidate 6]]))),(SamplingData[[#This Row],[Total]]+SamplingData[[#This Row],[Losing Candidate]]-SamplingData[[#This Row],[Candidate 6]])/(SamplingData[[#Totals],[Winning Candidate]]-SamplingData[[#Totals],[Candidate 6]]), 0)</f>
        <v>0</v>
      </c>
      <c r="V646" s="100">
        <f>IF(AND(SamplingData[[#This Row],[Total]]&lt;&gt; 0, NOT(ISBLANK(SamplingData[[#This Row],[Candidate 7]]))),(SamplingData[[#This Row],[Total]]+SamplingData[[#This Row],[Winning Candidate]]-SamplingData[[#This Row],[Candidate 7]])/(SamplingData[[#Totals],[Winning Candidate]]-SamplingData[[#Totals],[Candidate 7]]), 0)</f>
        <v>0</v>
      </c>
      <c r="W646" s="100">
        <f>IF(AND(SamplingData[[#This Row],[Total]]&lt;&gt; 0, NOT(ISBLANK(SamplingData[[#This Row],[Candidate 8]]))),(SamplingData[[#This Row],[Total]]+SamplingData[[#This Row],[Winning Candidate]]-SamplingData[[#This Row],[Candidate 8]])/(SamplingData[[#Totals],[Winning Candidate]]-SamplingData[[#Totals],[Candidate 8]]), 0)</f>
        <v>0</v>
      </c>
      <c r="X6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00">
        <f>MAX(SamplingData[[#This Row],[Error Bound (up) - Max. possible relative overstatement - Losing Candidate]:[Error Bound (up) - Max. possible relative overstatement - Candidate 12]])</f>
        <v>0</v>
      </c>
      <c r="AC646" s="100">
        <f>IF(SamplingData[[#This Row],[Max Error Bound (up)]] = 0,0,SamplingData[[#This Row],[Max Error Bound (up)]]/SamplingData[[#Totals],[Max Error Bound (up)]])</f>
        <v>0</v>
      </c>
      <c r="AD646" s="104">
        <f>SUM($AC$5:AC646)</f>
        <v>0.17748882786841144</v>
      </c>
      <c r="AE646" s="100" t="str" cm="1">
        <f t="array" ref="AE646">IF(SamplingData[[#This Row],[up/U Selection Probability]] = 0, "Zero", TEXT(SamplingData[[#This Row],[Lower Range]], REPT("0",LEN('General Info'!$B$42))) &amp; " - " &amp; TEXT(SamplingData[[#This Row],[Upper Range]], REPT("0",LEN('General Info'!$B$42))))</f>
        <v>Zero</v>
      </c>
      <c r="AF646" s="100">
        <f>SamplingData[[#This Row],[Upper Range]]-SamplingData[[#This Row],[Span]]</f>
        <v>17748.882786841143</v>
      </c>
      <c r="AG646" s="100">
        <f>IF(ISNUMBER('General Info'!$B$42), ((SamplingData[[#This Row],[up/U Selection Probability]]) * 'General Info'!$B$44) - 1, 0)</f>
        <v>-1</v>
      </c>
      <c r="AH646" s="100">
        <f>IF(ISNUMBER('General Info'!$B$42), (SamplingData[[#This Row],[Running (cumulative) sum]] * ('General Info'!$B$42 -'General Info'!$B$43 + 1)) + 'General Info'!$B$43 - 1, 0)</f>
        <v>17747.882786841143</v>
      </c>
      <c r="AI646" s="100" t="str">
        <f>IF(ISERROR(MATCH(SamplingData[[#This Row],[Batch by Type (p)]],SelectedPrecincts[Batch Name], 0)), "", INDEX(SelectedPrecincts[Draw], MATCH(SamplingData[[#This Row],[Batch by Type (p)]],SelectedPrecincts[Batch Name], 0)))</f>
        <v/>
      </c>
      <c r="AJ646" s="101">
        <f>IF(COUNTIF(SelectedPrecincts[Batch Name],SamplingData[[#This Row],[Batch by Type (p)]]) &lt;&gt; 0, COUNTIF(SelectedPrecincts[Batch Name],SamplingData[[#This Row],[Batch by Type (p)]]), 0)</f>
        <v>0</v>
      </c>
    </row>
    <row r="647" spans="1:36" ht="15" customHeight="1" x14ac:dyDescent="0.35">
      <c r="A647" s="98" t="s">
        <v>858</v>
      </c>
      <c r="B647" s="98">
        <v>1</v>
      </c>
      <c r="C647" s="98">
        <v>1</v>
      </c>
      <c r="D647" s="93"/>
      <c r="E647" s="93"/>
      <c r="F647" s="93"/>
      <c r="G647" s="97"/>
      <c r="H647" s="97"/>
      <c r="I647" s="93"/>
      <c r="J647" s="93"/>
      <c r="K647" s="93"/>
      <c r="L647" s="93"/>
      <c r="M647" s="93"/>
      <c r="N647" s="98">
        <v>0</v>
      </c>
      <c r="O647" s="98">
        <v>0</v>
      </c>
      <c r="P647" s="99">
        <f>SUM(SamplingData[[#This Row],[Winning Candidate]:[Under Votes]])</f>
        <v>2</v>
      </c>
      <c r="Q647"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647" s="100">
        <f>IF(AND(SamplingData[[#This Row],[Total]]&lt;&gt; 0, NOT(ISBLANK(SamplingData[[#This Row],[Candidate 3]]))),(SamplingData[[#This Row],[Total]]+SamplingData[[#This Row],[Winning Candidate]]-SamplingData[[#This Row],[Candidate 3]])/(SamplingData[[#Totals],[Winning Candidate]]-SamplingData[[#Totals],[Candidate 3]]), 0)</f>
        <v>0</v>
      </c>
      <c r="S647" s="100">
        <f>IF(AND(SamplingData[[#This Row],[Total]]&lt;&gt; 0, NOT(ISBLANK(SamplingData[[#This Row],[Candidate 4]]))),(SamplingData[[#This Row],[Total]]+SamplingData[[#This Row],[Winning Candidate]]-SamplingData[[#This Row],[Candidate 4]])/(SamplingData[[#Totals],[Winning Candidate]]-SamplingData[[#Totals],[Candidate 4]]), 0)</f>
        <v>0</v>
      </c>
      <c r="T647" s="100">
        <f>IF(AND(SamplingData[[#This Row],[Total]]&lt;&gt; 0, NOT(ISBLANK(SamplingData[[#This Row],[Candidate 5]]))),(SamplingData[[#This Row],[Total]]+SamplingData[[#This Row],[Winning Candidate]]-SamplingData[[#This Row],[Candidate 5]])/(SamplingData[[#Totals],[Winning Candidate]]-SamplingData[[#Totals],[Candidate 5]]), 0)</f>
        <v>0</v>
      </c>
      <c r="U647" s="100">
        <f>IF(AND(SamplingData[[#This Row],[Total]]&lt;&gt; 0, NOT(ISBLANK(SamplingData[[#This Row],[Candidate 6]]))),(SamplingData[[#This Row],[Total]]+SamplingData[[#This Row],[Losing Candidate]]-SamplingData[[#This Row],[Candidate 6]])/(SamplingData[[#Totals],[Winning Candidate]]-SamplingData[[#Totals],[Candidate 6]]), 0)</f>
        <v>0</v>
      </c>
      <c r="V647" s="100">
        <f>IF(AND(SamplingData[[#This Row],[Total]]&lt;&gt; 0, NOT(ISBLANK(SamplingData[[#This Row],[Candidate 7]]))),(SamplingData[[#This Row],[Total]]+SamplingData[[#This Row],[Winning Candidate]]-SamplingData[[#This Row],[Candidate 7]])/(SamplingData[[#Totals],[Winning Candidate]]-SamplingData[[#Totals],[Candidate 7]]), 0)</f>
        <v>0</v>
      </c>
      <c r="W647" s="100">
        <f>IF(AND(SamplingData[[#This Row],[Total]]&lt;&gt; 0, NOT(ISBLANK(SamplingData[[#This Row],[Candidate 8]]))),(SamplingData[[#This Row],[Total]]+SamplingData[[#This Row],[Winning Candidate]]-SamplingData[[#This Row],[Candidate 8]])/(SamplingData[[#Totals],[Winning Candidate]]-SamplingData[[#Totals],[Candidate 8]]), 0)</f>
        <v>0</v>
      </c>
      <c r="X6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00">
        <f>MAX(SamplingData[[#This Row],[Error Bound (up) - Max. possible relative overstatement - Losing Candidate]:[Error Bound (up) - Max. possible relative overstatement - Candidate 12]])</f>
        <v>6.2819989320601809E-5</v>
      </c>
      <c r="AC647" s="100">
        <f>IF(SamplingData[[#This Row],[Max Error Bound (up)]] = 0,0,SamplingData[[#This Row],[Max Error Bound (up)]]/SamplingData[[#Totals],[Max Error Bound (up)]])</f>
        <v>2.6920799009314603E-5</v>
      </c>
      <c r="AD647" s="104">
        <f>SUM($AC$5:AC647)</f>
        <v>0.17751574866742076</v>
      </c>
      <c r="AE647" s="100" t="str" cm="1">
        <f t="array" ref="AE647">IF(SamplingData[[#This Row],[up/U Selection Probability]] = 0, "Zero", TEXT(SamplingData[[#This Row],[Lower Range]], REPT("0",LEN('General Info'!$B$42))) &amp; " - " &amp; TEXT(SamplingData[[#This Row],[Upper Range]], REPT("0",LEN('General Info'!$B$42))))</f>
        <v>17749 - 17751</v>
      </c>
      <c r="AF647" s="100">
        <f>SamplingData[[#This Row],[Upper Range]]-SamplingData[[#This Row],[Span]]</f>
        <v>17748.882786841146</v>
      </c>
      <c r="AG647" s="100">
        <f>IF(ISNUMBER('General Info'!$B$42), ((SamplingData[[#This Row],[up/U Selection Probability]]) * 'General Info'!$B$44) - 1, 0)</f>
        <v>1.6920799009314602</v>
      </c>
      <c r="AH647" s="100">
        <f>IF(ISNUMBER('General Info'!$B$42), (SamplingData[[#This Row],[Running (cumulative) sum]] * ('General Info'!$B$42 -'General Info'!$B$43 + 1)) + 'General Info'!$B$43 - 1, 0)</f>
        <v>17750.574866742078</v>
      </c>
      <c r="AI647" s="100" t="str">
        <f>IF(ISERROR(MATCH(SamplingData[[#This Row],[Batch by Type (p)]],SelectedPrecincts[Batch Name], 0)), "", INDEX(SelectedPrecincts[Draw], MATCH(SamplingData[[#This Row],[Batch by Type (p)]],SelectedPrecincts[Batch Name], 0)))</f>
        <v/>
      </c>
      <c r="AJ647" s="101">
        <f>IF(COUNTIF(SelectedPrecincts[Batch Name],SamplingData[[#This Row],[Batch by Type (p)]]) &lt;&gt; 0, COUNTIF(SelectedPrecincts[Batch Name],SamplingData[[#This Row],[Batch by Type (p)]]), 0)</f>
        <v>0</v>
      </c>
    </row>
    <row r="648" spans="1:36" ht="15" customHeight="1" x14ac:dyDescent="0.35">
      <c r="A648" s="98" t="s">
        <v>859</v>
      </c>
      <c r="B648" s="98">
        <v>4</v>
      </c>
      <c r="C648" s="98">
        <v>0</v>
      </c>
      <c r="D648" s="93"/>
      <c r="E648" s="93"/>
      <c r="F648" s="93"/>
      <c r="G648" s="97"/>
      <c r="H648" s="97"/>
      <c r="I648" s="93"/>
      <c r="J648" s="93"/>
      <c r="K648" s="93"/>
      <c r="L648" s="93"/>
      <c r="M648" s="93"/>
      <c r="N648" s="98">
        <v>0</v>
      </c>
      <c r="O648" s="98">
        <v>0</v>
      </c>
      <c r="P648" s="99">
        <f>SUM(SamplingData[[#This Row],[Winning Candidate]:[Under Votes]])</f>
        <v>4</v>
      </c>
      <c r="Q648"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648" s="100">
        <f>IF(AND(SamplingData[[#This Row],[Total]]&lt;&gt; 0, NOT(ISBLANK(SamplingData[[#This Row],[Candidate 3]]))),(SamplingData[[#This Row],[Total]]+SamplingData[[#This Row],[Winning Candidate]]-SamplingData[[#This Row],[Candidate 3]])/(SamplingData[[#Totals],[Winning Candidate]]-SamplingData[[#Totals],[Candidate 3]]), 0)</f>
        <v>0</v>
      </c>
      <c r="S648" s="100">
        <f>IF(AND(SamplingData[[#This Row],[Total]]&lt;&gt; 0, NOT(ISBLANK(SamplingData[[#This Row],[Candidate 4]]))),(SamplingData[[#This Row],[Total]]+SamplingData[[#This Row],[Winning Candidate]]-SamplingData[[#This Row],[Candidate 4]])/(SamplingData[[#Totals],[Winning Candidate]]-SamplingData[[#Totals],[Candidate 4]]), 0)</f>
        <v>0</v>
      </c>
      <c r="T648" s="100">
        <f>IF(AND(SamplingData[[#This Row],[Total]]&lt;&gt; 0, NOT(ISBLANK(SamplingData[[#This Row],[Candidate 5]]))),(SamplingData[[#This Row],[Total]]+SamplingData[[#This Row],[Winning Candidate]]-SamplingData[[#This Row],[Candidate 5]])/(SamplingData[[#Totals],[Winning Candidate]]-SamplingData[[#Totals],[Candidate 5]]), 0)</f>
        <v>0</v>
      </c>
      <c r="U648" s="100">
        <f>IF(AND(SamplingData[[#This Row],[Total]]&lt;&gt; 0, NOT(ISBLANK(SamplingData[[#This Row],[Candidate 6]]))),(SamplingData[[#This Row],[Total]]+SamplingData[[#This Row],[Losing Candidate]]-SamplingData[[#This Row],[Candidate 6]])/(SamplingData[[#Totals],[Winning Candidate]]-SamplingData[[#Totals],[Candidate 6]]), 0)</f>
        <v>0</v>
      </c>
      <c r="V648" s="100">
        <f>IF(AND(SamplingData[[#This Row],[Total]]&lt;&gt; 0, NOT(ISBLANK(SamplingData[[#This Row],[Candidate 7]]))),(SamplingData[[#This Row],[Total]]+SamplingData[[#This Row],[Winning Candidate]]-SamplingData[[#This Row],[Candidate 7]])/(SamplingData[[#Totals],[Winning Candidate]]-SamplingData[[#Totals],[Candidate 7]]), 0)</f>
        <v>0</v>
      </c>
      <c r="W648" s="100">
        <f>IF(AND(SamplingData[[#This Row],[Total]]&lt;&gt; 0, NOT(ISBLANK(SamplingData[[#This Row],[Candidate 8]]))),(SamplingData[[#This Row],[Total]]+SamplingData[[#This Row],[Winning Candidate]]-SamplingData[[#This Row],[Candidate 8]])/(SamplingData[[#Totals],[Winning Candidate]]-SamplingData[[#Totals],[Candidate 8]]), 0)</f>
        <v>0</v>
      </c>
      <c r="X6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00">
        <f>MAX(SamplingData[[#This Row],[Error Bound (up) - Max. possible relative overstatement - Losing Candidate]:[Error Bound (up) - Max. possible relative overstatement - Candidate 12]])</f>
        <v>2.5127995728240724E-4</v>
      </c>
      <c r="AC648" s="100">
        <f>IF(SamplingData[[#This Row],[Max Error Bound (up)]] = 0,0,SamplingData[[#This Row],[Max Error Bound (up)]]/SamplingData[[#Totals],[Max Error Bound (up)]])</f>
        <v>1.0768319603725841E-4</v>
      </c>
      <c r="AD648" s="104">
        <f>SUM($AC$5:AC648)</f>
        <v>0.17762343186345803</v>
      </c>
      <c r="AE648" s="100" t="str" cm="1">
        <f t="array" ref="AE648">IF(SamplingData[[#This Row],[up/U Selection Probability]] = 0, "Zero", TEXT(SamplingData[[#This Row],[Lower Range]], REPT("0",LEN('General Info'!$B$42))) &amp; " - " &amp; TEXT(SamplingData[[#This Row],[Upper Range]], REPT("0",LEN('General Info'!$B$42))))</f>
        <v>17752 - 17761</v>
      </c>
      <c r="AF648" s="100">
        <f>SamplingData[[#This Row],[Upper Range]]-SamplingData[[#This Row],[Span]]</f>
        <v>17751.574866742078</v>
      </c>
      <c r="AG648" s="100">
        <f>IF(ISNUMBER('General Info'!$B$42), ((SamplingData[[#This Row],[up/U Selection Probability]]) * 'General Info'!$B$44) - 1, 0)</f>
        <v>9.7683196037258408</v>
      </c>
      <c r="AH648" s="100">
        <f>IF(ISNUMBER('General Info'!$B$42), (SamplingData[[#This Row],[Running (cumulative) sum]] * ('General Info'!$B$42 -'General Info'!$B$43 + 1)) + 'General Info'!$B$43 - 1, 0)</f>
        <v>17761.343186345803</v>
      </c>
      <c r="AI648" s="100" t="str">
        <f>IF(ISERROR(MATCH(SamplingData[[#This Row],[Batch by Type (p)]],SelectedPrecincts[Batch Name], 0)), "", INDEX(SelectedPrecincts[Draw], MATCH(SamplingData[[#This Row],[Batch by Type (p)]],SelectedPrecincts[Batch Name], 0)))</f>
        <v/>
      </c>
      <c r="AJ648" s="101">
        <f>IF(COUNTIF(SelectedPrecincts[Batch Name],SamplingData[[#This Row],[Batch by Type (p)]]) &lt;&gt; 0, COUNTIF(SelectedPrecincts[Batch Name],SamplingData[[#This Row],[Batch by Type (p)]]), 0)</f>
        <v>0</v>
      </c>
    </row>
    <row r="649" spans="1:36" ht="15" customHeight="1" x14ac:dyDescent="0.35">
      <c r="A649" s="98" t="s">
        <v>860</v>
      </c>
      <c r="B649" s="98">
        <v>4</v>
      </c>
      <c r="C649" s="98">
        <v>0</v>
      </c>
      <c r="D649" s="93"/>
      <c r="E649" s="93"/>
      <c r="F649" s="93"/>
      <c r="G649" s="97"/>
      <c r="H649" s="97"/>
      <c r="I649" s="93"/>
      <c r="J649" s="93"/>
      <c r="K649" s="93"/>
      <c r="L649" s="93"/>
      <c r="M649" s="93"/>
      <c r="N649" s="98">
        <v>0</v>
      </c>
      <c r="O649" s="98">
        <v>0</v>
      </c>
      <c r="P649" s="99">
        <f>SUM(SamplingData[[#This Row],[Winning Candidate]:[Under Votes]])</f>
        <v>4</v>
      </c>
      <c r="Q649"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649" s="100">
        <f>IF(AND(SamplingData[[#This Row],[Total]]&lt;&gt; 0, NOT(ISBLANK(SamplingData[[#This Row],[Candidate 3]]))),(SamplingData[[#This Row],[Total]]+SamplingData[[#This Row],[Winning Candidate]]-SamplingData[[#This Row],[Candidate 3]])/(SamplingData[[#Totals],[Winning Candidate]]-SamplingData[[#Totals],[Candidate 3]]), 0)</f>
        <v>0</v>
      </c>
      <c r="S649" s="100">
        <f>IF(AND(SamplingData[[#This Row],[Total]]&lt;&gt; 0, NOT(ISBLANK(SamplingData[[#This Row],[Candidate 4]]))),(SamplingData[[#This Row],[Total]]+SamplingData[[#This Row],[Winning Candidate]]-SamplingData[[#This Row],[Candidate 4]])/(SamplingData[[#Totals],[Winning Candidate]]-SamplingData[[#Totals],[Candidate 4]]), 0)</f>
        <v>0</v>
      </c>
      <c r="T649" s="100">
        <f>IF(AND(SamplingData[[#This Row],[Total]]&lt;&gt; 0, NOT(ISBLANK(SamplingData[[#This Row],[Candidate 5]]))),(SamplingData[[#This Row],[Total]]+SamplingData[[#This Row],[Winning Candidate]]-SamplingData[[#This Row],[Candidate 5]])/(SamplingData[[#Totals],[Winning Candidate]]-SamplingData[[#Totals],[Candidate 5]]), 0)</f>
        <v>0</v>
      </c>
      <c r="U649" s="100">
        <f>IF(AND(SamplingData[[#This Row],[Total]]&lt;&gt; 0, NOT(ISBLANK(SamplingData[[#This Row],[Candidate 6]]))),(SamplingData[[#This Row],[Total]]+SamplingData[[#This Row],[Losing Candidate]]-SamplingData[[#This Row],[Candidate 6]])/(SamplingData[[#Totals],[Winning Candidate]]-SamplingData[[#Totals],[Candidate 6]]), 0)</f>
        <v>0</v>
      </c>
      <c r="V649" s="100">
        <f>IF(AND(SamplingData[[#This Row],[Total]]&lt;&gt; 0, NOT(ISBLANK(SamplingData[[#This Row],[Candidate 7]]))),(SamplingData[[#This Row],[Total]]+SamplingData[[#This Row],[Winning Candidate]]-SamplingData[[#This Row],[Candidate 7]])/(SamplingData[[#Totals],[Winning Candidate]]-SamplingData[[#Totals],[Candidate 7]]), 0)</f>
        <v>0</v>
      </c>
      <c r="W649" s="100">
        <f>IF(AND(SamplingData[[#This Row],[Total]]&lt;&gt; 0, NOT(ISBLANK(SamplingData[[#This Row],[Candidate 8]]))),(SamplingData[[#This Row],[Total]]+SamplingData[[#This Row],[Winning Candidate]]-SamplingData[[#This Row],[Candidate 8]])/(SamplingData[[#Totals],[Winning Candidate]]-SamplingData[[#Totals],[Candidate 8]]), 0)</f>
        <v>0</v>
      </c>
      <c r="X6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00">
        <f>MAX(SamplingData[[#This Row],[Error Bound (up) - Max. possible relative overstatement - Losing Candidate]:[Error Bound (up) - Max. possible relative overstatement - Candidate 12]])</f>
        <v>2.5127995728240724E-4</v>
      </c>
      <c r="AC649" s="100">
        <f>IF(SamplingData[[#This Row],[Max Error Bound (up)]] = 0,0,SamplingData[[#This Row],[Max Error Bound (up)]]/SamplingData[[#Totals],[Max Error Bound (up)]])</f>
        <v>1.0768319603725841E-4</v>
      </c>
      <c r="AD649" s="104">
        <f>SUM($AC$5:AC649)</f>
        <v>0.17773111505949529</v>
      </c>
      <c r="AE649" s="100" t="str" cm="1">
        <f t="array" ref="AE649">IF(SamplingData[[#This Row],[up/U Selection Probability]] = 0, "Zero", TEXT(SamplingData[[#This Row],[Lower Range]], REPT("0",LEN('General Info'!$B$42))) &amp; " - " &amp; TEXT(SamplingData[[#This Row],[Upper Range]], REPT("0",LEN('General Info'!$B$42))))</f>
        <v>17762 - 17772</v>
      </c>
      <c r="AF649" s="100">
        <f>SamplingData[[#This Row],[Upper Range]]-SamplingData[[#This Row],[Span]]</f>
        <v>17762.343186345803</v>
      </c>
      <c r="AG649" s="100">
        <f>IF(ISNUMBER('General Info'!$B$42), ((SamplingData[[#This Row],[up/U Selection Probability]]) * 'General Info'!$B$44) - 1, 0)</f>
        <v>9.7683196037258408</v>
      </c>
      <c r="AH649" s="100">
        <f>IF(ISNUMBER('General Info'!$B$42), (SamplingData[[#This Row],[Running (cumulative) sum]] * ('General Info'!$B$42 -'General Info'!$B$43 + 1)) + 'General Info'!$B$43 - 1, 0)</f>
        <v>17772.111505949528</v>
      </c>
      <c r="AI649" s="100" t="str">
        <f>IF(ISERROR(MATCH(SamplingData[[#This Row],[Batch by Type (p)]],SelectedPrecincts[Batch Name], 0)), "", INDEX(SelectedPrecincts[Draw], MATCH(SamplingData[[#This Row],[Batch by Type (p)]],SelectedPrecincts[Batch Name], 0)))</f>
        <v/>
      </c>
      <c r="AJ649" s="101">
        <f>IF(COUNTIF(SelectedPrecincts[Batch Name],SamplingData[[#This Row],[Batch by Type (p)]]) &lt;&gt; 0, COUNTIF(SelectedPrecincts[Batch Name],SamplingData[[#This Row],[Batch by Type (p)]]), 0)</f>
        <v>0</v>
      </c>
    </row>
    <row r="650" spans="1:36" ht="15" customHeight="1" x14ac:dyDescent="0.35">
      <c r="A650" s="98" t="s">
        <v>861</v>
      </c>
      <c r="B650" s="98">
        <v>1</v>
      </c>
      <c r="C650" s="98">
        <v>0</v>
      </c>
      <c r="D650" s="93"/>
      <c r="E650" s="93"/>
      <c r="F650" s="93"/>
      <c r="G650" s="97"/>
      <c r="H650" s="97"/>
      <c r="I650" s="93"/>
      <c r="J650" s="93"/>
      <c r="K650" s="93"/>
      <c r="L650" s="93"/>
      <c r="M650" s="93"/>
      <c r="N650" s="98">
        <v>0</v>
      </c>
      <c r="O650" s="98">
        <v>0</v>
      </c>
      <c r="P650" s="99">
        <f>SUM(SamplingData[[#This Row],[Winning Candidate]:[Under Votes]])</f>
        <v>1</v>
      </c>
      <c r="Q650"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650" s="100">
        <f>IF(AND(SamplingData[[#This Row],[Total]]&lt;&gt; 0, NOT(ISBLANK(SamplingData[[#This Row],[Candidate 3]]))),(SamplingData[[#This Row],[Total]]+SamplingData[[#This Row],[Winning Candidate]]-SamplingData[[#This Row],[Candidate 3]])/(SamplingData[[#Totals],[Winning Candidate]]-SamplingData[[#Totals],[Candidate 3]]), 0)</f>
        <v>0</v>
      </c>
      <c r="S650" s="100">
        <f>IF(AND(SamplingData[[#This Row],[Total]]&lt;&gt; 0, NOT(ISBLANK(SamplingData[[#This Row],[Candidate 4]]))),(SamplingData[[#This Row],[Total]]+SamplingData[[#This Row],[Winning Candidate]]-SamplingData[[#This Row],[Candidate 4]])/(SamplingData[[#Totals],[Winning Candidate]]-SamplingData[[#Totals],[Candidate 4]]), 0)</f>
        <v>0</v>
      </c>
      <c r="T650" s="100">
        <f>IF(AND(SamplingData[[#This Row],[Total]]&lt;&gt; 0, NOT(ISBLANK(SamplingData[[#This Row],[Candidate 5]]))),(SamplingData[[#This Row],[Total]]+SamplingData[[#This Row],[Winning Candidate]]-SamplingData[[#This Row],[Candidate 5]])/(SamplingData[[#Totals],[Winning Candidate]]-SamplingData[[#Totals],[Candidate 5]]), 0)</f>
        <v>0</v>
      </c>
      <c r="U650" s="100">
        <f>IF(AND(SamplingData[[#This Row],[Total]]&lt;&gt; 0, NOT(ISBLANK(SamplingData[[#This Row],[Candidate 6]]))),(SamplingData[[#This Row],[Total]]+SamplingData[[#This Row],[Losing Candidate]]-SamplingData[[#This Row],[Candidate 6]])/(SamplingData[[#Totals],[Winning Candidate]]-SamplingData[[#Totals],[Candidate 6]]), 0)</f>
        <v>0</v>
      </c>
      <c r="V650" s="100">
        <f>IF(AND(SamplingData[[#This Row],[Total]]&lt;&gt; 0, NOT(ISBLANK(SamplingData[[#This Row],[Candidate 7]]))),(SamplingData[[#This Row],[Total]]+SamplingData[[#This Row],[Winning Candidate]]-SamplingData[[#This Row],[Candidate 7]])/(SamplingData[[#Totals],[Winning Candidate]]-SamplingData[[#Totals],[Candidate 7]]), 0)</f>
        <v>0</v>
      </c>
      <c r="W650" s="100">
        <f>IF(AND(SamplingData[[#This Row],[Total]]&lt;&gt; 0, NOT(ISBLANK(SamplingData[[#This Row],[Candidate 8]]))),(SamplingData[[#This Row],[Total]]+SamplingData[[#This Row],[Winning Candidate]]-SamplingData[[#This Row],[Candidate 8]])/(SamplingData[[#Totals],[Winning Candidate]]-SamplingData[[#Totals],[Candidate 8]]), 0)</f>
        <v>0</v>
      </c>
      <c r="X6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00">
        <f>MAX(SamplingData[[#This Row],[Error Bound (up) - Max. possible relative overstatement - Losing Candidate]:[Error Bound (up) - Max. possible relative overstatement - Candidate 12]])</f>
        <v>6.2819989320601809E-5</v>
      </c>
      <c r="AC650" s="100">
        <f>IF(SamplingData[[#This Row],[Max Error Bound (up)]] = 0,0,SamplingData[[#This Row],[Max Error Bound (up)]]/SamplingData[[#Totals],[Max Error Bound (up)]])</f>
        <v>2.6920799009314603E-5</v>
      </c>
      <c r="AD650" s="104">
        <f>SUM($AC$5:AC650)</f>
        <v>0.17775803585850461</v>
      </c>
      <c r="AE650" s="100" t="str" cm="1">
        <f t="array" ref="AE650">IF(SamplingData[[#This Row],[up/U Selection Probability]] = 0, "Zero", TEXT(SamplingData[[#This Row],[Lower Range]], REPT("0",LEN('General Info'!$B$42))) &amp; " - " &amp; TEXT(SamplingData[[#This Row],[Upper Range]], REPT("0",LEN('General Info'!$B$42))))</f>
        <v>17773 - 17775</v>
      </c>
      <c r="AF650" s="100">
        <f>SamplingData[[#This Row],[Upper Range]]-SamplingData[[#This Row],[Span]]</f>
        <v>17773.111505949531</v>
      </c>
      <c r="AG650" s="100">
        <f>IF(ISNUMBER('General Info'!$B$42), ((SamplingData[[#This Row],[up/U Selection Probability]]) * 'General Info'!$B$44) - 1, 0)</f>
        <v>1.6920799009314602</v>
      </c>
      <c r="AH650" s="100">
        <f>IF(ISNUMBER('General Info'!$B$42), (SamplingData[[#This Row],[Running (cumulative) sum]] * ('General Info'!$B$42 -'General Info'!$B$43 + 1)) + 'General Info'!$B$43 - 1, 0)</f>
        <v>17774.803585850463</v>
      </c>
      <c r="AI650" s="100" t="str">
        <f>IF(ISERROR(MATCH(SamplingData[[#This Row],[Batch by Type (p)]],SelectedPrecincts[Batch Name], 0)), "", INDEX(SelectedPrecincts[Draw], MATCH(SamplingData[[#This Row],[Batch by Type (p)]],SelectedPrecincts[Batch Name], 0)))</f>
        <v/>
      </c>
      <c r="AJ650" s="101">
        <f>IF(COUNTIF(SelectedPrecincts[Batch Name],SamplingData[[#This Row],[Batch by Type (p)]]) &lt;&gt; 0, COUNTIF(SelectedPrecincts[Batch Name],SamplingData[[#This Row],[Batch by Type (p)]]), 0)</f>
        <v>0</v>
      </c>
    </row>
    <row r="651" spans="1:36" ht="15" customHeight="1" x14ac:dyDescent="0.35">
      <c r="A651" s="98" t="s">
        <v>862</v>
      </c>
      <c r="B651" s="98">
        <v>9</v>
      </c>
      <c r="C651" s="98">
        <v>1</v>
      </c>
      <c r="D651" s="93"/>
      <c r="E651" s="93"/>
      <c r="F651" s="93"/>
      <c r="G651" s="97"/>
      <c r="H651" s="97"/>
      <c r="I651" s="93"/>
      <c r="J651" s="93"/>
      <c r="K651" s="93"/>
      <c r="L651" s="93"/>
      <c r="M651" s="93"/>
      <c r="N651" s="98">
        <v>0</v>
      </c>
      <c r="O651" s="98">
        <v>0</v>
      </c>
      <c r="P651" s="99">
        <f>SUM(SamplingData[[#This Row],[Winning Candidate]:[Under Votes]])</f>
        <v>10</v>
      </c>
      <c r="Q651"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651" s="100">
        <f>IF(AND(SamplingData[[#This Row],[Total]]&lt;&gt; 0, NOT(ISBLANK(SamplingData[[#This Row],[Candidate 3]]))),(SamplingData[[#This Row],[Total]]+SamplingData[[#This Row],[Winning Candidate]]-SamplingData[[#This Row],[Candidate 3]])/(SamplingData[[#Totals],[Winning Candidate]]-SamplingData[[#Totals],[Candidate 3]]), 0)</f>
        <v>0</v>
      </c>
      <c r="S651" s="100">
        <f>IF(AND(SamplingData[[#This Row],[Total]]&lt;&gt; 0, NOT(ISBLANK(SamplingData[[#This Row],[Candidate 4]]))),(SamplingData[[#This Row],[Total]]+SamplingData[[#This Row],[Winning Candidate]]-SamplingData[[#This Row],[Candidate 4]])/(SamplingData[[#Totals],[Winning Candidate]]-SamplingData[[#Totals],[Candidate 4]]), 0)</f>
        <v>0</v>
      </c>
      <c r="T651" s="100">
        <f>IF(AND(SamplingData[[#This Row],[Total]]&lt;&gt; 0, NOT(ISBLANK(SamplingData[[#This Row],[Candidate 5]]))),(SamplingData[[#This Row],[Total]]+SamplingData[[#This Row],[Winning Candidate]]-SamplingData[[#This Row],[Candidate 5]])/(SamplingData[[#Totals],[Winning Candidate]]-SamplingData[[#Totals],[Candidate 5]]), 0)</f>
        <v>0</v>
      </c>
      <c r="U651" s="100">
        <f>IF(AND(SamplingData[[#This Row],[Total]]&lt;&gt; 0, NOT(ISBLANK(SamplingData[[#This Row],[Candidate 6]]))),(SamplingData[[#This Row],[Total]]+SamplingData[[#This Row],[Losing Candidate]]-SamplingData[[#This Row],[Candidate 6]])/(SamplingData[[#Totals],[Winning Candidate]]-SamplingData[[#Totals],[Candidate 6]]), 0)</f>
        <v>0</v>
      </c>
      <c r="V651" s="100">
        <f>IF(AND(SamplingData[[#This Row],[Total]]&lt;&gt; 0, NOT(ISBLANK(SamplingData[[#This Row],[Candidate 7]]))),(SamplingData[[#This Row],[Total]]+SamplingData[[#This Row],[Winning Candidate]]-SamplingData[[#This Row],[Candidate 7]])/(SamplingData[[#Totals],[Winning Candidate]]-SamplingData[[#Totals],[Candidate 7]]), 0)</f>
        <v>0</v>
      </c>
      <c r="W651" s="100">
        <f>IF(AND(SamplingData[[#This Row],[Total]]&lt;&gt; 0, NOT(ISBLANK(SamplingData[[#This Row],[Candidate 8]]))),(SamplingData[[#This Row],[Total]]+SamplingData[[#This Row],[Winning Candidate]]-SamplingData[[#This Row],[Candidate 8]])/(SamplingData[[#Totals],[Winning Candidate]]-SamplingData[[#Totals],[Candidate 8]]), 0)</f>
        <v>0</v>
      </c>
      <c r="X6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00">
        <f>MAX(SamplingData[[#This Row],[Error Bound (up) - Max. possible relative overstatement - Losing Candidate]:[Error Bound (up) - Max. possible relative overstatement - Candidate 12]])</f>
        <v>5.6537990388541635E-4</v>
      </c>
      <c r="AC651" s="100">
        <f>IF(SamplingData[[#This Row],[Max Error Bound (up)]] = 0,0,SamplingData[[#This Row],[Max Error Bound (up)]]/SamplingData[[#Totals],[Max Error Bound (up)]])</f>
        <v>2.4228719108383145E-4</v>
      </c>
      <c r="AD651" s="104">
        <f>SUM($AC$5:AC651)</f>
        <v>0.17800032304958843</v>
      </c>
      <c r="AE651" s="100" t="str" cm="1">
        <f t="array" ref="AE651">IF(SamplingData[[#This Row],[up/U Selection Probability]] = 0, "Zero", TEXT(SamplingData[[#This Row],[Lower Range]], REPT("0",LEN('General Info'!$B$42))) &amp; " - " &amp; TEXT(SamplingData[[#This Row],[Upper Range]], REPT("0",LEN('General Info'!$B$42))))</f>
        <v>17776 - 17799</v>
      </c>
      <c r="AF651" s="100">
        <f>SamplingData[[#This Row],[Upper Range]]-SamplingData[[#This Row],[Span]]</f>
        <v>17775.803585850463</v>
      </c>
      <c r="AG651" s="100">
        <f>IF(ISNUMBER('General Info'!$B$42), ((SamplingData[[#This Row],[up/U Selection Probability]]) * 'General Info'!$B$44) - 1, 0)</f>
        <v>23.228719108383146</v>
      </c>
      <c r="AH651" s="100">
        <f>IF(ISNUMBER('General Info'!$B$42), (SamplingData[[#This Row],[Running (cumulative) sum]] * ('General Info'!$B$42 -'General Info'!$B$43 + 1)) + 'General Info'!$B$43 - 1, 0)</f>
        <v>17799.032304958844</v>
      </c>
      <c r="AI651" s="100" t="str">
        <f>IF(ISERROR(MATCH(SamplingData[[#This Row],[Batch by Type (p)]],SelectedPrecincts[Batch Name], 0)), "", INDEX(SelectedPrecincts[Draw], MATCH(SamplingData[[#This Row],[Batch by Type (p)]],SelectedPrecincts[Batch Name], 0)))</f>
        <v/>
      </c>
      <c r="AJ651" s="101">
        <f>IF(COUNTIF(SelectedPrecincts[Batch Name],SamplingData[[#This Row],[Batch by Type (p)]]) &lt;&gt; 0, COUNTIF(SelectedPrecincts[Batch Name],SamplingData[[#This Row],[Batch by Type (p)]]), 0)</f>
        <v>0</v>
      </c>
    </row>
    <row r="652" spans="1:36" ht="15" customHeight="1" x14ac:dyDescent="0.35">
      <c r="A652" s="98" t="s">
        <v>863</v>
      </c>
      <c r="B652" s="98">
        <v>2</v>
      </c>
      <c r="C652" s="98">
        <v>1</v>
      </c>
      <c r="D652" s="93"/>
      <c r="E652" s="93"/>
      <c r="F652" s="93"/>
      <c r="G652" s="97"/>
      <c r="H652" s="97"/>
      <c r="I652" s="93"/>
      <c r="J652" s="93"/>
      <c r="K652" s="93"/>
      <c r="L652" s="93"/>
      <c r="M652" s="93"/>
      <c r="N652" s="98">
        <v>0</v>
      </c>
      <c r="O652" s="98">
        <v>0</v>
      </c>
      <c r="P652" s="99">
        <f>SUM(SamplingData[[#This Row],[Winning Candidate]:[Under Votes]])</f>
        <v>3</v>
      </c>
      <c r="Q652"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52" s="100">
        <f>IF(AND(SamplingData[[#This Row],[Total]]&lt;&gt; 0, NOT(ISBLANK(SamplingData[[#This Row],[Candidate 3]]))),(SamplingData[[#This Row],[Total]]+SamplingData[[#This Row],[Winning Candidate]]-SamplingData[[#This Row],[Candidate 3]])/(SamplingData[[#Totals],[Winning Candidate]]-SamplingData[[#Totals],[Candidate 3]]), 0)</f>
        <v>0</v>
      </c>
      <c r="S652" s="100">
        <f>IF(AND(SamplingData[[#This Row],[Total]]&lt;&gt; 0, NOT(ISBLANK(SamplingData[[#This Row],[Candidate 4]]))),(SamplingData[[#This Row],[Total]]+SamplingData[[#This Row],[Winning Candidate]]-SamplingData[[#This Row],[Candidate 4]])/(SamplingData[[#Totals],[Winning Candidate]]-SamplingData[[#Totals],[Candidate 4]]), 0)</f>
        <v>0</v>
      </c>
      <c r="T652" s="100">
        <f>IF(AND(SamplingData[[#This Row],[Total]]&lt;&gt; 0, NOT(ISBLANK(SamplingData[[#This Row],[Candidate 5]]))),(SamplingData[[#This Row],[Total]]+SamplingData[[#This Row],[Winning Candidate]]-SamplingData[[#This Row],[Candidate 5]])/(SamplingData[[#Totals],[Winning Candidate]]-SamplingData[[#Totals],[Candidate 5]]), 0)</f>
        <v>0</v>
      </c>
      <c r="U652" s="100">
        <f>IF(AND(SamplingData[[#This Row],[Total]]&lt;&gt; 0, NOT(ISBLANK(SamplingData[[#This Row],[Candidate 6]]))),(SamplingData[[#This Row],[Total]]+SamplingData[[#This Row],[Losing Candidate]]-SamplingData[[#This Row],[Candidate 6]])/(SamplingData[[#Totals],[Winning Candidate]]-SamplingData[[#Totals],[Candidate 6]]), 0)</f>
        <v>0</v>
      </c>
      <c r="V652" s="100">
        <f>IF(AND(SamplingData[[#This Row],[Total]]&lt;&gt; 0, NOT(ISBLANK(SamplingData[[#This Row],[Candidate 7]]))),(SamplingData[[#This Row],[Total]]+SamplingData[[#This Row],[Winning Candidate]]-SamplingData[[#This Row],[Candidate 7]])/(SamplingData[[#Totals],[Winning Candidate]]-SamplingData[[#Totals],[Candidate 7]]), 0)</f>
        <v>0</v>
      </c>
      <c r="W652" s="100">
        <f>IF(AND(SamplingData[[#This Row],[Total]]&lt;&gt; 0, NOT(ISBLANK(SamplingData[[#This Row],[Candidate 8]]))),(SamplingData[[#This Row],[Total]]+SamplingData[[#This Row],[Winning Candidate]]-SamplingData[[#This Row],[Candidate 8]])/(SamplingData[[#Totals],[Winning Candidate]]-SamplingData[[#Totals],[Candidate 8]]), 0)</f>
        <v>0</v>
      </c>
      <c r="X6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00">
        <f>MAX(SamplingData[[#This Row],[Error Bound (up) - Max. possible relative overstatement - Losing Candidate]:[Error Bound (up) - Max. possible relative overstatement - Candidate 12]])</f>
        <v>1.2563997864120362E-4</v>
      </c>
      <c r="AC652" s="100">
        <f>IF(SamplingData[[#This Row],[Max Error Bound (up)]] = 0,0,SamplingData[[#This Row],[Max Error Bound (up)]]/SamplingData[[#Totals],[Max Error Bound (up)]])</f>
        <v>5.3841598018629206E-5</v>
      </c>
      <c r="AD652" s="104">
        <f>SUM($AC$5:AC652)</f>
        <v>0.17805416464760707</v>
      </c>
      <c r="AE652" s="100" t="str" cm="1">
        <f t="array" ref="AE652">IF(SamplingData[[#This Row],[up/U Selection Probability]] = 0, "Zero", TEXT(SamplingData[[#This Row],[Lower Range]], REPT("0",LEN('General Info'!$B$42))) &amp; " - " &amp; TEXT(SamplingData[[#This Row],[Upper Range]], REPT("0",LEN('General Info'!$B$42))))</f>
        <v>17800 - 17804</v>
      </c>
      <c r="AF652" s="100">
        <f>SamplingData[[#This Row],[Upper Range]]-SamplingData[[#This Row],[Span]]</f>
        <v>17800.032304958844</v>
      </c>
      <c r="AG652" s="100">
        <f>IF(ISNUMBER('General Info'!$B$42), ((SamplingData[[#This Row],[up/U Selection Probability]]) * 'General Info'!$B$44) - 1, 0)</f>
        <v>4.3841598018629204</v>
      </c>
      <c r="AH652" s="100">
        <f>IF(ISNUMBER('General Info'!$B$42), (SamplingData[[#This Row],[Running (cumulative) sum]] * ('General Info'!$B$42 -'General Info'!$B$43 + 1)) + 'General Info'!$B$43 - 1, 0)</f>
        <v>17804.416464760707</v>
      </c>
      <c r="AI652" s="100" t="str">
        <f>IF(ISERROR(MATCH(SamplingData[[#This Row],[Batch by Type (p)]],SelectedPrecincts[Batch Name], 0)), "", INDEX(SelectedPrecincts[Draw], MATCH(SamplingData[[#This Row],[Batch by Type (p)]],SelectedPrecincts[Batch Name], 0)))</f>
        <v/>
      </c>
      <c r="AJ652" s="101">
        <f>IF(COUNTIF(SelectedPrecincts[Batch Name],SamplingData[[#This Row],[Batch by Type (p)]]) &lt;&gt; 0, COUNTIF(SelectedPrecincts[Batch Name],SamplingData[[#This Row],[Batch by Type (p)]]), 0)</f>
        <v>0</v>
      </c>
    </row>
    <row r="653" spans="1:36" ht="15" customHeight="1" x14ac:dyDescent="0.35">
      <c r="A653" s="98" t="s">
        <v>864</v>
      </c>
      <c r="B653" s="98">
        <v>1</v>
      </c>
      <c r="C653" s="98">
        <v>2</v>
      </c>
      <c r="D653" s="93"/>
      <c r="E653" s="93"/>
      <c r="F653" s="93"/>
      <c r="G653" s="97"/>
      <c r="H653" s="97"/>
      <c r="I653" s="93"/>
      <c r="J653" s="93"/>
      <c r="K653" s="93"/>
      <c r="L653" s="93"/>
      <c r="M653" s="93"/>
      <c r="N653" s="98">
        <v>0</v>
      </c>
      <c r="O653" s="98">
        <v>1</v>
      </c>
      <c r="P653" s="99">
        <f>SUM(SamplingData[[#This Row],[Winning Candidate]:[Under Votes]])</f>
        <v>4</v>
      </c>
      <c r="Q653" s="100">
        <f>IF(AND(SamplingData[[#This Row],[Total]]&lt;&gt; 0, NOT(ISBLANK(SamplingData[[#This Row],[Losing Candidate]]))),(SamplingData[[#This Row],[Total]]+SamplingData[[#This Row],[Winning Candidate]]-SamplingData[[#This Row],[Losing Candidate]])/(SamplingData[[#Totals],[Winning Candidate]]-SamplingData[[#Totals],[Losing Candidate]]), 0)</f>
        <v>9.4229983980902721E-5</v>
      </c>
      <c r="R653" s="100">
        <f>IF(AND(SamplingData[[#This Row],[Total]]&lt;&gt; 0, NOT(ISBLANK(SamplingData[[#This Row],[Candidate 3]]))),(SamplingData[[#This Row],[Total]]+SamplingData[[#This Row],[Winning Candidate]]-SamplingData[[#This Row],[Candidate 3]])/(SamplingData[[#Totals],[Winning Candidate]]-SamplingData[[#Totals],[Candidate 3]]), 0)</f>
        <v>0</v>
      </c>
      <c r="S653" s="100">
        <f>IF(AND(SamplingData[[#This Row],[Total]]&lt;&gt; 0, NOT(ISBLANK(SamplingData[[#This Row],[Candidate 4]]))),(SamplingData[[#This Row],[Total]]+SamplingData[[#This Row],[Winning Candidate]]-SamplingData[[#This Row],[Candidate 4]])/(SamplingData[[#Totals],[Winning Candidate]]-SamplingData[[#Totals],[Candidate 4]]), 0)</f>
        <v>0</v>
      </c>
      <c r="T653" s="100">
        <f>IF(AND(SamplingData[[#This Row],[Total]]&lt;&gt; 0, NOT(ISBLANK(SamplingData[[#This Row],[Candidate 5]]))),(SamplingData[[#This Row],[Total]]+SamplingData[[#This Row],[Winning Candidate]]-SamplingData[[#This Row],[Candidate 5]])/(SamplingData[[#Totals],[Winning Candidate]]-SamplingData[[#Totals],[Candidate 5]]), 0)</f>
        <v>0</v>
      </c>
      <c r="U653" s="100">
        <f>IF(AND(SamplingData[[#This Row],[Total]]&lt;&gt; 0, NOT(ISBLANK(SamplingData[[#This Row],[Candidate 6]]))),(SamplingData[[#This Row],[Total]]+SamplingData[[#This Row],[Losing Candidate]]-SamplingData[[#This Row],[Candidate 6]])/(SamplingData[[#Totals],[Winning Candidate]]-SamplingData[[#Totals],[Candidate 6]]), 0)</f>
        <v>0</v>
      </c>
      <c r="V653" s="100">
        <f>IF(AND(SamplingData[[#This Row],[Total]]&lt;&gt; 0, NOT(ISBLANK(SamplingData[[#This Row],[Candidate 7]]))),(SamplingData[[#This Row],[Total]]+SamplingData[[#This Row],[Winning Candidate]]-SamplingData[[#This Row],[Candidate 7]])/(SamplingData[[#Totals],[Winning Candidate]]-SamplingData[[#Totals],[Candidate 7]]), 0)</f>
        <v>0</v>
      </c>
      <c r="W653" s="100">
        <f>IF(AND(SamplingData[[#This Row],[Total]]&lt;&gt; 0, NOT(ISBLANK(SamplingData[[#This Row],[Candidate 8]]))),(SamplingData[[#This Row],[Total]]+SamplingData[[#This Row],[Winning Candidate]]-SamplingData[[#This Row],[Candidate 8]])/(SamplingData[[#Totals],[Winning Candidate]]-SamplingData[[#Totals],[Candidate 8]]), 0)</f>
        <v>0</v>
      </c>
      <c r="X6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00">
        <f>MAX(SamplingData[[#This Row],[Error Bound (up) - Max. possible relative overstatement - Losing Candidate]:[Error Bound (up) - Max. possible relative overstatement - Candidate 12]])</f>
        <v>9.4229983980902721E-5</v>
      </c>
      <c r="AC653" s="100">
        <f>IF(SamplingData[[#This Row],[Max Error Bound (up)]] = 0,0,SamplingData[[#This Row],[Max Error Bound (up)]]/SamplingData[[#Totals],[Max Error Bound (up)]])</f>
        <v>4.0381198513971908E-5</v>
      </c>
      <c r="AD653" s="104">
        <f>SUM($AC$5:AC653)</f>
        <v>0.17809454584612103</v>
      </c>
      <c r="AE653" s="100" t="str" cm="1">
        <f t="array" ref="AE653">IF(SamplingData[[#This Row],[up/U Selection Probability]] = 0, "Zero", TEXT(SamplingData[[#This Row],[Lower Range]], REPT("0",LEN('General Info'!$B$42))) &amp; " - " &amp; TEXT(SamplingData[[#This Row],[Upper Range]], REPT("0",LEN('General Info'!$B$42))))</f>
        <v>17805 - 17808</v>
      </c>
      <c r="AF653" s="100">
        <f>SamplingData[[#This Row],[Upper Range]]-SamplingData[[#This Row],[Span]]</f>
        <v>17805.416464760707</v>
      </c>
      <c r="AG653" s="100">
        <f>IF(ISNUMBER('General Info'!$B$42), ((SamplingData[[#This Row],[up/U Selection Probability]]) * 'General Info'!$B$44) - 1, 0)</f>
        <v>3.038119851397191</v>
      </c>
      <c r="AH653" s="100">
        <f>IF(ISNUMBER('General Info'!$B$42), (SamplingData[[#This Row],[Running (cumulative) sum]] * ('General Info'!$B$42 -'General Info'!$B$43 + 1)) + 'General Info'!$B$43 - 1, 0)</f>
        <v>17808.454584612104</v>
      </c>
      <c r="AI653" s="100" t="str">
        <f>IF(ISERROR(MATCH(SamplingData[[#This Row],[Batch by Type (p)]],SelectedPrecincts[Batch Name], 0)), "", INDEX(SelectedPrecincts[Draw], MATCH(SamplingData[[#This Row],[Batch by Type (p)]],SelectedPrecincts[Batch Name], 0)))</f>
        <v/>
      </c>
      <c r="AJ653" s="101">
        <f>IF(COUNTIF(SelectedPrecincts[Batch Name],SamplingData[[#This Row],[Batch by Type (p)]]) &lt;&gt; 0, COUNTIF(SelectedPrecincts[Batch Name],SamplingData[[#This Row],[Batch by Type (p)]]), 0)</f>
        <v>0</v>
      </c>
    </row>
    <row r="654" spans="1:36" ht="15" customHeight="1" x14ac:dyDescent="0.35">
      <c r="A654" s="98" t="s">
        <v>865</v>
      </c>
      <c r="B654" s="98">
        <v>14</v>
      </c>
      <c r="C654" s="98">
        <v>3</v>
      </c>
      <c r="D654" s="93"/>
      <c r="E654" s="93"/>
      <c r="F654" s="93"/>
      <c r="G654" s="97"/>
      <c r="H654" s="97"/>
      <c r="I654" s="93"/>
      <c r="J654" s="93"/>
      <c r="K654" s="93"/>
      <c r="L654" s="93"/>
      <c r="M654" s="93"/>
      <c r="N654" s="98">
        <v>0</v>
      </c>
      <c r="O654" s="98">
        <v>0</v>
      </c>
      <c r="P654" s="99">
        <f>SUM(SamplingData[[#This Row],[Winning Candidate]:[Under Votes]])</f>
        <v>17</v>
      </c>
      <c r="Q654"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654" s="100">
        <f>IF(AND(SamplingData[[#This Row],[Total]]&lt;&gt; 0, NOT(ISBLANK(SamplingData[[#This Row],[Candidate 3]]))),(SamplingData[[#This Row],[Total]]+SamplingData[[#This Row],[Winning Candidate]]-SamplingData[[#This Row],[Candidate 3]])/(SamplingData[[#Totals],[Winning Candidate]]-SamplingData[[#Totals],[Candidate 3]]), 0)</f>
        <v>0</v>
      </c>
      <c r="S654" s="100">
        <f>IF(AND(SamplingData[[#This Row],[Total]]&lt;&gt; 0, NOT(ISBLANK(SamplingData[[#This Row],[Candidate 4]]))),(SamplingData[[#This Row],[Total]]+SamplingData[[#This Row],[Winning Candidate]]-SamplingData[[#This Row],[Candidate 4]])/(SamplingData[[#Totals],[Winning Candidate]]-SamplingData[[#Totals],[Candidate 4]]), 0)</f>
        <v>0</v>
      </c>
      <c r="T654" s="100">
        <f>IF(AND(SamplingData[[#This Row],[Total]]&lt;&gt; 0, NOT(ISBLANK(SamplingData[[#This Row],[Candidate 5]]))),(SamplingData[[#This Row],[Total]]+SamplingData[[#This Row],[Winning Candidate]]-SamplingData[[#This Row],[Candidate 5]])/(SamplingData[[#Totals],[Winning Candidate]]-SamplingData[[#Totals],[Candidate 5]]), 0)</f>
        <v>0</v>
      </c>
      <c r="U654" s="100">
        <f>IF(AND(SamplingData[[#This Row],[Total]]&lt;&gt; 0, NOT(ISBLANK(SamplingData[[#This Row],[Candidate 6]]))),(SamplingData[[#This Row],[Total]]+SamplingData[[#This Row],[Losing Candidate]]-SamplingData[[#This Row],[Candidate 6]])/(SamplingData[[#Totals],[Winning Candidate]]-SamplingData[[#Totals],[Candidate 6]]), 0)</f>
        <v>0</v>
      </c>
      <c r="V654" s="100">
        <f>IF(AND(SamplingData[[#This Row],[Total]]&lt;&gt; 0, NOT(ISBLANK(SamplingData[[#This Row],[Candidate 7]]))),(SamplingData[[#This Row],[Total]]+SamplingData[[#This Row],[Winning Candidate]]-SamplingData[[#This Row],[Candidate 7]])/(SamplingData[[#Totals],[Winning Candidate]]-SamplingData[[#Totals],[Candidate 7]]), 0)</f>
        <v>0</v>
      </c>
      <c r="W654" s="100">
        <f>IF(AND(SamplingData[[#This Row],[Total]]&lt;&gt; 0, NOT(ISBLANK(SamplingData[[#This Row],[Candidate 8]]))),(SamplingData[[#This Row],[Total]]+SamplingData[[#This Row],[Winning Candidate]]-SamplingData[[#This Row],[Candidate 8]])/(SamplingData[[#Totals],[Winning Candidate]]-SamplingData[[#Totals],[Candidate 8]]), 0)</f>
        <v>0</v>
      </c>
      <c r="X6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00">
        <f>MAX(SamplingData[[#This Row],[Error Bound (up) - Max. possible relative overstatement - Losing Candidate]:[Error Bound (up) - Max. possible relative overstatement - Candidate 12]])</f>
        <v>8.7947985048842541E-4</v>
      </c>
      <c r="AC654" s="100">
        <f>IF(SamplingData[[#This Row],[Max Error Bound (up)]] = 0,0,SamplingData[[#This Row],[Max Error Bound (up)]]/SamplingData[[#Totals],[Max Error Bound (up)]])</f>
        <v>3.7689118613040446E-4</v>
      </c>
      <c r="AD654" s="104">
        <f>SUM($AC$5:AC654)</f>
        <v>0.17847143703225143</v>
      </c>
      <c r="AE654" s="100" t="str" cm="1">
        <f t="array" ref="AE654">IF(SamplingData[[#This Row],[up/U Selection Probability]] = 0, "Zero", TEXT(SamplingData[[#This Row],[Lower Range]], REPT("0",LEN('General Info'!$B$42))) &amp; " - " &amp; TEXT(SamplingData[[#This Row],[Upper Range]], REPT("0",LEN('General Info'!$B$42))))</f>
        <v>17809 - 17846</v>
      </c>
      <c r="AF654" s="100">
        <f>SamplingData[[#This Row],[Upper Range]]-SamplingData[[#This Row],[Span]]</f>
        <v>17809.454584612104</v>
      </c>
      <c r="AG654" s="100">
        <f>IF(ISNUMBER('General Info'!$B$42), ((SamplingData[[#This Row],[up/U Selection Probability]]) * 'General Info'!$B$44) - 1, 0)</f>
        <v>36.689118613040449</v>
      </c>
      <c r="AH654" s="100">
        <f>IF(ISNUMBER('General Info'!$B$42), (SamplingData[[#This Row],[Running (cumulative) sum]] * ('General Info'!$B$42 -'General Info'!$B$43 + 1)) + 'General Info'!$B$43 - 1, 0)</f>
        <v>17846.143703225145</v>
      </c>
      <c r="AI654" s="100" t="str">
        <f>IF(ISERROR(MATCH(SamplingData[[#This Row],[Batch by Type (p)]],SelectedPrecincts[Batch Name], 0)), "", INDEX(SelectedPrecincts[Draw], MATCH(SamplingData[[#This Row],[Batch by Type (p)]],SelectedPrecincts[Batch Name], 0)))</f>
        <v/>
      </c>
      <c r="AJ654" s="101">
        <f>IF(COUNTIF(SelectedPrecincts[Batch Name],SamplingData[[#This Row],[Batch by Type (p)]]) &lt;&gt; 0, COUNTIF(SelectedPrecincts[Batch Name],SamplingData[[#This Row],[Batch by Type (p)]]), 0)</f>
        <v>0</v>
      </c>
    </row>
    <row r="655" spans="1:36" ht="15" customHeight="1" x14ac:dyDescent="0.35">
      <c r="A655" s="98" t="s">
        <v>866</v>
      </c>
      <c r="B655" s="98">
        <v>2</v>
      </c>
      <c r="C655" s="98">
        <v>1</v>
      </c>
      <c r="D655" s="93"/>
      <c r="E655" s="93"/>
      <c r="F655" s="93"/>
      <c r="G655" s="97"/>
      <c r="H655" s="97"/>
      <c r="I655" s="93"/>
      <c r="J655" s="93"/>
      <c r="K655" s="93"/>
      <c r="L655" s="93"/>
      <c r="M655" s="93"/>
      <c r="N655" s="98">
        <v>0</v>
      </c>
      <c r="O655" s="98">
        <v>0</v>
      </c>
      <c r="P655" s="99">
        <f>SUM(SamplingData[[#This Row],[Winning Candidate]:[Under Votes]])</f>
        <v>3</v>
      </c>
      <c r="Q655"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55" s="100">
        <f>IF(AND(SamplingData[[#This Row],[Total]]&lt;&gt; 0, NOT(ISBLANK(SamplingData[[#This Row],[Candidate 3]]))),(SamplingData[[#This Row],[Total]]+SamplingData[[#This Row],[Winning Candidate]]-SamplingData[[#This Row],[Candidate 3]])/(SamplingData[[#Totals],[Winning Candidate]]-SamplingData[[#Totals],[Candidate 3]]), 0)</f>
        <v>0</v>
      </c>
      <c r="S655" s="100">
        <f>IF(AND(SamplingData[[#This Row],[Total]]&lt;&gt; 0, NOT(ISBLANK(SamplingData[[#This Row],[Candidate 4]]))),(SamplingData[[#This Row],[Total]]+SamplingData[[#This Row],[Winning Candidate]]-SamplingData[[#This Row],[Candidate 4]])/(SamplingData[[#Totals],[Winning Candidate]]-SamplingData[[#Totals],[Candidate 4]]), 0)</f>
        <v>0</v>
      </c>
      <c r="T655" s="100">
        <f>IF(AND(SamplingData[[#This Row],[Total]]&lt;&gt; 0, NOT(ISBLANK(SamplingData[[#This Row],[Candidate 5]]))),(SamplingData[[#This Row],[Total]]+SamplingData[[#This Row],[Winning Candidate]]-SamplingData[[#This Row],[Candidate 5]])/(SamplingData[[#Totals],[Winning Candidate]]-SamplingData[[#Totals],[Candidate 5]]), 0)</f>
        <v>0</v>
      </c>
      <c r="U655" s="100">
        <f>IF(AND(SamplingData[[#This Row],[Total]]&lt;&gt; 0, NOT(ISBLANK(SamplingData[[#This Row],[Candidate 6]]))),(SamplingData[[#This Row],[Total]]+SamplingData[[#This Row],[Losing Candidate]]-SamplingData[[#This Row],[Candidate 6]])/(SamplingData[[#Totals],[Winning Candidate]]-SamplingData[[#Totals],[Candidate 6]]), 0)</f>
        <v>0</v>
      </c>
      <c r="V655" s="100">
        <f>IF(AND(SamplingData[[#This Row],[Total]]&lt;&gt; 0, NOT(ISBLANK(SamplingData[[#This Row],[Candidate 7]]))),(SamplingData[[#This Row],[Total]]+SamplingData[[#This Row],[Winning Candidate]]-SamplingData[[#This Row],[Candidate 7]])/(SamplingData[[#Totals],[Winning Candidate]]-SamplingData[[#Totals],[Candidate 7]]), 0)</f>
        <v>0</v>
      </c>
      <c r="W655" s="100">
        <f>IF(AND(SamplingData[[#This Row],[Total]]&lt;&gt; 0, NOT(ISBLANK(SamplingData[[#This Row],[Candidate 8]]))),(SamplingData[[#This Row],[Total]]+SamplingData[[#This Row],[Winning Candidate]]-SamplingData[[#This Row],[Candidate 8]])/(SamplingData[[#Totals],[Winning Candidate]]-SamplingData[[#Totals],[Candidate 8]]), 0)</f>
        <v>0</v>
      </c>
      <c r="X6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00">
        <f>MAX(SamplingData[[#This Row],[Error Bound (up) - Max. possible relative overstatement - Losing Candidate]:[Error Bound (up) - Max. possible relative overstatement - Candidate 12]])</f>
        <v>1.2563997864120362E-4</v>
      </c>
      <c r="AC655" s="100">
        <f>IF(SamplingData[[#This Row],[Max Error Bound (up)]] = 0,0,SamplingData[[#This Row],[Max Error Bound (up)]]/SamplingData[[#Totals],[Max Error Bound (up)]])</f>
        <v>5.3841598018629206E-5</v>
      </c>
      <c r="AD655" s="104">
        <f>SUM($AC$5:AC655)</f>
        <v>0.17852527863027007</v>
      </c>
      <c r="AE655" s="100" t="str" cm="1">
        <f t="array" ref="AE655">IF(SamplingData[[#This Row],[up/U Selection Probability]] = 0, "Zero", TEXT(SamplingData[[#This Row],[Lower Range]], REPT("0",LEN('General Info'!$B$42))) &amp; " - " &amp; TEXT(SamplingData[[#This Row],[Upper Range]], REPT("0",LEN('General Info'!$B$42))))</f>
        <v>17847 - 17852</v>
      </c>
      <c r="AF655" s="100">
        <f>SamplingData[[#This Row],[Upper Range]]-SamplingData[[#This Row],[Span]]</f>
        <v>17847.143703225145</v>
      </c>
      <c r="AG655" s="100">
        <f>IF(ISNUMBER('General Info'!$B$42), ((SamplingData[[#This Row],[up/U Selection Probability]]) * 'General Info'!$B$44) - 1, 0)</f>
        <v>4.3841598018629204</v>
      </c>
      <c r="AH655" s="100">
        <f>IF(ISNUMBER('General Info'!$B$42), (SamplingData[[#This Row],[Running (cumulative) sum]] * ('General Info'!$B$42 -'General Info'!$B$43 + 1)) + 'General Info'!$B$43 - 1, 0)</f>
        <v>17851.527863027008</v>
      </c>
      <c r="AI655" s="100" t="str">
        <f>IF(ISERROR(MATCH(SamplingData[[#This Row],[Batch by Type (p)]],SelectedPrecincts[Batch Name], 0)), "", INDEX(SelectedPrecincts[Draw], MATCH(SamplingData[[#This Row],[Batch by Type (p)]],SelectedPrecincts[Batch Name], 0)))</f>
        <v/>
      </c>
      <c r="AJ655" s="101">
        <f>IF(COUNTIF(SelectedPrecincts[Batch Name],SamplingData[[#This Row],[Batch by Type (p)]]) &lt;&gt; 0, COUNTIF(SelectedPrecincts[Batch Name],SamplingData[[#This Row],[Batch by Type (p)]]), 0)</f>
        <v>0</v>
      </c>
    </row>
    <row r="656" spans="1:36" ht="15" customHeight="1" x14ac:dyDescent="0.35">
      <c r="A656" s="98" t="s">
        <v>867</v>
      </c>
      <c r="B656" s="98">
        <v>5</v>
      </c>
      <c r="C656" s="98">
        <v>1</v>
      </c>
      <c r="D656" s="93"/>
      <c r="E656" s="93"/>
      <c r="F656" s="93"/>
      <c r="G656" s="97"/>
      <c r="H656" s="97"/>
      <c r="I656" s="93"/>
      <c r="J656" s="93"/>
      <c r="K656" s="93"/>
      <c r="L656" s="93"/>
      <c r="M656" s="93"/>
      <c r="N656" s="98">
        <v>0</v>
      </c>
      <c r="O656" s="98">
        <v>0</v>
      </c>
      <c r="P656" s="99">
        <f>SUM(SamplingData[[#This Row],[Winning Candidate]:[Under Votes]])</f>
        <v>6</v>
      </c>
      <c r="Q656"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656" s="100">
        <f>IF(AND(SamplingData[[#This Row],[Total]]&lt;&gt; 0, NOT(ISBLANK(SamplingData[[#This Row],[Candidate 3]]))),(SamplingData[[#This Row],[Total]]+SamplingData[[#This Row],[Winning Candidate]]-SamplingData[[#This Row],[Candidate 3]])/(SamplingData[[#Totals],[Winning Candidate]]-SamplingData[[#Totals],[Candidate 3]]), 0)</f>
        <v>0</v>
      </c>
      <c r="S656" s="100">
        <f>IF(AND(SamplingData[[#This Row],[Total]]&lt;&gt; 0, NOT(ISBLANK(SamplingData[[#This Row],[Candidate 4]]))),(SamplingData[[#This Row],[Total]]+SamplingData[[#This Row],[Winning Candidate]]-SamplingData[[#This Row],[Candidate 4]])/(SamplingData[[#Totals],[Winning Candidate]]-SamplingData[[#Totals],[Candidate 4]]), 0)</f>
        <v>0</v>
      </c>
      <c r="T656" s="100">
        <f>IF(AND(SamplingData[[#This Row],[Total]]&lt;&gt; 0, NOT(ISBLANK(SamplingData[[#This Row],[Candidate 5]]))),(SamplingData[[#This Row],[Total]]+SamplingData[[#This Row],[Winning Candidate]]-SamplingData[[#This Row],[Candidate 5]])/(SamplingData[[#Totals],[Winning Candidate]]-SamplingData[[#Totals],[Candidate 5]]), 0)</f>
        <v>0</v>
      </c>
      <c r="U656" s="100">
        <f>IF(AND(SamplingData[[#This Row],[Total]]&lt;&gt; 0, NOT(ISBLANK(SamplingData[[#This Row],[Candidate 6]]))),(SamplingData[[#This Row],[Total]]+SamplingData[[#This Row],[Losing Candidate]]-SamplingData[[#This Row],[Candidate 6]])/(SamplingData[[#Totals],[Winning Candidate]]-SamplingData[[#Totals],[Candidate 6]]), 0)</f>
        <v>0</v>
      </c>
      <c r="V656" s="100">
        <f>IF(AND(SamplingData[[#This Row],[Total]]&lt;&gt; 0, NOT(ISBLANK(SamplingData[[#This Row],[Candidate 7]]))),(SamplingData[[#This Row],[Total]]+SamplingData[[#This Row],[Winning Candidate]]-SamplingData[[#This Row],[Candidate 7]])/(SamplingData[[#Totals],[Winning Candidate]]-SamplingData[[#Totals],[Candidate 7]]), 0)</f>
        <v>0</v>
      </c>
      <c r="W656" s="100">
        <f>IF(AND(SamplingData[[#This Row],[Total]]&lt;&gt; 0, NOT(ISBLANK(SamplingData[[#This Row],[Candidate 8]]))),(SamplingData[[#This Row],[Total]]+SamplingData[[#This Row],[Winning Candidate]]-SamplingData[[#This Row],[Candidate 8]])/(SamplingData[[#Totals],[Winning Candidate]]-SamplingData[[#Totals],[Candidate 8]]), 0)</f>
        <v>0</v>
      </c>
      <c r="X6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00">
        <f>MAX(SamplingData[[#This Row],[Error Bound (up) - Max. possible relative overstatement - Losing Candidate]:[Error Bound (up) - Max. possible relative overstatement - Candidate 12]])</f>
        <v>3.1409994660300906E-4</v>
      </c>
      <c r="AC656" s="100">
        <f>IF(SamplingData[[#This Row],[Max Error Bound (up)]] = 0,0,SamplingData[[#This Row],[Max Error Bound (up)]]/SamplingData[[#Totals],[Max Error Bound (up)]])</f>
        <v>1.3460399504657304E-4</v>
      </c>
      <c r="AD656" s="104">
        <f>SUM($AC$5:AC656)</f>
        <v>0.17865988262531665</v>
      </c>
      <c r="AE656" s="100" t="str" cm="1">
        <f t="array" ref="AE656">IF(SamplingData[[#This Row],[up/U Selection Probability]] = 0, "Zero", TEXT(SamplingData[[#This Row],[Lower Range]], REPT("0",LEN('General Info'!$B$42))) &amp; " - " &amp; TEXT(SamplingData[[#This Row],[Upper Range]], REPT("0",LEN('General Info'!$B$42))))</f>
        <v>17853 - 17865</v>
      </c>
      <c r="AF656" s="100">
        <f>SamplingData[[#This Row],[Upper Range]]-SamplingData[[#This Row],[Span]]</f>
        <v>17852.527863027008</v>
      </c>
      <c r="AG656" s="100">
        <f>IF(ISNUMBER('General Info'!$B$42), ((SamplingData[[#This Row],[up/U Selection Probability]]) * 'General Info'!$B$44) - 1, 0)</f>
        <v>12.460399504657303</v>
      </c>
      <c r="AH656" s="100">
        <f>IF(ISNUMBER('General Info'!$B$42), (SamplingData[[#This Row],[Running (cumulative) sum]] * ('General Info'!$B$42 -'General Info'!$B$43 + 1)) + 'General Info'!$B$43 - 1, 0)</f>
        <v>17864.988262531664</v>
      </c>
      <c r="AI656" s="100" t="str">
        <f>IF(ISERROR(MATCH(SamplingData[[#This Row],[Batch by Type (p)]],SelectedPrecincts[Batch Name], 0)), "", INDEX(SelectedPrecincts[Draw], MATCH(SamplingData[[#This Row],[Batch by Type (p)]],SelectedPrecincts[Batch Name], 0)))</f>
        <v/>
      </c>
      <c r="AJ656" s="101">
        <f>IF(COUNTIF(SelectedPrecincts[Batch Name],SamplingData[[#This Row],[Batch by Type (p)]]) &lt;&gt; 0, COUNTIF(SelectedPrecincts[Batch Name],SamplingData[[#This Row],[Batch by Type (p)]]), 0)</f>
        <v>0</v>
      </c>
    </row>
    <row r="657" spans="1:36" ht="15" customHeight="1" x14ac:dyDescent="0.35">
      <c r="A657" s="98" t="s">
        <v>868</v>
      </c>
      <c r="B657" s="98">
        <v>2</v>
      </c>
      <c r="C657" s="98">
        <v>1</v>
      </c>
      <c r="D657" s="93"/>
      <c r="E657" s="93"/>
      <c r="F657" s="93"/>
      <c r="G657" s="97"/>
      <c r="H657" s="97"/>
      <c r="I657" s="93"/>
      <c r="J657" s="93"/>
      <c r="K657" s="93"/>
      <c r="L657" s="93"/>
      <c r="M657" s="93"/>
      <c r="N657" s="98">
        <v>0</v>
      </c>
      <c r="O657" s="98">
        <v>0</v>
      </c>
      <c r="P657" s="99">
        <f>SUM(SamplingData[[#This Row],[Winning Candidate]:[Under Votes]])</f>
        <v>3</v>
      </c>
      <c r="Q657"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57" s="100">
        <f>IF(AND(SamplingData[[#This Row],[Total]]&lt;&gt; 0, NOT(ISBLANK(SamplingData[[#This Row],[Candidate 3]]))),(SamplingData[[#This Row],[Total]]+SamplingData[[#This Row],[Winning Candidate]]-SamplingData[[#This Row],[Candidate 3]])/(SamplingData[[#Totals],[Winning Candidate]]-SamplingData[[#Totals],[Candidate 3]]), 0)</f>
        <v>0</v>
      </c>
      <c r="S657" s="100">
        <f>IF(AND(SamplingData[[#This Row],[Total]]&lt;&gt; 0, NOT(ISBLANK(SamplingData[[#This Row],[Candidate 4]]))),(SamplingData[[#This Row],[Total]]+SamplingData[[#This Row],[Winning Candidate]]-SamplingData[[#This Row],[Candidate 4]])/(SamplingData[[#Totals],[Winning Candidate]]-SamplingData[[#Totals],[Candidate 4]]), 0)</f>
        <v>0</v>
      </c>
      <c r="T657" s="100">
        <f>IF(AND(SamplingData[[#This Row],[Total]]&lt;&gt; 0, NOT(ISBLANK(SamplingData[[#This Row],[Candidate 5]]))),(SamplingData[[#This Row],[Total]]+SamplingData[[#This Row],[Winning Candidate]]-SamplingData[[#This Row],[Candidate 5]])/(SamplingData[[#Totals],[Winning Candidate]]-SamplingData[[#Totals],[Candidate 5]]), 0)</f>
        <v>0</v>
      </c>
      <c r="U657" s="100">
        <f>IF(AND(SamplingData[[#This Row],[Total]]&lt;&gt; 0, NOT(ISBLANK(SamplingData[[#This Row],[Candidate 6]]))),(SamplingData[[#This Row],[Total]]+SamplingData[[#This Row],[Losing Candidate]]-SamplingData[[#This Row],[Candidate 6]])/(SamplingData[[#Totals],[Winning Candidate]]-SamplingData[[#Totals],[Candidate 6]]), 0)</f>
        <v>0</v>
      </c>
      <c r="V657" s="100">
        <f>IF(AND(SamplingData[[#This Row],[Total]]&lt;&gt; 0, NOT(ISBLANK(SamplingData[[#This Row],[Candidate 7]]))),(SamplingData[[#This Row],[Total]]+SamplingData[[#This Row],[Winning Candidate]]-SamplingData[[#This Row],[Candidate 7]])/(SamplingData[[#Totals],[Winning Candidate]]-SamplingData[[#Totals],[Candidate 7]]), 0)</f>
        <v>0</v>
      </c>
      <c r="W657" s="100">
        <f>IF(AND(SamplingData[[#This Row],[Total]]&lt;&gt; 0, NOT(ISBLANK(SamplingData[[#This Row],[Candidate 8]]))),(SamplingData[[#This Row],[Total]]+SamplingData[[#This Row],[Winning Candidate]]-SamplingData[[#This Row],[Candidate 8]])/(SamplingData[[#Totals],[Winning Candidate]]-SamplingData[[#Totals],[Candidate 8]]), 0)</f>
        <v>0</v>
      </c>
      <c r="X6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00">
        <f>MAX(SamplingData[[#This Row],[Error Bound (up) - Max. possible relative overstatement - Losing Candidate]:[Error Bound (up) - Max. possible relative overstatement - Candidate 12]])</f>
        <v>1.2563997864120362E-4</v>
      </c>
      <c r="AC657" s="100">
        <f>IF(SamplingData[[#This Row],[Max Error Bound (up)]] = 0,0,SamplingData[[#This Row],[Max Error Bound (up)]]/SamplingData[[#Totals],[Max Error Bound (up)]])</f>
        <v>5.3841598018629206E-5</v>
      </c>
      <c r="AD657" s="104">
        <f>SUM($AC$5:AC657)</f>
        <v>0.17871372422333529</v>
      </c>
      <c r="AE657" s="100" t="str" cm="1">
        <f t="array" ref="AE657">IF(SamplingData[[#This Row],[up/U Selection Probability]] = 0, "Zero", TEXT(SamplingData[[#This Row],[Lower Range]], REPT("0",LEN('General Info'!$B$42))) &amp; " - " &amp; TEXT(SamplingData[[#This Row],[Upper Range]], REPT("0",LEN('General Info'!$B$42))))</f>
        <v>17866 - 17870</v>
      </c>
      <c r="AF657" s="100">
        <f>SamplingData[[#This Row],[Upper Range]]-SamplingData[[#This Row],[Span]]</f>
        <v>17865.988262531668</v>
      </c>
      <c r="AG657" s="100">
        <f>IF(ISNUMBER('General Info'!$B$42), ((SamplingData[[#This Row],[up/U Selection Probability]]) * 'General Info'!$B$44) - 1, 0)</f>
        <v>4.3841598018629204</v>
      </c>
      <c r="AH657" s="100">
        <f>IF(ISNUMBER('General Info'!$B$42), (SamplingData[[#This Row],[Running (cumulative) sum]] * ('General Info'!$B$42 -'General Info'!$B$43 + 1)) + 'General Info'!$B$43 - 1, 0)</f>
        <v>17870.37242233353</v>
      </c>
      <c r="AI657" s="100" t="str">
        <f>IF(ISERROR(MATCH(SamplingData[[#This Row],[Batch by Type (p)]],SelectedPrecincts[Batch Name], 0)), "", INDEX(SelectedPrecincts[Draw], MATCH(SamplingData[[#This Row],[Batch by Type (p)]],SelectedPrecincts[Batch Name], 0)))</f>
        <v/>
      </c>
      <c r="AJ657" s="101">
        <f>IF(COUNTIF(SelectedPrecincts[Batch Name],SamplingData[[#This Row],[Batch by Type (p)]]) &lt;&gt; 0, COUNTIF(SelectedPrecincts[Batch Name],SamplingData[[#This Row],[Batch by Type (p)]]), 0)</f>
        <v>0</v>
      </c>
    </row>
    <row r="658" spans="1:36" ht="15" customHeight="1" x14ac:dyDescent="0.35">
      <c r="A658" s="98" t="s">
        <v>869</v>
      </c>
      <c r="B658" s="98">
        <v>18</v>
      </c>
      <c r="C658" s="98">
        <v>9</v>
      </c>
      <c r="D658" s="93"/>
      <c r="E658" s="93"/>
      <c r="F658" s="93"/>
      <c r="G658" s="97"/>
      <c r="H658" s="97"/>
      <c r="I658" s="93"/>
      <c r="J658" s="93"/>
      <c r="K658" s="93"/>
      <c r="L658" s="93"/>
      <c r="M658" s="93"/>
      <c r="N658" s="98">
        <v>0</v>
      </c>
      <c r="O658" s="98">
        <v>0</v>
      </c>
      <c r="P658" s="99">
        <f>SUM(SamplingData[[#This Row],[Winning Candidate]:[Under Votes]])</f>
        <v>27</v>
      </c>
      <c r="Q658"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658" s="100">
        <f>IF(AND(SamplingData[[#This Row],[Total]]&lt;&gt; 0, NOT(ISBLANK(SamplingData[[#This Row],[Candidate 3]]))),(SamplingData[[#This Row],[Total]]+SamplingData[[#This Row],[Winning Candidate]]-SamplingData[[#This Row],[Candidate 3]])/(SamplingData[[#Totals],[Winning Candidate]]-SamplingData[[#Totals],[Candidate 3]]), 0)</f>
        <v>0</v>
      </c>
      <c r="S658" s="100">
        <f>IF(AND(SamplingData[[#This Row],[Total]]&lt;&gt; 0, NOT(ISBLANK(SamplingData[[#This Row],[Candidate 4]]))),(SamplingData[[#This Row],[Total]]+SamplingData[[#This Row],[Winning Candidate]]-SamplingData[[#This Row],[Candidate 4]])/(SamplingData[[#Totals],[Winning Candidate]]-SamplingData[[#Totals],[Candidate 4]]), 0)</f>
        <v>0</v>
      </c>
      <c r="T658" s="100">
        <f>IF(AND(SamplingData[[#This Row],[Total]]&lt;&gt; 0, NOT(ISBLANK(SamplingData[[#This Row],[Candidate 5]]))),(SamplingData[[#This Row],[Total]]+SamplingData[[#This Row],[Winning Candidate]]-SamplingData[[#This Row],[Candidate 5]])/(SamplingData[[#Totals],[Winning Candidate]]-SamplingData[[#Totals],[Candidate 5]]), 0)</f>
        <v>0</v>
      </c>
      <c r="U658" s="100">
        <f>IF(AND(SamplingData[[#This Row],[Total]]&lt;&gt; 0, NOT(ISBLANK(SamplingData[[#This Row],[Candidate 6]]))),(SamplingData[[#This Row],[Total]]+SamplingData[[#This Row],[Losing Candidate]]-SamplingData[[#This Row],[Candidate 6]])/(SamplingData[[#Totals],[Winning Candidate]]-SamplingData[[#Totals],[Candidate 6]]), 0)</f>
        <v>0</v>
      </c>
      <c r="V658" s="100">
        <f>IF(AND(SamplingData[[#This Row],[Total]]&lt;&gt; 0, NOT(ISBLANK(SamplingData[[#This Row],[Candidate 7]]))),(SamplingData[[#This Row],[Total]]+SamplingData[[#This Row],[Winning Candidate]]-SamplingData[[#This Row],[Candidate 7]])/(SamplingData[[#Totals],[Winning Candidate]]-SamplingData[[#Totals],[Candidate 7]]), 0)</f>
        <v>0</v>
      </c>
      <c r="W658" s="100">
        <f>IF(AND(SamplingData[[#This Row],[Total]]&lt;&gt; 0, NOT(ISBLANK(SamplingData[[#This Row],[Candidate 8]]))),(SamplingData[[#This Row],[Total]]+SamplingData[[#This Row],[Winning Candidate]]-SamplingData[[#This Row],[Candidate 8]])/(SamplingData[[#Totals],[Winning Candidate]]-SamplingData[[#Totals],[Candidate 8]]), 0)</f>
        <v>0</v>
      </c>
      <c r="X6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00">
        <f>MAX(SamplingData[[#This Row],[Error Bound (up) - Max. possible relative overstatement - Losing Candidate]:[Error Bound (up) - Max. possible relative overstatement - Candidate 12]])</f>
        <v>1.1307598077708327E-3</v>
      </c>
      <c r="AC658" s="100">
        <f>IF(SamplingData[[#This Row],[Max Error Bound (up)]] = 0,0,SamplingData[[#This Row],[Max Error Bound (up)]]/SamplingData[[#Totals],[Max Error Bound (up)]])</f>
        <v>4.845743821676629E-4</v>
      </c>
      <c r="AD658" s="104">
        <f>SUM($AC$5:AC658)</f>
        <v>0.17919829860550296</v>
      </c>
      <c r="AE658" s="100" t="str" cm="1">
        <f t="array" ref="AE658">IF(SamplingData[[#This Row],[up/U Selection Probability]] = 0, "Zero", TEXT(SamplingData[[#This Row],[Lower Range]], REPT("0",LEN('General Info'!$B$42))) &amp; " - " &amp; TEXT(SamplingData[[#This Row],[Upper Range]], REPT("0",LEN('General Info'!$B$42))))</f>
        <v>17871 - 17919</v>
      </c>
      <c r="AF658" s="100">
        <f>SamplingData[[#This Row],[Upper Range]]-SamplingData[[#This Row],[Span]]</f>
        <v>17871.37242233353</v>
      </c>
      <c r="AG658" s="100">
        <f>IF(ISNUMBER('General Info'!$B$42), ((SamplingData[[#This Row],[up/U Selection Probability]]) * 'General Info'!$B$44) - 1, 0)</f>
        <v>47.457438216766292</v>
      </c>
      <c r="AH658" s="100">
        <f>IF(ISNUMBER('General Info'!$B$42), (SamplingData[[#This Row],[Running (cumulative) sum]] * ('General Info'!$B$42 -'General Info'!$B$43 + 1)) + 'General Info'!$B$43 - 1, 0)</f>
        <v>17918.829860550297</v>
      </c>
      <c r="AI658" s="100" t="str">
        <f>IF(ISERROR(MATCH(SamplingData[[#This Row],[Batch by Type (p)]],SelectedPrecincts[Batch Name], 0)), "", INDEX(SelectedPrecincts[Draw], MATCH(SamplingData[[#This Row],[Batch by Type (p)]],SelectedPrecincts[Batch Name], 0)))</f>
        <v/>
      </c>
      <c r="AJ658" s="101">
        <f>IF(COUNTIF(SelectedPrecincts[Batch Name],SamplingData[[#This Row],[Batch by Type (p)]]) &lt;&gt; 0, COUNTIF(SelectedPrecincts[Batch Name],SamplingData[[#This Row],[Batch by Type (p)]]), 0)</f>
        <v>0</v>
      </c>
    </row>
    <row r="659" spans="1:36" ht="15" customHeight="1" x14ac:dyDescent="0.35">
      <c r="A659" s="98" t="s">
        <v>870</v>
      </c>
      <c r="B659" s="98">
        <v>3</v>
      </c>
      <c r="C659" s="98">
        <v>3</v>
      </c>
      <c r="D659" s="93"/>
      <c r="E659" s="93"/>
      <c r="F659" s="93"/>
      <c r="G659" s="97"/>
      <c r="H659" s="97"/>
      <c r="I659" s="93"/>
      <c r="J659" s="93"/>
      <c r="K659" s="93"/>
      <c r="L659" s="93"/>
      <c r="M659" s="93"/>
      <c r="N659" s="98">
        <v>0</v>
      </c>
      <c r="O659" s="98">
        <v>0</v>
      </c>
      <c r="P659" s="99">
        <f>SUM(SamplingData[[#This Row],[Winning Candidate]:[Under Votes]])</f>
        <v>6</v>
      </c>
      <c r="Q659"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659" s="100">
        <f>IF(AND(SamplingData[[#This Row],[Total]]&lt;&gt; 0, NOT(ISBLANK(SamplingData[[#This Row],[Candidate 3]]))),(SamplingData[[#This Row],[Total]]+SamplingData[[#This Row],[Winning Candidate]]-SamplingData[[#This Row],[Candidate 3]])/(SamplingData[[#Totals],[Winning Candidate]]-SamplingData[[#Totals],[Candidate 3]]), 0)</f>
        <v>0</v>
      </c>
      <c r="S659" s="100">
        <f>IF(AND(SamplingData[[#This Row],[Total]]&lt;&gt; 0, NOT(ISBLANK(SamplingData[[#This Row],[Candidate 4]]))),(SamplingData[[#This Row],[Total]]+SamplingData[[#This Row],[Winning Candidate]]-SamplingData[[#This Row],[Candidate 4]])/(SamplingData[[#Totals],[Winning Candidate]]-SamplingData[[#Totals],[Candidate 4]]), 0)</f>
        <v>0</v>
      </c>
      <c r="T659" s="100">
        <f>IF(AND(SamplingData[[#This Row],[Total]]&lt;&gt; 0, NOT(ISBLANK(SamplingData[[#This Row],[Candidate 5]]))),(SamplingData[[#This Row],[Total]]+SamplingData[[#This Row],[Winning Candidate]]-SamplingData[[#This Row],[Candidate 5]])/(SamplingData[[#Totals],[Winning Candidate]]-SamplingData[[#Totals],[Candidate 5]]), 0)</f>
        <v>0</v>
      </c>
      <c r="U659" s="100">
        <f>IF(AND(SamplingData[[#This Row],[Total]]&lt;&gt; 0, NOT(ISBLANK(SamplingData[[#This Row],[Candidate 6]]))),(SamplingData[[#This Row],[Total]]+SamplingData[[#This Row],[Losing Candidate]]-SamplingData[[#This Row],[Candidate 6]])/(SamplingData[[#Totals],[Winning Candidate]]-SamplingData[[#Totals],[Candidate 6]]), 0)</f>
        <v>0</v>
      </c>
      <c r="V659" s="100">
        <f>IF(AND(SamplingData[[#This Row],[Total]]&lt;&gt; 0, NOT(ISBLANK(SamplingData[[#This Row],[Candidate 7]]))),(SamplingData[[#This Row],[Total]]+SamplingData[[#This Row],[Winning Candidate]]-SamplingData[[#This Row],[Candidate 7]])/(SamplingData[[#Totals],[Winning Candidate]]-SamplingData[[#Totals],[Candidate 7]]), 0)</f>
        <v>0</v>
      </c>
      <c r="W659" s="100">
        <f>IF(AND(SamplingData[[#This Row],[Total]]&lt;&gt; 0, NOT(ISBLANK(SamplingData[[#This Row],[Candidate 8]]))),(SamplingData[[#This Row],[Total]]+SamplingData[[#This Row],[Winning Candidate]]-SamplingData[[#This Row],[Candidate 8]])/(SamplingData[[#Totals],[Winning Candidate]]-SamplingData[[#Totals],[Candidate 8]]), 0)</f>
        <v>0</v>
      </c>
      <c r="X6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00">
        <f>MAX(SamplingData[[#This Row],[Error Bound (up) - Max. possible relative overstatement - Losing Candidate]:[Error Bound (up) - Max. possible relative overstatement - Candidate 12]])</f>
        <v>1.8845996796180544E-4</v>
      </c>
      <c r="AC659" s="100">
        <f>IF(SamplingData[[#This Row],[Max Error Bound (up)]] = 0,0,SamplingData[[#This Row],[Max Error Bound (up)]]/SamplingData[[#Totals],[Max Error Bound (up)]])</f>
        <v>8.0762397027943816E-5</v>
      </c>
      <c r="AD659" s="104">
        <f>SUM($AC$5:AC659)</f>
        <v>0.17927906100253091</v>
      </c>
      <c r="AE659" s="100" t="str" cm="1">
        <f t="array" ref="AE659">IF(SamplingData[[#This Row],[up/U Selection Probability]] = 0, "Zero", TEXT(SamplingData[[#This Row],[Lower Range]], REPT("0",LEN('General Info'!$B$42))) &amp; " - " &amp; TEXT(SamplingData[[#This Row],[Upper Range]], REPT("0",LEN('General Info'!$B$42))))</f>
        <v>17920 - 17927</v>
      </c>
      <c r="AF659" s="100">
        <f>SamplingData[[#This Row],[Upper Range]]-SamplingData[[#This Row],[Span]]</f>
        <v>17919.829860550297</v>
      </c>
      <c r="AG659" s="100">
        <f>IF(ISNUMBER('General Info'!$B$42), ((SamplingData[[#This Row],[up/U Selection Probability]]) * 'General Info'!$B$44) - 1, 0)</f>
        <v>7.076239702794382</v>
      </c>
      <c r="AH659" s="100">
        <f>IF(ISNUMBER('General Info'!$B$42), (SamplingData[[#This Row],[Running (cumulative) sum]] * ('General Info'!$B$42 -'General Info'!$B$43 + 1)) + 'General Info'!$B$43 - 1, 0)</f>
        <v>17926.906100253091</v>
      </c>
      <c r="AI659" s="100" t="str">
        <f>IF(ISERROR(MATCH(SamplingData[[#This Row],[Batch by Type (p)]],SelectedPrecincts[Batch Name], 0)), "", INDEX(SelectedPrecincts[Draw], MATCH(SamplingData[[#This Row],[Batch by Type (p)]],SelectedPrecincts[Batch Name], 0)))</f>
        <v/>
      </c>
      <c r="AJ659" s="101">
        <f>IF(COUNTIF(SelectedPrecincts[Batch Name],SamplingData[[#This Row],[Batch by Type (p)]]) &lt;&gt; 0, COUNTIF(SelectedPrecincts[Batch Name],SamplingData[[#This Row],[Batch by Type (p)]]), 0)</f>
        <v>0</v>
      </c>
    </row>
    <row r="660" spans="1:36" ht="15" customHeight="1" x14ac:dyDescent="0.35">
      <c r="A660" s="98" t="s">
        <v>871</v>
      </c>
      <c r="B660" s="98">
        <v>9</v>
      </c>
      <c r="C660" s="98">
        <v>2</v>
      </c>
      <c r="D660" s="93"/>
      <c r="E660" s="93"/>
      <c r="F660" s="93"/>
      <c r="G660" s="97"/>
      <c r="H660" s="97"/>
      <c r="I660" s="93"/>
      <c r="J660" s="93"/>
      <c r="K660" s="93"/>
      <c r="L660" s="93"/>
      <c r="M660" s="93"/>
      <c r="N660" s="98">
        <v>0</v>
      </c>
      <c r="O660" s="98">
        <v>0</v>
      </c>
      <c r="P660" s="99">
        <f>SUM(SamplingData[[#This Row],[Winning Candidate]:[Under Votes]])</f>
        <v>11</v>
      </c>
      <c r="Q660"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660" s="100">
        <f>IF(AND(SamplingData[[#This Row],[Total]]&lt;&gt; 0, NOT(ISBLANK(SamplingData[[#This Row],[Candidate 3]]))),(SamplingData[[#This Row],[Total]]+SamplingData[[#This Row],[Winning Candidate]]-SamplingData[[#This Row],[Candidate 3]])/(SamplingData[[#Totals],[Winning Candidate]]-SamplingData[[#Totals],[Candidate 3]]), 0)</f>
        <v>0</v>
      </c>
      <c r="S660" s="100">
        <f>IF(AND(SamplingData[[#This Row],[Total]]&lt;&gt; 0, NOT(ISBLANK(SamplingData[[#This Row],[Candidate 4]]))),(SamplingData[[#This Row],[Total]]+SamplingData[[#This Row],[Winning Candidate]]-SamplingData[[#This Row],[Candidate 4]])/(SamplingData[[#Totals],[Winning Candidate]]-SamplingData[[#Totals],[Candidate 4]]), 0)</f>
        <v>0</v>
      </c>
      <c r="T660" s="100">
        <f>IF(AND(SamplingData[[#This Row],[Total]]&lt;&gt; 0, NOT(ISBLANK(SamplingData[[#This Row],[Candidate 5]]))),(SamplingData[[#This Row],[Total]]+SamplingData[[#This Row],[Winning Candidate]]-SamplingData[[#This Row],[Candidate 5]])/(SamplingData[[#Totals],[Winning Candidate]]-SamplingData[[#Totals],[Candidate 5]]), 0)</f>
        <v>0</v>
      </c>
      <c r="U660" s="100">
        <f>IF(AND(SamplingData[[#This Row],[Total]]&lt;&gt; 0, NOT(ISBLANK(SamplingData[[#This Row],[Candidate 6]]))),(SamplingData[[#This Row],[Total]]+SamplingData[[#This Row],[Losing Candidate]]-SamplingData[[#This Row],[Candidate 6]])/(SamplingData[[#Totals],[Winning Candidate]]-SamplingData[[#Totals],[Candidate 6]]), 0)</f>
        <v>0</v>
      </c>
      <c r="V660" s="100">
        <f>IF(AND(SamplingData[[#This Row],[Total]]&lt;&gt; 0, NOT(ISBLANK(SamplingData[[#This Row],[Candidate 7]]))),(SamplingData[[#This Row],[Total]]+SamplingData[[#This Row],[Winning Candidate]]-SamplingData[[#This Row],[Candidate 7]])/(SamplingData[[#Totals],[Winning Candidate]]-SamplingData[[#Totals],[Candidate 7]]), 0)</f>
        <v>0</v>
      </c>
      <c r="W660" s="100">
        <f>IF(AND(SamplingData[[#This Row],[Total]]&lt;&gt; 0, NOT(ISBLANK(SamplingData[[#This Row],[Candidate 8]]))),(SamplingData[[#This Row],[Total]]+SamplingData[[#This Row],[Winning Candidate]]-SamplingData[[#This Row],[Candidate 8]])/(SamplingData[[#Totals],[Winning Candidate]]-SamplingData[[#Totals],[Candidate 8]]), 0)</f>
        <v>0</v>
      </c>
      <c r="X6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00">
        <f>MAX(SamplingData[[#This Row],[Error Bound (up) - Max. possible relative overstatement - Losing Candidate]:[Error Bound (up) - Max. possible relative overstatement - Candidate 12]])</f>
        <v>5.6537990388541635E-4</v>
      </c>
      <c r="AC660" s="100">
        <f>IF(SamplingData[[#This Row],[Max Error Bound (up)]] = 0,0,SamplingData[[#This Row],[Max Error Bound (up)]]/SamplingData[[#Totals],[Max Error Bound (up)]])</f>
        <v>2.4228719108383145E-4</v>
      </c>
      <c r="AD660" s="104">
        <f>SUM($AC$5:AC660)</f>
        <v>0.17952134819361473</v>
      </c>
      <c r="AE660" s="100" t="str" cm="1">
        <f t="array" ref="AE660">IF(SamplingData[[#This Row],[up/U Selection Probability]] = 0, "Zero", TEXT(SamplingData[[#This Row],[Lower Range]], REPT("0",LEN('General Info'!$B$42))) &amp; " - " &amp; TEXT(SamplingData[[#This Row],[Upper Range]], REPT("0",LEN('General Info'!$B$42))))</f>
        <v>17928 - 17951</v>
      </c>
      <c r="AF660" s="100">
        <f>SamplingData[[#This Row],[Upper Range]]-SamplingData[[#This Row],[Span]]</f>
        <v>17927.906100253091</v>
      </c>
      <c r="AG660" s="100">
        <f>IF(ISNUMBER('General Info'!$B$42), ((SamplingData[[#This Row],[up/U Selection Probability]]) * 'General Info'!$B$44) - 1, 0)</f>
        <v>23.228719108383146</v>
      </c>
      <c r="AH660" s="100">
        <f>IF(ISNUMBER('General Info'!$B$42), (SamplingData[[#This Row],[Running (cumulative) sum]] * ('General Info'!$B$42 -'General Info'!$B$43 + 1)) + 'General Info'!$B$43 - 1, 0)</f>
        <v>17951.134819361472</v>
      </c>
      <c r="AI660" s="100" t="str">
        <f>IF(ISERROR(MATCH(SamplingData[[#This Row],[Batch by Type (p)]],SelectedPrecincts[Batch Name], 0)), "", INDEX(SelectedPrecincts[Draw], MATCH(SamplingData[[#This Row],[Batch by Type (p)]],SelectedPrecincts[Batch Name], 0)))</f>
        <v/>
      </c>
      <c r="AJ660" s="101">
        <f>IF(COUNTIF(SelectedPrecincts[Batch Name],SamplingData[[#This Row],[Batch by Type (p)]]) &lt;&gt; 0, COUNTIF(SelectedPrecincts[Batch Name],SamplingData[[#This Row],[Batch by Type (p)]]), 0)</f>
        <v>0</v>
      </c>
    </row>
    <row r="661" spans="1:36" ht="15" customHeight="1" x14ac:dyDescent="0.35">
      <c r="A661" s="98" t="s">
        <v>872</v>
      </c>
      <c r="B661" s="98">
        <v>18</v>
      </c>
      <c r="C661" s="98">
        <v>2</v>
      </c>
      <c r="D661" s="93"/>
      <c r="E661" s="93"/>
      <c r="F661" s="93"/>
      <c r="G661" s="97"/>
      <c r="H661" s="97"/>
      <c r="I661" s="93"/>
      <c r="J661" s="93"/>
      <c r="K661" s="93"/>
      <c r="L661" s="93"/>
      <c r="M661" s="93"/>
      <c r="N661" s="98">
        <v>0</v>
      </c>
      <c r="O661" s="98">
        <v>1</v>
      </c>
      <c r="P661" s="99">
        <f>SUM(SamplingData[[#This Row],[Winning Candidate]:[Under Votes]])</f>
        <v>21</v>
      </c>
      <c r="Q661"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661" s="100">
        <f>IF(AND(SamplingData[[#This Row],[Total]]&lt;&gt; 0, NOT(ISBLANK(SamplingData[[#This Row],[Candidate 3]]))),(SamplingData[[#This Row],[Total]]+SamplingData[[#This Row],[Winning Candidate]]-SamplingData[[#This Row],[Candidate 3]])/(SamplingData[[#Totals],[Winning Candidate]]-SamplingData[[#Totals],[Candidate 3]]), 0)</f>
        <v>0</v>
      </c>
      <c r="S661" s="100">
        <f>IF(AND(SamplingData[[#This Row],[Total]]&lt;&gt; 0, NOT(ISBLANK(SamplingData[[#This Row],[Candidate 4]]))),(SamplingData[[#This Row],[Total]]+SamplingData[[#This Row],[Winning Candidate]]-SamplingData[[#This Row],[Candidate 4]])/(SamplingData[[#Totals],[Winning Candidate]]-SamplingData[[#Totals],[Candidate 4]]), 0)</f>
        <v>0</v>
      </c>
      <c r="T661" s="100">
        <f>IF(AND(SamplingData[[#This Row],[Total]]&lt;&gt; 0, NOT(ISBLANK(SamplingData[[#This Row],[Candidate 5]]))),(SamplingData[[#This Row],[Total]]+SamplingData[[#This Row],[Winning Candidate]]-SamplingData[[#This Row],[Candidate 5]])/(SamplingData[[#Totals],[Winning Candidate]]-SamplingData[[#Totals],[Candidate 5]]), 0)</f>
        <v>0</v>
      </c>
      <c r="U661" s="100">
        <f>IF(AND(SamplingData[[#This Row],[Total]]&lt;&gt; 0, NOT(ISBLANK(SamplingData[[#This Row],[Candidate 6]]))),(SamplingData[[#This Row],[Total]]+SamplingData[[#This Row],[Losing Candidate]]-SamplingData[[#This Row],[Candidate 6]])/(SamplingData[[#Totals],[Winning Candidate]]-SamplingData[[#Totals],[Candidate 6]]), 0)</f>
        <v>0</v>
      </c>
      <c r="V661" s="100">
        <f>IF(AND(SamplingData[[#This Row],[Total]]&lt;&gt; 0, NOT(ISBLANK(SamplingData[[#This Row],[Candidate 7]]))),(SamplingData[[#This Row],[Total]]+SamplingData[[#This Row],[Winning Candidate]]-SamplingData[[#This Row],[Candidate 7]])/(SamplingData[[#Totals],[Winning Candidate]]-SamplingData[[#Totals],[Candidate 7]]), 0)</f>
        <v>0</v>
      </c>
      <c r="W661" s="100">
        <f>IF(AND(SamplingData[[#This Row],[Total]]&lt;&gt; 0, NOT(ISBLANK(SamplingData[[#This Row],[Candidate 8]]))),(SamplingData[[#This Row],[Total]]+SamplingData[[#This Row],[Winning Candidate]]-SamplingData[[#This Row],[Candidate 8]])/(SamplingData[[#Totals],[Winning Candidate]]-SamplingData[[#Totals],[Candidate 8]]), 0)</f>
        <v>0</v>
      </c>
      <c r="X6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00">
        <f>MAX(SamplingData[[#This Row],[Error Bound (up) - Max. possible relative overstatement - Losing Candidate]:[Error Bound (up) - Max. possible relative overstatement - Candidate 12]])</f>
        <v>1.1621698024311335E-3</v>
      </c>
      <c r="AC661" s="100">
        <f>IF(SamplingData[[#This Row],[Max Error Bound (up)]] = 0,0,SamplingData[[#This Row],[Max Error Bound (up)]]/SamplingData[[#Totals],[Max Error Bound (up)]])</f>
        <v>4.9803478167232014E-4</v>
      </c>
      <c r="AD661" s="104">
        <f>SUM($AC$5:AC661)</f>
        <v>0.18001938297528705</v>
      </c>
      <c r="AE661" s="100" t="str" cm="1">
        <f t="array" ref="AE661">IF(SamplingData[[#This Row],[up/U Selection Probability]] = 0, "Zero", TEXT(SamplingData[[#This Row],[Lower Range]], REPT("0",LEN('General Info'!$B$42))) &amp; " - " &amp; TEXT(SamplingData[[#This Row],[Upper Range]], REPT("0",LEN('General Info'!$B$42))))</f>
        <v>17952 - 18001</v>
      </c>
      <c r="AF661" s="100">
        <f>SamplingData[[#This Row],[Upper Range]]-SamplingData[[#This Row],[Span]]</f>
        <v>17952.134819361472</v>
      </c>
      <c r="AG661" s="100">
        <f>IF(ISNUMBER('General Info'!$B$42), ((SamplingData[[#This Row],[up/U Selection Probability]]) * 'General Info'!$B$44) - 1, 0)</f>
        <v>48.803478167232015</v>
      </c>
      <c r="AH661" s="100">
        <f>IF(ISNUMBER('General Info'!$B$42), (SamplingData[[#This Row],[Running (cumulative) sum]] * ('General Info'!$B$42 -'General Info'!$B$43 + 1)) + 'General Info'!$B$43 - 1, 0)</f>
        <v>18000.938297528704</v>
      </c>
      <c r="AI661" s="100" t="str">
        <f>IF(ISERROR(MATCH(SamplingData[[#This Row],[Batch by Type (p)]],SelectedPrecincts[Batch Name], 0)), "", INDEX(SelectedPrecincts[Draw], MATCH(SamplingData[[#This Row],[Batch by Type (p)]],SelectedPrecincts[Batch Name], 0)))</f>
        <v/>
      </c>
      <c r="AJ661" s="101">
        <f>IF(COUNTIF(SelectedPrecincts[Batch Name],SamplingData[[#This Row],[Batch by Type (p)]]) &lt;&gt; 0, COUNTIF(SelectedPrecincts[Batch Name],SamplingData[[#This Row],[Batch by Type (p)]]), 0)</f>
        <v>0</v>
      </c>
    </row>
    <row r="662" spans="1:36" ht="15" customHeight="1" x14ac:dyDescent="0.35">
      <c r="A662" s="98" t="s">
        <v>873</v>
      </c>
      <c r="B662" s="98">
        <v>12</v>
      </c>
      <c r="C662" s="98">
        <v>5</v>
      </c>
      <c r="D662" s="93"/>
      <c r="E662" s="93"/>
      <c r="F662" s="93"/>
      <c r="G662" s="97"/>
      <c r="H662" s="97"/>
      <c r="I662" s="93"/>
      <c r="J662" s="93"/>
      <c r="K662" s="93"/>
      <c r="L662" s="93"/>
      <c r="M662" s="93"/>
      <c r="N662" s="98">
        <v>0</v>
      </c>
      <c r="O662" s="98">
        <v>1</v>
      </c>
      <c r="P662" s="99">
        <f>SUM(SamplingData[[#This Row],[Winning Candidate]:[Under Votes]])</f>
        <v>18</v>
      </c>
      <c r="Q662" s="100">
        <f>IF(AND(SamplingData[[#This Row],[Total]]&lt;&gt; 0, NOT(ISBLANK(SamplingData[[#This Row],[Losing Candidate]]))),(SamplingData[[#This Row],[Total]]+SamplingData[[#This Row],[Winning Candidate]]-SamplingData[[#This Row],[Losing Candidate]])/(SamplingData[[#Totals],[Winning Candidate]]-SamplingData[[#Totals],[Losing Candidate]]), 0)</f>
        <v>7.8524986650752265E-4</v>
      </c>
      <c r="R662" s="100">
        <f>IF(AND(SamplingData[[#This Row],[Total]]&lt;&gt; 0, NOT(ISBLANK(SamplingData[[#This Row],[Candidate 3]]))),(SamplingData[[#This Row],[Total]]+SamplingData[[#This Row],[Winning Candidate]]-SamplingData[[#This Row],[Candidate 3]])/(SamplingData[[#Totals],[Winning Candidate]]-SamplingData[[#Totals],[Candidate 3]]), 0)</f>
        <v>0</v>
      </c>
      <c r="S662" s="100">
        <f>IF(AND(SamplingData[[#This Row],[Total]]&lt;&gt; 0, NOT(ISBLANK(SamplingData[[#This Row],[Candidate 4]]))),(SamplingData[[#This Row],[Total]]+SamplingData[[#This Row],[Winning Candidate]]-SamplingData[[#This Row],[Candidate 4]])/(SamplingData[[#Totals],[Winning Candidate]]-SamplingData[[#Totals],[Candidate 4]]), 0)</f>
        <v>0</v>
      </c>
      <c r="T662" s="100">
        <f>IF(AND(SamplingData[[#This Row],[Total]]&lt;&gt; 0, NOT(ISBLANK(SamplingData[[#This Row],[Candidate 5]]))),(SamplingData[[#This Row],[Total]]+SamplingData[[#This Row],[Winning Candidate]]-SamplingData[[#This Row],[Candidate 5]])/(SamplingData[[#Totals],[Winning Candidate]]-SamplingData[[#Totals],[Candidate 5]]), 0)</f>
        <v>0</v>
      </c>
      <c r="U662" s="100">
        <f>IF(AND(SamplingData[[#This Row],[Total]]&lt;&gt; 0, NOT(ISBLANK(SamplingData[[#This Row],[Candidate 6]]))),(SamplingData[[#This Row],[Total]]+SamplingData[[#This Row],[Losing Candidate]]-SamplingData[[#This Row],[Candidate 6]])/(SamplingData[[#Totals],[Winning Candidate]]-SamplingData[[#Totals],[Candidate 6]]), 0)</f>
        <v>0</v>
      </c>
      <c r="V662" s="100">
        <f>IF(AND(SamplingData[[#This Row],[Total]]&lt;&gt; 0, NOT(ISBLANK(SamplingData[[#This Row],[Candidate 7]]))),(SamplingData[[#This Row],[Total]]+SamplingData[[#This Row],[Winning Candidate]]-SamplingData[[#This Row],[Candidate 7]])/(SamplingData[[#Totals],[Winning Candidate]]-SamplingData[[#Totals],[Candidate 7]]), 0)</f>
        <v>0</v>
      </c>
      <c r="W662" s="100">
        <f>IF(AND(SamplingData[[#This Row],[Total]]&lt;&gt; 0, NOT(ISBLANK(SamplingData[[#This Row],[Candidate 8]]))),(SamplingData[[#This Row],[Total]]+SamplingData[[#This Row],[Winning Candidate]]-SamplingData[[#This Row],[Candidate 8]])/(SamplingData[[#Totals],[Winning Candidate]]-SamplingData[[#Totals],[Candidate 8]]), 0)</f>
        <v>0</v>
      </c>
      <c r="X6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00">
        <f>MAX(SamplingData[[#This Row],[Error Bound (up) - Max. possible relative overstatement - Losing Candidate]:[Error Bound (up) - Max. possible relative overstatement - Candidate 12]])</f>
        <v>7.8524986650752265E-4</v>
      </c>
      <c r="AC662" s="100">
        <f>IF(SamplingData[[#This Row],[Max Error Bound (up)]] = 0,0,SamplingData[[#This Row],[Max Error Bound (up)]]/SamplingData[[#Totals],[Max Error Bound (up)]])</f>
        <v>3.3650998761643256E-4</v>
      </c>
      <c r="AD662" s="104">
        <f>SUM($AC$5:AC662)</f>
        <v>0.1803558929629035</v>
      </c>
      <c r="AE662" s="100" t="str" cm="1">
        <f t="array" ref="AE662">IF(SamplingData[[#This Row],[up/U Selection Probability]] = 0, "Zero", TEXT(SamplingData[[#This Row],[Lower Range]], REPT("0",LEN('General Info'!$B$42))) &amp; " - " &amp; TEXT(SamplingData[[#This Row],[Upper Range]], REPT("0",LEN('General Info'!$B$42))))</f>
        <v>18002 - 18035</v>
      </c>
      <c r="AF662" s="100">
        <f>SamplingData[[#This Row],[Upper Range]]-SamplingData[[#This Row],[Span]]</f>
        <v>18001.938297528704</v>
      </c>
      <c r="AG662" s="100">
        <f>IF(ISNUMBER('General Info'!$B$42), ((SamplingData[[#This Row],[up/U Selection Probability]]) * 'General Info'!$B$44) - 1, 0)</f>
        <v>32.650998761643258</v>
      </c>
      <c r="AH662" s="100">
        <f>IF(ISNUMBER('General Info'!$B$42), (SamplingData[[#This Row],[Running (cumulative) sum]] * ('General Info'!$B$42 -'General Info'!$B$43 + 1)) + 'General Info'!$B$43 - 1, 0)</f>
        <v>18034.589296290349</v>
      </c>
      <c r="AI662" s="100" t="str">
        <f>IF(ISERROR(MATCH(SamplingData[[#This Row],[Batch by Type (p)]],SelectedPrecincts[Batch Name], 0)), "", INDEX(SelectedPrecincts[Draw], MATCH(SamplingData[[#This Row],[Batch by Type (p)]],SelectedPrecincts[Batch Name], 0)))</f>
        <v/>
      </c>
      <c r="AJ662" s="101">
        <f>IF(COUNTIF(SelectedPrecincts[Batch Name],SamplingData[[#This Row],[Batch by Type (p)]]) &lt;&gt; 0, COUNTIF(SelectedPrecincts[Batch Name],SamplingData[[#This Row],[Batch by Type (p)]]), 0)</f>
        <v>0</v>
      </c>
    </row>
    <row r="663" spans="1:36" ht="15" customHeight="1" x14ac:dyDescent="0.35">
      <c r="A663" s="98" t="s">
        <v>874</v>
      </c>
      <c r="B663" s="98">
        <v>21</v>
      </c>
      <c r="C663" s="98">
        <v>3</v>
      </c>
      <c r="D663" s="93"/>
      <c r="E663" s="93"/>
      <c r="F663" s="93"/>
      <c r="G663" s="97"/>
      <c r="H663" s="97"/>
      <c r="I663" s="93"/>
      <c r="J663" s="93"/>
      <c r="K663" s="93"/>
      <c r="L663" s="93"/>
      <c r="M663" s="93"/>
      <c r="N663" s="98">
        <v>0</v>
      </c>
      <c r="O663" s="98">
        <v>1</v>
      </c>
      <c r="P663" s="99">
        <f>SUM(SamplingData[[#This Row],[Winning Candidate]:[Under Votes]])</f>
        <v>25</v>
      </c>
      <c r="Q663" s="100">
        <f>IF(AND(SamplingData[[#This Row],[Total]]&lt;&gt; 0, NOT(ISBLANK(SamplingData[[#This Row],[Losing Candidate]]))),(SamplingData[[#This Row],[Total]]+SamplingData[[#This Row],[Winning Candidate]]-SamplingData[[#This Row],[Losing Candidate]])/(SamplingData[[#Totals],[Winning Candidate]]-SamplingData[[#Totals],[Losing Candidate]]), 0)</f>
        <v>1.350629770392939E-3</v>
      </c>
      <c r="R663" s="100">
        <f>IF(AND(SamplingData[[#This Row],[Total]]&lt;&gt; 0, NOT(ISBLANK(SamplingData[[#This Row],[Candidate 3]]))),(SamplingData[[#This Row],[Total]]+SamplingData[[#This Row],[Winning Candidate]]-SamplingData[[#This Row],[Candidate 3]])/(SamplingData[[#Totals],[Winning Candidate]]-SamplingData[[#Totals],[Candidate 3]]), 0)</f>
        <v>0</v>
      </c>
      <c r="S663" s="100">
        <f>IF(AND(SamplingData[[#This Row],[Total]]&lt;&gt; 0, NOT(ISBLANK(SamplingData[[#This Row],[Candidate 4]]))),(SamplingData[[#This Row],[Total]]+SamplingData[[#This Row],[Winning Candidate]]-SamplingData[[#This Row],[Candidate 4]])/(SamplingData[[#Totals],[Winning Candidate]]-SamplingData[[#Totals],[Candidate 4]]), 0)</f>
        <v>0</v>
      </c>
      <c r="T663" s="100">
        <f>IF(AND(SamplingData[[#This Row],[Total]]&lt;&gt; 0, NOT(ISBLANK(SamplingData[[#This Row],[Candidate 5]]))),(SamplingData[[#This Row],[Total]]+SamplingData[[#This Row],[Winning Candidate]]-SamplingData[[#This Row],[Candidate 5]])/(SamplingData[[#Totals],[Winning Candidate]]-SamplingData[[#Totals],[Candidate 5]]), 0)</f>
        <v>0</v>
      </c>
      <c r="U663" s="100">
        <f>IF(AND(SamplingData[[#This Row],[Total]]&lt;&gt; 0, NOT(ISBLANK(SamplingData[[#This Row],[Candidate 6]]))),(SamplingData[[#This Row],[Total]]+SamplingData[[#This Row],[Losing Candidate]]-SamplingData[[#This Row],[Candidate 6]])/(SamplingData[[#Totals],[Winning Candidate]]-SamplingData[[#Totals],[Candidate 6]]), 0)</f>
        <v>0</v>
      </c>
      <c r="V663" s="100">
        <f>IF(AND(SamplingData[[#This Row],[Total]]&lt;&gt; 0, NOT(ISBLANK(SamplingData[[#This Row],[Candidate 7]]))),(SamplingData[[#This Row],[Total]]+SamplingData[[#This Row],[Winning Candidate]]-SamplingData[[#This Row],[Candidate 7]])/(SamplingData[[#Totals],[Winning Candidate]]-SamplingData[[#Totals],[Candidate 7]]), 0)</f>
        <v>0</v>
      </c>
      <c r="W663" s="100">
        <f>IF(AND(SamplingData[[#This Row],[Total]]&lt;&gt; 0, NOT(ISBLANK(SamplingData[[#This Row],[Candidate 8]]))),(SamplingData[[#This Row],[Total]]+SamplingData[[#This Row],[Winning Candidate]]-SamplingData[[#This Row],[Candidate 8]])/(SamplingData[[#Totals],[Winning Candidate]]-SamplingData[[#Totals],[Candidate 8]]), 0)</f>
        <v>0</v>
      </c>
      <c r="X6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00">
        <f>MAX(SamplingData[[#This Row],[Error Bound (up) - Max. possible relative overstatement - Losing Candidate]:[Error Bound (up) - Max. possible relative overstatement - Candidate 12]])</f>
        <v>1.350629770392939E-3</v>
      </c>
      <c r="AC663" s="100">
        <f>IF(SamplingData[[#This Row],[Max Error Bound (up)]] = 0,0,SamplingData[[#This Row],[Max Error Bound (up)]]/SamplingData[[#Totals],[Max Error Bound (up)]])</f>
        <v>5.7879717870026404E-4</v>
      </c>
      <c r="AD663" s="104">
        <f>SUM($AC$5:AC663)</f>
        <v>0.18093469014160377</v>
      </c>
      <c r="AE663" s="100" t="str" cm="1">
        <f t="array" ref="AE663">IF(SamplingData[[#This Row],[up/U Selection Probability]] = 0, "Zero", TEXT(SamplingData[[#This Row],[Lower Range]], REPT("0",LEN('General Info'!$B$42))) &amp; " - " &amp; TEXT(SamplingData[[#This Row],[Upper Range]], REPT("0",LEN('General Info'!$B$42))))</f>
        <v>18036 - 18092</v>
      </c>
      <c r="AF663" s="100">
        <f>SamplingData[[#This Row],[Upper Range]]-SamplingData[[#This Row],[Span]]</f>
        <v>18035.589296290349</v>
      </c>
      <c r="AG663" s="100">
        <f>IF(ISNUMBER('General Info'!$B$42), ((SamplingData[[#This Row],[up/U Selection Probability]]) * 'General Info'!$B$44) - 1, 0)</f>
        <v>56.879717870026404</v>
      </c>
      <c r="AH663" s="100">
        <f>IF(ISNUMBER('General Info'!$B$42), (SamplingData[[#This Row],[Running (cumulative) sum]] * ('General Info'!$B$42 -'General Info'!$B$43 + 1)) + 'General Info'!$B$43 - 1, 0)</f>
        <v>18092.469014160375</v>
      </c>
      <c r="AI663" s="100" t="str">
        <f>IF(ISERROR(MATCH(SamplingData[[#This Row],[Batch by Type (p)]],SelectedPrecincts[Batch Name], 0)), "", INDEX(SelectedPrecincts[Draw], MATCH(SamplingData[[#This Row],[Batch by Type (p)]],SelectedPrecincts[Batch Name], 0)))</f>
        <v/>
      </c>
      <c r="AJ663" s="101">
        <f>IF(COUNTIF(SelectedPrecincts[Batch Name],SamplingData[[#This Row],[Batch by Type (p)]]) &lt;&gt; 0, COUNTIF(SelectedPrecincts[Batch Name],SamplingData[[#This Row],[Batch by Type (p)]]), 0)</f>
        <v>0</v>
      </c>
    </row>
    <row r="664" spans="1:36" ht="15" customHeight="1" x14ac:dyDescent="0.35">
      <c r="A664" s="98" t="s">
        <v>875</v>
      </c>
      <c r="B664" s="98">
        <v>19</v>
      </c>
      <c r="C664" s="98">
        <v>4</v>
      </c>
      <c r="D664" s="93"/>
      <c r="E664" s="93"/>
      <c r="F664" s="93"/>
      <c r="G664" s="97"/>
      <c r="H664" s="97"/>
      <c r="I664" s="93"/>
      <c r="J664" s="93"/>
      <c r="K664" s="93"/>
      <c r="L664" s="93"/>
      <c r="M664" s="93"/>
      <c r="N664" s="98">
        <v>0</v>
      </c>
      <c r="O664" s="98">
        <v>2</v>
      </c>
      <c r="P664" s="99">
        <f>SUM(SamplingData[[#This Row],[Winning Candidate]:[Under Votes]])</f>
        <v>25</v>
      </c>
      <c r="Q664"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664" s="100">
        <f>IF(AND(SamplingData[[#This Row],[Total]]&lt;&gt; 0, NOT(ISBLANK(SamplingData[[#This Row],[Candidate 3]]))),(SamplingData[[#This Row],[Total]]+SamplingData[[#This Row],[Winning Candidate]]-SamplingData[[#This Row],[Candidate 3]])/(SamplingData[[#Totals],[Winning Candidate]]-SamplingData[[#Totals],[Candidate 3]]), 0)</f>
        <v>0</v>
      </c>
      <c r="S664" s="100">
        <f>IF(AND(SamplingData[[#This Row],[Total]]&lt;&gt; 0, NOT(ISBLANK(SamplingData[[#This Row],[Candidate 4]]))),(SamplingData[[#This Row],[Total]]+SamplingData[[#This Row],[Winning Candidate]]-SamplingData[[#This Row],[Candidate 4]])/(SamplingData[[#Totals],[Winning Candidate]]-SamplingData[[#Totals],[Candidate 4]]), 0)</f>
        <v>0</v>
      </c>
      <c r="T664" s="100">
        <f>IF(AND(SamplingData[[#This Row],[Total]]&lt;&gt; 0, NOT(ISBLANK(SamplingData[[#This Row],[Candidate 5]]))),(SamplingData[[#This Row],[Total]]+SamplingData[[#This Row],[Winning Candidate]]-SamplingData[[#This Row],[Candidate 5]])/(SamplingData[[#Totals],[Winning Candidate]]-SamplingData[[#Totals],[Candidate 5]]), 0)</f>
        <v>0</v>
      </c>
      <c r="U664" s="100">
        <f>IF(AND(SamplingData[[#This Row],[Total]]&lt;&gt; 0, NOT(ISBLANK(SamplingData[[#This Row],[Candidate 6]]))),(SamplingData[[#This Row],[Total]]+SamplingData[[#This Row],[Losing Candidate]]-SamplingData[[#This Row],[Candidate 6]])/(SamplingData[[#Totals],[Winning Candidate]]-SamplingData[[#Totals],[Candidate 6]]), 0)</f>
        <v>0</v>
      </c>
      <c r="V664" s="100">
        <f>IF(AND(SamplingData[[#This Row],[Total]]&lt;&gt; 0, NOT(ISBLANK(SamplingData[[#This Row],[Candidate 7]]))),(SamplingData[[#This Row],[Total]]+SamplingData[[#This Row],[Winning Candidate]]-SamplingData[[#This Row],[Candidate 7]])/(SamplingData[[#Totals],[Winning Candidate]]-SamplingData[[#Totals],[Candidate 7]]), 0)</f>
        <v>0</v>
      </c>
      <c r="W664" s="100">
        <f>IF(AND(SamplingData[[#This Row],[Total]]&lt;&gt; 0, NOT(ISBLANK(SamplingData[[#This Row],[Candidate 8]]))),(SamplingData[[#This Row],[Total]]+SamplingData[[#This Row],[Winning Candidate]]-SamplingData[[#This Row],[Candidate 8]])/(SamplingData[[#Totals],[Winning Candidate]]-SamplingData[[#Totals],[Candidate 8]]), 0)</f>
        <v>0</v>
      </c>
      <c r="X6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00">
        <f>MAX(SamplingData[[#This Row],[Error Bound (up) - Max. possible relative overstatement - Losing Candidate]:[Error Bound (up) - Max. possible relative overstatement - Candidate 12]])</f>
        <v>1.2563997864120362E-3</v>
      </c>
      <c r="AC664" s="100">
        <f>IF(SamplingData[[#This Row],[Max Error Bound (up)]] = 0,0,SamplingData[[#This Row],[Max Error Bound (up)]]/SamplingData[[#Totals],[Max Error Bound (up)]])</f>
        <v>5.3841598018629215E-4</v>
      </c>
      <c r="AD664" s="104">
        <f>SUM($AC$5:AC664)</f>
        <v>0.18147310612179005</v>
      </c>
      <c r="AE664" s="100" t="str" cm="1">
        <f t="array" ref="AE664">IF(SamplingData[[#This Row],[up/U Selection Probability]] = 0, "Zero", TEXT(SamplingData[[#This Row],[Lower Range]], REPT("0",LEN('General Info'!$B$42))) &amp; " - " &amp; TEXT(SamplingData[[#This Row],[Upper Range]], REPT("0",LEN('General Info'!$B$42))))</f>
        <v>18093 - 18146</v>
      </c>
      <c r="AF664" s="100">
        <f>SamplingData[[#This Row],[Upper Range]]-SamplingData[[#This Row],[Span]]</f>
        <v>18093.469014160375</v>
      </c>
      <c r="AG664" s="100">
        <f>IF(ISNUMBER('General Info'!$B$42), ((SamplingData[[#This Row],[up/U Selection Probability]]) * 'General Info'!$B$44) - 1, 0)</f>
        <v>52.841598018629213</v>
      </c>
      <c r="AH664" s="100">
        <f>IF(ISNUMBER('General Info'!$B$42), (SamplingData[[#This Row],[Running (cumulative) sum]] * ('General Info'!$B$42 -'General Info'!$B$43 + 1)) + 'General Info'!$B$43 - 1, 0)</f>
        <v>18146.310612179004</v>
      </c>
      <c r="AI664" s="100" t="str">
        <f>IF(ISERROR(MATCH(SamplingData[[#This Row],[Batch by Type (p)]],SelectedPrecincts[Batch Name], 0)), "", INDEX(SelectedPrecincts[Draw], MATCH(SamplingData[[#This Row],[Batch by Type (p)]],SelectedPrecincts[Batch Name], 0)))</f>
        <v/>
      </c>
      <c r="AJ664" s="101">
        <f>IF(COUNTIF(SelectedPrecincts[Batch Name],SamplingData[[#This Row],[Batch by Type (p)]]) &lt;&gt; 0, COUNTIF(SelectedPrecincts[Batch Name],SamplingData[[#This Row],[Batch by Type (p)]]), 0)</f>
        <v>0</v>
      </c>
    </row>
    <row r="665" spans="1:36" ht="15" customHeight="1" x14ac:dyDescent="0.35">
      <c r="A665" s="98" t="s">
        <v>876</v>
      </c>
      <c r="B665" s="98">
        <v>30</v>
      </c>
      <c r="C665" s="98">
        <v>6</v>
      </c>
      <c r="D665" s="93"/>
      <c r="E665" s="93"/>
      <c r="F665" s="93"/>
      <c r="G665" s="97"/>
      <c r="H665" s="97"/>
      <c r="I665" s="93"/>
      <c r="J665" s="93"/>
      <c r="K665" s="93"/>
      <c r="L665" s="93"/>
      <c r="M665" s="93"/>
      <c r="N665" s="98">
        <v>0</v>
      </c>
      <c r="O665" s="98">
        <v>0</v>
      </c>
      <c r="P665" s="99">
        <f>SUM(SamplingData[[#This Row],[Winning Candidate]:[Under Votes]])</f>
        <v>36</v>
      </c>
      <c r="Q665"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1.8845996796180544E-3</v>
      </c>
      <c r="R665" s="100">
        <f>IF(AND(SamplingData[[#This Row],[Total]]&lt;&gt; 0, NOT(ISBLANK(SamplingData[[#This Row],[Candidate 3]]))),(SamplingData[[#This Row],[Total]]+SamplingData[[#This Row],[Winning Candidate]]-SamplingData[[#This Row],[Candidate 3]])/(SamplingData[[#Totals],[Winning Candidate]]-SamplingData[[#Totals],[Candidate 3]]), 0)</f>
        <v>0</v>
      </c>
      <c r="S665" s="100">
        <f>IF(AND(SamplingData[[#This Row],[Total]]&lt;&gt; 0, NOT(ISBLANK(SamplingData[[#This Row],[Candidate 4]]))),(SamplingData[[#This Row],[Total]]+SamplingData[[#This Row],[Winning Candidate]]-SamplingData[[#This Row],[Candidate 4]])/(SamplingData[[#Totals],[Winning Candidate]]-SamplingData[[#Totals],[Candidate 4]]), 0)</f>
        <v>0</v>
      </c>
      <c r="T665" s="100">
        <f>IF(AND(SamplingData[[#This Row],[Total]]&lt;&gt; 0, NOT(ISBLANK(SamplingData[[#This Row],[Candidate 5]]))),(SamplingData[[#This Row],[Total]]+SamplingData[[#This Row],[Winning Candidate]]-SamplingData[[#This Row],[Candidate 5]])/(SamplingData[[#Totals],[Winning Candidate]]-SamplingData[[#Totals],[Candidate 5]]), 0)</f>
        <v>0</v>
      </c>
      <c r="U665" s="100">
        <f>IF(AND(SamplingData[[#This Row],[Total]]&lt;&gt; 0, NOT(ISBLANK(SamplingData[[#This Row],[Candidate 6]]))),(SamplingData[[#This Row],[Total]]+SamplingData[[#This Row],[Losing Candidate]]-SamplingData[[#This Row],[Candidate 6]])/(SamplingData[[#Totals],[Winning Candidate]]-SamplingData[[#Totals],[Candidate 6]]), 0)</f>
        <v>0</v>
      </c>
      <c r="V665" s="100">
        <f>IF(AND(SamplingData[[#This Row],[Total]]&lt;&gt; 0, NOT(ISBLANK(SamplingData[[#This Row],[Candidate 7]]))),(SamplingData[[#This Row],[Total]]+SamplingData[[#This Row],[Winning Candidate]]-SamplingData[[#This Row],[Candidate 7]])/(SamplingData[[#Totals],[Winning Candidate]]-SamplingData[[#Totals],[Candidate 7]]), 0)</f>
        <v>0</v>
      </c>
      <c r="W665" s="100">
        <f>IF(AND(SamplingData[[#This Row],[Total]]&lt;&gt; 0, NOT(ISBLANK(SamplingData[[#This Row],[Candidate 8]]))),(SamplingData[[#This Row],[Total]]+SamplingData[[#This Row],[Winning Candidate]]-SamplingData[[#This Row],[Candidate 8]])/(SamplingData[[#Totals],[Winning Candidate]]-SamplingData[[#Totals],[Candidate 8]]), 0)</f>
        <v>0</v>
      </c>
      <c r="X6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00">
        <f>MAX(SamplingData[[#This Row],[Error Bound (up) - Max. possible relative overstatement - Losing Candidate]:[Error Bound (up) - Max. possible relative overstatement - Candidate 12]])</f>
        <v>1.8845996796180544E-3</v>
      </c>
      <c r="AC665" s="100">
        <f>IF(SamplingData[[#This Row],[Max Error Bound (up)]] = 0,0,SamplingData[[#This Row],[Max Error Bound (up)]]/SamplingData[[#Totals],[Max Error Bound (up)]])</f>
        <v>8.0762397027943811E-4</v>
      </c>
      <c r="AD665" s="104">
        <f>SUM($AC$5:AC665)</f>
        <v>0.18228073009206949</v>
      </c>
      <c r="AE665" s="100" t="str" cm="1">
        <f t="array" ref="AE665">IF(SamplingData[[#This Row],[up/U Selection Probability]] = 0, "Zero", TEXT(SamplingData[[#This Row],[Lower Range]], REPT("0",LEN('General Info'!$B$42))) &amp; " - " &amp; TEXT(SamplingData[[#This Row],[Upper Range]], REPT("0",LEN('General Info'!$B$42))))</f>
        <v>18147 - 18227</v>
      </c>
      <c r="AF665" s="100">
        <f>SamplingData[[#This Row],[Upper Range]]-SamplingData[[#This Row],[Span]]</f>
        <v>18147.310612179004</v>
      </c>
      <c r="AG665" s="100">
        <f>IF(ISNUMBER('General Info'!$B$42), ((SamplingData[[#This Row],[up/U Selection Probability]]) * 'General Info'!$B$44) - 1, 0)</f>
        <v>79.762397027943805</v>
      </c>
      <c r="AH665" s="100">
        <f>IF(ISNUMBER('General Info'!$B$42), (SamplingData[[#This Row],[Running (cumulative) sum]] * ('General Info'!$B$42 -'General Info'!$B$43 + 1)) + 'General Info'!$B$43 - 1, 0)</f>
        <v>18227.07300920695</v>
      </c>
      <c r="AI665" s="100" t="str">
        <f>IF(ISERROR(MATCH(SamplingData[[#This Row],[Batch by Type (p)]],SelectedPrecincts[Batch Name], 0)), "", INDEX(SelectedPrecincts[Draw], MATCH(SamplingData[[#This Row],[Batch by Type (p)]],SelectedPrecincts[Batch Name], 0)))</f>
        <v/>
      </c>
      <c r="AJ665" s="101">
        <f>IF(COUNTIF(SelectedPrecincts[Batch Name],SamplingData[[#This Row],[Batch by Type (p)]]) &lt;&gt; 0, COUNTIF(SelectedPrecincts[Batch Name],SamplingData[[#This Row],[Batch by Type (p)]]), 0)</f>
        <v>0</v>
      </c>
    </row>
    <row r="666" spans="1:36" ht="15" customHeight="1" x14ac:dyDescent="0.35">
      <c r="A666" s="98" t="s">
        <v>877</v>
      </c>
      <c r="B666" s="98">
        <v>8</v>
      </c>
      <c r="C666" s="98">
        <v>2</v>
      </c>
      <c r="D666" s="93"/>
      <c r="E666" s="93"/>
      <c r="F666" s="93"/>
      <c r="G666" s="97"/>
      <c r="H666" s="97"/>
      <c r="I666" s="93"/>
      <c r="J666" s="93"/>
      <c r="K666" s="93"/>
      <c r="L666" s="93"/>
      <c r="M666" s="93"/>
      <c r="N666" s="98">
        <v>0</v>
      </c>
      <c r="O666" s="98">
        <v>0</v>
      </c>
      <c r="P666" s="99">
        <f>SUM(SamplingData[[#This Row],[Winning Candidate]:[Under Votes]])</f>
        <v>10</v>
      </c>
      <c r="Q666"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666" s="100">
        <f>IF(AND(SamplingData[[#This Row],[Total]]&lt;&gt; 0, NOT(ISBLANK(SamplingData[[#This Row],[Candidate 3]]))),(SamplingData[[#This Row],[Total]]+SamplingData[[#This Row],[Winning Candidate]]-SamplingData[[#This Row],[Candidate 3]])/(SamplingData[[#Totals],[Winning Candidate]]-SamplingData[[#Totals],[Candidate 3]]), 0)</f>
        <v>0</v>
      </c>
      <c r="S666" s="100">
        <f>IF(AND(SamplingData[[#This Row],[Total]]&lt;&gt; 0, NOT(ISBLANK(SamplingData[[#This Row],[Candidate 4]]))),(SamplingData[[#This Row],[Total]]+SamplingData[[#This Row],[Winning Candidate]]-SamplingData[[#This Row],[Candidate 4]])/(SamplingData[[#Totals],[Winning Candidate]]-SamplingData[[#Totals],[Candidate 4]]), 0)</f>
        <v>0</v>
      </c>
      <c r="T666" s="100">
        <f>IF(AND(SamplingData[[#This Row],[Total]]&lt;&gt; 0, NOT(ISBLANK(SamplingData[[#This Row],[Candidate 5]]))),(SamplingData[[#This Row],[Total]]+SamplingData[[#This Row],[Winning Candidate]]-SamplingData[[#This Row],[Candidate 5]])/(SamplingData[[#Totals],[Winning Candidate]]-SamplingData[[#Totals],[Candidate 5]]), 0)</f>
        <v>0</v>
      </c>
      <c r="U666" s="100">
        <f>IF(AND(SamplingData[[#This Row],[Total]]&lt;&gt; 0, NOT(ISBLANK(SamplingData[[#This Row],[Candidate 6]]))),(SamplingData[[#This Row],[Total]]+SamplingData[[#This Row],[Losing Candidate]]-SamplingData[[#This Row],[Candidate 6]])/(SamplingData[[#Totals],[Winning Candidate]]-SamplingData[[#Totals],[Candidate 6]]), 0)</f>
        <v>0</v>
      </c>
      <c r="V666" s="100">
        <f>IF(AND(SamplingData[[#This Row],[Total]]&lt;&gt; 0, NOT(ISBLANK(SamplingData[[#This Row],[Candidate 7]]))),(SamplingData[[#This Row],[Total]]+SamplingData[[#This Row],[Winning Candidate]]-SamplingData[[#This Row],[Candidate 7]])/(SamplingData[[#Totals],[Winning Candidate]]-SamplingData[[#Totals],[Candidate 7]]), 0)</f>
        <v>0</v>
      </c>
      <c r="W666" s="100">
        <f>IF(AND(SamplingData[[#This Row],[Total]]&lt;&gt; 0, NOT(ISBLANK(SamplingData[[#This Row],[Candidate 8]]))),(SamplingData[[#This Row],[Total]]+SamplingData[[#This Row],[Winning Candidate]]-SamplingData[[#This Row],[Candidate 8]])/(SamplingData[[#Totals],[Winning Candidate]]-SamplingData[[#Totals],[Candidate 8]]), 0)</f>
        <v>0</v>
      </c>
      <c r="X6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00">
        <f>MAX(SamplingData[[#This Row],[Error Bound (up) - Max. possible relative overstatement - Losing Candidate]:[Error Bound (up) - Max. possible relative overstatement - Candidate 12]])</f>
        <v>5.0255991456481448E-4</v>
      </c>
      <c r="AC666" s="100">
        <f>IF(SamplingData[[#This Row],[Max Error Bound (up)]] = 0,0,SamplingData[[#This Row],[Max Error Bound (up)]]/SamplingData[[#Totals],[Max Error Bound (up)]])</f>
        <v>2.1536639207451683E-4</v>
      </c>
      <c r="AD666" s="104">
        <f>SUM($AC$5:AC666)</f>
        <v>0.182496096484144</v>
      </c>
      <c r="AE666" s="100" t="str" cm="1">
        <f t="array" ref="AE666">IF(SamplingData[[#This Row],[up/U Selection Probability]] = 0, "Zero", TEXT(SamplingData[[#This Row],[Lower Range]], REPT("0",LEN('General Info'!$B$42))) &amp; " - " &amp; TEXT(SamplingData[[#This Row],[Upper Range]], REPT("0",LEN('General Info'!$B$42))))</f>
        <v>18228 - 18249</v>
      </c>
      <c r="AF666" s="100">
        <f>SamplingData[[#This Row],[Upper Range]]-SamplingData[[#This Row],[Span]]</f>
        <v>18228.07300920695</v>
      </c>
      <c r="AG666" s="100">
        <f>IF(ISNUMBER('General Info'!$B$42), ((SamplingData[[#This Row],[up/U Selection Probability]]) * 'General Info'!$B$44) - 1, 0)</f>
        <v>20.536639207451682</v>
      </c>
      <c r="AH666" s="100">
        <f>IF(ISNUMBER('General Info'!$B$42), (SamplingData[[#This Row],[Running (cumulative) sum]] * ('General Info'!$B$42 -'General Info'!$B$43 + 1)) + 'General Info'!$B$43 - 1, 0)</f>
        <v>18248.6096484144</v>
      </c>
      <c r="AI666" s="100" t="str">
        <f>IF(ISERROR(MATCH(SamplingData[[#This Row],[Batch by Type (p)]],SelectedPrecincts[Batch Name], 0)), "", INDEX(SelectedPrecincts[Draw], MATCH(SamplingData[[#This Row],[Batch by Type (p)]],SelectedPrecincts[Batch Name], 0)))</f>
        <v/>
      </c>
      <c r="AJ666" s="101">
        <f>IF(COUNTIF(SelectedPrecincts[Batch Name],SamplingData[[#This Row],[Batch by Type (p)]]) &lt;&gt; 0, COUNTIF(SelectedPrecincts[Batch Name],SamplingData[[#This Row],[Batch by Type (p)]]), 0)</f>
        <v>0</v>
      </c>
    </row>
    <row r="667" spans="1:36" ht="15" customHeight="1" x14ac:dyDescent="0.35">
      <c r="A667" s="98" t="s">
        <v>878</v>
      </c>
      <c r="B667" s="98">
        <v>7</v>
      </c>
      <c r="C667" s="98">
        <v>3</v>
      </c>
      <c r="D667" s="93"/>
      <c r="E667" s="93"/>
      <c r="F667" s="93"/>
      <c r="G667" s="97"/>
      <c r="H667" s="97"/>
      <c r="I667" s="93"/>
      <c r="J667" s="93"/>
      <c r="K667" s="93"/>
      <c r="L667" s="93"/>
      <c r="M667" s="93"/>
      <c r="N667" s="98">
        <v>0</v>
      </c>
      <c r="O667" s="98">
        <v>0</v>
      </c>
      <c r="P667" s="99">
        <f>SUM(SamplingData[[#This Row],[Winning Candidate]:[Under Votes]])</f>
        <v>10</v>
      </c>
      <c r="Q667"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667" s="100">
        <f>IF(AND(SamplingData[[#This Row],[Total]]&lt;&gt; 0, NOT(ISBLANK(SamplingData[[#This Row],[Candidate 3]]))),(SamplingData[[#This Row],[Total]]+SamplingData[[#This Row],[Winning Candidate]]-SamplingData[[#This Row],[Candidate 3]])/(SamplingData[[#Totals],[Winning Candidate]]-SamplingData[[#Totals],[Candidate 3]]), 0)</f>
        <v>0</v>
      </c>
      <c r="S667" s="100">
        <f>IF(AND(SamplingData[[#This Row],[Total]]&lt;&gt; 0, NOT(ISBLANK(SamplingData[[#This Row],[Candidate 4]]))),(SamplingData[[#This Row],[Total]]+SamplingData[[#This Row],[Winning Candidate]]-SamplingData[[#This Row],[Candidate 4]])/(SamplingData[[#Totals],[Winning Candidate]]-SamplingData[[#Totals],[Candidate 4]]), 0)</f>
        <v>0</v>
      </c>
      <c r="T667" s="100">
        <f>IF(AND(SamplingData[[#This Row],[Total]]&lt;&gt; 0, NOT(ISBLANK(SamplingData[[#This Row],[Candidate 5]]))),(SamplingData[[#This Row],[Total]]+SamplingData[[#This Row],[Winning Candidate]]-SamplingData[[#This Row],[Candidate 5]])/(SamplingData[[#Totals],[Winning Candidate]]-SamplingData[[#Totals],[Candidate 5]]), 0)</f>
        <v>0</v>
      </c>
      <c r="U667" s="100">
        <f>IF(AND(SamplingData[[#This Row],[Total]]&lt;&gt; 0, NOT(ISBLANK(SamplingData[[#This Row],[Candidate 6]]))),(SamplingData[[#This Row],[Total]]+SamplingData[[#This Row],[Losing Candidate]]-SamplingData[[#This Row],[Candidate 6]])/(SamplingData[[#Totals],[Winning Candidate]]-SamplingData[[#Totals],[Candidate 6]]), 0)</f>
        <v>0</v>
      </c>
      <c r="V667" s="100">
        <f>IF(AND(SamplingData[[#This Row],[Total]]&lt;&gt; 0, NOT(ISBLANK(SamplingData[[#This Row],[Candidate 7]]))),(SamplingData[[#This Row],[Total]]+SamplingData[[#This Row],[Winning Candidate]]-SamplingData[[#This Row],[Candidate 7]])/(SamplingData[[#Totals],[Winning Candidate]]-SamplingData[[#Totals],[Candidate 7]]), 0)</f>
        <v>0</v>
      </c>
      <c r="W667" s="100">
        <f>IF(AND(SamplingData[[#This Row],[Total]]&lt;&gt; 0, NOT(ISBLANK(SamplingData[[#This Row],[Candidate 8]]))),(SamplingData[[#This Row],[Total]]+SamplingData[[#This Row],[Winning Candidate]]-SamplingData[[#This Row],[Candidate 8]])/(SamplingData[[#Totals],[Winning Candidate]]-SamplingData[[#Totals],[Candidate 8]]), 0)</f>
        <v>0</v>
      </c>
      <c r="X6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00">
        <f>MAX(SamplingData[[#This Row],[Error Bound (up) - Max. possible relative overstatement - Losing Candidate]:[Error Bound (up) - Max. possible relative overstatement - Candidate 12]])</f>
        <v>4.3973992524421271E-4</v>
      </c>
      <c r="AC667" s="100">
        <f>IF(SamplingData[[#This Row],[Max Error Bound (up)]] = 0,0,SamplingData[[#This Row],[Max Error Bound (up)]]/SamplingData[[#Totals],[Max Error Bound (up)]])</f>
        <v>1.8844559306520223E-4</v>
      </c>
      <c r="AD667" s="104">
        <f>SUM($AC$5:AC667)</f>
        <v>0.18268454207720919</v>
      </c>
      <c r="AE667" s="100" t="str" cm="1">
        <f t="array" ref="AE667">IF(SamplingData[[#This Row],[up/U Selection Probability]] = 0, "Zero", TEXT(SamplingData[[#This Row],[Lower Range]], REPT("0",LEN('General Info'!$B$42))) &amp; " - " &amp; TEXT(SamplingData[[#This Row],[Upper Range]], REPT("0",LEN('General Info'!$B$42))))</f>
        <v>18250 - 18267</v>
      </c>
      <c r="AF667" s="100">
        <f>SamplingData[[#This Row],[Upper Range]]-SamplingData[[#This Row],[Span]]</f>
        <v>18249.6096484144</v>
      </c>
      <c r="AG667" s="100">
        <f>IF(ISNUMBER('General Info'!$B$42), ((SamplingData[[#This Row],[up/U Selection Probability]]) * 'General Info'!$B$44) - 1, 0)</f>
        <v>17.844559306520225</v>
      </c>
      <c r="AH667" s="100">
        <f>IF(ISNUMBER('General Info'!$B$42), (SamplingData[[#This Row],[Running (cumulative) sum]] * ('General Info'!$B$42 -'General Info'!$B$43 + 1)) + 'General Info'!$B$43 - 1, 0)</f>
        <v>18267.454207720919</v>
      </c>
      <c r="AI667" s="100" t="str">
        <f>IF(ISERROR(MATCH(SamplingData[[#This Row],[Batch by Type (p)]],SelectedPrecincts[Batch Name], 0)), "", INDEX(SelectedPrecincts[Draw], MATCH(SamplingData[[#This Row],[Batch by Type (p)]],SelectedPrecincts[Batch Name], 0)))</f>
        <v/>
      </c>
      <c r="AJ667" s="101">
        <f>IF(COUNTIF(SelectedPrecincts[Batch Name],SamplingData[[#This Row],[Batch by Type (p)]]) &lt;&gt; 0, COUNTIF(SelectedPrecincts[Batch Name],SamplingData[[#This Row],[Batch by Type (p)]]), 0)</f>
        <v>0</v>
      </c>
    </row>
    <row r="668" spans="1:36" ht="15" customHeight="1" x14ac:dyDescent="0.35">
      <c r="A668" s="98" t="s">
        <v>879</v>
      </c>
      <c r="B668" s="98">
        <v>15</v>
      </c>
      <c r="C668" s="98">
        <v>3</v>
      </c>
      <c r="D668" s="93"/>
      <c r="E668" s="93"/>
      <c r="F668" s="93"/>
      <c r="G668" s="97"/>
      <c r="H668" s="97"/>
      <c r="I668" s="93"/>
      <c r="J668" s="93"/>
      <c r="K668" s="93"/>
      <c r="L668" s="93"/>
      <c r="M668" s="93"/>
      <c r="N668" s="98">
        <v>0</v>
      </c>
      <c r="O668" s="98">
        <v>0</v>
      </c>
      <c r="P668" s="99">
        <f>SUM(SamplingData[[#This Row],[Winning Candidate]:[Under Votes]])</f>
        <v>18</v>
      </c>
      <c r="Q668"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668" s="100">
        <f>IF(AND(SamplingData[[#This Row],[Total]]&lt;&gt; 0, NOT(ISBLANK(SamplingData[[#This Row],[Candidate 3]]))),(SamplingData[[#This Row],[Total]]+SamplingData[[#This Row],[Winning Candidate]]-SamplingData[[#This Row],[Candidate 3]])/(SamplingData[[#Totals],[Winning Candidate]]-SamplingData[[#Totals],[Candidate 3]]), 0)</f>
        <v>0</v>
      </c>
      <c r="S668" s="100">
        <f>IF(AND(SamplingData[[#This Row],[Total]]&lt;&gt; 0, NOT(ISBLANK(SamplingData[[#This Row],[Candidate 4]]))),(SamplingData[[#This Row],[Total]]+SamplingData[[#This Row],[Winning Candidate]]-SamplingData[[#This Row],[Candidate 4]])/(SamplingData[[#Totals],[Winning Candidate]]-SamplingData[[#Totals],[Candidate 4]]), 0)</f>
        <v>0</v>
      </c>
      <c r="T668" s="100">
        <f>IF(AND(SamplingData[[#This Row],[Total]]&lt;&gt; 0, NOT(ISBLANK(SamplingData[[#This Row],[Candidate 5]]))),(SamplingData[[#This Row],[Total]]+SamplingData[[#This Row],[Winning Candidate]]-SamplingData[[#This Row],[Candidate 5]])/(SamplingData[[#Totals],[Winning Candidate]]-SamplingData[[#Totals],[Candidate 5]]), 0)</f>
        <v>0</v>
      </c>
      <c r="U668" s="100">
        <f>IF(AND(SamplingData[[#This Row],[Total]]&lt;&gt; 0, NOT(ISBLANK(SamplingData[[#This Row],[Candidate 6]]))),(SamplingData[[#This Row],[Total]]+SamplingData[[#This Row],[Losing Candidate]]-SamplingData[[#This Row],[Candidate 6]])/(SamplingData[[#Totals],[Winning Candidate]]-SamplingData[[#Totals],[Candidate 6]]), 0)</f>
        <v>0</v>
      </c>
      <c r="V668" s="100">
        <f>IF(AND(SamplingData[[#This Row],[Total]]&lt;&gt; 0, NOT(ISBLANK(SamplingData[[#This Row],[Candidate 7]]))),(SamplingData[[#This Row],[Total]]+SamplingData[[#This Row],[Winning Candidate]]-SamplingData[[#This Row],[Candidate 7]])/(SamplingData[[#Totals],[Winning Candidate]]-SamplingData[[#Totals],[Candidate 7]]), 0)</f>
        <v>0</v>
      </c>
      <c r="W668" s="100">
        <f>IF(AND(SamplingData[[#This Row],[Total]]&lt;&gt; 0, NOT(ISBLANK(SamplingData[[#This Row],[Candidate 8]]))),(SamplingData[[#This Row],[Total]]+SamplingData[[#This Row],[Winning Candidate]]-SamplingData[[#This Row],[Candidate 8]])/(SamplingData[[#Totals],[Winning Candidate]]-SamplingData[[#Totals],[Candidate 8]]), 0)</f>
        <v>0</v>
      </c>
      <c r="X6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00">
        <f>MAX(SamplingData[[#This Row],[Error Bound (up) - Max. possible relative overstatement - Losing Candidate]:[Error Bound (up) - Max. possible relative overstatement - Candidate 12]])</f>
        <v>9.4229983980902718E-4</v>
      </c>
      <c r="AC668" s="100">
        <f>IF(SamplingData[[#This Row],[Max Error Bound (up)]] = 0,0,SamplingData[[#This Row],[Max Error Bound (up)]]/SamplingData[[#Totals],[Max Error Bound (up)]])</f>
        <v>4.0381198513971905E-4</v>
      </c>
      <c r="AD668" s="104">
        <f>SUM($AC$5:AC668)</f>
        <v>0.18308835406234891</v>
      </c>
      <c r="AE668" s="100" t="str" cm="1">
        <f t="array" ref="AE668">IF(SamplingData[[#This Row],[up/U Selection Probability]] = 0, "Zero", TEXT(SamplingData[[#This Row],[Lower Range]], REPT("0",LEN('General Info'!$B$42))) &amp; " - " &amp; TEXT(SamplingData[[#This Row],[Upper Range]], REPT("0",LEN('General Info'!$B$42))))</f>
        <v>18268 - 18308</v>
      </c>
      <c r="AF668" s="100">
        <f>SamplingData[[#This Row],[Upper Range]]-SamplingData[[#This Row],[Span]]</f>
        <v>18268.454207720919</v>
      </c>
      <c r="AG668" s="100">
        <f>IF(ISNUMBER('General Info'!$B$42), ((SamplingData[[#This Row],[up/U Selection Probability]]) * 'General Info'!$B$44) - 1, 0)</f>
        <v>39.381198513971903</v>
      </c>
      <c r="AH668" s="100">
        <f>IF(ISNUMBER('General Info'!$B$42), (SamplingData[[#This Row],[Running (cumulative) sum]] * ('General Info'!$B$42 -'General Info'!$B$43 + 1)) + 'General Info'!$B$43 - 1, 0)</f>
        <v>18307.835406234892</v>
      </c>
      <c r="AI668" s="100" t="str">
        <f>IF(ISERROR(MATCH(SamplingData[[#This Row],[Batch by Type (p)]],SelectedPrecincts[Batch Name], 0)), "", INDEX(SelectedPrecincts[Draw], MATCH(SamplingData[[#This Row],[Batch by Type (p)]],SelectedPrecincts[Batch Name], 0)))</f>
        <v/>
      </c>
      <c r="AJ668" s="101">
        <f>IF(COUNTIF(SelectedPrecincts[Batch Name],SamplingData[[#This Row],[Batch by Type (p)]]) &lt;&gt; 0, COUNTIF(SelectedPrecincts[Batch Name],SamplingData[[#This Row],[Batch by Type (p)]]), 0)</f>
        <v>0</v>
      </c>
    </row>
    <row r="669" spans="1:36" ht="15" customHeight="1" x14ac:dyDescent="0.35">
      <c r="A669" s="98" t="s">
        <v>880</v>
      </c>
      <c r="B669" s="98">
        <v>2</v>
      </c>
      <c r="C669" s="98">
        <v>1</v>
      </c>
      <c r="D669" s="93"/>
      <c r="E669" s="93"/>
      <c r="F669" s="93"/>
      <c r="G669" s="97"/>
      <c r="H669" s="97"/>
      <c r="I669" s="93"/>
      <c r="J669" s="93"/>
      <c r="K669" s="93"/>
      <c r="L669" s="93"/>
      <c r="M669" s="93"/>
      <c r="N669" s="98">
        <v>0</v>
      </c>
      <c r="O669" s="98">
        <v>0</v>
      </c>
      <c r="P669" s="99">
        <f>SUM(SamplingData[[#This Row],[Winning Candidate]:[Under Votes]])</f>
        <v>3</v>
      </c>
      <c r="Q669"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69" s="100">
        <f>IF(AND(SamplingData[[#This Row],[Total]]&lt;&gt; 0, NOT(ISBLANK(SamplingData[[#This Row],[Candidate 3]]))),(SamplingData[[#This Row],[Total]]+SamplingData[[#This Row],[Winning Candidate]]-SamplingData[[#This Row],[Candidate 3]])/(SamplingData[[#Totals],[Winning Candidate]]-SamplingData[[#Totals],[Candidate 3]]), 0)</f>
        <v>0</v>
      </c>
      <c r="S669" s="100">
        <f>IF(AND(SamplingData[[#This Row],[Total]]&lt;&gt; 0, NOT(ISBLANK(SamplingData[[#This Row],[Candidate 4]]))),(SamplingData[[#This Row],[Total]]+SamplingData[[#This Row],[Winning Candidate]]-SamplingData[[#This Row],[Candidate 4]])/(SamplingData[[#Totals],[Winning Candidate]]-SamplingData[[#Totals],[Candidate 4]]), 0)</f>
        <v>0</v>
      </c>
      <c r="T669" s="100">
        <f>IF(AND(SamplingData[[#This Row],[Total]]&lt;&gt; 0, NOT(ISBLANK(SamplingData[[#This Row],[Candidate 5]]))),(SamplingData[[#This Row],[Total]]+SamplingData[[#This Row],[Winning Candidate]]-SamplingData[[#This Row],[Candidate 5]])/(SamplingData[[#Totals],[Winning Candidate]]-SamplingData[[#Totals],[Candidate 5]]), 0)</f>
        <v>0</v>
      </c>
      <c r="U669" s="100">
        <f>IF(AND(SamplingData[[#This Row],[Total]]&lt;&gt; 0, NOT(ISBLANK(SamplingData[[#This Row],[Candidate 6]]))),(SamplingData[[#This Row],[Total]]+SamplingData[[#This Row],[Losing Candidate]]-SamplingData[[#This Row],[Candidate 6]])/(SamplingData[[#Totals],[Winning Candidate]]-SamplingData[[#Totals],[Candidate 6]]), 0)</f>
        <v>0</v>
      </c>
      <c r="V669" s="100">
        <f>IF(AND(SamplingData[[#This Row],[Total]]&lt;&gt; 0, NOT(ISBLANK(SamplingData[[#This Row],[Candidate 7]]))),(SamplingData[[#This Row],[Total]]+SamplingData[[#This Row],[Winning Candidate]]-SamplingData[[#This Row],[Candidate 7]])/(SamplingData[[#Totals],[Winning Candidate]]-SamplingData[[#Totals],[Candidate 7]]), 0)</f>
        <v>0</v>
      </c>
      <c r="W669" s="100">
        <f>IF(AND(SamplingData[[#This Row],[Total]]&lt;&gt; 0, NOT(ISBLANK(SamplingData[[#This Row],[Candidate 8]]))),(SamplingData[[#This Row],[Total]]+SamplingData[[#This Row],[Winning Candidate]]-SamplingData[[#This Row],[Candidate 8]])/(SamplingData[[#Totals],[Winning Candidate]]-SamplingData[[#Totals],[Candidate 8]]), 0)</f>
        <v>0</v>
      </c>
      <c r="X6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00">
        <f>MAX(SamplingData[[#This Row],[Error Bound (up) - Max. possible relative overstatement - Losing Candidate]:[Error Bound (up) - Max. possible relative overstatement - Candidate 12]])</f>
        <v>1.2563997864120362E-4</v>
      </c>
      <c r="AC669" s="100">
        <f>IF(SamplingData[[#This Row],[Max Error Bound (up)]] = 0,0,SamplingData[[#This Row],[Max Error Bound (up)]]/SamplingData[[#Totals],[Max Error Bound (up)]])</f>
        <v>5.3841598018629206E-5</v>
      </c>
      <c r="AD669" s="104">
        <f>SUM($AC$5:AC669)</f>
        <v>0.18314219566036755</v>
      </c>
      <c r="AE669" s="100" t="str" cm="1">
        <f t="array" ref="AE669">IF(SamplingData[[#This Row],[up/U Selection Probability]] = 0, "Zero", TEXT(SamplingData[[#This Row],[Lower Range]], REPT("0",LEN('General Info'!$B$42))) &amp; " - " &amp; TEXT(SamplingData[[#This Row],[Upper Range]], REPT("0",LEN('General Info'!$B$42))))</f>
        <v>18309 - 18313</v>
      </c>
      <c r="AF669" s="100">
        <f>SamplingData[[#This Row],[Upper Range]]-SamplingData[[#This Row],[Span]]</f>
        <v>18308.835406234892</v>
      </c>
      <c r="AG669" s="100">
        <f>IF(ISNUMBER('General Info'!$B$42), ((SamplingData[[#This Row],[up/U Selection Probability]]) * 'General Info'!$B$44) - 1, 0)</f>
        <v>4.3841598018629204</v>
      </c>
      <c r="AH669" s="100">
        <f>IF(ISNUMBER('General Info'!$B$42), (SamplingData[[#This Row],[Running (cumulative) sum]] * ('General Info'!$B$42 -'General Info'!$B$43 + 1)) + 'General Info'!$B$43 - 1, 0)</f>
        <v>18313.219566036754</v>
      </c>
      <c r="AI669" s="100" t="str">
        <f>IF(ISERROR(MATCH(SamplingData[[#This Row],[Batch by Type (p)]],SelectedPrecincts[Batch Name], 0)), "", INDEX(SelectedPrecincts[Draw], MATCH(SamplingData[[#This Row],[Batch by Type (p)]],SelectedPrecincts[Batch Name], 0)))</f>
        <v/>
      </c>
      <c r="AJ669" s="101">
        <f>IF(COUNTIF(SelectedPrecincts[Batch Name],SamplingData[[#This Row],[Batch by Type (p)]]) &lt;&gt; 0, COUNTIF(SelectedPrecincts[Batch Name],SamplingData[[#This Row],[Batch by Type (p)]]), 0)</f>
        <v>0</v>
      </c>
    </row>
    <row r="670" spans="1:36" ht="15" customHeight="1" x14ac:dyDescent="0.35">
      <c r="A670" s="98" t="s">
        <v>881</v>
      </c>
      <c r="B670" s="98">
        <v>6</v>
      </c>
      <c r="C670" s="98">
        <v>0</v>
      </c>
      <c r="D670" s="93"/>
      <c r="E670" s="93"/>
      <c r="F670" s="93"/>
      <c r="G670" s="97"/>
      <c r="H670" s="97"/>
      <c r="I670" s="93"/>
      <c r="J670" s="93"/>
      <c r="K670" s="93"/>
      <c r="L670" s="93"/>
      <c r="M670" s="93"/>
      <c r="N670" s="98">
        <v>0</v>
      </c>
      <c r="O670" s="98">
        <v>2</v>
      </c>
      <c r="P670" s="99">
        <f>SUM(SamplingData[[#This Row],[Winning Candidate]:[Under Votes]])</f>
        <v>8</v>
      </c>
      <c r="Q670"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670" s="100">
        <f>IF(AND(SamplingData[[#This Row],[Total]]&lt;&gt; 0, NOT(ISBLANK(SamplingData[[#This Row],[Candidate 3]]))),(SamplingData[[#This Row],[Total]]+SamplingData[[#This Row],[Winning Candidate]]-SamplingData[[#This Row],[Candidate 3]])/(SamplingData[[#Totals],[Winning Candidate]]-SamplingData[[#Totals],[Candidate 3]]), 0)</f>
        <v>0</v>
      </c>
      <c r="S670" s="100">
        <f>IF(AND(SamplingData[[#This Row],[Total]]&lt;&gt; 0, NOT(ISBLANK(SamplingData[[#This Row],[Candidate 4]]))),(SamplingData[[#This Row],[Total]]+SamplingData[[#This Row],[Winning Candidate]]-SamplingData[[#This Row],[Candidate 4]])/(SamplingData[[#Totals],[Winning Candidate]]-SamplingData[[#Totals],[Candidate 4]]), 0)</f>
        <v>0</v>
      </c>
      <c r="T670" s="100">
        <f>IF(AND(SamplingData[[#This Row],[Total]]&lt;&gt; 0, NOT(ISBLANK(SamplingData[[#This Row],[Candidate 5]]))),(SamplingData[[#This Row],[Total]]+SamplingData[[#This Row],[Winning Candidate]]-SamplingData[[#This Row],[Candidate 5]])/(SamplingData[[#Totals],[Winning Candidate]]-SamplingData[[#Totals],[Candidate 5]]), 0)</f>
        <v>0</v>
      </c>
      <c r="U670" s="100">
        <f>IF(AND(SamplingData[[#This Row],[Total]]&lt;&gt; 0, NOT(ISBLANK(SamplingData[[#This Row],[Candidate 6]]))),(SamplingData[[#This Row],[Total]]+SamplingData[[#This Row],[Losing Candidate]]-SamplingData[[#This Row],[Candidate 6]])/(SamplingData[[#Totals],[Winning Candidate]]-SamplingData[[#Totals],[Candidate 6]]), 0)</f>
        <v>0</v>
      </c>
      <c r="V670" s="100">
        <f>IF(AND(SamplingData[[#This Row],[Total]]&lt;&gt; 0, NOT(ISBLANK(SamplingData[[#This Row],[Candidate 7]]))),(SamplingData[[#This Row],[Total]]+SamplingData[[#This Row],[Winning Candidate]]-SamplingData[[#This Row],[Candidate 7]])/(SamplingData[[#Totals],[Winning Candidate]]-SamplingData[[#Totals],[Candidate 7]]), 0)</f>
        <v>0</v>
      </c>
      <c r="W670" s="100">
        <f>IF(AND(SamplingData[[#This Row],[Total]]&lt;&gt; 0, NOT(ISBLANK(SamplingData[[#This Row],[Candidate 8]]))),(SamplingData[[#This Row],[Total]]+SamplingData[[#This Row],[Winning Candidate]]-SamplingData[[#This Row],[Candidate 8]])/(SamplingData[[#Totals],[Winning Candidate]]-SamplingData[[#Totals],[Candidate 8]]), 0)</f>
        <v>0</v>
      </c>
      <c r="X6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00">
        <f>MAX(SamplingData[[#This Row],[Error Bound (up) - Max. possible relative overstatement - Losing Candidate]:[Error Bound (up) - Max. possible relative overstatement - Candidate 12]])</f>
        <v>4.3973992524421271E-4</v>
      </c>
      <c r="AC670" s="100">
        <f>IF(SamplingData[[#This Row],[Max Error Bound (up)]] = 0,0,SamplingData[[#This Row],[Max Error Bound (up)]]/SamplingData[[#Totals],[Max Error Bound (up)]])</f>
        <v>1.8844559306520223E-4</v>
      </c>
      <c r="AD670" s="104">
        <f>SUM($AC$5:AC670)</f>
        <v>0.18333064125343274</v>
      </c>
      <c r="AE670" s="100" t="str" cm="1">
        <f t="array" ref="AE670">IF(SamplingData[[#This Row],[up/U Selection Probability]] = 0, "Zero", TEXT(SamplingData[[#This Row],[Lower Range]], REPT("0",LEN('General Info'!$B$42))) &amp; " - " &amp; TEXT(SamplingData[[#This Row],[Upper Range]], REPT("0",LEN('General Info'!$B$42))))</f>
        <v>18314 - 18332</v>
      </c>
      <c r="AF670" s="100">
        <f>SamplingData[[#This Row],[Upper Range]]-SamplingData[[#This Row],[Span]]</f>
        <v>18314.219566036754</v>
      </c>
      <c r="AG670" s="100">
        <f>IF(ISNUMBER('General Info'!$B$42), ((SamplingData[[#This Row],[up/U Selection Probability]]) * 'General Info'!$B$44) - 1, 0)</f>
        <v>17.844559306520225</v>
      </c>
      <c r="AH670" s="100">
        <f>IF(ISNUMBER('General Info'!$B$42), (SamplingData[[#This Row],[Running (cumulative) sum]] * ('General Info'!$B$42 -'General Info'!$B$43 + 1)) + 'General Info'!$B$43 - 1, 0)</f>
        <v>18332.064125343273</v>
      </c>
      <c r="AI670" s="100" t="str">
        <f>IF(ISERROR(MATCH(SamplingData[[#This Row],[Batch by Type (p)]],SelectedPrecincts[Batch Name], 0)), "", INDEX(SelectedPrecincts[Draw], MATCH(SamplingData[[#This Row],[Batch by Type (p)]],SelectedPrecincts[Batch Name], 0)))</f>
        <v/>
      </c>
      <c r="AJ670" s="101">
        <f>IF(COUNTIF(SelectedPrecincts[Batch Name],SamplingData[[#This Row],[Batch by Type (p)]]) &lt;&gt; 0, COUNTIF(SelectedPrecincts[Batch Name],SamplingData[[#This Row],[Batch by Type (p)]]), 0)</f>
        <v>0</v>
      </c>
    </row>
    <row r="671" spans="1:36" ht="15" customHeight="1" x14ac:dyDescent="0.35">
      <c r="A671" s="98" t="s">
        <v>882</v>
      </c>
      <c r="B671" s="98">
        <v>8</v>
      </c>
      <c r="C671" s="98">
        <v>3</v>
      </c>
      <c r="D671" s="93"/>
      <c r="E671" s="93"/>
      <c r="F671" s="93"/>
      <c r="G671" s="97"/>
      <c r="H671" s="97"/>
      <c r="I671" s="93"/>
      <c r="J671" s="93"/>
      <c r="K671" s="93"/>
      <c r="L671" s="93"/>
      <c r="M671" s="93"/>
      <c r="N671" s="98">
        <v>0</v>
      </c>
      <c r="O671" s="98">
        <v>0</v>
      </c>
      <c r="P671" s="99">
        <f>SUM(SamplingData[[#This Row],[Winning Candidate]:[Under Votes]])</f>
        <v>11</v>
      </c>
      <c r="Q671"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671" s="100">
        <f>IF(AND(SamplingData[[#This Row],[Total]]&lt;&gt; 0, NOT(ISBLANK(SamplingData[[#This Row],[Candidate 3]]))),(SamplingData[[#This Row],[Total]]+SamplingData[[#This Row],[Winning Candidate]]-SamplingData[[#This Row],[Candidate 3]])/(SamplingData[[#Totals],[Winning Candidate]]-SamplingData[[#Totals],[Candidate 3]]), 0)</f>
        <v>0</v>
      </c>
      <c r="S671" s="100">
        <f>IF(AND(SamplingData[[#This Row],[Total]]&lt;&gt; 0, NOT(ISBLANK(SamplingData[[#This Row],[Candidate 4]]))),(SamplingData[[#This Row],[Total]]+SamplingData[[#This Row],[Winning Candidate]]-SamplingData[[#This Row],[Candidate 4]])/(SamplingData[[#Totals],[Winning Candidate]]-SamplingData[[#Totals],[Candidate 4]]), 0)</f>
        <v>0</v>
      </c>
      <c r="T671" s="100">
        <f>IF(AND(SamplingData[[#This Row],[Total]]&lt;&gt; 0, NOT(ISBLANK(SamplingData[[#This Row],[Candidate 5]]))),(SamplingData[[#This Row],[Total]]+SamplingData[[#This Row],[Winning Candidate]]-SamplingData[[#This Row],[Candidate 5]])/(SamplingData[[#Totals],[Winning Candidate]]-SamplingData[[#Totals],[Candidate 5]]), 0)</f>
        <v>0</v>
      </c>
      <c r="U671" s="100">
        <f>IF(AND(SamplingData[[#This Row],[Total]]&lt;&gt; 0, NOT(ISBLANK(SamplingData[[#This Row],[Candidate 6]]))),(SamplingData[[#This Row],[Total]]+SamplingData[[#This Row],[Losing Candidate]]-SamplingData[[#This Row],[Candidate 6]])/(SamplingData[[#Totals],[Winning Candidate]]-SamplingData[[#Totals],[Candidate 6]]), 0)</f>
        <v>0</v>
      </c>
      <c r="V671" s="100">
        <f>IF(AND(SamplingData[[#This Row],[Total]]&lt;&gt; 0, NOT(ISBLANK(SamplingData[[#This Row],[Candidate 7]]))),(SamplingData[[#This Row],[Total]]+SamplingData[[#This Row],[Winning Candidate]]-SamplingData[[#This Row],[Candidate 7]])/(SamplingData[[#Totals],[Winning Candidate]]-SamplingData[[#Totals],[Candidate 7]]), 0)</f>
        <v>0</v>
      </c>
      <c r="W671" s="100">
        <f>IF(AND(SamplingData[[#This Row],[Total]]&lt;&gt; 0, NOT(ISBLANK(SamplingData[[#This Row],[Candidate 8]]))),(SamplingData[[#This Row],[Total]]+SamplingData[[#This Row],[Winning Candidate]]-SamplingData[[#This Row],[Candidate 8]])/(SamplingData[[#Totals],[Winning Candidate]]-SamplingData[[#Totals],[Candidate 8]]), 0)</f>
        <v>0</v>
      </c>
      <c r="X6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00">
        <f>MAX(SamplingData[[#This Row],[Error Bound (up) - Max. possible relative overstatement - Losing Candidate]:[Error Bound (up) - Max. possible relative overstatement - Candidate 12]])</f>
        <v>5.0255991456481448E-4</v>
      </c>
      <c r="AC671" s="100">
        <f>IF(SamplingData[[#This Row],[Max Error Bound (up)]] = 0,0,SamplingData[[#This Row],[Max Error Bound (up)]]/SamplingData[[#Totals],[Max Error Bound (up)]])</f>
        <v>2.1536639207451683E-4</v>
      </c>
      <c r="AD671" s="104">
        <f>SUM($AC$5:AC671)</f>
        <v>0.18354600764550724</v>
      </c>
      <c r="AE671" s="100" t="str" cm="1">
        <f t="array" ref="AE671">IF(SamplingData[[#This Row],[up/U Selection Probability]] = 0, "Zero", TEXT(SamplingData[[#This Row],[Lower Range]], REPT("0",LEN('General Info'!$B$42))) &amp; " - " &amp; TEXT(SamplingData[[#This Row],[Upper Range]], REPT("0",LEN('General Info'!$B$42))))</f>
        <v>18333 - 18354</v>
      </c>
      <c r="AF671" s="100">
        <f>SamplingData[[#This Row],[Upper Range]]-SamplingData[[#This Row],[Span]]</f>
        <v>18333.064125343273</v>
      </c>
      <c r="AG671" s="100">
        <f>IF(ISNUMBER('General Info'!$B$42), ((SamplingData[[#This Row],[up/U Selection Probability]]) * 'General Info'!$B$44) - 1, 0)</f>
        <v>20.536639207451682</v>
      </c>
      <c r="AH671" s="100">
        <f>IF(ISNUMBER('General Info'!$B$42), (SamplingData[[#This Row],[Running (cumulative) sum]] * ('General Info'!$B$42 -'General Info'!$B$43 + 1)) + 'General Info'!$B$43 - 1, 0)</f>
        <v>18353.600764550723</v>
      </c>
      <c r="AI671" s="100" t="str">
        <f>IF(ISERROR(MATCH(SamplingData[[#This Row],[Batch by Type (p)]],SelectedPrecincts[Batch Name], 0)), "", INDEX(SelectedPrecincts[Draw], MATCH(SamplingData[[#This Row],[Batch by Type (p)]],SelectedPrecincts[Batch Name], 0)))</f>
        <v/>
      </c>
      <c r="AJ671" s="101">
        <f>IF(COUNTIF(SelectedPrecincts[Batch Name],SamplingData[[#This Row],[Batch by Type (p)]]) &lt;&gt; 0, COUNTIF(SelectedPrecincts[Batch Name],SamplingData[[#This Row],[Batch by Type (p)]]), 0)</f>
        <v>0</v>
      </c>
    </row>
    <row r="672" spans="1:36" ht="15" customHeight="1" x14ac:dyDescent="0.35">
      <c r="A672" s="98" t="s">
        <v>883</v>
      </c>
      <c r="B672" s="98">
        <v>3</v>
      </c>
      <c r="C672" s="98">
        <v>1</v>
      </c>
      <c r="D672" s="93"/>
      <c r="E672" s="93"/>
      <c r="F672" s="93"/>
      <c r="G672" s="97"/>
      <c r="H672" s="97"/>
      <c r="I672" s="93"/>
      <c r="J672" s="93"/>
      <c r="K672" s="93"/>
      <c r="L672" s="93"/>
      <c r="M672" s="93"/>
      <c r="N672" s="98">
        <v>0</v>
      </c>
      <c r="O672" s="98">
        <v>0</v>
      </c>
      <c r="P672" s="99">
        <f>SUM(SamplingData[[#This Row],[Winning Candidate]:[Under Votes]])</f>
        <v>4</v>
      </c>
      <c r="Q672"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672" s="100">
        <f>IF(AND(SamplingData[[#This Row],[Total]]&lt;&gt; 0, NOT(ISBLANK(SamplingData[[#This Row],[Candidate 3]]))),(SamplingData[[#This Row],[Total]]+SamplingData[[#This Row],[Winning Candidate]]-SamplingData[[#This Row],[Candidate 3]])/(SamplingData[[#Totals],[Winning Candidate]]-SamplingData[[#Totals],[Candidate 3]]), 0)</f>
        <v>0</v>
      </c>
      <c r="S672" s="100">
        <f>IF(AND(SamplingData[[#This Row],[Total]]&lt;&gt; 0, NOT(ISBLANK(SamplingData[[#This Row],[Candidate 4]]))),(SamplingData[[#This Row],[Total]]+SamplingData[[#This Row],[Winning Candidate]]-SamplingData[[#This Row],[Candidate 4]])/(SamplingData[[#Totals],[Winning Candidate]]-SamplingData[[#Totals],[Candidate 4]]), 0)</f>
        <v>0</v>
      </c>
      <c r="T672" s="100">
        <f>IF(AND(SamplingData[[#This Row],[Total]]&lt;&gt; 0, NOT(ISBLANK(SamplingData[[#This Row],[Candidate 5]]))),(SamplingData[[#This Row],[Total]]+SamplingData[[#This Row],[Winning Candidate]]-SamplingData[[#This Row],[Candidate 5]])/(SamplingData[[#Totals],[Winning Candidate]]-SamplingData[[#Totals],[Candidate 5]]), 0)</f>
        <v>0</v>
      </c>
      <c r="U672" s="100">
        <f>IF(AND(SamplingData[[#This Row],[Total]]&lt;&gt; 0, NOT(ISBLANK(SamplingData[[#This Row],[Candidate 6]]))),(SamplingData[[#This Row],[Total]]+SamplingData[[#This Row],[Losing Candidate]]-SamplingData[[#This Row],[Candidate 6]])/(SamplingData[[#Totals],[Winning Candidate]]-SamplingData[[#Totals],[Candidate 6]]), 0)</f>
        <v>0</v>
      </c>
      <c r="V672" s="100">
        <f>IF(AND(SamplingData[[#This Row],[Total]]&lt;&gt; 0, NOT(ISBLANK(SamplingData[[#This Row],[Candidate 7]]))),(SamplingData[[#This Row],[Total]]+SamplingData[[#This Row],[Winning Candidate]]-SamplingData[[#This Row],[Candidate 7]])/(SamplingData[[#Totals],[Winning Candidate]]-SamplingData[[#Totals],[Candidate 7]]), 0)</f>
        <v>0</v>
      </c>
      <c r="W672" s="100">
        <f>IF(AND(SamplingData[[#This Row],[Total]]&lt;&gt; 0, NOT(ISBLANK(SamplingData[[#This Row],[Candidate 8]]))),(SamplingData[[#This Row],[Total]]+SamplingData[[#This Row],[Winning Candidate]]-SamplingData[[#This Row],[Candidate 8]])/(SamplingData[[#Totals],[Winning Candidate]]-SamplingData[[#Totals],[Candidate 8]]), 0)</f>
        <v>0</v>
      </c>
      <c r="X6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00">
        <f>MAX(SamplingData[[#This Row],[Error Bound (up) - Max. possible relative overstatement - Losing Candidate]:[Error Bound (up) - Max. possible relative overstatement - Candidate 12]])</f>
        <v>1.8845996796180544E-4</v>
      </c>
      <c r="AC672" s="100">
        <f>IF(SamplingData[[#This Row],[Max Error Bound (up)]] = 0,0,SamplingData[[#This Row],[Max Error Bound (up)]]/SamplingData[[#Totals],[Max Error Bound (up)]])</f>
        <v>8.0762397027943816E-5</v>
      </c>
      <c r="AD672" s="104">
        <f>SUM($AC$5:AC672)</f>
        <v>0.18362677004253519</v>
      </c>
      <c r="AE672" s="100" t="str" cm="1">
        <f t="array" ref="AE672">IF(SamplingData[[#This Row],[up/U Selection Probability]] = 0, "Zero", TEXT(SamplingData[[#This Row],[Lower Range]], REPT("0",LEN('General Info'!$B$42))) &amp; " - " &amp; TEXT(SamplingData[[#This Row],[Upper Range]], REPT("0",LEN('General Info'!$B$42))))</f>
        <v>18355 - 18362</v>
      </c>
      <c r="AF672" s="100">
        <f>SamplingData[[#This Row],[Upper Range]]-SamplingData[[#This Row],[Span]]</f>
        <v>18354.600764550727</v>
      </c>
      <c r="AG672" s="100">
        <f>IF(ISNUMBER('General Info'!$B$42), ((SamplingData[[#This Row],[up/U Selection Probability]]) * 'General Info'!$B$44) - 1, 0)</f>
        <v>7.076239702794382</v>
      </c>
      <c r="AH672" s="100">
        <f>IF(ISNUMBER('General Info'!$B$42), (SamplingData[[#This Row],[Running (cumulative) sum]] * ('General Info'!$B$42 -'General Info'!$B$43 + 1)) + 'General Info'!$B$43 - 1, 0)</f>
        <v>18361.677004253521</v>
      </c>
      <c r="AI672" s="100" t="str">
        <f>IF(ISERROR(MATCH(SamplingData[[#This Row],[Batch by Type (p)]],SelectedPrecincts[Batch Name], 0)), "", INDEX(SelectedPrecincts[Draw], MATCH(SamplingData[[#This Row],[Batch by Type (p)]],SelectedPrecincts[Batch Name], 0)))</f>
        <v/>
      </c>
      <c r="AJ672" s="101">
        <f>IF(COUNTIF(SelectedPrecincts[Batch Name],SamplingData[[#This Row],[Batch by Type (p)]]) &lt;&gt; 0, COUNTIF(SelectedPrecincts[Batch Name],SamplingData[[#This Row],[Batch by Type (p)]]), 0)</f>
        <v>0</v>
      </c>
    </row>
    <row r="673" spans="1:36" ht="15" customHeight="1" x14ac:dyDescent="0.35">
      <c r="A673" s="98" t="s">
        <v>884</v>
      </c>
      <c r="B673" s="98">
        <v>11</v>
      </c>
      <c r="C673" s="98">
        <v>1</v>
      </c>
      <c r="D673" s="93"/>
      <c r="E673" s="93"/>
      <c r="F673" s="93"/>
      <c r="G673" s="97"/>
      <c r="H673" s="97"/>
      <c r="I673" s="93"/>
      <c r="J673" s="93"/>
      <c r="K673" s="93"/>
      <c r="L673" s="93"/>
      <c r="M673" s="93"/>
      <c r="N673" s="98">
        <v>0</v>
      </c>
      <c r="O673" s="98">
        <v>1</v>
      </c>
      <c r="P673" s="99">
        <f>SUM(SamplingData[[#This Row],[Winning Candidate]:[Under Votes]])</f>
        <v>13</v>
      </c>
      <c r="Q673" s="100">
        <f>IF(AND(SamplingData[[#This Row],[Total]]&lt;&gt; 0, NOT(ISBLANK(SamplingData[[#This Row],[Losing Candidate]]))),(SamplingData[[#This Row],[Total]]+SamplingData[[#This Row],[Winning Candidate]]-SamplingData[[#This Row],[Losing Candidate]])/(SamplingData[[#Totals],[Winning Candidate]]-SamplingData[[#Totals],[Losing Candidate]]), 0)</f>
        <v>7.2242987718692088E-4</v>
      </c>
      <c r="R673" s="100">
        <f>IF(AND(SamplingData[[#This Row],[Total]]&lt;&gt; 0, NOT(ISBLANK(SamplingData[[#This Row],[Candidate 3]]))),(SamplingData[[#This Row],[Total]]+SamplingData[[#This Row],[Winning Candidate]]-SamplingData[[#This Row],[Candidate 3]])/(SamplingData[[#Totals],[Winning Candidate]]-SamplingData[[#Totals],[Candidate 3]]), 0)</f>
        <v>0</v>
      </c>
      <c r="S673" s="100">
        <f>IF(AND(SamplingData[[#This Row],[Total]]&lt;&gt; 0, NOT(ISBLANK(SamplingData[[#This Row],[Candidate 4]]))),(SamplingData[[#This Row],[Total]]+SamplingData[[#This Row],[Winning Candidate]]-SamplingData[[#This Row],[Candidate 4]])/(SamplingData[[#Totals],[Winning Candidate]]-SamplingData[[#Totals],[Candidate 4]]), 0)</f>
        <v>0</v>
      </c>
      <c r="T673" s="100">
        <f>IF(AND(SamplingData[[#This Row],[Total]]&lt;&gt; 0, NOT(ISBLANK(SamplingData[[#This Row],[Candidate 5]]))),(SamplingData[[#This Row],[Total]]+SamplingData[[#This Row],[Winning Candidate]]-SamplingData[[#This Row],[Candidate 5]])/(SamplingData[[#Totals],[Winning Candidate]]-SamplingData[[#Totals],[Candidate 5]]), 0)</f>
        <v>0</v>
      </c>
      <c r="U673" s="100">
        <f>IF(AND(SamplingData[[#This Row],[Total]]&lt;&gt; 0, NOT(ISBLANK(SamplingData[[#This Row],[Candidate 6]]))),(SamplingData[[#This Row],[Total]]+SamplingData[[#This Row],[Losing Candidate]]-SamplingData[[#This Row],[Candidate 6]])/(SamplingData[[#Totals],[Winning Candidate]]-SamplingData[[#Totals],[Candidate 6]]), 0)</f>
        <v>0</v>
      </c>
      <c r="V673" s="100">
        <f>IF(AND(SamplingData[[#This Row],[Total]]&lt;&gt; 0, NOT(ISBLANK(SamplingData[[#This Row],[Candidate 7]]))),(SamplingData[[#This Row],[Total]]+SamplingData[[#This Row],[Winning Candidate]]-SamplingData[[#This Row],[Candidate 7]])/(SamplingData[[#Totals],[Winning Candidate]]-SamplingData[[#Totals],[Candidate 7]]), 0)</f>
        <v>0</v>
      </c>
      <c r="W673" s="100">
        <f>IF(AND(SamplingData[[#This Row],[Total]]&lt;&gt; 0, NOT(ISBLANK(SamplingData[[#This Row],[Candidate 8]]))),(SamplingData[[#This Row],[Total]]+SamplingData[[#This Row],[Winning Candidate]]-SamplingData[[#This Row],[Candidate 8]])/(SamplingData[[#Totals],[Winning Candidate]]-SamplingData[[#Totals],[Candidate 8]]), 0)</f>
        <v>0</v>
      </c>
      <c r="X6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00">
        <f>MAX(SamplingData[[#This Row],[Error Bound (up) - Max. possible relative overstatement - Losing Candidate]:[Error Bound (up) - Max. possible relative overstatement - Candidate 12]])</f>
        <v>7.2242987718692088E-4</v>
      </c>
      <c r="AC673" s="100">
        <f>IF(SamplingData[[#This Row],[Max Error Bound (up)]] = 0,0,SamplingData[[#This Row],[Max Error Bound (up)]]/SamplingData[[#Totals],[Max Error Bound (up)]])</f>
        <v>3.0958918860711797E-4</v>
      </c>
      <c r="AD673" s="104">
        <f>SUM($AC$5:AC673)</f>
        <v>0.18393635923114232</v>
      </c>
      <c r="AE673" s="100" t="str" cm="1">
        <f t="array" ref="AE673">IF(SamplingData[[#This Row],[up/U Selection Probability]] = 0, "Zero", TEXT(SamplingData[[#This Row],[Lower Range]], REPT("0",LEN('General Info'!$B$42))) &amp; " - " &amp; TEXT(SamplingData[[#This Row],[Upper Range]], REPT("0",LEN('General Info'!$B$42))))</f>
        <v>18363 - 18393</v>
      </c>
      <c r="AF673" s="100">
        <f>SamplingData[[#This Row],[Upper Range]]-SamplingData[[#This Row],[Span]]</f>
        <v>18362.677004253517</v>
      </c>
      <c r="AG673" s="100">
        <f>IF(ISNUMBER('General Info'!$B$42), ((SamplingData[[#This Row],[up/U Selection Probability]]) * 'General Info'!$B$44) - 1, 0)</f>
        <v>29.958918860711798</v>
      </c>
      <c r="AH673" s="100">
        <f>IF(ISNUMBER('General Info'!$B$42), (SamplingData[[#This Row],[Running (cumulative) sum]] * ('General Info'!$B$42 -'General Info'!$B$43 + 1)) + 'General Info'!$B$43 - 1, 0)</f>
        <v>18392.635923114231</v>
      </c>
      <c r="AI673" s="100" t="str">
        <f>IF(ISERROR(MATCH(SamplingData[[#This Row],[Batch by Type (p)]],SelectedPrecincts[Batch Name], 0)), "", INDEX(SelectedPrecincts[Draw], MATCH(SamplingData[[#This Row],[Batch by Type (p)]],SelectedPrecincts[Batch Name], 0)))</f>
        <v/>
      </c>
      <c r="AJ673" s="101">
        <f>IF(COUNTIF(SelectedPrecincts[Batch Name],SamplingData[[#This Row],[Batch by Type (p)]]) &lt;&gt; 0, COUNTIF(SelectedPrecincts[Batch Name],SamplingData[[#This Row],[Batch by Type (p)]]), 0)</f>
        <v>0</v>
      </c>
    </row>
    <row r="674" spans="1:36" ht="15" customHeight="1" x14ac:dyDescent="0.35">
      <c r="A674" s="98" t="s">
        <v>885</v>
      </c>
      <c r="B674" s="98">
        <v>35</v>
      </c>
      <c r="C674" s="98">
        <v>7</v>
      </c>
      <c r="D674" s="93"/>
      <c r="E674" s="93"/>
      <c r="F674" s="93"/>
      <c r="G674" s="97"/>
      <c r="H674" s="97"/>
      <c r="I674" s="93"/>
      <c r="J674" s="93"/>
      <c r="K674" s="93"/>
      <c r="L674" s="93"/>
      <c r="M674" s="93"/>
      <c r="N674" s="98">
        <v>0</v>
      </c>
      <c r="O674" s="98">
        <v>1</v>
      </c>
      <c r="P674" s="99">
        <f>SUM(SamplingData[[#This Row],[Winning Candidate]:[Under Votes]])</f>
        <v>43</v>
      </c>
      <c r="Q674" s="100">
        <f>IF(AND(SamplingData[[#This Row],[Total]]&lt;&gt; 0, NOT(ISBLANK(SamplingData[[#This Row],[Losing Candidate]]))),(SamplingData[[#This Row],[Total]]+SamplingData[[#This Row],[Winning Candidate]]-SamplingData[[#This Row],[Losing Candidate]])/(SamplingData[[#Totals],[Winning Candidate]]-SamplingData[[#Totals],[Losing Candidate]]), 0)</f>
        <v>2.2301096208813646E-3</v>
      </c>
      <c r="R674" s="100">
        <f>IF(AND(SamplingData[[#This Row],[Total]]&lt;&gt; 0, NOT(ISBLANK(SamplingData[[#This Row],[Candidate 3]]))),(SamplingData[[#This Row],[Total]]+SamplingData[[#This Row],[Winning Candidate]]-SamplingData[[#This Row],[Candidate 3]])/(SamplingData[[#Totals],[Winning Candidate]]-SamplingData[[#Totals],[Candidate 3]]), 0)</f>
        <v>0</v>
      </c>
      <c r="S674" s="100">
        <f>IF(AND(SamplingData[[#This Row],[Total]]&lt;&gt; 0, NOT(ISBLANK(SamplingData[[#This Row],[Candidate 4]]))),(SamplingData[[#This Row],[Total]]+SamplingData[[#This Row],[Winning Candidate]]-SamplingData[[#This Row],[Candidate 4]])/(SamplingData[[#Totals],[Winning Candidate]]-SamplingData[[#Totals],[Candidate 4]]), 0)</f>
        <v>0</v>
      </c>
      <c r="T674" s="100">
        <f>IF(AND(SamplingData[[#This Row],[Total]]&lt;&gt; 0, NOT(ISBLANK(SamplingData[[#This Row],[Candidate 5]]))),(SamplingData[[#This Row],[Total]]+SamplingData[[#This Row],[Winning Candidate]]-SamplingData[[#This Row],[Candidate 5]])/(SamplingData[[#Totals],[Winning Candidate]]-SamplingData[[#Totals],[Candidate 5]]), 0)</f>
        <v>0</v>
      </c>
      <c r="U674" s="100">
        <f>IF(AND(SamplingData[[#This Row],[Total]]&lt;&gt; 0, NOT(ISBLANK(SamplingData[[#This Row],[Candidate 6]]))),(SamplingData[[#This Row],[Total]]+SamplingData[[#This Row],[Losing Candidate]]-SamplingData[[#This Row],[Candidate 6]])/(SamplingData[[#Totals],[Winning Candidate]]-SamplingData[[#Totals],[Candidate 6]]), 0)</f>
        <v>0</v>
      </c>
      <c r="V674" s="100">
        <f>IF(AND(SamplingData[[#This Row],[Total]]&lt;&gt; 0, NOT(ISBLANK(SamplingData[[#This Row],[Candidate 7]]))),(SamplingData[[#This Row],[Total]]+SamplingData[[#This Row],[Winning Candidate]]-SamplingData[[#This Row],[Candidate 7]])/(SamplingData[[#Totals],[Winning Candidate]]-SamplingData[[#Totals],[Candidate 7]]), 0)</f>
        <v>0</v>
      </c>
      <c r="W674" s="100">
        <f>IF(AND(SamplingData[[#This Row],[Total]]&lt;&gt; 0, NOT(ISBLANK(SamplingData[[#This Row],[Candidate 8]]))),(SamplingData[[#This Row],[Total]]+SamplingData[[#This Row],[Winning Candidate]]-SamplingData[[#This Row],[Candidate 8]])/(SamplingData[[#Totals],[Winning Candidate]]-SamplingData[[#Totals],[Candidate 8]]), 0)</f>
        <v>0</v>
      </c>
      <c r="X6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00">
        <f>MAX(SamplingData[[#This Row],[Error Bound (up) - Max. possible relative overstatement - Losing Candidate]:[Error Bound (up) - Max. possible relative overstatement - Candidate 12]])</f>
        <v>2.2301096208813646E-3</v>
      </c>
      <c r="AC674" s="100">
        <f>IF(SamplingData[[#This Row],[Max Error Bound (up)]] = 0,0,SamplingData[[#This Row],[Max Error Bound (up)]]/SamplingData[[#Totals],[Max Error Bound (up)]])</f>
        <v>9.5568836483066861E-4</v>
      </c>
      <c r="AD674" s="104">
        <f>SUM($AC$5:AC674)</f>
        <v>0.184892047595973</v>
      </c>
      <c r="AE674" s="100" t="str" cm="1">
        <f t="array" ref="AE674">IF(SamplingData[[#This Row],[up/U Selection Probability]] = 0, "Zero", TEXT(SamplingData[[#This Row],[Lower Range]], REPT("0",LEN('General Info'!$B$42))) &amp; " - " &amp; TEXT(SamplingData[[#This Row],[Upper Range]], REPT("0",LEN('General Info'!$B$42))))</f>
        <v>18394 - 18488</v>
      </c>
      <c r="AF674" s="100">
        <f>SamplingData[[#This Row],[Upper Range]]-SamplingData[[#This Row],[Span]]</f>
        <v>18393.635923114231</v>
      </c>
      <c r="AG674" s="100">
        <f>IF(ISNUMBER('General Info'!$B$42), ((SamplingData[[#This Row],[up/U Selection Probability]]) * 'General Info'!$B$44) - 1, 0)</f>
        <v>94.56883648306686</v>
      </c>
      <c r="AH674" s="100">
        <f>IF(ISNUMBER('General Info'!$B$42), (SamplingData[[#This Row],[Running (cumulative) sum]] * ('General Info'!$B$42 -'General Info'!$B$43 + 1)) + 'General Info'!$B$43 - 1, 0)</f>
        <v>18488.204759597298</v>
      </c>
      <c r="AI674" s="100" t="str">
        <f>IF(ISERROR(MATCH(SamplingData[[#This Row],[Batch by Type (p)]],SelectedPrecincts[Batch Name], 0)), "", INDEX(SelectedPrecincts[Draw], MATCH(SamplingData[[#This Row],[Batch by Type (p)]],SelectedPrecincts[Batch Name], 0)))</f>
        <v/>
      </c>
      <c r="AJ674" s="101">
        <f>IF(COUNTIF(SelectedPrecincts[Batch Name],SamplingData[[#This Row],[Batch by Type (p)]]) &lt;&gt; 0, COUNTIF(SelectedPrecincts[Batch Name],SamplingData[[#This Row],[Batch by Type (p)]]), 0)</f>
        <v>0</v>
      </c>
    </row>
    <row r="675" spans="1:36" ht="15" customHeight="1" x14ac:dyDescent="0.35">
      <c r="A675" s="98" t="s">
        <v>886</v>
      </c>
      <c r="B675" s="98">
        <v>14</v>
      </c>
      <c r="C675" s="98">
        <v>4</v>
      </c>
      <c r="D675" s="93"/>
      <c r="E675" s="93"/>
      <c r="F675" s="93"/>
      <c r="G675" s="97"/>
      <c r="H675" s="97"/>
      <c r="I675" s="93"/>
      <c r="J675" s="93"/>
      <c r="K675" s="93"/>
      <c r="L675" s="93"/>
      <c r="M675" s="93"/>
      <c r="N675" s="98">
        <v>0</v>
      </c>
      <c r="O675" s="98">
        <v>0</v>
      </c>
      <c r="P675" s="99">
        <f>SUM(SamplingData[[#This Row],[Winning Candidate]:[Under Votes]])</f>
        <v>18</v>
      </c>
      <c r="Q675"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675" s="100">
        <f>IF(AND(SamplingData[[#This Row],[Total]]&lt;&gt; 0, NOT(ISBLANK(SamplingData[[#This Row],[Candidate 3]]))),(SamplingData[[#This Row],[Total]]+SamplingData[[#This Row],[Winning Candidate]]-SamplingData[[#This Row],[Candidate 3]])/(SamplingData[[#Totals],[Winning Candidate]]-SamplingData[[#Totals],[Candidate 3]]), 0)</f>
        <v>0</v>
      </c>
      <c r="S675" s="100">
        <f>IF(AND(SamplingData[[#This Row],[Total]]&lt;&gt; 0, NOT(ISBLANK(SamplingData[[#This Row],[Candidate 4]]))),(SamplingData[[#This Row],[Total]]+SamplingData[[#This Row],[Winning Candidate]]-SamplingData[[#This Row],[Candidate 4]])/(SamplingData[[#Totals],[Winning Candidate]]-SamplingData[[#Totals],[Candidate 4]]), 0)</f>
        <v>0</v>
      </c>
      <c r="T675" s="100">
        <f>IF(AND(SamplingData[[#This Row],[Total]]&lt;&gt; 0, NOT(ISBLANK(SamplingData[[#This Row],[Candidate 5]]))),(SamplingData[[#This Row],[Total]]+SamplingData[[#This Row],[Winning Candidate]]-SamplingData[[#This Row],[Candidate 5]])/(SamplingData[[#Totals],[Winning Candidate]]-SamplingData[[#Totals],[Candidate 5]]), 0)</f>
        <v>0</v>
      </c>
      <c r="U675" s="100">
        <f>IF(AND(SamplingData[[#This Row],[Total]]&lt;&gt; 0, NOT(ISBLANK(SamplingData[[#This Row],[Candidate 6]]))),(SamplingData[[#This Row],[Total]]+SamplingData[[#This Row],[Losing Candidate]]-SamplingData[[#This Row],[Candidate 6]])/(SamplingData[[#Totals],[Winning Candidate]]-SamplingData[[#Totals],[Candidate 6]]), 0)</f>
        <v>0</v>
      </c>
      <c r="V675" s="100">
        <f>IF(AND(SamplingData[[#This Row],[Total]]&lt;&gt; 0, NOT(ISBLANK(SamplingData[[#This Row],[Candidate 7]]))),(SamplingData[[#This Row],[Total]]+SamplingData[[#This Row],[Winning Candidate]]-SamplingData[[#This Row],[Candidate 7]])/(SamplingData[[#Totals],[Winning Candidate]]-SamplingData[[#Totals],[Candidate 7]]), 0)</f>
        <v>0</v>
      </c>
      <c r="W675" s="100">
        <f>IF(AND(SamplingData[[#This Row],[Total]]&lt;&gt; 0, NOT(ISBLANK(SamplingData[[#This Row],[Candidate 8]]))),(SamplingData[[#This Row],[Total]]+SamplingData[[#This Row],[Winning Candidate]]-SamplingData[[#This Row],[Candidate 8]])/(SamplingData[[#Totals],[Winning Candidate]]-SamplingData[[#Totals],[Candidate 8]]), 0)</f>
        <v>0</v>
      </c>
      <c r="X6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00">
        <f>MAX(SamplingData[[#This Row],[Error Bound (up) - Max. possible relative overstatement - Losing Candidate]:[Error Bound (up) - Max. possible relative overstatement - Candidate 12]])</f>
        <v>8.7947985048842541E-4</v>
      </c>
      <c r="AC675" s="100">
        <f>IF(SamplingData[[#This Row],[Max Error Bound (up)]] = 0,0,SamplingData[[#This Row],[Max Error Bound (up)]]/SamplingData[[#Totals],[Max Error Bound (up)]])</f>
        <v>3.7689118613040446E-4</v>
      </c>
      <c r="AD675" s="104">
        <f>SUM($AC$5:AC675)</f>
        <v>0.1852689387821034</v>
      </c>
      <c r="AE675" s="100" t="str" cm="1">
        <f t="array" ref="AE675">IF(SamplingData[[#This Row],[up/U Selection Probability]] = 0, "Zero", TEXT(SamplingData[[#This Row],[Lower Range]], REPT("0",LEN('General Info'!$B$42))) &amp; " - " &amp; TEXT(SamplingData[[#This Row],[Upper Range]], REPT("0",LEN('General Info'!$B$42))))</f>
        <v>18489 - 18526</v>
      </c>
      <c r="AF675" s="100">
        <f>SamplingData[[#This Row],[Upper Range]]-SamplingData[[#This Row],[Span]]</f>
        <v>18489.204759597298</v>
      </c>
      <c r="AG675" s="100">
        <f>IF(ISNUMBER('General Info'!$B$42), ((SamplingData[[#This Row],[up/U Selection Probability]]) * 'General Info'!$B$44) - 1, 0)</f>
        <v>36.689118613040449</v>
      </c>
      <c r="AH675" s="100">
        <f>IF(ISNUMBER('General Info'!$B$42), (SamplingData[[#This Row],[Running (cumulative) sum]] * ('General Info'!$B$42 -'General Info'!$B$43 + 1)) + 'General Info'!$B$43 - 1, 0)</f>
        <v>18525.89387821034</v>
      </c>
      <c r="AI675" s="100" t="str">
        <f>IF(ISERROR(MATCH(SamplingData[[#This Row],[Batch by Type (p)]],SelectedPrecincts[Batch Name], 0)), "", INDEX(SelectedPrecincts[Draw], MATCH(SamplingData[[#This Row],[Batch by Type (p)]],SelectedPrecincts[Batch Name], 0)))</f>
        <v/>
      </c>
      <c r="AJ675" s="101">
        <f>IF(COUNTIF(SelectedPrecincts[Batch Name],SamplingData[[#This Row],[Batch by Type (p)]]) &lt;&gt; 0, COUNTIF(SelectedPrecincts[Batch Name],SamplingData[[#This Row],[Batch by Type (p)]]), 0)</f>
        <v>0</v>
      </c>
    </row>
    <row r="676" spans="1:36" ht="15" customHeight="1" x14ac:dyDescent="0.35">
      <c r="A676" s="98" t="s">
        <v>887</v>
      </c>
      <c r="B676" s="98">
        <v>2</v>
      </c>
      <c r="C676" s="98">
        <v>0</v>
      </c>
      <c r="D676" s="93"/>
      <c r="E676" s="93"/>
      <c r="F676" s="93"/>
      <c r="G676" s="97"/>
      <c r="H676" s="97"/>
      <c r="I676" s="93"/>
      <c r="J676" s="93"/>
      <c r="K676" s="93"/>
      <c r="L676" s="93"/>
      <c r="M676" s="93"/>
      <c r="N676" s="98">
        <v>0</v>
      </c>
      <c r="O676" s="98">
        <v>0</v>
      </c>
      <c r="P676" s="99">
        <f>SUM(SamplingData[[#This Row],[Winning Candidate]:[Under Votes]])</f>
        <v>2</v>
      </c>
      <c r="Q676"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76" s="100">
        <f>IF(AND(SamplingData[[#This Row],[Total]]&lt;&gt; 0, NOT(ISBLANK(SamplingData[[#This Row],[Candidate 3]]))),(SamplingData[[#This Row],[Total]]+SamplingData[[#This Row],[Winning Candidate]]-SamplingData[[#This Row],[Candidate 3]])/(SamplingData[[#Totals],[Winning Candidate]]-SamplingData[[#Totals],[Candidate 3]]), 0)</f>
        <v>0</v>
      </c>
      <c r="S676" s="100">
        <f>IF(AND(SamplingData[[#This Row],[Total]]&lt;&gt; 0, NOT(ISBLANK(SamplingData[[#This Row],[Candidate 4]]))),(SamplingData[[#This Row],[Total]]+SamplingData[[#This Row],[Winning Candidate]]-SamplingData[[#This Row],[Candidate 4]])/(SamplingData[[#Totals],[Winning Candidate]]-SamplingData[[#Totals],[Candidate 4]]), 0)</f>
        <v>0</v>
      </c>
      <c r="T676" s="100">
        <f>IF(AND(SamplingData[[#This Row],[Total]]&lt;&gt; 0, NOT(ISBLANK(SamplingData[[#This Row],[Candidate 5]]))),(SamplingData[[#This Row],[Total]]+SamplingData[[#This Row],[Winning Candidate]]-SamplingData[[#This Row],[Candidate 5]])/(SamplingData[[#Totals],[Winning Candidate]]-SamplingData[[#Totals],[Candidate 5]]), 0)</f>
        <v>0</v>
      </c>
      <c r="U676" s="100">
        <f>IF(AND(SamplingData[[#This Row],[Total]]&lt;&gt; 0, NOT(ISBLANK(SamplingData[[#This Row],[Candidate 6]]))),(SamplingData[[#This Row],[Total]]+SamplingData[[#This Row],[Losing Candidate]]-SamplingData[[#This Row],[Candidate 6]])/(SamplingData[[#Totals],[Winning Candidate]]-SamplingData[[#Totals],[Candidate 6]]), 0)</f>
        <v>0</v>
      </c>
      <c r="V676" s="100">
        <f>IF(AND(SamplingData[[#This Row],[Total]]&lt;&gt; 0, NOT(ISBLANK(SamplingData[[#This Row],[Candidate 7]]))),(SamplingData[[#This Row],[Total]]+SamplingData[[#This Row],[Winning Candidate]]-SamplingData[[#This Row],[Candidate 7]])/(SamplingData[[#Totals],[Winning Candidate]]-SamplingData[[#Totals],[Candidate 7]]), 0)</f>
        <v>0</v>
      </c>
      <c r="W676" s="100">
        <f>IF(AND(SamplingData[[#This Row],[Total]]&lt;&gt; 0, NOT(ISBLANK(SamplingData[[#This Row],[Candidate 8]]))),(SamplingData[[#This Row],[Total]]+SamplingData[[#This Row],[Winning Candidate]]-SamplingData[[#This Row],[Candidate 8]])/(SamplingData[[#Totals],[Winning Candidate]]-SamplingData[[#Totals],[Candidate 8]]), 0)</f>
        <v>0</v>
      </c>
      <c r="X6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00">
        <f>MAX(SamplingData[[#This Row],[Error Bound (up) - Max. possible relative overstatement - Losing Candidate]:[Error Bound (up) - Max. possible relative overstatement - Candidate 12]])</f>
        <v>1.2563997864120362E-4</v>
      </c>
      <c r="AC676" s="100">
        <f>IF(SamplingData[[#This Row],[Max Error Bound (up)]] = 0,0,SamplingData[[#This Row],[Max Error Bound (up)]]/SamplingData[[#Totals],[Max Error Bound (up)]])</f>
        <v>5.3841598018629206E-5</v>
      </c>
      <c r="AD676" s="104">
        <f>SUM($AC$5:AC676)</f>
        <v>0.18532278038012204</v>
      </c>
      <c r="AE676" s="100" t="str" cm="1">
        <f t="array" ref="AE676">IF(SamplingData[[#This Row],[up/U Selection Probability]] = 0, "Zero", TEXT(SamplingData[[#This Row],[Lower Range]], REPT("0",LEN('General Info'!$B$42))) &amp; " - " &amp; TEXT(SamplingData[[#This Row],[Upper Range]], REPT("0",LEN('General Info'!$B$42))))</f>
        <v>18527 - 18531</v>
      </c>
      <c r="AF676" s="100">
        <f>SamplingData[[#This Row],[Upper Range]]-SamplingData[[#This Row],[Span]]</f>
        <v>18526.89387821034</v>
      </c>
      <c r="AG676" s="100">
        <f>IF(ISNUMBER('General Info'!$B$42), ((SamplingData[[#This Row],[up/U Selection Probability]]) * 'General Info'!$B$44) - 1, 0)</f>
        <v>4.3841598018629204</v>
      </c>
      <c r="AH676" s="100">
        <f>IF(ISNUMBER('General Info'!$B$42), (SamplingData[[#This Row],[Running (cumulative) sum]] * ('General Info'!$B$42 -'General Info'!$B$43 + 1)) + 'General Info'!$B$43 - 1, 0)</f>
        <v>18531.278038012202</v>
      </c>
      <c r="AI676" s="100" t="str">
        <f>IF(ISERROR(MATCH(SamplingData[[#This Row],[Batch by Type (p)]],SelectedPrecincts[Batch Name], 0)), "", INDEX(SelectedPrecincts[Draw], MATCH(SamplingData[[#This Row],[Batch by Type (p)]],SelectedPrecincts[Batch Name], 0)))</f>
        <v/>
      </c>
      <c r="AJ676" s="101">
        <f>IF(COUNTIF(SelectedPrecincts[Batch Name],SamplingData[[#This Row],[Batch by Type (p)]]) &lt;&gt; 0, COUNTIF(SelectedPrecincts[Batch Name],SamplingData[[#This Row],[Batch by Type (p)]]), 0)</f>
        <v>0</v>
      </c>
    </row>
    <row r="677" spans="1:36" ht="15" customHeight="1" x14ac:dyDescent="0.35">
      <c r="A677" s="98" t="s">
        <v>888</v>
      </c>
      <c r="B677" s="98">
        <v>1</v>
      </c>
      <c r="C677" s="98">
        <v>1</v>
      </c>
      <c r="D677" s="93"/>
      <c r="E677" s="93"/>
      <c r="F677" s="93"/>
      <c r="G677" s="97"/>
      <c r="H677" s="97"/>
      <c r="I677" s="93"/>
      <c r="J677" s="93"/>
      <c r="K677" s="93"/>
      <c r="L677" s="93"/>
      <c r="M677" s="93"/>
      <c r="N677" s="98">
        <v>0</v>
      </c>
      <c r="O677" s="98">
        <v>0</v>
      </c>
      <c r="P677" s="99">
        <f>SUM(SamplingData[[#This Row],[Winning Candidate]:[Under Votes]])</f>
        <v>2</v>
      </c>
      <c r="Q677"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677" s="100">
        <f>IF(AND(SamplingData[[#This Row],[Total]]&lt;&gt; 0, NOT(ISBLANK(SamplingData[[#This Row],[Candidate 3]]))),(SamplingData[[#This Row],[Total]]+SamplingData[[#This Row],[Winning Candidate]]-SamplingData[[#This Row],[Candidate 3]])/(SamplingData[[#Totals],[Winning Candidate]]-SamplingData[[#Totals],[Candidate 3]]), 0)</f>
        <v>0</v>
      </c>
      <c r="S677" s="100">
        <f>IF(AND(SamplingData[[#This Row],[Total]]&lt;&gt; 0, NOT(ISBLANK(SamplingData[[#This Row],[Candidate 4]]))),(SamplingData[[#This Row],[Total]]+SamplingData[[#This Row],[Winning Candidate]]-SamplingData[[#This Row],[Candidate 4]])/(SamplingData[[#Totals],[Winning Candidate]]-SamplingData[[#Totals],[Candidate 4]]), 0)</f>
        <v>0</v>
      </c>
      <c r="T677" s="100">
        <f>IF(AND(SamplingData[[#This Row],[Total]]&lt;&gt; 0, NOT(ISBLANK(SamplingData[[#This Row],[Candidate 5]]))),(SamplingData[[#This Row],[Total]]+SamplingData[[#This Row],[Winning Candidate]]-SamplingData[[#This Row],[Candidate 5]])/(SamplingData[[#Totals],[Winning Candidate]]-SamplingData[[#Totals],[Candidate 5]]), 0)</f>
        <v>0</v>
      </c>
      <c r="U677" s="100">
        <f>IF(AND(SamplingData[[#This Row],[Total]]&lt;&gt; 0, NOT(ISBLANK(SamplingData[[#This Row],[Candidate 6]]))),(SamplingData[[#This Row],[Total]]+SamplingData[[#This Row],[Losing Candidate]]-SamplingData[[#This Row],[Candidate 6]])/(SamplingData[[#Totals],[Winning Candidate]]-SamplingData[[#Totals],[Candidate 6]]), 0)</f>
        <v>0</v>
      </c>
      <c r="V677" s="100">
        <f>IF(AND(SamplingData[[#This Row],[Total]]&lt;&gt; 0, NOT(ISBLANK(SamplingData[[#This Row],[Candidate 7]]))),(SamplingData[[#This Row],[Total]]+SamplingData[[#This Row],[Winning Candidate]]-SamplingData[[#This Row],[Candidate 7]])/(SamplingData[[#Totals],[Winning Candidate]]-SamplingData[[#Totals],[Candidate 7]]), 0)</f>
        <v>0</v>
      </c>
      <c r="W677" s="100">
        <f>IF(AND(SamplingData[[#This Row],[Total]]&lt;&gt; 0, NOT(ISBLANK(SamplingData[[#This Row],[Candidate 8]]))),(SamplingData[[#This Row],[Total]]+SamplingData[[#This Row],[Winning Candidate]]-SamplingData[[#This Row],[Candidate 8]])/(SamplingData[[#Totals],[Winning Candidate]]-SamplingData[[#Totals],[Candidate 8]]), 0)</f>
        <v>0</v>
      </c>
      <c r="X6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00">
        <f>MAX(SamplingData[[#This Row],[Error Bound (up) - Max. possible relative overstatement - Losing Candidate]:[Error Bound (up) - Max. possible relative overstatement - Candidate 12]])</f>
        <v>6.2819989320601809E-5</v>
      </c>
      <c r="AC677" s="100">
        <f>IF(SamplingData[[#This Row],[Max Error Bound (up)]] = 0,0,SamplingData[[#This Row],[Max Error Bound (up)]]/SamplingData[[#Totals],[Max Error Bound (up)]])</f>
        <v>2.6920799009314603E-5</v>
      </c>
      <c r="AD677" s="104">
        <f>SUM($AC$5:AC677)</f>
        <v>0.18534970117913135</v>
      </c>
      <c r="AE677" s="100" t="str" cm="1">
        <f t="array" ref="AE677">IF(SamplingData[[#This Row],[up/U Selection Probability]] = 0, "Zero", TEXT(SamplingData[[#This Row],[Lower Range]], REPT("0",LEN('General Info'!$B$42))) &amp; " - " &amp; TEXT(SamplingData[[#This Row],[Upper Range]], REPT("0",LEN('General Info'!$B$42))))</f>
        <v>18532 - 18534</v>
      </c>
      <c r="AF677" s="100">
        <f>SamplingData[[#This Row],[Upper Range]]-SamplingData[[#This Row],[Span]]</f>
        <v>18532.278038012206</v>
      </c>
      <c r="AG677" s="100">
        <f>IF(ISNUMBER('General Info'!$B$42), ((SamplingData[[#This Row],[up/U Selection Probability]]) * 'General Info'!$B$44) - 1, 0)</f>
        <v>1.6920799009314602</v>
      </c>
      <c r="AH677" s="100">
        <f>IF(ISNUMBER('General Info'!$B$42), (SamplingData[[#This Row],[Running (cumulative) sum]] * ('General Info'!$B$42 -'General Info'!$B$43 + 1)) + 'General Info'!$B$43 - 1, 0)</f>
        <v>18533.970117913137</v>
      </c>
      <c r="AI677" s="100" t="str">
        <f>IF(ISERROR(MATCH(SamplingData[[#This Row],[Batch by Type (p)]],SelectedPrecincts[Batch Name], 0)), "", INDEX(SelectedPrecincts[Draw], MATCH(SamplingData[[#This Row],[Batch by Type (p)]],SelectedPrecincts[Batch Name], 0)))</f>
        <v/>
      </c>
      <c r="AJ677" s="101">
        <f>IF(COUNTIF(SelectedPrecincts[Batch Name],SamplingData[[#This Row],[Batch by Type (p)]]) &lt;&gt; 0, COUNTIF(SelectedPrecincts[Batch Name],SamplingData[[#This Row],[Batch by Type (p)]]), 0)</f>
        <v>0</v>
      </c>
    </row>
    <row r="678" spans="1:36" ht="15" customHeight="1" x14ac:dyDescent="0.35">
      <c r="A678" s="98" t="s">
        <v>889</v>
      </c>
      <c r="B678" s="98">
        <v>2</v>
      </c>
      <c r="C678" s="98">
        <v>0</v>
      </c>
      <c r="D678" s="93"/>
      <c r="E678" s="93"/>
      <c r="F678" s="93"/>
      <c r="G678" s="97"/>
      <c r="H678" s="97"/>
      <c r="I678" s="93"/>
      <c r="J678" s="93"/>
      <c r="K678" s="93"/>
      <c r="L678" s="93"/>
      <c r="M678" s="93"/>
      <c r="N678" s="98">
        <v>0</v>
      </c>
      <c r="O678" s="98">
        <v>0</v>
      </c>
      <c r="P678" s="99">
        <f>SUM(SamplingData[[#This Row],[Winning Candidate]:[Under Votes]])</f>
        <v>2</v>
      </c>
      <c r="Q678"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1.2563997864120362E-4</v>
      </c>
      <c r="R678" s="100">
        <f>IF(AND(SamplingData[[#This Row],[Total]]&lt;&gt; 0, NOT(ISBLANK(SamplingData[[#This Row],[Candidate 3]]))),(SamplingData[[#This Row],[Total]]+SamplingData[[#This Row],[Winning Candidate]]-SamplingData[[#This Row],[Candidate 3]])/(SamplingData[[#Totals],[Winning Candidate]]-SamplingData[[#Totals],[Candidate 3]]), 0)</f>
        <v>0</v>
      </c>
      <c r="S678" s="100">
        <f>IF(AND(SamplingData[[#This Row],[Total]]&lt;&gt; 0, NOT(ISBLANK(SamplingData[[#This Row],[Candidate 4]]))),(SamplingData[[#This Row],[Total]]+SamplingData[[#This Row],[Winning Candidate]]-SamplingData[[#This Row],[Candidate 4]])/(SamplingData[[#Totals],[Winning Candidate]]-SamplingData[[#Totals],[Candidate 4]]), 0)</f>
        <v>0</v>
      </c>
      <c r="T678" s="100">
        <f>IF(AND(SamplingData[[#This Row],[Total]]&lt;&gt; 0, NOT(ISBLANK(SamplingData[[#This Row],[Candidate 5]]))),(SamplingData[[#This Row],[Total]]+SamplingData[[#This Row],[Winning Candidate]]-SamplingData[[#This Row],[Candidate 5]])/(SamplingData[[#Totals],[Winning Candidate]]-SamplingData[[#Totals],[Candidate 5]]), 0)</f>
        <v>0</v>
      </c>
      <c r="U678" s="100">
        <f>IF(AND(SamplingData[[#This Row],[Total]]&lt;&gt; 0, NOT(ISBLANK(SamplingData[[#This Row],[Candidate 6]]))),(SamplingData[[#This Row],[Total]]+SamplingData[[#This Row],[Losing Candidate]]-SamplingData[[#This Row],[Candidate 6]])/(SamplingData[[#Totals],[Winning Candidate]]-SamplingData[[#Totals],[Candidate 6]]), 0)</f>
        <v>0</v>
      </c>
      <c r="V678" s="100">
        <f>IF(AND(SamplingData[[#This Row],[Total]]&lt;&gt; 0, NOT(ISBLANK(SamplingData[[#This Row],[Candidate 7]]))),(SamplingData[[#This Row],[Total]]+SamplingData[[#This Row],[Winning Candidate]]-SamplingData[[#This Row],[Candidate 7]])/(SamplingData[[#Totals],[Winning Candidate]]-SamplingData[[#Totals],[Candidate 7]]), 0)</f>
        <v>0</v>
      </c>
      <c r="W678" s="100">
        <f>IF(AND(SamplingData[[#This Row],[Total]]&lt;&gt; 0, NOT(ISBLANK(SamplingData[[#This Row],[Candidate 8]]))),(SamplingData[[#This Row],[Total]]+SamplingData[[#This Row],[Winning Candidate]]-SamplingData[[#This Row],[Candidate 8]])/(SamplingData[[#Totals],[Winning Candidate]]-SamplingData[[#Totals],[Candidate 8]]), 0)</f>
        <v>0</v>
      </c>
      <c r="X6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00">
        <f>MAX(SamplingData[[#This Row],[Error Bound (up) - Max. possible relative overstatement - Losing Candidate]:[Error Bound (up) - Max. possible relative overstatement - Candidate 12]])</f>
        <v>1.2563997864120362E-4</v>
      </c>
      <c r="AC678" s="100">
        <f>IF(SamplingData[[#This Row],[Max Error Bound (up)]] = 0,0,SamplingData[[#This Row],[Max Error Bound (up)]]/SamplingData[[#Totals],[Max Error Bound (up)]])</f>
        <v>5.3841598018629206E-5</v>
      </c>
      <c r="AD678" s="104">
        <f>SUM($AC$5:AC678)</f>
        <v>0.18540354277714999</v>
      </c>
      <c r="AE678" s="100" t="str" cm="1">
        <f t="array" ref="AE678">IF(SamplingData[[#This Row],[up/U Selection Probability]] = 0, "Zero", TEXT(SamplingData[[#This Row],[Lower Range]], REPT("0",LEN('General Info'!$B$42))) &amp; " - " &amp; TEXT(SamplingData[[#This Row],[Upper Range]], REPT("0",LEN('General Info'!$B$42))))</f>
        <v>18535 - 18539</v>
      </c>
      <c r="AF678" s="100">
        <f>SamplingData[[#This Row],[Upper Range]]-SamplingData[[#This Row],[Span]]</f>
        <v>18534.970117913137</v>
      </c>
      <c r="AG678" s="100">
        <f>IF(ISNUMBER('General Info'!$B$42), ((SamplingData[[#This Row],[up/U Selection Probability]]) * 'General Info'!$B$44) - 1, 0)</f>
        <v>4.3841598018629204</v>
      </c>
      <c r="AH678" s="100">
        <f>IF(ISNUMBER('General Info'!$B$42), (SamplingData[[#This Row],[Running (cumulative) sum]] * ('General Info'!$B$42 -'General Info'!$B$43 + 1)) + 'General Info'!$B$43 - 1, 0)</f>
        <v>18539.354277715</v>
      </c>
      <c r="AI678" s="100" t="str">
        <f>IF(ISERROR(MATCH(SamplingData[[#This Row],[Batch by Type (p)]],SelectedPrecincts[Batch Name], 0)), "", INDEX(SelectedPrecincts[Draw], MATCH(SamplingData[[#This Row],[Batch by Type (p)]],SelectedPrecincts[Batch Name], 0)))</f>
        <v/>
      </c>
      <c r="AJ678" s="101">
        <f>IF(COUNTIF(SelectedPrecincts[Batch Name],SamplingData[[#This Row],[Batch by Type (p)]]) &lt;&gt; 0, COUNTIF(SelectedPrecincts[Batch Name],SamplingData[[#This Row],[Batch by Type (p)]]), 0)</f>
        <v>0</v>
      </c>
    </row>
    <row r="679" spans="1:36" ht="15" customHeight="1" x14ac:dyDescent="0.35">
      <c r="A679" s="98" t="s">
        <v>890</v>
      </c>
      <c r="B679" s="98">
        <v>6</v>
      </c>
      <c r="C679" s="98">
        <v>0</v>
      </c>
      <c r="D679" s="93"/>
      <c r="E679" s="93"/>
      <c r="F679" s="93"/>
      <c r="G679" s="97"/>
      <c r="H679" s="97"/>
      <c r="I679" s="93"/>
      <c r="J679" s="93"/>
      <c r="K679" s="93"/>
      <c r="L679" s="93"/>
      <c r="M679" s="93"/>
      <c r="N679" s="98">
        <v>0</v>
      </c>
      <c r="O679" s="98">
        <v>0</v>
      </c>
      <c r="P679" s="99">
        <f>SUM(SamplingData[[#This Row],[Winning Candidate]:[Under Votes]])</f>
        <v>6</v>
      </c>
      <c r="Q679"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79" s="100">
        <f>IF(AND(SamplingData[[#This Row],[Total]]&lt;&gt; 0, NOT(ISBLANK(SamplingData[[#This Row],[Candidate 3]]))),(SamplingData[[#This Row],[Total]]+SamplingData[[#This Row],[Winning Candidate]]-SamplingData[[#This Row],[Candidate 3]])/(SamplingData[[#Totals],[Winning Candidate]]-SamplingData[[#Totals],[Candidate 3]]), 0)</f>
        <v>0</v>
      </c>
      <c r="S679" s="100">
        <f>IF(AND(SamplingData[[#This Row],[Total]]&lt;&gt; 0, NOT(ISBLANK(SamplingData[[#This Row],[Candidate 4]]))),(SamplingData[[#This Row],[Total]]+SamplingData[[#This Row],[Winning Candidate]]-SamplingData[[#This Row],[Candidate 4]])/(SamplingData[[#Totals],[Winning Candidate]]-SamplingData[[#Totals],[Candidate 4]]), 0)</f>
        <v>0</v>
      </c>
      <c r="T679" s="100">
        <f>IF(AND(SamplingData[[#This Row],[Total]]&lt;&gt; 0, NOT(ISBLANK(SamplingData[[#This Row],[Candidate 5]]))),(SamplingData[[#This Row],[Total]]+SamplingData[[#This Row],[Winning Candidate]]-SamplingData[[#This Row],[Candidate 5]])/(SamplingData[[#Totals],[Winning Candidate]]-SamplingData[[#Totals],[Candidate 5]]), 0)</f>
        <v>0</v>
      </c>
      <c r="U679" s="100">
        <f>IF(AND(SamplingData[[#This Row],[Total]]&lt;&gt; 0, NOT(ISBLANK(SamplingData[[#This Row],[Candidate 6]]))),(SamplingData[[#This Row],[Total]]+SamplingData[[#This Row],[Losing Candidate]]-SamplingData[[#This Row],[Candidate 6]])/(SamplingData[[#Totals],[Winning Candidate]]-SamplingData[[#Totals],[Candidate 6]]), 0)</f>
        <v>0</v>
      </c>
      <c r="V679" s="100">
        <f>IF(AND(SamplingData[[#This Row],[Total]]&lt;&gt; 0, NOT(ISBLANK(SamplingData[[#This Row],[Candidate 7]]))),(SamplingData[[#This Row],[Total]]+SamplingData[[#This Row],[Winning Candidate]]-SamplingData[[#This Row],[Candidate 7]])/(SamplingData[[#Totals],[Winning Candidate]]-SamplingData[[#Totals],[Candidate 7]]), 0)</f>
        <v>0</v>
      </c>
      <c r="W679" s="100">
        <f>IF(AND(SamplingData[[#This Row],[Total]]&lt;&gt; 0, NOT(ISBLANK(SamplingData[[#This Row],[Candidate 8]]))),(SamplingData[[#This Row],[Total]]+SamplingData[[#This Row],[Winning Candidate]]-SamplingData[[#This Row],[Candidate 8]])/(SamplingData[[#Totals],[Winning Candidate]]-SamplingData[[#Totals],[Candidate 8]]), 0)</f>
        <v>0</v>
      </c>
      <c r="X6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00">
        <f>MAX(SamplingData[[#This Row],[Error Bound (up) - Max. possible relative overstatement - Losing Candidate]:[Error Bound (up) - Max. possible relative overstatement - Candidate 12]])</f>
        <v>3.7691993592361088E-4</v>
      </c>
      <c r="AC679" s="100">
        <f>IF(SamplingData[[#This Row],[Max Error Bound (up)]] = 0,0,SamplingData[[#This Row],[Max Error Bound (up)]]/SamplingData[[#Totals],[Max Error Bound (up)]])</f>
        <v>1.6152479405588763E-4</v>
      </c>
      <c r="AD679" s="104">
        <f>SUM($AC$5:AC679)</f>
        <v>0.18556506757120589</v>
      </c>
      <c r="AE679" s="100" t="str" cm="1">
        <f t="array" ref="AE679">IF(SamplingData[[#This Row],[up/U Selection Probability]] = 0, "Zero", TEXT(SamplingData[[#This Row],[Lower Range]], REPT("0",LEN('General Info'!$B$42))) &amp; " - " &amp; TEXT(SamplingData[[#This Row],[Upper Range]], REPT("0",LEN('General Info'!$B$42))))</f>
        <v>18540 - 18556</v>
      </c>
      <c r="AF679" s="100">
        <f>SamplingData[[#This Row],[Upper Range]]-SamplingData[[#This Row],[Span]]</f>
        <v>18540.354277715</v>
      </c>
      <c r="AG679" s="100">
        <f>IF(ISNUMBER('General Info'!$B$42), ((SamplingData[[#This Row],[up/U Selection Probability]]) * 'General Info'!$B$44) - 1, 0)</f>
        <v>15.152479405588764</v>
      </c>
      <c r="AH679" s="100">
        <f>IF(ISNUMBER('General Info'!$B$42), (SamplingData[[#This Row],[Running (cumulative) sum]] * ('General Info'!$B$42 -'General Info'!$B$43 + 1)) + 'General Info'!$B$43 - 1, 0)</f>
        <v>18555.506757120587</v>
      </c>
      <c r="AI679" s="100" t="str">
        <f>IF(ISERROR(MATCH(SamplingData[[#This Row],[Batch by Type (p)]],SelectedPrecincts[Batch Name], 0)), "", INDEX(SelectedPrecincts[Draw], MATCH(SamplingData[[#This Row],[Batch by Type (p)]],SelectedPrecincts[Batch Name], 0)))</f>
        <v/>
      </c>
      <c r="AJ679" s="101">
        <f>IF(COUNTIF(SelectedPrecincts[Batch Name],SamplingData[[#This Row],[Batch by Type (p)]]) &lt;&gt; 0, COUNTIF(SelectedPrecincts[Batch Name],SamplingData[[#This Row],[Batch by Type (p)]]), 0)</f>
        <v>0</v>
      </c>
    </row>
    <row r="680" spans="1:36" ht="15" customHeight="1" x14ac:dyDescent="0.35">
      <c r="A680" s="98" t="s">
        <v>891</v>
      </c>
      <c r="B680" s="98">
        <v>4</v>
      </c>
      <c r="C680" s="98">
        <v>1</v>
      </c>
      <c r="D680" s="93"/>
      <c r="E680" s="93"/>
      <c r="F680" s="93"/>
      <c r="G680" s="97"/>
      <c r="H680" s="97"/>
      <c r="I680" s="93"/>
      <c r="J680" s="93"/>
      <c r="K680" s="93"/>
      <c r="L680" s="93"/>
      <c r="M680" s="93"/>
      <c r="N680" s="98">
        <v>0</v>
      </c>
      <c r="O680" s="98">
        <v>0</v>
      </c>
      <c r="P680" s="99">
        <f>SUM(SamplingData[[#This Row],[Winning Candidate]:[Under Votes]])</f>
        <v>5</v>
      </c>
      <c r="Q680"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680" s="100">
        <f>IF(AND(SamplingData[[#This Row],[Total]]&lt;&gt; 0, NOT(ISBLANK(SamplingData[[#This Row],[Candidate 3]]))),(SamplingData[[#This Row],[Total]]+SamplingData[[#This Row],[Winning Candidate]]-SamplingData[[#This Row],[Candidate 3]])/(SamplingData[[#Totals],[Winning Candidate]]-SamplingData[[#Totals],[Candidate 3]]), 0)</f>
        <v>0</v>
      </c>
      <c r="S680" s="100">
        <f>IF(AND(SamplingData[[#This Row],[Total]]&lt;&gt; 0, NOT(ISBLANK(SamplingData[[#This Row],[Candidate 4]]))),(SamplingData[[#This Row],[Total]]+SamplingData[[#This Row],[Winning Candidate]]-SamplingData[[#This Row],[Candidate 4]])/(SamplingData[[#Totals],[Winning Candidate]]-SamplingData[[#Totals],[Candidate 4]]), 0)</f>
        <v>0</v>
      </c>
      <c r="T680" s="100">
        <f>IF(AND(SamplingData[[#This Row],[Total]]&lt;&gt; 0, NOT(ISBLANK(SamplingData[[#This Row],[Candidate 5]]))),(SamplingData[[#This Row],[Total]]+SamplingData[[#This Row],[Winning Candidate]]-SamplingData[[#This Row],[Candidate 5]])/(SamplingData[[#Totals],[Winning Candidate]]-SamplingData[[#Totals],[Candidate 5]]), 0)</f>
        <v>0</v>
      </c>
      <c r="U680" s="100">
        <f>IF(AND(SamplingData[[#This Row],[Total]]&lt;&gt; 0, NOT(ISBLANK(SamplingData[[#This Row],[Candidate 6]]))),(SamplingData[[#This Row],[Total]]+SamplingData[[#This Row],[Losing Candidate]]-SamplingData[[#This Row],[Candidate 6]])/(SamplingData[[#Totals],[Winning Candidate]]-SamplingData[[#Totals],[Candidate 6]]), 0)</f>
        <v>0</v>
      </c>
      <c r="V680" s="100">
        <f>IF(AND(SamplingData[[#This Row],[Total]]&lt;&gt; 0, NOT(ISBLANK(SamplingData[[#This Row],[Candidate 7]]))),(SamplingData[[#This Row],[Total]]+SamplingData[[#This Row],[Winning Candidate]]-SamplingData[[#This Row],[Candidate 7]])/(SamplingData[[#Totals],[Winning Candidate]]-SamplingData[[#Totals],[Candidate 7]]), 0)</f>
        <v>0</v>
      </c>
      <c r="W680" s="100">
        <f>IF(AND(SamplingData[[#This Row],[Total]]&lt;&gt; 0, NOT(ISBLANK(SamplingData[[#This Row],[Candidate 8]]))),(SamplingData[[#This Row],[Total]]+SamplingData[[#This Row],[Winning Candidate]]-SamplingData[[#This Row],[Candidate 8]])/(SamplingData[[#Totals],[Winning Candidate]]-SamplingData[[#Totals],[Candidate 8]]), 0)</f>
        <v>0</v>
      </c>
      <c r="X6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00">
        <f>MAX(SamplingData[[#This Row],[Error Bound (up) - Max. possible relative overstatement - Losing Candidate]:[Error Bound (up) - Max. possible relative overstatement - Candidate 12]])</f>
        <v>2.5127995728240724E-4</v>
      </c>
      <c r="AC680" s="100">
        <f>IF(SamplingData[[#This Row],[Max Error Bound (up)]] = 0,0,SamplingData[[#This Row],[Max Error Bound (up)]]/SamplingData[[#Totals],[Max Error Bound (up)]])</f>
        <v>1.0768319603725841E-4</v>
      </c>
      <c r="AD680" s="104">
        <f>SUM($AC$5:AC680)</f>
        <v>0.18567275076724316</v>
      </c>
      <c r="AE680" s="100" t="str" cm="1">
        <f t="array" ref="AE680">IF(SamplingData[[#This Row],[up/U Selection Probability]] = 0, "Zero", TEXT(SamplingData[[#This Row],[Lower Range]], REPT("0",LEN('General Info'!$B$42))) &amp; " - " &amp; TEXT(SamplingData[[#This Row],[Upper Range]], REPT("0",LEN('General Info'!$B$42))))</f>
        <v>18557 - 18566</v>
      </c>
      <c r="AF680" s="100">
        <f>SamplingData[[#This Row],[Upper Range]]-SamplingData[[#This Row],[Span]]</f>
        <v>18556.506757120591</v>
      </c>
      <c r="AG680" s="100">
        <f>IF(ISNUMBER('General Info'!$B$42), ((SamplingData[[#This Row],[up/U Selection Probability]]) * 'General Info'!$B$44) - 1, 0)</f>
        <v>9.7683196037258408</v>
      </c>
      <c r="AH680" s="100">
        <f>IF(ISNUMBER('General Info'!$B$42), (SamplingData[[#This Row],[Running (cumulative) sum]] * ('General Info'!$B$42 -'General Info'!$B$43 + 1)) + 'General Info'!$B$43 - 1, 0)</f>
        <v>18566.275076724316</v>
      </c>
      <c r="AI680" s="100" t="str">
        <f>IF(ISERROR(MATCH(SamplingData[[#This Row],[Batch by Type (p)]],SelectedPrecincts[Batch Name], 0)), "", INDEX(SelectedPrecincts[Draw], MATCH(SamplingData[[#This Row],[Batch by Type (p)]],SelectedPrecincts[Batch Name], 0)))</f>
        <v/>
      </c>
      <c r="AJ680" s="101">
        <f>IF(COUNTIF(SelectedPrecincts[Batch Name],SamplingData[[#This Row],[Batch by Type (p)]]) &lt;&gt; 0, COUNTIF(SelectedPrecincts[Batch Name],SamplingData[[#This Row],[Batch by Type (p)]]), 0)</f>
        <v>0</v>
      </c>
    </row>
    <row r="681" spans="1:36" ht="15" customHeight="1" x14ac:dyDescent="0.35">
      <c r="A681" s="98" t="s">
        <v>892</v>
      </c>
      <c r="B681" s="98">
        <v>1</v>
      </c>
      <c r="C681" s="98">
        <v>0</v>
      </c>
      <c r="D681" s="93"/>
      <c r="E681" s="93"/>
      <c r="F681" s="93"/>
      <c r="G681" s="97"/>
      <c r="H681" s="97"/>
      <c r="I681" s="93"/>
      <c r="J681" s="93"/>
      <c r="K681" s="93"/>
      <c r="L681" s="93"/>
      <c r="M681" s="93"/>
      <c r="N681" s="98">
        <v>0</v>
      </c>
      <c r="O681" s="98">
        <v>0</v>
      </c>
      <c r="P681" s="99">
        <f>SUM(SamplingData[[#This Row],[Winning Candidate]:[Under Votes]])</f>
        <v>1</v>
      </c>
      <c r="Q681"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681" s="100">
        <f>IF(AND(SamplingData[[#This Row],[Total]]&lt;&gt; 0, NOT(ISBLANK(SamplingData[[#This Row],[Candidate 3]]))),(SamplingData[[#This Row],[Total]]+SamplingData[[#This Row],[Winning Candidate]]-SamplingData[[#This Row],[Candidate 3]])/(SamplingData[[#Totals],[Winning Candidate]]-SamplingData[[#Totals],[Candidate 3]]), 0)</f>
        <v>0</v>
      </c>
      <c r="S681" s="100">
        <f>IF(AND(SamplingData[[#This Row],[Total]]&lt;&gt; 0, NOT(ISBLANK(SamplingData[[#This Row],[Candidate 4]]))),(SamplingData[[#This Row],[Total]]+SamplingData[[#This Row],[Winning Candidate]]-SamplingData[[#This Row],[Candidate 4]])/(SamplingData[[#Totals],[Winning Candidate]]-SamplingData[[#Totals],[Candidate 4]]), 0)</f>
        <v>0</v>
      </c>
      <c r="T681" s="100">
        <f>IF(AND(SamplingData[[#This Row],[Total]]&lt;&gt; 0, NOT(ISBLANK(SamplingData[[#This Row],[Candidate 5]]))),(SamplingData[[#This Row],[Total]]+SamplingData[[#This Row],[Winning Candidate]]-SamplingData[[#This Row],[Candidate 5]])/(SamplingData[[#Totals],[Winning Candidate]]-SamplingData[[#Totals],[Candidate 5]]), 0)</f>
        <v>0</v>
      </c>
      <c r="U681" s="100">
        <f>IF(AND(SamplingData[[#This Row],[Total]]&lt;&gt; 0, NOT(ISBLANK(SamplingData[[#This Row],[Candidate 6]]))),(SamplingData[[#This Row],[Total]]+SamplingData[[#This Row],[Losing Candidate]]-SamplingData[[#This Row],[Candidate 6]])/(SamplingData[[#Totals],[Winning Candidate]]-SamplingData[[#Totals],[Candidate 6]]), 0)</f>
        <v>0</v>
      </c>
      <c r="V681" s="100">
        <f>IF(AND(SamplingData[[#This Row],[Total]]&lt;&gt; 0, NOT(ISBLANK(SamplingData[[#This Row],[Candidate 7]]))),(SamplingData[[#This Row],[Total]]+SamplingData[[#This Row],[Winning Candidate]]-SamplingData[[#This Row],[Candidate 7]])/(SamplingData[[#Totals],[Winning Candidate]]-SamplingData[[#Totals],[Candidate 7]]), 0)</f>
        <v>0</v>
      </c>
      <c r="W681" s="100">
        <f>IF(AND(SamplingData[[#This Row],[Total]]&lt;&gt; 0, NOT(ISBLANK(SamplingData[[#This Row],[Candidate 8]]))),(SamplingData[[#This Row],[Total]]+SamplingData[[#This Row],[Winning Candidate]]-SamplingData[[#This Row],[Candidate 8]])/(SamplingData[[#Totals],[Winning Candidate]]-SamplingData[[#Totals],[Candidate 8]]), 0)</f>
        <v>0</v>
      </c>
      <c r="X6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00">
        <f>MAX(SamplingData[[#This Row],[Error Bound (up) - Max. possible relative overstatement - Losing Candidate]:[Error Bound (up) - Max. possible relative overstatement - Candidate 12]])</f>
        <v>6.2819989320601809E-5</v>
      </c>
      <c r="AC681" s="100">
        <f>IF(SamplingData[[#This Row],[Max Error Bound (up)]] = 0,0,SamplingData[[#This Row],[Max Error Bound (up)]]/SamplingData[[#Totals],[Max Error Bound (up)]])</f>
        <v>2.6920799009314603E-5</v>
      </c>
      <c r="AD681" s="104">
        <f>SUM($AC$5:AC681)</f>
        <v>0.18569967156625247</v>
      </c>
      <c r="AE681" s="100" t="str" cm="1">
        <f t="array" ref="AE681">IF(SamplingData[[#This Row],[up/U Selection Probability]] = 0, "Zero", TEXT(SamplingData[[#This Row],[Lower Range]], REPT("0",LEN('General Info'!$B$42))) &amp; " - " &amp; TEXT(SamplingData[[#This Row],[Upper Range]], REPT("0",LEN('General Info'!$B$42))))</f>
        <v>18567 - 18569</v>
      </c>
      <c r="AF681" s="100">
        <f>SamplingData[[#This Row],[Upper Range]]-SamplingData[[#This Row],[Span]]</f>
        <v>18567.275076724316</v>
      </c>
      <c r="AG681" s="100">
        <f>IF(ISNUMBER('General Info'!$B$42), ((SamplingData[[#This Row],[up/U Selection Probability]]) * 'General Info'!$B$44) - 1, 0)</f>
        <v>1.6920799009314602</v>
      </c>
      <c r="AH681" s="100">
        <f>IF(ISNUMBER('General Info'!$B$42), (SamplingData[[#This Row],[Running (cumulative) sum]] * ('General Info'!$B$42 -'General Info'!$B$43 + 1)) + 'General Info'!$B$43 - 1, 0)</f>
        <v>18568.967156625247</v>
      </c>
      <c r="AI681" s="100" t="str">
        <f>IF(ISERROR(MATCH(SamplingData[[#This Row],[Batch by Type (p)]],SelectedPrecincts[Batch Name], 0)), "", INDEX(SelectedPrecincts[Draw], MATCH(SamplingData[[#This Row],[Batch by Type (p)]],SelectedPrecincts[Batch Name], 0)))</f>
        <v/>
      </c>
      <c r="AJ681" s="101">
        <f>IF(COUNTIF(SelectedPrecincts[Batch Name],SamplingData[[#This Row],[Batch by Type (p)]]) &lt;&gt; 0, COUNTIF(SelectedPrecincts[Batch Name],SamplingData[[#This Row],[Batch by Type (p)]]), 0)</f>
        <v>0</v>
      </c>
    </row>
    <row r="682" spans="1:36" ht="15" customHeight="1" x14ac:dyDescent="0.35">
      <c r="A682" s="98" t="s">
        <v>893</v>
      </c>
      <c r="B682" s="98">
        <v>0</v>
      </c>
      <c r="C682" s="98">
        <v>0</v>
      </c>
      <c r="D682" s="93"/>
      <c r="E682" s="93"/>
      <c r="F682" s="93"/>
      <c r="G682" s="97"/>
      <c r="H682" s="97"/>
      <c r="I682" s="93"/>
      <c r="J682" s="93"/>
      <c r="K682" s="93"/>
      <c r="L682" s="93"/>
      <c r="M682" s="93"/>
      <c r="N682" s="98">
        <v>0</v>
      </c>
      <c r="O682" s="98">
        <v>0</v>
      </c>
      <c r="P682" s="99">
        <f>SUM(SamplingData[[#This Row],[Winning Candidate]:[Under Votes]])</f>
        <v>0</v>
      </c>
      <c r="Q682" s="100">
        <f>IF(AND(SamplingData[[#This Row],[Total]]&lt;&gt; 0, NOT(ISBLANK(SamplingData[[#This Row],[Losing Candidate]]))),(SamplingData[[#This Row],[Total]]+SamplingData[[#This Row],[Winning Candidate]]-SamplingData[[#This Row],[Losing Candidate]])/(SamplingData[[#Totals],[Winning Candidate]]-SamplingData[[#Totals],[Losing Candidate]]), 0)</f>
        <v>0</v>
      </c>
      <c r="R682" s="100">
        <f>IF(AND(SamplingData[[#This Row],[Total]]&lt;&gt; 0, NOT(ISBLANK(SamplingData[[#This Row],[Candidate 3]]))),(SamplingData[[#This Row],[Total]]+SamplingData[[#This Row],[Winning Candidate]]-SamplingData[[#This Row],[Candidate 3]])/(SamplingData[[#Totals],[Winning Candidate]]-SamplingData[[#Totals],[Candidate 3]]), 0)</f>
        <v>0</v>
      </c>
      <c r="S682" s="100">
        <f>IF(AND(SamplingData[[#This Row],[Total]]&lt;&gt; 0, NOT(ISBLANK(SamplingData[[#This Row],[Candidate 4]]))),(SamplingData[[#This Row],[Total]]+SamplingData[[#This Row],[Winning Candidate]]-SamplingData[[#This Row],[Candidate 4]])/(SamplingData[[#Totals],[Winning Candidate]]-SamplingData[[#Totals],[Candidate 4]]), 0)</f>
        <v>0</v>
      </c>
      <c r="T682" s="100">
        <f>IF(AND(SamplingData[[#This Row],[Total]]&lt;&gt; 0, NOT(ISBLANK(SamplingData[[#This Row],[Candidate 5]]))),(SamplingData[[#This Row],[Total]]+SamplingData[[#This Row],[Winning Candidate]]-SamplingData[[#This Row],[Candidate 5]])/(SamplingData[[#Totals],[Winning Candidate]]-SamplingData[[#Totals],[Candidate 5]]), 0)</f>
        <v>0</v>
      </c>
      <c r="U682" s="100">
        <f>IF(AND(SamplingData[[#This Row],[Total]]&lt;&gt; 0, NOT(ISBLANK(SamplingData[[#This Row],[Candidate 6]]))),(SamplingData[[#This Row],[Total]]+SamplingData[[#This Row],[Losing Candidate]]-SamplingData[[#This Row],[Candidate 6]])/(SamplingData[[#Totals],[Winning Candidate]]-SamplingData[[#Totals],[Candidate 6]]), 0)</f>
        <v>0</v>
      </c>
      <c r="V682" s="100">
        <f>IF(AND(SamplingData[[#This Row],[Total]]&lt;&gt; 0, NOT(ISBLANK(SamplingData[[#This Row],[Candidate 7]]))),(SamplingData[[#This Row],[Total]]+SamplingData[[#This Row],[Winning Candidate]]-SamplingData[[#This Row],[Candidate 7]])/(SamplingData[[#Totals],[Winning Candidate]]-SamplingData[[#Totals],[Candidate 7]]), 0)</f>
        <v>0</v>
      </c>
      <c r="W682" s="100">
        <f>IF(AND(SamplingData[[#This Row],[Total]]&lt;&gt; 0, NOT(ISBLANK(SamplingData[[#This Row],[Candidate 8]]))),(SamplingData[[#This Row],[Total]]+SamplingData[[#This Row],[Winning Candidate]]-SamplingData[[#This Row],[Candidate 8]])/(SamplingData[[#Totals],[Winning Candidate]]-SamplingData[[#Totals],[Candidate 8]]), 0)</f>
        <v>0</v>
      </c>
      <c r="X6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00">
        <f>MAX(SamplingData[[#This Row],[Error Bound (up) - Max. possible relative overstatement - Losing Candidate]:[Error Bound (up) - Max. possible relative overstatement - Candidate 12]])</f>
        <v>0</v>
      </c>
      <c r="AC682" s="100">
        <f>IF(SamplingData[[#This Row],[Max Error Bound (up)]] = 0,0,SamplingData[[#This Row],[Max Error Bound (up)]]/SamplingData[[#Totals],[Max Error Bound (up)]])</f>
        <v>0</v>
      </c>
      <c r="AD682" s="104">
        <f>SUM($AC$5:AC682)</f>
        <v>0.18569967156625247</v>
      </c>
      <c r="AE682" s="100" t="str" cm="1">
        <f t="array" ref="AE682">IF(SamplingData[[#This Row],[up/U Selection Probability]] = 0, "Zero", TEXT(SamplingData[[#This Row],[Lower Range]], REPT("0",LEN('General Info'!$B$42))) &amp; " - " &amp; TEXT(SamplingData[[#This Row],[Upper Range]], REPT("0",LEN('General Info'!$B$42))))</f>
        <v>Zero</v>
      </c>
      <c r="AF682" s="100">
        <f>SamplingData[[#This Row],[Upper Range]]-SamplingData[[#This Row],[Span]]</f>
        <v>18569.967156625247</v>
      </c>
      <c r="AG682" s="100">
        <f>IF(ISNUMBER('General Info'!$B$42), ((SamplingData[[#This Row],[up/U Selection Probability]]) * 'General Info'!$B$44) - 1, 0)</f>
        <v>-1</v>
      </c>
      <c r="AH682" s="100">
        <f>IF(ISNUMBER('General Info'!$B$42), (SamplingData[[#This Row],[Running (cumulative) sum]] * ('General Info'!$B$42 -'General Info'!$B$43 + 1)) + 'General Info'!$B$43 - 1, 0)</f>
        <v>18568.967156625247</v>
      </c>
      <c r="AI682" s="100" t="str">
        <f>IF(ISERROR(MATCH(SamplingData[[#This Row],[Batch by Type (p)]],SelectedPrecincts[Batch Name], 0)), "", INDEX(SelectedPrecincts[Draw], MATCH(SamplingData[[#This Row],[Batch by Type (p)]],SelectedPrecincts[Batch Name], 0)))</f>
        <v/>
      </c>
      <c r="AJ682" s="101">
        <f>IF(COUNTIF(SelectedPrecincts[Batch Name],SamplingData[[#This Row],[Batch by Type (p)]]) &lt;&gt; 0, COUNTIF(SelectedPrecincts[Batch Name],SamplingData[[#This Row],[Batch by Type (p)]]), 0)</f>
        <v>0</v>
      </c>
    </row>
    <row r="683" spans="1:36" ht="15" customHeight="1" x14ac:dyDescent="0.35">
      <c r="A683" s="98" t="s">
        <v>894</v>
      </c>
      <c r="B683" s="98">
        <v>59</v>
      </c>
      <c r="C683" s="98">
        <v>8</v>
      </c>
      <c r="D683" s="93"/>
      <c r="E683" s="93"/>
      <c r="F683" s="93"/>
      <c r="G683" s="97"/>
      <c r="H683" s="97"/>
      <c r="I683" s="93"/>
      <c r="J683" s="93"/>
      <c r="K683" s="93"/>
      <c r="L683" s="93"/>
      <c r="M683" s="93"/>
      <c r="N683" s="98">
        <v>1</v>
      </c>
      <c r="O683" s="98">
        <v>0</v>
      </c>
      <c r="P683" s="99">
        <f>SUM(SamplingData[[#This Row],[Winning Candidate]:[Under Votes]])</f>
        <v>68</v>
      </c>
      <c r="Q683" s="100">
        <f>IF(AND(SamplingData[[#This Row],[Total]]&lt;&gt; 0, NOT(ISBLANK(SamplingData[[#This Row],[Losing Candidate]]))),(SamplingData[[#This Row],[Total]]+SamplingData[[#This Row],[Winning Candidate]]-SamplingData[[#This Row],[Losing Candidate]])/(SamplingData[[#Totals],[Winning Candidate]]-SamplingData[[#Totals],[Losing Candidate]]), 0)</f>
        <v>3.737789364575808E-3</v>
      </c>
      <c r="R683" s="100">
        <f>IF(AND(SamplingData[[#This Row],[Total]]&lt;&gt; 0, NOT(ISBLANK(SamplingData[[#This Row],[Candidate 3]]))),(SamplingData[[#This Row],[Total]]+SamplingData[[#This Row],[Winning Candidate]]-SamplingData[[#This Row],[Candidate 3]])/(SamplingData[[#Totals],[Winning Candidate]]-SamplingData[[#Totals],[Candidate 3]]), 0)</f>
        <v>0</v>
      </c>
      <c r="S683" s="100">
        <f>IF(AND(SamplingData[[#This Row],[Total]]&lt;&gt; 0, NOT(ISBLANK(SamplingData[[#This Row],[Candidate 4]]))),(SamplingData[[#This Row],[Total]]+SamplingData[[#This Row],[Winning Candidate]]-SamplingData[[#This Row],[Candidate 4]])/(SamplingData[[#Totals],[Winning Candidate]]-SamplingData[[#Totals],[Candidate 4]]), 0)</f>
        <v>0</v>
      </c>
      <c r="T683" s="100">
        <f>IF(AND(SamplingData[[#This Row],[Total]]&lt;&gt; 0, NOT(ISBLANK(SamplingData[[#This Row],[Candidate 5]]))),(SamplingData[[#This Row],[Total]]+SamplingData[[#This Row],[Winning Candidate]]-SamplingData[[#This Row],[Candidate 5]])/(SamplingData[[#Totals],[Winning Candidate]]-SamplingData[[#Totals],[Candidate 5]]), 0)</f>
        <v>0</v>
      </c>
      <c r="U683" s="100">
        <f>IF(AND(SamplingData[[#This Row],[Total]]&lt;&gt; 0, NOT(ISBLANK(SamplingData[[#This Row],[Candidate 6]]))),(SamplingData[[#This Row],[Total]]+SamplingData[[#This Row],[Losing Candidate]]-SamplingData[[#This Row],[Candidate 6]])/(SamplingData[[#Totals],[Winning Candidate]]-SamplingData[[#Totals],[Candidate 6]]), 0)</f>
        <v>0</v>
      </c>
      <c r="V683" s="100">
        <f>IF(AND(SamplingData[[#This Row],[Total]]&lt;&gt; 0, NOT(ISBLANK(SamplingData[[#This Row],[Candidate 7]]))),(SamplingData[[#This Row],[Total]]+SamplingData[[#This Row],[Winning Candidate]]-SamplingData[[#This Row],[Candidate 7]])/(SamplingData[[#Totals],[Winning Candidate]]-SamplingData[[#Totals],[Candidate 7]]), 0)</f>
        <v>0</v>
      </c>
      <c r="W683" s="100">
        <f>IF(AND(SamplingData[[#This Row],[Total]]&lt;&gt; 0, NOT(ISBLANK(SamplingData[[#This Row],[Candidate 8]]))),(SamplingData[[#This Row],[Total]]+SamplingData[[#This Row],[Winning Candidate]]-SamplingData[[#This Row],[Candidate 8]])/(SamplingData[[#Totals],[Winning Candidate]]-SamplingData[[#Totals],[Candidate 8]]), 0)</f>
        <v>0</v>
      </c>
      <c r="X6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00">
        <f>MAX(SamplingData[[#This Row],[Error Bound (up) - Max. possible relative overstatement - Losing Candidate]:[Error Bound (up) - Max. possible relative overstatement - Candidate 12]])</f>
        <v>3.737789364575808E-3</v>
      </c>
      <c r="AC683" s="100">
        <f>IF(SamplingData[[#This Row],[Max Error Bound (up)]] = 0,0,SamplingData[[#This Row],[Max Error Bound (up)]]/SamplingData[[#Totals],[Max Error Bound (up)]])</f>
        <v>1.6017875410542191E-3</v>
      </c>
      <c r="AD683" s="104">
        <f>SUM($AC$5:AC683)</f>
        <v>0.18730145910730669</v>
      </c>
      <c r="AE683" s="100" t="str" cm="1">
        <f t="array" ref="AE683">IF(SamplingData[[#This Row],[up/U Selection Probability]] = 0, "Zero", TEXT(SamplingData[[#This Row],[Lower Range]], REPT("0",LEN('General Info'!$B$42))) &amp; " - " &amp; TEXT(SamplingData[[#This Row],[Upper Range]], REPT("0",LEN('General Info'!$B$42))))</f>
        <v>18570 - 18729</v>
      </c>
      <c r="AF683" s="100">
        <f>SamplingData[[#This Row],[Upper Range]]-SamplingData[[#This Row],[Span]]</f>
        <v>18569.967156625247</v>
      </c>
      <c r="AG683" s="100">
        <f>IF(ISNUMBER('General Info'!$B$42), ((SamplingData[[#This Row],[up/U Selection Probability]]) * 'General Info'!$B$44) - 1, 0)</f>
        <v>159.17875410542192</v>
      </c>
      <c r="AH683" s="100">
        <f>IF(ISNUMBER('General Info'!$B$42), (SamplingData[[#This Row],[Running (cumulative) sum]] * ('General Info'!$B$42 -'General Info'!$B$43 + 1)) + 'General Info'!$B$43 - 1, 0)</f>
        <v>18729.145910730669</v>
      </c>
      <c r="AI683" s="100" t="str">
        <f>IF(ISERROR(MATCH(SamplingData[[#This Row],[Batch by Type (p)]],SelectedPrecincts[Batch Name], 0)), "", INDEX(SelectedPrecincts[Draw], MATCH(SamplingData[[#This Row],[Batch by Type (p)]],SelectedPrecincts[Batch Name], 0)))</f>
        <v/>
      </c>
      <c r="AJ683" s="101">
        <f>IF(COUNTIF(SelectedPrecincts[Batch Name],SamplingData[[#This Row],[Batch by Type (p)]]) &lt;&gt; 0, COUNTIF(SelectedPrecincts[Batch Name],SamplingData[[#This Row],[Batch by Type (p)]]), 0)</f>
        <v>0</v>
      </c>
    </row>
    <row r="684" spans="1:36" ht="15" customHeight="1" x14ac:dyDescent="0.35">
      <c r="A684" s="98" t="s">
        <v>895</v>
      </c>
      <c r="B684" s="98">
        <v>111</v>
      </c>
      <c r="C684" s="98">
        <v>14</v>
      </c>
      <c r="D684" s="93"/>
      <c r="E684" s="93"/>
      <c r="F684" s="93"/>
      <c r="G684" s="97"/>
      <c r="H684" s="97"/>
      <c r="I684" s="93"/>
      <c r="J684" s="93"/>
      <c r="K684" s="93"/>
      <c r="L684" s="93"/>
      <c r="M684" s="93"/>
      <c r="N684" s="98">
        <v>0</v>
      </c>
      <c r="O684" s="98">
        <v>2</v>
      </c>
      <c r="P684" s="99">
        <f>SUM(SamplingData[[#This Row],[Winning Candidate]:[Under Votes]])</f>
        <v>127</v>
      </c>
      <c r="Q684" s="100">
        <f>IF(AND(SamplingData[[#This Row],[Total]]&lt;&gt; 0, NOT(ISBLANK(SamplingData[[#This Row],[Losing Candidate]]))),(SamplingData[[#This Row],[Total]]+SamplingData[[#This Row],[Winning Candidate]]-SamplingData[[#This Row],[Losing Candidate]])/(SamplingData[[#Totals],[Winning Candidate]]-SamplingData[[#Totals],[Losing Candidate]]), 0)</f>
        <v>7.0358388039074033E-3</v>
      </c>
      <c r="R684" s="100">
        <f>IF(AND(SamplingData[[#This Row],[Total]]&lt;&gt; 0, NOT(ISBLANK(SamplingData[[#This Row],[Candidate 3]]))),(SamplingData[[#This Row],[Total]]+SamplingData[[#This Row],[Winning Candidate]]-SamplingData[[#This Row],[Candidate 3]])/(SamplingData[[#Totals],[Winning Candidate]]-SamplingData[[#Totals],[Candidate 3]]), 0)</f>
        <v>0</v>
      </c>
      <c r="S684" s="100">
        <f>IF(AND(SamplingData[[#This Row],[Total]]&lt;&gt; 0, NOT(ISBLANK(SamplingData[[#This Row],[Candidate 4]]))),(SamplingData[[#This Row],[Total]]+SamplingData[[#This Row],[Winning Candidate]]-SamplingData[[#This Row],[Candidate 4]])/(SamplingData[[#Totals],[Winning Candidate]]-SamplingData[[#Totals],[Candidate 4]]), 0)</f>
        <v>0</v>
      </c>
      <c r="T684" s="100">
        <f>IF(AND(SamplingData[[#This Row],[Total]]&lt;&gt; 0, NOT(ISBLANK(SamplingData[[#This Row],[Candidate 5]]))),(SamplingData[[#This Row],[Total]]+SamplingData[[#This Row],[Winning Candidate]]-SamplingData[[#This Row],[Candidate 5]])/(SamplingData[[#Totals],[Winning Candidate]]-SamplingData[[#Totals],[Candidate 5]]), 0)</f>
        <v>0</v>
      </c>
      <c r="U684" s="100">
        <f>IF(AND(SamplingData[[#This Row],[Total]]&lt;&gt; 0, NOT(ISBLANK(SamplingData[[#This Row],[Candidate 6]]))),(SamplingData[[#This Row],[Total]]+SamplingData[[#This Row],[Losing Candidate]]-SamplingData[[#This Row],[Candidate 6]])/(SamplingData[[#Totals],[Winning Candidate]]-SamplingData[[#Totals],[Candidate 6]]), 0)</f>
        <v>0</v>
      </c>
      <c r="V684" s="100">
        <f>IF(AND(SamplingData[[#This Row],[Total]]&lt;&gt; 0, NOT(ISBLANK(SamplingData[[#This Row],[Candidate 7]]))),(SamplingData[[#This Row],[Total]]+SamplingData[[#This Row],[Winning Candidate]]-SamplingData[[#This Row],[Candidate 7]])/(SamplingData[[#Totals],[Winning Candidate]]-SamplingData[[#Totals],[Candidate 7]]), 0)</f>
        <v>0</v>
      </c>
      <c r="W684" s="100">
        <f>IF(AND(SamplingData[[#This Row],[Total]]&lt;&gt; 0, NOT(ISBLANK(SamplingData[[#This Row],[Candidate 8]]))),(SamplingData[[#This Row],[Total]]+SamplingData[[#This Row],[Winning Candidate]]-SamplingData[[#This Row],[Candidate 8]])/(SamplingData[[#Totals],[Winning Candidate]]-SamplingData[[#Totals],[Candidate 8]]), 0)</f>
        <v>0</v>
      </c>
      <c r="X6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00">
        <f>MAX(SamplingData[[#This Row],[Error Bound (up) - Max. possible relative overstatement - Losing Candidate]:[Error Bound (up) - Max. possible relative overstatement - Candidate 12]])</f>
        <v>7.0358388039074033E-3</v>
      </c>
      <c r="AC684" s="100">
        <f>IF(SamplingData[[#This Row],[Max Error Bound (up)]] = 0,0,SamplingData[[#This Row],[Max Error Bound (up)]]/SamplingData[[#Totals],[Max Error Bound (up)]])</f>
        <v>3.0151294890432357E-3</v>
      </c>
      <c r="AD684" s="104">
        <f>SUM($AC$5:AC684)</f>
        <v>0.19031658859634992</v>
      </c>
      <c r="AE684" s="100" t="str" cm="1">
        <f t="array" ref="AE684">IF(SamplingData[[#This Row],[up/U Selection Probability]] = 0, "Zero", TEXT(SamplingData[[#This Row],[Lower Range]], REPT("0",LEN('General Info'!$B$42))) &amp; " - " &amp; TEXT(SamplingData[[#This Row],[Upper Range]], REPT("0",LEN('General Info'!$B$42))))</f>
        <v>18730 - 19031</v>
      </c>
      <c r="AF684" s="100">
        <f>SamplingData[[#This Row],[Upper Range]]-SamplingData[[#This Row],[Span]]</f>
        <v>18730.145910730669</v>
      </c>
      <c r="AG684" s="100">
        <f>IF(ISNUMBER('General Info'!$B$42), ((SamplingData[[#This Row],[up/U Selection Probability]]) * 'General Info'!$B$44) - 1, 0)</f>
        <v>300.51294890432359</v>
      </c>
      <c r="AH684" s="100">
        <f>IF(ISNUMBER('General Info'!$B$42), (SamplingData[[#This Row],[Running (cumulative) sum]] * ('General Info'!$B$42 -'General Info'!$B$43 + 1)) + 'General Info'!$B$43 - 1, 0)</f>
        <v>19030.658859634994</v>
      </c>
      <c r="AI684" s="100" t="str">
        <f>IF(ISERROR(MATCH(SamplingData[[#This Row],[Batch by Type (p)]],SelectedPrecincts[Batch Name], 0)), "", INDEX(SelectedPrecincts[Draw], MATCH(SamplingData[[#This Row],[Batch by Type (p)]],SelectedPrecincts[Batch Name], 0)))</f>
        <v/>
      </c>
      <c r="AJ684" s="101">
        <f>IF(COUNTIF(SelectedPrecincts[Batch Name],SamplingData[[#This Row],[Batch by Type (p)]]) &lt;&gt; 0, COUNTIF(SelectedPrecincts[Batch Name],SamplingData[[#This Row],[Batch by Type (p)]]), 0)</f>
        <v>0</v>
      </c>
    </row>
    <row r="685" spans="1:36" ht="15" customHeight="1" x14ac:dyDescent="0.35">
      <c r="A685" s="98" t="s">
        <v>896</v>
      </c>
      <c r="B685" s="98">
        <v>51</v>
      </c>
      <c r="C685" s="98">
        <v>8</v>
      </c>
      <c r="D685" s="93"/>
      <c r="E685" s="93"/>
      <c r="F685" s="93"/>
      <c r="G685" s="97"/>
      <c r="H685" s="97"/>
      <c r="I685" s="93"/>
      <c r="J685" s="93"/>
      <c r="K685" s="93"/>
      <c r="L685" s="93"/>
      <c r="M685" s="93"/>
      <c r="N685" s="98">
        <v>0</v>
      </c>
      <c r="O685" s="98">
        <v>0</v>
      </c>
      <c r="P685" s="99">
        <f>SUM(SamplingData[[#This Row],[Winning Candidate]:[Under Votes]])</f>
        <v>59</v>
      </c>
      <c r="Q685" s="100">
        <f>IF(AND(SamplingData[[#This Row],[Total]]&lt;&gt; 0, NOT(ISBLANK(SamplingData[[#This Row],[Losing Candidate]]))),(SamplingData[[#This Row],[Total]]+SamplingData[[#This Row],[Winning Candidate]]-SamplingData[[#This Row],[Losing Candidate]])/(SamplingData[[#Totals],[Winning Candidate]]-SamplingData[[#Totals],[Losing Candidate]]), 0)</f>
        <v>3.2038194553506926E-3</v>
      </c>
      <c r="R685" s="100">
        <f>IF(AND(SamplingData[[#This Row],[Total]]&lt;&gt; 0, NOT(ISBLANK(SamplingData[[#This Row],[Candidate 3]]))),(SamplingData[[#This Row],[Total]]+SamplingData[[#This Row],[Winning Candidate]]-SamplingData[[#This Row],[Candidate 3]])/(SamplingData[[#Totals],[Winning Candidate]]-SamplingData[[#Totals],[Candidate 3]]), 0)</f>
        <v>0</v>
      </c>
      <c r="S685" s="100">
        <f>IF(AND(SamplingData[[#This Row],[Total]]&lt;&gt; 0, NOT(ISBLANK(SamplingData[[#This Row],[Candidate 4]]))),(SamplingData[[#This Row],[Total]]+SamplingData[[#This Row],[Winning Candidate]]-SamplingData[[#This Row],[Candidate 4]])/(SamplingData[[#Totals],[Winning Candidate]]-SamplingData[[#Totals],[Candidate 4]]), 0)</f>
        <v>0</v>
      </c>
      <c r="T685" s="100">
        <f>IF(AND(SamplingData[[#This Row],[Total]]&lt;&gt; 0, NOT(ISBLANK(SamplingData[[#This Row],[Candidate 5]]))),(SamplingData[[#This Row],[Total]]+SamplingData[[#This Row],[Winning Candidate]]-SamplingData[[#This Row],[Candidate 5]])/(SamplingData[[#Totals],[Winning Candidate]]-SamplingData[[#Totals],[Candidate 5]]), 0)</f>
        <v>0</v>
      </c>
      <c r="U685" s="100">
        <f>IF(AND(SamplingData[[#This Row],[Total]]&lt;&gt; 0, NOT(ISBLANK(SamplingData[[#This Row],[Candidate 6]]))),(SamplingData[[#This Row],[Total]]+SamplingData[[#This Row],[Losing Candidate]]-SamplingData[[#This Row],[Candidate 6]])/(SamplingData[[#Totals],[Winning Candidate]]-SamplingData[[#Totals],[Candidate 6]]), 0)</f>
        <v>0</v>
      </c>
      <c r="V685" s="100">
        <f>IF(AND(SamplingData[[#This Row],[Total]]&lt;&gt; 0, NOT(ISBLANK(SamplingData[[#This Row],[Candidate 7]]))),(SamplingData[[#This Row],[Total]]+SamplingData[[#This Row],[Winning Candidate]]-SamplingData[[#This Row],[Candidate 7]])/(SamplingData[[#Totals],[Winning Candidate]]-SamplingData[[#Totals],[Candidate 7]]), 0)</f>
        <v>0</v>
      </c>
      <c r="W685" s="100">
        <f>IF(AND(SamplingData[[#This Row],[Total]]&lt;&gt; 0, NOT(ISBLANK(SamplingData[[#This Row],[Candidate 8]]))),(SamplingData[[#This Row],[Total]]+SamplingData[[#This Row],[Winning Candidate]]-SamplingData[[#This Row],[Candidate 8]])/(SamplingData[[#Totals],[Winning Candidate]]-SamplingData[[#Totals],[Candidate 8]]), 0)</f>
        <v>0</v>
      </c>
      <c r="X6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00">
        <f>MAX(SamplingData[[#This Row],[Error Bound (up) - Max. possible relative overstatement - Losing Candidate]:[Error Bound (up) - Max. possible relative overstatement - Candidate 12]])</f>
        <v>3.2038194553506926E-3</v>
      </c>
      <c r="AC685" s="100">
        <f>IF(SamplingData[[#This Row],[Max Error Bound (up)]] = 0,0,SamplingData[[#This Row],[Max Error Bound (up)]]/SamplingData[[#Totals],[Max Error Bound (up)]])</f>
        <v>1.3729607494750449E-3</v>
      </c>
      <c r="AD685" s="104">
        <f>SUM($AC$5:AC685)</f>
        <v>0.19168954934582497</v>
      </c>
      <c r="AE685" s="100" t="str" cm="1">
        <f t="array" ref="AE685">IF(SamplingData[[#This Row],[up/U Selection Probability]] = 0, "Zero", TEXT(SamplingData[[#This Row],[Lower Range]], REPT("0",LEN('General Info'!$B$42))) &amp; " - " &amp; TEXT(SamplingData[[#This Row],[Upper Range]], REPT("0",LEN('General Info'!$B$42))))</f>
        <v>19032 - 19168</v>
      </c>
      <c r="AF685" s="100">
        <f>SamplingData[[#This Row],[Upper Range]]-SamplingData[[#This Row],[Span]]</f>
        <v>19031.65885963499</v>
      </c>
      <c r="AG685" s="100">
        <f>IF(ISNUMBER('General Info'!$B$42), ((SamplingData[[#This Row],[up/U Selection Probability]]) * 'General Info'!$B$44) - 1, 0)</f>
        <v>136.29607494750448</v>
      </c>
      <c r="AH685" s="100">
        <f>IF(ISNUMBER('General Info'!$B$42), (SamplingData[[#This Row],[Running (cumulative) sum]] * ('General Info'!$B$42 -'General Info'!$B$43 + 1)) + 'General Info'!$B$43 - 1, 0)</f>
        <v>19167.954934582496</v>
      </c>
      <c r="AI685" s="100" t="str">
        <f>IF(ISERROR(MATCH(SamplingData[[#This Row],[Batch by Type (p)]],SelectedPrecincts[Batch Name], 0)), "", INDEX(SelectedPrecincts[Draw], MATCH(SamplingData[[#This Row],[Batch by Type (p)]],SelectedPrecincts[Batch Name], 0)))</f>
        <v/>
      </c>
      <c r="AJ685" s="101">
        <f>IF(COUNTIF(SelectedPrecincts[Batch Name],SamplingData[[#This Row],[Batch by Type (p)]]) &lt;&gt; 0, COUNTIF(SelectedPrecincts[Batch Name],SamplingData[[#This Row],[Batch by Type (p)]]), 0)</f>
        <v>0</v>
      </c>
    </row>
    <row r="686" spans="1:36" ht="15" customHeight="1" x14ac:dyDescent="0.35">
      <c r="A686" s="98" t="s">
        <v>897</v>
      </c>
      <c r="B686" s="98">
        <v>0</v>
      </c>
      <c r="C686" s="98">
        <v>0</v>
      </c>
      <c r="D686" s="93"/>
      <c r="E686" s="93"/>
      <c r="F686" s="93"/>
      <c r="G686" s="97"/>
      <c r="H686" s="97"/>
      <c r="I686" s="93"/>
      <c r="J686" s="93"/>
      <c r="K686" s="93"/>
      <c r="L686" s="93"/>
      <c r="M686" s="93"/>
      <c r="N686" s="98">
        <v>0</v>
      </c>
      <c r="O686" s="98">
        <v>0</v>
      </c>
      <c r="P686" s="99">
        <f>SUM(SamplingData[[#This Row],[Winning Candidate]:[Under Votes]])</f>
        <v>0</v>
      </c>
      <c r="Q686" s="100">
        <f>IF(AND(SamplingData[[#This Row],[Total]]&lt;&gt; 0, NOT(ISBLANK(SamplingData[[#This Row],[Losing Candidate]]))),(SamplingData[[#This Row],[Total]]+SamplingData[[#This Row],[Winning Candidate]]-SamplingData[[#This Row],[Losing Candidate]])/(SamplingData[[#Totals],[Winning Candidate]]-SamplingData[[#Totals],[Losing Candidate]]), 0)</f>
        <v>0</v>
      </c>
      <c r="R686" s="100">
        <f>IF(AND(SamplingData[[#This Row],[Total]]&lt;&gt; 0, NOT(ISBLANK(SamplingData[[#This Row],[Candidate 3]]))),(SamplingData[[#This Row],[Total]]+SamplingData[[#This Row],[Winning Candidate]]-SamplingData[[#This Row],[Candidate 3]])/(SamplingData[[#Totals],[Winning Candidate]]-SamplingData[[#Totals],[Candidate 3]]), 0)</f>
        <v>0</v>
      </c>
      <c r="S686" s="100">
        <f>IF(AND(SamplingData[[#This Row],[Total]]&lt;&gt; 0, NOT(ISBLANK(SamplingData[[#This Row],[Candidate 4]]))),(SamplingData[[#This Row],[Total]]+SamplingData[[#This Row],[Winning Candidate]]-SamplingData[[#This Row],[Candidate 4]])/(SamplingData[[#Totals],[Winning Candidate]]-SamplingData[[#Totals],[Candidate 4]]), 0)</f>
        <v>0</v>
      </c>
      <c r="T686" s="100">
        <f>IF(AND(SamplingData[[#This Row],[Total]]&lt;&gt; 0, NOT(ISBLANK(SamplingData[[#This Row],[Candidate 5]]))),(SamplingData[[#This Row],[Total]]+SamplingData[[#This Row],[Winning Candidate]]-SamplingData[[#This Row],[Candidate 5]])/(SamplingData[[#Totals],[Winning Candidate]]-SamplingData[[#Totals],[Candidate 5]]), 0)</f>
        <v>0</v>
      </c>
      <c r="U686" s="100">
        <f>IF(AND(SamplingData[[#This Row],[Total]]&lt;&gt; 0, NOT(ISBLANK(SamplingData[[#This Row],[Candidate 6]]))),(SamplingData[[#This Row],[Total]]+SamplingData[[#This Row],[Losing Candidate]]-SamplingData[[#This Row],[Candidate 6]])/(SamplingData[[#Totals],[Winning Candidate]]-SamplingData[[#Totals],[Candidate 6]]), 0)</f>
        <v>0</v>
      </c>
      <c r="V686" s="100">
        <f>IF(AND(SamplingData[[#This Row],[Total]]&lt;&gt; 0, NOT(ISBLANK(SamplingData[[#This Row],[Candidate 7]]))),(SamplingData[[#This Row],[Total]]+SamplingData[[#This Row],[Winning Candidate]]-SamplingData[[#This Row],[Candidate 7]])/(SamplingData[[#Totals],[Winning Candidate]]-SamplingData[[#Totals],[Candidate 7]]), 0)</f>
        <v>0</v>
      </c>
      <c r="W686" s="100">
        <f>IF(AND(SamplingData[[#This Row],[Total]]&lt;&gt; 0, NOT(ISBLANK(SamplingData[[#This Row],[Candidate 8]]))),(SamplingData[[#This Row],[Total]]+SamplingData[[#This Row],[Winning Candidate]]-SamplingData[[#This Row],[Candidate 8]])/(SamplingData[[#Totals],[Winning Candidate]]-SamplingData[[#Totals],[Candidate 8]]), 0)</f>
        <v>0</v>
      </c>
      <c r="X6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00">
        <f>MAX(SamplingData[[#This Row],[Error Bound (up) - Max. possible relative overstatement - Losing Candidate]:[Error Bound (up) - Max. possible relative overstatement - Candidate 12]])</f>
        <v>0</v>
      </c>
      <c r="AC686" s="100">
        <f>IF(SamplingData[[#This Row],[Max Error Bound (up)]] = 0,0,SamplingData[[#This Row],[Max Error Bound (up)]]/SamplingData[[#Totals],[Max Error Bound (up)]])</f>
        <v>0</v>
      </c>
      <c r="AD686" s="104">
        <f>SUM($AC$5:AC686)</f>
        <v>0.19168954934582497</v>
      </c>
      <c r="AE686" s="100" t="str" cm="1">
        <f t="array" ref="AE686">IF(SamplingData[[#This Row],[up/U Selection Probability]] = 0, "Zero", TEXT(SamplingData[[#This Row],[Lower Range]], REPT("0",LEN('General Info'!$B$42))) &amp; " - " &amp; TEXT(SamplingData[[#This Row],[Upper Range]], REPT("0",LEN('General Info'!$B$42))))</f>
        <v>Zero</v>
      </c>
      <c r="AF686" s="100">
        <f>SamplingData[[#This Row],[Upper Range]]-SamplingData[[#This Row],[Span]]</f>
        <v>19168.954934582496</v>
      </c>
      <c r="AG686" s="100">
        <f>IF(ISNUMBER('General Info'!$B$42), ((SamplingData[[#This Row],[up/U Selection Probability]]) * 'General Info'!$B$44) - 1, 0)</f>
        <v>-1</v>
      </c>
      <c r="AH686" s="100">
        <f>IF(ISNUMBER('General Info'!$B$42), (SamplingData[[#This Row],[Running (cumulative) sum]] * ('General Info'!$B$42 -'General Info'!$B$43 + 1)) + 'General Info'!$B$43 - 1, 0)</f>
        <v>19167.954934582496</v>
      </c>
      <c r="AI686" s="100" t="str">
        <f>IF(ISERROR(MATCH(SamplingData[[#This Row],[Batch by Type (p)]],SelectedPrecincts[Batch Name], 0)), "", INDEX(SelectedPrecincts[Draw], MATCH(SamplingData[[#This Row],[Batch by Type (p)]],SelectedPrecincts[Batch Name], 0)))</f>
        <v/>
      </c>
      <c r="AJ686" s="101">
        <f>IF(COUNTIF(SelectedPrecincts[Batch Name],SamplingData[[#This Row],[Batch by Type (p)]]) &lt;&gt; 0, COUNTIF(SelectedPrecincts[Batch Name],SamplingData[[#This Row],[Batch by Type (p)]]), 0)</f>
        <v>0</v>
      </c>
    </row>
    <row r="687" spans="1:36" ht="15" customHeight="1" x14ac:dyDescent="0.35">
      <c r="A687" s="98" t="s">
        <v>898</v>
      </c>
      <c r="B687" s="98">
        <v>21</v>
      </c>
      <c r="C687" s="98">
        <v>5</v>
      </c>
      <c r="D687" s="93"/>
      <c r="E687" s="93"/>
      <c r="F687" s="93"/>
      <c r="G687" s="97"/>
      <c r="H687" s="97"/>
      <c r="I687" s="93"/>
      <c r="J687" s="93"/>
      <c r="K687" s="93"/>
      <c r="L687" s="93"/>
      <c r="M687" s="93"/>
      <c r="N687" s="98">
        <v>0</v>
      </c>
      <c r="O687" s="98">
        <v>0</v>
      </c>
      <c r="P687" s="99">
        <f>SUM(SamplingData[[#This Row],[Winning Candidate]:[Under Votes]])</f>
        <v>26</v>
      </c>
      <c r="Q687"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687" s="100">
        <f>IF(AND(SamplingData[[#This Row],[Total]]&lt;&gt; 0, NOT(ISBLANK(SamplingData[[#This Row],[Candidate 3]]))),(SamplingData[[#This Row],[Total]]+SamplingData[[#This Row],[Winning Candidate]]-SamplingData[[#This Row],[Candidate 3]])/(SamplingData[[#Totals],[Winning Candidate]]-SamplingData[[#Totals],[Candidate 3]]), 0)</f>
        <v>0</v>
      </c>
      <c r="S687" s="100">
        <f>IF(AND(SamplingData[[#This Row],[Total]]&lt;&gt; 0, NOT(ISBLANK(SamplingData[[#This Row],[Candidate 4]]))),(SamplingData[[#This Row],[Total]]+SamplingData[[#This Row],[Winning Candidate]]-SamplingData[[#This Row],[Candidate 4]])/(SamplingData[[#Totals],[Winning Candidate]]-SamplingData[[#Totals],[Candidate 4]]), 0)</f>
        <v>0</v>
      </c>
      <c r="T687" s="100">
        <f>IF(AND(SamplingData[[#This Row],[Total]]&lt;&gt; 0, NOT(ISBLANK(SamplingData[[#This Row],[Candidate 5]]))),(SamplingData[[#This Row],[Total]]+SamplingData[[#This Row],[Winning Candidate]]-SamplingData[[#This Row],[Candidate 5]])/(SamplingData[[#Totals],[Winning Candidate]]-SamplingData[[#Totals],[Candidate 5]]), 0)</f>
        <v>0</v>
      </c>
      <c r="U687" s="100">
        <f>IF(AND(SamplingData[[#This Row],[Total]]&lt;&gt; 0, NOT(ISBLANK(SamplingData[[#This Row],[Candidate 6]]))),(SamplingData[[#This Row],[Total]]+SamplingData[[#This Row],[Losing Candidate]]-SamplingData[[#This Row],[Candidate 6]])/(SamplingData[[#Totals],[Winning Candidate]]-SamplingData[[#Totals],[Candidate 6]]), 0)</f>
        <v>0</v>
      </c>
      <c r="V687" s="100">
        <f>IF(AND(SamplingData[[#This Row],[Total]]&lt;&gt; 0, NOT(ISBLANK(SamplingData[[#This Row],[Candidate 7]]))),(SamplingData[[#This Row],[Total]]+SamplingData[[#This Row],[Winning Candidate]]-SamplingData[[#This Row],[Candidate 7]])/(SamplingData[[#Totals],[Winning Candidate]]-SamplingData[[#Totals],[Candidate 7]]), 0)</f>
        <v>0</v>
      </c>
      <c r="W687" s="100">
        <f>IF(AND(SamplingData[[#This Row],[Total]]&lt;&gt; 0, NOT(ISBLANK(SamplingData[[#This Row],[Candidate 8]]))),(SamplingData[[#This Row],[Total]]+SamplingData[[#This Row],[Winning Candidate]]-SamplingData[[#This Row],[Candidate 8]])/(SamplingData[[#Totals],[Winning Candidate]]-SamplingData[[#Totals],[Candidate 8]]), 0)</f>
        <v>0</v>
      </c>
      <c r="X6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00">
        <f>MAX(SamplingData[[#This Row],[Error Bound (up) - Max. possible relative overstatement - Losing Candidate]:[Error Bound (up) - Max. possible relative overstatement - Candidate 12]])</f>
        <v>1.3192197757326382E-3</v>
      </c>
      <c r="AC687" s="100">
        <f>IF(SamplingData[[#This Row],[Max Error Bound (up)]] = 0,0,SamplingData[[#This Row],[Max Error Bound (up)]]/SamplingData[[#Totals],[Max Error Bound (up)]])</f>
        <v>5.6533677919560674E-4</v>
      </c>
      <c r="AD687" s="104">
        <f>SUM($AC$5:AC687)</f>
        <v>0.19225488612502056</v>
      </c>
      <c r="AE687" s="100" t="str" cm="1">
        <f t="array" ref="AE687">IF(SamplingData[[#This Row],[up/U Selection Probability]] = 0, "Zero", TEXT(SamplingData[[#This Row],[Lower Range]], REPT("0",LEN('General Info'!$B$42))) &amp; " - " &amp; TEXT(SamplingData[[#This Row],[Upper Range]], REPT("0",LEN('General Info'!$B$42))))</f>
        <v>19169 - 19224</v>
      </c>
      <c r="AF687" s="100">
        <f>SamplingData[[#This Row],[Upper Range]]-SamplingData[[#This Row],[Span]]</f>
        <v>19168.954934582496</v>
      </c>
      <c r="AG687" s="100">
        <f>IF(ISNUMBER('General Info'!$B$42), ((SamplingData[[#This Row],[up/U Selection Probability]]) * 'General Info'!$B$44) - 1, 0)</f>
        <v>55.533677919560674</v>
      </c>
      <c r="AH687" s="100">
        <f>IF(ISNUMBER('General Info'!$B$42), (SamplingData[[#This Row],[Running (cumulative) sum]] * ('General Info'!$B$42 -'General Info'!$B$43 + 1)) + 'General Info'!$B$43 - 1, 0)</f>
        <v>19224.488612502057</v>
      </c>
      <c r="AI687" s="100" t="str">
        <f>IF(ISERROR(MATCH(SamplingData[[#This Row],[Batch by Type (p)]],SelectedPrecincts[Batch Name], 0)), "", INDEX(SelectedPrecincts[Draw], MATCH(SamplingData[[#This Row],[Batch by Type (p)]],SelectedPrecincts[Batch Name], 0)))</f>
        <v/>
      </c>
      <c r="AJ687" s="101">
        <f>IF(COUNTIF(SelectedPrecincts[Batch Name],SamplingData[[#This Row],[Batch by Type (p)]]) &lt;&gt; 0, COUNTIF(SelectedPrecincts[Batch Name],SamplingData[[#This Row],[Batch by Type (p)]]), 0)</f>
        <v>0</v>
      </c>
    </row>
    <row r="688" spans="1:36" ht="15" customHeight="1" x14ac:dyDescent="0.35">
      <c r="A688" s="98" t="s">
        <v>899</v>
      </c>
      <c r="B688" s="98">
        <v>20</v>
      </c>
      <c r="C688" s="98">
        <v>1</v>
      </c>
      <c r="D688" s="93"/>
      <c r="E688" s="93"/>
      <c r="F688" s="93"/>
      <c r="G688" s="97"/>
      <c r="H688" s="97"/>
      <c r="I688" s="93"/>
      <c r="J688" s="93"/>
      <c r="K688" s="93"/>
      <c r="L688" s="93"/>
      <c r="M688" s="93"/>
      <c r="N688" s="98">
        <v>0</v>
      </c>
      <c r="O688" s="98">
        <v>2</v>
      </c>
      <c r="P688" s="99">
        <f>SUM(SamplingData[[#This Row],[Winning Candidate]:[Under Votes]])</f>
        <v>23</v>
      </c>
      <c r="Q688"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688" s="100">
        <f>IF(AND(SamplingData[[#This Row],[Total]]&lt;&gt; 0, NOT(ISBLANK(SamplingData[[#This Row],[Candidate 3]]))),(SamplingData[[#This Row],[Total]]+SamplingData[[#This Row],[Winning Candidate]]-SamplingData[[#This Row],[Candidate 3]])/(SamplingData[[#Totals],[Winning Candidate]]-SamplingData[[#Totals],[Candidate 3]]), 0)</f>
        <v>0</v>
      </c>
      <c r="S688" s="100">
        <f>IF(AND(SamplingData[[#This Row],[Total]]&lt;&gt; 0, NOT(ISBLANK(SamplingData[[#This Row],[Candidate 4]]))),(SamplingData[[#This Row],[Total]]+SamplingData[[#This Row],[Winning Candidate]]-SamplingData[[#This Row],[Candidate 4]])/(SamplingData[[#Totals],[Winning Candidate]]-SamplingData[[#Totals],[Candidate 4]]), 0)</f>
        <v>0</v>
      </c>
      <c r="T688" s="100">
        <f>IF(AND(SamplingData[[#This Row],[Total]]&lt;&gt; 0, NOT(ISBLANK(SamplingData[[#This Row],[Candidate 5]]))),(SamplingData[[#This Row],[Total]]+SamplingData[[#This Row],[Winning Candidate]]-SamplingData[[#This Row],[Candidate 5]])/(SamplingData[[#Totals],[Winning Candidate]]-SamplingData[[#Totals],[Candidate 5]]), 0)</f>
        <v>0</v>
      </c>
      <c r="U688" s="100">
        <f>IF(AND(SamplingData[[#This Row],[Total]]&lt;&gt; 0, NOT(ISBLANK(SamplingData[[#This Row],[Candidate 6]]))),(SamplingData[[#This Row],[Total]]+SamplingData[[#This Row],[Losing Candidate]]-SamplingData[[#This Row],[Candidate 6]])/(SamplingData[[#Totals],[Winning Candidate]]-SamplingData[[#Totals],[Candidate 6]]), 0)</f>
        <v>0</v>
      </c>
      <c r="V688" s="100">
        <f>IF(AND(SamplingData[[#This Row],[Total]]&lt;&gt; 0, NOT(ISBLANK(SamplingData[[#This Row],[Candidate 7]]))),(SamplingData[[#This Row],[Total]]+SamplingData[[#This Row],[Winning Candidate]]-SamplingData[[#This Row],[Candidate 7]])/(SamplingData[[#Totals],[Winning Candidate]]-SamplingData[[#Totals],[Candidate 7]]), 0)</f>
        <v>0</v>
      </c>
      <c r="W688" s="100">
        <f>IF(AND(SamplingData[[#This Row],[Total]]&lt;&gt; 0, NOT(ISBLANK(SamplingData[[#This Row],[Candidate 8]]))),(SamplingData[[#This Row],[Total]]+SamplingData[[#This Row],[Winning Candidate]]-SamplingData[[#This Row],[Candidate 8]])/(SamplingData[[#Totals],[Winning Candidate]]-SamplingData[[#Totals],[Candidate 8]]), 0)</f>
        <v>0</v>
      </c>
      <c r="X6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00">
        <f>MAX(SamplingData[[#This Row],[Error Bound (up) - Max. possible relative overstatement - Losing Candidate]:[Error Bound (up) - Max. possible relative overstatement - Candidate 12]])</f>
        <v>1.3192197757326382E-3</v>
      </c>
      <c r="AC688" s="100">
        <f>IF(SamplingData[[#This Row],[Max Error Bound (up)]] = 0,0,SamplingData[[#This Row],[Max Error Bound (up)]]/SamplingData[[#Totals],[Max Error Bound (up)]])</f>
        <v>5.6533677919560674E-4</v>
      </c>
      <c r="AD688" s="104">
        <f>SUM($AC$5:AC688)</f>
        <v>0.19282022290421616</v>
      </c>
      <c r="AE688" s="100" t="str" cm="1">
        <f t="array" ref="AE688">IF(SamplingData[[#This Row],[up/U Selection Probability]] = 0, "Zero", TEXT(SamplingData[[#This Row],[Lower Range]], REPT("0",LEN('General Info'!$B$42))) &amp; " - " &amp; TEXT(SamplingData[[#This Row],[Upper Range]], REPT("0",LEN('General Info'!$B$42))))</f>
        <v>19225 - 19281</v>
      </c>
      <c r="AF688" s="100">
        <f>SamplingData[[#This Row],[Upper Range]]-SamplingData[[#This Row],[Span]]</f>
        <v>19225.488612502057</v>
      </c>
      <c r="AG688" s="100">
        <f>IF(ISNUMBER('General Info'!$B$42), ((SamplingData[[#This Row],[up/U Selection Probability]]) * 'General Info'!$B$44) - 1, 0)</f>
        <v>55.533677919560674</v>
      </c>
      <c r="AH688" s="100">
        <f>IF(ISNUMBER('General Info'!$B$42), (SamplingData[[#This Row],[Running (cumulative) sum]] * ('General Info'!$B$42 -'General Info'!$B$43 + 1)) + 'General Info'!$B$43 - 1, 0)</f>
        <v>19281.022290421617</v>
      </c>
      <c r="AI688" s="100" t="str">
        <f>IF(ISERROR(MATCH(SamplingData[[#This Row],[Batch by Type (p)]],SelectedPrecincts[Batch Name], 0)), "", INDEX(SelectedPrecincts[Draw], MATCH(SamplingData[[#This Row],[Batch by Type (p)]],SelectedPrecincts[Batch Name], 0)))</f>
        <v/>
      </c>
      <c r="AJ688" s="101">
        <f>IF(COUNTIF(SelectedPrecincts[Batch Name],SamplingData[[#This Row],[Batch by Type (p)]]) &lt;&gt; 0, COUNTIF(SelectedPrecincts[Batch Name],SamplingData[[#This Row],[Batch by Type (p)]]), 0)</f>
        <v>0</v>
      </c>
    </row>
    <row r="689" spans="1:36" ht="15" customHeight="1" x14ac:dyDescent="0.35">
      <c r="A689" s="98" t="s">
        <v>900</v>
      </c>
      <c r="B689" s="98">
        <v>39</v>
      </c>
      <c r="C689" s="98">
        <v>7</v>
      </c>
      <c r="D689" s="93"/>
      <c r="E689" s="93"/>
      <c r="F689" s="93"/>
      <c r="G689" s="97"/>
      <c r="H689" s="97"/>
      <c r="I689" s="93"/>
      <c r="J689" s="93"/>
      <c r="K689" s="93"/>
      <c r="L689" s="93"/>
      <c r="M689" s="93"/>
      <c r="N689" s="98">
        <v>0</v>
      </c>
      <c r="O689" s="98">
        <v>1</v>
      </c>
      <c r="P689" s="99">
        <f>SUM(SamplingData[[#This Row],[Winning Candidate]:[Under Votes]])</f>
        <v>47</v>
      </c>
      <c r="Q689" s="100">
        <f>IF(AND(SamplingData[[#This Row],[Total]]&lt;&gt; 0, NOT(ISBLANK(SamplingData[[#This Row],[Losing Candidate]]))),(SamplingData[[#This Row],[Total]]+SamplingData[[#This Row],[Winning Candidate]]-SamplingData[[#This Row],[Losing Candidate]])/(SamplingData[[#Totals],[Winning Candidate]]-SamplingData[[#Totals],[Losing Candidate]]), 0)</f>
        <v>2.4813895781637717E-3</v>
      </c>
      <c r="R689" s="100">
        <f>IF(AND(SamplingData[[#This Row],[Total]]&lt;&gt; 0, NOT(ISBLANK(SamplingData[[#This Row],[Candidate 3]]))),(SamplingData[[#This Row],[Total]]+SamplingData[[#This Row],[Winning Candidate]]-SamplingData[[#This Row],[Candidate 3]])/(SamplingData[[#Totals],[Winning Candidate]]-SamplingData[[#Totals],[Candidate 3]]), 0)</f>
        <v>0</v>
      </c>
      <c r="S689" s="100">
        <f>IF(AND(SamplingData[[#This Row],[Total]]&lt;&gt; 0, NOT(ISBLANK(SamplingData[[#This Row],[Candidate 4]]))),(SamplingData[[#This Row],[Total]]+SamplingData[[#This Row],[Winning Candidate]]-SamplingData[[#This Row],[Candidate 4]])/(SamplingData[[#Totals],[Winning Candidate]]-SamplingData[[#Totals],[Candidate 4]]), 0)</f>
        <v>0</v>
      </c>
      <c r="T689" s="100">
        <f>IF(AND(SamplingData[[#This Row],[Total]]&lt;&gt; 0, NOT(ISBLANK(SamplingData[[#This Row],[Candidate 5]]))),(SamplingData[[#This Row],[Total]]+SamplingData[[#This Row],[Winning Candidate]]-SamplingData[[#This Row],[Candidate 5]])/(SamplingData[[#Totals],[Winning Candidate]]-SamplingData[[#Totals],[Candidate 5]]), 0)</f>
        <v>0</v>
      </c>
      <c r="U689" s="100">
        <f>IF(AND(SamplingData[[#This Row],[Total]]&lt;&gt; 0, NOT(ISBLANK(SamplingData[[#This Row],[Candidate 6]]))),(SamplingData[[#This Row],[Total]]+SamplingData[[#This Row],[Losing Candidate]]-SamplingData[[#This Row],[Candidate 6]])/(SamplingData[[#Totals],[Winning Candidate]]-SamplingData[[#Totals],[Candidate 6]]), 0)</f>
        <v>0</v>
      </c>
      <c r="V689" s="100">
        <f>IF(AND(SamplingData[[#This Row],[Total]]&lt;&gt; 0, NOT(ISBLANK(SamplingData[[#This Row],[Candidate 7]]))),(SamplingData[[#This Row],[Total]]+SamplingData[[#This Row],[Winning Candidate]]-SamplingData[[#This Row],[Candidate 7]])/(SamplingData[[#Totals],[Winning Candidate]]-SamplingData[[#Totals],[Candidate 7]]), 0)</f>
        <v>0</v>
      </c>
      <c r="W689" s="100">
        <f>IF(AND(SamplingData[[#This Row],[Total]]&lt;&gt; 0, NOT(ISBLANK(SamplingData[[#This Row],[Candidate 8]]))),(SamplingData[[#This Row],[Total]]+SamplingData[[#This Row],[Winning Candidate]]-SamplingData[[#This Row],[Candidate 8]])/(SamplingData[[#Totals],[Winning Candidate]]-SamplingData[[#Totals],[Candidate 8]]), 0)</f>
        <v>0</v>
      </c>
      <c r="X6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00">
        <f>MAX(SamplingData[[#This Row],[Error Bound (up) - Max. possible relative overstatement - Losing Candidate]:[Error Bound (up) - Max. possible relative overstatement - Candidate 12]])</f>
        <v>2.4813895781637717E-3</v>
      </c>
      <c r="AC689" s="100">
        <f>IF(SamplingData[[#This Row],[Max Error Bound (up)]] = 0,0,SamplingData[[#This Row],[Max Error Bound (up)]]/SamplingData[[#Totals],[Max Error Bound (up)]])</f>
        <v>1.063371560867927E-3</v>
      </c>
      <c r="AD689" s="104">
        <f>SUM($AC$5:AC689)</f>
        <v>0.19388359446508407</v>
      </c>
      <c r="AE689" s="100" t="str" cm="1">
        <f t="array" ref="AE689">IF(SamplingData[[#This Row],[up/U Selection Probability]] = 0, "Zero", TEXT(SamplingData[[#This Row],[Lower Range]], REPT("0",LEN('General Info'!$B$42))) &amp; " - " &amp; TEXT(SamplingData[[#This Row],[Upper Range]], REPT("0",LEN('General Info'!$B$42))))</f>
        <v>19282 - 19387</v>
      </c>
      <c r="AF689" s="100">
        <f>SamplingData[[#This Row],[Upper Range]]-SamplingData[[#This Row],[Span]]</f>
        <v>19282.022290421613</v>
      </c>
      <c r="AG689" s="100">
        <f>IF(ISNUMBER('General Info'!$B$42), ((SamplingData[[#This Row],[up/U Selection Probability]]) * 'General Info'!$B$44) - 1, 0)</f>
        <v>105.3371560867927</v>
      </c>
      <c r="AH689" s="100">
        <f>IF(ISNUMBER('General Info'!$B$42), (SamplingData[[#This Row],[Running (cumulative) sum]] * ('General Info'!$B$42 -'General Info'!$B$43 + 1)) + 'General Info'!$B$43 - 1, 0)</f>
        <v>19387.359446508406</v>
      </c>
      <c r="AI689" s="100" t="str">
        <f>IF(ISERROR(MATCH(SamplingData[[#This Row],[Batch by Type (p)]],SelectedPrecincts[Batch Name], 0)), "", INDEX(SelectedPrecincts[Draw], MATCH(SamplingData[[#This Row],[Batch by Type (p)]],SelectedPrecincts[Batch Name], 0)))</f>
        <v/>
      </c>
      <c r="AJ689" s="101">
        <f>IF(COUNTIF(SelectedPrecincts[Batch Name],SamplingData[[#This Row],[Batch by Type (p)]]) &lt;&gt; 0, COUNTIF(SelectedPrecincts[Batch Name],SamplingData[[#This Row],[Batch by Type (p)]]), 0)</f>
        <v>0</v>
      </c>
    </row>
    <row r="690" spans="1:36" ht="15" customHeight="1" x14ac:dyDescent="0.35">
      <c r="A690" s="98" t="s">
        <v>901</v>
      </c>
      <c r="B690" s="98">
        <v>22</v>
      </c>
      <c r="C690" s="98">
        <v>0</v>
      </c>
      <c r="D690" s="93"/>
      <c r="E690" s="93"/>
      <c r="F690" s="93"/>
      <c r="G690" s="97"/>
      <c r="H690" s="97"/>
      <c r="I690" s="93"/>
      <c r="J690" s="93"/>
      <c r="K690" s="93"/>
      <c r="L690" s="93"/>
      <c r="M690" s="93"/>
      <c r="N690" s="98">
        <v>0</v>
      </c>
      <c r="O690" s="98">
        <v>0</v>
      </c>
      <c r="P690" s="99">
        <f>SUM(SamplingData[[#This Row],[Winning Candidate]:[Under Votes]])</f>
        <v>22</v>
      </c>
      <c r="Q690" s="100">
        <f>IF(AND(SamplingData[[#This Row],[Total]]&lt;&gt; 0, NOT(ISBLANK(SamplingData[[#This Row],[Losing Candidate]]))),(SamplingData[[#This Row],[Total]]+SamplingData[[#This Row],[Winning Candidate]]-SamplingData[[#This Row],[Losing Candidate]])/(SamplingData[[#Totals],[Winning Candidate]]-SamplingData[[#Totals],[Losing Candidate]]), 0)</f>
        <v>1.38203976505324E-3</v>
      </c>
      <c r="R690" s="100">
        <f>IF(AND(SamplingData[[#This Row],[Total]]&lt;&gt; 0, NOT(ISBLANK(SamplingData[[#This Row],[Candidate 3]]))),(SamplingData[[#This Row],[Total]]+SamplingData[[#This Row],[Winning Candidate]]-SamplingData[[#This Row],[Candidate 3]])/(SamplingData[[#Totals],[Winning Candidate]]-SamplingData[[#Totals],[Candidate 3]]), 0)</f>
        <v>0</v>
      </c>
      <c r="S690" s="100">
        <f>IF(AND(SamplingData[[#This Row],[Total]]&lt;&gt; 0, NOT(ISBLANK(SamplingData[[#This Row],[Candidate 4]]))),(SamplingData[[#This Row],[Total]]+SamplingData[[#This Row],[Winning Candidate]]-SamplingData[[#This Row],[Candidate 4]])/(SamplingData[[#Totals],[Winning Candidate]]-SamplingData[[#Totals],[Candidate 4]]), 0)</f>
        <v>0</v>
      </c>
      <c r="T690" s="100">
        <f>IF(AND(SamplingData[[#This Row],[Total]]&lt;&gt; 0, NOT(ISBLANK(SamplingData[[#This Row],[Candidate 5]]))),(SamplingData[[#This Row],[Total]]+SamplingData[[#This Row],[Winning Candidate]]-SamplingData[[#This Row],[Candidate 5]])/(SamplingData[[#Totals],[Winning Candidate]]-SamplingData[[#Totals],[Candidate 5]]), 0)</f>
        <v>0</v>
      </c>
      <c r="U690" s="100">
        <f>IF(AND(SamplingData[[#This Row],[Total]]&lt;&gt; 0, NOT(ISBLANK(SamplingData[[#This Row],[Candidate 6]]))),(SamplingData[[#This Row],[Total]]+SamplingData[[#This Row],[Losing Candidate]]-SamplingData[[#This Row],[Candidate 6]])/(SamplingData[[#Totals],[Winning Candidate]]-SamplingData[[#Totals],[Candidate 6]]), 0)</f>
        <v>0</v>
      </c>
      <c r="V690" s="100">
        <f>IF(AND(SamplingData[[#This Row],[Total]]&lt;&gt; 0, NOT(ISBLANK(SamplingData[[#This Row],[Candidate 7]]))),(SamplingData[[#This Row],[Total]]+SamplingData[[#This Row],[Winning Candidate]]-SamplingData[[#This Row],[Candidate 7]])/(SamplingData[[#Totals],[Winning Candidate]]-SamplingData[[#Totals],[Candidate 7]]), 0)</f>
        <v>0</v>
      </c>
      <c r="W690" s="100">
        <f>IF(AND(SamplingData[[#This Row],[Total]]&lt;&gt; 0, NOT(ISBLANK(SamplingData[[#This Row],[Candidate 8]]))),(SamplingData[[#This Row],[Total]]+SamplingData[[#This Row],[Winning Candidate]]-SamplingData[[#This Row],[Candidate 8]])/(SamplingData[[#Totals],[Winning Candidate]]-SamplingData[[#Totals],[Candidate 8]]), 0)</f>
        <v>0</v>
      </c>
      <c r="X6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00">
        <f>MAX(SamplingData[[#This Row],[Error Bound (up) - Max. possible relative overstatement - Losing Candidate]:[Error Bound (up) - Max. possible relative overstatement - Candidate 12]])</f>
        <v>1.38203976505324E-3</v>
      </c>
      <c r="AC690" s="100">
        <f>IF(SamplingData[[#This Row],[Max Error Bound (up)]] = 0,0,SamplingData[[#This Row],[Max Error Bound (up)]]/SamplingData[[#Totals],[Max Error Bound (up)]])</f>
        <v>5.9225757820492134E-4</v>
      </c>
      <c r="AD690" s="104">
        <f>SUM($AC$5:AC690)</f>
        <v>0.19447585204328899</v>
      </c>
      <c r="AE690" s="100" t="str" cm="1">
        <f t="array" ref="AE690">IF(SamplingData[[#This Row],[up/U Selection Probability]] = 0, "Zero", TEXT(SamplingData[[#This Row],[Lower Range]], REPT("0",LEN('General Info'!$B$42))) &amp; " - " &amp; TEXT(SamplingData[[#This Row],[Upper Range]], REPT("0",LEN('General Info'!$B$42))))</f>
        <v>19388 - 19447</v>
      </c>
      <c r="AF690" s="100">
        <f>SamplingData[[#This Row],[Upper Range]]-SamplingData[[#This Row],[Span]]</f>
        <v>19388.359446508406</v>
      </c>
      <c r="AG690" s="100">
        <f>IF(ISNUMBER('General Info'!$B$42), ((SamplingData[[#This Row],[up/U Selection Probability]]) * 'General Info'!$B$44) - 1, 0)</f>
        <v>58.225757820492134</v>
      </c>
      <c r="AH690" s="100">
        <f>IF(ISNUMBER('General Info'!$B$42), (SamplingData[[#This Row],[Running (cumulative) sum]] * ('General Info'!$B$42 -'General Info'!$B$43 + 1)) + 'General Info'!$B$43 - 1, 0)</f>
        <v>19446.585204328898</v>
      </c>
      <c r="AI690" s="100" t="str">
        <f>IF(ISERROR(MATCH(SamplingData[[#This Row],[Batch by Type (p)]],SelectedPrecincts[Batch Name], 0)), "", INDEX(SelectedPrecincts[Draw], MATCH(SamplingData[[#This Row],[Batch by Type (p)]],SelectedPrecincts[Batch Name], 0)))</f>
        <v/>
      </c>
      <c r="AJ690" s="101">
        <f>IF(COUNTIF(SelectedPrecincts[Batch Name],SamplingData[[#This Row],[Batch by Type (p)]]) &lt;&gt; 0, COUNTIF(SelectedPrecincts[Batch Name],SamplingData[[#This Row],[Batch by Type (p)]]), 0)</f>
        <v>0</v>
      </c>
    </row>
    <row r="691" spans="1:36" ht="15" customHeight="1" x14ac:dyDescent="0.35">
      <c r="A691" s="98" t="s">
        <v>902</v>
      </c>
      <c r="B691" s="98">
        <v>13</v>
      </c>
      <c r="C691" s="98">
        <v>5</v>
      </c>
      <c r="D691" s="93"/>
      <c r="E691" s="93"/>
      <c r="F691" s="93"/>
      <c r="G691" s="97"/>
      <c r="H691" s="97"/>
      <c r="I691" s="93"/>
      <c r="J691" s="93"/>
      <c r="K691" s="93"/>
      <c r="L691" s="93"/>
      <c r="M691" s="93"/>
      <c r="N691" s="98">
        <v>0</v>
      </c>
      <c r="O691" s="98">
        <v>1</v>
      </c>
      <c r="P691" s="99">
        <f>SUM(SamplingData[[#This Row],[Winning Candidate]:[Under Votes]])</f>
        <v>19</v>
      </c>
      <c r="Q691" s="100">
        <f>IF(AND(SamplingData[[#This Row],[Total]]&lt;&gt; 0, NOT(ISBLANK(SamplingData[[#This Row],[Losing Candidate]]))),(SamplingData[[#This Row],[Total]]+SamplingData[[#This Row],[Winning Candidate]]-SamplingData[[#This Row],[Losing Candidate]])/(SamplingData[[#Totals],[Winning Candidate]]-SamplingData[[#Totals],[Losing Candidate]]), 0)</f>
        <v>8.4806985582812453E-4</v>
      </c>
      <c r="R691" s="100">
        <f>IF(AND(SamplingData[[#This Row],[Total]]&lt;&gt; 0, NOT(ISBLANK(SamplingData[[#This Row],[Candidate 3]]))),(SamplingData[[#This Row],[Total]]+SamplingData[[#This Row],[Winning Candidate]]-SamplingData[[#This Row],[Candidate 3]])/(SamplingData[[#Totals],[Winning Candidate]]-SamplingData[[#Totals],[Candidate 3]]), 0)</f>
        <v>0</v>
      </c>
      <c r="S691" s="100">
        <f>IF(AND(SamplingData[[#This Row],[Total]]&lt;&gt; 0, NOT(ISBLANK(SamplingData[[#This Row],[Candidate 4]]))),(SamplingData[[#This Row],[Total]]+SamplingData[[#This Row],[Winning Candidate]]-SamplingData[[#This Row],[Candidate 4]])/(SamplingData[[#Totals],[Winning Candidate]]-SamplingData[[#Totals],[Candidate 4]]), 0)</f>
        <v>0</v>
      </c>
      <c r="T691" s="100">
        <f>IF(AND(SamplingData[[#This Row],[Total]]&lt;&gt; 0, NOT(ISBLANK(SamplingData[[#This Row],[Candidate 5]]))),(SamplingData[[#This Row],[Total]]+SamplingData[[#This Row],[Winning Candidate]]-SamplingData[[#This Row],[Candidate 5]])/(SamplingData[[#Totals],[Winning Candidate]]-SamplingData[[#Totals],[Candidate 5]]), 0)</f>
        <v>0</v>
      </c>
      <c r="U691" s="100">
        <f>IF(AND(SamplingData[[#This Row],[Total]]&lt;&gt; 0, NOT(ISBLANK(SamplingData[[#This Row],[Candidate 6]]))),(SamplingData[[#This Row],[Total]]+SamplingData[[#This Row],[Losing Candidate]]-SamplingData[[#This Row],[Candidate 6]])/(SamplingData[[#Totals],[Winning Candidate]]-SamplingData[[#Totals],[Candidate 6]]), 0)</f>
        <v>0</v>
      </c>
      <c r="V691" s="100">
        <f>IF(AND(SamplingData[[#This Row],[Total]]&lt;&gt; 0, NOT(ISBLANK(SamplingData[[#This Row],[Candidate 7]]))),(SamplingData[[#This Row],[Total]]+SamplingData[[#This Row],[Winning Candidate]]-SamplingData[[#This Row],[Candidate 7]])/(SamplingData[[#Totals],[Winning Candidate]]-SamplingData[[#Totals],[Candidate 7]]), 0)</f>
        <v>0</v>
      </c>
      <c r="W691" s="100">
        <f>IF(AND(SamplingData[[#This Row],[Total]]&lt;&gt; 0, NOT(ISBLANK(SamplingData[[#This Row],[Candidate 8]]))),(SamplingData[[#This Row],[Total]]+SamplingData[[#This Row],[Winning Candidate]]-SamplingData[[#This Row],[Candidate 8]])/(SamplingData[[#Totals],[Winning Candidate]]-SamplingData[[#Totals],[Candidate 8]]), 0)</f>
        <v>0</v>
      </c>
      <c r="X6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00">
        <f>MAX(SamplingData[[#This Row],[Error Bound (up) - Max. possible relative overstatement - Losing Candidate]:[Error Bound (up) - Max. possible relative overstatement - Candidate 12]])</f>
        <v>8.4806985582812453E-4</v>
      </c>
      <c r="AC691" s="100">
        <f>IF(SamplingData[[#This Row],[Max Error Bound (up)]] = 0,0,SamplingData[[#This Row],[Max Error Bound (up)]]/SamplingData[[#Totals],[Max Error Bound (up)]])</f>
        <v>3.6343078662574721E-4</v>
      </c>
      <c r="AD691" s="104">
        <f>SUM($AC$5:AC691)</f>
        <v>0.19483928282991472</v>
      </c>
      <c r="AE691" s="100" t="str" cm="1">
        <f t="array" ref="AE691">IF(SamplingData[[#This Row],[up/U Selection Probability]] = 0, "Zero", TEXT(SamplingData[[#This Row],[Lower Range]], REPT("0",LEN('General Info'!$B$42))) &amp; " - " &amp; TEXT(SamplingData[[#This Row],[Upper Range]], REPT("0",LEN('General Info'!$B$42))))</f>
        <v>19448 - 19483</v>
      </c>
      <c r="AF691" s="100">
        <f>SamplingData[[#This Row],[Upper Range]]-SamplingData[[#This Row],[Span]]</f>
        <v>19447.585204328898</v>
      </c>
      <c r="AG691" s="100">
        <f>IF(ISNUMBER('General Info'!$B$42), ((SamplingData[[#This Row],[up/U Selection Probability]]) * 'General Info'!$B$44) - 1, 0)</f>
        <v>35.343078662574719</v>
      </c>
      <c r="AH691" s="100">
        <f>IF(ISNUMBER('General Info'!$B$42), (SamplingData[[#This Row],[Running (cumulative) sum]] * ('General Info'!$B$42 -'General Info'!$B$43 + 1)) + 'General Info'!$B$43 - 1, 0)</f>
        <v>19482.928282991474</v>
      </c>
      <c r="AI691" s="100" t="str">
        <f>IF(ISERROR(MATCH(SamplingData[[#This Row],[Batch by Type (p)]],SelectedPrecincts[Batch Name], 0)), "", INDEX(SelectedPrecincts[Draw], MATCH(SamplingData[[#This Row],[Batch by Type (p)]],SelectedPrecincts[Batch Name], 0)))</f>
        <v/>
      </c>
      <c r="AJ691" s="101">
        <f>IF(COUNTIF(SelectedPrecincts[Batch Name],SamplingData[[#This Row],[Batch by Type (p)]]) &lt;&gt; 0, COUNTIF(SelectedPrecincts[Batch Name],SamplingData[[#This Row],[Batch by Type (p)]]), 0)</f>
        <v>0</v>
      </c>
    </row>
    <row r="692" spans="1:36" ht="15" customHeight="1" x14ac:dyDescent="0.35">
      <c r="A692" s="98" t="s">
        <v>903</v>
      </c>
      <c r="B692" s="98">
        <v>5</v>
      </c>
      <c r="C692" s="98">
        <v>1</v>
      </c>
      <c r="D692" s="93"/>
      <c r="E692" s="93"/>
      <c r="F692" s="93"/>
      <c r="G692" s="97"/>
      <c r="H692" s="97"/>
      <c r="I692" s="93"/>
      <c r="J692" s="93"/>
      <c r="K692" s="93"/>
      <c r="L692" s="93"/>
      <c r="M692" s="93"/>
      <c r="N692" s="98">
        <v>0</v>
      </c>
      <c r="O692" s="98">
        <v>0</v>
      </c>
      <c r="P692" s="99">
        <f>SUM(SamplingData[[#This Row],[Winning Candidate]:[Under Votes]])</f>
        <v>6</v>
      </c>
      <c r="Q692"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692" s="100">
        <f>IF(AND(SamplingData[[#This Row],[Total]]&lt;&gt; 0, NOT(ISBLANK(SamplingData[[#This Row],[Candidate 3]]))),(SamplingData[[#This Row],[Total]]+SamplingData[[#This Row],[Winning Candidate]]-SamplingData[[#This Row],[Candidate 3]])/(SamplingData[[#Totals],[Winning Candidate]]-SamplingData[[#Totals],[Candidate 3]]), 0)</f>
        <v>0</v>
      </c>
      <c r="S692" s="100">
        <f>IF(AND(SamplingData[[#This Row],[Total]]&lt;&gt; 0, NOT(ISBLANK(SamplingData[[#This Row],[Candidate 4]]))),(SamplingData[[#This Row],[Total]]+SamplingData[[#This Row],[Winning Candidate]]-SamplingData[[#This Row],[Candidate 4]])/(SamplingData[[#Totals],[Winning Candidate]]-SamplingData[[#Totals],[Candidate 4]]), 0)</f>
        <v>0</v>
      </c>
      <c r="T692" s="100">
        <f>IF(AND(SamplingData[[#This Row],[Total]]&lt;&gt; 0, NOT(ISBLANK(SamplingData[[#This Row],[Candidate 5]]))),(SamplingData[[#This Row],[Total]]+SamplingData[[#This Row],[Winning Candidate]]-SamplingData[[#This Row],[Candidate 5]])/(SamplingData[[#Totals],[Winning Candidate]]-SamplingData[[#Totals],[Candidate 5]]), 0)</f>
        <v>0</v>
      </c>
      <c r="U692" s="100">
        <f>IF(AND(SamplingData[[#This Row],[Total]]&lt;&gt; 0, NOT(ISBLANK(SamplingData[[#This Row],[Candidate 6]]))),(SamplingData[[#This Row],[Total]]+SamplingData[[#This Row],[Losing Candidate]]-SamplingData[[#This Row],[Candidate 6]])/(SamplingData[[#Totals],[Winning Candidate]]-SamplingData[[#Totals],[Candidate 6]]), 0)</f>
        <v>0</v>
      </c>
      <c r="V692" s="100">
        <f>IF(AND(SamplingData[[#This Row],[Total]]&lt;&gt; 0, NOT(ISBLANK(SamplingData[[#This Row],[Candidate 7]]))),(SamplingData[[#This Row],[Total]]+SamplingData[[#This Row],[Winning Candidate]]-SamplingData[[#This Row],[Candidate 7]])/(SamplingData[[#Totals],[Winning Candidate]]-SamplingData[[#Totals],[Candidate 7]]), 0)</f>
        <v>0</v>
      </c>
      <c r="W692" s="100">
        <f>IF(AND(SamplingData[[#This Row],[Total]]&lt;&gt; 0, NOT(ISBLANK(SamplingData[[#This Row],[Candidate 8]]))),(SamplingData[[#This Row],[Total]]+SamplingData[[#This Row],[Winning Candidate]]-SamplingData[[#This Row],[Candidate 8]])/(SamplingData[[#Totals],[Winning Candidate]]-SamplingData[[#Totals],[Candidate 8]]), 0)</f>
        <v>0</v>
      </c>
      <c r="X6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00">
        <f>MAX(SamplingData[[#This Row],[Error Bound (up) - Max. possible relative overstatement - Losing Candidate]:[Error Bound (up) - Max. possible relative overstatement - Candidate 12]])</f>
        <v>3.1409994660300906E-4</v>
      </c>
      <c r="AC692" s="100">
        <f>IF(SamplingData[[#This Row],[Max Error Bound (up)]] = 0,0,SamplingData[[#This Row],[Max Error Bound (up)]]/SamplingData[[#Totals],[Max Error Bound (up)]])</f>
        <v>1.3460399504657304E-4</v>
      </c>
      <c r="AD692" s="104">
        <f>SUM($AC$5:AC692)</f>
        <v>0.19497388682496131</v>
      </c>
      <c r="AE692" s="100" t="str" cm="1">
        <f t="array" ref="AE692">IF(SamplingData[[#This Row],[up/U Selection Probability]] = 0, "Zero", TEXT(SamplingData[[#This Row],[Lower Range]], REPT("0",LEN('General Info'!$B$42))) &amp; " - " &amp; TEXT(SamplingData[[#This Row],[Upper Range]], REPT("0",LEN('General Info'!$B$42))))</f>
        <v>19484 - 19496</v>
      </c>
      <c r="AF692" s="100">
        <f>SamplingData[[#This Row],[Upper Range]]-SamplingData[[#This Row],[Span]]</f>
        <v>19483.928282991474</v>
      </c>
      <c r="AG692" s="100">
        <f>IF(ISNUMBER('General Info'!$B$42), ((SamplingData[[#This Row],[up/U Selection Probability]]) * 'General Info'!$B$44) - 1, 0)</f>
        <v>12.460399504657303</v>
      </c>
      <c r="AH692" s="100">
        <f>IF(ISNUMBER('General Info'!$B$42), (SamplingData[[#This Row],[Running (cumulative) sum]] * ('General Info'!$B$42 -'General Info'!$B$43 + 1)) + 'General Info'!$B$43 - 1, 0)</f>
        <v>19496.38868249613</v>
      </c>
      <c r="AI692" s="100" t="str">
        <f>IF(ISERROR(MATCH(SamplingData[[#This Row],[Batch by Type (p)]],SelectedPrecincts[Batch Name], 0)), "", INDEX(SelectedPrecincts[Draw], MATCH(SamplingData[[#This Row],[Batch by Type (p)]],SelectedPrecincts[Batch Name], 0)))</f>
        <v/>
      </c>
      <c r="AJ692" s="101">
        <f>IF(COUNTIF(SelectedPrecincts[Batch Name],SamplingData[[#This Row],[Batch by Type (p)]]) &lt;&gt; 0, COUNTIF(SelectedPrecincts[Batch Name],SamplingData[[#This Row],[Batch by Type (p)]]), 0)</f>
        <v>0</v>
      </c>
    </row>
    <row r="693" spans="1:36" ht="15" customHeight="1" x14ac:dyDescent="0.35">
      <c r="A693" s="98" t="s">
        <v>904</v>
      </c>
      <c r="B693" s="98">
        <v>6</v>
      </c>
      <c r="C693" s="98">
        <v>1</v>
      </c>
      <c r="D693" s="93"/>
      <c r="E693" s="93"/>
      <c r="F693" s="93"/>
      <c r="G693" s="97"/>
      <c r="H693" s="97"/>
      <c r="I693" s="93"/>
      <c r="J693" s="93"/>
      <c r="K693" s="93"/>
      <c r="L693" s="93"/>
      <c r="M693" s="93"/>
      <c r="N693" s="98">
        <v>0</v>
      </c>
      <c r="O693" s="98">
        <v>0</v>
      </c>
      <c r="P693" s="99">
        <f>SUM(SamplingData[[#This Row],[Winning Candidate]:[Under Votes]])</f>
        <v>7</v>
      </c>
      <c r="Q693"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693" s="100">
        <f>IF(AND(SamplingData[[#This Row],[Total]]&lt;&gt; 0, NOT(ISBLANK(SamplingData[[#This Row],[Candidate 3]]))),(SamplingData[[#This Row],[Total]]+SamplingData[[#This Row],[Winning Candidate]]-SamplingData[[#This Row],[Candidate 3]])/(SamplingData[[#Totals],[Winning Candidate]]-SamplingData[[#Totals],[Candidate 3]]), 0)</f>
        <v>0</v>
      </c>
      <c r="S693" s="100">
        <f>IF(AND(SamplingData[[#This Row],[Total]]&lt;&gt; 0, NOT(ISBLANK(SamplingData[[#This Row],[Candidate 4]]))),(SamplingData[[#This Row],[Total]]+SamplingData[[#This Row],[Winning Candidate]]-SamplingData[[#This Row],[Candidate 4]])/(SamplingData[[#Totals],[Winning Candidate]]-SamplingData[[#Totals],[Candidate 4]]), 0)</f>
        <v>0</v>
      </c>
      <c r="T693" s="100">
        <f>IF(AND(SamplingData[[#This Row],[Total]]&lt;&gt; 0, NOT(ISBLANK(SamplingData[[#This Row],[Candidate 5]]))),(SamplingData[[#This Row],[Total]]+SamplingData[[#This Row],[Winning Candidate]]-SamplingData[[#This Row],[Candidate 5]])/(SamplingData[[#Totals],[Winning Candidate]]-SamplingData[[#Totals],[Candidate 5]]), 0)</f>
        <v>0</v>
      </c>
      <c r="U693" s="100">
        <f>IF(AND(SamplingData[[#This Row],[Total]]&lt;&gt; 0, NOT(ISBLANK(SamplingData[[#This Row],[Candidate 6]]))),(SamplingData[[#This Row],[Total]]+SamplingData[[#This Row],[Losing Candidate]]-SamplingData[[#This Row],[Candidate 6]])/(SamplingData[[#Totals],[Winning Candidate]]-SamplingData[[#Totals],[Candidate 6]]), 0)</f>
        <v>0</v>
      </c>
      <c r="V693" s="100">
        <f>IF(AND(SamplingData[[#This Row],[Total]]&lt;&gt; 0, NOT(ISBLANK(SamplingData[[#This Row],[Candidate 7]]))),(SamplingData[[#This Row],[Total]]+SamplingData[[#This Row],[Winning Candidate]]-SamplingData[[#This Row],[Candidate 7]])/(SamplingData[[#Totals],[Winning Candidate]]-SamplingData[[#Totals],[Candidate 7]]), 0)</f>
        <v>0</v>
      </c>
      <c r="W693" s="100">
        <f>IF(AND(SamplingData[[#This Row],[Total]]&lt;&gt; 0, NOT(ISBLANK(SamplingData[[#This Row],[Candidate 8]]))),(SamplingData[[#This Row],[Total]]+SamplingData[[#This Row],[Winning Candidate]]-SamplingData[[#This Row],[Candidate 8]])/(SamplingData[[#Totals],[Winning Candidate]]-SamplingData[[#Totals],[Candidate 8]]), 0)</f>
        <v>0</v>
      </c>
      <c r="X6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00">
        <f>MAX(SamplingData[[#This Row],[Error Bound (up) - Max. possible relative overstatement - Losing Candidate]:[Error Bound (up) - Max. possible relative overstatement - Candidate 12]])</f>
        <v>3.7691993592361088E-4</v>
      </c>
      <c r="AC693" s="100">
        <f>IF(SamplingData[[#This Row],[Max Error Bound (up)]] = 0,0,SamplingData[[#This Row],[Max Error Bound (up)]]/SamplingData[[#Totals],[Max Error Bound (up)]])</f>
        <v>1.6152479405588763E-4</v>
      </c>
      <c r="AD693" s="104">
        <f>SUM($AC$5:AC693)</f>
        <v>0.19513541161901721</v>
      </c>
      <c r="AE693" s="100" t="str" cm="1">
        <f t="array" ref="AE693">IF(SamplingData[[#This Row],[up/U Selection Probability]] = 0, "Zero", TEXT(SamplingData[[#This Row],[Lower Range]], REPT("0",LEN('General Info'!$B$42))) &amp; " - " &amp; TEXT(SamplingData[[#This Row],[Upper Range]], REPT("0",LEN('General Info'!$B$42))))</f>
        <v>19497 - 19513</v>
      </c>
      <c r="AF693" s="100">
        <f>SamplingData[[#This Row],[Upper Range]]-SamplingData[[#This Row],[Span]]</f>
        <v>19497.388682496134</v>
      </c>
      <c r="AG693" s="100">
        <f>IF(ISNUMBER('General Info'!$B$42), ((SamplingData[[#This Row],[up/U Selection Probability]]) * 'General Info'!$B$44) - 1, 0)</f>
        <v>15.152479405588764</v>
      </c>
      <c r="AH693" s="100">
        <f>IF(ISNUMBER('General Info'!$B$42), (SamplingData[[#This Row],[Running (cumulative) sum]] * ('General Info'!$B$42 -'General Info'!$B$43 + 1)) + 'General Info'!$B$43 - 1, 0)</f>
        <v>19512.541161901721</v>
      </c>
      <c r="AI693" s="100" t="str">
        <f>IF(ISERROR(MATCH(SamplingData[[#This Row],[Batch by Type (p)]],SelectedPrecincts[Batch Name], 0)), "", INDEX(SelectedPrecincts[Draw], MATCH(SamplingData[[#This Row],[Batch by Type (p)]],SelectedPrecincts[Batch Name], 0)))</f>
        <v/>
      </c>
      <c r="AJ693" s="101">
        <f>IF(COUNTIF(SelectedPrecincts[Batch Name],SamplingData[[#This Row],[Batch by Type (p)]]) &lt;&gt; 0, COUNTIF(SelectedPrecincts[Batch Name],SamplingData[[#This Row],[Batch by Type (p)]]), 0)</f>
        <v>0</v>
      </c>
    </row>
    <row r="694" spans="1:36" ht="15" customHeight="1" x14ac:dyDescent="0.35">
      <c r="A694" s="98" t="s">
        <v>905</v>
      </c>
      <c r="B694" s="98">
        <v>12</v>
      </c>
      <c r="C694" s="98">
        <v>0</v>
      </c>
      <c r="D694" s="93"/>
      <c r="E694" s="93"/>
      <c r="F694" s="93"/>
      <c r="G694" s="97"/>
      <c r="H694" s="97"/>
      <c r="I694" s="93"/>
      <c r="J694" s="93"/>
      <c r="K694" s="93"/>
      <c r="L694" s="93"/>
      <c r="M694" s="93"/>
      <c r="N694" s="98">
        <v>0</v>
      </c>
      <c r="O694" s="98">
        <v>0</v>
      </c>
      <c r="P694" s="99">
        <f>SUM(SamplingData[[#This Row],[Winning Candidate]:[Under Votes]])</f>
        <v>12</v>
      </c>
      <c r="Q694"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694" s="100">
        <f>IF(AND(SamplingData[[#This Row],[Total]]&lt;&gt; 0, NOT(ISBLANK(SamplingData[[#This Row],[Candidate 3]]))),(SamplingData[[#This Row],[Total]]+SamplingData[[#This Row],[Winning Candidate]]-SamplingData[[#This Row],[Candidate 3]])/(SamplingData[[#Totals],[Winning Candidate]]-SamplingData[[#Totals],[Candidate 3]]), 0)</f>
        <v>0</v>
      </c>
      <c r="S694" s="100">
        <f>IF(AND(SamplingData[[#This Row],[Total]]&lt;&gt; 0, NOT(ISBLANK(SamplingData[[#This Row],[Candidate 4]]))),(SamplingData[[#This Row],[Total]]+SamplingData[[#This Row],[Winning Candidate]]-SamplingData[[#This Row],[Candidate 4]])/(SamplingData[[#Totals],[Winning Candidate]]-SamplingData[[#Totals],[Candidate 4]]), 0)</f>
        <v>0</v>
      </c>
      <c r="T694" s="100">
        <f>IF(AND(SamplingData[[#This Row],[Total]]&lt;&gt; 0, NOT(ISBLANK(SamplingData[[#This Row],[Candidate 5]]))),(SamplingData[[#This Row],[Total]]+SamplingData[[#This Row],[Winning Candidate]]-SamplingData[[#This Row],[Candidate 5]])/(SamplingData[[#Totals],[Winning Candidate]]-SamplingData[[#Totals],[Candidate 5]]), 0)</f>
        <v>0</v>
      </c>
      <c r="U694" s="100">
        <f>IF(AND(SamplingData[[#This Row],[Total]]&lt;&gt; 0, NOT(ISBLANK(SamplingData[[#This Row],[Candidate 6]]))),(SamplingData[[#This Row],[Total]]+SamplingData[[#This Row],[Losing Candidate]]-SamplingData[[#This Row],[Candidate 6]])/(SamplingData[[#Totals],[Winning Candidate]]-SamplingData[[#Totals],[Candidate 6]]), 0)</f>
        <v>0</v>
      </c>
      <c r="V694" s="100">
        <f>IF(AND(SamplingData[[#This Row],[Total]]&lt;&gt; 0, NOT(ISBLANK(SamplingData[[#This Row],[Candidate 7]]))),(SamplingData[[#This Row],[Total]]+SamplingData[[#This Row],[Winning Candidate]]-SamplingData[[#This Row],[Candidate 7]])/(SamplingData[[#Totals],[Winning Candidate]]-SamplingData[[#Totals],[Candidate 7]]), 0)</f>
        <v>0</v>
      </c>
      <c r="W694" s="100">
        <f>IF(AND(SamplingData[[#This Row],[Total]]&lt;&gt; 0, NOT(ISBLANK(SamplingData[[#This Row],[Candidate 8]]))),(SamplingData[[#This Row],[Total]]+SamplingData[[#This Row],[Winning Candidate]]-SamplingData[[#This Row],[Candidate 8]])/(SamplingData[[#Totals],[Winning Candidate]]-SamplingData[[#Totals],[Candidate 8]]), 0)</f>
        <v>0</v>
      </c>
      <c r="X6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00">
        <f>MAX(SamplingData[[#This Row],[Error Bound (up) - Max. possible relative overstatement - Losing Candidate]:[Error Bound (up) - Max. possible relative overstatement - Candidate 12]])</f>
        <v>7.5383987184722177E-4</v>
      </c>
      <c r="AC694" s="100">
        <f>IF(SamplingData[[#This Row],[Max Error Bound (up)]] = 0,0,SamplingData[[#This Row],[Max Error Bound (up)]]/SamplingData[[#Totals],[Max Error Bound (up)]])</f>
        <v>3.2304958811177527E-4</v>
      </c>
      <c r="AD694" s="104">
        <f>SUM($AC$5:AC694)</f>
        <v>0.19545846120712898</v>
      </c>
      <c r="AE694" s="100" t="str" cm="1">
        <f t="array" ref="AE694">IF(SamplingData[[#This Row],[up/U Selection Probability]] = 0, "Zero", TEXT(SamplingData[[#This Row],[Lower Range]], REPT("0",LEN('General Info'!$B$42))) &amp; " - " &amp; TEXT(SamplingData[[#This Row],[Upper Range]], REPT("0",LEN('General Info'!$B$42))))</f>
        <v>19514 - 19545</v>
      </c>
      <c r="AF694" s="100">
        <f>SamplingData[[#This Row],[Upper Range]]-SamplingData[[#This Row],[Span]]</f>
        <v>19513.541161901718</v>
      </c>
      <c r="AG694" s="100">
        <f>IF(ISNUMBER('General Info'!$B$42), ((SamplingData[[#This Row],[up/U Selection Probability]]) * 'General Info'!$B$44) - 1, 0)</f>
        <v>31.304958811177528</v>
      </c>
      <c r="AH694" s="100">
        <f>IF(ISNUMBER('General Info'!$B$42), (SamplingData[[#This Row],[Running (cumulative) sum]] * ('General Info'!$B$42 -'General Info'!$B$43 + 1)) + 'General Info'!$B$43 - 1, 0)</f>
        <v>19544.846120712897</v>
      </c>
      <c r="AI694" s="100" t="str">
        <f>IF(ISERROR(MATCH(SamplingData[[#This Row],[Batch by Type (p)]],SelectedPrecincts[Batch Name], 0)), "", INDEX(SelectedPrecincts[Draw], MATCH(SamplingData[[#This Row],[Batch by Type (p)]],SelectedPrecincts[Batch Name], 0)))</f>
        <v/>
      </c>
      <c r="AJ694" s="101">
        <f>IF(COUNTIF(SelectedPrecincts[Batch Name],SamplingData[[#This Row],[Batch by Type (p)]]) &lt;&gt; 0, COUNTIF(SelectedPrecincts[Batch Name],SamplingData[[#This Row],[Batch by Type (p)]]), 0)</f>
        <v>0</v>
      </c>
    </row>
    <row r="695" spans="1:36" ht="15" customHeight="1" x14ac:dyDescent="0.35">
      <c r="A695" s="98" t="s">
        <v>906</v>
      </c>
      <c r="B695" s="98">
        <v>18</v>
      </c>
      <c r="C695" s="98">
        <v>1</v>
      </c>
      <c r="D695" s="93"/>
      <c r="E695" s="93"/>
      <c r="F695" s="93"/>
      <c r="G695" s="97"/>
      <c r="H695" s="97"/>
      <c r="I695" s="93"/>
      <c r="J695" s="93"/>
      <c r="K695" s="93"/>
      <c r="L695" s="93"/>
      <c r="M695" s="93"/>
      <c r="N695" s="98">
        <v>0</v>
      </c>
      <c r="O695" s="98">
        <v>0</v>
      </c>
      <c r="P695" s="99">
        <f>SUM(SamplingData[[#This Row],[Winning Candidate]:[Under Votes]])</f>
        <v>19</v>
      </c>
      <c r="Q695"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695" s="100">
        <f>IF(AND(SamplingData[[#This Row],[Total]]&lt;&gt; 0, NOT(ISBLANK(SamplingData[[#This Row],[Candidate 3]]))),(SamplingData[[#This Row],[Total]]+SamplingData[[#This Row],[Winning Candidate]]-SamplingData[[#This Row],[Candidate 3]])/(SamplingData[[#Totals],[Winning Candidate]]-SamplingData[[#Totals],[Candidate 3]]), 0)</f>
        <v>0</v>
      </c>
      <c r="S695" s="100">
        <f>IF(AND(SamplingData[[#This Row],[Total]]&lt;&gt; 0, NOT(ISBLANK(SamplingData[[#This Row],[Candidate 4]]))),(SamplingData[[#This Row],[Total]]+SamplingData[[#This Row],[Winning Candidate]]-SamplingData[[#This Row],[Candidate 4]])/(SamplingData[[#Totals],[Winning Candidate]]-SamplingData[[#Totals],[Candidate 4]]), 0)</f>
        <v>0</v>
      </c>
      <c r="T695" s="100">
        <f>IF(AND(SamplingData[[#This Row],[Total]]&lt;&gt; 0, NOT(ISBLANK(SamplingData[[#This Row],[Candidate 5]]))),(SamplingData[[#This Row],[Total]]+SamplingData[[#This Row],[Winning Candidate]]-SamplingData[[#This Row],[Candidate 5]])/(SamplingData[[#Totals],[Winning Candidate]]-SamplingData[[#Totals],[Candidate 5]]), 0)</f>
        <v>0</v>
      </c>
      <c r="U695" s="100">
        <f>IF(AND(SamplingData[[#This Row],[Total]]&lt;&gt; 0, NOT(ISBLANK(SamplingData[[#This Row],[Candidate 6]]))),(SamplingData[[#This Row],[Total]]+SamplingData[[#This Row],[Losing Candidate]]-SamplingData[[#This Row],[Candidate 6]])/(SamplingData[[#Totals],[Winning Candidate]]-SamplingData[[#Totals],[Candidate 6]]), 0)</f>
        <v>0</v>
      </c>
      <c r="V695" s="100">
        <f>IF(AND(SamplingData[[#This Row],[Total]]&lt;&gt; 0, NOT(ISBLANK(SamplingData[[#This Row],[Candidate 7]]))),(SamplingData[[#This Row],[Total]]+SamplingData[[#This Row],[Winning Candidate]]-SamplingData[[#This Row],[Candidate 7]])/(SamplingData[[#Totals],[Winning Candidate]]-SamplingData[[#Totals],[Candidate 7]]), 0)</f>
        <v>0</v>
      </c>
      <c r="W695" s="100">
        <f>IF(AND(SamplingData[[#This Row],[Total]]&lt;&gt; 0, NOT(ISBLANK(SamplingData[[#This Row],[Candidate 8]]))),(SamplingData[[#This Row],[Total]]+SamplingData[[#This Row],[Winning Candidate]]-SamplingData[[#This Row],[Candidate 8]])/(SamplingData[[#Totals],[Winning Candidate]]-SamplingData[[#Totals],[Candidate 8]]), 0)</f>
        <v>0</v>
      </c>
      <c r="X6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00">
        <f>MAX(SamplingData[[#This Row],[Error Bound (up) - Max. possible relative overstatement - Losing Candidate]:[Error Bound (up) - Max. possible relative overstatement - Candidate 12]])</f>
        <v>1.1307598077708327E-3</v>
      </c>
      <c r="AC695" s="100">
        <f>IF(SamplingData[[#This Row],[Max Error Bound (up)]] = 0,0,SamplingData[[#This Row],[Max Error Bound (up)]]/SamplingData[[#Totals],[Max Error Bound (up)]])</f>
        <v>4.845743821676629E-4</v>
      </c>
      <c r="AD695" s="104">
        <f>SUM($AC$5:AC695)</f>
        <v>0.19594303558929665</v>
      </c>
      <c r="AE695" s="100" t="str" cm="1">
        <f t="array" ref="AE695">IF(SamplingData[[#This Row],[up/U Selection Probability]] = 0, "Zero", TEXT(SamplingData[[#This Row],[Lower Range]], REPT("0",LEN('General Info'!$B$42))) &amp; " - " &amp; TEXT(SamplingData[[#This Row],[Upper Range]], REPT("0",LEN('General Info'!$B$42))))</f>
        <v>19546 - 19593</v>
      </c>
      <c r="AF695" s="100">
        <f>SamplingData[[#This Row],[Upper Range]]-SamplingData[[#This Row],[Span]]</f>
        <v>19545.8461207129</v>
      </c>
      <c r="AG695" s="100">
        <f>IF(ISNUMBER('General Info'!$B$42), ((SamplingData[[#This Row],[up/U Selection Probability]]) * 'General Info'!$B$44) - 1, 0)</f>
        <v>47.457438216766292</v>
      </c>
      <c r="AH695" s="100">
        <f>IF(ISNUMBER('General Info'!$B$42), (SamplingData[[#This Row],[Running (cumulative) sum]] * ('General Info'!$B$42 -'General Info'!$B$43 + 1)) + 'General Info'!$B$43 - 1, 0)</f>
        <v>19593.303558929667</v>
      </c>
      <c r="AI695" s="100" t="str">
        <f>IF(ISERROR(MATCH(SamplingData[[#This Row],[Batch by Type (p)]],SelectedPrecincts[Batch Name], 0)), "", INDEX(SelectedPrecincts[Draw], MATCH(SamplingData[[#This Row],[Batch by Type (p)]],SelectedPrecincts[Batch Name], 0)))</f>
        <v/>
      </c>
      <c r="AJ695" s="101">
        <f>IF(COUNTIF(SelectedPrecincts[Batch Name],SamplingData[[#This Row],[Batch by Type (p)]]) &lt;&gt; 0, COUNTIF(SelectedPrecincts[Batch Name],SamplingData[[#This Row],[Batch by Type (p)]]), 0)</f>
        <v>0</v>
      </c>
    </row>
    <row r="696" spans="1:36" ht="15" customHeight="1" x14ac:dyDescent="0.35">
      <c r="A696" s="98" t="s">
        <v>907</v>
      </c>
      <c r="B696" s="98">
        <v>1</v>
      </c>
      <c r="C696" s="98">
        <v>0</v>
      </c>
      <c r="D696" s="93"/>
      <c r="E696" s="93"/>
      <c r="F696" s="93"/>
      <c r="G696" s="97"/>
      <c r="H696" s="97"/>
      <c r="I696" s="93"/>
      <c r="J696" s="93"/>
      <c r="K696" s="93"/>
      <c r="L696" s="93"/>
      <c r="M696" s="93"/>
      <c r="N696" s="98">
        <v>0</v>
      </c>
      <c r="O696" s="98">
        <v>0</v>
      </c>
      <c r="P696" s="99">
        <f>SUM(SamplingData[[#This Row],[Winning Candidate]:[Under Votes]])</f>
        <v>1</v>
      </c>
      <c r="Q696"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696" s="100">
        <f>IF(AND(SamplingData[[#This Row],[Total]]&lt;&gt; 0, NOT(ISBLANK(SamplingData[[#This Row],[Candidate 3]]))),(SamplingData[[#This Row],[Total]]+SamplingData[[#This Row],[Winning Candidate]]-SamplingData[[#This Row],[Candidate 3]])/(SamplingData[[#Totals],[Winning Candidate]]-SamplingData[[#Totals],[Candidate 3]]), 0)</f>
        <v>0</v>
      </c>
      <c r="S696" s="100">
        <f>IF(AND(SamplingData[[#This Row],[Total]]&lt;&gt; 0, NOT(ISBLANK(SamplingData[[#This Row],[Candidate 4]]))),(SamplingData[[#This Row],[Total]]+SamplingData[[#This Row],[Winning Candidate]]-SamplingData[[#This Row],[Candidate 4]])/(SamplingData[[#Totals],[Winning Candidate]]-SamplingData[[#Totals],[Candidate 4]]), 0)</f>
        <v>0</v>
      </c>
      <c r="T696" s="100">
        <f>IF(AND(SamplingData[[#This Row],[Total]]&lt;&gt; 0, NOT(ISBLANK(SamplingData[[#This Row],[Candidate 5]]))),(SamplingData[[#This Row],[Total]]+SamplingData[[#This Row],[Winning Candidate]]-SamplingData[[#This Row],[Candidate 5]])/(SamplingData[[#Totals],[Winning Candidate]]-SamplingData[[#Totals],[Candidate 5]]), 0)</f>
        <v>0</v>
      </c>
      <c r="U696" s="100">
        <f>IF(AND(SamplingData[[#This Row],[Total]]&lt;&gt; 0, NOT(ISBLANK(SamplingData[[#This Row],[Candidate 6]]))),(SamplingData[[#This Row],[Total]]+SamplingData[[#This Row],[Losing Candidate]]-SamplingData[[#This Row],[Candidate 6]])/(SamplingData[[#Totals],[Winning Candidate]]-SamplingData[[#Totals],[Candidate 6]]), 0)</f>
        <v>0</v>
      </c>
      <c r="V696" s="100">
        <f>IF(AND(SamplingData[[#This Row],[Total]]&lt;&gt; 0, NOT(ISBLANK(SamplingData[[#This Row],[Candidate 7]]))),(SamplingData[[#This Row],[Total]]+SamplingData[[#This Row],[Winning Candidate]]-SamplingData[[#This Row],[Candidate 7]])/(SamplingData[[#Totals],[Winning Candidate]]-SamplingData[[#Totals],[Candidate 7]]), 0)</f>
        <v>0</v>
      </c>
      <c r="W696" s="100">
        <f>IF(AND(SamplingData[[#This Row],[Total]]&lt;&gt; 0, NOT(ISBLANK(SamplingData[[#This Row],[Candidate 8]]))),(SamplingData[[#This Row],[Total]]+SamplingData[[#This Row],[Winning Candidate]]-SamplingData[[#This Row],[Candidate 8]])/(SamplingData[[#Totals],[Winning Candidate]]-SamplingData[[#Totals],[Candidate 8]]), 0)</f>
        <v>0</v>
      </c>
      <c r="X6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00">
        <f>MAX(SamplingData[[#This Row],[Error Bound (up) - Max. possible relative overstatement - Losing Candidate]:[Error Bound (up) - Max. possible relative overstatement - Candidate 12]])</f>
        <v>6.2819989320601809E-5</v>
      </c>
      <c r="AC696" s="100">
        <f>IF(SamplingData[[#This Row],[Max Error Bound (up)]] = 0,0,SamplingData[[#This Row],[Max Error Bound (up)]]/SamplingData[[#Totals],[Max Error Bound (up)]])</f>
        <v>2.6920799009314603E-5</v>
      </c>
      <c r="AD696" s="104">
        <f>SUM($AC$5:AC696)</f>
        <v>0.19596995638830597</v>
      </c>
      <c r="AE696" s="100" t="str" cm="1">
        <f t="array" ref="AE696">IF(SamplingData[[#This Row],[up/U Selection Probability]] = 0, "Zero", TEXT(SamplingData[[#This Row],[Lower Range]], REPT("0",LEN('General Info'!$B$42))) &amp; " - " &amp; TEXT(SamplingData[[#This Row],[Upper Range]], REPT("0",LEN('General Info'!$B$42))))</f>
        <v>19594 - 19596</v>
      </c>
      <c r="AF696" s="100">
        <f>SamplingData[[#This Row],[Upper Range]]-SamplingData[[#This Row],[Span]]</f>
        <v>19594.303558929667</v>
      </c>
      <c r="AG696" s="100">
        <f>IF(ISNUMBER('General Info'!$B$42), ((SamplingData[[#This Row],[up/U Selection Probability]]) * 'General Info'!$B$44) - 1, 0)</f>
        <v>1.6920799009314602</v>
      </c>
      <c r="AH696" s="100">
        <f>IF(ISNUMBER('General Info'!$B$42), (SamplingData[[#This Row],[Running (cumulative) sum]] * ('General Info'!$B$42 -'General Info'!$B$43 + 1)) + 'General Info'!$B$43 - 1, 0)</f>
        <v>19595.995638830598</v>
      </c>
      <c r="AI696" s="100" t="str">
        <f>IF(ISERROR(MATCH(SamplingData[[#This Row],[Batch by Type (p)]],SelectedPrecincts[Batch Name], 0)), "", INDEX(SelectedPrecincts[Draw], MATCH(SamplingData[[#This Row],[Batch by Type (p)]],SelectedPrecincts[Batch Name], 0)))</f>
        <v/>
      </c>
      <c r="AJ696" s="101">
        <f>IF(COUNTIF(SelectedPrecincts[Batch Name],SamplingData[[#This Row],[Batch by Type (p)]]) &lt;&gt; 0, COUNTIF(SelectedPrecincts[Batch Name],SamplingData[[#This Row],[Batch by Type (p)]]), 0)</f>
        <v>0</v>
      </c>
    </row>
    <row r="697" spans="1:36" ht="15" customHeight="1" x14ac:dyDescent="0.35">
      <c r="A697" s="98" t="s">
        <v>908</v>
      </c>
      <c r="B697" s="98">
        <v>9</v>
      </c>
      <c r="C697" s="98">
        <v>3</v>
      </c>
      <c r="D697" s="93"/>
      <c r="E697" s="93"/>
      <c r="F697" s="93"/>
      <c r="G697" s="97"/>
      <c r="H697" s="97"/>
      <c r="I697" s="93"/>
      <c r="J697" s="93"/>
      <c r="K697" s="93"/>
      <c r="L697" s="93"/>
      <c r="M697" s="93"/>
      <c r="N697" s="98">
        <v>0</v>
      </c>
      <c r="O697" s="98">
        <v>0</v>
      </c>
      <c r="P697" s="99">
        <f>SUM(SamplingData[[#This Row],[Winning Candidate]:[Under Votes]])</f>
        <v>12</v>
      </c>
      <c r="Q697"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697" s="100">
        <f>IF(AND(SamplingData[[#This Row],[Total]]&lt;&gt; 0, NOT(ISBLANK(SamplingData[[#This Row],[Candidate 3]]))),(SamplingData[[#This Row],[Total]]+SamplingData[[#This Row],[Winning Candidate]]-SamplingData[[#This Row],[Candidate 3]])/(SamplingData[[#Totals],[Winning Candidate]]-SamplingData[[#Totals],[Candidate 3]]), 0)</f>
        <v>0</v>
      </c>
      <c r="S697" s="100">
        <f>IF(AND(SamplingData[[#This Row],[Total]]&lt;&gt; 0, NOT(ISBLANK(SamplingData[[#This Row],[Candidate 4]]))),(SamplingData[[#This Row],[Total]]+SamplingData[[#This Row],[Winning Candidate]]-SamplingData[[#This Row],[Candidate 4]])/(SamplingData[[#Totals],[Winning Candidate]]-SamplingData[[#Totals],[Candidate 4]]), 0)</f>
        <v>0</v>
      </c>
      <c r="T697" s="100">
        <f>IF(AND(SamplingData[[#This Row],[Total]]&lt;&gt; 0, NOT(ISBLANK(SamplingData[[#This Row],[Candidate 5]]))),(SamplingData[[#This Row],[Total]]+SamplingData[[#This Row],[Winning Candidate]]-SamplingData[[#This Row],[Candidate 5]])/(SamplingData[[#Totals],[Winning Candidate]]-SamplingData[[#Totals],[Candidate 5]]), 0)</f>
        <v>0</v>
      </c>
      <c r="U697" s="100">
        <f>IF(AND(SamplingData[[#This Row],[Total]]&lt;&gt; 0, NOT(ISBLANK(SamplingData[[#This Row],[Candidate 6]]))),(SamplingData[[#This Row],[Total]]+SamplingData[[#This Row],[Losing Candidate]]-SamplingData[[#This Row],[Candidate 6]])/(SamplingData[[#Totals],[Winning Candidate]]-SamplingData[[#Totals],[Candidate 6]]), 0)</f>
        <v>0</v>
      </c>
      <c r="V697" s="100">
        <f>IF(AND(SamplingData[[#This Row],[Total]]&lt;&gt; 0, NOT(ISBLANK(SamplingData[[#This Row],[Candidate 7]]))),(SamplingData[[#This Row],[Total]]+SamplingData[[#This Row],[Winning Candidate]]-SamplingData[[#This Row],[Candidate 7]])/(SamplingData[[#Totals],[Winning Candidate]]-SamplingData[[#Totals],[Candidate 7]]), 0)</f>
        <v>0</v>
      </c>
      <c r="W697" s="100">
        <f>IF(AND(SamplingData[[#This Row],[Total]]&lt;&gt; 0, NOT(ISBLANK(SamplingData[[#This Row],[Candidate 8]]))),(SamplingData[[#This Row],[Total]]+SamplingData[[#This Row],[Winning Candidate]]-SamplingData[[#This Row],[Candidate 8]])/(SamplingData[[#Totals],[Winning Candidate]]-SamplingData[[#Totals],[Candidate 8]]), 0)</f>
        <v>0</v>
      </c>
      <c r="X6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00">
        <f>MAX(SamplingData[[#This Row],[Error Bound (up) - Max. possible relative overstatement - Losing Candidate]:[Error Bound (up) - Max. possible relative overstatement - Candidate 12]])</f>
        <v>5.6537990388541635E-4</v>
      </c>
      <c r="AC697" s="100">
        <f>IF(SamplingData[[#This Row],[Max Error Bound (up)]] = 0,0,SamplingData[[#This Row],[Max Error Bound (up)]]/SamplingData[[#Totals],[Max Error Bound (up)]])</f>
        <v>2.4228719108383145E-4</v>
      </c>
      <c r="AD697" s="104">
        <f>SUM($AC$5:AC697)</f>
        <v>0.19621224357938979</v>
      </c>
      <c r="AE697" s="100" t="str" cm="1">
        <f t="array" ref="AE697">IF(SamplingData[[#This Row],[up/U Selection Probability]] = 0, "Zero", TEXT(SamplingData[[#This Row],[Lower Range]], REPT("0",LEN('General Info'!$B$42))) &amp; " - " &amp; TEXT(SamplingData[[#This Row],[Upper Range]], REPT("0",LEN('General Info'!$B$42))))</f>
        <v>19597 - 19620</v>
      </c>
      <c r="AF697" s="100">
        <f>SamplingData[[#This Row],[Upper Range]]-SamplingData[[#This Row],[Span]]</f>
        <v>19596.995638830598</v>
      </c>
      <c r="AG697" s="100">
        <f>IF(ISNUMBER('General Info'!$B$42), ((SamplingData[[#This Row],[up/U Selection Probability]]) * 'General Info'!$B$44) - 1, 0)</f>
        <v>23.228719108383146</v>
      </c>
      <c r="AH697" s="100">
        <f>IF(ISNUMBER('General Info'!$B$42), (SamplingData[[#This Row],[Running (cumulative) sum]] * ('General Info'!$B$42 -'General Info'!$B$43 + 1)) + 'General Info'!$B$43 - 1, 0)</f>
        <v>19620.22435793898</v>
      </c>
      <c r="AI697" s="100" t="str">
        <f>IF(ISERROR(MATCH(SamplingData[[#This Row],[Batch by Type (p)]],SelectedPrecincts[Batch Name], 0)), "", INDEX(SelectedPrecincts[Draw], MATCH(SamplingData[[#This Row],[Batch by Type (p)]],SelectedPrecincts[Batch Name], 0)))</f>
        <v/>
      </c>
      <c r="AJ697" s="101">
        <f>IF(COUNTIF(SelectedPrecincts[Batch Name],SamplingData[[#This Row],[Batch by Type (p)]]) &lt;&gt; 0, COUNTIF(SelectedPrecincts[Batch Name],SamplingData[[#This Row],[Batch by Type (p)]]), 0)</f>
        <v>0</v>
      </c>
    </row>
    <row r="698" spans="1:36" ht="15" customHeight="1" x14ac:dyDescent="0.35">
      <c r="A698" s="98" t="s">
        <v>909</v>
      </c>
      <c r="B698" s="98">
        <v>8</v>
      </c>
      <c r="C698" s="98">
        <v>1</v>
      </c>
      <c r="D698" s="93"/>
      <c r="E698" s="93"/>
      <c r="F698" s="93"/>
      <c r="G698" s="97"/>
      <c r="H698" s="97"/>
      <c r="I698" s="93"/>
      <c r="J698" s="93"/>
      <c r="K698" s="93"/>
      <c r="L698" s="93"/>
      <c r="M698" s="93"/>
      <c r="N698" s="98">
        <v>0</v>
      </c>
      <c r="O698" s="98">
        <v>0</v>
      </c>
      <c r="P698" s="99">
        <f>SUM(SamplingData[[#This Row],[Winning Candidate]:[Under Votes]])</f>
        <v>9</v>
      </c>
      <c r="Q698"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698" s="100">
        <f>IF(AND(SamplingData[[#This Row],[Total]]&lt;&gt; 0, NOT(ISBLANK(SamplingData[[#This Row],[Candidate 3]]))),(SamplingData[[#This Row],[Total]]+SamplingData[[#This Row],[Winning Candidate]]-SamplingData[[#This Row],[Candidate 3]])/(SamplingData[[#Totals],[Winning Candidate]]-SamplingData[[#Totals],[Candidate 3]]), 0)</f>
        <v>0</v>
      </c>
      <c r="S698" s="100">
        <f>IF(AND(SamplingData[[#This Row],[Total]]&lt;&gt; 0, NOT(ISBLANK(SamplingData[[#This Row],[Candidate 4]]))),(SamplingData[[#This Row],[Total]]+SamplingData[[#This Row],[Winning Candidate]]-SamplingData[[#This Row],[Candidate 4]])/(SamplingData[[#Totals],[Winning Candidate]]-SamplingData[[#Totals],[Candidate 4]]), 0)</f>
        <v>0</v>
      </c>
      <c r="T698" s="100">
        <f>IF(AND(SamplingData[[#This Row],[Total]]&lt;&gt; 0, NOT(ISBLANK(SamplingData[[#This Row],[Candidate 5]]))),(SamplingData[[#This Row],[Total]]+SamplingData[[#This Row],[Winning Candidate]]-SamplingData[[#This Row],[Candidate 5]])/(SamplingData[[#Totals],[Winning Candidate]]-SamplingData[[#Totals],[Candidate 5]]), 0)</f>
        <v>0</v>
      </c>
      <c r="U698" s="100">
        <f>IF(AND(SamplingData[[#This Row],[Total]]&lt;&gt; 0, NOT(ISBLANK(SamplingData[[#This Row],[Candidate 6]]))),(SamplingData[[#This Row],[Total]]+SamplingData[[#This Row],[Losing Candidate]]-SamplingData[[#This Row],[Candidate 6]])/(SamplingData[[#Totals],[Winning Candidate]]-SamplingData[[#Totals],[Candidate 6]]), 0)</f>
        <v>0</v>
      </c>
      <c r="V698" s="100">
        <f>IF(AND(SamplingData[[#This Row],[Total]]&lt;&gt; 0, NOT(ISBLANK(SamplingData[[#This Row],[Candidate 7]]))),(SamplingData[[#This Row],[Total]]+SamplingData[[#This Row],[Winning Candidate]]-SamplingData[[#This Row],[Candidate 7]])/(SamplingData[[#Totals],[Winning Candidate]]-SamplingData[[#Totals],[Candidate 7]]), 0)</f>
        <v>0</v>
      </c>
      <c r="W698" s="100">
        <f>IF(AND(SamplingData[[#This Row],[Total]]&lt;&gt; 0, NOT(ISBLANK(SamplingData[[#This Row],[Candidate 8]]))),(SamplingData[[#This Row],[Total]]+SamplingData[[#This Row],[Winning Candidate]]-SamplingData[[#This Row],[Candidate 8]])/(SamplingData[[#Totals],[Winning Candidate]]-SamplingData[[#Totals],[Candidate 8]]), 0)</f>
        <v>0</v>
      </c>
      <c r="X6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00">
        <f>MAX(SamplingData[[#This Row],[Error Bound (up) - Max. possible relative overstatement - Losing Candidate]:[Error Bound (up) - Max. possible relative overstatement - Candidate 12]])</f>
        <v>5.0255991456481448E-4</v>
      </c>
      <c r="AC698" s="100">
        <f>IF(SamplingData[[#This Row],[Max Error Bound (up)]] = 0,0,SamplingData[[#This Row],[Max Error Bound (up)]]/SamplingData[[#Totals],[Max Error Bound (up)]])</f>
        <v>2.1536639207451683E-4</v>
      </c>
      <c r="AD698" s="104">
        <f>SUM($AC$5:AC698)</f>
        <v>0.1964276099714643</v>
      </c>
      <c r="AE698" s="100" t="str" cm="1">
        <f t="array" ref="AE698">IF(SamplingData[[#This Row],[up/U Selection Probability]] = 0, "Zero", TEXT(SamplingData[[#This Row],[Lower Range]], REPT("0",LEN('General Info'!$B$42))) &amp; " - " &amp; TEXT(SamplingData[[#This Row],[Upper Range]], REPT("0",LEN('General Info'!$B$42))))</f>
        <v>19621 - 19642</v>
      </c>
      <c r="AF698" s="100">
        <f>SamplingData[[#This Row],[Upper Range]]-SamplingData[[#This Row],[Span]]</f>
        <v>19621.22435793898</v>
      </c>
      <c r="AG698" s="100">
        <f>IF(ISNUMBER('General Info'!$B$42), ((SamplingData[[#This Row],[up/U Selection Probability]]) * 'General Info'!$B$44) - 1, 0)</f>
        <v>20.536639207451682</v>
      </c>
      <c r="AH698" s="100">
        <f>IF(ISNUMBER('General Info'!$B$42), (SamplingData[[#This Row],[Running (cumulative) sum]] * ('General Info'!$B$42 -'General Info'!$B$43 + 1)) + 'General Info'!$B$43 - 1, 0)</f>
        <v>19641.76099714643</v>
      </c>
      <c r="AI698" s="100" t="str">
        <f>IF(ISERROR(MATCH(SamplingData[[#This Row],[Batch by Type (p)]],SelectedPrecincts[Batch Name], 0)), "", INDEX(SelectedPrecincts[Draw], MATCH(SamplingData[[#This Row],[Batch by Type (p)]],SelectedPrecincts[Batch Name], 0)))</f>
        <v/>
      </c>
      <c r="AJ698" s="101">
        <f>IF(COUNTIF(SelectedPrecincts[Batch Name],SamplingData[[#This Row],[Batch by Type (p)]]) &lt;&gt; 0, COUNTIF(SelectedPrecincts[Batch Name],SamplingData[[#This Row],[Batch by Type (p)]]), 0)</f>
        <v>0</v>
      </c>
    </row>
    <row r="699" spans="1:36" ht="15" customHeight="1" x14ac:dyDescent="0.35">
      <c r="A699" s="98" t="s">
        <v>910</v>
      </c>
      <c r="B699" s="98">
        <v>6</v>
      </c>
      <c r="C699" s="98">
        <v>0</v>
      </c>
      <c r="D699" s="93"/>
      <c r="E699" s="93"/>
      <c r="F699" s="93"/>
      <c r="G699" s="97"/>
      <c r="H699" s="97"/>
      <c r="I699" s="93"/>
      <c r="J699" s="93"/>
      <c r="K699" s="93"/>
      <c r="L699" s="93"/>
      <c r="M699" s="93"/>
      <c r="N699" s="98">
        <v>0</v>
      </c>
      <c r="O699" s="98">
        <v>1</v>
      </c>
      <c r="P699" s="99">
        <f>SUM(SamplingData[[#This Row],[Winning Candidate]:[Under Votes]])</f>
        <v>7</v>
      </c>
      <c r="Q699" s="100">
        <f>IF(AND(SamplingData[[#This Row],[Total]]&lt;&gt; 0, NOT(ISBLANK(SamplingData[[#This Row],[Losing Candidate]]))),(SamplingData[[#This Row],[Total]]+SamplingData[[#This Row],[Winning Candidate]]-SamplingData[[#This Row],[Losing Candidate]])/(SamplingData[[#Totals],[Winning Candidate]]-SamplingData[[#Totals],[Losing Candidate]]), 0)</f>
        <v>4.0832993058391182E-4</v>
      </c>
      <c r="R699" s="100">
        <f>IF(AND(SamplingData[[#This Row],[Total]]&lt;&gt; 0, NOT(ISBLANK(SamplingData[[#This Row],[Candidate 3]]))),(SamplingData[[#This Row],[Total]]+SamplingData[[#This Row],[Winning Candidate]]-SamplingData[[#This Row],[Candidate 3]])/(SamplingData[[#Totals],[Winning Candidate]]-SamplingData[[#Totals],[Candidate 3]]), 0)</f>
        <v>0</v>
      </c>
      <c r="S699" s="100">
        <f>IF(AND(SamplingData[[#This Row],[Total]]&lt;&gt; 0, NOT(ISBLANK(SamplingData[[#This Row],[Candidate 4]]))),(SamplingData[[#This Row],[Total]]+SamplingData[[#This Row],[Winning Candidate]]-SamplingData[[#This Row],[Candidate 4]])/(SamplingData[[#Totals],[Winning Candidate]]-SamplingData[[#Totals],[Candidate 4]]), 0)</f>
        <v>0</v>
      </c>
      <c r="T699" s="100">
        <f>IF(AND(SamplingData[[#This Row],[Total]]&lt;&gt; 0, NOT(ISBLANK(SamplingData[[#This Row],[Candidate 5]]))),(SamplingData[[#This Row],[Total]]+SamplingData[[#This Row],[Winning Candidate]]-SamplingData[[#This Row],[Candidate 5]])/(SamplingData[[#Totals],[Winning Candidate]]-SamplingData[[#Totals],[Candidate 5]]), 0)</f>
        <v>0</v>
      </c>
      <c r="U699" s="100">
        <f>IF(AND(SamplingData[[#This Row],[Total]]&lt;&gt; 0, NOT(ISBLANK(SamplingData[[#This Row],[Candidate 6]]))),(SamplingData[[#This Row],[Total]]+SamplingData[[#This Row],[Losing Candidate]]-SamplingData[[#This Row],[Candidate 6]])/(SamplingData[[#Totals],[Winning Candidate]]-SamplingData[[#Totals],[Candidate 6]]), 0)</f>
        <v>0</v>
      </c>
      <c r="V699" s="100">
        <f>IF(AND(SamplingData[[#This Row],[Total]]&lt;&gt; 0, NOT(ISBLANK(SamplingData[[#This Row],[Candidate 7]]))),(SamplingData[[#This Row],[Total]]+SamplingData[[#This Row],[Winning Candidate]]-SamplingData[[#This Row],[Candidate 7]])/(SamplingData[[#Totals],[Winning Candidate]]-SamplingData[[#Totals],[Candidate 7]]), 0)</f>
        <v>0</v>
      </c>
      <c r="W699" s="100">
        <f>IF(AND(SamplingData[[#This Row],[Total]]&lt;&gt; 0, NOT(ISBLANK(SamplingData[[#This Row],[Candidate 8]]))),(SamplingData[[#This Row],[Total]]+SamplingData[[#This Row],[Winning Candidate]]-SamplingData[[#This Row],[Candidate 8]])/(SamplingData[[#Totals],[Winning Candidate]]-SamplingData[[#Totals],[Candidate 8]]), 0)</f>
        <v>0</v>
      </c>
      <c r="X6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00">
        <f>MAX(SamplingData[[#This Row],[Error Bound (up) - Max. possible relative overstatement - Losing Candidate]:[Error Bound (up) - Max. possible relative overstatement - Candidate 12]])</f>
        <v>4.0832993058391182E-4</v>
      </c>
      <c r="AC699" s="100">
        <f>IF(SamplingData[[#This Row],[Max Error Bound (up)]] = 0,0,SamplingData[[#This Row],[Max Error Bound (up)]]/SamplingData[[#Totals],[Max Error Bound (up)]])</f>
        <v>1.7498519356054496E-4</v>
      </c>
      <c r="AD699" s="104">
        <f>SUM($AC$5:AC699)</f>
        <v>0.19660259516502485</v>
      </c>
      <c r="AE699" s="100" t="str" cm="1">
        <f t="array" ref="AE699">IF(SamplingData[[#This Row],[up/U Selection Probability]] = 0, "Zero", TEXT(SamplingData[[#This Row],[Lower Range]], REPT("0",LEN('General Info'!$B$42))) &amp; " - " &amp; TEXT(SamplingData[[#This Row],[Upper Range]], REPT("0",LEN('General Info'!$B$42))))</f>
        <v>19643 - 19659</v>
      </c>
      <c r="AF699" s="100">
        <f>SamplingData[[#This Row],[Upper Range]]-SamplingData[[#This Row],[Span]]</f>
        <v>19642.76099714643</v>
      </c>
      <c r="AG699" s="100">
        <f>IF(ISNUMBER('General Info'!$B$42), ((SamplingData[[#This Row],[up/U Selection Probability]]) * 'General Info'!$B$44) - 1, 0)</f>
        <v>16.498519356054494</v>
      </c>
      <c r="AH699" s="100">
        <f>IF(ISNUMBER('General Info'!$B$42), (SamplingData[[#This Row],[Running (cumulative) sum]] * ('General Info'!$B$42 -'General Info'!$B$43 + 1)) + 'General Info'!$B$43 - 1, 0)</f>
        <v>19659.259516502483</v>
      </c>
      <c r="AI699" s="100" t="str">
        <f>IF(ISERROR(MATCH(SamplingData[[#This Row],[Batch by Type (p)]],SelectedPrecincts[Batch Name], 0)), "", INDEX(SelectedPrecincts[Draw], MATCH(SamplingData[[#This Row],[Batch by Type (p)]],SelectedPrecincts[Batch Name], 0)))</f>
        <v/>
      </c>
      <c r="AJ699" s="101">
        <f>IF(COUNTIF(SelectedPrecincts[Batch Name],SamplingData[[#This Row],[Batch by Type (p)]]) &lt;&gt; 0, COUNTIF(SelectedPrecincts[Batch Name],SamplingData[[#This Row],[Batch by Type (p)]]), 0)</f>
        <v>0</v>
      </c>
    </row>
    <row r="700" spans="1:36" ht="15" customHeight="1" x14ac:dyDescent="0.35">
      <c r="A700" s="98" t="s">
        <v>911</v>
      </c>
      <c r="B700" s="98">
        <v>21</v>
      </c>
      <c r="C700" s="98">
        <v>2</v>
      </c>
      <c r="D700" s="93"/>
      <c r="E700" s="93"/>
      <c r="F700" s="93"/>
      <c r="G700" s="97"/>
      <c r="H700" s="97"/>
      <c r="I700" s="93"/>
      <c r="J700" s="93"/>
      <c r="K700" s="93"/>
      <c r="L700" s="93"/>
      <c r="M700" s="93"/>
      <c r="N700" s="98">
        <v>1</v>
      </c>
      <c r="O700" s="98">
        <v>1</v>
      </c>
      <c r="P700" s="99">
        <f>SUM(SamplingData[[#This Row],[Winning Candidate]:[Under Votes]])</f>
        <v>25</v>
      </c>
      <c r="Q700" s="100">
        <f>IF(AND(SamplingData[[#This Row],[Total]]&lt;&gt; 0, NOT(ISBLANK(SamplingData[[#This Row],[Losing Candidate]]))),(SamplingData[[#This Row],[Total]]+SamplingData[[#This Row],[Winning Candidate]]-SamplingData[[#This Row],[Losing Candidate]])/(SamplingData[[#Totals],[Winning Candidate]]-SamplingData[[#Totals],[Losing Candidate]]), 0)</f>
        <v>1.38203976505324E-3</v>
      </c>
      <c r="R700" s="100">
        <f>IF(AND(SamplingData[[#This Row],[Total]]&lt;&gt; 0, NOT(ISBLANK(SamplingData[[#This Row],[Candidate 3]]))),(SamplingData[[#This Row],[Total]]+SamplingData[[#This Row],[Winning Candidate]]-SamplingData[[#This Row],[Candidate 3]])/(SamplingData[[#Totals],[Winning Candidate]]-SamplingData[[#Totals],[Candidate 3]]), 0)</f>
        <v>0</v>
      </c>
      <c r="S700" s="100">
        <f>IF(AND(SamplingData[[#This Row],[Total]]&lt;&gt; 0, NOT(ISBLANK(SamplingData[[#This Row],[Candidate 4]]))),(SamplingData[[#This Row],[Total]]+SamplingData[[#This Row],[Winning Candidate]]-SamplingData[[#This Row],[Candidate 4]])/(SamplingData[[#Totals],[Winning Candidate]]-SamplingData[[#Totals],[Candidate 4]]), 0)</f>
        <v>0</v>
      </c>
      <c r="T700" s="100">
        <f>IF(AND(SamplingData[[#This Row],[Total]]&lt;&gt; 0, NOT(ISBLANK(SamplingData[[#This Row],[Candidate 5]]))),(SamplingData[[#This Row],[Total]]+SamplingData[[#This Row],[Winning Candidate]]-SamplingData[[#This Row],[Candidate 5]])/(SamplingData[[#Totals],[Winning Candidate]]-SamplingData[[#Totals],[Candidate 5]]), 0)</f>
        <v>0</v>
      </c>
      <c r="U700" s="100">
        <f>IF(AND(SamplingData[[#This Row],[Total]]&lt;&gt; 0, NOT(ISBLANK(SamplingData[[#This Row],[Candidate 6]]))),(SamplingData[[#This Row],[Total]]+SamplingData[[#This Row],[Losing Candidate]]-SamplingData[[#This Row],[Candidate 6]])/(SamplingData[[#Totals],[Winning Candidate]]-SamplingData[[#Totals],[Candidate 6]]), 0)</f>
        <v>0</v>
      </c>
      <c r="V700" s="100">
        <f>IF(AND(SamplingData[[#This Row],[Total]]&lt;&gt; 0, NOT(ISBLANK(SamplingData[[#This Row],[Candidate 7]]))),(SamplingData[[#This Row],[Total]]+SamplingData[[#This Row],[Winning Candidate]]-SamplingData[[#This Row],[Candidate 7]])/(SamplingData[[#Totals],[Winning Candidate]]-SamplingData[[#Totals],[Candidate 7]]), 0)</f>
        <v>0</v>
      </c>
      <c r="W700" s="100">
        <f>IF(AND(SamplingData[[#This Row],[Total]]&lt;&gt; 0, NOT(ISBLANK(SamplingData[[#This Row],[Candidate 8]]))),(SamplingData[[#This Row],[Total]]+SamplingData[[#This Row],[Winning Candidate]]-SamplingData[[#This Row],[Candidate 8]])/(SamplingData[[#Totals],[Winning Candidate]]-SamplingData[[#Totals],[Candidate 8]]), 0)</f>
        <v>0</v>
      </c>
      <c r="X7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00">
        <f>MAX(SamplingData[[#This Row],[Error Bound (up) - Max. possible relative overstatement - Losing Candidate]:[Error Bound (up) - Max. possible relative overstatement - Candidate 12]])</f>
        <v>1.38203976505324E-3</v>
      </c>
      <c r="AC700" s="100">
        <f>IF(SamplingData[[#This Row],[Max Error Bound (up)]] = 0,0,SamplingData[[#This Row],[Max Error Bound (up)]]/SamplingData[[#Totals],[Max Error Bound (up)]])</f>
        <v>5.9225757820492134E-4</v>
      </c>
      <c r="AD700" s="104">
        <f>SUM($AC$5:AC700)</f>
        <v>0.19719485274322976</v>
      </c>
      <c r="AE700" s="100" t="str" cm="1">
        <f t="array" ref="AE700">IF(SamplingData[[#This Row],[up/U Selection Probability]] = 0, "Zero", TEXT(SamplingData[[#This Row],[Lower Range]], REPT("0",LEN('General Info'!$B$42))) &amp; " - " &amp; TEXT(SamplingData[[#This Row],[Upper Range]], REPT("0",LEN('General Info'!$B$42))))</f>
        <v>19660 - 19718</v>
      </c>
      <c r="AF700" s="100">
        <f>SamplingData[[#This Row],[Upper Range]]-SamplingData[[#This Row],[Span]]</f>
        <v>19660.259516502483</v>
      </c>
      <c r="AG700" s="100">
        <f>IF(ISNUMBER('General Info'!$B$42), ((SamplingData[[#This Row],[up/U Selection Probability]]) * 'General Info'!$B$44) - 1, 0)</f>
        <v>58.225757820492134</v>
      </c>
      <c r="AH700" s="100">
        <f>IF(ISNUMBER('General Info'!$B$42), (SamplingData[[#This Row],[Running (cumulative) sum]] * ('General Info'!$B$42 -'General Info'!$B$43 + 1)) + 'General Info'!$B$43 - 1, 0)</f>
        <v>19718.485274322975</v>
      </c>
      <c r="AI700" s="100" t="str">
        <f>IF(ISERROR(MATCH(SamplingData[[#This Row],[Batch by Type (p)]],SelectedPrecincts[Batch Name], 0)), "", INDEX(SelectedPrecincts[Draw], MATCH(SamplingData[[#This Row],[Batch by Type (p)]],SelectedPrecincts[Batch Name], 0)))</f>
        <v/>
      </c>
      <c r="AJ700" s="101">
        <f>IF(COUNTIF(SelectedPrecincts[Batch Name],SamplingData[[#This Row],[Batch by Type (p)]]) &lt;&gt; 0, COUNTIF(SelectedPrecincts[Batch Name],SamplingData[[#This Row],[Batch by Type (p)]]), 0)</f>
        <v>0</v>
      </c>
    </row>
    <row r="701" spans="1:36" ht="15" customHeight="1" x14ac:dyDescent="0.35">
      <c r="A701" s="98" t="s">
        <v>912</v>
      </c>
      <c r="B701" s="98">
        <v>5</v>
      </c>
      <c r="C701" s="98">
        <v>3</v>
      </c>
      <c r="D701" s="93"/>
      <c r="E701" s="93"/>
      <c r="F701" s="93"/>
      <c r="G701" s="97"/>
      <c r="H701" s="97"/>
      <c r="I701" s="93"/>
      <c r="J701" s="93"/>
      <c r="K701" s="93"/>
      <c r="L701" s="93"/>
      <c r="M701" s="93"/>
      <c r="N701" s="98">
        <v>0</v>
      </c>
      <c r="O701" s="98">
        <v>0</v>
      </c>
      <c r="P701" s="99">
        <f>SUM(SamplingData[[#This Row],[Winning Candidate]:[Under Votes]])</f>
        <v>8</v>
      </c>
      <c r="Q701"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701" s="100">
        <f>IF(AND(SamplingData[[#This Row],[Total]]&lt;&gt; 0, NOT(ISBLANK(SamplingData[[#This Row],[Candidate 3]]))),(SamplingData[[#This Row],[Total]]+SamplingData[[#This Row],[Winning Candidate]]-SamplingData[[#This Row],[Candidate 3]])/(SamplingData[[#Totals],[Winning Candidate]]-SamplingData[[#Totals],[Candidate 3]]), 0)</f>
        <v>0</v>
      </c>
      <c r="S701" s="100">
        <f>IF(AND(SamplingData[[#This Row],[Total]]&lt;&gt; 0, NOT(ISBLANK(SamplingData[[#This Row],[Candidate 4]]))),(SamplingData[[#This Row],[Total]]+SamplingData[[#This Row],[Winning Candidate]]-SamplingData[[#This Row],[Candidate 4]])/(SamplingData[[#Totals],[Winning Candidate]]-SamplingData[[#Totals],[Candidate 4]]), 0)</f>
        <v>0</v>
      </c>
      <c r="T701" s="100">
        <f>IF(AND(SamplingData[[#This Row],[Total]]&lt;&gt; 0, NOT(ISBLANK(SamplingData[[#This Row],[Candidate 5]]))),(SamplingData[[#This Row],[Total]]+SamplingData[[#This Row],[Winning Candidate]]-SamplingData[[#This Row],[Candidate 5]])/(SamplingData[[#Totals],[Winning Candidate]]-SamplingData[[#Totals],[Candidate 5]]), 0)</f>
        <v>0</v>
      </c>
      <c r="U701" s="100">
        <f>IF(AND(SamplingData[[#This Row],[Total]]&lt;&gt; 0, NOT(ISBLANK(SamplingData[[#This Row],[Candidate 6]]))),(SamplingData[[#This Row],[Total]]+SamplingData[[#This Row],[Losing Candidate]]-SamplingData[[#This Row],[Candidate 6]])/(SamplingData[[#Totals],[Winning Candidate]]-SamplingData[[#Totals],[Candidate 6]]), 0)</f>
        <v>0</v>
      </c>
      <c r="V701" s="100">
        <f>IF(AND(SamplingData[[#This Row],[Total]]&lt;&gt; 0, NOT(ISBLANK(SamplingData[[#This Row],[Candidate 7]]))),(SamplingData[[#This Row],[Total]]+SamplingData[[#This Row],[Winning Candidate]]-SamplingData[[#This Row],[Candidate 7]])/(SamplingData[[#Totals],[Winning Candidate]]-SamplingData[[#Totals],[Candidate 7]]), 0)</f>
        <v>0</v>
      </c>
      <c r="W701" s="100">
        <f>IF(AND(SamplingData[[#This Row],[Total]]&lt;&gt; 0, NOT(ISBLANK(SamplingData[[#This Row],[Candidate 8]]))),(SamplingData[[#This Row],[Total]]+SamplingData[[#This Row],[Winning Candidate]]-SamplingData[[#This Row],[Candidate 8]])/(SamplingData[[#Totals],[Winning Candidate]]-SamplingData[[#Totals],[Candidate 8]]), 0)</f>
        <v>0</v>
      </c>
      <c r="X7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00">
        <f>MAX(SamplingData[[#This Row],[Error Bound (up) - Max. possible relative overstatement - Losing Candidate]:[Error Bound (up) - Max. possible relative overstatement - Candidate 12]])</f>
        <v>3.1409994660300906E-4</v>
      </c>
      <c r="AC701" s="100">
        <f>IF(SamplingData[[#This Row],[Max Error Bound (up)]] = 0,0,SamplingData[[#This Row],[Max Error Bound (up)]]/SamplingData[[#Totals],[Max Error Bound (up)]])</f>
        <v>1.3460399504657304E-4</v>
      </c>
      <c r="AD701" s="104">
        <f>SUM($AC$5:AC701)</f>
        <v>0.19732945673827634</v>
      </c>
      <c r="AE701" s="100" t="str" cm="1">
        <f t="array" ref="AE701">IF(SamplingData[[#This Row],[up/U Selection Probability]] = 0, "Zero", TEXT(SamplingData[[#This Row],[Lower Range]], REPT("0",LEN('General Info'!$B$42))) &amp; " - " &amp; TEXT(SamplingData[[#This Row],[Upper Range]], REPT("0",LEN('General Info'!$B$42))))</f>
        <v>19719 - 19732</v>
      </c>
      <c r="AF701" s="100">
        <f>SamplingData[[#This Row],[Upper Range]]-SamplingData[[#This Row],[Span]]</f>
        <v>19719.485274322979</v>
      </c>
      <c r="AG701" s="100">
        <f>IF(ISNUMBER('General Info'!$B$42), ((SamplingData[[#This Row],[up/U Selection Probability]]) * 'General Info'!$B$44) - 1, 0)</f>
        <v>12.460399504657303</v>
      </c>
      <c r="AH701" s="100">
        <f>IF(ISNUMBER('General Info'!$B$42), (SamplingData[[#This Row],[Running (cumulative) sum]] * ('General Info'!$B$42 -'General Info'!$B$43 + 1)) + 'General Info'!$B$43 - 1, 0)</f>
        <v>19731.945673827635</v>
      </c>
      <c r="AI701" s="100" t="str">
        <f>IF(ISERROR(MATCH(SamplingData[[#This Row],[Batch by Type (p)]],SelectedPrecincts[Batch Name], 0)), "", INDEX(SelectedPrecincts[Draw], MATCH(SamplingData[[#This Row],[Batch by Type (p)]],SelectedPrecincts[Batch Name], 0)))</f>
        <v/>
      </c>
      <c r="AJ701" s="101">
        <f>IF(COUNTIF(SelectedPrecincts[Batch Name],SamplingData[[#This Row],[Batch by Type (p)]]) &lt;&gt; 0, COUNTIF(SelectedPrecincts[Batch Name],SamplingData[[#This Row],[Batch by Type (p)]]), 0)</f>
        <v>0</v>
      </c>
    </row>
    <row r="702" spans="1:36" ht="15" customHeight="1" x14ac:dyDescent="0.35">
      <c r="A702" s="98" t="s">
        <v>913</v>
      </c>
      <c r="B702" s="98">
        <v>9</v>
      </c>
      <c r="C702" s="98">
        <v>2</v>
      </c>
      <c r="D702" s="93"/>
      <c r="E702" s="93"/>
      <c r="F702" s="93"/>
      <c r="G702" s="97"/>
      <c r="H702" s="97"/>
      <c r="I702" s="93"/>
      <c r="J702" s="93"/>
      <c r="K702" s="93"/>
      <c r="L702" s="93"/>
      <c r="M702" s="93"/>
      <c r="N702" s="98">
        <v>0</v>
      </c>
      <c r="O702" s="98">
        <v>0</v>
      </c>
      <c r="P702" s="99">
        <f>SUM(SamplingData[[#This Row],[Winning Candidate]:[Under Votes]])</f>
        <v>11</v>
      </c>
      <c r="Q702"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702" s="100">
        <f>IF(AND(SamplingData[[#This Row],[Total]]&lt;&gt; 0, NOT(ISBLANK(SamplingData[[#This Row],[Candidate 3]]))),(SamplingData[[#This Row],[Total]]+SamplingData[[#This Row],[Winning Candidate]]-SamplingData[[#This Row],[Candidate 3]])/(SamplingData[[#Totals],[Winning Candidate]]-SamplingData[[#Totals],[Candidate 3]]), 0)</f>
        <v>0</v>
      </c>
      <c r="S702" s="100">
        <f>IF(AND(SamplingData[[#This Row],[Total]]&lt;&gt; 0, NOT(ISBLANK(SamplingData[[#This Row],[Candidate 4]]))),(SamplingData[[#This Row],[Total]]+SamplingData[[#This Row],[Winning Candidate]]-SamplingData[[#This Row],[Candidate 4]])/(SamplingData[[#Totals],[Winning Candidate]]-SamplingData[[#Totals],[Candidate 4]]), 0)</f>
        <v>0</v>
      </c>
      <c r="T702" s="100">
        <f>IF(AND(SamplingData[[#This Row],[Total]]&lt;&gt; 0, NOT(ISBLANK(SamplingData[[#This Row],[Candidate 5]]))),(SamplingData[[#This Row],[Total]]+SamplingData[[#This Row],[Winning Candidate]]-SamplingData[[#This Row],[Candidate 5]])/(SamplingData[[#Totals],[Winning Candidate]]-SamplingData[[#Totals],[Candidate 5]]), 0)</f>
        <v>0</v>
      </c>
      <c r="U702" s="100">
        <f>IF(AND(SamplingData[[#This Row],[Total]]&lt;&gt; 0, NOT(ISBLANK(SamplingData[[#This Row],[Candidate 6]]))),(SamplingData[[#This Row],[Total]]+SamplingData[[#This Row],[Losing Candidate]]-SamplingData[[#This Row],[Candidate 6]])/(SamplingData[[#Totals],[Winning Candidate]]-SamplingData[[#Totals],[Candidate 6]]), 0)</f>
        <v>0</v>
      </c>
      <c r="V702" s="100">
        <f>IF(AND(SamplingData[[#This Row],[Total]]&lt;&gt; 0, NOT(ISBLANK(SamplingData[[#This Row],[Candidate 7]]))),(SamplingData[[#This Row],[Total]]+SamplingData[[#This Row],[Winning Candidate]]-SamplingData[[#This Row],[Candidate 7]])/(SamplingData[[#Totals],[Winning Candidate]]-SamplingData[[#Totals],[Candidate 7]]), 0)</f>
        <v>0</v>
      </c>
      <c r="W702" s="100">
        <f>IF(AND(SamplingData[[#This Row],[Total]]&lt;&gt; 0, NOT(ISBLANK(SamplingData[[#This Row],[Candidate 8]]))),(SamplingData[[#This Row],[Total]]+SamplingData[[#This Row],[Winning Candidate]]-SamplingData[[#This Row],[Candidate 8]])/(SamplingData[[#Totals],[Winning Candidate]]-SamplingData[[#Totals],[Candidate 8]]), 0)</f>
        <v>0</v>
      </c>
      <c r="X7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00">
        <f>MAX(SamplingData[[#This Row],[Error Bound (up) - Max. possible relative overstatement - Losing Candidate]:[Error Bound (up) - Max. possible relative overstatement - Candidate 12]])</f>
        <v>5.6537990388541635E-4</v>
      </c>
      <c r="AC702" s="100">
        <f>IF(SamplingData[[#This Row],[Max Error Bound (up)]] = 0,0,SamplingData[[#This Row],[Max Error Bound (up)]]/SamplingData[[#Totals],[Max Error Bound (up)]])</f>
        <v>2.4228719108383145E-4</v>
      </c>
      <c r="AD702" s="104">
        <f>SUM($AC$5:AC702)</f>
        <v>0.19757174392936017</v>
      </c>
      <c r="AE702" s="100" t="str" cm="1">
        <f t="array" ref="AE702">IF(SamplingData[[#This Row],[up/U Selection Probability]] = 0, "Zero", TEXT(SamplingData[[#This Row],[Lower Range]], REPT("0",LEN('General Info'!$B$42))) &amp; " - " &amp; TEXT(SamplingData[[#This Row],[Upper Range]], REPT("0",LEN('General Info'!$B$42))))</f>
        <v>19733 - 19756</v>
      </c>
      <c r="AF702" s="100">
        <f>SamplingData[[#This Row],[Upper Range]]-SamplingData[[#This Row],[Span]]</f>
        <v>19732.945673827635</v>
      </c>
      <c r="AG702" s="100">
        <f>IF(ISNUMBER('General Info'!$B$42), ((SamplingData[[#This Row],[up/U Selection Probability]]) * 'General Info'!$B$44) - 1, 0)</f>
        <v>23.228719108383146</v>
      </c>
      <c r="AH702" s="100">
        <f>IF(ISNUMBER('General Info'!$B$42), (SamplingData[[#This Row],[Running (cumulative) sum]] * ('General Info'!$B$42 -'General Info'!$B$43 + 1)) + 'General Info'!$B$43 - 1, 0)</f>
        <v>19756.174392936016</v>
      </c>
      <c r="AI702" s="100" t="str">
        <f>IF(ISERROR(MATCH(SamplingData[[#This Row],[Batch by Type (p)]],SelectedPrecincts[Batch Name], 0)), "", INDEX(SelectedPrecincts[Draw], MATCH(SamplingData[[#This Row],[Batch by Type (p)]],SelectedPrecincts[Batch Name], 0)))</f>
        <v/>
      </c>
      <c r="AJ702" s="101">
        <f>IF(COUNTIF(SelectedPrecincts[Batch Name],SamplingData[[#This Row],[Batch by Type (p)]]) &lt;&gt; 0, COUNTIF(SelectedPrecincts[Batch Name],SamplingData[[#This Row],[Batch by Type (p)]]), 0)</f>
        <v>0</v>
      </c>
    </row>
    <row r="703" spans="1:36" ht="15" customHeight="1" x14ac:dyDescent="0.35">
      <c r="A703" s="98" t="s">
        <v>914</v>
      </c>
      <c r="B703" s="98">
        <v>10</v>
      </c>
      <c r="C703" s="98">
        <v>0</v>
      </c>
      <c r="D703" s="93"/>
      <c r="E703" s="93"/>
      <c r="F703" s="93"/>
      <c r="G703" s="97"/>
      <c r="H703" s="97"/>
      <c r="I703" s="93"/>
      <c r="J703" s="93"/>
      <c r="K703" s="93"/>
      <c r="L703" s="93"/>
      <c r="M703" s="93"/>
      <c r="N703" s="98">
        <v>0</v>
      </c>
      <c r="O703" s="98">
        <v>0</v>
      </c>
      <c r="P703" s="99">
        <f>SUM(SamplingData[[#This Row],[Winning Candidate]:[Under Votes]])</f>
        <v>10</v>
      </c>
      <c r="Q703"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6.2819989320601812E-4</v>
      </c>
      <c r="R703" s="100">
        <f>IF(AND(SamplingData[[#This Row],[Total]]&lt;&gt; 0, NOT(ISBLANK(SamplingData[[#This Row],[Candidate 3]]))),(SamplingData[[#This Row],[Total]]+SamplingData[[#This Row],[Winning Candidate]]-SamplingData[[#This Row],[Candidate 3]])/(SamplingData[[#Totals],[Winning Candidate]]-SamplingData[[#Totals],[Candidate 3]]), 0)</f>
        <v>0</v>
      </c>
      <c r="S703" s="100">
        <f>IF(AND(SamplingData[[#This Row],[Total]]&lt;&gt; 0, NOT(ISBLANK(SamplingData[[#This Row],[Candidate 4]]))),(SamplingData[[#This Row],[Total]]+SamplingData[[#This Row],[Winning Candidate]]-SamplingData[[#This Row],[Candidate 4]])/(SamplingData[[#Totals],[Winning Candidate]]-SamplingData[[#Totals],[Candidate 4]]), 0)</f>
        <v>0</v>
      </c>
      <c r="T703" s="100">
        <f>IF(AND(SamplingData[[#This Row],[Total]]&lt;&gt; 0, NOT(ISBLANK(SamplingData[[#This Row],[Candidate 5]]))),(SamplingData[[#This Row],[Total]]+SamplingData[[#This Row],[Winning Candidate]]-SamplingData[[#This Row],[Candidate 5]])/(SamplingData[[#Totals],[Winning Candidate]]-SamplingData[[#Totals],[Candidate 5]]), 0)</f>
        <v>0</v>
      </c>
      <c r="U703" s="100">
        <f>IF(AND(SamplingData[[#This Row],[Total]]&lt;&gt; 0, NOT(ISBLANK(SamplingData[[#This Row],[Candidate 6]]))),(SamplingData[[#This Row],[Total]]+SamplingData[[#This Row],[Losing Candidate]]-SamplingData[[#This Row],[Candidate 6]])/(SamplingData[[#Totals],[Winning Candidate]]-SamplingData[[#Totals],[Candidate 6]]), 0)</f>
        <v>0</v>
      </c>
      <c r="V703" s="100">
        <f>IF(AND(SamplingData[[#This Row],[Total]]&lt;&gt; 0, NOT(ISBLANK(SamplingData[[#This Row],[Candidate 7]]))),(SamplingData[[#This Row],[Total]]+SamplingData[[#This Row],[Winning Candidate]]-SamplingData[[#This Row],[Candidate 7]])/(SamplingData[[#Totals],[Winning Candidate]]-SamplingData[[#Totals],[Candidate 7]]), 0)</f>
        <v>0</v>
      </c>
      <c r="W703" s="100">
        <f>IF(AND(SamplingData[[#This Row],[Total]]&lt;&gt; 0, NOT(ISBLANK(SamplingData[[#This Row],[Candidate 8]]))),(SamplingData[[#This Row],[Total]]+SamplingData[[#This Row],[Winning Candidate]]-SamplingData[[#This Row],[Candidate 8]])/(SamplingData[[#Totals],[Winning Candidate]]-SamplingData[[#Totals],[Candidate 8]]), 0)</f>
        <v>0</v>
      </c>
      <c r="X7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00">
        <f>MAX(SamplingData[[#This Row],[Error Bound (up) - Max. possible relative overstatement - Losing Candidate]:[Error Bound (up) - Max. possible relative overstatement - Candidate 12]])</f>
        <v>6.2819989320601812E-4</v>
      </c>
      <c r="AC703" s="100">
        <f>IF(SamplingData[[#This Row],[Max Error Bound (up)]] = 0,0,SamplingData[[#This Row],[Max Error Bound (up)]]/SamplingData[[#Totals],[Max Error Bound (up)]])</f>
        <v>2.6920799009314607E-4</v>
      </c>
      <c r="AD703" s="104">
        <f>SUM($AC$5:AC703)</f>
        <v>0.19784095191945331</v>
      </c>
      <c r="AE703" s="100" t="str" cm="1">
        <f t="array" ref="AE703">IF(SamplingData[[#This Row],[up/U Selection Probability]] = 0, "Zero", TEXT(SamplingData[[#This Row],[Lower Range]], REPT("0",LEN('General Info'!$B$42))) &amp; " - " &amp; TEXT(SamplingData[[#This Row],[Upper Range]], REPT("0",LEN('General Info'!$B$42))))</f>
        <v>19757 - 19783</v>
      </c>
      <c r="AF703" s="100">
        <f>SamplingData[[#This Row],[Upper Range]]-SamplingData[[#This Row],[Span]]</f>
        <v>19757.174392936013</v>
      </c>
      <c r="AG703" s="100">
        <f>IF(ISNUMBER('General Info'!$B$42), ((SamplingData[[#This Row],[up/U Selection Probability]]) * 'General Info'!$B$44) - 1, 0)</f>
        <v>25.920799009314607</v>
      </c>
      <c r="AH703" s="100">
        <f>IF(ISNUMBER('General Info'!$B$42), (SamplingData[[#This Row],[Running (cumulative) sum]] * ('General Info'!$B$42 -'General Info'!$B$43 + 1)) + 'General Info'!$B$43 - 1, 0)</f>
        <v>19783.095191945329</v>
      </c>
      <c r="AI703" s="100" t="str">
        <f>IF(ISERROR(MATCH(SamplingData[[#This Row],[Batch by Type (p)]],SelectedPrecincts[Batch Name], 0)), "", INDEX(SelectedPrecincts[Draw], MATCH(SamplingData[[#This Row],[Batch by Type (p)]],SelectedPrecincts[Batch Name], 0)))</f>
        <v/>
      </c>
      <c r="AJ703" s="101">
        <f>IF(COUNTIF(SelectedPrecincts[Batch Name],SamplingData[[#This Row],[Batch by Type (p)]]) &lt;&gt; 0, COUNTIF(SelectedPrecincts[Batch Name],SamplingData[[#This Row],[Batch by Type (p)]]), 0)</f>
        <v>0</v>
      </c>
    </row>
    <row r="704" spans="1:36" ht="15" customHeight="1" x14ac:dyDescent="0.35">
      <c r="A704" s="98" t="s">
        <v>915</v>
      </c>
      <c r="B704" s="98">
        <v>3</v>
      </c>
      <c r="C704" s="98">
        <v>0</v>
      </c>
      <c r="D704" s="93"/>
      <c r="E704" s="93"/>
      <c r="F704" s="93"/>
      <c r="G704" s="97"/>
      <c r="H704" s="97"/>
      <c r="I704" s="93"/>
      <c r="J704" s="93"/>
      <c r="K704" s="93"/>
      <c r="L704" s="93"/>
      <c r="M704" s="93"/>
      <c r="N704" s="98">
        <v>0</v>
      </c>
      <c r="O704" s="98">
        <v>0</v>
      </c>
      <c r="P704" s="99">
        <f>SUM(SamplingData[[#This Row],[Winning Candidate]:[Under Votes]])</f>
        <v>3</v>
      </c>
      <c r="Q70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704" s="100">
        <f>IF(AND(SamplingData[[#This Row],[Total]]&lt;&gt; 0, NOT(ISBLANK(SamplingData[[#This Row],[Candidate 3]]))),(SamplingData[[#This Row],[Total]]+SamplingData[[#This Row],[Winning Candidate]]-SamplingData[[#This Row],[Candidate 3]])/(SamplingData[[#Totals],[Winning Candidate]]-SamplingData[[#Totals],[Candidate 3]]), 0)</f>
        <v>0</v>
      </c>
      <c r="S704" s="100">
        <f>IF(AND(SamplingData[[#This Row],[Total]]&lt;&gt; 0, NOT(ISBLANK(SamplingData[[#This Row],[Candidate 4]]))),(SamplingData[[#This Row],[Total]]+SamplingData[[#This Row],[Winning Candidate]]-SamplingData[[#This Row],[Candidate 4]])/(SamplingData[[#Totals],[Winning Candidate]]-SamplingData[[#Totals],[Candidate 4]]), 0)</f>
        <v>0</v>
      </c>
      <c r="T704" s="100">
        <f>IF(AND(SamplingData[[#This Row],[Total]]&lt;&gt; 0, NOT(ISBLANK(SamplingData[[#This Row],[Candidate 5]]))),(SamplingData[[#This Row],[Total]]+SamplingData[[#This Row],[Winning Candidate]]-SamplingData[[#This Row],[Candidate 5]])/(SamplingData[[#Totals],[Winning Candidate]]-SamplingData[[#Totals],[Candidate 5]]), 0)</f>
        <v>0</v>
      </c>
      <c r="U704" s="100">
        <f>IF(AND(SamplingData[[#This Row],[Total]]&lt;&gt; 0, NOT(ISBLANK(SamplingData[[#This Row],[Candidate 6]]))),(SamplingData[[#This Row],[Total]]+SamplingData[[#This Row],[Losing Candidate]]-SamplingData[[#This Row],[Candidate 6]])/(SamplingData[[#Totals],[Winning Candidate]]-SamplingData[[#Totals],[Candidate 6]]), 0)</f>
        <v>0</v>
      </c>
      <c r="V704" s="100">
        <f>IF(AND(SamplingData[[#This Row],[Total]]&lt;&gt; 0, NOT(ISBLANK(SamplingData[[#This Row],[Candidate 7]]))),(SamplingData[[#This Row],[Total]]+SamplingData[[#This Row],[Winning Candidate]]-SamplingData[[#This Row],[Candidate 7]])/(SamplingData[[#Totals],[Winning Candidate]]-SamplingData[[#Totals],[Candidate 7]]), 0)</f>
        <v>0</v>
      </c>
      <c r="W704" s="100">
        <f>IF(AND(SamplingData[[#This Row],[Total]]&lt;&gt; 0, NOT(ISBLANK(SamplingData[[#This Row],[Candidate 8]]))),(SamplingData[[#This Row],[Total]]+SamplingData[[#This Row],[Winning Candidate]]-SamplingData[[#This Row],[Candidate 8]])/(SamplingData[[#Totals],[Winning Candidate]]-SamplingData[[#Totals],[Candidate 8]]), 0)</f>
        <v>0</v>
      </c>
      <c r="X7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00">
        <f>MAX(SamplingData[[#This Row],[Error Bound (up) - Max. possible relative overstatement - Losing Candidate]:[Error Bound (up) - Max. possible relative overstatement - Candidate 12]])</f>
        <v>1.8845996796180544E-4</v>
      </c>
      <c r="AC704" s="100">
        <f>IF(SamplingData[[#This Row],[Max Error Bound (up)]] = 0,0,SamplingData[[#This Row],[Max Error Bound (up)]]/SamplingData[[#Totals],[Max Error Bound (up)]])</f>
        <v>8.0762397027943816E-5</v>
      </c>
      <c r="AD704" s="104">
        <f>SUM($AC$5:AC704)</f>
        <v>0.19792171431648126</v>
      </c>
      <c r="AE704" s="100" t="str" cm="1">
        <f t="array" ref="AE704">IF(SamplingData[[#This Row],[up/U Selection Probability]] = 0, "Zero", TEXT(SamplingData[[#This Row],[Lower Range]], REPT("0",LEN('General Info'!$B$42))) &amp; " - " &amp; TEXT(SamplingData[[#This Row],[Upper Range]], REPT("0",LEN('General Info'!$B$42))))</f>
        <v>19784 - 19791</v>
      </c>
      <c r="AF704" s="100">
        <f>SamplingData[[#This Row],[Upper Range]]-SamplingData[[#This Row],[Span]]</f>
        <v>19784.095191945333</v>
      </c>
      <c r="AG704" s="100">
        <f>IF(ISNUMBER('General Info'!$B$42), ((SamplingData[[#This Row],[up/U Selection Probability]]) * 'General Info'!$B$44) - 1, 0)</f>
        <v>7.076239702794382</v>
      </c>
      <c r="AH704" s="100">
        <f>IF(ISNUMBER('General Info'!$B$42), (SamplingData[[#This Row],[Running (cumulative) sum]] * ('General Info'!$B$42 -'General Info'!$B$43 + 1)) + 'General Info'!$B$43 - 1, 0)</f>
        <v>19791.171431648127</v>
      </c>
      <c r="AI704" s="100" t="str">
        <f>IF(ISERROR(MATCH(SamplingData[[#This Row],[Batch by Type (p)]],SelectedPrecincts[Batch Name], 0)), "", INDEX(SelectedPrecincts[Draw], MATCH(SamplingData[[#This Row],[Batch by Type (p)]],SelectedPrecincts[Batch Name], 0)))</f>
        <v/>
      </c>
      <c r="AJ704" s="101">
        <f>IF(COUNTIF(SelectedPrecincts[Batch Name],SamplingData[[#This Row],[Batch by Type (p)]]) &lt;&gt; 0, COUNTIF(SelectedPrecincts[Batch Name],SamplingData[[#This Row],[Batch by Type (p)]]), 0)</f>
        <v>0</v>
      </c>
    </row>
    <row r="705" spans="1:36" ht="15" customHeight="1" x14ac:dyDescent="0.35">
      <c r="A705" s="98" t="s">
        <v>916</v>
      </c>
      <c r="B705" s="98">
        <v>21</v>
      </c>
      <c r="C705" s="98">
        <v>2</v>
      </c>
      <c r="D705" s="93"/>
      <c r="E705" s="93"/>
      <c r="F705" s="93"/>
      <c r="G705" s="97"/>
      <c r="H705" s="97"/>
      <c r="I705" s="93"/>
      <c r="J705" s="93"/>
      <c r="K705" s="93"/>
      <c r="L705" s="93"/>
      <c r="M705" s="93"/>
      <c r="N705" s="98">
        <v>0</v>
      </c>
      <c r="O705" s="98">
        <v>1</v>
      </c>
      <c r="P705" s="99">
        <f>SUM(SamplingData[[#This Row],[Winning Candidate]:[Under Votes]])</f>
        <v>24</v>
      </c>
      <c r="Q705" s="100">
        <f>IF(AND(SamplingData[[#This Row],[Total]]&lt;&gt; 0, NOT(ISBLANK(SamplingData[[#This Row],[Losing Candidate]]))),(SamplingData[[#This Row],[Total]]+SamplingData[[#This Row],[Winning Candidate]]-SamplingData[[#This Row],[Losing Candidate]])/(SamplingData[[#Totals],[Winning Candidate]]-SamplingData[[#Totals],[Losing Candidate]]), 0)</f>
        <v>1.350629770392939E-3</v>
      </c>
      <c r="R705" s="100">
        <f>IF(AND(SamplingData[[#This Row],[Total]]&lt;&gt; 0, NOT(ISBLANK(SamplingData[[#This Row],[Candidate 3]]))),(SamplingData[[#This Row],[Total]]+SamplingData[[#This Row],[Winning Candidate]]-SamplingData[[#This Row],[Candidate 3]])/(SamplingData[[#Totals],[Winning Candidate]]-SamplingData[[#Totals],[Candidate 3]]), 0)</f>
        <v>0</v>
      </c>
      <c r="S705" s="100">
        <f>IF(AND(SamplingData[[#This Row],[Total]]&lt;&gt; 0, NOT(ISBLANK(SamplingData[[#This Row],[Candidate 4]]))),(SamplingData[[#This Row],[Total]]+SamplingData[[#This Row],[Winning Candidate]]-SamplingData[[#This Row],[Candidate 4]])/(SamplingData[[#Totals],[Winning Candidate]]-SamplingData[[#Totals],[Candidate 4]]), 0)</f>
        <v>0</v>
      </c>
      <c r="T705" s="100">
        <f>IF(AND(SamplingData[[#This Row],[Total]]&lt;&gt; 0, NOT(ISBLANK(SamplingData[[#This Row],[Candidate 5]]))),(SamplingData[[#This Row],[Total]]+SamplingData[[#This Row],[Winning Candidate]]-SamplingData[[#This Row],[Candidate 5]])/(SamplingData[[#Totals],[Winning Candidate]]-SamplingData[[#Totals],[Candidate 5]]), 0)</f>
        <v>0</v>
      </c>
      <c r="U705" s="100">
        <f>IF(AND(SamplingData[[#This Row],[Total]]&lt;&gt; 0, NOT(ISBLANK(SamplingData[[#This Row],[Candidate 6]]))),(SamplingData[[#This Row],[Total]]+SamplingData[[#This Row],[Losing Candidate]]-SamplingData[[#This Row],[Candidate 6]])/(SamplingData[[#Totals],[Winning Candidate]]-SamplingData[[#Totals],[Candidate 6]]), 0)</f>
        <v>0</v>
      </c>
      <c r="V705" s="100">
        <f>IF(AND(SamplingData[[#This Row],[Total]]&lt;&gt; 0, NOT(ISBLANK(SamplingData[[#This Row],[Candidate 7]]))),(SamplingData[[#This Row],[Total]]+SamplingData[[#This Row],[Winning Candidate]]-SamplingData[[#This Row],[Candidate 7]])/(SamplingData[[#Totals],[Winning Candidate]]-SamplingData[[#Totals],[Candidate 7]]), 0)</f>
        <v>0</v>
      </c>
      <c r="W705" s="100">
        <f>IF(AND(SamplingData[[#This Row],[Total]]&lt;&gt; 0, NOT(ISBLANK(SamplingData[[#This Row],[Candidate 8]]))),(SamplingData[[#This Row],[Total]]+SamplingData[[#This Row],[Winning Candidate]]-SamplingData[[#This Row],[Candidate 8]])/(SamplingData[[#Totals],[Winning Candidate]]-SamplingData[[#Totals],[Candidate 8]]), 0)</f>
        <v>0</v>
      </c>
      <c r="X7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00">
        <f>MAX(SamplingData[[#This Row],[Error Bound (up) - Max. possible relative overstatement - Losing Candidate]:[Error Bound (up) - Max. possible relative overstatement - Candidate 12]])</f>
        <v>1.350629770392939E-3</v>
      </c>
      <c r="AC705" s="100">
        <f>IF(SamplingData[[#This Row],[Max Error Bound (up)]] = 0,0,SamplingData[[#This Row],[Max Error Bound (up)]]/SamplingData[[#Totals],[Max Error Bound (up)]])</f>
        <v>5.7879717870026404E-4</v>
      </c>
      <c r="AD705" s="104">
        <f>SUM($AC$5:AC705)</f>
        <v>0.19850051149518153</v>
      </c>
      <c r="AE705" s="100" t="str" cm="1">
        <f t="array" ref="AE705">IF(SamplingData[[#This Row],[up/U Selection Probability]] = 0, "Zero", TEXT(SamplingData[[#This Row],[Lower Range]], REPT("0",LEN('General Info'!$B$42))) &amp; " - " &amp; TEXT(SamplingData[[#This Row],[Upper Range]], REPT("0",LEN('General Info'!$B$42))))</f>
        <v>19792 - 19849</v>
      </c>
      <c r="AF705" s="100">
        <f>SamplingData[[#This Row],[Upper Range]]-SamplingData[[#This Row],[Span]]</f>
        <v>19792.171431648127</v>
      </c>
      <c r="AG705" s="100">
        <f>IF(ISNUMBER('General Info'!$B$42), ((SamplingData[[#This Row],[up/U Selection Probability]]) * 'General Info'!$B$44) - 1, 0)</f>
        <v>56.879717870026404</v>
      </c>
      <c r="AH705" s="100">
        <f>IF(ISNUMBER('General Info'!$B$42), (SamplingData[[#This Row],[Running (cumulative) sum]] * ('General Info'!$B$42 -'General Info'!$B$43 + 1)) + 'General Info'!$B$43 - 1, 0)</f>
        <v>19849.051149518153</v>
      </c>
      <c r="AI705" s="100" t="str">
        <f>IF(ISERROR(MATCH(SamplingData[[#This Row],[Batch by Type (p)]],SelectedPrecincts[Batch Name], 0)), "", INDEX(SelectedPrecincts[Draw], MATCH(SamplingData[[#This Row],[Batch by Type (p)]],SelectedPrecincts[Batch Name], 0)))</f>
        <v/>
      </c>
      <c r="AJ705" s="101">
        <f>IF(COUNTIF(SelectedPrecincts[Batch Name],SamplingData[[#This Row],[Batch by Type (p)]]) &lt;&gt; 0, COUNTIF(SelectedPrecincts[Batch Name],SamplingData[[#This Row],[Batch by Type (p)]]), 0)</f>
        <v>0</v>
      </c>
    </row>
    <row r="706" spans="1:36" ht="15" customHeight="1" x14ac:dyDescent="0.35">
      <c r="A706" s="98" t="s">
        <v>917</v>
      </c>
      <c r="B706" s="98">
        <v>3</v>
      </c>
      <c r="C706" s="98">
        <v>2</v>
      </c>
      <c r="D706" s="93"/>
      <c r="E706" s="93"/>
      <c r="F706" s="93"/>
      <c r="G706" s="97"/>
      <c r="H706" s="97"/>
      <c r="I706" s="93"/>
      <c r="J706" s="93"/>
      <c r="K706" s="93"/>
      <c r="L706" s="93"/>
      <c r="M706" s="93"/>
      <c r="N706" s="98">
        <v>0</v>
      </c>
      <c r="O706" s="98">
        <v>0</v>
      </c>
      <c r="P706" s="99">
        <f>SUM(SamplingData[[#This Row],[Winning Candidate]:[Under Votes]])</f>
        <v>5</v>
      </c>
      <c r="Q706"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706" s="100">
        <f>IF(AND(SamplingData[[#This Row],[Total]]&lt;&gt; 0, NOT(ISBLANK(SamplingData[[#This Row],[Candidate 3]]))),(SamplingData[[#This Row],[Total]]+SamplingData[[#This Row],[Winning Candidate]]-SamplingData[[#This Row],[Candidate 3]])/(SamplingData[[#Totals],[Winning Candidate]]-SamplingData[[#Totals],[Candidate 3]]), 0)</f>
        <v>0</v>
      </c>
      <c r="S706" s="100">
        <f>IF(AND(SamplingData[[#This Row],[Total]]&lt;&gt; 0, NOT(ISBLANK(SamplingData[[#This Row],[Candidate 4]]))),(SamplingData[[#This Row],[Total]]+SamplingData[[#This Row],[Winning Candidate]]-SamplingData[[#This Row],[Candidate 4]])/(SamplingData[[#Totals],[Winning Candidate]]-SamplingData[[#Totals],[Candidate 4]]), 0)</f>
        <v>0</v>
      </c>
      <c r="T706" s="100">
        <f>IF(AND(SamplingData[[#This Row],[Total]]&lt;&gt; 0, NOT(ISBLANK(SamplingData[[#This Row],[Candidate 5]]))),(SamplingData[[#This Row],[Total]]+SamplingData[[#This Row],[Winning Candidate]]-SamplingData[[#This Row],[Candidate 5]])/(SamplingData[[#Totals],[Winning Candidate]]-SamplingData[[#Totals],[Candidate 5]]), 0)</f>
        <v>0</v>
      </c>
      <c r="U706" s="100">
        <f>IF(AND(SamplingData[[#This Row],[Total]]&lt;&gt; 0, NOT(ISBLANK(SamplingData[[#This Row],[Candidate 6]]))),(SamplingData[[#This Row],[Total]]+SamplingData[[#This Row],[Losing Candidate]]-SamplingData[[#This Row],[Candidate 6]])/(SamplingData[[#Totals],[Winning Candidate]]-SamplingData[[#Totals],[Candidate 6]]), 0)</f>
        <v>0</v>
      </c>
      <c r="V706" s="100">
        <f>IF(AND(SamplingData[[#This Row],[Total]]&lt;&gt; 0, NOT(ISBLANK(SamplingData[[#This Row],[Candidate 7]]))),(SamplingData[[#This Row],[Total]]+SamplingData[[#This Row],[Winning Candidate]]-SamplingData[[#This Row],[Candidate 7]])/(SamplingData[[#Totals],[Winning Candidate]]-SamplingData[[#Totals],[Candidate 7]]), 0)</f>
        <v>0</v>
      </c>
      <c r="W706" s="100">
        <f>IF(AND(SamplingData[[#This Row],[Total]]&lt;&gt; 0, NOT(ISBLANK(SamplingData[[#This Row],[Candidate 8]]))),(SamplingData[[#This Row],[Total]]+SamplingData[[#This Row],[Winning Candidate]]-SamplingData[[#This Row],[Candidate 8]])/(SamplingData[[#Totals],[Winning Candidate]]-SamplingData[[#Totals],[Candidate 8]]), 0)</f>
        <v>0</v>
      </c>
      <c r="X7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00">
        <f>MAX(SamplingData[[#This Row],[Error Bound (up) - Max. possible relative overstatement - Losing Candidate]:[Error Bound (up) - Max. possible relative overstatement - Candidate 12]])</f>
        <v>1.8845996796180544E-4</v>
      </c>
      <c r="AC706" s="100">
        <f>IF(SamplingData[[#This Row],[Max Error Bound (up)]] = 0,0,SamplingData[[#This Row],[Max Error Bound (up)]]/SamplingData[[#Totals],[Max Error Bound (up)]])</f>
        <v>8.0762397027943816E-5</v>
      </c>
      <c r="AD706" s="104">
        <f>SUM($AC$5:AC706)</f>
        <v>0.19858127389220948</v>
      </c>
      <c r="AE706" s="100" t="str" cm="1">
        <f t="array" ref="AE706">IF(SamplingData[[#This Row],[up/U Selection Probability]] = 0, "Zero", TEXT(SamplingData[[#This Row],[Lower Range]], REPT("0",LEN('General Info'!$B$42))) &amp; " - " &amp; TEXT(SamplingData[[#This Row],[Upper Range]], REPT("0",LEN('General Info'!$B$42))))</f>
        <v>19850 - 19857</v>
      </c>
      <c r="AF706" s="100">
        <f>SamplingData[[#This Row],[Upper Range]]-SamplingData[[#This Row],[Span]]</f>
        <v>19850.051149518153</v>
      </c>
      <c r="AG706" s="100">
        <f>IF(ISNUMBER('General Info'!$B$42), ((SamplingData[[#This Row],[up/U Selection Probability]]) * 'General Info'!$B$44) - 1, 0)</f>
        <v>7.076239702794382</v>
      </c>
      <c r="AH706" s="100">
        <f>IF(ISNUMBER('General Info'!$B$42), (SamplingData[[#This Row],[Running (cumulative) sum]] * ('General Info'!$B$42 -'General Info'!$B$43 + 1)) + 'General Info'!$B$43 - 1, 0)</f>
        <v>19857.127389220946</v>
      </c>
      <c r="AI706" s="100" t="str">
        <f>IF(ISERROR(MATCH(SamplingData[[#This Row],[Batch by Type (p)]],SelectedPrecincts[Batch Name], 0)), "", INDEX(SelectedPrecincts[Draw], MATCH(SamplingData[[#This Row],[Batch by Type (p)]],SelectedPrecincts[Batch Name], 0)))</f>
        <v/>
      </c>
      <c r="AJ706" s="101">
        <f>IF(COUNTIF(SelectedPrecincts[Batch Name],SamplingData[[#This Row],[Batch by Type (p)]]) &lt;&gt; 0, COUNTIF(SelectedPrecincts[Batch Name],SamplingData[[#This Row],[Batch by Type (p)]]), 0)</f>
        <v>0</v>
      </c>
    </row>
    <row r="707" spans="1:36" ht="15" customHeight="1" x14ac:dyDescent="0.35">
      <c r="A707" s="98" t="s">
        <v>918</v>
      </c>
      <c r="B707" s="98">
        <v>36</v>
      </c>
      <c r="C707" s="98">
        <v>3</v>
      </c>
      <c r="D707" s="93"/>
      <c r="E707" s="93"/>
      <c r="F707" s="93"/>
      <c r="G707" s="97"/>
      <c r="H707" s="97"/>
      <c r="I707" s="93"/>
      <c r="J707" s="93"/>
      <c r="K707" s="93"/>
      <c r="L707" s="93"/>
      <c r="M707" s="93"/>
      <c r="N707" s="98">
        <v>0</v>
      </c>
      <c r="O707" s="98">
        <v>0</v>
      </c>
      <c r="P707" s="99">
        <f>SUM(SamplingData[[#This Row],[Winning Candidate]:[Under Votes]])</f>
        <v>39</v>
      </c>
      <c r="Q707" s="100">
        <f>IF(AND(SamplingData[[#This Row],[Total]]&lt;&gt; 0, NOT(ISBLANK(SamplingData[[#This Row],[Losing Candidate]]))),(SamplingData[[#This Row],[Total]]+SamplingData[[#This Row],[Winning Candidate]]-SamplingData[[#This Row],[Losing Candidate]])/(SamplingData[[#Totals],[Winning Candidate]]-SamplingData[[#Totals],[Losing Candidate]]), 0)</f>
        <v>2.2615196155416654E-3</v>
      </c>
      <c r="R707" s="100">
        <f>IF(AND(SamplingData[[#This Row],[Total]]&lt;&gt; 0, NOT(ISBLANK(SamplingData[[#This Row],[Candidate 3]]))),(SamplingData[[#This Row],[Total]]+SamplingData[[#This Row],[Winning Candidate]]-SamplingData[[#This Row],[Candidate 3]])/(SamplingData[[#Totals],[Winning Candidate]]-SamplingData[[#Totals],[Candidate 3]]), 0)</f>
        <v>0</v>
      </c>
      <c r="S707" s="100">
        <f>IF(AND(SamplingData[[#This Row],[Total]]&lt;&gt; 0, NOT(ISBLANK(SamplingData[[#This Row],[Candidate 4]]))),(SamplingData[[#This Row],[Total]]+SamplingData[[#This Row],[Winning Candidate]]-SamplingData[[#This Row],[Candidate 4]])/(SamplingData[[#Totals],[Winning Candidate]]-SamplingData[[#Totals],[Candidate 4]]), 0)</f>
        <v>0</v>
      </c>
      <c r="T707" s="100">
        <f>IF(AND(SamplingData[[#This Row],[Total]]&lt;&gt; 0, NOT(ISBLANK(SamplingData[[#This Row],[Candidate 5]]))),(SamplingData[[#This Row],[Total]]+SamplingData[[#This Row],[Winning Candidate]]-SamplingData[[#This Row],[Candidate 5]])/(SamplingData[[#Totals],[Winning Candidate]]-SamplingData[[#Totals],[Candidate 5]]), 0)</f>
        <v>0</v>
      </c>
      <c r="U707" s="100">
        <f>IF(AND(SamplingData[[#This Row],[Total]]&lt;&gt; 0, NOT(ISBLANK(SamplingData[[#This Row],[Candidate 6]]))),(SamplingData[[#This Row],[Total]]+SamplingData[[#This Row],[Losing Candidate]]-SamplingData[[#This Row],[Candidate 6]])/(SamplingData[[#Totals],[Winning Candidate]]-SamplingData[[#Totals],[Candidate 6]]), 0)</f>
        <v>0</v>
      </c>
      <c r="V707" s="100">
        <f>IF(AND(SamplingData[[#This Row],[Total]]&lt;&gt; 0, NOT(ISBLANK(SamplingData[[#This Row],[Candidate 7]]))),(SamplingData[[#This Row],[Total]]+SamplingData[[#This Row],[Winning Candidate]]-SamplingData[[#This Row],[Candidate 7]])/(SamplingData[[#Totals],[Winning Candidate]]-SamplingData[[#Totals],[Candidate 7]]), 0)</f>
        <v>0</v>
      </c>
      <c r="W707" s="100">
        <f>IF(AND(SamplingData[[#This Row],[Total]]&lt;&gt; 0, NOT(ISBLANK(SamplingData[[#This Row],[Candidate 8]]))),(SamplingData[[#This Row],[Total]]+SamplingData[[#This Row],[Winning Candidate]]-SamplingData[[#This Row],[Candidate 8]])/(SamplingData[[#Totals],[Winning Candidate]]-SamplingData[[#Totals],[Candidate 8]]), 0)</f>
        <v>0</v>
      </c>
      <c r="X7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00">
        <f>MAX(SamplingData[[#This Row],[Error Bound (up) - Max. possible relative overstatement - Losing Candidate]:[Error Bound (up) - Max. possible relative overstatement - Candidate 12]])</f>
        <v>2.2615196155416654E-3</v>
      </c>
      <c r="AC707" s="100">
        <f>IF(SamplingData[[#This Row],[Max Error Bound (up)]] = 0,0,SamplingData[[#This Row],[Max Error Bound (up)]]/SamplingData[[#Totals],[Max Error Bound (up)]])</f>
        <v>9.691487643353258E-4</v>
      </c>
      <c r="AD707" s="104">
        <f>SUM($AC$5:AC707)</f>
        <v>0.1995504226565448</v>
      </c>
      <c r="AE707" s="100" t="str" cm="1">
        <f t="array" ref="AE707">IF(SamplingData[[#This Row],[up/U Selection Probability]] = 0, "Zero", TEXT(SamplingData[[#This Row],[Lower Range]], REPT("0",LEN('General Info'!$B$42))) &amp; " - " &amp; TEXT(SamplingData[[#This Row],[Upper Range]], REPT("0",LEN('General Info'!$B$42))))</f>
        <v>19858 - 19954</v>
      </c>
      <c r="AF707" s="100">
        <f>SamplingData[[#This Row],[Upper Range]]-SamplingData[[#This Row],[Span]]</f>
        <v>19858.127389220946</v>
      </c>
      <c r="AG707" s="100">
        <f>IF(ISNUMBER('General Info'!$B$42), ((SamplingData[[#This Row],[up/U Selection Probability]]) * 'General Info'!$B$44) - 1, 0)</f>
        <v>95.914876433532584</v>
      </c>
      <c r="AH707" s="100">
        <f>IF(ISNUMBER('General Info'!$B$42), (SamplingData[[#This Row],[Running (cumulative) sum]] * ('General Info'!$B$42 -'General Info'!$B$43 + 1)) + 'General Info'!$B$43 - 1, 0)</f>
        <v>19954.04226565448</v>
      </c>
      <c r="AI707" s="100" t="str">
        <f>IF(ISERROR(MATCH(SamplingData[[#This Row],[Batch by Type (p)]],SelectedPrecincts[Batch Name], 0)), "", INDEX(SelectedPrecincts[Draw], MATCH(SamplingData[[#This Row],[Batch by Type (p)]],SelectedPrecincts[Batch Name], 0)))</f>
        <v/>
      </c>
      <c r="AJ707" s="101">
        <f>IF(COUNTIF(SelectedPrecincts[Batch Name],SamplingData[[#This Row],[Batch by Type (p)]]) &lt;&gt; 0, COUNTIF(SelectedPrecincts[Batch Name],SamplingData[[#This Row],[Batch by Type (p)]]), 0)</f>
        <v>0</v>
      </c>
    </row>
    <row r="708" spans="1:36" ht="15" customHeight="1" x14ac:dyDescent="0.35">
      <c r="A708" s="98" t="s">
        <v>919</v>
      </c>
      <c r="B708" s="98">
        <v>45</v>
      </c>
      <c r="C708" s="98">
        <v>2</v>
      </c>
      <c r="D708" s="93"/>
      <c r="E708" s="93"/>
      <c r="F708" s="93"/>
      <c r="G708" s="97"/>
      <c r="H708" s="97"/>
      <c r="I708" s="93"/>
      <c r="J708" s="93"/>
      <c r="K708" s="93"/>
      <c r="L708" s="93"/>
      <c r="M708" s="93"/>
      <c r="N708" s="98">
        <v>0</v>
      </c>
      <c r="O708" s="98">
        <v>1</v>
      </c>
      <c r="P708" s="99">
        <f>SUM(SamplingData[[#This Row],[Winning Candidate]:[Under Votes]])</f>
        <v>48</v>
      </c>
      <c r="Q708" s="100">
        <f>IF(AND(SamplingData[[#This Row],[Total]]&lt;&gt; 0, NOT(ISBLANK(SamplingData[[#This Row],[Losing Candidate]]))),(SamplingData[[#This Row],[Total]]+SamplingData[[#This Row],[Winning Candidate]]-SamplingData[[#This Row],[Losing Candidate]])/(SamplingData[[#Totals],[Winning Candidate]]-SamplingData[[#Totals],[Losing Candidate]]), 0)</f>
        <v>2.8583095140873828E-3</v>
      </c>
      <c r="R708" s="100">
        <f>IF(AND(SamplingData[[#This Row],[Total]]&lt;&gt; 0, NOT(ISBLANK(SamplingData[[#This Row],[Candidate 3]]))),(SamplingData[[#This Row],[Total]]+SamplingData[[#This Row],[Winning Candidate]]-SamplingData[[#This Row],[Candidate 3]])/(SamplingData[[#Totals],[Winning Candidate]]-SamplingData[[#Totals],[Candidate 3]]), 0)</f>
        <v>0</v>
      </c>
      <c r="S708" s="100">
        <f>IF(AND(SamplingData[[#This Row],[Total]]&lt;&gt; 0, NOT(ISBLANK(SamplingData[[#This Row],[Candidate 4]]))),(SamplingData[[#This Row],[Total]]+SamplingData[[#This Row],[Winning Candidate]]-SamplingData[[#This Row],[Candidate 4]])/(SamplingData[[#Totals],[Winning Candidate]]-SamplingData[[#Totals],[Candidate 4]]), 0)</f>
        <v>0</v>
      </c>
      <c r="T708" s="100">
        <f>IF(AND(SamplingData[[#This Row],[Total]]&lt;&gt; 0, NOT(ISBLANK(SamplingData[[#This Row],[Candidate 5]]))),(SamplingData[[#This Row],[Total]]+SamplingData[[#This Row],[Winning Candidate]]-SamplingData[[#This Row],[Candidate 5]])/(SamplingData[[#Totals],[Winning Candidate]]-SamplingData[[#Totals],[Candidate 5]]), 0)</f>
        <v>0</v>
      </c>
      <c r="U708" s="100">
        <f>IF(AND(SamplingData[[#This Row],[Total]]&lt;&gt; 0, NOT(ISBLANK(SamplingData[[#This Row],[Candidate 6]]))),(SamplingData[[#This Row],[Total]]+SamplingData[[#This Row],[Losing Candidate]]-SamplingData[[#This Row],[Candidate 6]])/(SamplingData[[#Totals],[Winning Candidate]]-SamplingData[[#Totals],[Candidate 6]]), 0)</f>
        <v>0</v>
      </c>
      <c r="V708" s="100">
        <f>IF(AND(SamplingData[[#This Row],[Total]]&lt;&gt; 0, NOT(ISBLANK(SamplingData[[#This Row],[Candidate 7]]))),(SamplingData[[#This Row],[Total]]+SamplingData[[#This Row],[Winning Candidate]]-SamplingData[[#This Row],[Candidate 7]])/(SamplingData[[#Totals],[Winning Candidate]]-SamplingData[[#Totals],[Candidate 7]]), 0)</f>
        <v>0</v>
      </c>
      <c r="W708" s="100">
        <f>IF(AND(SamplingData[[#This Row],[Total]]&lt;&gt; 0, NOT(ISBLANK(SamplingData[[#This Row],[Candidate 8]]))),(SamplingData[[#This Row],[Total]]+SamplingData[[#This Row],[Winning Candidate]]-SamplingData[[#This Row],[Candidate 8]])/(SamplingData[[#Totals],[Winning Candidate]]-SamplingData[[#Totals],[Candidate 8]]), 0)</f>
        <v>0</v>
      </c>
      <c r="X7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00">
        <f>MAX(SamplingData[[#This Row],[Error Bound (up) - Max. possible relative overstatement - Losing Candidate]:[Error Bound (up) - Max. possible relative overstatement - Candidate 12]])</f>
        <v>2.8583095140873828E-3</v>
      </c>
      <c r="AC708" s="100">
        <f>IF(SamplingData[[#This Row],[Max Error Bound (up)]] = 0,0,SamplingData[[#This Row],[Max Error Bound (up)]]/SamplingData[[#Totals],[Max Error Bound (up)]])</f>
        <v>1.2248963549238146E-3</v>
      </c>
      <c r="AD708" s="104">
        <f>SUM($AC$5:AC708)</f>
        <v>0.20077531901146861</v>
      </c>
      <c r="AE708" s="100" t="str" cm="1">
        <f t="array" ref="AE708">IF(SamplingData[[#This Row],[up/U Selection Probability]] = 0, "Zero", TEXT(SamplingData[[#This Row],[Lower Range]], REPT("0",LEN('General Info'!$B$42))) &amp; " - " &amp; TEXT(SamplingData[[#This Row],[Upper Range]], REPT("0",LEN('General Info'!$B$42))))</f>
        <v>19955 - 20077</v>
      </c>
      <c r="AF708" s="100">
        <f>SamplingData[[#This Row],[Upper Range]]-SamplingData[[#This Row],[Span]]</f>
        <v>19955.04226565448</v>
      </c>
      <c r="AG708" s="100">
        <f>IF(ISNUMBER('General Info'!$B$42), ((SamplingData[[#This Row],[up/U Selection Probability]]) * 'General Info'!$B$44) - 1, 0)</f>
        <v>121.48963549238145</v>
      </c>
      <c r="AH708" s="100">
        <f>IF(ISNUMBER('General Info'!$B$42), (SamplingData[[#This Row],[Running (cumulative) sum]] * ('General Info'!$B$42 -'General Info'!$B$43 + 1)) + 'General Info'!$B$43 - 1, 0)</f>
        <v>20076.53190114686</v>
      </c>
      <c r="AI708" s="100" t="str">
        <f>IF(ISERROR(MATCH(SamplingData[[#This Row],[Batch by Type (p)]],SelectedPrecincts[Batch Name], 0)), "", INDEX(SelectedPrecincts[Draw], MATCH(SamplingData[[#This Row],[Batch by Type (p)]],SelectedPrecincts[Batch Name], 0)))</f>
        <v/>
      </c>
      <c r="AJ708" s="101">
        <f>IF(COUNTIF(SelectedPrecincts[Batch Name],SamplingData[[#This Row],[Batch by Type (p)]]) &lt;&gt; 0, COUNTIF(SelectedPrecincts[Batch Name],SamplingData[[#This Row],[Batch by Type (p)]]), 0)</f>
        <v>0</v>
      </c>
    </row>
    <row r="709" spans="1:36" ht="15" customHeight="1" x14ac:dyDescent="0.35">
      <c r="A709" s="98" t="s">
        <v>920</v>
      </c>
      <c r="B709" s="98">
        <v>34</v>
      </c>
      <c r="C709" s="98">
        <v>6</v>
      </c>
      <c r="D709" s="93"/>
      <c r="E709" s="93"/>
      <c r="F709" s="93"/>
      <c r="G709" s="97"/>
      <c r="H709" s="97"/>
      <c r="I709" s="93"/>
      <c r="J709" s="93"/>
      <c r="K709" s="93"/>
      <c r="L709" s="93"/>
      <c r="M709" s="93"/>
      <c r="N709" s="98">
        <v>0</v>
      </c>
      <c r="O709" s="98">
        <v>1</v>
      </c>
      <c r="P709" s="99">
        <f>SUM(SamplingData[[#This Row],[Winning Candidate]:[Under Votes]])</f>
        <v>41</v>
      </c>
      <c r="Q709" s="100">
        <f>IF(AND(SamplingData[[#This Row],[Total]]&lt;&gt; 0, NOT(ISBLANK(SamplingData[[#This Row],[Losing Candidate]]))),(SamplingData[[#This Row],[Total]]+SamplingData[[#This Row],[Winning Candidate]]-SamplingData[[#This Row],[Losing Candidate]])/(SamplingData[[#Totals],[Winning Candidate]]-SamplingData[[#Totals],[Losing Candidate]]), 0)</f>
        <v>2.1672896315607626E-3</v>
      </c>
      <c r="R709" s="100">
        <f>IF(AND(SamplingData[[#This Row],[Total]]&lt;&gt; 0, NOT(ISBLANK(SamplingData[[#This Row],[Candidate 3]]))),(SamplingData[[#This Row],[Total]]+SamplingData[[#This Row],[Winning Candidate]]-SamplingData[[#This Row],[Candidate 3]])/(SamplingData[[#Totals],[Winning Candidate]]-SamplingData[[#Totals],[Candidate 3]]), 0)</f>
        <v>0</v>
      </c>
      <c r="S709" s="100">
        <f>IF(AND(SamplingData[[#This Row],[Total]]&lt;&gt; 0, NOT(ISBLANK(SamplingData[[#This Row],[Candidate 4]]))),(SamplingData[[#This Row],[Total]]+SamplingData[[#This Row],[Winning Candidate]]-SamplingData[[#This Row],[Candidate 4]])/(SamplingData[[#Totals],[Winning Candidate]]-SamplingData[[#Totals],[Candidate 4]]), 0)</f>
        <v>0</v>
      </c>
      <c r="T709" s="100">
        <f>IF(AND(SamplingData[[#This Row],[Total]]&lt;&gt; 0, NOT(ISBLANK(SamplingData[[#This Row],[Candidate 5]]))),(SamplingData[[#This Row],[Total]]+SamplingData[[#This Row],[Winning Candidate]]-SamplingData[[#This Row],[Candidate 5]])/(SamplingData[[#Totals],[Winning Candidate]]-SamplingData[[#Totals],[Candidate 5]]), 0)</f>
        <v>0</v>
      </c>
      <c r="U709" s="100">
        <f>IF(AND(SamplingData[[#This Row],[Total]]&lt;&gt; 0, NOT(ISBLANK(SamplingData[[#This Row],[Candidate 6]]))),(SamplingData[[#This Row],[Total]]+SamplingData[[#This Row],[Losing Candidate]]-SamplingData[[#This Row],[Candidate 6]])/(SamplingData[[#Totals],[Winning Candidate]]-SamplingData[[#Totals],[Candidate 6]]), 0)</f>
        <v>0</v>
      </c>
      <c r="V709" s="100">
        <f>IF(AND(SamplingData[[#This Row],[Total]]&lt;&gt; 0, NOT(ISBLANK(SamplingData[[#This Row],[Candidate 7]]))),(SamplingData[[#This Row],[Total]]+SamplingData[[#This Row],[Winning Candidate]]-SamplingData[[#This Row],[Candidate 7]])/(SamplingData[[#Totals],[Winning Candidate]]-SamplingData[[#Totals],[Candidate 7]]), 0)</f>
        <v>0</v>
      </c>
      <c r="W709" s="100">
        <f>IF(AND(SamplingData[[#This Row],[Total]]&lt;&gt; 0, NOT(ISBLANK(SamplingData[[#This Row],[Candidate 8]]))),(SamplingData[[#This Row],[Total]]+SamplingData[[#This Row],[Winning Candidate]]-SamplingData[[#This Row],[Candidate 8]])/(SamplingData[[#Totals],[Winning Candidate]]-SamplingData[[#Totals],[Candidate 8]]), 0)</f>
        <v>0</v>
      </c>
      <c r="X7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00">
        <f>MAX(SamplingData[[#This Row],[Error Bound (up) - Max. possible relative overstatement - Losing Candidate]:[Error Bound (up) - Max. possible relative overstatement - Candidate 12]])</f>
        <v>2.1672896315607626E-3</v>
      </c>
      <c r="AC709" s="100">
        <f>IF(SamplingData[[#This Row],[Max Error Bound (up)]] = 0,0,SamplingData[[#This Row],[Max Error Bound (up)]]/SamplingData[[#Totals],[Max Error Bound (up)]])</f>
        <v>9.287675658213539E-4</v>
      </c>
      <c r="AD709" s="104">
        <f>SUM($AC$5:AC709)</f>
        <v>0.20170408657728997</v>
      </c>
      <c r="AE709" s="100" t="str" cm="1">
        <f t="array" ref="AE709">IF(SamplingData[[#This Row],[up/U Selection Probability]] = 0, "Zero", TEXT(SamplingData[[#This Row],[Lower Range]], REPT("0",LEN('General Info'!$B$42))) &amp; " - " &amp; TEXT(SamplingData[[#This Row],[Upper Range]], REPT("0",LEN('General Info'!$B$42))))</f>
        <v>20078 - 20169</v>
      </c>
      <c r="AF709" s="100">
        <f>SamplingData[[#This Row],[Upper Range]]-SamplingData[[#This Row],[Span]]</f>
        <v>20077.53190114686</v>
      </c>
      <c r="AG709" s="100">
        <f>IF(ISNUMBER('General Info'!$B$42), ((SamplingData[[#This Row],[up/U Selection Probability]]) * 'General Info'!$B$44) - 1, 0)</f>
        <v>91.876756582135386</v>
      </c>
      <c r="AH709" s="100">
        <f>IF(ISNUMBER('General Info'!$B$42), (SamplingData[[#This Row],[Running (cumulative) sum]] * ('General Info'!$B$42 -'General Info'!$B$43 + 1)) + 'General Info'!$B$43 - 1, 0)</f>
        <v>20169.408657728996</v>
      </c>
      <c r="AI709" s="100" t="str">
        <f>IF(ISERROR(MATCH(SamplingData[[#This Row],[Batch by Type (p)]],SelectedPrecincts[Batch Name], 0)), "", INDEX(SelectedPrecincts[Draw], MATCH(SamplingData[[#This Row],[Batch by Type (p)]],SelectedPrecincts[Batch Name], 0)))</f>
        <v/>
      </c>
      <c r="AJ709" s="101">
        <f>IF(COUNTIF(SelectedPrecincts[Batch Name],SamplingData[[#This Row],[Batch by Type (p)]]) &lt;&gt; 0, COUNTIF(SelectedPrecincts[Batch Name],SamplingData[[#This Row],[Batch by Type (p)]]), 0)</f>
        <v>0</v>
      </c>
    </row>
    <row r="710" spans="1:36" ht="15" customHeight="1" x14ac:dyDescent="0.35">
      <c r="A710" s="98" t="s">
        <v>921</v>
      </c>
      <c r="B710" s="98">
        <v>10</v>
      </c>
      <c r="C710" s="98">
        <v>2</v>
      </c>
      <c r="D710" s="93"/>
      <c r="E710" s="93"/>
      <c r="F710" s="93"/>
      <c r="G710" s="97"/>
      <c r="H710" s="97"/>
      <c r="I710" s="93"/>
      <c r="J710" s="93"/>
      <c r="K710" s="93"/>
      <c r="L710" s="93"/>
      <c r="M710" s="93"/>
      <c r="N710" s="98">
        <v>0</v>
      </c>
      <c r="O710" s="98">
        <v>1</v>
      </c>
      <c r="P710" s="99">
        <f>SUM(SamplingData[[#This Row],[Winning Candidate]:[Under Votes]])</f>
        <v>13</v>
      </c>
      <c r="Q710" s="100">
        <f>IF(AND(SamplingData[[#This Row],[Total]]&lt;&gt; 0, NOT(ISBLANK(SamplingData[[#This Row],[Losing Candidate]]))),(SamplingData[[#This Row],[Total]]+SamplingData[[#This Row],[Winning Candidate]]-SamplingData[[#This Row],[Losing Candidate]])/(SamplingData[[#Totals],[Winning Candidate]]-SamplingData[[#Totals],[Losing Candidate]]), 0)</f>
        <v>6.5960988786631911E-4</v>
      </c>
      <c r="R710" s="100">
        <f>IF(AND(SamplingData[[#This Row],[Total]]&lt;&gt; 0, NOT(ISBLANK(SamplingData[[#This Row],[Candidate 3]]))),(SamplingData[[#This Row],[Total]]+SamplingData[[#This Row],[Winning Candidate]]-SamplingData[[#This Row],[Candidate 3]])/(SamplingData[[#Totals],[Winning Candidate]]-SamplingData[[#Totals],[Candidate 3]]), 0)</f>
        <v>0</v>
      </c>
      <c r="S710" s="100">
        <f>IF(AND(SamplingData[[#This Row],[Total]]&lt;&gt; 0, NOT(ISBLANK(SamplingData[[#This Row],[Candidate 4]]))),(SamplingData[[#This Row],[Total]]+SamplingData[[#This Row],[Winning Candidate]]-SamplingData[[#This Row],[Candidate 4]])/(SamplingData[[#Totals],[Winning Candidate]]-SamplingData[[#Totals],[Candidate 4]]), 0)</f>
        <v>0</v>
      </c>
      <c r="T710" s="100">
        <f>IF(AND(SamplingData[[#This Row],[Total]]&lt;&gt; 0, NOT(ISBLANK(SamplingData[[#This Row],[Candidate 5]]))),(SamplingData[[#This Row],[Total]]+SamplingData[[#This Row],[Winning Candidate]]-SamplingData[[#This Row],[Candidate 5]])/(SamplingData[[#Totals],[Winning Candidate]]-SamplingData[[#Totals],[Candidate 5]]), 0)</f>
        <v>0</v>
      </c>
      <c r="U710" s="100">
        <f>IF(AND(SamplingData[[#This Row],[Total]]&lt;&gt; 0, NOT(ISBLANK(SamplingData[[#This Row],[Candidate 6]]))),(SamplingData[[#This Row],[Total]]+SamplingData[[#This Row],[Losing Candidate]]-SamplingData[[#This Row],[Candidate 6]])/(SamplingData[[#Totals],[Winning Candidate]]-SamplingData[[#Totals],[Candidate 6]]), 0)</f>
        <v>0</v>
      </c>
      <c r="V710" s="100">
        <f>IF(AND(SamplingData[[#This Row],[Total]]&lt;&gt; 0, NOT(ISBLANK(SamplingData[[#This Row],[Candidate 7]]))),(SamplingData[[#This Row],[Total]]+SamplingData[[#This Row],[Winning Candidate]]-SamplingData[[#This Row],[Candidate 7]])/(SamplingData[[#Totals],[Winning Candidate]]-SamplingData[[#Totals],[Candidate 7]]), 0)</f>
        <v>0</v>
      </c>
      <c r="W710" s="100">
        <f>IF(AND(SamplingData[[#This Row],[Total]]&lt;&gt; 0, NOT(ISBLANK(SamplingData[[#This Row],[Candidate 8]]))),(SamplingData[[#This Row],[Total]]+SamplingData[[#This Row],[Winning Candidate]]-SamplingData[[#This Row],[Candidate 8]])/(SamplingData[[#Totals],[Winning Candidate]]-SamplingData[[#Totals],[Candidate 8]]), 0)</f>
        <v>0</v>
      </c>
      <c r="X7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00">
        <f>MAX(SamplingData[[#This Row],[Error Bound (up) - Max. possible relative overstatement - Losing Candidate]:[Error Bound (up) - Max. possible relative overstatement - Candidate 12]])</f>
        <v>6.5960988786631911E-4</v>
      </c>
      <c r="AC710" s="100">
        <f>IF(SamplingData[[#This Row],[Max Error Bound (up)]] = 0,0,SamplingData[[#This Row],[Max Error Bound (up)]]/SamplingData[[#Totals],[Max Error Bound (up)]])</f>
        <v>2.8266838959780337E-4</v>
      </c>
      <c r="AD710" s="104">
        <f>SUM($AC$5:AC710)</f>
        <v>0.20198675496688778</v>
      </c>
      <c r="AE710" s="100" t="str" cm="1">
        <f t="array" ref="AE710">IF(SamplingData[[#This Row],[up/U Selection Probability]] = 0, "Zero", TEXT(SamplingData[[#This Row],[Lower Range]], REPT("0",LEN('General Info'!$B$42))) &amp; " - " &amp; TEXT(SamplingData[[#This Row],[Upper Range]], REPT("0",LEN('General Info'!$B$42))))</f>
        <v>20170 - 20198</v>
      </c>
      <c r="AF710" s="100">
        <f>SamplingData[[#This Row],[Upper Range]]-SamplingData[[#This Row],[Span]]</f>
        <v>20170.408657728996</v>
      </c>
      <c r="AG710" s="100">
        <f>IF(ISNUMBER('General Info'!$B$42), ((SamplingData[[#This Row],[up/U Selection Probability]]) * 'General Info'!$B$44) - 1, 0)</f>
        <v>27.266838959780337</v>
      </c>
      <c r="AH710" s="100">
        <f>IF(ISNUMBER('General Info'!$B$42), (SamplingData[[#This Row],[Running (cumulative) sum]] * ('General Info'!$B$42 -'General Info'!$B$43 + 1)) + 'General Info'!$B$43 - 1, 0)</f>
        <v>20197.675496688778</v>
      </c>
      <c r="AI710" s="100" t="str">
        <f>IF(ISERROR(MATCH(SamplingData[[#This Row],[Batch by Type (p)]],SelectedPrecincts[Batch Name], 0)), "", INDEX(SelectedPrecincts[Draw], MATCH(SamplingData[[#This Row],[Batch by Type (p)]],SelectedPrecincts[Batch Name], 0)))</f>
        <v/>
      </c>
      <c r="AJ710" s="101">
        <f>IF(COUNTIF(SelectedPrecincts[Batch Name],SamplingData[[#This Row],[Batch by Type (p)]]) &lt;&gt; 0, COUNTIF(SelectedPrecincts[Batch Name],SamplingData[[#This Row],[Batch by Type (p)]]), 0)</f>
        <v>0</v>
      </c>
    </row>
    <row r="711" spans="1:36" ht="15" customHeight="1" x14ac:dyDescent="0.35">
      <c r="A711" s="98" t="s">
        <v>922</v>
      </c>
      <c r="B711" s="98">
        <v>18</v>
      </c>
      <c r="C711" s="98">
        <v>0</v>
      </c>
      <c r="D711" s="93"/>
      <c r="E711" s="93"/>
      <c r="F711" s="93"/>
      <c r="G711" s="97"/>
      <c r="H711" s="97"/>
      <c r="I711" s="93"/>
      <c r="J711" s="93"/>
      <c r="K711" s="93"/>
      <c r="L711" s="93"/>
      <c r="M711" s="93"/>
      <c r="N711" s="98">
        <v>0</v>
      </c>
      <c r="O711" s="98">
        <v>0</v>
      </c>
      <c r="P711" s="99">
        <f>SUM(SamplingData[[#This Row],[Winning Candidate]:[Under Votes]])</f>
        <v>18</v>
      </c>
      <c r="Q711"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711" s="100">
        <f>IF(AND(SamplingData[[#This Row],[Total]]&lt;&gt; 0, NOT(ISBLANK(SamplingData[[#This Row],[Candidate 3]]))),(SamplingData[[#This Row],[Total]]+SamplingData[[#This Row],[Winning Candidate]]-SamplingData[[#This Row],[Candidate 3]])/(SamplingData[[#Totals],[Winning Candidate]]-SamplingData[[#Totals],[Candidate 3]]), 0)</f>
        <v>0</v>
      </c>
      <c r="S711" s="100">
        <f>IF(AND(SamplingData[[#This Row],[Total]]&lt;&gt; 0, NOT(ISBLANK(SamplingData[[#This Row],[Candidate 4]]))),(SamplingData[[#This Row],[Total]]+SamplingData[[#This Row],[Winning Candidate]]-SamplingData[[#This Row],[Candidate 4]])/(SamplingData[[#Totals],[Winning Candidate]]-SamplingData[[#Totals],[Candidate 4]]), 0)</f>
        <v>0</v>
      </c>
      <c r="T711" s="100">
        <f>IF(AND(SamplingData[[#This Row],[Total]]&lt;&gt; 0, NOT(ISBLANK(SamplingData[[#This Row],[Candidate 5]]))),(SamplingData[[#This Row],[Total]]+SamplingData[[#This Row],[Winning Candidate]]-SamplingData[[#This Row],[Candidate 5]])/(SamplingData[[#Totals],[Winning Candidate]]-SamplingData[[#Totals],[Candidate 5]]), 0)</f>
        <v>0</v>
      </c>
      <c r="U711" s="100">
        <f>IF(AND(SamplingData[[#This Row],[Total]]&lt;&gt; 0, NOT(ISBLANK(SamplingData[[#This Row],[Candidate 6]]))),(SamplingData[[#This Row],[Total]]+SamplingData[[#This Row],[Losing Candidate]]-SamplingData[[#This Row],[Candidate 6]])/(SamplingData[[#Totals],[Winning Candidate]]-SamplingData[[#Totals],[Candidate 6]]), 0)</f>
        <v>0</v>
      </c>
      <c r="V711" s="100">
        <f>IF(AND(SamplingData[[#This Row],[Total]]&lt;&gt; 0, NOT(ISBLANK(SamplingData[[#This Row],[Candidate 7]]))),(SamplingData[[#This Row],[Total]]+SamplingData[[#This Row],[Winning Candidate]]-SamplingData[[#This Row],[Candidate 7]])/(SamplingData[[#Totals],[Winning Candidate]]-SamplingData[[#Totals],[Candidate 7]]), 0)</f>
        <v>0</v>
      </c>
      <c r="W711" s="100">
        <f>IF(AND(SamplingData[[#This Row],[Total]]&lt;&gt; 0, NOT(ISBLANK(SamplingData[[#This Row],[Candidate 8]]))),(SamplingData[[#This Row],[Total]]+SamplingData[[#This Row],[Winning Candidate]]-SamplingData[[#This Row],[Candidate 8]])/(SamplingData[[#Totals],[Winning Candidate]]-SamplingData[[#Totals],[Candidate 8]]), 0)</f>
        <v>0</v>
      </c>
      <c r="X7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00">
        <f>MAX(SamplingData[[#This Row],[Error Bound (up) - Max. possible relative overstatement - Losing Candidate]:[Error Bound (up) - Max. possible relative overstatement - Candidate 12]])</f>
        <v>1.1307598077708327E-3</v>
      </c>
      <c r="AC711" s="100">
        <f>IF(SamplingData[[#This Row],[Max Error Bound (up)]] = 0,0,SamplingData[[#This Row],[Max Error Bound (up)]]/SamplingData[[#Totals],[Max Error Bound (up)]])</f>
        <v>4.845743821676629E-4</v>
      </c>
      <c r="AD711" s="104">
        <f>SUM($AC$5:AC711)</f>
        <v>0.20247132934905546</v>
      </c>
      <c r="AE711" s="100" t="str" cm="1">
        <f t="array" ref="AE711">IF(SamplingData[[#This Row],[up/U Selection Probability]] = 0, "Zero", TEXT(SamplingData[[#This Row],[Lower Range]], REPT("0",LEN('General Info'!$B$42))) &amp; " - " &amp; TEXT(SamplingData[[#This Row],[Upper Range]], REPT("0",LEN('General Info'!$B$42))))</f>
        <v>20199 - 20246</v>
      </c>
      <c r="AF711" s="100">
        <f>SamplingData[[#This Row],[Upper Range]]-SamplingData[[#This Row],[Span]]</f>
        <v>20198.675496688778</v>
      </c>
      <c r="AG711" s="100">
        <f>IF(ISNUMBER('General Info'!$B$42), ((SamplingData[[#This Row],[up/U Selection Probability]]) * 'General Info'!$B$44) - 1, 0)</f>
        <v>47.457438216766292</v>
      </c>
      <c r="AH711" s="100">
        <f>IF(ISNUMBER('General Info'!$B$42), (SamplingData[[#This Row],[Running (cumulative) sum]] * ('General Info'!$B$42 -'General Info'!$B$43 + 1)) + 'General Info'!$B$43 - 1, 0)</f>
        <v>20246.132934905545</v>
      </c>
      <c r="AI711" s="100" t="str">
        <f>IF(ISERROR(MATCH(SamplingData[[#This Row],[Batch by Type (p)]],SelectedPrecincts[Batch Name], 0)), "", INDEX(SelectedPrecincts[Draw], MATCH(SamplingData[[#This Row],[Batch by Type (p)]],SelectedPrecincts[Batch Name], 0)))</f>
        <v/>
      </c>
      <c r="AJ711" s="101">
        <f>IF(COUNTIF(SelectedPrecincts[Batch Name],SamplingData[[#This Row],[Batch by Type (p)]]) &lt;&gt; 0, COUNTIF(SelectedPrecincts[Batch Name],SamplingData[[#This Row],[Batch by Type (p)]]), 0)</f>
        <v>0</v>
      </c>
    </row>
    <row r="712" spans="1:36" ht="15" customHeight="1" x14ac:dyDescent="0.35">
      <c r="A712" s="98" t="s">
        <v>923</v>
      </c>
      <c r="B712" s="98">
        <v>7</v>
      </c>
      <c r="C712" s="98">
        <v>1</v>
      </c>
      <c r="D712" s="93"/>
      <c r="E712" s="93"/>
      <c r="F712" s="93"/>
      <c r="G712" s="97"/>
      <c r="H712" s="97"/>
      <c r="I712" s="93"/>
      <c r="J712" s="93"/>
      <c r="K712" s="93"/>
      <c r="L712" s="93"/>
      <c r="M712" s="93"/>
      <c r="N712" s="98">
        <v>0</v>
      </c>
      <c r="O712" s="98">
        <v>0</v>
      </c>
      <c r="P712" s="99">
        <f>SUM(SamplingData[[#This Row],[Winning Candidate]:[Under Votes]])</f>
        <v>8</v>
      </c>
      <c r="Q712"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712" s="100">
        <f>IF(AND(SamplingData[[#This Row],[Total]]&lt;&gt; 0, NOT(ISBLANK(SamplingData[[#This Row],[Candidate 3]]))),(SamplingData[[#This Row],[Total]]+SamplingData[[#This Row],[Winning Candidate]]-SamplingData[[#This Row],[Candidate 3]])/(SamplingData[[#Totals],[Winning Candidate]]-SamplingData[[#Totals],[Candidate 3]]), 0)</f>
        <v>0</v>
      </c>
      <c r="S712" s="100">
        <f>IF(AND(SamplingData[[#This Row],[Total]]&lt;&gt; 0, NOT(ISBLANK(SamplingData[[#This Row],[Candidate 4]]))),(SamplingData[[#This Row],[Total]]+SamplingData[[#This Row],[Winning Candidate]]-SamplingData[[#This Row],[Candidate 4]])/(SamplingData[[#Totals],[Winning Candidate]]-SamplingData[[#Totals],[Candidate 4]]), 0)</f>
        <v>0</v>
      </c>
      <c r="T712" s="100">
        <f>IF(AND(SamplingData[[#This Row],[Total]]&lt;&gt; 0, NOT(ISBLANK(SamplingData[[#This Row],[Candidate 5]]))),(SamplingData[[#This Row],[Total]]+SamplingData[[#This Row],[Winning Candidate]]-SamplingData[[#This Row],[Candidate 5]])/(SamplingData[[#Totals],[Winning Candidate]]-SamplingData[[#Totals],[Candidate 5]]), 0)</f>
        <v>0</v>
      </c>
      <c r="U712" s="100">
        <f>IF(AND(SamplingData[[#This Row],[Total]]&lt;&gt; 0, NOT(ISBLANK(SamplingData[[#This Row],[Candidate 6]]))),(SamplingData[[#This Row],[Total]]+SamplingData[[#This Row],[Losing Candidate]]-SamplingData[[#This Row],[Candidate 6]])/(SamplingData[[#Totals],[Winning Candidate]]-SamplingData[[#Totals],[Candidate 6]]), 0)</f>
        <v>0</v>
      </c>
      <c r="V712" s="100">
        <f>IF(AND(SamplingData[[#This Row],[Total]]&lt;&gt; 0, NOT(ISBLANK(SamplingData[[#This Row],[Candidate 7]]))),(SamplingData[[#This Row],[Total]]+SamplingData[[#This Row],[Winning Candidate]]-SamplingData[[#This Row],[Candidate 7]])/(SamplingData[[#Totals],[Winning Candidate]]-SamplingData[[#Totals],[Candidate 7]]), 0)</f>
        <v>0</v>
      </c>
      <c r="W712" s="100">
        <f>IF(AND(SamplingData[[#This Row],[Total]]&lt;&gt; 0, NOT(ISBLANK(SamplingData[[#This Row],[Candidate 8]]))),(SamplingData[[#This Row],[Total]]+SamplingData[[#This Row],[Winning Candidate]]-SamplingData[[#This Row],[Candidate 8]])/(SamplingData[[#Totals],[Winning Candidate]]-SamplingData[[#Totals],[Candidate 8]]), 0)</f>
        <v>0</v>
      </c>
      <c r="X7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00">
        <f>MAX(SamplingData[[#This Row],[Error Bound (up) - Max. possible relative overstatement - Losing Candidate]:[Error Bound (up) - Max. possible relative overstatement - Candidate 12]])</f>
        <v>4.3973992524421271E-4</v>
      </c>
      <c r="AC712" s="100">
        <f>IF(SamplingData[[#This Row],[Max Error Bound (up)]] = 0,0,SamplingData[[#This Row],[Max Error Bound (up)]]/SamplingData[[#Totals],[Max Error Bound (up)]])</f>
        <v>1.8844559306520223E-4</v>
      </c>
      <c r="AD712" s="104">
        <f>SUM($AC$5:AC712)</f>
        <v>0.20265977494212065</v>
      </c>
      <c r="AE712" s="100" t="str" cm="1">
        <f t="array" ref="AE712">IF(SamplingData[[#This Row],[up/U Selection Probability]] = 0, "Zero", TEXT(SamplingData[[#This Row],[Lower Range]], REPT("0",LEN('General Info'!$B$42))) &amp; " - " &amp; TEXT(SamplingData[[#This Row],[Upper Range]], REPT("0",LEN('General Info'!$B$42))))</f>
        <v>20247 - 20265</v>
      </c>
      <c r="AF712" s="100">
        <f>SamplingData[[#This Row],[Upper Range]]-SamplingData[[#This Row],[Span]]</f>
        <v>20247.132934905545</v>
      </c>
      <c r="AG712" s="100">
        <f>IF(ISNUMBER('General Info'!$B$42), ((SamplingData[[#This Row],[up/U Selection Probability]]) * 'General Info'!$B$44) - 1, 0)</f>
        <v>17.844559306520225</v>
      </c>
      <c r="AH712" s="100">
        <f>IF(ISNUMBER('General Info'!$B$42), (SamplingData[[#This Row],[Running (cumulative) sum]] * ('General Info'!$B$42 -'General Info'!$B$43 + 1)) + 'General Info'!$B$43 - 1, 0)</f>
        <v>20264.977494212064</v>
      </c>
      <c r="AI712" s="100" t="str">
        <f>IF(ISERROR(MATCH(SamplingData[[#This Row],[Batch by Type (p)]],SelectedPrecincts[Batch Name], 0)), "", INDEX(SelectedPrecincts[Draw], MATCH(SamplingData[[#This Row],[Batch by Type (p)]],SelectedPrecincts[Batch Name], 0)))</f>
        <v/>
      </c>
      <c r="AJ712" s="101">
        <f>IF(COUNTIF(SelectedPrecincts[Batch Name],SamplingData[[#This Row],[Batch by Type (p)]]) &lt;&gt; 0, COUNTIF(SelectedPrecincts[Batch Name],SamplingData[[#This Row],[Batch by Type (p)]]), 0)</f>
        <v>0</v>
      </c>
    </row>
    <row r="713" spans="1:36" ht="15" customHeight="1" x14ac:dyDescent="0.35">
      <c r="A713" s="98" t="s">
        <v>924</v>
      </c>
      <c r="B713" s="98">
        <v>31</v>
      </c>
      <c r="C713" s="98">
        <v>2</v>
      </c>
      <c r="D713" s="93"/>
      <c r="E713" s="93"/>
      <c r="F713" s="93"/>
      <c r="G713" s="97"/>
      <c r="H713" s="97"/>
      <c r="I713" s="93"/>
      <c r="J713" s="93"/>
      <c r="K713" s="93"/>
      <c r="L713" s="93"/>
      <c r="M713" s="93"/>
      <c r="N713" s="98">
        <v>0</v>
      </c>
      <c r="O713" s="98">
        <v>3</v>
      </c>
      <c r="P713" s="99">
        <f>SUM(SamplingData[[#This Row],[Winning Candidate]:[Under Votes]])</f>
        <v>36</v>
      </c>
      <c r="Q713" s="100">
        <f>IF(AND(SamplingData[[#This Row],[Total]]&lt;&gt; 0, NOT(ISBLANK(SamplingData[[#This Row],[Losing Candidate]]))),(SamplingData[[#This Row],[Total]]+SamplingData[[#This Row],[Winning Candidate]]-SamplingData[[#This Row],[Losing Candidate]])/(SamplingData[[#Totals],[Winning Candidate]]-SamplingData[[#Totals],[Losing Candidate]]), 0)</f>
        <v>2.0416496529195591E-3</v>
      </c>
      <c r="R713" s="100">
        <f>IF(AND(SamplingData[[#This Row],[Total]]&lt;&gt; 0, NOT(ISBLANK(SamplingData[[#This Row],[Candidate 3]]))),(SamplingData[[#This Row],[Total]]+SamplingData[[#This Row],[Winning Candidate]]-SamplingData[[#This Row],[Candidate 3]])/(SamplingData[[#Totals],[Winning Candidate]]-SamplingData[[#Totals],[Candidate 3]]), 0)</f>
        <v>0</v>
      </c>
      <c r="S713" s="100">
        <f>IF(AND(SamplingData[[#This Row],[Total]]&lt;&gt; 0, NOT(ISBLANK(SamplingData[[#This Row],[Candidate 4]]))),(SamplingData[[#This Row],[Total]]+SamplingData[[#This Row],[Winning Candidate]]-SamplingData[[#This Row],[Candidate 4]])/(SamplingData[[#Totals],[Winning Candidate]]-SamplingData[[#Totals],[Candidate 4]]), 0)</f>
        <v>0</v>
      </c>
      <c r="T713" s="100">
        <f>IF(AND(SamplingData[[#This Row],[Total]]&lt;&gt; 0, NOT(ISBLANK(SamplingData[[#This Row],[Candidate 5]]))),(SamplingData[[#This Row],[Total]]+SamplingData[[#This Row],[Winning Candidate]]-SamplingData[[#This Row],[Candidate 5]])/(SamplingData[[#Totals],[Winning Candidate]]-SamplingData[[#Totals],[Candidate 5]]), 0)</f>
        <v>0</v>
      </c>
      <c r="U713" s="100">
        <f>IF(AND(SamplingData[[#This Row],[Total]]&lt;&gt; 0, NOT(ISBLANK(SamplingData[[#This Row],[Candidate 6]]))),(SamplingData[[#This Row],[Total]]+SamplingData[[#This Row],[Losing Candidate]]-SamplingData[[#This Row],[Candidate 6]])/(SamplingData[[#Totals],[Winning Candidate]]-SamplingData[[#Totals],[Candidate 6]]), 0)</f>
        <v>0</v>
      </c>
      <c r="V713" s="100">
        <f>IF(AND(SamplingData[[#This Row],[Total]]&lt;&gt; 0, NOT(ISBLANK(SamplingData[[#This Row],[Candidate 7]]))),(SamplingData[[#This Row],[Total]]+SamplingData[[#This Row],[Winning Candidate]]-SamplingData[[#This Row],[Candidate 7]])/(SamplingData[[#Totals],[Winning Candidate]]-SamplingData[[#Totals],[Candidate 7]]), 0)</f>
        <v>0</v>
      </c>
      <c r="W713" s="100">
        <f>IF(AND(SamplingData[[#This Row],[Total]]&lt;&gt; 0, NOT(ISBLANK(SamplingData[[#This Row],[Candidate 8]]))),(SamplingData[[#This Row],[Total]]+SamplingData[[#This Row],[Winning Candidate]]-SamplingData[[#This Row],[Candidate 8]])/(SamplingData[[#Totals],[Winning Candidate]]-SamplingData[[#Totals],[Candidate 8]]), 0)</f>
        <v>0</v>
      </c>
      <c r="X7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00">
        <f>MAX(SamplingData[[#This Row],[Error Bound (up) - Max. possible relative overstatement - Losing Candidate]:[Error Bound (up) - Max. possible relative overstatement - Candidate 12]])</f>
        <v>2.0416496529195591E-3</v>
      </c>
      <c r="AC713" s="100">
        <f>IF(SamplingData[[#This Row],[Max Error Bound (up)]] = 0,0,SamplingData[[#This Row],[Max Error Bound (up)]]/SamplingData[[#Totals],[Max Error Bound (up)]])</f>
        <v>8.7492596780272471E-4</v>
      </c>
      <c r="AD713" s="104">
        <f>SUM($AC$5:AC713)</f>
        <v>0.20353470090992337</v>
      </c>
      <c r="AE713" s="100" t="str" cm="1">
        <f t="array" ref="AE713">IF(SamplingData[[#This Row],[up/U Selection Probability]] = 0, "Zero", TEXT(SamplingData[[#This Row],[Lower Range]], REPT("0",LEN('General Info'!$B$42))) &amp; " - " &amp; TEXT(SamplingData[[#This Row],[Upper Range]], REPT("0",LEN('General Info'!$B$42))))</f>
        <v>20266 - 20352</v>
      </c>
      <c r="AF713" s="100">
        <f>SamplingData[[#This Row],[Upper Range]]-SamplingData[[#This Row],[Span]]</f>
        <v>20265.977494212064</v>
      </c>
      <c r="AG713" s="100">
        <f>IF(ISNUMBER('General Info'!$B$42), ((SamplingData[[#This Row],[up/U Selection Probability]]) * 'General Info'!$B$44) - 1, 0)</f>
        <v>86.492596780272464</v>
      </c>
      <c r="AH713" s="100">
        <f>IF(ISNUMBER('General Info'!$B$42), (SamplingData[[#This Row],[Running (cumulative) sum]] * ('General Info'!$B$42 -'General Info'!$B$43 + 1)) + 'General Info'!$B$43 - 1, 0)</f>
        <v>20352.470090992338</v>
      </c>
      <c r="AI713" s="100" t="str">
        <f>IF(ISERROR(MATCH(SamplingData[[#This Row],[Batch by Type (p)]],SelectedPrecincts[Batch Name], 0)), "", INDEX(SelectedPrecincts[Draw], MATCH(SamplingData[[#This Row],[Batch by Type (p)]],SelectedPrecincts[Batch Name], 0)))</f>
        <v/>
      </c>
      <c r="AJ713" s="101">
        <f>IF(COUNTIF(SelectedPrecincts[Batch Name],SamplingData[[#This Row],[Batch by Type (p)]]) &lt;&gt; 0, COUNTIF(SelectedPrecincts[Batch Name],SamplingData[[#This Row],[Batch by Type (p)]]), 0)</f>
        <v>0</v>
      </c>
    </row>
    <row r="714" spans="1:36" ht="15" customHeight="1" x14ac:dyDescent="0.35">
      <c r="A714" s="98" t="s">
        <v>925</v>
      </c>
      <c r="B714" s="98">
        <v>19</v>
      </c>
      <c r="C714" s="98">
        <v>2</v>
      </c>
      <c r="D714" s="93"/>
      <c r="E714" s="93"/>
      <c r="F714" s="93"/>
      <c r="G714" s="97"/>
      <c r="H714" s="97"/>
      <c r="I714" s="93"/>
      <c r="J714" s="93"/>
      <c r="K714" s="93"/>
      <c r="L714" s="93"/>
      <c r="M714" s="93"/>
      <c r="N714" s="98">
        <v>0</v>
      </c>
      <c r="O714" s="98">
        <v>2</v>
      </c>
      <c r="P714" s="99">
        <f>SUM(SamplingData[[#This Row],[Winning Candidate]:[Under Votes]])</f>
        <v>23</v>
      </c>
      <c r="Q714"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714" s="100">
        <f>IF(AND(SamplingData[[#This Row],[Total]]&lt;&gt; 0, NOT(ISBLANK(SamplingData[[#This Row],[Candidate 3]]))),(SamplingData[[#This Row],[Total]]+SamplingData[[#This Row],[Winning Candidate]]-SamplingData[[#This Row],[Candidate 3]])/(SamplingData[[#Totals],[Winning Candidate]]-SamplingData[[#Totals],[Candidate 3]]), 0)</f>
        <v>0</v>
      </c>
      <c r="S714" s="100">
        <f>IF(AND(SamplingData[[#This Row],[Total]]&lt;&gt; 0, NOT(ISBLANK(SamplingData[[#This Row],[Candidate 4]]))),(SamplingData[[#This Row],[Total]]+SamplingData[[#This Row],[Winning Candidate]]-SamplingData[[#This Row],[Candidate 4]])/(SamplingData[[#Totals],[Winning Candidate]]-SamplingData[[#Totals],[Candidate 4]]), 0)</f>
        <v>0</v>
      </c>
      <c r="T714" s="100">
        <f>IF(AND(SamplingData[[#This Row],[Total]]&lt;&gt; 0, NOT(ISBLANK(SamplingData[[#This Row],[Candidate 5]]))),(SamplingData[[#This Row],[Total]]+SamplingData[[#This Row],[Winning Candidate]]-SamplingData[[#This Row],[Candidate 5]])/(SamplingData[[#Totals],[Winning Candidate]]-SamplingData[[#Totals],[Candidate 5]]), 0)</f>
        <v>0</v>
      </c>
      <c r="U714" s="100">
        <f>IF(AND(SamplingData[[#This Row],[Total]]&lt;&gt; 0, NOT(ISBLANK(SamplingData[[#This Row],[Candidate 6]]))),(SamplingData[[#This Row],[Total]]+SamplingData[[#This Row],[Losing Candidate]]-SamplingData[[#This Row],[Candidate 6]])/(SamplingData[[#Totals],[Winning Candidate]]-SamplingData[[#Totals],[Candidate 6]]), 0)</f>
        <v>0</v>
      </c>
      <c r="V714" s="100">
        <f>IF(AND(SamplingData[[#This Row],[Total]]&lt;&gt; 0, NOT(ISBLANK(SamplingData[[#This Row],[Candidate 7]]))),(SamplingData[[#This Row],[Total]]+SamplingData[[#This Row],[Winning Candidate]]-SamplingData[[#This Row],[Candidate 7]])/(SamplingData[[#Totals],[Winning Candidate]]-SamplingData[[#Totals],[Candidate 7]]), 0)</f>
        <v>0</v>
      </c>
      <c r="W714" s="100">
        <f>IF(AND(SamplingData[[#This Row],[Total]]&lt;&gt; 0, NOT(ISBLANK(SamplingData[[#This Row],[Candidate 8]]))),(SamplingData[[#This Row],[Total]]+SamplingData[[#This Row],[Winning Candidate]]-SamplingData[[#This Row],[Candidate 8]])/(SamplingData[[#Totals],[Winning Candidate]]-SamplingData[[#Totals],[Candidate 8]]), 0)</f>
        <v>0</v>
      </c>
      <c r="X7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00">
        <f>MAX(SamplingData[[#This Row],[Error Bound (up) - Max. possible relative overstatement - Losing Candidate]:[Error Bound (up) - Max. possible relative overstatement - Candidate 12]])</f>
        <v>1.2563997864120362E-3</v>
      </c>
      <c r="AC714" s="100">
        <f>IF(SamplingData[[#This Row],[Max Error Bound (up)]] = 0,0,SamplingData[[#This Row],[Max Error Bound (up)]]/SamplingData[[#Totals],[Max Error Bound (up)]])</f>
        <v>5.3841598018629215E-4</v>
      </c>
      <c r="AD714" s="104">
        <f>SUM($AC$5:AC714)</f>
        <v>0.20407311689010965</v>
      </c>
      <c r="AE714" s="100" t="str" cm="1">
        <f t="array" ref="AE714">IF(SamplingData[[#This Row],[up/U Selection Probability]] = 0, "Zero", TEXT(SamplingData[[#This Row],[Lower Range]], REPT("0",LEN('General Info'!$B$42))) &amp; " - " &amp; TEXT(SamplingData[[#This Row],[Upper Range]], REPT("0",LEN('General Info'!$B$42))))</f>
        <v>20353 - 20406</v>
      </c>
      <c r="AF714" s="100">
        <f>SamplingData[[#This Row],[Upper Range]]-SamplingData[[#This Row],[Span]]</f>
        <v>20353.470090992338</v>
      </c>
      <c r="AG714" s="100">
        <f>IF(ISNUMBER('General Info'!$B$42), ((SamplingData[[#This Row],[up/U Selection Probability]]) * 'General Info'!$B$44) - 1, 0)</f>
        <v>52.841598018629213</v>
      </c>
      <c r="AH714" s="100">
        <f>IF(ISNUMBER('General Info'!$B$42), (SamplingData[[#This Row],[Running (cumulative) sum]] * ('General Info'!$B$42 -'General Info'!$B$43 + 1)) + 'General Info'!$B$43 - 1, 0)</f>
        <v>20406.311689010967</v>
      </c>
      <c r="AI714" s="100" t="str">
        <f>IF(ISERROR(MATCH(SamplingData[[#This Row],[Batch by Type (p)]],SelectedPrecincts[Batch Name], 0)), "", INDEX(SelectedPrecincts[Draw], MATCH(SamplingData[[#This Row],[Batch by Type (p)]],SelectedPrecincts[Batch Name], 0)))</f>
        <v/>
      </c>
      <c r="AJ714" s="101">
        <f>IF(COUNTIF(SelectedPrecincts[Batch Name],SamplingData[[#This Row],[Batch by Type (p)]]) &lt;&gt; 0, COUNTIF(SelectedPrecincts[Batch Name],SamplingData[[#This Row],[Batch by Type (p)]]), 0)</f>
        <v>0</v>
      </c>
    </row>
    <row r="715" spans="1:36" ht="15" customHeight="1" x14ac:dyDescent="0.35">
      <c r="A715" s="98" t="s">
        <v>926</v>
      </c>
      <c r="B715" s="98">
        <v>14</v>
      </c>
      <c r="C715" s="98">
        <v>2</v>
      </c>
      <c r="D715" s="93"/>
      <c r="E715" s="93"/>
      <c r="F715" s="93"/>
      <c r="G715" s="97"/>
      <c r="H715" s="97"/>
      <c r="I715" s="93"/>
      <c r="J715" s="93"/>
      <c r="K715" s="93"/>
      <c r="L715" s="93"/>
      <c r="M715" s="93"/>
      <c r="N715" s="98">
        <v>0</v>
      </c>
      <c r="O715" s="98">
        <v>0</v>
      </c>
      <c r="P715" s="99">
        <f>SUM(SamplingData[[#This Row],[Winning Candidate]:[Under Votes]])</f>
        <v>16</v>
      </c>
      <c r="Q715"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715" s="100">
        <f>IF(AND(SamplingData[[#This Row],[Total]]&lt;&gt; 0, NOT(ISBLANK(SamplingData[[#This Row],[Candidate 3]]))),(SamplingData[[#This Row],[Total]]+SamplingData[[#This Row],[Winning Candidate]]-SamplingData[[#This Row],[Candidate 3]])/(SamplingData[[#Totals],[Winning Candidate]]-SamplingData[[#Totals],[Candidate 3]]), 0)</f>
        <v>0</v>
      </c>
      <c r="S715" s="100">
        <f>IF(AND(SamplingData[[#This Row],[Total]]&lt;&gt; 0, NOT(ISBLANK(SamplingData[[#This Row],[Candidate 4]]))),(SamplingData[[#This Row],[Total]]+SamplingData[[#This Row],[Winning Candidate]]-SamplingData[[#This Row],[Candidate 4]])/(SamplingData[[#Totals],[Winning Candidate]]-SamplingData[[#Totals],[Candidate 4]]), 0)</f>
        <v>0</v>
      </c>
      <c r="T715" s="100">
        <f>IF(AND(SamplingData[[#This Row],[Total]]&lt;&gt; 0, NOT(ISBLANK(SamplingData[[#This Row],[Candidate 5]]))),(SamplingData[[#This Row],[Total]]+SamplingData[[#This Row],[Winning Candidate]]-SamplingData[[#This Row],[Candidate 5]])/(SamplingData[[#Totals],[Winning Candidate]]-SamplingData[[#Totals],[Candidate 5]]), 0)</f>
        <v>0</v>
      </c>
      <c r="U715" s="100">
        <f>IF(AND(SamplingData[[#This Row],[Total]]&lt;&gt; 0, NOT(ISBLANK(SamplingData[[#This Row],[Candidate 6]]))),(SamplingData[[#This Row],[Total]]+SamplingData[[#This Row],[Losing Candidate]]-SamplingData[[#This Row],[Candidate 6]])/(SamplingData[[#Totals],[Winning Candidate]]-SamplingData[[#Totals],[Candidate 6]]), 0)</f>
        <v>0</v>
      </c>
      <c r="V715" s="100">
        <f>IF(AND(SamplingData[[#This Row],[Total]]&lt;&gt; 0, NOT(ISBLANK(SamplingData[[#This Row],[Candidate 7]]))),(SamplingData[[#This Row],[Total]]+SamplingData[[#This Row],[Winning Candidate]]-SamplingData[[#This Row],[Candidate 7]])/(SamplingData[[#Totals],[Winning Candidate]]-SamplingData[[#Totals],[Candidate 7]]), 0)</f>
        <v>0</v>
      </c>
      <c r="W715" s="100">
        <f>IF(AND(SamplingData[[#This Row],[Total]]&lt;&gt; 0, NOT(ISBLANK(SamplingData[[#This Row],[Candidate 8]]))),(SamplingData[[#This Row],[Total]]+SamplingData[[#This Row],[Winning Candidate]]-SamplingData[[#This Row],[Candidate 8]])/(SamplingData[[#Totals],[Winning Candidate]]-SamplingData[[#Totals],[Candidate 8]]), 0)</f>
        <v>0</v>
      </c>
      <c r="X7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00">
        <f>MAX(SamplingData[[#This Row],[Error Bound (up) - Max. possible relative overstatement - Losing Candidate]:[Error Bound (up) - Max. possible relative overstatement - Candidate 12]])</f>
        <v>8.7947985048842541E-4</v>
      </c>
      <c r="AC715" s="100">
        <f>IF(SamplingData[[#This Row],[Max Error Bound (up)]] = 0,0,SamplingData[[#This Row],[Max Error Bound (up)]]/SamplingData[[#Totals],[Max Error Bound (up)]])</f>
        <v>3.7689118613040446E-4</v>
      </c>
      <c r="AD715" s="104">
        <f>SUM($AC$5:AC715)</f>
        <v>0.20445000807624006</v>
      </c>
      <c r="AE715" s="100" t="str" cm="1">
        <f t="array" ref="AE715">IF(SamplingData[[#This Row],[up/U Selection Probability]] = 0, "Zero", TEXT(SamplingData[[#This Row],[Lower Range]], REPT("0",LEN('General Info'!$B$42))) &amp; " - " &amp; TEXT(SamplingData[[#This Row],[Upper Range]], REPT("0",LEN('General Info'!$B$42))))</f>
        <v>20407 - 20444</v>
      </c>
      <c r="AF715" s="100">
        <f>SamplingData[[#This Row],[Upper Range]]-SamplingData[[#This Row],[Span]]</f>
        <v>20407.311689010963</v>
      </c>
      <c r="AG715" s="100">
        <f>IF(ISNUMBER('General Info'!$B$42), ((SamplingData[[#This Row],[up/U Selection Probability]]) * 'General Info'!$B$44) - 1, 0)</f>
        <v>36.689118613040449</v>
      </c>
      <c r="AH715" s="100">
        <f>IF(ISNUMBER('General Info'!$B$42), (SamplingData[[#This Row],[Running (cumulative) sum]] * ('General Info'!$B$42 -'General Info'!$B$43 + 1)) + 'General Info'!$B$43 - 1, 0)</f>
        <v>20444.000807624005</v>
      </c>
      <c r="AI715" s="100" t="str">
        <f>IF(ISERROR(MATCH(SamplingData[[#This Row],[Batch by Type (p)]],SelectedPrecincts[Batch Name], 0)), "", INDEX(SelectedPrecincts[Draw], MATCH(SamplingData[[#This Row],[Batch by Type (p)]],SelectedPrecincts[Batch Name], 0)))</f>
        <v/>
      </c>
      <c r="AJ715" s="101">
        <f>IF(COUNTIF(SelectedPrecincts[Batch Name],SamplingData[[#This Row],[Batch by Type (p)]]) &lt;&gt; 0, COUNTIF(SelectedPrecincts[Batch Name],SamplingData[[#This Row],[Batch by Type (p)]]), 0)</f>
        <v>0</v>
      </c>
    </row>
    <row r="716" spans="1:36" ht="15" customHeight="1" x14ac:dyDescent="0.35">
      <c r="A716" s="98" t="s">
        <v>927</v>
      </c>
      <c r="B716" s="98">
        <v>20</v>
      </c>
      <c r="C716" s="98">
        <v>7</v>
      </c>
      <c r="D716" s="93"/>
      <c r="E716" s="93"/>
      <c r="F716" s="93"/>
      <c r="G716" s="97"/>
      <c r="H716" s="97"/>
      <c r="I716" s="93"/>
      <c r="J716" s="93"/>
      <c r="K716" s="93"/>
      <c r="L716" s="93"/>
      <c r="M716" s="93"/>
      <c r="N716" s="98">
        <v>0</v>
      </c>
      <c r="O716" s="98">
        <v>0</v>
      </c>
      <c r="P716" s="99">
        <f>SUM(SamplingData[[#This Row],[Winning Candidate]:[Under Votes]])</f>
        <v>27</v>
      </c>
      <c r="Q716"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716" s="100">
        <f>IF(AND(SamplingData[[#This Row],[Total]]&lt;&gt; 0, NOT(ISBLANK(SamplingData[[#This Row],[Candidate 3]]))),(SamplingData[[#This Row],[Total]]+SamplingData[[#This Row],[Winning Candidate]]-SamplingData[[#This Row],[Candidate 3]])/(SamplingData[[#Totals],[Winning Candidate]]-SamplingData[[#Totals],[Candidate 3]]), 0)</f>
        <v>0</v>
      </c>
      <c r="S716" s="100">
        <f>IF(AND(SamplingData[[#This Row],[Total]]&lt;&gt; 0, NOT(ISBLANK(SamplingData[[#This Row],[Candidate 4]]))),(SamplingData[[#This Row],[Total]]+SamplingData[[#This Row],[Winning Candidate]]-SamplingData[[#This Row],[Candidate 4]])/(SamplingData[[#Totals],[Winning Candidate]]-SamplingData[[#Totals],[Candidate 4]]), 0)</f>
        <v>0</v>
      </c>
      <c r="T716" s="100">
        <f>IF(AND(SamplingData[[#This Row],[Total]]&lt;&gt; 0, NOT(ISBLANK(SamplingData[[#This Row],[Candidate 5]]))),(SamplingData[[#This Row],[Total]]+SamplingData[[#This Row],[Winning Candidate]]-SamplingData[[#This Row],[Candidate 5]])/(SamplingData[[#Totals],[Winning Candidate]]-SamplingData[[#Totals],[Candidate 5]]), 0)</f>
        <v>0</v>
      </c>
      <c r="U716" s="100">
        <f>IF(AND(SamplingData[[#This Row],[Total]]&lt;&gt; 0, NOT(ISBLANK(SamplingData[[#This Row],[Candidate 6]]))),(SamplingData[[#This Row],[Total]]+SamplingData[[#This Row],[Losing Candidate]]-SamplingData[[#This Row],[Candidate 6]])/(SamplingData[[#Totals],[Winning Candidate]]-SamplingData[[#Totals],[Candidate 6]]), 0)</f>
        <v>0</v>
      </c>
      <c r="V716" s="100">
        <f>IF(AND(SamplingData[[#This Row],[Total]]&lt;&gt; 0, NOT(ISBLANK(SamplingData[[#This Row],[Candidate 7]]))),(SamplingData[[#This Row],[Total]]+SamplingData[[#This Row],[Winning Candidate]]-SamplingData[[#This Row],[Candidate 7]])/(SamplingData[[#Totals],[Winning Candidate]]-SamplingData[[#Totals],[Candidate 7]]), 0)</f>
        <v>0</v>
      </c>
      <c r="W716" s="100">
        <f>IF(AND(SamplingData[[#This Row],[Total]]&lt;&gt; 0, NOT(ISBLANK(SamplingData[[#This Row],[Candidate 8]]))),(SamplingData[[#This Row],[Total]]+SamplingData[[#This Row],[Winning Candidate]]-SamplingData[[#This Row],[Candidate 8]])/(SamplingData[[#Totals],[Winning Candidate]]-SamplingData[[#Totals],[Candidate 8]]), 0)</f>
        <v>0</v>
      </c>
      <c r="X7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00">
        <f>MAX(SamplingData[[#This Row],[Error Bound (up) - Max. possible relative overstatement - Losing Candidate]:[Error Bound (up) - Max. possible relative overstatement - Candidate 12]])</f>
        <v>1.2563997864120362E-3</v>
      </c>
      <c r="AC716" s="100">
        <f>IF(SamplingData[[#This Row],[Max Error Bound (up)]] = 0,0,SamplingData[[#This Row],[Max Error Bound (up)]]/SamplingData[[#Totals],[Max Error Bound (up)]])</f>
        <v>5.3841598018629215E-4</v>
      </c>
      <c r="AD716" s="104">
        <f>SUM($AC$5:AC716)</f>
        <v>0.20498842405642634</v>
      </c>
      <c r="AE716" s="100" t="str" cm="1">
        <f t="array" ref="AE716">IF(SamplingData[[#This Row],[up/U Selection Probability]] = 0, "Zero", TEXT(SamplingData[[#This Row],[Lower Range]], REPT("0",LEN('General Info'!$B$42))) &amp; " - " &amp; TEXT(SamplingData[[#This Row],[Upper Range]], REPT("0",LEN('General Info'!$B$42))))</f>
        <v>20445 - 20498</v>
      </c>
      <c r="AF716" s="100">
        <f>SamplingData[[#This Row],[Upper Range]]-SamplingData[[#This Row],[Span]]</f>
        <v>20445.000807624005</v>
      </c>
      <c r="AG716" s="100">
        <f>IF(ISNUMBER('General Info'!$B$42), ((SamplingData[[#This Row],[up/U Selection Probability]]) * 'General Info'!$B$44) - 1, 0)</f>
        <v>52.841598018629213</v>
      </c>
      <c r="AH716" s="100">
        <f>IF(ISNUMBER('General Info'!$B$42), (SamplingData[[#This Row],[Running (cumulative) sum]] * ('General Info'!$B$42 -'General Info'!$B$43 + 1)) + 'General Info'!$B$43 - 1, 0)</f>
        <v>20497.842405642634</v>
      </c>
      <c r="AI716" s="100" t="str">
        <f>IF(ISERROR(MATCH(SamplingData[[#This Row],[Batch by Type (p)]],SelectedPrecincts[Batch Name], 0)), "", INDEX(SelectedPrecincts[Draw], MATCH(SamplingData[[#This Row],[Batch by Type (p)]],SelectedPrecincts[Batch Name], 0)))</f>
        <v/>
      </c>
      <c r="AJ716" s="101">
        <f>IF(COUNTIF(SelectedPrecincts[Batch Name],SamplingData[[#This Row],[Batch by Type (p)]]) &lt;&gt; 0, COUNTIF(SelectedPrecincts[Batch Name],SamplingData[[#This Row],[Batch by Type (p)]]), 0)</f>
        <v>0</v>
      </c>
    </row>
    <row r="717" spans="1:36" ht="15" customHeight="1" x14ac:dyDescent="0.35">
      <c r="A717" s="98" t="s">
        <v>928</v>
      </c>
      <c r="B717" s="98">
        <v>12</v>
      </c>
      <c r="C717" s="98">
        <v>2</v>
      </c>
      <c r="D717" s="93"/>
      <c r="E717" s="93"/>
      <c r="F717" s="93"/>
      <c r="G717" s="97"/>
      <c r="H717" s="97"/>
      <c r="I717" s="93"/>
      <c r="J717" s="93"/>
      <c r="K717" s="93"/>
      <c r="L717" s="93"/>
      <c r="M717" s="93"/>
      <c r="N717" s="98">
        <v>0</v>
      </c>
      <c r="O717" s="98">
        <v>0</v>
      </c>
      <c r="P717" s="99">
        <f>SUM(SamplingData[[#This Row],[Winning Candidate]:[Under Votes]])</f>
        <v>14</v>
      </c>
      <c r="Q717"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717" s="100">
        <f>IF(AND(SamplingData[[#This Row],[Total]]&lt;&gt; 0, NOT(ISBLANK(SamplingData[[#This Row],[Candidate 3]]))),(SamplingData[[#This Row],[Total]]+SamplingData[[#This Row],[Winning Candidate]]-SamplingData[[#This Row],[Candidate 3]])/(SamplingData[[#Totals],[Winning Candidate]]-SamplingData[[#Totals],[Candidate 3]]), 0)</f>
        <v>0</v>
      </c>
      <c r="S717" s="100">
        <f>IF(AND(SamplingData[[#This Row],[Total]]&lt;&gt; 0, NOT(ISBLANK(SamplingData[[#This Row],[Candidate 4]]))),(SamplingData[[#This Row],[Total]]+SamplingData[[#This Row],[Winning Candidate]]-SamplingData[[#This Row],[Candidate 4]])/(SamplingData[[#Totals],[Winning Candidate]]-SamplingData[[#Totals],[Candidate 4]]), 0)</f>
        <v>0</v>
      </c>
      <c r="T717" s="100">
        <f>IF(AND(SamplingData[[#This Row],[Total]]&lt;&gt; 0, NOT(ISBLANK(SamplingData[[#This Row],[Candidate 5]]))),(SamplingData[[#This Row],[Total]]+SamplingData[[#This Row],[Winning Candidate]]-SamplingData[[#This Row],[Candidate 5]])/(SamplingData[[#Totals],[Winning Candidate]]-SamplingData[[#Totals],[Candidate 5]]), 0)</f>
        <v>0</v>
      </c>
      <c r="U717" s="100">
        <f>IF(AND(SamplingData[[#This Row],[Total]]&lt;&gt; 0, NOT(ISBLANK(SamplingData[[#This Row],[Candidate 6]]))),(SamplingData[[#This Row],[Total]]+SamplingData[[#This Row],[Losing Candidate]]-SamplingData[[#This Row],[Candidate 6]])/(SamplingData[[#Totals],[Winning Candidate]]-SamplingData[[#Totals],[Candidate 6]]), 0)</f>
        <v>0</v>
      </c>
      <c r="V717" s="100">
        <f>IF(AND(SamplingData[[#This Row],[Total]]&lt;&gt; 0, NOT(ISBLANK(SamplingData[[#This Row],[Candidate 7]]))),(SamplingData[[#This Row],[Total]]+SamplingData[[#This Row],[Winning Candidate]]-SamplingData[[#This Row],[Candidate 7]])/(SamplingData[[#Totals],[Winning Candidate]]-SamplingData[[#Totals],[Candidate 7]]), 0)</f>
        <v>0</v>
      </c>
      <c r="W717" s="100">
        <f>IF(AND(SamplingData[[#This Row],[Total]]&lt;&gt; 0, NOT(ISBLANK(SamplingData[[#This Row],[Candidate 8]]))),(SamplingData[[#This Row],[Total]]+SamplingData[[#This Row],[Winning Candidate]]-SamplingData[[#This Row],[Candidate 8]])/(SamplingData[[#Totals],[Winning Candidate]]-SamplingData[[#Totals],[Candidate 8]]), 0)</f>
        <v>0</v>
      </c>
      <c r="X7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00">
        <f>MAX(SamplingData[[#This Row],[Error Bound (up) - Max. possible relative overstatement - Losing Candidate]:[Error Bound (up) - Max. possible relative overstatement - Candidate 12]])</f>
        <v>7.5383987184722177E-4</v>
      </c>
      <c r="AC717" s="100">
        <f>IF(SamplingData[[#This Row],[Max Error Bound (up)]] = 0,0,SamplingData[[#This Row],[Max Error Bound (up)]]/SamplingData[[#Totals],[Max Error Bound (up)]])</f>
        <v>3.2304958811177527E-4</v>
      </c>
      <c r="AD717" s="104">
        <f>SUM($AC$5:AC717)</f>
        <v>0.20531147364453811</v>
      </c>
      <c r="AE717" s="100" t="str" cm="1">
        <f t="array" ref="AE717">IF(SamplingData[[#This Row],[up/U Selection Probability]] = 0, "Zero", TEXT(SamplingData[[#This Row],[Lower Range]], REPT("0",LEN('General Info'!$B$42))) &amp; " - " &amp; TEXT(SamplingData[[#This Row],[Upper Range]], REPT("0",LEN('General Info'!$B$42))))</f>
        <v>20499 - 20530</v>
      </c>
      <c r="AF717" s="100">
        <f>SamplingData[[#This Row],[Upper Range]]-SamplingData[[#This Row],[Span]]</f>
        <v>20498.842405642634</v>
      </c>
      <c r="AG717" s="100">
        <f>IF(ISNUMBER('General Info'!$B$42), ((SamplingData[[#This Row],[up/U Selection Probability]]) * 'General Info'!$B$44) - 1, 0)</f>
        <v>31.304958811177528</v>
      </c>
      <c r="AH717" s="100">
        <f>IF(ISNUMBER('General Info'!$B$42), (SamplingData[[#This Row],[Running (cumulative) sum]] * ('General Info'!$B$42 -'General Info'!$B$43 + 1)) + 'General Info'!$B$43 - 1, 0)</f>
        <v>20530.147364453813</v>
      </c>
      <c r="AI717" s="100" t="str">
        <f>IF(ISERROR(MATCH(SamplingData[[#This Row],[Batch by Type (p)]],SelectedPrecincts[Batch Name], 0)), "", INDEX(SelectedPrecincts[Draw], MATCH(SamplingData[[#This Row],[Batch by Type (p)]],SelectedPrecincts[Batch Name], 0)))</f>
        <v/>
      </c>
      <c r="AJ717" s="101">
        <f>IF(COUNTIF(SelectedPrecincts[Batch Name],SamplingData[[#This Row],[Batch by Type (p)]]) &lt;&gt; 0, COUNTIF(SelectedPrecincts[Batch Name],SamplingData[[#This Row],[Batch by Type (p)]]), 0)</f>
        <v>0</v>
      </c>
    </row>
    <row r="718" spans="1:36" ht="15" customHeight="1" x14ac:dyDescent="0.35">
      <c r="A718" s="98" t="s">
        <v>929</v>
      </c>
      <c r="B718" s="98">
        <v>3</v>
      </c>
      <c r="C718" s="98">
        <v>2</v>
      </c>
      <c r="D718" s="93"/>
      <c r="E718" s="93"/>
      <c r="F718" s="93"/>
      <c r="G718" s="97"/>
      <c r="H718" s="97"/>
      <c r="I718" s="93"/>
      <c r="J718" s="93"/>
      <c r="K718" s="93"/>
      <c r="L718" s="93"/>
      <c r="M718" s="93"/>
      <c r="N718" s="98">
        <v>0</v>
      </c>
      <c r="O718" s="98">
        <v>1</v>
      </c>
      <c r="P718" s="99">
        <f>SUM(SamplingData[[#This Row],[Winning Candidate]:[Under Votes]])</f>
        <v>6</v>
      </c>
      <c r="Q718" s="100">
        <f>IF(AND(SamplingData[[#This Row],[Total]]&lt;&gt; 0, NOT(ISBLANK(SamplingData[[#This Row],[Losing Candidate]]))),(SamplingData[[#This Row],[Total]]+SamplingData[[#This Row],[Winning Candidate]]-SamplingData[[#This Row],[Losing Candidate]])/(SamplingData[[#Totals],[Winning Candidate]]-SamplingData[[#Totals],[Losing Candidate]]), 0)</f>
        <v>2.1986996262210635E-4</v>
      </c>
      <c r="R718" s="100">
        <f>IF(AND(SamplingData[[#This Row],[Total]]&lt;&gt; 0, NOT(ISBLANK(SamplingData[[#This Row],[Candidate 3]]))),(SamplingData[[#This Row],[Total]]+SamplingData[[#This Row],[Winning Candidate]]-SamplingData[[#This Row],[Candidate 3]])/(SamplingData[[#Totals],[Winning Candidate]]-SamplingData[[#Totals],[Candidate 3]]), 0)</f>
        <v>0</v>
      </c>
      <c r="S718" s="100">
        <f>IF(AND(SamplingData[[#This Row],[Total]]&lt;&gt; 0, NOT(ISBLANK(SamplingData[[#This Row],[Candidate 4]]))),(SamplingData[[#This Row],[Total]]+SamplingData[[#This Row],[Winning Candidate]]-SamplingData[[#This Row],[Candidate 4]])/(SamplingData[[#Totals],[Winning Candidate]]-SamplingData[[#Totals],[Candidate 4]]), 0)</f>
        <v>0</v>
      </c>
      <c r="T718" s="100">
        <f>IF(AND(SamplingData[[#This Row],[Total]]&lt;&gt; 0, NOT(ISBLANK(SamplingData[[#This Row],[Candidate 5]]))),(SamplingData[[#This Row],[Total]]+SamplingData[[#This Row],[Winning Candidate]]-SamplingData[[#This Row],[Candidate 5]])/(SamplingData[[#Totals],[Winning Candidate]]-SamplingData[[#Totals],[Candidate 5]]), 0)</f>
        <v>0</v>
      </c>
      <c r="U718" s="100">
        <f>IF(AND(SamplingData[[#This Row],[Total]]&lt;&gt; 0, NOT(ISBLANK(SamplingData[[#This Row],[Candidate 6]]))),(SamplingData[[#This Row],[Total]]+SamplingData[[#This Row],[Losing Candidate]]-SamplingData[[#This Row],[Candidate 6]])/(SamplingData[[#Totals],[Winning Candidate]]-SamplingData[[#Totals],[Candidate 6]]), 0)</f>
        <v>0</v>
      </c>
      <c r="V718" s="100">
        <f>IF(AND(SamplingData[[#This Row],[Total]]&lt;&gt; 0, NOT(ISBLANK(SamplingData[[#This Row],[Candidate 7]]))),(SamplingData[[#This Row],[Total]]+SamplingData[[#This Row],[Winning Candidate]]-SamplingData[[#This Row],[Candidate 7]])/(SamplingData[[#Totals],[Winning Candidate]]-SamplingData[[#Totals],[Candidate 7]]), 0)</f>
        <v>0</v>
      </c>
      <c r="W718" s="100">
        <f>IF(AND(SamplingData[[#This Row],[Total]]&lt;&gt; 0, NOT(ISBLANK(SamplingData[[#This Row],[Candidate 8]]))),(SamplingData[[#This Row],[Total]]+SamplingData[[#This Row],[Winning Candidate]]-SamplingData[[#This Row],[Candidate 8]])/(SamplingData[[#Totals],[Winning Candidate]]-SamplingData[[#Totals],[Candidate 8]]), 0)</f>
        <v>0</v>
      </c>
      <c r="X7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00">
        <f>MAX(SamplingData[[#This Row],[Error Bound (up) - Max. possible relative overstatement - Losing Candidate]:[Error Bound (up) - Max. possible relative overstatement - Candidate 12]])</f>
        <v>2.1986996262210635E-4</v>
      </c>
      <c r="AC718" s="100">
        <f>IF(SamplingData[[#This Row],[Max Error Bound (up)]] = 0,0,SamplingData[[#This Row],[Max Error Bound (up)]]/SamplingData[[#Totals],[Max Error Bound (up)]])</f>
        <v>9.4222796532601115E-5</v>
      </c>
      <c r="AD718" s="104">
        <f>SUM($AC$5:AC718)</f>
        <v>0.20540569644107071</v>
      </c>
      <c r="AE718" s="100" t="str" cm="1">
        <f t="array" ref="AE718">IF(SamplingData[[#This Row],[up/U Selection Probability]] = 0, "Zero", TEXT(SamplingData[[#This Row],[Lower Range]], REPT("0",LEN('General Info'!$B$42))) &amp; " - " &amp; TEXT(SamplingData[[#This Row],[Upper Range]], REPT("0",LEN('General Info'!$B$42))))</f>
        <v>20531 - 20540</v>
      </c>
      <c r="AF718" s="100">
        <f>SamplingData[[#This Row],[Upper Range]]-SamplingData[[#This Row],[Span]]</f>
        <v>20531.147364453813</v>
      </c>
      <c r="AG718" s="100">
        <f>IF(ISNUMBER('General Info'!$B$42), ((SamplingData[[#This Row],[up/U Selection Probability]]) * 'General Info'!$B$44) - 1, 0)</f>
        <v>8.4222796532601123</v>
      </c>
      <c r="AH718" s="100">
        <f>IF(ISNUMBER('General Info'!$B$42), (SamplingData[[#This Row],[Running (cumulative) sum]] * ('General Info'!$B$42 -'General Info'!$B$43 + 1)) + 'General Info'!$B$43 - 1, 0)</f>
        <v>20539.569644107072</v>
      </c>
      <c r="AI718" s="100" t="str">
        <f>IF(ISERROR(MATCH(SamplingData[[#This Row],[Batch by Type (p)]],SelectedPrecincts[Batch Name], 0)), "", INDEX(SelectedPrecincts[Draw], MATCH(SamplingData[[#This Row],[Batch by Type (p)]],SelectedPrecincts[Batch Name], 0)))</f>
        <v/>
      </c>
      <c r="AJ718" s="101">
        <f>IF(COUNTIF(SelectedPrecincts[Batch Name],SamplingData[[#This Row],[Batch by Type (p)]]) &lt;&gt; 0, COUNTIF(SelectedPrecincts[Batch Name],SamplingData[[#This Row],[Batch by Type (p)]]), 0)</f>
        <v>0</v>
      </c>
    </row>
    <row r="719" spans="1:36" ht="15" customHeight="1" x14ac:dyDescent="0.35">
      <c r="A719" s="98" t="s">
        <v>930</v>
      </c>
      <c r="B719" s="98">
        <v>29</v>
      </c>
      <c r="C719" s="98">
        <v>4</v>
      </c>
      <c r="D719" s="93"/>
      <c r="E719" s="93"/>
      <c r="F719" s="93"/>
      <c r="G719" s="97"/>
      <c r="H719" s="97"/>
      <c r="I719" s="93"/>
      <c r="J719" s="93"/>
      <c r="K719" s="93"/>
      <c r="L719" s="93"/>
      <c r="M719" s="93"/>
      <c r="N719" s="98">
        <v>0</v>
      </c>
      <c r="O719" s="98">
        <v>1</v>
      </c>
      <c r="P719" s="99">
        <f>SUM(SamplingData[[#This Row],[Winning Candidate]:[Under Votes]])</f>
        <v>34</v>
      </c>
      <c r="Q719" s="100">
        <f>IF(AND(SamplingData[[#This Row],[Total]]&lt;&gt; 0, NOT(ISBLANK(SamplingData[[#This Row],[Losing Candidate]]))),(SamplingData[[#This Row],[Total]]+SamplingData[[#This Row],[Winning Candidate]]-SamplingData[[#This Row],[Losing Candidate]])/(SamplingData[[#Totals],[Winning Candidate]]-SamplingData[[#Totals],[Losing Candidate]]), 0)</f>
        <v>1.8531896849577536E-3</v>
      </c>
      <c r="R719" s="100">
        <f>IF(AND(SamplingData[[#This Row],[Total]]&lt;&gt; 0, NOT(ISBLANK(SamplingData[[#This Row],[Candidate 3]]))),(SamplingData[[#This Row],[Total]]+SamplingData[[#This Row],[Winning Candidate]]-SamplingData[[#This Row],[Candidate 3]])/(SamplingData[[#Totals],[Winning Candidate]]-SamplingData[[#Totals],[Candidate 3]]), 0)</f>
        <v>0</v>
      </c>
      <c r="S719" s="100">
        <f>IF(AND(SamplingData[[#This Row],[Total]]&lt;&gt; 0, NOT(ISBLANK(SamplingData[[#This Row],[Candidate 4]]))),(SamplingData[[#This Row],[Total]]+SamplingData[[#This Row],[Winning Candidate]]-SamplingData[[#This Row],[Candidate 4]])/(SamplingData[[#Totals],[Winning Candidate]]-SamplingData[[#Totals],[Candidate 4]]), 0)</f>
        <v>0</v>
      </c>
      <c r="T719" s="100">
        <f>IF(AND(SamplingData[[#This Row],[Total]]&lt;&gt; 0, NOT(ISBLANK(SamplingData[[#This Row],[Candidate 5]]))),(SamplingData[[#This Row],[Total]]+SamplingData[[#This Row],[Winning Candidate]]-SamplingData[[#This Row],[Candidate 5]])/(SamplingData[[#Totals],[Winning Candidate]]-SamplingData[[#Totals],[Candidate 5]]), 0)</f>
        <v>0</v>
      </c>
      <c r="U719" s="100">
        <f>IF(AND(SamplingData[[#This Row],[Total]]&lt;&gt; 0, NOT(ISBLANK(SamplingData[[#This Row],[Candidate 6]]))),(SamplingData[[#This Row],[Total]]+SamplingData[[#This Row],[Losing Candidate]]-SamplingData[[#This Row],[Candidate 6]])/(SamplingData[[#Totals],[Winning Candidate]]-SamplingData[[#Totals],[Candidate 6]]), 0)</f>
        <v>0</v>
      </c>
      <c r="V719" s="100">
        <f>IF(AND(SamplingData[[#This Row],[Total]]&lt;&gt; 0, NOT(ISBLANK(SamplingData[[#This Row],[Candidate 7]]))),(SamplingData[[#This Row],[Total]]+SamplingData[[#This Row],[Winning Candidate]]-SamplingData[[#This Row],[Candidate 7]])/(SamplingData[[#Totals],[Winning Candidate]]-SamplingData[[#Totals],[Candidate 7]]), 0)</f>
        <v>0</v>
      </c>
      <c r="W719" s="100">
        <f>IF(AND(SamplingData[[#This Row],[Total]]&lt;&gt; 0, NOT(ISBLANK(SamplingData[[#This Row],[Candidate 8]]))),(SamplingData[[#This Row],[Total]]+SamplingData[[#This Row],[Winning Candidate]]-SamplingData[[#This Row],[Candidate 8]])/(SamplingData[[#Totals],[Winning Candidate]]-SamplingData[[#Totals],[Candidate 8]]), 0)</f>
        <v>0</v>
      </c>
      <c r="X7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00">
        <f>MAX(SamplingData[[#This Row],[Error Bound (up) - Max. possible relative overstatement - Losing Candidate]:[Error Bound (up) - Max. possible relative overstatement - Candidate 12]])</f>
        <v>1.8531896849577536E-3</v>
      </c>
      <c r="AC719" s="100">
        <f>IF(SamplingData[[#This Row],[Max Error Bound (up)]] = 0,0,SamplingData[[#This Row],[Max Error Bound (up)]]/SamplingData[[#Totals],[Max Error Bound (up)]])</f>
        <v>7.9416357077478092E-4</v>
      </c>
      <c r="AD719" s="104">
        <f>SUM($AC$5:AC719)</f>
        <v>0.20619986001184548</v>
      </c>
      <c r="AE719" s="100" t="str" cm="1">
        <f t="array" ref="AE719">IF(SamplingData[[#This Row],[up/U Selection Probability]] = 0, "Zero", TEXT(SamplingData[[#This Row],[Lower Range]], REPT("0",LEN('General Info'!$B$42))) &amp; " - " &amp; TEXT(SamplingData[[#This Row],[Upper Range]], REPT("0",LEN('General Info'!$B$42))))</f>
        <v>20541 - 20619</v>
      </c>
      <c r="AF719" s="100">
        <f>SamplingData[[#This Row],[Upper Range]]-SamplingData[[#This Row],[Span]]</f>
        <v>20540.569644107069</v>
      </c>
      <c r="AG719" s="100">
        <f>IF(ISNUMBER('General Info'!$B$42), ((SamplingData[[#This Row],[up/U Selection Probability]]) * 'General Info'!$B$44) - 1, 0)</f>
        <v>78.416357077478096</v>
      </c>
      <c r="AH719" s="100">
        <f>IF(ISNUMBER('General Info'!$B$42), (SamplingData[[#This Row],[Running (cumulative) sum]] * ('General Info'!$B$42 -'General Info'!$B$43 + 1)) + 'General Info'!$B$43 - 1, 0)</f>
        <v>20618.986001184549</v>
      </c>
      <c r="AI719" s="100" t="str">
        <f>IF(ISERROR(MATCH(SamplingData[[#This Row],[Batch by Type (p)]],SelectedPrecincts[Batch Name], 0)), "", INDEX(SelectedPrecincts[Draw], MATCH(SamplingData[[#This Row],[Batch by Type (p)]],SelectedPrecincts[Batch Name], 0)))</f>
        <v/>
      </c>
      <c r="AJ719" s="101">
        <f>IF(COUNTIF(SelectedPrecincts[Batch Name],SamplingData[[#This Row],[Batch by Type (p)]]) &lt;&gt; 0, COUNTIF(SelectedPrecincts[Batch Name],SamplingData[[#This Row],[Batch by Type (p)]]), 0)</f>
        <v>0</v>
      </c>
    </row>
    <row r="720" spans="1:36" ht="15" customHeight="1" x14ac:dyDescent="0.35">
      <c r="A720" s="98" t="s">
        <v>931</v>
      </c>
      <c r="B720" s="98">
        <v>16</v>
      </c>
      <c r="C720" s="98">
        <v>0</v>
      </c>
      <c r="D720" s="93"/>
      <c r="E720" s="93"/>
      <c r="F720" s="93"/>
      <c r="G720" s="97"/>
      <c r="H720" s="97"/>
      <c r="I720" s="93"/>
      <c r="J720" s="93"/>
      <c r="K720" s="93"/>
      <c r="L720" s="93"/>
      <c r="M720" s="93"/>
      <c r="N720" s="98">
        <v>0</v>
      </c>
      <c r="O720" s="98">
        <v>0</v>
      </c>
      <c r="P720" s="99">
        <f>SUM(SamplingData[[#This Row],[Winning Candidate]:[Under Votes]])</f>
        <v>16</v>
      </c>
      <c r="Q720"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720" s="100">
        <f>IF(AND(SamplingData[[#This Row],[Total]]&lt;&gt; 0, NOT(ISBLANK(SamplingData[[#This Row],[Candidate 3]]))),(SamplingData[[#This Row],[Total]]+SamplingData[[#This Row],[Winning Candidate]]-SamplingData[[#This Row],[Candidate 3]])/(SamplingData[[#Totals],[Winning Candidate]]-SamplingData[[#Totals],[Candidate 3]]), 0)</f>
        <v>0</v>
      </c>
      <c r="S720" s="100">
        <f>IF(AND(SamplingData[[#This Row],[Total]]&lt;&gt; 0, NOT(ISBLANK(SamplingData[[#This Row],[Candidate 4]]))),(SamplingData[[#This Row],[Total]]+SamplingData[[#This Row],[Winning Candidate]]-SamplingData[[#This Row],[Candidate 4]])/(SamplingData[[#Totals],[Winning Candidate]]-SamplingData[[#Totals],[Candidate 4]]), 0)</f>
        <v>0</v>
      </c>
      <c r="T720" s="100">
        <f>IF(AND(SamplingData[[#This Row],[Total]]&lt;&gt; 0, NOT(ISBLANK(SamplingData[[#This Row],[Candidate 5]]))),(SamplingData[[#This Row],[Total]]+SamplingData[[#This Row],[Winning Candidate]]-SamplingData[[#This Row],[Candidate 5]])/(SamplingData[[#Totals],[Winning Candidate]]-SamplingData[[#Totals],[Candidate 5]]), 0)</f>
        <v>0</v>
      </c>
      <c r="U720" s="100">
        <f>IF(AND(SamplingData[[#This Row],[Total]]&lt;&gt; 0, NOT(ISBLANK(SamplingData[[#This Row],[Candidate 6]]))),(SamplingData[[#This Row],[Total]]+SamplingData[[#This Row],[Losing Candidate]]-SamplingData[[#This Row],[Candidate 6]])/(SamplingData[[#Totals],[Winning Candidate]]-SamplingData[[#Totals],[Candidate 6]]), 0)</f>
        <v>0</v>
      </c>
      <c r="V720" s="100">
        <f>IF(AND(SamplingData[[#This Row],[Total]]&lt;&gt; 0, NOT(ISBLANK(SamplingData[[#This Row],[Candidate 7]]))),(SamplingData[[#This Row],[Total]]+SamplingData[[#This Row],[Winning Candidate]]-SamplingData[[#This Row],[Candidate 7]])/(SamplingData[[#Totals],[Winning Candidate]]-SamplingData[[#Totals],[Candidate 7]]), 0)</f>
        <v>0</v>
      </c>
      <c r="W720" s="100">
        <f>IF(AND(SamplingData[[#This Row],[Total]]&lt;&gt; 0, NOT(ISBLANK(SamplingData[[#This Row],[Candidate 8]]))),(SamplingData[[#This Row],[Total]]+SamplingData[[#This Row],[Winning Candidate]]-SamplingData[[#This Row],[Candidate 8]])/(SamplingData[[#Totals],[Winning Candidate]]-SamplingData[[#Totals],[Candidate 8]]), 0)</f>
        <v>0</v>
      </c>
      <c r="X7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00">
        <f>MAX(SamplingData[[#This Row],[Error Bound (up) - Max. possible relative overstatement - Losing Candidate]:[Error Bound (up) - Max. possible relative overstatement - Candidate 12]])</f>
        <v>1.005119829129629E-3</v>
      </c>
      <c r="AC720" s="100">
        <f>IF(SamplingData[[#This Row],[Max Error Bound (up)]] = 0,0,SamplingData[[#This Row],[Max Error Bound (up)]]/SamplingData[[#Totals],[Max Error Bound (up)]])</f>
        <v>4.3073278414903365E-4</v>
      </c>
      <c r="AD720" s="104">
        <f>SUM($AC$5:AC720)</f>
        <v>0.20663059279599452</v>
      </c>
      <c r="AE720" s="100" t="str" cm="1">
        <f t="array" ref="AE720">IF(SamplingData[[#This Row],[up/U Selection Probability]] = 0, "Zero", TEXT(SamplingData[[#This Row],[Lower Range]], REPT("0",LEN('General Info'!$B$42))) &amp; " - " &amp; TEXT(SamplingData[[#This Row],[Upper Range]], REPT("0",LEN('General Info'!$B$42))))</f>
        <v>20620 - 20662</v>
      </c>
      <c r="AF720" s="100">
        <f>SamplingData[[#This Row],[Upper Range]]-SamplingData[[#This Row],[Span]]</f>
        <v>20619.986001184549</v>
      </c>
      <c r="AG720" s="100">
        <f>IF(ISNUMBER('General Info'!$B$42), ((SamplingData[[#This Row],[up/U Selection Probability]]) * 'General Info'!$B$44) - 1, 0)</f>
        <v>42.073278414903363</v>
      </c>
      <c r="AH720" s="100">
        <f>IF(ISNUMBER('General Info'!$B$42), (SamplingData[[#This Row],[Running (cumulative) sum]] * ('General Info'!$B$42 -'General Info'!$B$43 + 1)) + 'General Info'!$B$43 - 1, 0)</f>
        <v>20662.059279599453</v>
      </c>
      <c r="AI720" s="100" t="str">
        <f>IF(ISERROR(MATCH(SamplingData[[#This Row],[Batch by Type (p)]],SelectedPrecincts[Batch Name], 0)), "", INDEX(SelectedPrecincts[Draw], MATCH(SamplingData[[#This Row],[Batch by Type (p)]],SelectedPrecincts[Batch Name], 0)))</f>
        <v/>
      </c>
      <c r="AJ720" s="101">
        <f>IF(COUNTIF(SelectedPrecincts[Batch Name],SamplingData[[#This Row],[Batch by Type (p)]]) &lt;&gt; 0, COUNTIF(SelectedPrecincts[Batch Name],SamplingData[[#This Row],[Batch by Type (p)]]), 0)</f>
        <v>0</v>
      </c>
    </row>
    <row r="721" spans="1:36" ht="15" customHeight="1" x14ac:dyDescent="0.35">
      <c r="A721" s="98" t="s">
        <v>932</v>
      </c>
      <c r="B721" s="98">
        <v>29</v>
      </c>
      <c r="C721" s="98">
        <v>8</v>
      </c>
      <c r="D721" s="93"/>
      <c r="E721" s="93"/>
      <c r="F721" s="93"/>
      <c r="G721" s="97"/>
      <c r="H721" s="97"/>
      <c r="I721" s="93"/>
      <c r="J721" s="93"/>
      <c r="K721" s="93"/>
      <c r="L721" s="93"/>
      <c r="M721" s="93"/>
      <c r="N721" s="98">
        <v>0</v>
      </c>
      <c r="O721" s="98">
        <v>0</v>
      </c>
      <c r="P721" s="99">
        <f>SUM(SamplingData[[#This Row],[Winning Candidate]:[Under Votes]])</f>
        <v>37</v>
      </c>
      <c r="Q721"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721" s="100">
        <f>IF(AND(SamplingData[[#This Row],[Total]]&lt;&gt; 0, NOT(ISBLANK(SamplingData[[#This Row],[Candidate 3]]))),(SamplingData[[#This Row],[Total]]+SamplingData[[#This Row],[Winning Candidate]]-SamplingData[[#This Row],[Candidate 3]])/(SamplingData[[#Totals],[Winning Candidate]]-SamplingData[[#Totals],[Candidate 3]]), 0)</f>
        <v>0</v>
      </c>
      <c r="S721" s="100">
        <f>IF(AND(SamplingData[[#This Row],[Total]]&lt;&gt; 0, NOT(ISBLANK(SamplingData[[#This Row],[Candidate 4]]))),(SamplingData[[#This Row],[Total]]+SamplingData[[#This Row],[Winning Candidate]]-SamplingData[[#This Row],[Candidate 4]])/(SamplingData[[#Totals],[Winning Candidate]]-SamplingData[[#Totals],[Candidate 4]]), 0)</f>
        <v>0</v>
      </c>
      <c r="T721" s="100">
        <f>IF(AND(SamplingData[[#This Row],[Total]]&lt;&gt; 0, NOT(ISBLANK(SamplingData[[#This Row],[Candidate 5]]))),(SamplingData[[#This Row],[Total]]+SamplingData[[#This Row],[Winning Candidate]]-SamplingData[[#This Row],[Candidate 5]])/(SamplingData[[#Totals],[Winning Candidate]]-SamplingData[[#Totals],[Candidate 5]]), 0)</f>
        <v>0</v>
      </c>
      <c r="U721" s="100">
        <f>IF(AND(SamplingData[[#This Row],[Total]]&lt;&gt; 0, NOT(ISBLANK(SamplingData[[#This Row],[Candidate 6]]))),(SamplingData[[#This Row],[Total]]+SamplingData[[#This Row],[Losing Candidate]]-SamplingData[[#This Row],[Candidate 6]])/(SamplingData[[#Totals],[Winning Candidate]]-SamplingData[[#Totals],[Candidate 6]]), 0)</f>
        <v>0</v>
      </c>
      <c r="V721" s="100">
        <f>IF(AND(SamplingData[[#This Row],[Total]]&lt;&gt; 0, NOT(ISBLANK(SamplingData[[#This Row],[Candidate 7]]))),(SamplingData[[#This Row],[Total]]+SamplingData[[#This Row],[Winning Candidate]]-SamplingData[[#This Row],[Candidate 7]])/(SamplingData[[#Totals],[Winning Candidate]]-SamplingData[[#Totals],[Candidate 7]]), 0)</f>
        <v>0</v>
      </c>
      <c r="W721" s="100">
        <f>IF(AND(SamplingData[[#This Row],[Total]]&lt;&gt; 0, NOT(ISBLANK(SamplingData[[#This Row],[Candidate 8]]))),(SamplingData[[#This Row],[Total]]+SamplingData[[#This Row],[Winning Candidate]]-SamplingData[[#This Row],[Candidate 8]])/(SamplingData[[#Totals],[Winning Candidate]]-SamplingData[[#Totals],[Candidate 8]]), 0)</f>
        <v>0</v>
      </c>
      <c r="X7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00">
        <f>MAX(SamplingData[[#This Row],[Error Bound (up) - Max. possible relative overstatement - Losing Candidate]:[Error Bound (up) - Max. possible relative overstatement - Candidate 12]])</f>
        <v>1.8217796902974526E-3</v>
      </c>
      <c r="AC721" s="100">
        <f>IF(SamplingData[[#This Row],[Max Error Bound (up)]] = 0,0,SamplingData[[#This Row],[Max Error Bound (up)]]/SamplingData[[#Totals],[Max Error Bound (up)]])</f>
        <v>7.8070317127012351E-4</v>
      </c>
      <c r="AD721" s="104">
        <f>SUM($AC$5:AC721)</f>
        <v>0.20741129596726465</v>
      </c>
      <c r="AE721" s="100" t="str" cm="1">
        <f t="array" ref="AE721">IF(SamplingData[[#This Row],[up/U Selection Probability]] = 0, "Zero", TEXT(SamplingData[[#This Row],[Lower Range]], REPT("0",LEN('General Info'!$B$42))) &amp; " - " &amp; TEXT(SamplingData[[#This Row],[Upper Range]], REPT("0",LEN('General Info'!$B$42))))</f>
        <v>20663 - 20740</v>
      </c>
      <c r="AF721" s="100">
        <f>SamplingData[[#This Row],[Upper Range]]-SamplingData[[#This Row],[Span]]</f>
        <v>20663.059279599456</v>
      </c>
      <c r="AG721" s="100">
        <f>IF(ISNUMBER('General Info'!$B$42), ((SamplingData[[#This Row],[up/U Selection Probability]]) * 'General Info'!$B$44) - 1, 0)</f>
        <v>77.070317127012345</v>
      </c>
      <c r="AH721" s="100">
        <f>IF(ISNUMBER('General Info'!$B$42), (SamplingData[[#This Row],[Running (cumulative) sum]] * ('General Info'!$B$42 -'General Info'!$B$43 + 1)) + 'General Info'!$B$43 - 1, 0)</f>
        <v>20740.129596726467</v>
      </c>
      <c r="AI721" s="100" t="str">
        <f>IF(ISERROR(MATCH(SamplingData[[#This Row],[Batch by Type (p)]],SelectedPrecincts[Batch Name], 0)), "", INDEX(SelectedPrecincts[Draw], MATCH(SamplingData[[#This Row],[Batch by Type (p)]],SelectedPrecincts[Batch Name], 0)))</f>
        <v/>
      </c>
      <c r="AJ721" s="101">
        <f>IF(COUNTIF(SelectedPrecincts[Batch Name],SamplingData[[#This Row],[Batch by Type (p)]]) &lt;&gt; 0, COUNTIF(SelectedPrecincts[Batch Name],SamplingData[[#This Row],[Batch by Type (p)]]), 0)</f>
        <v>0</v>
      </c>
    </row>
    <row r="722" spans="1:36" ht="15" customHeight="1" x14ac:dyDescent="0.35">
      <c r="A722" s="98" t="s">
        <v>933</v>
      </c>
      <c r="B722" s="98">
        <v>4</v>
      </c>
      <c r="C722" s="98">
        <v>0</v>
      </c>
      <c r="D722" s="93"/>
      <c r="E722" s="93"/>
      <c r="F722" s="93"/>
      <c r="G722" s="97"/>
      <c r="H722" s="97"/>
      <c r="I722" s="93"/>
      <c r="J722" s="93"/>
      <c r="K722" s="93"/>
      <c r="L722" s="93"/>
      <c r="M722" s="93"/>
      <c r="N722" s="98">
        <v>0</v>
      </c>
      <c r="O722" s="98">
        <v>0</v>
      </c>
      <c r="P722" s="99">
        <f>SUM(SamplingData[[#This Row],[Winning Candidate]:[Under Votes]])</f>
        <v>4</v>
      </c>
      <c r="Q722"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722" s="100">
        <f>IF(AND(SamplingData[[#This Row],[Total]]&lt;&gt; 0, NOT(ISBLANK(SamplingData[[#This Row],[Candidate 3]]))),(SamplingData[[#This Row],[Total]]+SamplingData[[#This Row],[Winning Candidate]]-SamplingData[[#This Row],[Candidate 3]])/(SamplingData[[#Totals],[Winning Candidate]]-SamplingData[[#Totals],[Candidate 3]]), 0)</f>
        <v>0</v>
      </c>
      <c r="S722" s="100">
        <f>IF(AND(SamplingData[[#This Row],[Total]]&lt;&gt; 0, NOT(ISBLANK(SamplingData[[#This Row],[Candidate 4]]))),(SamplingData[[#This Row],[Total]]+SamplingData[[#This Row],[Winning Candidate]]-SamplingData[[#This Row],[Candidate 4]])/(SamplingData[[#Totals],[Winning Candidate]]-SamplingData[[#Totals],[Candidate 4]]), 0)</f>
        <v>0</v>
      </c>
      <c r="T722" s="100">
        <f>IF(AND(SamplingData[[#This Row],[Total]]&lt;&gt; 0, NOT(ISBLANK(SamplingData[[#This Row],[Candidate 5]]))),(SamplingData[[#This Row],[Total]]+SamplingData[[#This Row],[Winning Candidate]]-SamplingData[[#This Row],[Candidate 5]])/(SamplingData[[#Totals],[Winning Candidate]]-SamplingData[[#Totals],[Candidate 5]]), 0)</f>
        <v>0</v>
      </c>
      <c r="U722" s="100">
        <f>IF(AND(SamplingData[[#This Row],[Total]]&lt;&gt; 0, NOT(ISBLANK(SamplingData[[#This Row],[Candidate 6]]))),(SamplingData[[#This Row],[Total]]+SamplingData[[#This Row],[Losing Candidate]]-SamplingData[[#This Row],[Candidate 6]])/(SamplingData[[#Totals],[Winning Candidate]]-SamplingData[[#Totals],[Candidate 6]]), 0)</f>
        <v>0</v>
      </c>
      <c r="V722" s="100">
        <f>IF(AND(SamplingData[[#This Row],[Total]]&lt;&gt; 0, NOT(ISBLANK(SamplingData[[#This Row],[Candidate 7]]))),(SamplingData[[#This Row],[Total]]+SamplingData[[#This Row],[Winning Candidate]]-SamplingData[[#This Row],[Candidate 7]])/(SamplingData[[#Totals],[Winning Candidate]]-SamplingData[[#Totals],[Candidate 7]]), 0)</f>
        <v>0</v>
      </c>
      <c r="W722" s="100">
        <f>IF(AND(SamplingData[[#This Row],[Total]]&lt;&gt; 0, NOT(ISBLANK(SamplingData[[#This Row],[Candidate 8]]))),(SamplingData[[#This Row],[Total]]+SamplingData[[#This Row],[Winning Candidate]]-SamplingData[[#This Row],[Candidate 8]])/(SamplingData[[#Totals],[Winning Candidate]]-SamplingData[[#Totals],[Candidate 8]]), 0)</f>
        <v>0</v>
      </c>
      <c r="X7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00">
        <f>MAX(SamplingData[[#This Row],[Error Bound (up) - Max. possible relative overstatement - Losing Candidate]:[Error Bound (up) - Max. possible relative overstatement - Candidate 12]])</f>
        <v>2.5127995728240724E-4</v>
      </c>
      <c r="AC722" s="100">
        <f>IF(SamplingData[[#This Row],[Max Error Bound (up)]] = 0,0,SamplingData[[#This Row],[Max Error Bound (up)]]/SamplingData[[#Totals],[Max Error Bound (up)]])</f>
        <v>1.0768319603725841E-4</v>
      </c>
      <c r="AD722" s="104">
        <f>SUM($AC$5:AC722)</f>
        <v>0.20751897916330192</v>
      </c>
      <c r="AE722" s="100" t="str" cm="1">
        <f t="array" ref="AE722">IF(SamplingData[[#This Row],[up/U Selection Probability]] = 0, "Zero", TEXT(SamplingData[[#This Row],[Lower Range]], REPT("0",LEN('General Info'!$B$42))) &amp; " - " &amp; TEXT(SamplingData[[#This Row],[Upper Range]], REPT("0",LEN('General Info'!$B$42))))</f>
        <v>20741 - 20751</v>
      </c>
      <c r="AF722" s="100">
        <f>SamplingData[[#This Row],[Upper Range]]-SamplingData[[#This Row],[Span]]</f>
        <v>20741.129596726467</v>
      </c>
      <c r="AG722" s="100">
        <f>IF(ISNUMBER('General Info'!$B$42), ((SamplingData[[#This Row],[up/U Selection Probability]]) * 'General Info'!$B$44) - 1, 0)</f>
        <v>9.7683196037258408</v>
      </c>
      <c r="AH722" s="100">
        <f>IF(ISNUMBER('General Info'!$B$42), (SamplingData[[#This Row],[Running (cumulative) sum]] * ('General Info'!$B$42 -'General Info'!$B$43 + 1)) + 'General Info'!$B$43 - 1, 0)</f>
        <v>20750.897916330192</v>
      </c>
      <c r="AI722" s="100" t="str">
        <f>IF(ISERROR(MATCH(SamplingData[[#This Row],[Batch by Type (p)]],SelectedPrecincts[Batch Name], 0)), "", INDEX(SelectedPrecincts[Draw], MATCH(SamplingData[[#This Row],[Batch by Type (p)]],SelectedPrecincts[Batch Name], 0)))</f>
        <v/>
      </c>
      <c r="AJ722" s="101">
        <f>IF(COUNTIF(SelectedPrecincts[Batch Name],SamplingData[[#This Row],[Batch by Type (p)]]) &lt;&gt; 0, COUNTIF(SelectedPrecincts[Batch Name],SamplingData[[#This Row],[Batch by Type (p)]]), 0)</f>
        <v>0</v>
      </c>
    </row>
    <row r="723" spans="1:36" ht="15" customHeight="1" x14ac:dyDescent="0.35">
      <c r="A723" s="98" t="s">
        <v>934</v>
      </c>
      <c r="B723" s="98">
        <v>8</v>
      </c>
      <c r="C723" s="98">
        <v>2</v>
      </c>
      <c r="D723" s="93"/>
      <c r="E723" s="93"/>
      <c r="F723" s="93"/>
      <c r="G723" s="97"/>
      <c r="H723" s="97"/>
      <c r="I723" s="93"/>
      <c r="J723" s="93"/>
      <c r="K723" s="93"/>
      <c r="L723" s="93"/>
      <c r="M723" s="93"/>
      <c r="N723" s="98">
        <v>0</v>
      </c>
      <c r="O723" s="98">
        <v>1</v>
      </c>
      <c r="P723" s="99">
        <f>SUM(SamplingData[[#This Row],[Winning Candidate]:[Under Votes]])</f>
        <v>11</v>
      </c>
      <c r="Q723" s="100">
        <f>IF(AND(SamplingData[[#This Row],[Total]]&lt;&gt; 0, NOT(ISBLANK(SamplingData[[#This Row],[Losing Candidate]]))),(SamplingData[[#This Row],[Total]]+SamplingData[[#This Row],[Winning Candidate]]-SamplingData[[#This Row],[Losing Candidate]])/(SamplingData[[#Totals],[Winning Candidate]]-SamplingData[[#Totals],[Losing Candidate]]), 0)</f>
        <v>5.3396990922511547E-4</v>
      </c>
      <c r="R723" s="100">
        <f>IF(AND(SamplingData[[#This Row],[Total]]&lt;&gt; 0, NOT(ISBLANK(SamplingData[[#This Row],[Candidate 3]]))),(SamplingData[[#This Row],[Total]]+SamplingData[[#This Row],[Winning Candidate]]-SamplingData[[#This Row],[Candidate 3]])/(SamplingData[[#Totals],[Winning Candidate]]-SamplingData[[#Totals],[Candidate 3]]), 0)</f>
        <v>0</v>
      </c>
      <c r="S723" s="100">
        <f>IF(AND(SamplingData[[#This Row],[Total]]&lt;&gt; 0, NOT(ISBLANK(SamplingData[[#This Row],[Candidate 4]]))),(SamplingData[[#This Row],[Total]]+SamplingData[[#This Row],[Winning Candidate]]-SamplingData[[#This Row],[Candidate 4]])/(SamplingData[[#Totals],[Winning Candidate]]-SamplingData[[#Totals],[Candidate 4]]), 0)</f>
        <v>0</v>
      </c>
      <c r="T723" s="100">
        <f>IF(AND(SamplingData[[#This Row],[Total]]&lt;&gt; 0, NOT(ISBLANK(SamplingData[[#This Row],[Candidate 5]]))),(SamplingData[[#This Row],[Total]]+SamplingData[[#This Row],[Winning Candidate]]-SamplingData[[#This Row],[Candidate 5]])/(SamplingData[[#Totals],[Winning Candidate]]-SamplingData[[#Totals],[Candidate 5]]), 0)</f>
        <v>0</v>
      </c>
      <c r="U723" s="100">
        <f>IF(AND(SamplingData[[#This Row],[Total]]&lt;&gt; 0, NOT(ISBLANK(SamplingData[[#This Row],[Candidate 6]]))),(SamplingData[[#This Row],[Total]]+SamplingData[[#This Row],[Losing Candidate]]-SamplingData[[#This Row],[Candidate 6]])/(SamplingData[[#Totals],[Winning Candidate]]-SamplingData[[#Totals],[Candidate 6]]), 0)</f>
        <v>0</v>
      </c>
      <c r="V723" s="100">
        <f>IF(AND(SamplingData[[#This Row],[Total]]&lt;&gt; 0, NOT(ISBLANK(SamplingData[[#This Row],[Candidate 7]]))),(SamplingData[[#This Row],[Total]]+SamplingData[[#This Row],[Winning Candidate]]-SamplingData[[#This Row],[Candidate 7]])/(SamplingData[[#Totals],[Winning Candidate]]-SamplingData[[#Totals],[Candidate 7]]), 0)</f>
        <v>0</v>
      </c>
      <c r="W723" s="100">
        <f>IF(AND(SamplingData[[#This Row],[Total]]&lt;&gt; 0, NOT(ISBLANK(SamplingData[[#This Row],[Candidate 8]]))),(SamplingData[[#This Row],[Total]]+SamplingData[[#This Row],[Winning Candidate]]-SamplingData[[#This Row],[Candidate 8]])/(SamplingData[[#Totals],[Winning Candidate]]-SamplingData[[#Totals],[Candidate 8]]), 0)</f>
        <v>0</v>
      </c>
      <c r="X7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00">
        <f>MAX(SamplingData[[#This Row],[Error Bound (up) - Max. possible relative overstatement - Losing Candidate]:[Error Bound (up) - Max. possible relative overstatement - Candidate 12]])</f>
        <v>5.3396990922511547E-4</v>
      </c>
      <c r="AC723" s="100">
        <f>IF(SamplingData[[#This Row],[Max Error Bound (up)]] = 0,0,SamplingData[[#This Row],[Max Error Bound (up)]]/SamplingData[[#Totals],[Max Error Bound (up)]])</f>
        <v>2.2882679157917418E-4</v>
      </c>
      <c r="AD723" s="104">
        <f>SUM($AC$5:AC723)</f>
        <v>0.2077478059548811</v>
      </c>
      <c r="AE723" s="100" t="str" cm="1">
        <f t="array" ref="AE723">IF(SamplingData[[#This Row],[up/U Selection Probability]] = 0, "Zero", TEXT(SamplingData[[#This Row],[Lower Range]], REPT("0",LEN('General Info'!$B$42))) &amp; " - " &amp; TEXT(SamplingData[[#This Row],[Upper Range]], REPT("0",LEN('General Info'!$B$42))))</f>
        <v>20752 - 20774</v>
      </c>
      <c r="AF723" s="100">
        <f>SamplingData[[#This Row],[Upper Range]]-SamplingData[[#This Row],[Span]]</f>
        <v>20751.897916330196</v>
      </c>
      <c r="AG723" s="100">
        <f>IF(ISNUMBER('General Info'!$B$42), ((SamplingData[[#This Row],[up/U Selection Probability]]) * 'General Info'!$B$44) - 1, 0)</f>
        <v>21.882679157917419</v>
      </c>
      <c r="AH723" s="100">
        <f>IF(ISNUMBER('General Info'!$B$42), (SamplingData[[#This Row],[Running (cumulative) sum]] * ('General Info'!$B$42 -'General Info'!$B$43 + 1)) + 'General Info'!$B$43 - 1, 0)</f>
        <v>20773.780595488111</v>
      </c>
      <c r="AI723" s="100" t="str">
        <f>IF(ISERROR(MATCH(SamplingData[[#This Row],[Batch by Type (p)]],SelectedPrecincts[Batch Name], 0)), "", INDEX(SelectedPrecincts[Draw], MATCH(SamplingData[[#This Row],[Batch by Type (p)]],SelectedPrecincts[Batch Name], 0)))</f>
        <v/>
      </c>
      <c r="AJ723" s="101">
        <f>IF(COUNTIF(SelectedPrecincts[Batch Name],SamplingData[[#This Row],[Batch by Type (p)]]) &lt;&gt; 0, COUNTIF(SelectedPrecincts[Batch Name],SamplingData[[#This Row],[Batch by Type (p)]]), 0)</f>
        <v>0</v>
      </c>
    </row>
    <row r="724" spans="1:36" ht="15" customHeight="1" x14ac:dyDescent="0.35">
      <c r="A724" s="98" t="s">
        <v>935</v>
      </c>
      <c r="B724" s="98">
        <v>45</v>
      </c>
      <c r="C724" s="98">
        <v>15</v>
      </c>
      <c r="D724" s="93"/>
      <c r="E724" s="93"/>
      <c r="F724" s="93"/>
      <c r="G724" s="97"/>
      <c r="H724" s="97"/>
      <c r="I724" s="93"/>
      <c r="J724" s="93"/>
      <c r="K724" s="93"/>
      <c r="L724" s="93"/>
      <c r="M724" s="93"/>
      <c r="N724" s="98">
        <v>0</v>
      </c>
      <c r="O724" s="98">
        <v>0</v>
      </c>
      <c r="P724" s="99">
        <f>SUM(SamplingData[[#This Row],[Winning Candidate]:[Under Votes]])</f>
        <v>60</v>
      </c>
      <c r="Q724" s="100">
        <f>IF(AND(SamplingData[[#This Row],[Total]]&lt;&gt; 0, NOT(ISBLANK(SamplingData[[#This Row],[Losing Candidate]]))),(SamplingData[[#This Row],[Total]]+SamplingData[[#This Row],[Winning Candidate]]-SamplingData[[#This Row],[Losing Candidate]])/(SamplingData[[#Totals],[Winning Candidate]]-SamplingData[[#Totals],[Losing Candidate]]), 0)</f>
        <v>2.8268995194270815E-3</v>
      </c>
      <c r="R724" s="100">
        <f>IF(AND(SamplingData[[#This Row],[Total]]&lt;&gt; 0, NOT(ISBLANK(SamplingData[[#This Row],[Candidate 3]]))),(SamplingData[[#This Row],[Total]]+SamplingData[[#This Row],[Winning Candidate]]-SamplingData[[#This Row],[Candidate 3]])/(SamplingData[[#Totals],[Winning Candidate]]-SamplingData[[#Totals],[Candidate 3]]), 0)</f>
        <v>0</v>
      </c>
      <c r="S724" s="100">
        <f>IF(AND(SamplingData[[#This Row],[Total]]&lt;&gt; 0, NOT(ISBLANK(SamplingData[[#This Row],[Candidate 4]]))),(SamplingData[[#This Row],[Total]]+SamplingData[[#This Row],[Winning Candidate]]-SamplingData[[#This Row],[Candidate 4]])/(SamplingData[[#Totals],[Winning Candidate]]-SamplingData[[#Totals],[Candidate 4]]), 0)</f>
        <v>0</v>
      </c>
      <c r="T724" s="100">
        <f>IF(AND(SamplingData[[#This Row],[Total]]&lt;&gt; 0, NOT(ISBLANK(SamplingData[[#This Row],[Candidate 5]]))),(SamplingData[[#This Row],[Total]]+SamplingData[[#This Row],[Winning Candidate]]-SamplingData[[#This Row],[Candidate 5]])/(SamplingData[[#Totals],[Winning Candidate]]-SamplingData[[#Totals],[Candidate 5]]), 0)</f>
        <v>0</v>
      </c>
      <c r="U724" s="100">
        <f>IF(AND(SamplingData[[#This Row],[Total]]&lt;&gt; 0, NOT(ISBLANK(SamplingData[[#This Row],[Candidate 6]]))),(SamplingData[[#This Row],[Total]]+SamplingData[[#This Row],[Losing Candidate]]-SamplingData[[#This Row],[Candidate 6]])/(SamplingData[[#Totals],[Winning Candidate]]-SamplingData[[#Totals],[Candidate 6]]), 0)</f>
        <v>0</v>
      </c>
      <c r="V724" s="100">
        <f>IF(AND(SamplingData[[#This Row],[Total]]&lt;&gt; 0, NOT(ISBLANK(SamplingData[[#This Row],[Candidate 7]]))),(SamplingData[[#This Row],[Total]]+SamplingData[[#This Row],[Winning Candidate]]-SamplingData[[#This Row],[Candidate 7]])/(SamplingData[[#Totals],[Winning Candidate]]-SamplingData[[#Totals],[Candidate 7]]), 0)</f>
        <v>0</v>
      </c>
      <c r="W724" s="100">
        <f>IF(AND(SamplingData[[#This Row],[Total]]&lt;&gt; 0, NOT(ISBLANK(SamplingData[[#This Row],[Candidate 8]]))),(SamplingData[[#This Row],[Total]]+SamplingData[[#This Row],[Winning Candidate]]-SamplingData[[#This Row],[Candidate 8]])/(SamplingData[[#Totals],[Winning Candidate]]-SamplingData[[#Totals],[Candidate 8]]), 0)</f>
        <v>0</v>
      </c>
      <c r="X7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00">
        <f>MAX(SamplingData[[#This Row],[Error Bound (up) - Max. possible relative overstatement - Losing Candidate]:[Error Bound (up) - Max. possible relative overstatement - Candidate 12]])</f>
        <v>2.8268995194270815E-3</v>
      </c>
      <c r="AC724" s="100">
        <f>IF(SamplingData[[#This Row],[Max Error Bound (up)]] = 0,0,SamplingData[[#This Row],[Max Error Bound (up)]]/SamplingData[[#Totals],[Max Error Bound (up)]])</f>
        <v>1.2114359554191573E-3</v>
      </c>
      <c r="AD724" s="104">
        <f>SUM($AC$5:AC724)</f>
        <v>0.20895924191030024</v>
      </c>
      <c r="AE724" s="100" t="str" cm="1">
        <f t="array" ref="AE724">IF(SamplingData[[#This Row],[up/U Selection Probability]] = 0, "Zero", TEXT(SamplingData[[#This Row],[Lower Range]], REPT("0",LEN('General Info'!$B$42))) &amp; " - " &amp; TEXT(SamplingData[[#This Row],[Upper Range]], REPT("0",LEN('General Info'!$B$42))))</f>
        <v>20775 - 20895</v>
      </c>
      <c r="AF724" s="100">
        <f>SamplingData[[#This Row],[Upper Range]]-SamplingData[[#This Row],[Span]]</f>
        <v>20774.780595488108</v>
      </c>
      <c r="AG724" s="100">
        <f>IF(ISNUMBER('General Info'!$B$42), ((SamplingData[[#This Row],[up/U Selection Probability]]) * 'General Info'!$B$44) - 1, 0)</f>
        <v>120.14359554191573</v>
      </c>
      <c r="AH724" s="100">
        <f>IF(ISNUMBER('General Info'!$B$42), (SamplingData[[#This Row],[Running (cumulative) sum]] * ('General Info'!$B$42 -'General Info'!$B$43 + 1)) + 'General Info'!$B$43 - 1, 0)</f>
        <v>20894.924191030022</v>
      </c>
      <c r="AI724" s="100" t="str">
        <f>IF(ISERROR(MATCH(SamplingData[[#This Row],[Batch by Type (p)]],SelectedPrecincts[Batch Name], 0)), "", INDEX(SelectedPrecincts[Draw], MATCH(SamplingData[[#This Row],[Batch by Type (p)]],SelectedPrecincts[Batch Name], 0)))</f>
        <v/>
      </c>
      <c r="AJ724" s="101">
        <f>IF(COUNTIF(SelectedPrecincts[Batch Name],SamplingData[[#This Row],[Batch by Type (p)]]) &lt;&gt; 0, COUNTIF(SelectedPrecincts[Batch Name],SamplingData[[#This Row],[Batch by Type (p)]]), 0)</f>
        <v>0</v>
      </c>
    </row>
    <row r="725" spans="1:36" ht="15" customHeight="1" x14ac:dyDescent="0.35">
      <c r="A725" s="98" t="s">
        <v>936</v>
      </c>
      <c r="B725" s="98">
        <v>0</v>
      </c>
      <c r="C725" s="98">
        <v>0</v>
      </c>
      <c r="D725" s="93"/>
      <c r="E725" s="93"/>
      <c r="F725" s="93"/>
      <c r="G725" s="97"/>
      <c r="H725" s="97"/>
      <c r="I725" s="93"/>
      <c r="J725" s="93"/>
      <c r="K725" s="93"/>
      <c r="L725" s="93"/>
      <c r="M725" s="93"/>
      <c r="N725" s="98">
        <v>0</v>
      </c>
      <c r="O725" s="98">
        <v>0</v>
      </c>
      <c r="P725" s="99">
        <f>SUM(SamplingData[[#This Row],[Winning Candidate]:[Under Votes]])</f>
        <v>0</v>
      </c>
      <c r="Q725" s="100">
        <f>IF(AND(SamplingData[[#This Row],[Total]]&lt;&gt; 0, NOT(ISBLANK(SamplingData[[#This Row],[Losing Candidate]]))),(SamplingData[[#This Row],[Total]]+SamplingData[[#This Row],[Winning Candidate]]-SamplingData[[#This Row],[Losing Candidate]])/(SamplingData[[#Totals],[Winning Candidate]]-SamplingData[[#Totals],[Losing Candidate]]), 0)</f>
        <v>0</v>
      </c>
      <c r="R725" s="100">
        <f>IF(AND(SamplingData[[#This Row],[Total]]&lt;&gt; 0, NOT(ISBLANK(SamplingData[[#This Row],[Candidate 3]]))),(SamplingData[[#This Row],[Total]]+SamplingData[[#This Row],[Winning Candidate]]-SamplingData[[#This Row],[Candidate 3]])/(SamplingData[[#Totals],[Winning Candidate]]-SamplingData[[#Totals],[Candidate 3]]), 0)</f>
        <v>0</v>
      </c>
      <c r="S725" s="100">
        <f>IF(AND(SamplingData[[#This Row],[Total]]&lt;&gt; 0, NOT(ISBLANK(SamplingData[[#This Row],[Candidate 4]]))),(SamplingData[[#This Row],[Total]]+SamplingData[[#This Row],[Winning Candidate]]-SamplingData[[#This Row],[Candidate 4]])/(SamplingData[[#Totals],[Winning Candidate]]-SamplingData[[#Totals],[Candidate 4]]), 0)</f>
        <v>0</v>
      </c>
      <c r="T725" s="100">
        <f>IF(AND(SamplingData[[#This Row],[Total]]&lt;&gt; 0, NOT(ISBLANK(SamplingData[[#This Row],[Candidate 5]]))),(SamplingData[[#This Row],[Total]]+SamplingData[[#This Row],[Winning Candidate]]-SamplingData[[#This Row],[Candidate 5]])/(SamplingData[[#Totals],[Winning Candidate]]-SamplingData[[#Totals],[Candidate 5]]), 0)</f>
        <v>0</v>
      </c>
      <c r="U725" s="100">
        <f>IF(AND(SamplingData[[#This Row],[Total]]&lt;&gt; 0, NOT(ISBLANK(SamplingData[[#This Row],[Candidate 6]]))),(SamplingData[[#This Row],[Total]]+SamplingData[[#This Row],[Losing Candidate]]-SamplingData[[#This Row],[Candidate 6]])/(SamplingData[[#Totals],[Winning Candidate]]-SamplingData[[#Totals],[Candidate 6]]), 0)</f>
        <v>0</v>
      </c>
      <c r="V725" s="100">
        <f>IF(AND(SamplingData[[#This Row],[Total]]&lt;&gt; 0, NOT(ISBLANK(SamplingData[[#This Row],[Candidate 7]]))),(SamplingData[[#This Row],[Total]]+SamplingData[[#This Row],[Winning Candidate]]-SamplingData[[#This Row],[Candidate 7]])/(SamplingData[[#Totals],[Winning Candidate]]-SamplingData[[#Totals],[Candidate 7]]), 0)</f>
        <v>0</v>
      </c>
      <c r="W725" s="100">
        <f>IF(AND(SamplingData[[#This Row],[Total]]&lt;&gt; 0, NOT(ISBLANK(SamplingData[[#This Row],[Candidate 8]]))),(SamplingData[[#This Row],[Total]]+SamplingData[[#This Row],[Winning Candidate]]-SamplingData[[#This Row],[Candidate 8]])/(SamplingData[[#Totals],[Winning Candidate]]-SamplingData[[#Totals],[Candidate 8]]), 0)</f>
        <v>0</v>
      </c>
      <c r="X7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00">
        <f>MAX(SamplingData[[#This Row],[Error Bound (up) - Max. possible relative overstatement - Losing Candidate]:[Error Bound (up) - Max. possible relative overstatement - Candidate 12]])</f>
        <v>0</v>
      </c>
      <c r="AC725" s="100">
        <f>IF(SamplingData[[#This Row],[Max Error Bound (up)]] = 0,0,SamplingData[[#This Row],[Max Error Bound (up)]]/SamplingData[[#Totals],[Max Error Bound (up)]])</f>
        <v>0</v>
      </c>
      <c r="AD725" s="104">
        <f>SUM($AC$5:AC725)</f>
        <v>0.20895924191030024</v>
      </c>
      <c r="AE725" s="100" t="str" cm="1">
        <f t="array" ref="AE725">IF(SamplingData[[#This Row],[up/U Selection Probability]] = 0, "Zero", TEXT(SamplingData[[#This Row],[Lower Range]], REPT("0",LEN('General Info'!$B$42))) &amp; " - " &amp; TEXT(SamplingData[[#This Row],[Upper Range]], REPT("0",LEN('General Info'!$B$42))))</f>
        <v>Zero</v>
      </c>
      <c r="AF725" s="100">
        <f>SamplingData[[#This Row],[Upper Range]]-SamplingData[[#This Row],[Span]]</f>
        <v>20895.924191030022</v>
      </c>
      <c r="AG725" s="100">
        <f>IF(ISNUMBER('General Info'!$B$42), ((SamplingData[[#This Row],[up/U Selection Probability]]) * 'General Info'!$B$44) - 1, 0)</f>
        <v>-1</v>
      </c>
      <c r="AH725" s="100">
        <f>IF(ISNUMBER('General Info'!$B$42), (SamplingData[[#This Row],[Running (cumulative) sum]] * ('General Info'!$B$42 -'General Info'!$B$43 + 1)) + 'General Info'!$B$43 - 1, 0)</f>
        <v>20894.924191030022</v>
      </c>
      <c r="AI725" s="100" t="str">
        <f>IF(ISERROR(MATCH(SamplingData[[#This Row],[Batch by Type (p)]],SelectedPrecincts[Batch Name], 0)), "", INDEX(SelectedPrecincts[Draw], MATCH(SamplingData[[#This Row],[Batch by Type (p)]],SelectedPrecincts[Batch Name], 0)))</f>
        <v/>
      </c>
      <c r="AJ725" s="101">
        <f>IF(COUNTIF(SelectedPrecincts[Batch Name],SamplingData[[#This Row],[Batch by Type (p)]]) &lt;&gt; 0, COUNTIF(SelectedPrecincts[Batch Name],SamplingData[[#This Row],[Batch by Type (p)]]), 0)</f>
        <v>0</v>
      </c>
    </row>
    <row r="726" spans="1:36" ht="15" customHeight="1" x14ac:dyDescent="0.35">
      <c r="A726" s="98" t="s">
        <v>937</v>
      </c>
      <c r="B726" s="98">
        <v>0</v>
      </c>
      <c r="C726" s="98">
        <v>0</v>
      </c>
      <c r="D726" s="93"/>
      <c r="E726" s="93"/>
      <c r="F726" s="93"/>
      <c r="G726" s="97"/>
      <c r="H726" s="97"/>
      <c r="I726" s="93"/>
      <c r="J726" s="93"/>
      <c r="K726" s="93"/>
      <c r="L726" s="93"/>
      <c r="M726" s="93"/>
      <c r="N726" s="98">
        <v>0</v>
      </c>
      <c r="O726" s="98">
        <v>0</v>
      </c>
      <c r="P726" s="99">
        <f>SUM(SamplingData[[#This Row],[Winning Candidate]:[Under Votes]])</f>
        <v>0</v>
      </c>
      <c r="Q726" s="100">
        <f>IF(AND(SamplingData[[#This Row],[Total]]&lt;&gt; 0, NOT(ISBLANK(SamplingData[[#This Row],[Losing Candidate]]))),(SamplingData[[#This Row],[Total]]+SamplingData[[#This Row],[Winning Candidate]]-SamplingData[[#This Row],[Losing Candidate]])/(SamplingData[[#Totals],[Winning Candidate]]-SamplingData[[#Totals],[Losing Candidate]]), 0)</f>
        <v>0</v>
      </c>
      <c r="R726" s="100">
        <f>IF(AND(SamplingData[[#This Row],[Total]]&lt;&gt; 0, NOT(ISBLANK(SamplingData[[#This Row],[Candidate 3]]))),(SamplingData[[#This Row],[Total]]+SamplingData[[#This Row],[Winning Candidate]]-SamplingData[[#This Row],[Candidate 3]])/(SamplingData[[#Totals],[Winning Candidate]]-SamplingData[[#Totals],[Candidate 3]]), 0)</f>
        <v>0</v>
      </c>
      <c r="S726" s="100">
        <f>IF(AND(SamplingData[[#This Row],[Total]]&lt;&gt; 0, NOT(ISBLANK(SamplingData[[#This Row],[Candidate 4]]))),(SamplingData[[#This Row],[Total]]+SamplingData[[#This Row],[Winning Candidate]]-SamplingData[[#This Row],[Candidate 4]])/(SamplingData[[#Totals],[Winning Candidate]]-SamplingData[[#Totals],[Candidate 4]]), 0)</f>
        <v>0</v>
      </c>
      <c r="T726" s="100">
        <f>IF(AND(SamplingData[[#This Row],[Total]]&lt;&gt; 0, NOT(ISBLANK(SamplingData[[#This Row],[Candidate 5]]))),(SamplingData[[#This Row],[Total]]+SamplingData[[#This Row],[Winning Candidate]]-SamplingData[[#This Row],[Candidate 5]])/(SamplingData[[#Totals],[Winning Candidate]]-SamplingData[[#Totals],[Candidate 5]]), 0)</f>
        <v>0</v>
      </c>
      <c r="U726" s="100">
        <f>IF(AND(SamplingData[[#This Row],[Total]]&lt;&gt; 0, NOT(ISBLANK(SamplingData[[#This Row],[Candidate 6]]))),(SamplingData[[#This Row],[Total]]+SamplingData[[#This Row],[Losing Candidate]]-SamplingData[[#This Row],[Candidate 6]])/(SamplingData[[#Totals],[Winning Candidate]]-SamplingData[[#Totals],[Candidate 6]]), 0)</f>
        <v>0</v>
      </c>
      <c r="V726" s="100">
        <f>IF(AND(SamplingData[[#This Row],[Total]]&lt;&gt; 0, NOT(ISBLANK(SamplingData[[#This Row],[Candidate 7]]))),(SamplingData[[#This Row],[Total]]+SamplingData[[#This Row],[Winning Candidate]]-SamplingData[[#This Row],[Candidate 7]])/(SamplingData[[#Totals],[Winning Candidate]]-SamplingData[[#Totals],[Candidate 7]]), 0)</f>
        <v>0</v>
      </c>
      <c r="W726" s="100">
        <f>IF(AND(SamplingData[[#This Row],[Total]]&lt;&gt; 0, NOT(ISBLANK(SamplingData[[#This Row],[Candidate 8]]))),(SamplingData[[#This Row],[Total]]+SamplingData[[#This Row],[Winning Candidate]]-SamplingData[[#This Row],[Candidate 8]])/(SamplingData[[#Totals],[Winning Candidate]]-SamplingData[[#Totals],[Candidate 8]]), 0)</f>
        <v>0</v>
      </c>
      <c r="X7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00">
        <f>MAX(SamplingData[[#This Row],[Error Bound (up) - Max. possible relative overstatement - Losing Candidate]:[Error Bound (up) - Max. possible relative overstatement - Candidate 12]])</f>
        <v>0</v>
      </c>
      <c r="AC726" s="100">
        <f>IF(SamplingData[[#This Row],[Max Error Bound (up)]] = 0,0,SamplingData[[#This Row],[Max Error Bound (up)]]/SamplingData[[#Totals],[Max Error Bound (up)]])</f>
        <v>0</v>
      </c>
      <c r="AD726" s="104">
        <f>SUM($AC$5:AC726)</f>
        <v>0.20895924191030024</v>
      </c>
      <c r="AE726" s="100" t="str" cm="1">
        <f t="array" ref="AE726">IF(SamplingData[[#This Row],[up/U Selection Probability]] = 0, "Zero", TEXT(SamplingData[[#This Row],[Lower Range]], REPT("0",LEN('General Info'!$B$42))) &amp; " - " &amp; TEXT(SamplingData[[#This Row],[Upper Range]], REPT("0",LEN('General Info'!$B$42))))</f>
        <v>Zero</v>
      </c>
      <c r="AF726" s="100">
        <f>SamplingData[[#This Row],[Upper Range]]-SamplingData[[#This Row],[Span]]</f>
        <v>20895.924191030022</v>
      </c>
      <c r="AG726" s="100">
        <f>IF(ISNUMBER('General Info'!$B$42), ((SamplingData[[#This Row],[up/U Selection Probability]]) * 'General Info'!$B$44) - 1, 0)</f>
        <v>-1</v>
      </c>
      <c r="AH726" s="100">
        <f>IF(ISNUMBER('General Info'!$B$42), (SamplingData[[#This Row],[Running (cumulative) sum]] * ('General Info'!$B$42 -'General Info'!$B$43 + 1)) + 'General Info'!$B$43 - 1, 0)</f>
        <v>20894.924191030022</v>
      </c>
      <c r="AI726" s="100" t="str">
        <f>IF(ISERROR(MATCH(SamplingData[[#This Row],[Batch by Type (p)]],SelectedPrecincts[Batch Name], 0)), "", INDEX(SelectedPrecincts[Draw], MATCH(SamplingData[[#This Row],[Batch by Type (p)]],SelectedPrecincts[Batch Name], 0)))</f>
        <v/>
      </c>
      <c r="AJ726" s="101">
        <f>IF(COUNTIF(SelectedPrecincts[Batch Name],SamplingData[[#This Row],[Batch by Type (p)]]) &lt;&gt; 0, COUNTIF(SelectedPrecincts[Batch Name],SamplingData[[#This Row],[Batch by Type (p)]]), 0)</f>
        <v>0</v>
      </c>
    </row>
    <row r="727" spans="1:36" ht="15" customHeight="1" x14ac:dyDescent="0.35">
      <c r="A727" s="98" t="s">
        <v>938</v>
      </c>
      <c r="B727" s="98">
        <v>4</v>
      </c>
      <c r="C727" s="98">
        <v>4</v>
      </c>
      <c r="D727" s="93"/>
      <c r="E727" s="93"/>
      <c r="F727" s="93"/>
      <c r="G727" s="97"/>
      <c r="H727" s="97"/>
      <c r="I727" s="93"/>
      <c r="J727" s="93"/>
      <c r="K727" s="93"/>
      <c r="L727" s="93"/>
      <c r="M727" s="93"/>
      <c r="N727" s="98">
        <v>0</v>
      </c>
      <c r="O727" s="98">
        <v>0</v>
      </c>
      <c r="P727" s="99">
        <f>SUM(SamplingData[[#This Row],[Winning Candidate]:[Under Votes]])</f>
        <v>8</v>
      </c>
      <c r="Q727"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727" s="100">
        <f>IF(AND(SamplingData[[#This Row],[Total]]&lt;&gt; 0, NOT(ISBLANK(SamplingData[[#This Row],[Candidate 3]]))),(SamplingData[[#This Row],[Total]]+SamplingData[[#This Row],[Winning Candidate]]-SamplingData[[#This Row],[Candidate 3]])/(SamplingData[[#Totals],[Winning Candidate]]-SamplingData[[#Totals],[Candidate 3]]), 0)</f>
        <v>0</v>
      </c>
      <c r="S727" s="100">
        <f>IF(AND(SamplingData[[#This Row],[Total]]&lt;&gt; 0, NOT(ISBLANK(SamplingData[[#This Row],[Candidate 4]]))),(SamplingData[[#This Row],[Total]]+SamplingData[[#This Row],[Winning Candidate]]-SamplingData[[#This Row],[Candidate 4]])/(SamplingData[[#Totals],[Winning Candidate]]-SamplingData[[#Totals],[Candidate 4]]), 0)</f>
        <v>0</v>
      </c>
      <c r="T727" s="100">
        <f>IF(AND(SamplingData[[#This Row],[Total]]&lt;&gt; 0, NOT(ISBLANK(SamplingData[[#This Row],[Candidate 5]]))),(SamplingData[[#This Row],[Total]]+SamplingData[[#This Row],[Winning Candidate]]-SamplingData[[#This Row],[Candidate 5]])/(SamplingData[[#Totals],[Winning Candidate]]-SamplingData[[#Totals],[Candidate 5]]), 0)</f>
        <v>0</v>
      </c>
      <c r="U727" s="100">
        <f>IF(AND(SamplingData[[#This Row],[Total]]&lt;&gt; 0, NOT(ISBLANK(SamplingData[[#This Row],[Candidate 6]]))),(SamplingData[[#This Row],[Total]]+SamplingData[[#This Row],[Losing Candidate]]-SamplingData[[#This Row],[Candidate 6]])/(SamplingData[[#Totals],[Winning Candidate]]-SamplingData[[#Totals],[Candidate 6]]), 0)</f>
        <v>0</v>
      </c>
      <c r="V727" s="100">
        <f>IF(AND(SamplingData[[#This Row],[Total]]&lt;&gt; 0, NOT(ISBLANK(SamplingData[[#This Row],[Candidate 7]]))),(SamplingData[[#This Row],[Total]]+SamplingData[[#This Row],[Winning Candidate]]-SamplingData[[#This Row],[Candidate 7]])/(SamplingData[[#Totals],[Winning Candidate]]-SamplingData[[#Totals],[Candidate 7]]), 0)</f>
        <v>0</v>
      </c>
      <c r="W727" s="100">
        <f>IF(AND(SamplingData[[#This Row],[Total]]&lt;&gt; 0, NOT(ISBLANK(SamplingData[[#This Row],[Candidate 8]]))),(SamplingData[[#This Row],[Total]]+SamplingData[[#This Row],[Winning Candidate]]-SamplingData[[#This Row],[Candidate 8]])/(SamplingData[[#Totals],[Winning Candidate]]-SamplingData[[#Totals],[Candidate 8]]), 0)</f>
        <v>0</v>
      </c>
      <c r="X7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00">
        <f>MAX(SamplingData[[#This Row],[Error Bound (up) - Max. possible relative overstatement - Losing Candidate]:[Error Bound (up) - Max. possible relative overstatement - Candidate 12]])</f>
        <v>2.5127995728240724E-4</v>
      </c>
      <c r="AC727" s="100">
        <f>IF(SamplingData[[#This Row],[Max Error Bound (up)]] = 0,0,SamplingData[[#This Row],[Max Error Bound (up)]]/SamplingData[[#Totals],[Max Error Bound (up)]])</f>
        <v>1.0768319603725841E-4</v>
      </c>
      <c r="AD727" s="104">
        <f>SUM($AC$5:AC727)</f>
        <v>0.20906692510633751</v>
      </c>
      <c r="AE727" s="100" t="str" cm="1">
        <f t="array" ref="AE727">IF(SamplingData[[#This Row],[up/U Selection Probability]] = 0, "Zero", TEXT(SamplingData[[#This Row],[Lower Range]], REPT("0",LEN('General Info'!$B$42))) &amp; " - " &amp; TEXT(SamplingData[[#This Row],[Upper Range]], REPT("0",LEN('General Info'!$B$42))))</f>
        <v>20896 - 20906</v>
      </c>
      <c r="AF727" s="100">
        <f>SamplingData[[#This Row],[Upper Range]]-SamplingData[[#This Row],[Span]]</f>
        <v>20895.924191030026</v>
      </c>
      <c r="AG727" s="100">
        <f>IF(ISNUMBER('General Info'!$B$42), ((SamplingData[[#This Row],[up/U Selection Probability]]) * 'General Info'!$B$44) - 1, 0)</f>
        <v>9.7683196037258408</v>
      </c>
      <c r="AH727" s="100">
        <f>IF(ISNUMBER('General Info'!$B$42), (SamplingData[[#This Row],[Running (cumulative) sum]] * ('General Info'!$B$42 -'General Info'!$B$43 + 1)) + 'General Info'!$B$43 - 1, 0)</f>
        <v>20905.692510633751</v>
      </c>
      <c r="AI727" s="100" t="str">
        <f>IF(ISERROR(MATCH(SamplingData[[#This Row],[Batch by Type (p)]],SelectedPrecincts[Batch Name], 0)), "", INDEX(SelectedPrecincts[Draw], MATCH(SamplingData[[#This Row],[Batch by Type (p)]],SelectedPrecincts[Batch Name], 0)))</f>
        <v/>
      </c>
      <c r="AJ727" s="101">
        <f>IF(COUNTIF(SelectedPrecincts[Batch Name],SamplingData[[#This Row],[Batch by Type (p)]]) &lt;&gt; 0, COUNTIF(SelectedPrecincts[Batch Name],SamplingData[[#This Row],[Batch by Type (p)]]), 0)</f>
        <v>0</v>
      </c>
    </row>
    <row r="728" spans="1:36" ht="15" customHeight="1" x14ac:dyDescent="0.35">
      <c r="A728" s="98" t="s">
        <v>939</v>
      </c>
      <c r="B728" s="98">
        <v>9</v>
      </c>
      <c r="C728" s="98">
        <v>1</v>
      </c>
      <c r="D728" s="93"/>
      <c r="E728" s="93"/>
      <c r="F728" s="93"/>
      <c r="G728" s="97"/>
      <c r="H728" s="97"/>
      <c r="I728" s="93"/>
      <c r="J728" s="93"/>
      <c r="K728" s="93"/>
      <c r="L728" s="93"/>
      <c r="M728" s="93"/>
      <c r="N728" s="98">
        <v>0</v>
      </c>
      <c r="O728" s="98">
        <v>0</v>
      </c>
      <c r="P728" s="99">
        <f>SUM(SamplingData[[#This Row],[Winning Candidate]:[Under Votes]])</f>
        <v>10</v>
      </c>
      <c r="Q728"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728" s="100">
        <f>IF(AND(SamplingData[[#This Row],[Total]]&lt;&gt; 0, NOT(ISBLANK(SamplingData[[#This Row],[Candidate 3]]))),(SamplingData[[#This Row],[Total]]+SamplingData[[#This Row],[Winning Candidate]]-SamplingData[[#This Row],[Candidate 3]])/(SamplingData[[#Totals],[Winning Candidate]]-SamplingData[[#Totals],[Candidate 3]]), 0)</f>
        <v>0</v>
      </c>
      <c r="S728" s="100">
        <f>IF(AND(SamplingData[[#This Row],[Total]]&lt;&gt; 0, NOT(ISBLANK(SamplingData[[#This Row],[Candidate 4]]))),(SamplingData[[#This Row],[Total]]+SamplingData[[#This Row],[Winning Candidate]]-SamplingData[[#This Row],[Candidate 4]])/(SamplingData[[#Totals],[Winning Candidate]]-SamplingData[[#Totals],[Candidate 4]]), 0)</f>
        <v>0</v>
      </c>
      <c r="T728" s="100">
        <f>IF(AND(SamplingData[[#This Row],[Total]]&lt;&gt; 0, NOT(ISBLANK(SamplingData[[#This Row],[Candidate 5]]))),(SamplingData[[#This Row],[Total]]+SamplingData[[#This Row],[Winning Candidate]]-SamplingData[[#This Row],[Candidate 5]])/(SamplingData[[#Totals],[Winning Candidate]]-SamplingData[[#Totals],[Candidate 5]]), 0)</f>
        <v>0</v>
      </c>
      <c r="U728" s="100">
        <f>IF(AND(SamplingData[[#This Row],[Total]]&lt;&gt; 0, NOT(ISBLANK(SamplingData[[#This Row],[Candidate 6]]))),(SamplingData[[#This Row],[Total]]+SamplingData[[#This Row],[Losing Candidate]]-SamplingData[[#This Row],[Candidate 6]])/(SamplingData[[#Totals],[Winning Candidate]]-SamplingData[[#Totals],[Candidate 6]]), 0)</f>
        <v>0</v>
      </c>
      <c r="V728" s="100">
        <f>IF(AND(SamplingData[[#This Row],[Total]]&lt;&gt; 0, NOT(ISBLANK(SamplingData[[#This Row],[Candidate 7]]))),(SamplingData[[#This Row],[Total]]+SamplingData[[#This Row],[Winning Candidate]]-SamplingData[[#This Row],[Candidate 7]])/(SamplingData[[#Totals],[Winning Candidate]]-SamplingData[[#Totals],[Candidate 7]]), 0)</f>
        <v>0</v>
      </c>
      <c r="W728" s="100">
        <f>IF(AND(SamplingData[[#This Row],[Total]]&lt;&gt; 0, NOT(ISBLANK(SamplingData[[#This Row],[Candidate 8]]))),(SamplingData[[#This Row],[Total]]+SamplingData[[#This Row],[Winning Candidate]]-SamplingData[[#This Row],[Candidate 8]])/(SamplingData[[#Totals],[Winning Candidate]]-SamplingData[[#Totals],[Candidate 8]]), 0)</f>
        <v>0</v>
      </c>
      <c r="X7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00">
        <f>MAX(SamplingData[[#This Row],[Error Bound (up) - Max. possible relative overstatement - Losing Candidate]:[Error Bound (up) - Max. possible relative overstatement - Candidate 12]])</f>
        <v>5.6537990388541635E-4</v>
      </c>
      <c r="AC728" s="100">
        <f>IF(SamplingData[[#This Row],[Max Error Bound (up)]] = 0,0,SamplingData[[#This Row],[Max Error Bound (up)]]/SamplingData[[#Totals],[Max Error Bound (up)]])</f>
        <v>2.4228719108383145E-4</v>
      </c>
      <c r="AD728" s="104">
        <f>SUM($AC$5:AC728)</f>
        <v>0.20930921229742133</v>
      </c>
      <c r="AE728" s="100" t="str" cm="1">
        <f t="array" ref="AE728">IF(SamplingData[[#This Row],[up/U Selection Probability]] = 0, "Zero", TEXT(SamplingData[[#This Row],[Lower Range]], REPT("0",LEN('General Info'!$B$42))) &amp; " - " &amp; TEXT(SamplingData[[#This Row],[Upper Range]], REPT("0",LEN('General Info'!$B$42))))</f>
        <v>20907 - 20930</v>
      </c>
      <c r="AF728" s="100">
        <f>SamplingData[[#This Row],[Upper Range]]-SamplingData[[#This Row],[Span]]</f>
        <v>20906.692510633751</v>
      </c>
      <c r="AG728" s="100">
        <f>IF(ISNUMBER('General Info'!$B$42), ((SamplingData[[#This Row],[up/U Selection Probability]]) * 'General Info'!$B$44) - 1, 0)</f>
        <v>23.228719108383146</v>
      </c>
      <c r="AH728" s="100">
        <f>IF(ISNUMBER('General Info'!$B$42), (SamplingData[[#This Row],[Running (cumulative) sum]] * ('General Info'!$B$42 -'General Info'!$B$43 + 1)) + 'General Info'!$B$43 - 1, 0)</f>
        <v>20929.921229742133</v>
      </c>
      <c r="AI728" s="100" t="str">
        <f>IF(ISERROR(MATCH(SamplingData[[#This Row],[Batch by Type (p)]],SelectedPrecincts[Batch Name], 0)), "", INDEX(SelectedPrecincts[Draw], MATCH(SamplingData[[#This Row],[Batch by Type (p)]],SelectedPrecincts[Batch Name], 0)))</f>
        <v/>
      </c>
      <c r="AJ728" s="101">
        <f>IF(COUNTIF(SelectedPrecincts[Batch Name],SamplingData[[#This Row],[Batch by Type (p)]]) &lt;&gt; 0, COUNTIF(SelectedPrecincts[Batch Name],SamplingData[[#This Row],[Batch by Type (p)]]), 0)</f>
        <v>0</v>
      </c>
    </row>
    <row r="729" spans="1:36" ht="15" customHeight="1" x14ac:dyDescent="0.35">
      <c r="A729" s="98" t="s">
        <v>940</v>
      </c>
      <c r="B729" s="98">
        <v>55</v>
      </c>
      <c r="C729" s="98">
        <v>2</v>
      </c>
      <c r="D729" s="93"/>
      <c r="E729" s="93"/>
      <c r="F729" s="93"/>
      <c r="G729" s="97"/>
      <c r="H729" s="97"/>
      <c r="I729" s="93"/>
      <c r="J729" s="93"/>
      <c r="K729" s="93"/>
      <c r="L729" s="93"/>
      <c r="M729" s="93"/>
      <c r="N729" s="98">
        <v>0</v>
      </c>
      <c r="O729" s="98">
        <v>2</v>
      </c>
      <c r="P729" s="99">
        <f>SUM(SamplingData[[#This Row],[Winning Candidate]:[Under Votes]])</f>
        <v>59</v>
      </c>
      <c r="Q729" s="100">
        <f>IF(AND(SamplingData[[#This Row],[Total]]&lt;&gt; 0, NOT(ISBLANK(SamplingData[[#This Row],[Losing Candidate]]))),(SamplingData[[#This Row],[Total]]+SamplingData[[#This Row],[Winning Candidate]]-SamplingData[[#This Row],[Losing Candidate]])/(SamplingData[[#Totals],[Winning Candidate]]-SamplingData[[#Totals],[Losing Candidate]]), 0)</f>
        <v>3.5179194019537017E-3</v>
      </c>
      <c r="R729" s="100">
        <f>IF(AND(SamplingData[[#This Row],[Total]]&lt;&gt; 0, NOT(ISBLANK(SamplingData[[#This Row],[Candidate 3]]))),(SamplingData[[#This Row],[Total]]+SamplingData[[#This Row],[Winning Candidate]]-SamplingData[[#This Row],[Candidate 3]])/(SamplingData[[#Totals],[Winning Candidate]]-SamplingData[[#Totals],[Candidate 3]]), 0)</f>
        <v>0</v>
      </c>
      <c r="S729" s="100">
        <f>IF(AND(SamplingData[[#This Row],[Total]]&lt;&gt; 0, NOT(ISBLANK(SamplingData[[#This Row],[Candidate 4]]))),(SamplingData[[#This Row],[Total]]+SamplingData[[#This Row],[Winning Candidate]]-SamplingData[[#This Row],[Candidate 4]])/(SamplingData[[#Totals],[Winning Candidate]]-SamplingData[[#Totals],[Candidate 4]]), 0)</f>
        <v>0</v>
      </c>
      <c r="T729" s="100">
        <f>IF(AND(SamplingData[[#This Row],[Total]]&lt;&gt; 0, NOT(ISBLANK(SamplingData[[#This Row],[Candidate 5]]))),(SamplingData[[#This Row],[Total]]+SamplingData[[#This Row],[Winning Candidate]]-SamplingData[[#This Row],[Candidate 5]])/(SamplingData[[#Totals],[Winning Candidate]]-SamplingData[[#Totals],[Candidate 5]]), 0)</f>
        <v>0</v>
      </c>
      <c r="U729" s="100">
        <f>IF(AND(SamplingData[[#This Row],[Total]]&lt;&gt; 0, NOT(ISBLANK(SamplingData[[#This Row],[Candidate 6]]))),(SamplingData[[#This Row],[Total]]+SamplingData[[#This Row],[Losing Candidate]]-SamplingData[[#This Row],[Candidate 6]])/(SamplingData[[#Totals],[Winning Candidate]]-SamplingData[[#Totals],[Candidate 6]]), 0)</f>
        <v>0</v>
      </c>
      <c r="V729" s="100">
        <f>IF(AND(SamplingData[[#This Row],[Total]]&lt;&gt; 0, NOT(ISBLANK(SamplingData[[#This Row],[Candidate 7]]))),(SamplingData[[#This Row],[Total]]+SamplingData[[#This Row],[Winning Candidate]]-SamplingData[[#This Row],[Candidate 7]])/(SamplingData[[#Totals],[Winning Candidate]]-SamplingData[[#Totals],[Candidate 7]]), 0)</f>
        <v>0</v>
      </c>
      <c r="W729" s="100">
        <f>IF(AND(SamplingData[[#This Row],[Total]]&lt;&gt; 0, NOT(ISBLANK(SamplingData[[#This Row],[Candidate 8]]))),(SamplingData[[#This Row],[Total]]+SamplingData[[#This Row],[Winning Candidate]]-SamplingData[[#This Row],[Candidate 8]])/(SamplingData[[#Totals],[Winning Candidate]]-SamplingData[[#Totals],[Candidate 8]]), 0)</f>
        <v>0</v>
      </c>
      <c r="X7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00">
        <f>MAX(SamplingData[[#This Row],[Error Bound (up) - Max. possible relative overstatement - Losing Candidate]:[Error Bound (up) - Max. possible relative overstatement - Candidate 12]])</f>
        <v>3.5179194019537017E-3</v>
      </c>
      <c r="AC729" s="100">
        <f>IF(SamplingData[[#This Row],[Max Error Bound (up)]] = 0,0,SamplingData[[#This Row],[Max Error Bound (up)]]/SamplingData[[#Totals],[Max Error Bound (up)]])</f>
        <v>1.5075647445216178E-3</v>
      </c>
      <c r="AD729" s="104">
        <f>SUM($AC$5:AC729)</f>
        <v>0.21081677704194296</v>
      </c>
      <c r="AE729" s="100" t="str" cm="1">
        <f t="array" ref="AE729">IF(SamplingData[[#This Row],[up/U Selection Probability]] = 0, "Zero", TEXT(SamplingData[[#This Row],[Lower Range]], REPT("0",LEN('General Info'!$B$42))) &amp; " - " &amp; TEXT(SamplingData[[#This Row],[Upper Range]], REPT("0",LEN('General Info'!$B$42))))</f>
        <v>20931 - 21081</v>
      </c>
      <c r="AF729" s="100">
        <f>SamplingData[[#This Row],[Upper Range]]-SamplingData[[#This Row],[Span]]</f>
        <v>20930.921229742133</v>
      </c>
      <c r="AG729" s="100">
        <f>IF(ISNUMBER('General Info'!$B$42), ((SamplingData[[#This Row],[up/U Selection Probability]]) * 'General Info'!$B$44) - 1, 0)</f>
        <v>149.7564744521618</v>
      </c>
      <c r="AH729" s="100">
        <f>IF(ISNUMBER('General Info'!$B$42), (SamplingData[[#This Row],[Running (cumulative) sum]] * ('General Info'!$B$42 -'General Info'!$B$43 + 1)) + 'General Info'!$B$43 - 1, 0)</f>
        <v>21080.677704194295</v>
      </c>
      <c r="AI729" s="100" t="str">
        <f>IF(ISERROR(MATCH(SamplingData[[#This Row],[Batch by Type (p)]],SelectedPrecincts[Batch Name], 0)), "", INDEX(SelectedPrecincts[Draw], MATCH(SamplingData[[#This Row],[Batch by Type (p)]],SelectedPrecincts[Batch Name], 0)))</f>
        <v/>
      </c>
      <c r="AJ729" s="101">
        <f>IF(COUNTIF(SelectedPrecincts[Batch Name],SamplingData[[#This Row],[Batch by Type (p)]]) &lt;&gt; 0, COUNTIF(SelectedPrecincts[Batch Name],SamplingData[[#This Row],[Batch by Type (p)]]), 0)</f>
        <v>0</v>
      </c>
    </row>
    <row r="730" spans="1:36" ht="15" customHeight="1" x14ac:dyDescent="0.35">
      <c r="A730" s="98" t="s">
        <v>941</v>
      </c>
      <c r="B730" s="98">
        <v>39</v>
      </c>
      <c r="C730" s="98">
        <v>6</v>
      </c>
      <c r="D730" s="93"/>
      <c r="E730" s="93"/>
      <c r="F730" s="93"/>
      <c r="G730" s="97"/>
      <c r="H730" s="97"/>
      <c r="I730" s="93"/>
      <c r="J730" s="93"/>
      <c r="K730" s="93"/>
      <c r="L730" s="93"/>
      <c r="M730" s="93"/>
      <c r="N730" s="98">
        <v>0</v>
      </c>
      <c r="O730" s="98">
        <v>0</v>
      </c>
      <c r="P730" s="99">
        <f>SUM(SamplingData[[#This Row],[Winning Candidate]:[Under Votes]])</f>
        <v>45</v>
      </c>
      <c r="Q730" s="100">
        <f>IF(AND(SamplingData[[#This Row],[Total]]&lt;&gt; 0, NOT(ISBLANK(SamplingData[[#This Row],[Losing Candidate]]))),(SamplingData[[#This Row],[Total]]+SamplingData[[#This Row],[Winning Candidate]]-SamplingData[[#This Row],[Losing Candidate]])/(SamplingData[[#Totals],[Winning Candidate]]-SamplingData[[#Totals],[Losing Candidate]]), 0)</f>
        <v>2.4499795835034709E-3</v>
      </c>
      <c r="R730" s="100">
        <f>IF(AND(SamplingData[[#This Row],[Total]]&lt;&gt; 0, NOT(ISBLANK(SamplingData[[#This Row],[Candidate 3]]))),(SamplingData[[#This Row],[Total]]+SamplingData[[#This Row],[Winning Candidate]]-SamplingData[[#This Row],[Candidate 3]])/(SamplingData[[#Totals],[Winning Candidate]]-SamplingData[[#Totals],[Candidate 3]]), 0)</f>
        <v>0</v>
      </c>
      <c r="S730" s="100">
        <f>IF(AND(SamplingData[[#This Row],[Total]]&lt;&gt; 0, NOT(ISBLANK(SamplingData[[#This Row],[Candidate 4]]))),(SamplingData[[#This Row],[Total]]+SamplingData[[#This Row],[Winning Candidate]]-SamplingData[[#This Row],[Candidate 4]])/(SamplingData[[#Totals],[Winning Candidate]]-SamplingData[[#Totals],[Candidate 4]]), 0)</f>
        <v>0</v>
      </c>
      <c r="T730" s="100">
        <f>IF(AND(SamplingData[[#This Row],[Total]]&lt;&gt; 0, NOT(ISBLANK(SamplingData[[#This Row],[Candidate 5]]))),(SamplingData[[#This Row],[Total]]+SamplingData[[#This Row],[Winning Candidate]]-SamplingData[[#This Row],[Candidate 5]])/(SamplingData[[#Totals],[Winning Candidate]]-SamplingData[[#Totals],[Candidate 5]]), 0)</f>
        <v>0</v>
      </c>
      <c r="U730" s="100">
        <f>IF(AND(SamplingData[[#This Row],[Total]]&lt;&gt; 0, NOT(ISBLANK(SamplingData[[#This Row],[Candidate 6]]))),(SamplingData[[#This Row],[Total]]+SamplingData[[#This Row],[Losing Candidate]]-SamplingData[[#This Row],[Candidate 6]])/(SamplingData[[#Totals],[Winning Candidate]]-SamplingData[[#Totals],[Candidate 6]]), 0)</f>
        <v>0</v>
      </c>
      <c r="V730" s="100">
        <f>IF(AND(SamplingData[[#This Row],[Total]]&lt;&gt; 0, NOT(ISBLANK(SamplingData[[#This Row],[Candidate 7]]))),(SamplingData[[#This Row],[Total]]+SamplingData[[#This Row],[Winning Candidate]]-SamplingData[[#This Row],[Candidate 7]])/(SamplingData[[#Totals],[Winning Candidate]]-SamplingData[[#Totals],[Candidate 7]]), 0)</f>
        <v>0</v>
      </c>
      <c r="W730" s="100">
        <f>IF(AND(SamplingData[[#This Row],[Total]]&lt;&gt; 0, NOT(ISBLANK(SamplingData[[#This Row],[Candidate 8]]))),(SamplingData[[#This Row],[Total]]+SamplingData[[#This Row],[Winning Candidate]]-SamplingData[[#This Row],[Candidate 8]])/(SamplingData[[#Totals],[Winning Candidate]]-SamplingData[[#Totals],[Candidate 8]]), 0)</f>
        <v>0</v>
      </c>
      <c r="X7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00">
        <f>MAX(SamplingData[[#This Row],[Error Bound (up) - Max. possible relative overstatement - Losing Candidate]:[Error Bound (up) - Max. possible relative overstatement - Candidate 12]])</f>
        <v>2.4499795835034709E-3</v>
      </c>
      <c r="AC730" s="100">
        <f>IF(SamplingData[[#This Row],[Max Error Bound (up)]] = 0,0,SamplingData[[#This Row],[Max Error Bound (up)]]/SamplingData[[#Totals],[Max Error Bound (up)]])</f>
        <v>1.0499111613632697E-3</v>
      </c>
      <c r="AD730" s="104">
        <f>SUM($AC$5:AC730)</f>
        <v>0.21186668820330623</v>
      </c>
      <c r="AE730" s="100" t="str" cm="1">
        <f t="array" ref="AE730">IF(SamplingData[[#This Row],[up/U Selection Probability]] = 0, "Zero", TEXT(SamplingData[[#This Row],[Lower Range]], REPT("0",LEN('General Info'!$B$42))) &amp; " - " &amp; TEXT(SamplingData[[#This Row],[Upper Range]], REPT("0",LEN('General Info'!$B$42))))</f>
        <v>21082 - 21186</v>
      </c>
      <c r="AF730" s="100">
        <f>SamplingData[[#This Row],[Upper Range]]-SamplingData[[#This Row],[Span]]</f>
        <v>21081.677704194295</v>
      </c>
      <c r="AG730" s="100">
        <f>IF(ISNUMBER('General Info'!$B$42), ((SamplingData[[#This Row],[up/U Selection Probability]]) * 'General Info'!$B$44) - 1, 0)</f>
        <v>103.99111613632697</v>
      </c>
      <c r="AH730" s="100">
        <f>IF(ISNUMBER('General Info'!$B$42), (SamplingData[[#This Row],[Running (cumulative) sum]] * ('General Info'!$B$42 -'General Info'!$B$43 + 1)) + 'General Info'!$B$43 - 1, 0)</f>
        <v>21185.668820330622</v>
      </c>
      <c r="AI730" s="100" t="str">
        <f>IF(ISERROR(MATCH(SamplingData[[#This Row],[Batch by Type (p)]],SelectedPrecincts[Batch Name], 0)), "", INDEX(SelectedPrecincts[Draw], MATCH(SamplingData[[#This Row],[Batch by Type (p)]],SelectedPrecincts[Batch Name], 0)))</f>
        <v/>
      </c>
      <c r="AJ730" s="101">
        <f>IF(COUNTIF(SelectedPrecincts[Batch Name],SamplingData[[#This Row],[Batch by Type (p)]]) &lt;&gt; 0, COUNTIF(SelectedPrecincts[Batch Name],SamplingData[[#This Row],[Batch by Type (p)]]), 0)</f>
        <v>0</v>
      </c>
    </row>
    <row r="731" spans="1:36" ht="15" customHeight="1" x14ac:dyDescent="0.35">
      <c r="A731" s="98" t="s">
        <v>942</v>
      </c>
      <c r="B731" s="98">
        <v>53</v>
      </c>
      <c r="C731" s="98">
        <v>7</v>
      </c>
      <c r="D731" s="93"/>
      <c r="E731" s="93"/>
      <c r="F731" s="93"/>
      <c r="G731" s="97"/>
      <c r="H731" s="97"/>
      <c r="I731" s="93"/>
      <c r="J731" s="93"/>
      <c r="K731" s="93"/>
      <c r="L731" s="93"/>
      <c r="M731" s="93"/>
      <c r="N731" s="98">
        <v>0</v>
      </c>
      <c r="O731" s="98">
        <v>0</v>
      </c>
      <c r="P731" s="99">
        <f>SUM(SamplingData[[#This Row],[Winning Candidate]:[Under Votes]])</f>
        <v>60</v>
      </c>
      <c r="Q731" s="100">
        <f>IF(AND(SamplingData[[#This Row],[Total]]&lt;&gt; 0, NOT(ISBLANK(SamplingData[[#This Row],[Losing Candidate]]))),(SamplingData[[#This Row],[Total]]+SamplingData[[#This Row],[Winning Candidate]]-SamplingData[[#This Row],[Losing Candidate]])/(SamplingData[[#Totals],[Winning Candidate]]-SamplingData[[#Totals],[Losing Candidate]]), 0)</f>
        <v>3.3294594339918961E-3</v>
      </c>
      <c r="R731" s="100">
        <f>IF(AND(SamplingData[[#This Row],[Total]]&lt;&gt; 0, NOT(ISBLANK(SamplingData[[#This Row],[Candidate 3]]))),(SamplingData[[#This Row],[Total]]+SamplingData[[#This Row],[Winning Candidate]]-SamplingData[[#This Row],[Candidate 3]])/(SamplingData[[#Totals],[Winning Candidate]]-SamplingData[[#Totals],[Candidate 3]]), 0)</f>
        <v>0</v>
      </c>
      <c r="S731" s="100">
        <f>IF(AND(SamplingData[[#This Row],[Total]]&lt;&gt; 0, NOT(ISBLANK(SamplingData[[#This Row],[Candidate 4]]))),(SamplingData[[#This Row],[Total]]+SamplingData[[#This Row],[Winning Candidate]]-SamplingData[[#This Row],[Candidate 4]])/(SamplingData[[#Totals],[Winning Candidate]]-SamplingData[[#Totals],[Candidate 4]]), 0)</f>
        <v>0</v>
      </c>
      <c r="T731" s="100">
        <f>IF(AND(SamplingData[[#This Row],[Total]]&lt;&gt; 0, NOT(ISBLANK(SamplingData[[#This Row],[Candidate 5]]))),(SamplingData[[#This Row],[Total]]+SamplingData[[#This Row],[Winning Candidate]]-SamplingData[[#This Row],[Candidate 5]])/(SamplingData[[#Totals],[Winning Candidate]]-SamplingData[[#Totals],[Candidate 5]]), 0)</f>
        <v>0</v>
      </c>
      <c r="U731" s="100">
        <f>IF(AND(SamplingData[[#This Row],[Total]]&lt;&gt; 0, NOT(ISBLANK(SamplingData[[#This Row],[Candidate 6]]))),(SamplingData[[#This Row],[Total]]+SamplingData[[#This Row],[Losing Candidate]]-SamplingData[[#This Row],[Candidate 6]])/(SamplingData[[#Totals],[Winning Candidate]]-SamplingData[[#Totals],[Candidate 6]]), 0)</f>
        <v>0</v>
      </c>
      <c r="V731" s="100">
        <f>IF(AND(SamplingData[[#This Row],[Total]]&lt;&gt; 0, NOT(ISBLANK(SamplingData[[#This Row],[Candidate 7]]))),(SamplingData[[#This Row],[Total]]+SamplingData[[#This Row],[Winning Candidate]]-SamplingData[[#This Row],[Candidate 7]])/(SamplingData[[#Totals],[Winning Candidate]]-SamplingData[[#Totals],[Candidate 7]]), 0)</f>
        <v>0</v>
      </c>
      <c r="W731" s="100">
        <f>IF(AND(SamplingData[[#This Row],[Total]]&lt;&gt; 0, NOT(ISBLANK(SamplingData[[#This Row],[Candidate 8]]))),(SamplingData[[#This Row],[Total]]+SamplingData[[#This Row],[Winning Candidate]]-SamplingData[[#This Row],[Candidate 8]])/(SamplingData[[#Totals],[Winning Candidate]]-SamplingData[[#Totals],[Candidate 8]]), 0)</f>
        <v>0</v>
      </c>
      <c r="X7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00">
        <f>MAX(SamplingData[[#This Row],[Error Bound (up) - Max. possible relative overstatement - Losing Candidate]:[Error Bound (up) - Max. possible relative overstatement - Candidate 12]])</f>
        <v>3.3294594339918961E-3</v>
      </c>
      <c r="AC731" s="100">
        <f>IF(SamplingData[[#This Row],[Max Error Bound (up)]] = 0,0,SamplingData[[#This Row],[Max Error Bound (up)]]/SamplingData[[#Totals],[Max Error Bound (up)]])</f>
        <v>1.426802347493674E-3</v>
      </c>
      <c r="AD731" s="104">
        <f>SUM($AC$5:AC731)</f>
        <v>0.21329349055079991</v>
      </c>
      <c r="AE731" s="100" t="str" cm="1">
        <f t="array" ref="AE731">IF(SamplingData[[#This Row],[up/U Selection Probability]] = 0, "Zero", TEXT(SamplingData[[#This Row],[Lower Range]], REPT("0",LEN('General Info'!$B$42))) &amp; " - " &amp; TEXT(SamplingData[[#This Row],[Upper Range]], REPT("0",LEN('General Info'!$B$42))))</f>
        <v>21187 - 21328</v>
      </c>
      <c r="AF731" s="100">
        <f>SamplingData[[#This Row],[Upper Range]]-SamplingData[[#This Row],[Span]]</f>
        <v>21186.668820330622</v>
      </c>
      <c r="AG731" s="100">
        <f>IF(ISNUMBER('General Info'!$B$42), ((SamplingData[[#This Row],[up/U Selection Probability]]) * 'General Info'!$B$44) - 1, 0)</f>
        <v>141.6802347493674</v>
      </c>
      <c r="AH731" s="100">
        <f>IF(ISNUMBER('General Info'!$B$42), (SamplingData[[#This Row],[Running (cumulative) sum]] * ('General Info'!$B$42 -'General Info'!$B$43 + 1)) + 'General Info'!$B$43 - 1, 0)</f>
        <v>21328.349055079991</v>
      </c>
      <c r="AI731" s="100" t="str">
        <f>IF(ISERROR(MATCH(SamplingData[[#This Row],[Batch by Type (p)]],SelectedPrecincts[Batch Name], 0)), "", INDEX(SelectedPrecincts[Draw], MATCH(SamplingData[[#This Row],[Batch by Type (p)]],SelectedPrecincts[Batch Name], 0)))</f>
        <v/>
      </c>
      <c r="AJ731" s="101">
        <f>IF(COUNTIF(SelectedPrecincts[Batch Name],SamplingData[[#This Row],[Batch by Type (p)]]) &lt;&gt; 0, COUNTIF(SelectedPrecincts[Batch Name],SamplingData[[#This Row],[Batch by Type (p)]]), 0)</f>
        <v>0</v>
      </c>
    </row>
    <row r="732" spans="1:36" ht="15" customHeight="1" x14ac:dyDescent="0.35">
      <c r="A732" s="98" t="s">
        <v>943</v>
      </c>
      <c r="B732" s="98">
        <v>44</v>
      </c>
      <c r="C732" s="98">
        <v>4</v>
      </c>
      <c r="D732" s="93"/>
      <c r="E732" s="93"/>
      <c r="F732" s="93"/>
      <c r="G732" s="97"/>
      <c r="H732" s="97"/>
      <c r="I732" s="93"/>
      <c r="J732" s="93"/>
      <c r="K732" s="93"/>
      <c r="L732" s="93"/>
      <c r="M732" s="93"/>
      <c r="N732" s="98">
        <v>0</v>
      </c>
      <c r="O732" s="98">
        <v>0</v>
      </c>
      <c r="P732" s="99">
        <f>SUM(SamplingData[[#This Row],[Winning Candidate]:[Under Votes]])</f>
        <v>48</v>
      </c>
      <c r="Q732" s="100">
        <f>IF(AND(SamplingData[[#This Row],[Total]]&lt;&gt; 0, NOT(ISBLANK(SamplingData[[#This Row],[Losing Candidate]]))),(SamplingData[[#This Row],[Total]]+SamplingData[[#This Row],[Winning Candidate]]-SamplingData[[#This Row],[Losing Candidate]])/(SamplingData[[#Totals],[Winning Candidate]]-SamplingData[[#Totals],[Losing Candidate]]), 0)</f>
        <v>2.76407953010648E-3</v>
      </c>
      <c r="R732" s="100">
        <f>IF(AND(SamplingData[[#This Row],[Total]]&lt;&gt; 0, NOT(ISBLANK(SamplingData[[#This Row],[Candidate 3]]))),(SamplingData[[#This Row],[Total]]+SamplingData[[#This Row],[Winning Candidate]]-SamplingData[[#This Row],[Candidate 3]])/(SamplingData[[#Totals],[Winning Candidate]]-SamplingData[[#Totals],[Candidate 3]]), 0)</f>
        <v>0</v>
      </c>
      <c r="S732" s="100">
        <f>IF(AND(SamplingData[[#This Row],[Total]]&lt;&gt; 0, NOT(ISBLANK(SamplingData[[#This Row],[Candidate 4]]))),(SamplingData[[#This Row],[Total]]+SamplingData[[#This Row],[Winning Candidate]]-SamplingData[[#This Row],[Candidate 4]])/(SamplingData[[#Totals],[Winning Candidate]]-SamplingData[[#Totals],[Candidate 4]]), 0)</f>
        <v>0</v>
      </c>
      <c r="T732" s="100">
        <f>IF(AND(SamplingData[[#This Row],[Total]]&lt;&gt; 0, NOT(ISBLANK(SamplingData[[#This Row],[Candidate 5]]))),(SamplingData[[#This Row],[Total]]+SamplingData[[#This Row],[Winning Candidate]]-SamplingData[[#This Row],[Candidate 5]])/(SamplingData[[#Totals],[Winning Candidate]]-SamplingData[[#Totals],[Candidate 5]]), 0)</f>
        <v>0</v>
      </c>
      <c r="U732" s="100">
        <f>IF(AND(SamplingData[[#This Row],[Total]]&lt;&gt; 0, NOT(ISBLANK(SamplingData[[#This Row],[Candidate 6]]))),(SamplingData[[#This Row],[Total]]+SamplingData[[#This Row],[Losing Candidate]]-SamplingData[[#This Row],[Candidate 6]])/(SamplingData[[#Totals],[Winning Candidate]]-SamplingData[[#Totals],[Candidate 6]]), 0)</f>
        <v>0</v>
      </c>
      <c r="V732" s="100">
        <f>IF(AND(SamplingData[[#This Row],[Total]]&lt;&gt; 0, NOT(ISBLANK(SamplingData[[#This Row],[Candidate 7]]))),(SamplingData[[#This Row],[Total]]+SamplingData[[#This Row],[Winning Candidate]]-SamplingData[[#This Row],[Candidate 7]])/(SamplingData[[#Totals],[Winning Candidate]]-SamplingData[[#Totals],[Candidate 7]]), 0)</f>
        <v>0</v>
      </c>
      <c r="W732" s="100">
        <f>IF(AND(SamplingData[[#This Row],[Total]]&lt;&gt; 0, NOT(ISBLANK(SamplingData[[#This Row],[Candidate 8]]))),(SamplingData[[#This Row],[Total]]+SamplingData[[#This Row],[Winning Candidate]]-SamplingData[[#This Row],[Candidate 8]])/(SamplingData[[#Totals],[Winning Candidate]]-SamplingData[[#Totals],[Candidate 8]]), 0)</f>
        <v>0</v>
      </c>
      <c r="X7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00">
        <f>MAX(SamplingData[[#This Row],[Error Bound (up) - Max. possible relative overstatement - Losing Candidate]:[Error Bound (up) - Max. possible relative overstatement - Candidate 12]])</f>
        <v>2.76407953010648E-3</v>
      </c>
      <c r="AC732" s="100">
        <f>IF(SamplingData[[#This Row],[Max Error Bound (up)]] = 0,0,SamplingData[[#This Row],[Max Error Bound (up)]]/SamplingData[[#Totals],[Max Error Bound (up)]])</f>
        <v>1.1845151564098427E-3</v>
      </c>
      <c r="AD732" s="104">
        <f>SUM($AC$5:AC732)</f>
        <v>0.21447800570720976</v>
      </c>
      <c r="AE732" s="100" t="str" cm="1">
        <f t="array" ref="AE732">IF(SamplingData[[#This Row],[up/U Selection Probability]] = 0, "Zero", TEXT(SamplingData[[#This Row],[Lower Range]], REPT("0",LEN('General Info'!$B$42))) &amp; " - " &amp; TEXT(SamplingData[[#This Row],[Upper Range]], REPT("0",LEN('General Info'!$B$42))))</f>
        <v>21329 - 21447</v>
      </c>
      <c r="AF732" s="100">
        <f>SamplingData[[#This Row],[Upper Range]]-SamplingData[[#This Row],[Span]]</f>
        <v>21329.349055079994</v>
      </c>
      <c r="AG732" s="100">
        <f>IF(ISNUMBER('General Info'!$B$42), ((SamplingData[[#This Row],[up/U Selection Probability]]) * 'General Info'!$B$44) - 1, 0)</f>
        <v>117.45151564098427</v>
      </c>
      <c r="AH732" s="100">
        <f>IF(ISNUMBER('General Info'!$B$42), (SamplingData[[#This Row],[Running (cumulative) sum]] * ('General Info'!$B$42 -'General Info'!$B$43 + 1)) + 'General Info'!$B$43 - 1, 0)</f>
        <v>21446.800570720978</v>
      </c>
      <c r="AI732" s="100" t="str">
        <f>IF(ISERROR(MATCH(SamplingData[[#This Row],[Batch by Type (p)]],SelectedPrecincts[Batch Name], 0)), "", INDEX(SelectedPrecincts[Draw], MATCH(SamplingData[[#This Row],[Batch by Type (p)]],SelectedPrecincts[Batch Name], 0)))</f>
        <v/>
      </c>
      <c r="AJ732" s="101">
        <f>IF(COUNTIF(SelectedPrecincts[Batch Name],SamplingData[[#This Row],[Batch by Type (p)]]) &lt;&gt; 0, COUNTIF(SelectedPrecincts[Batch Name],SamplingData[[#This Row],[Batch by Type (p)]]), 0)</f>
        <v>0</v>
      </c>
    </row>
    <row r="733" spans="1:36" ht="15" customHeight="1" x14ac:dyDescent="0.35">
      <c r="A733" s="98" t="s">
        <v>944</v>
      </c>
      <c r="B733" s="98">
        <v>16</v>
      </c>
      <c r="C733" s="98">
        <v>4</v>
      </c>
      <c r="D733" s="93"/>
      <c r="E733" s="93"/>
      <c r="F733" s="93"/>
      <c r="G733" s="97"/>
      <c r="H733" s="97"/>
      <c r="I733" s="93"/>
      <c r="J733" s="93"/>
      <c r="K733" s="93"/>
      <c r="L733" s="93"/>
      <c r="M733" s="93"/>
      <c r="N733" s="98">
        <v>0</v>
      </c>
      <c r="O733" s="98">
        <v>0</v>
      </c>
      <c r="P733" s="99">
        <f>SUM(SamplingData[[#This Row],[Winning Candidate]:[Under Votes]])</f>
        <v>20</v>
      </c>
      <c r="Q733"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733" s="100">
        <f>IF(AND(SamplingData[[#This Row],[Total]]&lt;&gt; 0, NOT(ISBLANK(SamplingData[[#This Row],[Candidate 3]]))),(SamplingData[[#This Row],[Total]]+SamplingData[[#This Row],[Winning Candidate]]-SamplingData[[#This Row],[Candidate 3]])/(SamplingData[[#Totals],[Winning Candidate]]-SamplingData[[#Totals],[Candidate 3]]), 0)</f>
        <v>0</v>
      </c>
      <c r="S733" s="100">
        <f>IF(AND(SamplingData[[#This Row],[Total]]&lt;&gt; 0, NOT(ISBLANK(SamplingData[[#This Row],[Candidate 4]]))),(SamplingData[[#This Row],[Total]]+SamplingData[[#This Row],[Winning Candidate]]-SamplingData[[#This Row],[Candidate 4]])/(SamplingData[[#Totals],[Winning Candidate]]-SamplingData[[#Totals],[Candidate 4]]), 0)</f>
        <v>0</v>
      </c>
      <c r="T733" s="100">
        <f>IF(AND(SamplingData[[#This Row],[Total]]&lt;&gt; 0, NOT(ISBLANK(SamplingData[[#This Row],[Candidate 5]]))),(SamplingData[[#This Row],[Total]]+SamplingData[[#This Row],[Winning Candidate]]-SamplingData[[#This Row],[Candidate 5]])/(SamplingData[[#Totals],[Winning Candidate]]-SamplingData[[#Totals],[Candidate 5]]), 0)</f>
        <v>0</v>
      </c>
      <c r="U733" s="100">
        <f>IF(AND(SamplingData[[#This Row],[Total]]&lt;&gt; 0, NOT(ISBLANK(SamplingData[[#This Row],[Candidate 6]]))),(SamplingData[[#This Row],[Total]]+SamplingData[[#This Row],[Losing Candidate]]-SamplingData[[#This Row],[Candidate 6]])/(SamplingData[[#Totals],[Winning Candidate]]-SamplingData[[#Totals],[Candidate 6]]), 0)</f>
        <v>0</v>
      </c>
      <c r="V733" s="100">
        <f>IF(AND(SamplingData[[#This Row],[Total]]&lt;&gt; 0, NOT(ISBLANK(SamplingData[[#This Row],[Candidate 7]]))),(SamplingData[[#This Row],[Total]]+SamplingData[[#This Row],[Winning Candidate]]-SamplingData[[#This Row],[Candidate 7]])/(SamplingData[[#Totals],[Winning Candidate]]-SamplingData[[#Totals],[Candidate 7]]), 0)</f>
        <v>0</v>
      </c>
      <c r="W733" s="100">
        <f>IF(AND(SamplingData[[#This Row],[Total]]&lt;&gt; 0, NOT(ISBLANK(SamplingData[[#This Row],[Candidate 8]]))),(SamplingData[[#This Row],[Total]]+SamplingData[[#This Row],[Winning Candidate]]-SamplingData[[#This Row],[Candidate 8]])/(SamplingData[[#Totals],[Winning Candidate]]-SamplingData[[#Totals],[Candidate 8]]), 0)</f>
        <v>0</v>
      </c>
      <c r="X7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00">
        <f>MAX(SamplingData[[#This Row],[Error Bound (up) - Max. possible relative overstatement - Losing Candidate]:[Error Bound (up) - Max. possible relative overstatement - Candidate 12]])</f>
        <v>1.005119829129629E-3</v>
      </c>
      <c r="AC733" s="100">
        <f>IF(SamplingData[[#This Row],[Max Error Bound (up)]] = 0,0,SamplingData[[#This Row],[Max Error Bound (up)]]/SamplingData[[#Totals],[Max Error Bound (up)]])</f>
        <v>4.3073278414903365E-4</v>
      </c>
      <c r="AD733" s="104">
        <f>SUM($AC$5:AC733)</f>
        <v>0.2149087384913588</v>
      </c>
      <c r="AE733" s="100" t="str" cm="1">
        <f t="array" ref="AE733">IF(SamplingData[[#This Row],[up/U Selection Probability]] = 0, "Zero", TEXT(SamplingData[[#This Row],[Lower Range]], REPT("0",LEN('General Info'!$B$42))) &amp; " - " &amp; TEXT(SamplingData[[#This Row],[Upper Range]], REPT("0",LEN('General Info'!$B$42))))</f>
        <v>21448 - 21490</v>
      </c>
      <c r="AF733" s="100">
        <f>SamplingData[[#This Row],[Upper Range]]-SamplingData[[#This Row],[Span]]</f>
        <v>21447.800570720978</v>
      </c>
      <c r="AG733" s="100">
        <f>IF(ISNUMBER('General Info'!$B$42), ((SamplingData[[#This Row],[up/U Selection Probability]]) * 'General Info'!$B$44) - 1, 0)</f>
        <v>42.073278414903363</v>
      </c>
      <c r="AH733" s="100">
        <f>IF(ISNUMBER('General Info'!$B$42), (SamplingData[[#This Row],[Running (cumulative) sum]] * ('General Info'!$B$42 -'General Info'!$B$43 + 1)) + 'General Info'!$B$43 - 1, 0)</f>
        <v>21489.873849135882</v>
      </c>
      <c r="AI733" s="100" t="str">
        <f>IF(ISERROR(MATCH(SamplingData[[#This Row],[Batch by Type (p)]],SelectedPrecincts[Batch Name], 0)), "", INDEX(SelectedPrecincts[Draw], MATCH(SamplingData[[#This Row],[Batch by Type (p)]],SelectedPrecincts[Batch Name], 0)))</f>
        <v/>
      </c>
      <c r="AJ733" s="101">
        <f>IF(COUNTIF(SelectedPrecincts[Batch Name],SamplingData[[#This Row],[Batch by Type (p)]]) &lt;&gt; 0, COUNTIF(SelectedPrecincts[Batch Name],SamplingData[[#This Row],[Batch by Type (p)]]), 0)</f>
        <v>0</v>
      </c>
    </row>
    <row r="734" spans="1:36" ht="15" customHeight="1" x14ac:dyDescent="0.35">
      <c r="A734" s="98" t="s">
        <v>945</v>
      </c>
      <c r="B734" s="98">
        <v>47</v>
      </c>
      <c r="C734" s="98">
        <v>11</v>
      </c>
      <c r="D734" s="93"/>
      <c r="E734" s="93"/>
      <c r="F734" s="93"/>
      <c r="G734" s="97"/>
      <c r="H734" s="97"/>
      <c r="I734" s="93"/>
      <c r="J734" s="93"/>
      <c r="K734" s="93"/>
      <c r="L734" s="93"/>
      <c r="M734" s="93"/>
      <c r="N734" s="98">
        <v>0</v>
      </c>
      <c r="O734" s="98">
        <v>1</v>
      </c>
      <c r="P734" s="99">
        <f>SUM(SamplingData[[#This Row],[Winning Candidate]:[Under Votes]])</f>
        <v>59</v>
      </c>
      <c r="Q734" s="100">
        <f>IF(AND(SamplingData[[#This Row],[Total]]&lt;&gt; 0, NOT(ISBLANK(SamplingData[[#This Row],[Losing Candidate]]))),(SamplingData[[#This Row],[Total]]+SamplingData[[#This Row],[Winning Candidate]]-SamplingData[[#This Row],[Losing Candidate]])/(SamplingData[[#Totals],[Winning Candidate]]-SamplingData[[#Totals],[Losing Candidate]]), 0)</f>
        <v>2.9839494927285863E-3</v>
      </c>
      <c r="R734" s="100">
        <f>IF(AND(SamplingData[[#This Row],[Total]]&lt;&gt; 0, NOT(ISBLANK(SamplingData[[#This Row],[Candidate 3]]))),(SamplingData[[#This Row],[Total]]+SamplingData[[#This Row],[Winning Candidate]]-SamplingData[[#This Row],[Candidate 3]])/(SamplingData[[#Totals],[Winning Candidate]]-SamplingData[[#Totals],[Candidate 3]]), 0)</f>
        <v>0</v>
      </c>
      <c r="S734" s="100">
        <f>IF(AND(SamplingData[[#This Row],[Total]]&lt;&gt; 0, NOT(ISBLANK(SamplingData[[#This Row],[Candidate 4]]))),(SamplingData[[#This Row],[Total]]+SamplingData[[#This Row],[Winning Candidate]]-SamplingData[[#This Row],[Candidate 4]])/(SamplingData[[#Totals],[Winning Candidate]]-SamplingData[[#Totals],[Candidate 4]]), 0)</f>
        <v>0</v>
      </c>
      <c r="T734" s="100">
        <f>IF(AND(SamplingData[[#This Row],[Total]]&lt;&gt; 0, NOT(ISBLANK(SamplingData[[#This Row],[Candidate 5]]))),(SamplingData[[#This Row],[Total]]+SamplingData[[#This Row],[Winning Candidate]]-SamplingData[[#This Row],[Candidate 5]])/(SamplingData[[#Totals],[Winning Candidate]]-SamplingData[[#Totals],[Candidate 5]]), 0)</f>
        <v>0</v>
      </c>
      <c r="U734" s="100">
        <f>IF(AND(SamplingData[[#This Row],[Total]]&lt;&gt; 0, NOT(ISBLANK(SamplingData[[#This Row],[Candidate 6]]))),(SamplingData[[#This Row],[Total]]+SamplingData[[#This Row],[Losing Candidate]]-SamplingData[[#This Row],[Candidate 6]])/(SamplingData[[#Totals],[Winning Candidate]]-SamplingData[[#Totals],[Candidate 6]]), 0)</f>
        <v>0</v>
      </c>
      <c r="V734" s="100">
        <f>IF(AND(SamplingData[[#This Row],[Total]]&lt;&gt; 0, NOT(ISBLANK(SamplingData[[#This Row],[Candidate 7]]))),(SamplingData[[#This Row],[Total]]+SamplingData[[#This Row],[Winning Candidate]]-SamplingData[[#This Row],[Candidate 7]])/(SamplingData[[#Totals],[Winning Candidate]]-SamplingData[[#Totals],[Candidate 7]]), 0)</f>
        <v>0</v>
      </c>
      <c r="W734" s="100">
        <f>IF(AND(SamplingData[[#This Row],[Total]]&lt;&gt; 0, NOT(ISBLANK(SamplingData[[#This Row],[Candidate 8]]))),(SamplingData[[#This Row],[Total]]+SamplingData[[#This Row],[Winning Candidate]]-SamplingData[[#This Row],[Candidate 8]])/(SamplingData[[#Totals],[Winning Candidate]]-SamplingData[[#Totals],[Candidate 8]]), 0)</f>
        <v>0</v>
      </c>
      <c r="X7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00">
        <f>MAX(SamplingData[[#This Row],[Error Bound (up) - Max. possible relative overstatement - Losing Candidate]:[Error Bound (up) - Max. possible relative overstatement - Candidate 12]])</f>
        <v>2.9839494927285863E-3</v>
      </c>
      <c r="AC734" s="100">
        <f>IF(SamplingData[[#This Row],[Max Error Bound (up)]] = 0,0,SamplingData[[#This Row],[Max Error Bound (up)]]/SamplingData[[#Totals],[Max Error Bound (up)]])</f>
        <v>1.2787379529424438E-3</v>
      </c>
      <c r="AD734" s="104">
        <f>SUM($AC$5:AC734)</f>
        <v>0.21618747644430125</v>
      </c>
      <c r="AE734" s="100" t="str" cm="1">
        <f t="array" ref="AE734">IF(SamplingData[[#This Row],[up/U Selection Probability]] = 0, "Zero", TEXT(SamplingData[[#This Row],[Lower Range]], REPT("0",LEN('General Info'!$B$42))) &amp; " - " &amp; TEXT(SamplingData[[#This Row],[Upper Range]], REPT("0",LEN('General Info'!$B$42))))</f>
        <v>21491 - 21618</v>
      </c>
      <c r="AF734" s="100">
        <f>SamplingData[[#This Row],[Upper Range]]-SamplingData[[#This Row],[Span]]</f>
        <v>21490.873849135882</v>
      </c>
      <c r="AG734" s="100">
        <f>IF(ISNUMBER('General Info'!$B$42), ((SamplingData[[#This Row],[up/U Selection Probability]]) * 'General Info'!$B$44) - 1, 0)</f>
        <v>126.87379529424437</v>
      </c>
      <c r="AH734" s="100">
        <f>IF(ISNUMBER('General Info'!$B$42), (SamplingData[[#This Row],[Running (cumulative) sum]] * ('General Info'!$B$42 -'General Info'!$B$43 + 1)) + 'General Info'!$B$43 - 1, 0)</f>
        <v>21617.747644430125</v>
      </c>
      <c r="AI734" s="100" t="str">
        <f>IF(ISERROR(MATCH(SamplingData[[#This Row],[Batch by Type (p)]],SelectedPrecincts[Batch Name], 0)), "", INDEX(SelectedPrecincts[Draw], MATCH(SamplingData[[#This Row],[Batch by Type (p)]],SelectedPrecincts[Batch Name], 0)))</f>
        <v/>
      </c>
      <c r="AJ734" s="101">
        <f>IF(COUNTIF(SelectedPrecincts[Batch Name],SamplingData[[#This Row],[Batch by Type (p)]]) &lt;&gt; 0, COUNTIF(SelectedPrecincts[Batch Name],SamplingData[[#This Row],[Batch by Type (p)]]), 0)</f>
        <v>0</v>
      </c>
    </row>
    <row r="735" spans="1:36" ht="15" customHeight="1" x14ac:dyDescent="0.35">
      <c r="A735" s="98" t="s">
        <v>946</v>
      </c>
      <c r="B735" s="98">
        <v>47</v>
      </c>
      <c r="C735" s="98">
        <v>5</v>
      </c>
      <c r="D735" s="93"/>
      <c r="E735" s="93"/>
      <c r="F735" s="93"/>
      <c r="G735" s="97"/>
      <c r="H735" s="97"/>
      <c r="I735" s="93"/>
      <c r="J735" s="93"/>
      <c r="K735" s="93"/>
      <c r="L735" s="93"/>
      <c r="M735" s="93"/>
      <c r="N735" s="98">
        <v>0</v>
      </c>
      <c r="O735" s="98">
        <v>0</v>
      </c>
      <c r="P735" s="99">
        <f>SUM(SamplingData[[#This Row],[Winning Candidate]:[Under Votes]])</f>
        <v>52</v>
      </c>
      <c r="Q735" s="100">
        <f>IF(AND(SamplingData[[#This Row],[Total]]&lt;&gt; 0, NOT(ISBLANK(SamplingData[[#This Row],[Losing Candidate]]))),(SamplingData[[#This Row],[Total]]+SamplingData[[#This Row],[Winning Candidate]]-SamplingData[[#This Row],[Losing Candidate]])/(SamplingData[[#Totals],[Winning Candidate]]-SamplingData[[#Totals],[Losing Candidate]]), 0)</f>
        <v>2.9525394980682855E-3</v>
      </c>
      <c r="R735" s="100">
        <f>IF(AND(SamplingData[[#This Row],[Total]]&lt;&gt; 0, NOT(ISBLANK(SamplingData[[#This Row],[Candidate 3]]))),(SamplingData[[#This Row],[Total]]+SamplingData[[#This Row],[Winning Candidate]]-SamplingData[[#This Row],[Candidate 3]])/(SamplingData[[#Totals],[Winning Candidate]]-SamplingData[[#Totals],[Candidate 3]]), 0)</f>
        <v>0</v>
      </c>
      <c r="S735" s="100">
        <f>IF(AND(SamplingData[[#This Row],[Total]]&lt;&gt; 0, NOT(ISBLANK(SamplingData[[#This Row],[Candidate 4]]))),(SamplingData[[#This Row],[Total]]+SamplingData[[#This Row],[Winning Candidate]]-SamplingData[[#This Row],[Candidate 4]])/(SamplingData[[#Totals],[Winning Candidate]]-SamplingData[[#Totals],[Candidate 4]]), 0)</f>
        <v>0</v>
      </c>
      <c r="T735" s="100">
        <f>IF(AND(SamplingData[[#This Row],[Total]]&lt;&gt; 0, NOT(ISBLANK(SamplingData[[#This Row],[Candidate 5]]))),(SamplingData[[#This Row],[Total]]+SamplingData[[#This Row],[Winning Candidate]]-SamplingData[[#This Row],[Candidate 5]])/(SamplingData[[#Totals],[Winning Candidate]]-SamplingData[[#Totals],[Candidate 5]]), 0)</f>
        <v>0</v>
      </c>
      <c r="U735" s="100">
        <f>IF(AND(SamplingData[[#This Row],[Total]]&lt;&gt; 0, NOT(ISBLANK(SamplingData[[#This Row],[Candidate 6]]))),(SamplingData[[#This Row],[Total]]+SamplingData[[#This Row],[Losing Candidate]]-SamplingData[[#This Row],[Candidate 6]])/(SamplingData[[#Totals],[Winning Candidate]]-SamplingData[[#Totals],[Candidate 6]]), 0)</f>
        <v>0</v>
      </c>
      <c r="V735" s="100">
        <f>IF(AND(SamplingData[[#This Row],[Total]]&lt;&gt; 0, NOT(ISBLANK(SamplingData[[#This Row],[Candidate 7]]))),(SamplingData[[#This Row],[Total]]+SamplingData[[#This Row],[Winning Candidate]]-SamplingData[[#This Row],[Candidate 7]])/(SamplingData[[#Totals],[Winning Candidate]]-SamplingData[[#Totals],[Candidate 7]]), 0)</f>
        <v>0</v>
      </c>
      <c r="W735" s="100">
        <f>IF(AND(SamplingData[[#This Row],[Total]]&lt;&gt; 0, NOT(ISBLANK(SamplingData[[#This Row],[Candidate 8]]))),(SamplingData[[#This Row],[Total]]+SamplingData[[#This Row],[Winning Candidate]]-SamplingData[[#This Row],[Candidate 8]])/(SamplingData[[#Totals],[Winning Candidate]]-SamplingData[[#Totals],[Candidate 8]]), 0)</f>
        <v>0</v>
      </c>
      <c r="X7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00">
        <f>MAX(SamplingData[[#This Row],[Error Bound (up) - Max. possible relative overstatement - Losing Candidate]:[Error Bound (up) - Max. possible relative overstatement - Candidate 12]])</f>
        <v>2.9525394980682855E-3</v>
      </c>
      <c r="AC735" s="100">
        <f>IF(SamplingData[[#This Row],[Max Error Bound (up)]] = 0,0,SamplingData[[#This Row],[Max Error Bound (up)]]/SamplingData[[#Totals],[Max Error Bound (up)]])</f>
        <v>1.2652775534377865E-3</v>
      </c>
      <c r="AD735" s="104">
        <f>SUM($AC$5:AC735)</f>
        <v>0.21745275399773903</v>
      </c>
      <c r="AE735" s="100" t="str" cm="1">
        <f t="array" ref="AE735">IF(SamplingData[[#This Row],[up/U Selection Probability]] = 0, "Zero", TEXT(SamplingData[[#This Row],[Lower Range]], REPT("0",LEN('General Info'!$B$42))) &amp; " - " &amp; TEXT(SamplingData[[#This Row],[Upper Range]], REPT("0",LEN('General Info'!$B$42))))</f>
        <v>21619 - 21744</v>
      </c>
      <c r="AF735" s="100">
        <f>SamplingData[[#This Row],[Upper Range]]-SamplingData[[#This Row],[Span]]</f>
        <v>21618.747644430125</v>
      </c>
      <c r="AG735" s="100">
        <f>IF(ISNUMBER('General Info'!$B$42), ((SamplingData[[#This Row],[up/U Selection Probability]]) * 'General Info'!$B$44) - 1, 0)</f>
        <v>125.52775534377865</v>
      </c>
      <c r="AH735" s="100">
        <f>IF(ISNUMBER('General Info'!$B$42), (SamplingData[[#This Row],[Running (cumulative) sum]] * ('General Info'!$B$42 -'General Info'!$B$43 + 1)) + 'General Info'!$B$43 - 1, 0)</f>
        <v>21744.275399773902</v>
      </c>
      <c r="AI735" s="100" t="str">
        <f>IF(ISERROR(MATCH(SamplingData[[#This Row],[Batch by Type (p)]],SelectedPrecincts[Batch Name], 0)), "", INDEX(SelectedPrecincts[Draw], MATCH(SamplingData[[#This Row],[Batch by Type (p)]],SelectedPrecincts[Batch Name], 0)))</f>
        <v/>
      </c>
      <c r="AJ735" s="101">
        <f>IF(COUNTIF(SelectedPrecincts[Batch Name],SamplingData[[#This Row],[Batch by Type (p)]]) &lt;&gt; 0, COUNTIF(SelectedPrecincts[Batch Name],SamplingData[[#This Row],[Batch by Type (p)]]), 0)</f>
        <v>0</v>
      </c>
    </row>
    <row r="736" spans="1:36" ht="15" customHeight="1" x14ac:dyDescent="0.35">
      <c r="A736" s="98" t="s">
        <v>947</v>
      </c>
      <c r="B736" s="98">
        <v>11</v>
      </c>
      <c r="C736" s="98">
        <v>3</v>
      </c>
      <c r="D736" s="93"/>
      <c r="E736" s="93"/>
      <c r="F736" s="93"/>
      <c r="G736" s="97"/>
      <c r="H736" s="97"/>
      <c r="I736" s="93"/>
      <c r="J736" s="93"/>
      <c r="K736" s="93"/>
      <c r="L736" s="93"/>
      <c r="M736" s="93"/>
      <c r="N736" s="98">
        <v>0</v>
      </c>
      <c r="O736" s="98">
        <v>0</v>
      </c>
      <c r="P736" s="99">
        <f>SUM(SamplingData[[#This Row],[Winning Candidate]:[Under Votes]])</f>
        <v>14</v>
      </c>
      <c r="Q736"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736" s="100">
        <f>IF(AND(SamplingData[[#This Row],[Total]]&lt;&gt; 0, NOT(ISBLANK(SamplingData[[#This Row],[Candidate 3]]))),(SamplingData[[#This Row],[Total]]+SamplingData[[#This Row],[Winning Candidate]]-SamplingData[[#This Row],[Candidate 3]])/(SamplingData[[#Totals],[Winning Candidate]]-SamplingData[[#Totals],[Candidate 3]]), 0)</f>
        <v>0</v>
      </c>
      <c r="S736" s="100">
        <f>IF(AND(SamplingData[[#This Row],[Total]]&lt;&gt; 0, NOT(ISBLANK(SamplingData[[#This Row],[Candidate 4]]))),(SamplingData[[#This Row],[Total]]+SamplingData[[#This Row],[Winning Candidate]]-SamplingData[[#This Row],[Candidate 4]])/(SamplingData[[#Totals],[Winning Candidate]]-SamplingData[[#Totals],[Candidate 4]]), 0)</f>
        <v>0</v>
      </c>
      <c r="T736" s="100">
        <f>IF(AND(SamplingData[[#This Row],[Total]]&lt;&gt; 0, NOT(ISBLANK(SamplingData[[#This Row],[Candidate 5]]))),(SamplingData[[#This Row],[Total]]+SamplingData[[#This Row],[Winning Candidate]]-SamplingData[[#This Row],[Candidate 5]])/(SamplingData[[#Totals],[Winning Candidate]]-SamplingData[[#Totals],[Candidate 5]]), 0)</f>
        <v>0</v>
      </c>
      <c r="U736" s="100">
        <f>IF(AND(SamplingData[[#This Row],[Total]]&lt;&gt; 0, NOT(ISBLANK(SamplingData[[#This Row],[Candidate 6]]))),(SamplingData[[#This Row],[Total]]+SamplingData[[#This Row],[Losing Candidate]]-SamplingData[[#This Row],[Candidate 6]])/(SamplingData[[#Totals],[Winning Candidate]]-SamplingData[[#Totals],[Candidate 6]]), 0)</f>
        <v>0</v>
      </c>
      <c r="V736" s="100">
        <f>IF(AND(SamplingData[[#This Row],[Total]]&lt;&gt; 0, NOT(ISBLANK(SamplingData[[#This Row],[Candidate 7]]))),(SamplingData[[#This Row],[Total]]+SamplingData[[#This Row],[Winning Candidate]]-SamplingData[[#This Row],[Candidate 7]])/(SamplingData[[#Totals],[Winning Candidate]]-SamplingData[[#Totals],[Candidate 7]]), 0)</f>
        <v>0</v>
      </c>
      <c r="W736" s="100">
        <f>IF(AND(SamplingData[[#This Row],[Total]]&lt;&gt; 0, NOT(ISBLANK(SamplingData[[#This Row],[Candidate 8]]))),(SamplingData[[#This Row],[Total]]+SamplingData[[#This Row],[Winning Candidate]]-SamplingData[[#This Row],[Candidate 8]])/(SamplingData[[#Totals],[Winning Candidate]]-SamplingData[[#Totals],[Candidate 8]]), 0)</f>
        <v>0</v>
      </c>
      <c r="X7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00">
        <f>MAX(SamplingData[[#This Row],[Error Bound (up) - Max. possible relative overstatement - Losing Candidate]:[Error Bound (up) - Max. possible relative overstatement - Candidate 12]])</f>
        <v>6.9101988252662E-4</v>
      </c>
      <c r="AC736" s="100">
        <f>IF(SamplingData[[#This Row],[Max Error Bound (up)]] = 0,0,SamplingData[[#This Row],[Max Error Bound (up)]]/SamplingData[[#Totals],[Max Error Bound (up)]])</f>
        <v>2.9612878910246067E-4</v>
      </c>
      <c r="AD736" s="104">
        <f>SUM($AC$5:AC736)</f>
        <v>0.21774888278684149</v>
      </c>
      <c r="AE736" s="100" t="str" cm="1">
        <f t="array" ref="AE736">IF(SamplingData[[#This Row],[up/U Selection Probability]] = 0, "Zero", TEXT(SamplingData[[#This Row],[Lower Range]], REPT("0",LEN('General Info'!$B$42))) &amp; " - " &amp; TEXT(SamplingData[[#This Row],[Upper Range]], REPT("0",LEN('General Info'!$B$42))))</f>
        <v>21745 - 21774</v>
      </c>
      <c r="AF736" s="100">
        <f>SamplingData[[#This Row],[Upper Range]]-SamplingData[[#This Row],[Span]]</f>
        <v>21745.275399773902</v>
      </c>
      <c r="AG736" s="100">
        <f>IF(ISNUMBER('General Info'!$B$42), ((SamplingData[[#This Row],[up/U Selection Probability]]) * 'General Info'!$B$44) - 1, 0)</f>
        <v>28.612878910246067</v>
      </c>
      <c r="AH736" s="100">
        <f>IF(ISNUMBER('General Info'!$B$42), (SamplingData[[#This Row],[Running (cumulative) sum]] * ('General Info'!$B$42 -'General Info'!$B$43 + 1)) + 'General Info'!$B$43 - 1, 0)</f>
        <v>21773.88827868415</v>
      </c>
      <c r="AI736" s="100" t="str">
        <f>IF(ISERROR(MATCH(SamplingData[[#This Row],[Batch by Type (p)]],SelectedPrecincts[Batch Name], 0)), "", INDEX(SelectedPrecincts[Draw], MATCH(SamplingData[[#This Row],[Batch by Type (p)]],SelectedPrecincts[Batch Name], 0)))</f>
        <v/>
      </c>
      <c r="AJ736" s="101">
        <f>IF(COUNTIF(SelectedPrecincts[Batch Name],SamplingData[[#This Row],[Batch by Type (p)]]) &lt;&gt; 0, COUNTIF(SelectedPrecincts[Batch Name],SamplingData[[#This Row],[Batch by Type (p)]]), 0)</f>
        <v>0</v>
      </c>
    </row>
    <row r="737" spans="1:36" ht="15" customHeight="1" x14ac:dyDescent="0.35">
      <c r="A737" s="98" t="s">
        <v>948</v>
      </c>
      <c r="B737" s="98">
        <v>32</v>
      </c>
      <c r="C737" s="98">
        <v>4</v>
      </c>
      <c r="D737" s="93"/>
      <c r="E737" s="93"/>
      <c r="F737" s="93"/>
      <c r="G737" s="97"/>
      <c r="H737" s="97"/>
      <c r="I737" s="93"/>
      <c r="J737" s="93"/>
      <c r="K737" s="93"/>
      <c r="L737" s="93"/>
      <c r="M737" s="93"/>
      <c r="N737" s="98">
        <v>0</v>
      </c>
      <c r="O737" s="98">
        <v>2</v>
      </c>
      <c r="P737" s="99">
        <f>SUM(SamplingData[[#This Row],[Winning Candidate]:[Under Votes]])</f>
        <v>38</v>
      </c>
      <c r="Q737"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737" s="100">
        <f>IF(AND(SamplingData[[#This Row],[Total]]&lt;&gt; 0, NOT(ISBLANK(SamplingData[[#This Row],[Candidate 3]]))),(SamplingData[[#This Row],[Total]]+SamplingData[[#This Row],[Winning Candidate]]-SamplingData[[#This Row],[Candidate 3]])/(SamplingData[[#Totals],[Winning Candidate]]-SamplingData[[#Totals],[Candidate 3]]), 0)</f>
        <v>0</v>
      </c>
      <c r="S737" s="100">
        <f>IF(AND(SamplingData[[#This Row],[Total]]&lt;&gt; 0, NOT(ISBLANK(SamplingData[[#This Row],[Candidate 4]]))),(SamplingData[[#This Row],[Total]]+SamplingData[[#This Row],[Winning Candidate]]-SamplingData[[#This Row],[Candidate 4]])/(SamplingData[[#Totals],[Winning Candidate]]-SamplingData[[#Totals],[Candidate 4]]), 0)</f>
        <v>0</v>
      </c>
      <c r="T737" s="100">
        <f>IF(AND(SamplingData[[#This Row],[Total]]&lt;&gt; 0, NOT(ISBLANK(SamplingData[[#This Row],[Candidate 5]]))),(SamplingData[[#This Row],[Total]]+SamplingData[[#This Row],[Winning Candidate]]-SamplingData[[#This Row],[Candidate 5]])/(SamplingData[[#Totals],[Winning Candidate]]-SamplingData[[#Totals],[Candidate 5]]), 0)</f>
        <v>0</v>
      </c>
      <c r="U737" s="100">
        <f>IF(AND(SamplingData[[#This Row],[Total]]&lt;&gt; 0, NOT(ISBLANK(SamplingData[[#This Row],[Candidate 6]]))),(SamplingData[[#This Row],[Total]]+SamplingData[[#This Row],[Losing Candidate]]-SamplingData[[#This Row],[Candidate 6]])/(SamplingData[[#Totals],[Winning Candidate]]-SamplingData[[#Totals],[Candidate 6]]), 0)</f>
        <v>0</v>
      </c>
      <c r="V737" s="100">
        <f>IF(AND(SamplingData[[#This Row],[Total]]&lt;&gt; 0, NOT(ISBLANK(SamplingData[[#This Row],[Candidate 7]]))),(SamplingData[[#This Row],[Total]]+SamplingData[[#This Row],[Winning Candidate]]-SamplingData[[#This Row],[Candidate 7]])/(SamplingData[[#Totals],[Winning Candidate]]-SamplingData[[#Totals],[Candidate 7]]), 0)</f>
        <v>0</v>
      </c>
      <c r="W737" s="100">
        <f>IF(AND(SamplingData[[#This Row],[Total]]&lt;&gt; 0, NOT(ISBLANK(SamplingData[[#This Row],[Candidate 8]]))),(SamplingData[[#This Row],[Total]]+SamplingData[[#This Row],[Winning Candidate]]-SamplingData[[#This Row],[Candidate 8]])/(SamplingData[[#Totals],[Winning Candidate]]-SamplingData[[#Totals],[Candidate 8]]), 0)</f>
        <v>0</v>
      </c>
      <c r="X7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00">
        <f>MAX(SamplingData[[#This Row],[Error Bound (up) - Max. possible relative overstatement - Losing Candidate]:[Error Bound (up) - Max. possible relative overstatement - Candidate 12]])</f>
        <v>2.0730596475798599E-3</v>
      </c>
      <c r="AC737" s="100">
        <f>IF(SamplingData[[#This Row],[Max Error Bound (up)]] = 0,0,SamplingData[[#This Row],[Max Error Bound (up)]]/SamplingData[[#Totals],[Max Error Bound (up)]])</f>
        <v>8.8838636730738201E-4</v>
      </c>
      <c r="AD737" s="104">
        <f>SUM($AC$5:AC737)</f>
        <v>0.21863726915414886</v>
      </c>
      <c r="AE737" s="100" t="str" cm="1">
        <f t="array" ref="AE737">IF(SamplingData[[#This Row],[up/U Selection Probability]] = 0, "Zero", TEXT(SamplingData[[#This Row],[Lower Range]], REPT("0",LEN('General Info'!$B$42))) &amp; " - " &amp; TEXT(SamplingData[[#This Row],[Upper Range]], REPT("0",LEN('General Info'!$B$42))))</f>
        <v>21775 - 21863</v>
      </c>
      <c r="AF737" s="100">
        <f>SamplingData[[#This Row],[Upper Range]]-SamplingData[[#This Row],[Span]]</f>
        <v>21774.888278684146</v>
      </c>
      <c r="AG737" s="100">
        <f>IF(ISNUMBER('General Info'!$B$42), ((SamplingData[[#This Row],[up/U Selection Probability]]) * 'General Info'!$B$44) - 1, 0)</f>
        <v>87.838636730738202</v>
      </c>
      <c r="AH737" s="100">
        <f>IF(ISNUMBER('General Info'!$B$42), (SamplingData[[#This Row],[Running (cumulative) sum]] * ('General Info'!$B$42 -'General Info'!$B$43 + 1)) + 'General Info'!$B$43 - 1, 0)</f>
        <v>21862.726915414885</v>
      </c>
      <c r="AI737" s="100" t="str">
        <f>IF(ISERROR(MATCH(SamplingData[[#This Row],[Batch by Type (p)]],SelectedPrecincts[Batch Name], 0)), "", INDEX(SelectedPrecincts[Draw], MATCH(SamplingData[[#This Row],[Batch by Type (p)]],SelectedPrecincts[Batch Name], 0)))</f>
        <v/>
      </c>
      <c r="AJ737" s="101">
        <f>IF(COUNTIF(SelectedPrecincts[Batch Name],SamplingData[[#This Row],[Batch by Type (p)]]) &lt;&gt; 0, COUNTIF(SelectedPrecincts[Batch Name],SamplingData[[#This Row],[Batch by Type (p)]]), 0)</f>
        <v>0</v>
      </c>
    </row>
    <row r="738" spans="1:36" ht="15" customHeight="1" x14ac:dyDescent="0.35">
      <c r="A738" s="98" t="s">
        <v>949</v>
      </c>
      <c r="B738" s="98">
        <v>3</v>
      </c>
      <c r="C738" s="98">
        <v>0</v>
      </c>
      <c r="D738" s="93"/>
      <c r="E738" s="93"/>
      <c r="F738" s="93"/>
      <c r="G738" s="97"/>
      <c r="H738" s="97"/>
      <c r="I738" s="93"/>
      <c r="J738" s="93"/>
      <c r="K738" s="93"/>
      <c r="L738" s="93"/>
      <c r="M738" s="93"/>
      <c r="N738" s="98">
        <v>0</v>
      </c>
      <c r="O738" s="98">
        <v>0</v>
      </c>
      <c r="P738" s="99">
        <f>SUM(SamplingData[[#This Row],[Winning Candidate]:[Under Votes]])</f>
        <v>3</v>
      </c>
      <c r="Q738"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738" s="100">
        <f>IF(AND(SamplingData[[#This Row],[Total]]&lt;&gt; 0, NOT(ISBLANK(SamplingData[[#This Row],[Candidate 3]]))),(SamplingData[[#This Row],[Total]]+SamplingData[[#This Row],[Winning Candidate]]-SamplingData[[#This Row],[Candidate 3]])/(SamplingData[[#Totals],[Winning Candidate]]-SamplingData[[#Totals],[Candidate 3]]), 0)</f>
        <v>0</v>
      </c>
      <c r="S738" s="100">
        <f>IF(AND(SamplingData[[#This Row],[Total]]&lt;&gt; 0, NOT(ISBLANK(SamplingData[[#This Row],[Candidate 4]]))),(SamplingData[[#This Row],[Total]]+SamplingData[[#This Row],[Winning Candidate]]-SamplingData[[#This Row],[Candidate 4]])/(SamplingData[[#Totals],[Winning Candidate]]-SamplingData[[#Totals],[Candidate 4]]), 0)</f>
        <v>0</v>
      </c>
      <c r="T738" s="100">
        <f>IF(AND(SamplingData[[#This Row],[Total]]&lt;&gt; 0, NOT(ISBLANK(SamplingData[[#This Row],[Candidate 5]]))),(SamplingData[[#This Row],[Total]]+SamplingData[[#This Row],[Winning Candidate]]-SamplingData[[#This Row],[Candidate 5]])/(SamplingData[[#Totals],[Winning Candidate]]-SamplingData[[#Totals],[Candidate 5]]), 0)</f>
        <v>0</v>
      </c>
      <c r="U738" s="100">
        <f>IF(AND(SamplingData[[#This Row],[Total]]&lt;&gt; 0, NOT(ISBLANK(SamplingData[[#This Row],[Candidate 6]]))),(SamplingData[[#This Row],[Total]]+SamplingData[[#This Row],[Losing Candidate]]-SamplingData[[#This Row],[Candidate 6]])/(SamplingData[[#Totals],[Winning Candidate]]-SamplingData[[#Totals],[Candidate 6]]), 0)</f>
        <v>0</v>
      </c>
      <c r="V738" s="100">
        <f>IF(AND(SamplingData[[#This Row],[Total]]&lt;&gt; 0, NOT(ISBLANK(SamplingData[[#This Row],[Candidate 7]]))),(SamplingData[[#This Row],[Total]]+SamplingData[[#This Row],[Winning Candidate]]-SamplingData[[#This Row],[Candidate 7]])/(SamplingData[[#Totals],[Winning Candidate]]-SamplingData[[#Totals],[Candidate 7]]), 0)</f>
        <v>0</v>
      </c>
      <c r="W738" s="100">
        <f>IF(AND(SamplingData[[#This Row],[Total]]&lt;&gt; 0, NOT(ISBLANK(SamplingData[[#This Row],[Candidate 8]]))),(SamplingData[[#This Row],[Total]]+SamplingData[[#This Row],[Winning Candidate]]-SamplingData[[#This Row],[Candidate 8]])/(SamplingData[[#Totals],[Winning Candidate]]-SamplingData[[#Totals],[Candidate 8]]), 0)</f>
        <v>0</v>
      </c>
      <c r="X7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00">
        <f>MAX(SamplingData[[#This Row],[Error Bound (up) - Max. possible relative overstatement - Losing Candidate]:[Error Bound (up) - Max. possible relative overstatement - Candidate 12]])</f>
        <v>1.8845996796180544E-4</v>
      </c>
      <c r="AC738" s="100">
        <f>IF(SamplingData[[#This Row],[Max Error Bound (up)]] = 0,0,SamplingData[[#This Row],[Max Error Bound (up)]]/SamplingData[[#Totals],[Max Error Bound (up)]])</f>
        <v>8.0762397027943816E-5</v>
      </c>
      <c r="AD738" s="104">
        <f>SUM($AC$5:AC738)</f>
        <v>0.21871803155117681</v>
      </c>
      <c r="AE738" s="100" t="str" cm="1">
        <f t="array" ref="AE738">IF(SamplingData[[#This Row],[up/U Selection Probability]] = 0, "Zero", TEXT(SamplingData[[#This Row],[Lower Range]], REPT("0",LEN('General Info'!$B$42))) &amp; " - " &amp; TEXT(SamplingData[[#This Row],[Upper Range]], REPT("0",LEN('General Info'!$B$42))))</f>
        <v>21864 - 21871</v>
      </c>
      <c r="AF738" s="100">
        <f>SamplingData[[#This Row],[Upper Range]]-SamplingData[[#This Row],[Span]]</f>
        <v>21863.726915414885</v>
      </c>
      <c r="AG738" s="100">
        <f>IF(ISNUMBER('General Info'!$B$42), ((SamplingData[[#This Row],[up/U Selection Probability]]) * 'General Info'!$B$44) - 1, 0)</f>
        <v>7.076239702794382</v>
      </c>
      <c r="AH738" s="100">
        <f>IF(ISNUMBER('General Info'!$B$42), (SamplingData[[#This Row],[Running (cumulative) sum]] * ('General Info'!$B$42 -'General Info'!$B$43 + 1)) + 'General Info'!$B$43 - 1, 0)</f>
        <v>21870.803155117679</v>
      </c>
      <c r="AI738" s="100" t="str">
        <f>IF(ISERROR(MATCH(SamplingData[[#This Row],[Batch by Type (p)]],SelectedPrecincts[Batch Name], 0)), "", INDEX(SelectedPrecincts[Draw], MATCH(SamplingData[[#This Row],[Batch by Type (p)]],SelectedPrecincts[Batch Name], 0)))</f>
        <v/>
      </c>
      <c r="AJ738" s="101">
        <f>IF(COUNTIF(SelectedPrecincts[Batch Name],SamplingData[[#This Row],[Batch by Type (p)]]) &lt;&gt; 0, COUNTIF(SelectedPrecincts[Batch Name],SamplingData[[#This Row],[Batch by Type (p)]]), 0)</f>
        <v>0</v>
      </c>
    </row>
    <row r="739" spans="1:36" ht="15" customHeight="1" x14ac:dyDescent="0.35">
      <c r="A739" s="98" t="s">
        <v>950</v>
      </c>
      <c r="B739" s="98">
        <v>65</v>
      </c>
      <c r="C739" s="98">
        <v>7</v>
      </c>
      <c r="D739" s="93"/>
      <c r="E739" s="93"/>
      <c r="F739" s="93"/>
      <c r="G739" s="97"/>
      <c r="H739" s="97"/>
      <c r="I739" s="93"/>
      <c r="J739" s="93"/>
      <c r="K739" s="93"/>
      <c r="L739" s="93"/>
      <c r="M739" s="93"/>
      <c r="N739" s="98">
        <v>0</v>
      </c>
      <c r="O739" s="98">
        <v>1</v>
      </c>
      <c r="P739" s="99">
        <f>SUM(SamplingData[[#This Row],[Winning Candidate]:[Under Votes]])</f>
        <v>73</v>
      </c>
      <c r="Q739" s="100">
        <f>IF(AND(SamplingData[[#This Row],[Total]]&lt;&gt; 0, NOT(ISBLANK(SamplingData[[#This Row],[Losing Candidate]]))),(SamplingData[[#This Row],[Total]]+SamplingData[[#This Row],[Winning Candidate]]-SamplingData[[#This Row],[Losing Candidate]])/(SamplingData[[#Totals],[Winning Candidate]]-SamplingData[[#Totals],[Losing Candidate]]), 0)</f>
        <v>4.114709300499419E-3</v>
      </c>
      <c r="R739" s="100">
        <f>IF(AND(SamplingData[[#This Row],[Total]]&lt;&gt; 0, NOT(ISBLANK(SamplingData[[#This Row],[Candidate 3]]))),(SamplingData[[#This Row],[Total]]+SamplingData[[#This Row],[Winning Candidate]]-SamplingData[[#This Row],[Candidate 3]])/(SamplingData[[#Totals],[Winning Candidate]]-SamplingData[[#Totals],[Candidate 3]]), 0)</f>
        <v>0</v>
      </c>
      <c r="S739" s="100">
        <f>IF(AND(SamplingData[[#This Row],[Total]]&lt;&gt; 0, NOT(ISBLANK(SamplingData[[#This Row],[Candidate 4]]))),(SamplingData[[#This Row],[Total]]+SamplingData[[#This Row],[Winning Candidate]]-SamplingData[[#This Row],[Candidate 4]])/(SamplingData[[#Totals],[Winning Candidate]]-SamplingData[[#Totals],[Candidate 4]]), 0)</f>
        <v>0</v>
      </c>
      <c r="T739" s="100">
        <f>IF(AND(SamplingData[[#This Row],[Total]]&lt;&gt; 0, NOT(ISBLANK(SamplingData[[#This Row],[Candidate 5]]))),(SamplingData[[#This Row],[Total]]+SamplingData[[#This Row],[Winning Candidate]]-SamplingData[[#This Row],[Candidate 5]])/(SamplingData[[#Totals],[Winning Candidate]]-SamplingData[[#Totals],[Candidate 5]]), 0)</f>
        <v>0</v>
      </c>
      <c r="U739" s="100">
        <f>IF(AND(SamplingData[[#This Row],[Total]]&lt;&gt; 0, NOT(ISBLANK(SamplingData[[#This Row],[Candidate 6]]))),(SamplingData[[#This Row],[Total]]+SamplingData[[#This Row],[Losing Candidate]]-SamplingData[[#This Row],[Candidate 6]])/(SamplingData[[#Totals],[Winning Candidate]]-SamplingData[[#Totals],[Candidate 6]]), 0)</f>
        <v>0</v>
      </c>
      <c r="V739" s="100">
        <f>IF(AND(SamplingData[[#This Row],[Total]]&lt;&gt; 0, NOT(ISBLANK(SamplingData[[#This Row],[Candidate 7]]))),(SamplingData[[#This Row],[Total]]+SamplingData[[#This Row],[Winning Candidate]]-SamplingData[[#This Row],[Candidate 7]])/(SamplingData[[#Totals],[Winning Candidate]]-SamplingData[[#Totals],[Candidate 7]]), 0)</f>
        <v>0</v>
      </c>
      <c r="W739" s="100">
        <f>IF(AND(SamplingData[[#This Row],[Total]]&lt;&gt; 0, NOT(ISBLANK(SamplingData[[#This Row],[Candidate 8]]))),(SamplingData[[#This Row],[Total]]+SamplingData[[#This Row],[Winning Candidate]]-SamplingData[[#This Row],[Candidate 8]])/(SamplingData[[#Totals],[Winning Candidate]]-SamplingData[[#Totals],[Candidate 8]]), 0)</f>
        <v>0</v>
      </c>
      <c r="X7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00">
        <f>MAX(SamplingData[[#This Row],[Error Bound (up) - Max. possible relative overstatement - Losing Candidate]:[Error Bound (up) - Max. possible relative overstatement - Candidate 12]])</f>
        <v>4.114709300499419E-3</v>
      </c>
      <c r="AC739" s="100">
        <f>IF(SamplingData[[#This Row],[Max Error Bound (up)]] = 0,0,SamplingData[[#This Row],[Max Error Bound (up)]]/SamplingData[[#Totals],[Max Error Bound (up)]])</f>
        <v>1.7633123351101067E-3</v>
      </c>
      <c r="AD739" s="104">
        <f>SUM($AC$5:AC739)</f>
        <v>0.2204813438862869</v>
      </c>
      <c r="AE739" s="100" t="str" cm="1">
        <f t="array" ref="AE739">IF(SamplingData[[#This Row],[up/U Selection Probability]] = 0, "Zero", TEXT(SamplingData[[#This Row],[Lower Range]], REPT("0",LEN('General Info'!$B$42))) &amp; " - " &amp; TEXT(SamplingData[[#This Row],[Upper Range]], REPT("0",LEN('General Info'!$B$42))))</f>
        <v>21872 - 22047</v>
      </c>
      <c r="AF739" s="100">
        <f>SamplingData[[#This Row],[Upper Range]]-SamplingData[[#This Row],[Span]]</f>
        <v>21871.803155117679</v>
      </c>
      <c r="AG739" s="100">
        <f>IF(ISNUMBER('General Info'!$B$42), ((SamplingData[[#This Row],[up/U Selection Probability]]) * 'General Info'!$B$44) - 1, 0)</f>
        <v>175.33123351101068</v>
      </c>
      <c r="AH739" s="100">
        <f>IF(ISNUMBER('General Info'!$B$42), (SamplingData[[#This Row],[Running (cumulative) sum]] * ('General Info'!$B$42 -'General Info'!$B$43 + 1)) + 'General Info'!$B$43 - 1, 0)</f>
        <v>22047.134388628689</v>
      </c>
      <c r="AI739" s="100" t="str">
        <f>IF(ISERROR(MATCH(SamplingData[[#This Row],[Batch by Type (p)]],SelectedPrecincts[Batch Name], 0)), "", INDEX(SelectedPrecincts[Draw], MATCH(SamplingData[[#This Row],[Batch by Type (p)]],SelectedPrecincts[Batch Name], 0)))</f>
        <v/>
      </c>
      <c r="AJ739" s="101">
        <f>IF(COUNTIF(SelectedPrecincts[Batch Name],SamplingData[[#This Row],[Batch by Type (p)]]) &lt;&gt; 0, COUNTIF(SelectedPrecincts[Batch Name],SamplingData[[#This Row],[Batch by Type (p)]]), 0)</f>
        <v>0</v>
      </c>
    </row>
    <row r="740" spans="1:36" ht="15" customHeight="1" x14ac:dyDescent="0.35">
      <c r="A740" s="98" t="s">
        <v>951</v>
      </c>
      <c r="B740" s="98">
        <v>18</v>
      </c>
      <c r="C740" s="98">
        <v>1</v>
      </c>
      <c r="D740" s="93"/>
      <c r="E740" s="93"/>
      <c r="F740" s="93"/>
      <c r="G740" s="97"/>
      <c r="H740" s="97"/>
      <c r="I740" s="93"/>
      <c r="J740" s="93"/>
      <c r="K740" s="93"/>
      <c r="L740" s="93"/>
      <c r="M740" s="93"/>
      <c r="N740" s="98">
        <v>0</v>
      </c>
      <c r="O740" s="98">
        <v>2</v>
      </c>
      <c r="P740" s="99">
        <f>SUM(SamplingData[[#This Row],[Winning Candidate]:[Under Votes]])</f>
        <v>21</v>
      </c>
      <c r="Q740"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740" s="100">
        <f>IF(AND(SamplingData[[#This Row],[Total]]&lt;&gt; 0, NOT(ISBLANK(SamplingData[[#This Row],[Candidate 3]]))),(SamplingData[[#This Row],[Total]]+SamplingData[[#This Row],[Winning Candidate]]-SamplingData[[#This Row],[Candidate 3]])/(SamplingData[[#Totals],[Winning Candidate]]-SamplingData[[#Totals],[Candidate 3]]), 0)</f>
        <v>0</v>
      </c>
      <c r="S740" s="100">
        <f>IF(AND(SamplingData[[#This Row],[Total]]&lt;&gt; 0, NOT(ISBLANK(SamplingData[[#This Row],[Candidate 4]]))),(SamplingData[[#This Row],[Total]]+SamplingData[[#This Row],[Winning Candidate]]-SamplingData[[#This Row],[Candidate 4]])/(SamplingData[[#Totals],[Winning Candidate]]-SamplingData[[#Totals],[Candidate 4]]), 0)</f>
        <v>0</v>
      </c>
      <c r="T740" s="100">
        <f>IF(AND(SamplingData[[#This Row],[Total]]&lt;&gt; 0, NOT(ISBLANK(SamplingData[[#This Row],[Candidate 5]]))),(SamplingData[[#This Row],[Total]]+SamplingData[[#This Row],[Winning Candidate]]-SamplingData[[#This Row],[Candidate 5]])/(SamplingData[[#Totals],[Winning Candidate]]-SamplingData[[#Totals],[Candidate 5]]), 0)</f>
        <v>0</v>
      </c>
      <c r="U740" s="100">
        <f>IF(AND(SamplingData[[#This Row],[Total]]&lt;&gt; 0, NOT(ISBLANK(SamplingData[[#This Row],[Candidate 6]]))),(SamplingData[[#This Row],[Total]]+SamplingData[[#This Row],[Losing Candidate]]-SamplingData[[#This Row],[Candidate 6]])/(SamplingData[[#Totals],[Winning Candidate]]-SamplingData[[#Totals],[Candidate 6]]), 0)</f>
        <v>0</v>
      </c>
      <c r="V740" s="100">
        <f>IF(AND(SamplingData[[#This Row],[Total]]&lt;&gt; 0, NOT(ISBLANK(SamplingData[[#This Row],[Candidate 7]]))),(SamplingData[[#This Row],[Total]]+SamplingData[[#This Row],[Winning Candidate]]-SamplingData[[#This Row],[Candidate 7]])/(SamplingData[[#Totals],[Winning Candidate]]-SamplingData[[#Totals],[Candidate 7]]), 0)</f>
        <v>0</v>
      </c>
      <c r="W740" s="100">
        <f>IF(AND(SamplingData[[#This Row],[Total]]&lt;&gt; 0, NOT(ISBLANK(SamplingData[[#This Row],[Candidate 8]]))),(SamplingData[[#This Row],[Total]]+SamplingData[[#This Row],[Winning Candidate]]-SamplingData[[#This Row],[Candidate 8]])/(SamplingData[[#Totals],[Winning Candidate]]-SamplingData[[#Totals],[Candidate 8]]), 0)</f>
        <v>0</v>
      </c>
      <c r="X7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00">
        <f>MAX(SamplingData[[#This Row],[Error Bound (up) - Max. possible relative overstatement - Losing Candidate]:[Error Bound (up) - Max. possible relative overstatement - Candidate 12]])</f>
        <v>1.1935797970914345E-3</v>
      </c>
      <c r="AC740" s="100">
        <f>IF(SamplingData[[#This Row],[Max Error Bound (up)]] = 0,0,SamplingData[[#This Row],[Max Error Bound (up)]]/SamplingData[[#Totals],[Max Error Bound (up)]])</f>
        <v>5.1149518117697755E-4</v>
      </c>
      <c r="AD740" s="104">
        <f>SUM($AC$5:AC740)</f>
        <v>0.22099283906746389</v>
      </c>
      <c r="AE740" s="100" t="str" cm="1">
        <f t="array" ref="AE740">IF(SamplingData[[#This Row],[up/U Selection Probability]] = 0, "Zero", TEXT(SamplingData[[#This Row],[Lower Range]], REPT("0",LEN('General Info'!$B$42))) &amp; " - " &amp; TEXT(SamplingData[[#This Row],[Upper Range]], REPT("0",LEN('General Info'!$B$42))))</f>
        <v>22048 - 22098</v>
      </c>
      <c r="AF740" s="100">
        <f>SamplingData[[#This Row],[Upper Range]]-SamplingData[[#This Row],[Span]]</f>
        <v>22048.134388628692</v>
      </c>
      <c r="AG740" s="100">
        <f>IF(ISNUMBER('General Info'!$B$42), ((SamplingData[[#This Row],[up/U Selection Probability]]) * 'General Info'!$B$44) - 1, 0)</f>
        <v>50.149518117697752</v>
      </c>
      <c r="AH740" s="100">
        <f>IF(ISNUMBER('General Info'!$B$42), (SamplingData[[#This Row],[Running (cumulative) sum]] * ('General Info'!$B$42 -'General Info'!$B$43 + 1)) + 'General Info'!$B$43 - 1, 0)</f>
        <v>22098.28390674639</v>
      </c>
      <c r="AI740" s="100" t="str">
        <f>IF(ISERROR(MATCH(SamplingData[[#This Row],[Batch by Type (p)]],SelectedPrecincts[Batch Name], 0)), "", INDEX(SelectedPrecincts[Draw], MATCH(SamplingData[[#This Row],[Batch by Type (p)]],SelectedPrecincts[Batch Name], 0)))</f>
        <v/>
      </c>
      <c r="AJ740" s="101">
        <f>IF(COUNTIF(SelectedPrecincts[Batch Name],SamplingData[[#This Row],[Batch by Type (p)]]) &lt;&gt; 0, COUNTIF(SelectedPrecincts[Batch Name],SamplingData[[#This Row],[Batch by Type (p)]]), 0)</f>
        <v>0</v>
      </c>
    </row>
    <row r="741" spans="1:36" ht="15" customHeight="1" x14ac:dyDescent="0.35">
      <c r="A741" s="98" t="s">
        <v>952</v>
      </c>
      <c r="B741" s="98">
        <v>21</v>
      </c>
      <c r="C741" s="98">
        <v>2</v>
      </c>
      <c r="D741" s="93"/>
      <c r="E741" s="93"/>
      <c r="F741" s="93"/>
      <c r="G741" s="97"/>
      <c r="H741" s="97"/>
      <c r="I741" s="93"/>
      <c r="J741" s="93"/>
      <c r="K741" s="93"/>
      <c r="L741" s="93"/>
      <c r="M741" s="93"/>
      <c r="N741" s="98">
        <v>0</v>
      </c>
      <c r="O741" s="98">
        <v>0</v>
      </c>
      <c r="P741" s="99">
        <f>SUM(SamplingData[[#This Row],[Winning Candidate]:[Under Votes]])</f>
        <v>23</v>
      </c>
      <c r="Q741"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741" s="100">
        <f>IF(AND(SamplingData[[#This Row],[Total]]&lt;&gt; 0, NOT(ISBLANK(SamplingData[[#This Row],[Candidate 3]]))),(SamplingData[[#This Row],[Total]]+SamplingData[[#This Row],[Winning Candidate]]-SamplingData[[#This Row],[Candidate 3]])/(SamplingData[[#Totals],[Winning Candidate]]-SamplingData[[#Totals],[Candidate 3]]), 0)</f>
        <v>0</v>
      </c>
      <c r="S741" s="100">
        <f>IF(AND(SamplingData[[#This Row],[Total]]&lt;&gt; 0, NOT(ISBLANK(SamplingData[[#This Row],[Candidate 4]]))),(SamplingData[[#This Row],[Total]]+SamplingData[[#This Row],[Winning Candidate]]-SamplingData[[#This Row],[Candidate 4]])/(SamplingData[[#Totals],[Winning Candidate]]-SamplingData[[#Totals],[Candidate 4]]), 0)</f>
        <v>0</v>
      </c>
      <c r="T741" s="100">
        <f>IF(AND(SamplingData[[#This Row],[Total]]&lt;&gt; 0, NOT(ISBLANK(SamplingData[[#This Row],[Candidate 5]]))),(SamplingData[[#This Row],[Total]]+SamplingData[[#This Row],[Winning Candidate]]-SamplingData[[#This Row],[Candidate 5]])/(SamplingData[[#Totals],[Winning Candidate]]-SamplingData[[#Totals],[Candidate 5]]), 0)</f>
        <v>0</v>
      </c>
      <c r="U741" s="100">
        <f>IF(AND(SamplingData[[#This Row],[Total]]&lt;&gt; 0, NOT(ISBLANK(SamplingData[[#This Row],[Candidate 6]]))),(SamplingData[[#This Row],[Total]]+SamplingData[[#This Row],[Losing Candidate]]-SamplingData[[#This Row],[Candidate 6]])/(SamplingData[[#Totals],[Winning Candidate]]-SamplingData[[#Totals],[Candidate 6]]), 0)</f>
        <v>0</v>
      </c>
      <c r="V741" s="100">
        <f>IF(AND(SamplingData[[#This Row],[Total]]&lt;&gt; 0, NOT(ISBLANK(SamplingData[[#This Row],[Candidate 7]]))),(SamplingData[[#This Row],[Total]]+SamplingData[[#This Row],[Winning Candidate]]-SamplingData[[#This Row],[Candidate 7]])/(SamplingData[[#Totals],[Winning Candidate]]-SamplingData[[#Totals],[Candidate 7]]), 0)</f>
        <v>0</v>
      </c>
      <c r="W741" s="100">
        <f>IF(AND(SamplingData[[#This Row],[Total]]&lt;&gt; 0, NOT(ISBLANK(SamplingData[[#This Row],[Candidate 8]]))),(SamplingData[[#This Row],[Total]]+SamplingData[[#This Row],[Winning Candidate]]-SamplingData[[#This Row],[Candidate 8]])/(SamplingData[[#Totals],[Winning Candidate]]-SamplingData[[#Totals],[Candidate 8]]), 0)</f>
        <v>0</v>
      </c>
      <c r="X7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00">
        <f>MAX(SamplingData[[#This Row],[Error Bound (up) - Max. possible relative overstatement - Losing Candidate]:[Error Bound (up) - Max. possible relative overstatement - Candidate 12]])</f>
        <v>1.3192197757326382E-3</v>
      </c>
      <c r="AC741" s="100">
        <f>IF(SamplingData[[#This Row],[Max Error Bound (up)]] = 0,0,SamplingData[[#This Row],[Max Error Bound (up)]]/SamplingData[[#Totals],[Max Error Bound (up)]])</f>
        <v>5.6533677919560674E-4</v>
      </c>
      <c r="AD741" s="104">
        <f>SUM($AC$5:AC741)</f>
        <v>0.22155817584665949</v>
      </c>
      <c r="AE741" s="100" t="str" cm="1">
        <f t="array" ref="AE741">IF(SamplingData[[#This Row],[up/U Selection Probability]] = 0, "Zero", TEXT(SamplingData[[#This Row],[Lower Range]], REPT("0",LEN('General Info'!$B$42))) &amp; " - " &amp; TEXT(SamplingData[[#This Row],[Upper Range]], REPT("0",LEN('General Info'!$B$42))))</f>
        <v>22099 - 22155</v>
      </c>
      <c r="AF741" s="100">
        <f>SamplingData[[#This Row],[Upper Range]]-SamplingData[[#This Row],[Span]]</f>
        <v>22099.28390674639</v>
      </c>
      <c r="AG741" s="100">
        <f>IF(ISNUMBER('General Info'!$B$42), ((SamplingData[[#This Row],[up/U Selection Probability]]) * 'General Info'!$B$44) - 1, 0)</f>
        <v>55.533677919560674</v>
      </c>
      <c r="AH741" s="100">
        <f>IF(ISNUMBER('General Info'!$B$42), (SamplingData[[#This Row],[Running (cumulative) sum]] * ('General Info'!$B$42 -'General Info'!$B$43 + 1)) + 'General Info'!$B$43 - 1, 0)</f>
        <v>22154.817584665951</v>
      </c>
      <c r="AI741" s="100" t="str">
        <f>IF(ISERROR(MATCH(SamplingData[[#This Row],[Batch by Type (p)]],SelectedPrecincts[Batch Name], 0)), "", INDEX(SelectedPrecincts[Draw], MATCH(SamplingData[[#This Row],[Batch by Type (p)]],SelectedPrecincts[Batch Name], 0)))</f>
        <v/>
      </c>
      <c r="AJ741" s="101">
        <f>IF(COUNTIF(SelectedPrecincts[Batch Name],SamplingData[[#This Row],[Batch by Type (p)]]) &lt;&gt; 0, COUNTIF(SelectedPrecincts[Batch Name],SamplingData[[#This Row],[Batch by Type (p)]]), 0)</f>
        <v>0</v>
      </c>
    </row>
    <row r="742" spans="1:36" ht="15" customHeight="1" x14ac:dyDescent="0.35">
      <c r="A742" s="98" t="s">
        <v>953</v>
      </c>
      <c r="B742" s="98">
        <v>4</v>
      </c>
      <c r="C742" s="98">
        <v>1</v>
      </c>
      <c r="D742" s="93"/>
      <c r="E742" s="93"/>
      <c r="F742" s="93"/>
      <c r="G742" s="97"/>
      <c r="H742" s="97"/>
      <c r="I742" s="93"/>
      <c r="J742" s="93"/>
      <c r="K742" s="93"/>
      <c r="L742" s="93"/>
      <c r="M742" s="93"/>
      <c r="N742" s="98">
        <v>0</v>
      </c>
      <c r="O742" s="98">
        <v>0</v>
      </c>
      <c r="P742" s="99">
        <f>SUM(SamplingData[[#This Row],[Winning Candidate]:[Under Votes]])</f>
        <v>5</v>
      </c>
      <c r="Q742"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742" s="100">
        <f>IF(AND(SamplingData[[#This Row],[Total]]&lt;&gt; 0, NOT(ISBLANK(SamplingData[[#This Row],[Candidate 3]]))),(SamplingData[[#This Row],[Total]]+SamplingData[[#This Row],[Winning Candidate]]-SamplingData[[#This Row],[Candidate 3]])/(SamplingData[[#Totals],[Winning Candidate]]-SamplingData[[#Totals],[Candidate 3]]), 0)</f>
        <v>0</v>
      </c>
      <c r="S742" s="100">
        <f>IF(AND(SamplingData[[#This Row],[Total]]&lt;&gt; 0, NOT(ISBLANK(SamplingData[[#This Row],[Candidate 4]]))),(SamplingData[[#This Row],[Total]]+SamplingData[[#This Row],[Winning Candidate]]-SamplingData[[#This Row],[Candidate 4]])/(SamplingData[[#Totals],[Winning Candidate]]-SamplingData[[#Totals],[Candidate 4]]), 0)</f>
        <v>0</v>
      </c>
      <c r="T742" s="100">
        <f>IF(AND(SamplingData[[#This Row],[Total]]&lt;&gt; 0, NOT(ISBLANK(SamplingData[[#This Row],[Candidate 5]]))),(SamplingData[[#This Row],[Total]]+SamplingData[[#This Row],[Winning Candidate]]-SamplingData[[#This Row],[Candidate 5]])/(SamplingData[[#Totals],[Winning Candidate]]-SamplingData[[#Totals],[Candidate 5]]), 0)</f>
        <v>0</v>
      </c>
      <c r="U742" s="100">
        <f>IF(AND(SamplingData[[#This Row],[Total]]&lt;&gt; 0, NOT(ISBLANK(SamplingData[[#This Row],[Candidate 6]]))),(SamplingData[[#This Row],[Total]]+SamplingData[[#This Row],[Losing Candidate]]-SamplingData[[#This Row],[Candidate 6]])/(SamplingData[[#Totals],[Winning Candidate]]-SamplingData[[#Totals],[Candidate 6]]), 0)</f>
        <v>0</v>
      </c>
      <c r="V742" s="100">
        <f>IF(AND(SamplingData[[#This Row],[Total]]&lt;&gt; 0, NOT(ISBLANK(SamplingData[[#This Row],[Candidate 7]]))),(SamplingData[[#This Row],[Total]]+SamplingData[[#This Row],[Winning Candidate]]-SamplingData[[#This Row],[Candidate 7]])/(SamplingData[[#Totals],[Winning Candidate]]-SamplingData[[#Totals],[Candidate 7]]), 0)</f>
        <v>0</v>
      </c>
      <c r="W742" s="100">
        <f>IF(AND(SamplingData[[#This Row],[Total]]&lt;&gt; 0, NOT(ISBLANK(SamplingData[[#This Row],[Candidate 8]]))),(SamplingData[[#This Row],[Total]]+SamplingData[[#This Row],[Winning Candidate]]-SamplingData[[#This Row],[Candidate 8]])/(SamplingData[[#Totals],[Winning Candidate]]-SamplingData[[#Totals],[Candidate 8]]), 0)</f>
        <v>0</v>
      </c>
      <c r="X7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00">
        <f>MAX(SamplingData[[#This Row],[Error Bound (up) - Max. possible relative overstatement - Losing Candidate]:[Error Bound (up) - Max. possible relative overstatement - Candidate 12]])</f>
        <v>2.5127995728240724E-4</v>
      </c>
      <c r="AC742" s="100">
        <f>IF(SamplingData[[#This Row],[Max Error Bound (up)]] = 0,0,SamplingData[[#This Row],[Max Error Bound (up)]]/SamplingData[[#Totals],[Max Error Bound (up)]])</f>
        <v>1.0768319603725841E-4</v>
      </c>
      <c r="AD742" s="104">
        <f>SUM($AC$5:AC742)</f>
        <v>0.22166585904269676</v>
      </c>
      <c r="AE742" s="100" t="str" cm="1">
        <f t="array" ref="AE742">IF(SamplingData[[#This Row],[up/U Selection Probability]] = 0, "Zero", TEXT(SamplingData[[#This Row],[Lower Range]], REPT("0",LEN('General Info'!$B$42))) &amp; " - " &amp; TEXT(SamplingData[[#This Row],[Upper Range]], REPT("0",LEN('General Info'!$B$42))))</f>
        <v>22156 - 22166</v>
      </c>
      <c r="AF742" s="100">
        <f>SamplingData[[#This Row],[Upper Range]]-SamplingData[[#This Row],[Span]]</f>
        <v>22155.817584665951</v>
      </c>
      <c r="AG742" s="100">
        <f>IF(ISNUMBER('General Info'!$B$42), ((SamplingData[[#This Row],[up/U Selection Probability]]) * 'General Info'!$B$44) - 1, 0)</f>
        <v>9.7683196037258408</v>
      </c>
      <c r="AH742" s="100">
        <f>IF(ISNUMBER('General Info'!$B$42), (SamplingData[[#This Row],[Running (cumulative) sum]] * ('General Info'!$B$42 -'General Info'!$B$43 + 1)) + 'General Info'!$B$43 - 1, 0)</f>
        <v>22165.585904269676</v>
      </c>
      <c r="AI742" s="100" t="str">
        <f>IF(ISERROR(MATCH(SamplingData[[#This Row],[Batch by Type (p)]],SelectedPrecincts[Batch Name], 0)), "", INDEX(SelectedPrecincts[Draw], MATCH(SamplingData[[#This Row],[Batch by Type (p)]],SelectedPrecincts[Batch Name], 0)))</f>
        <v/>
      </c>
      <c r="AJ742" s="101">
        <f>IF(COUNTIF(SelectedPrecincts[Batch Name],SamplingData[[#This Row],[Batch by Type (p)]]) &lt;&gt; 0, COUNTIF(SelectedPrecincts[Batch Name],SamplingData[[#This Row],[Batch by Type (p)]]), 0)</f>
        <v>0</v>
      </c>
    </row>
    <row r="743" spans="1:36" ht="15" customHeight="1" x14ac:dyDescent="0.35">
      <c r="A743" s="98" t="s">
        <v>954</v>
      </c>
      <c r="B743" s="98">
        <v>3</v>
      </c>
      <c r="C743" s="98">
        <v>1</v>
      </c>
      <c r="D743" s="93"/>
      <c r="E743" s="93"/>
      <c r="F743" s="93"/>
      <c r="G743" s="97"/>
      <c r="H743" s="97"/>
      <c r="I743" s="93"/>
      <c r="J743" s="93"/>
      <c r="K743" s="93"/>
      <c r="L743" s="93"/>
      <c r="M743" s="93"/>
      <c r="N743" s="98">
        <v>0</v>
      </c>
      <c r="O743" s="98">
        <v>0</v>
      </c>
      <c r="P743" s="99">
        <f>SUM(SamplingData[[#This Row],[Winning Candidate]:[Under Votes]])</f>
        <v>4</v>
      </c>
      <c r="Q743"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743" s="100">
        <f>IF(AND(SamplingData[[#This Row],[Total]]&lt;&gt; 0, NOT(ISBLANK(SamplingData[[#This Row],[Candidate 3]]))),(SamplingData[[#This Row],[Total]]+SamplingData[[#This Row],[Winning Candidate]]-SamplingData[[#This Row],[Candidate 3]])/(SamplingData[[#Totals],[Winning Candidate]]-SamplingData[[#Totals],[Candidate 3]]), 0)</f>
        <v>0</v>
      </c>
      <c r="S743" s="100">
        <f>IF(AND(SamplingData[[#This Row],[Total]]&lt;&gt; 0, NOT(ISBLANK(SamplingData[[#This Row],[Candidate 4]]))),(SamplingData[[#This Row],[Total]]+SamplingData[[#This Row],[Winning Candidate]]-SamplingData[[#This Row],[Candidate 4]])/(SamplingData[[#Totals],[Winning Candidate]]-SamplingData[[#Totals],[Candidate 4]]), 0)</f>
        <v>0</v>
      </c>
      <c r="T743" s="100">
        <f>IF(AND(SamplingData[[#This Row],[Total]]&lt;&gt; 0, NOT(ISBLANK(SamplingData[[#This Row],[Candidate 5]]))),(SamplingData[[#This Row],[Total]]+SamplingData[[#This Row],[Winning Candidate]]-SamplingData[[#This Row],[Candidate 5]])/(SamplingData[[#Totals],[Winning Candidate]]-SamplingData[[#Totals],[Candidate 5]]), 0)</f>
        <v>0</v>
      </c>
      <c r="U743" s="100">
        <f>IF(AND(SamplingData[[#This Row],[Total]]&lt;&gt; 0, NOT(ISBLANK(SamplingData[[#This Row],[Candidate 6]]))),(SamplingData[[#This Row],[Total]]+SamplingData[[#This Row],[Losing Candidate]]-SamplingData[[#This Row],[Candidate 6]])/(SamplingData[[#Totals],[Winning Candidate]]-SamplingData[[#Totals],[Candidate 6]]), 0)</f>
        <v>0</v>
      </c>
      <c r="V743" s="100">
        <f>IF(AND(SamplingData[[#This Row],[Total]]&lt;&gt; 0, NOT(ISBLANK(SamplingData[[#This Row],[Candidate 7]]))),(SamplingData[[#This Row],[Total]]+SamplingData[[#This Row],[Winning Candidate]]-SamplingData[[#This Row],[Candidate 7]])/(SamplingData[[#Totals],[Winning Candidate]]-SamplingData[[#Totals],[Candidate 7]]), 0)</f>
        <v>0</v>
      </c>
      <c r="W743" s="100">
        <f>IF(AND(SamplingData[[#This Row],[Total]]&lt;&gt; 0, NOT(ISBLANK(SamplingData[[#This Row],[Candidate 8]]))),(SamplingData[[#This Row],[Total]]+SamplingData[[#This Row],[Winning Candidate]]-SamplingData[[#This Row],[Candidate 8]])/(SamplingData[[#Totals],[Winning Candidate]]-SamplingData[[#Totals],[Candidate 8]]), 0)</f>
        <v>0</v>
      </c>
      <c r="X7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00">
        <f>MAX(SamplingData[[#This Row],[Error Bound (up) - Max. possible relative overstatement - Losing Candidate]:[Error Bound (up) - Max. possible relative overstatement - Candidate 12]])</f>
        <v>1.8845996796180544E-4</v>
      </c>
      <c r="AC743" s="100">
        <f>IF(SamplingData[[#This Row],[Max Error Bound (up)]] = 0,0,SamplingData[[#This Row],[Max Error Bound (up)]]/SamplingData[[#Totals],[Max Error Bound (up)]])</f>
        <v>8.0762397027943816E-5</v>
      </c>
      <c r="AD743" s="104">
        <f>SUM($AC$5:AC743)</f>
        <v>0.22174662143972471</v>
      </c>
      <c r="AE743" s="100" t="str" cm="1">
        <f t="array" ref="AE743">IF(SamplingData[[#This Row],[up/U Selection Probability]] = 0, "Zero", TEXT(SamplingData[[#This Row],[Lower Range]], REPT("0",LEN('General Info'!$B$42))) &amp; " - " &amp; TEXT(SamplingData[[#This Row],[Upper Range]], REPT("0",LEN('General Info'!$B$42))))</f>
        <v>22167 - 22174</v>
      </c>
      <c r="AF743" s="100">
        <f>SamplingData[[#This Row],[Upper Range]]-SamplingData[[#This Row],[Span]]</f>
        <v>22166.585904269676</v>
      </c>
      <c r="AG743" s="100">
        <f>IF(ISNUMBER('General Info'!$B$42), ((SamplingData[[#This Row],[up/U Selection Probability]]) * 'General Info'!$B$44) - 1, 0)</f>
        <v>7.076239702794382</v>
      </c>
      <c r="AH743" s="100">
        <f>IF(ISNUMBER('General Info'!$B$42), (SamplingData[[#This Row],[Running (cumulative) sum]] * ('General Info'!$B$42 -'General Info'!$B$43 + 1)) + 'General Info'!$B$43 - 1, 0)</f>
        <v>22173.662143972469</v>
      </c>
      <c r="AI743" s="100" t="str">
        <f>IF(ISERROR(MATCH(SamplingData[[#This Row],[Batch by Type (p)]],SelectedPrecincts[Batch Name], 0)), "", INDEX(SelectedPrecincts[Draw], MATCH(SamplingData[[#This Row],[Batch by Type (p)]],SelectedPrecincts[Batch Name], 0)))</f>
        <v/>
      </c>
      <c r="AJ743" s="101">
        <f>IF(COUNTIF(SelectedPrecincts[Batch Name],SamplingData[[#This Row],[Batch by Type (p)]]) &lt;&gt; 0, COUNTIF(SelectedPrecincts[Batch Name],SamplingData[[#This Row],[Batch by Type (p)]]), 0)</f>
        <v>0</v>
      </c>
    </row>
    <row r="744" spans="1:36" ht="15" customHeight="1" x14ac:dyDescent="0.35">
      <c r="A744" s="98" t="s">
        <v>955</v>
      </c>
      <c r="B744" s="98">
        <v>3</v>
      </c>
      <c r="C744" s="98">
        <v>1</v>
      </c>
      <c r="D744" s="93"/>
      <c r="E744" s="93"/>
      <c r="F744" s="93"/>
      <c r="G744" s="97"/>
      <c r="H744" s="97"/>
      <c r="I744" s="93"/>
      <c r="J744" s="93"/>
      <c r="K744" s="93"/>
      <c r="L744" s="93"/>
      <c r="M744" s="93"/>
      <c r="N744" s="98">
        <v>0</v>
      </c>
      <c r="O744" s="98">
        <v>0</v>
      </c>
      <c r="P744" s="99">
        <f>SUM(SamplingData[[#This Row],[Winning Candidate]:[Under Votes]])</f>
        <v>4</v>
      </c>
      <c r="Q744"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744" s="100">
        <f>IF(AND(SamplingData[[#This Row],[Total]]&lt;&gt; 0, NOT(ISBLANK(SamplingData[[#This Row],[Candidate 3]]))),(SamplingData[[#This Row],[Total]]+SamplingData[[#This Row],[Winning Candidate]]-SamplingData[[#This Row],[Candidate 3]])/(SamplingData[[#Totals],[Winning Candidate]]-SamplingData[[#Totals],[Candidate 3]]), 0)</f>
        <v>0</v>
      </c>
      <c r="S744" s="100">
        <f>IF(AND(SamplingData[[#This Row],[Total]]&lt;&gt; 0, NOT(ISBLANK(SamplingData[[#This Row],[Candidate 4]]))),(SamplingData[[#This Row],[Total]]+SamplingData[[#This Row],[Winning Candidate]]-SamplingData[[#This Row],[Candidate 4]])/(SamplingData[[#Totals],[Winning Candidate]]-SamplingData[[#Totals],[Candidate 4]]), 0)</f>
        <v>0</v>
      </c>
      <c r="T744" s="100">
        <f>IF(AND(SamplingData[[#This Row],[Total]]&lt;&gt; 0, NOT(ISBLANK(SamplingData[[#This Row],[Candidate 5]]))),(SamplingData[[#This Row],[Total]]+SamplingData[[#This Row],[Winning Candidate]]-SamplingData[[#This Row],[Candidate 5]])/(SamplingData[[#Totals],[Winning Candidate]]-SamplingData[[#Totals],[Candidate 5]]), 0)</f>
        <v>0</v>
      </c>
      <c r="U744" s="100">
        <f>IF(AND(SamplingData[[#This Row],[Total]]&lt;&gt; 0, NOT(ISBLANK(SamplingData[[#This Row],[Candidate 6]]))),(SamplingData[[#This Row],[Total]]+SamplingData[[#This Row],[Losing Candidate]]-SamplingData[[#This Row],[Candidate 6]])/(SamplingData[[#Totals],[Winning Candidate]]-SamplingData[[#Totals],[Candidate 6]]), 0)</f>
        <v>0</v>
      </c>
      <c r="V744" s="100">
        <f>IF(AND(SamplingData[[#This Row],[Total]]&lt;&gt; 0, NOT(ISBLANK(SamplingData[[#This Row],[Candidate 7]]))),(SamplingData[[#This Row],[Total]]+SamplingData[[#This Row],[Winning Candidate]]-SamplingData[[#This Row],[Candidate 7]])/(SamplingData[[#Totals],[Winning Candidate]]-SamplingData[[#Totals],[Candidate 7]]), 0)</f>
        <v>0</v>
      </c>
      <c r="W744" s="100">
        <f>IF(AND(SamplingData[[#This Row],[Total]]&lt;&gt; 0, NOT(ISBLANK(SamplingData[[#This Row],[Candidate 8]]))),(SamplingData[[#This Row],[Total]]+SamplingData[[#This Row],[Winning Candidate]]-SamplingData[[#This Row],[Candidate 8]])/(SamplingData[[#Totals],[Winning Candidate]]-SamplingData[[#Totals],[Candidate 8]]), 0)</f>
        <v>0</v>
      </c>
      <c r="X7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00">
        <f>MAX(SamplingData[[#This Row],[Error Bound (up) - Max. possible relative overstatement - Losing Candidate]:[Error Bound (up) - Max. possible relative overstatement - Candidate 12]])</f>
        <v>1.8845996796180544E-4</v>
      </c>
      <c r="AC744" s="100">
        <f>IF(SamplingData[[#This Row],[Max Error Bound (up)]] = 0,0,SamplingData[[#This Row],[Max Error Bound (up)]]/SamplingData[[#Totals],[Max Error Bound (up)]])</f>
        <v>8.0762397027943816E-5</v>
      </c>
      <c r="AD744" s="104">
        <f>SUM($AC$5:AC744)</f>
        <v>0.22182738383675266</v>
      </c>
      <c r="AE744" s="100" t="str" cm="1">
        <f t="array" ref="AE744">IF(SamplingData[[#This Row],[up/U Selection Probability]] = 0, "Zero", TEXT(SamplingData[[#This Row],[Lower Range]], REPT("0",LEN('General Info'!$B$42))) &amp; " - " &amp; TEXT(SamplingData[[#This Row],[Upper Range]], REPT("0",LEN('General Info'!$B$42))))</f>
        <v>22175 - 22182</v>
      </c>
      <c r="AF744" s="100">
        <f>SamplingData[[#This Row],[Upper Range]]-SamplingData[[#This Row],[Span]]</f>
        <v>22174.662143972473</v>
      </c>
      <c r="AG744" s="100">
        <f>IF(ISNUMBER('General Info'!$B$42), ((SamplingData[[#This Row],[up/U Selection Probability]]) * 'General Info'!$B$44) - 1, 0)</f>
        <v>7.076239702794382</v>
      </c>
      <c r="AH744" s="100">
        <f>IF(ISNUMBER('General Info'!$B$42), (SamplingData[[#This Row],[Running (cumulative) sum]] * ('General Info'!$B$42 -'General Info'!$B$43 + 1)) + 'General Info'!$B$43 - 1, 0)</f>
        <v>22181.738383675267</v>
      </c>
      <c r="AI744" s="100" t="str">
        <f>IF(ISERROR(MATCH(SamplingData[[#This Row],[Batch by Type (p)]],SelectedPrecincts[Batch Name], 0)), "", INDEX(SelectedPrecincts[Draw], MATCH(SamplingData[[#This Row],[Batch by Type (p)]],SelectedPrecincts[Batch Name], 0)))</f>
        <v/>
      </c>
      <c r="AJ744" s="101">
        <f>IF(COUNTIF(SelectedPrecincts[Batch Name],SamplingData[[#This Row],[Batch by Type (p)]]) &lt;&gt; 0, COUNTIF(SelectedPrecincts[Batch Name],SamplingData[[#This Row],[Batch by Type (p)]]), 0)</f>
        <v>0</v>
      </c>
    </row>
    <row r="745" spans="1:36" ht="15" customHeight="1" x14ac:dyDescent="0.35">
      <c r="A745" s="98" t="s">
        <v>956</v>
      </c>
      <c r="B745" s="98">
        <v>31</v>
      </c>
      <c r="C745" s="98">
        <v>6</v>
      </c>
      <c r="D745" s="93"/>
      <c r="E745" s="93"/>
      <c r="F745" s="93"/>
      <c r="G745" s="97"/>
      <c r="H745" s="97"/>
      <c r="I745" s="93"/>
      <c r="J745" s="93"/>
      <c r="K745" s="93"/>
      <c r="L745" s="93"/>
      <c r="M745" s="93"/>
      <c r="N745" s="98">
        <v>0</v>
      </c>
      <c r="O745" s="98">
        <v>3</v>
      </c>
      <c r="P745" s="99">
        <f>SUM(SamplingData[[#This Row],[Winning Candidate]:[Under Votes]])</f>
        <v>40</v>
      </c>
      <c r="Q745" s="100">
        <f>IF(AND(SamplingData[[#This Row],[Total]]&lt;&gt; 0, NOT(ISBLANK(SamplingData[[#This Row],[Losing Candidate]]))),(SamplingData[[#This Row],[Total]]+SamplingData[[#This Row],[Winning Candidate]]-SamplingData[[#This Row],[Losing Candidate]])/(SamplingData[[#Totals],[Winning Candidate]]-SamplingData[[#Totals],[Losing Candidate]]), 0)</f>
        <v>2.0416496529195591E-3</v>
      </c>
      <c r="R745" s="100">
        <f>IF(AND(SamplingData[[#This Row],[Total]]&lt;&gt; 0, NOT(ISBLANK(SamplingData[[#This Row],[Candidate 3]]))),(SamplingData[[#This Row],[Total]]+SamplingData[[#This Row],[Winning Candidate]]-SamplingData[[#This Row],[Candidate 3]])/(SamplingData[[#Totals],[Winning Candidate]]-SamplingData[[#Totals],[Candidate 3]]), 0)</f>
        <v>0</v>
      </c>
      <c r="S745" s="100">
        <f>IF(AND(SamplingData[[#This Row],[Total]]&lt;&gt; 0, NOT(ISBLANK(SamplingData[[#This Row],[Candidate 4]]))),(SamplingData[[#This Row],[Total]]+SamplingData[[#This Row],[Winning Candidate]]-SamplingData[[#This Row],[Candidate 4]])/(SamplingData[[#Totals],[Winning Candidate]]-SamplingData[[#Totals],[Candidate 4]]), 0)</f>
        <v>0</v>
      </c>
      <c r="T745" s="100">
        <f>IF(AND(SamplingData[[#This Row],[Total]]&lt;&gt; 0, NOT(ISBLANK(SamplingData[[#This Row],[Candidate 5]]))),(SamplingData[[#This Row],[Total]]+SamplingData[[#This Row],[Winning Candidate]]-SamplingData[[#This Row],[Candidate 5]])/(SamplingData[[#Totals],[Winning Candidate]]-SamplingData[[#Totals],[Candidate 5]]), 0)</f>
        <v>0</v>
      </c>
      <c r="U745" s="100">
        <f>IF(AND(SamplingData[[#This Row],[Total]]&lt;&gt; 0, NOT(ISBLANK(SamplingData[[#This Row],[Candidate 6]]))),(SamplingData[[#This Row],[Total]]+SamplingData[[#This Row],[Losing Candidate]]-SamplingData[[#This Row],[Candidate 6]])/(SamplingData[[#Totals],[Winning Candidate]]-SamplingData[[#Totals],[Candidate 6]]), 0)</f>
        <v>0</v>
      </c>
      <c r="V745" s="100">
        <f>IF(AND(SamplingData[[#This Row],[Total]]&lt;&gt; 0, NOT(ISBLANK(SamplingData[[#This Row],[Candidate 7]]))),(SamplingData[[#This Row],[Total]]+SamplingData[[#This Row],[Winning Candidate]]-SamplingData[[#This Row],[Candidate 7]])/(SamplingData[[#Totals],[Winning Candidate]]-SamplingData[[#Totals],[Candidate 7]]), 0)</f>
        <v>0</v>
      </c>
      <c r="W745" s="100">
        <f>IF(AND(SamplingData[[#This Row],[Total]]&lt;&gt; 0, NOT(ISBLANK(SamplingData[[#This Row],[Candidate 8]]))),(SamplingData[[#This Row],[Total]]+SamplingData[[#This Row],[Winning Candidate]]-SamplingData[[#This Row],[Candidate 8]])/(SamplingData[[#Totals],[Winning Candidate]]-SamplingData[[#Totals],[Candidate 8]]), 0)</f>
        <v>0</v>
      </c>
      <c r="X7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00">
        <f>MAX(SamplingData[[#This Row],[Error Bound (up) - Max. possible relative overstatement - Losing Candidate]:[Error Bound (up) - Max. possible relative overstatement - Candidate 12]])</f>
        <v>2.0416496529195591E-3</v>
      </c>
      <c r="AC745" s="100">
        <f>IF(SamplingData[[#This Row],[Max Error Bound (up)]] = 0,0,SamplingData[[#This Row],[Max Error Bound (up)]]/SamplingData[[#Totals],[Max Error Bound (up)]])</f>
        <v>8.7492596780272471E-4</v>
      </c>
      <c r="AD745" s="104">
        <f>SUM($AC$5:AC745)</f>
        <v>0.22270230980455538</v>
      </c>
      <c r="AE745" s="100" t="str" cm="1">
        <f t="array" ref="AE745">IF(SamplingData[[#This Row],[up/U Selection Probability]] = 0, "Zero", TEXT(SamplingData[[#This Row],[Lower Range]], REPT("0",LEN('General Info'!$B$42))) &amp; " - " &amp; TEXT(SamplingData[[#This Row],[Upper Range]], REPT("0",LEN('General Info'!$B$42))))</f>
        <v>22183 - 22269</v>
      </c>
      <c r="AF745" s="100">
        <f>SamplingData[[#This Row],[Upper Range]]-SamplingData[[#This Row],[Span]]</f>
        <v>22182.738383675263</v>
      </c>
      <c r="AG745" s="100">
        <f>IF(ISNUMBER('General Info'!$B$42), ((SamplingData[[#This Row],[up/U Selection Probability]]) * 'General Info'!$B$44) - 1, 0)</f>
        <v>86.492596780272464</v>
      </c>
      <c r="AH745" s="100">
        <f>IF(ISNUMBER('General Info'!$B$42), (SamplingData[[#This Row],[Running (cumulative) sum]] * ('General Info'!$B$42 -'General Info'!$B$43 + 1)) + 'General Info'!$B$43 - 1, 0)</f>
        <v>22269.230980455537</v>
      </c>
      <c r="AI745" s="100" t="str">
        <f>IF(ISERROR(MATCH(SamplingData[[#This Row],[Batch by Type (p)]],SelectedPrecincts[Batch Name], 0)), "", INDEX(SelectedPrecincts[Draw], MATCH(SamplingData[[#This Row],[Batch by Type (p)]],SelectedPrecincts[Batch Name], 0)))</f>
        <v/>
      </c>
      <c r="AJ745" s="101">
        <f>IF(COUNTIF(SelectedPrecincts[Batch Name],SamplingData[[#This Row],[Batch by Type (p)]]) &lt;&gt; 0, COUNTIF(SelectedPrecincts[Batch Name],SamplingData[[#This Row],[Batch by Type (p)]]), 0)</f>
        <v>0</v>
      </c>
    </row>
    <row r="746" spans="1:36" ht="15" customHeight="1" x14ac:dyDescent="0.35">
      <c r="A746" s="98" t="s">
        <v>957</v>
      </c>
      <c r="B746" s="98">
        <v>1</v>
      </c>
      <c r="C746" s="98">
        <v>1</v>
      </c>
      <c r="D746" s="93"/>
      <c r="E746" s="93"/>
      <c r="F746" s="93"/>
      <c r="G746" s="97"/>
      <c r="H746" s="97"/>
      <c r="I746" s="93"/>
      <c r="J746" s="93"/>
      <c r="K746" s="93"/>
      <c r="L746" s="93"/>
      <c r="M746" s="93"/>
      <c r="N746" s="98">
        <v>0</v>
      </c>
      <c r="O746" s="98">
        <v>0</v>
      </c>
      <c r="P746" s="99">
        <f>SUM(SamplingData[[#This Row],[Winning Candidate]:[Under Votes]])</f>
        <v>2</v>
      </c>
      <c r="Q746"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746" s="100">
        <f>IF(AND(SamplingData[[#This Row],[Total]]&lt;&gt; 0, NOT(ISBLANK(SamplingData[[#This Row],[Candidate 3]]))),(SamplingData[[#This Row],[Total]]+SamplingData[[#This Row],[Winning Candidate]]-SamplingData[[#This Row],[Candidate 3]])/(SamplingData[[#Totals],[Winning Candidate]]-SamplingData[[#Totals],[Candidate 3]]), 0)</f>
        <v>0</v>
      </c>
      <c r="S746" s="100">
        <f>IF(AND(SamplingData[[#This Row],[Total]]&lt;&gt; 0, NOT(ISBLANK(SamplingData[[#This Row],[Candidate 4]]))),(SamplingData[[#This Row],[Total]]+SamplingData[[#This Row],[Winning Candidate]]-SamplingData[[#This Row],[Candidate 4]])/(SamplingData[[#Totals],[Winning Candidate]]-SamplingData[[#Totals],[Candidate 4]]), 0)</f>
        <v>0</v>
      </c>
      <c r="T746" s="100">
        <f>IF(AND(SamplingData[[#This Row],[Total]]&lt;&gt; 0, NOT(ISBLANK(SamplingData[[#This Row],[Candidate 5]]))),(SamplingData[[#This Row],[Total]]+SamplingData[[#This Row],[Winning Candidate]]-SamplingData[[#This Row],[Candidate 5]])/(SamplingData[[#Totals],[Winning Candidate]]-SamplingData[[#Totals],[Candidate 5]]), 0)</f>
        <v>0</v>
      </c>
      <c r="U746" s="100">
        <f>IF(AND(SamplingData[[#This Row],[Total]]&lt;&gt; 0, NOT(ISBLANK(SamplingData[[#This Row],[Candidate 6]]))),(SamplingData[[#This Row],[Total]]+SamplingData[[#This Row],[Losing Candidate]]-SamplingData[[#This Row],[Candidate 6]])/(SamplingData[[#Totals],[Winning Candidate]]-SamplingData[[#Totals],[Candidate 6]]), 0)</f>
        <v>0</v>
      </c>
      <c r="V746" s="100">
        <f>IF(AND(SamplingData[[#This Row],[Total]]&lt;&gt; 0, NOT(ISBLANK(SamplingData[[#This Row],[Candidate 7]]))),(SamplingData[[#This Row],[Total]]+SamplingData[[#This Row],[Winning Candidate]]-SamplingData[[#This Row],[Candidate 7]])/(SamplingData[[#Totals],[Winning Candidate]]-SamplingData[[#Totals],[Candidate 7]]), 0)</f>
        <v>0</v>
      </c>
      <c r="W746" s="100">
        <f>IF(AND(SamplingData[[#This Row],[Total]]&lt;&gt; 0, NOT(ISBLANK(SamplingData[[#This Row],[Candidate 8]]))),(SamplingData[[#This Row],[Total]]+SamplingData[[#This Row],[Winning Candidate]]-SamplingData[[#This Row],[Candidate 8]])/(SamplingData[[#Totals],[Winning Candidate]]-SamplingData[[#Totals],[Candidate 8]]), 0)</f>
        <v>0</v>
      </c>
      <c r="X7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00">
        <f>MAX(SamplingData[[#This Row],[Error Bound (up) - Max. possible relative overstatement - Losing Candidate]:[Error Bound (up) - Max. possible relative overstatement - Candidate 12]])</f>
        <v>6.2819989320601809E-5</v>
      </c>
      <c r="AC746" s="100">
        <f>IF(SamplingData[[#This Row],[Max Error Bound (up)]] = 0,0,SamplingData[[#This Row],[Max Error Bound (up)]]/SamplingData[[#Totals],[Max Error Bound (up)]])</f>
        <v>2.6920799009314603E-5</v>
      </c>
      <c r="AD746" s="104">
        <f>SUM($AC$5:AC746)</f>
        <v>0.2227292306035647</v>
      </c>
      <c r="AE746" s="100" t="str" cm="1">
        <f t="array" ref="AE746">IF(SamplingData[[#This Row],[up/U Selection Probability]] = 0, "Zero", TEXT(SamplingData[[#This Row],[Lower Range]], REPT("0",LEN('General Info'!$B$42))) &amp; " - " &amp; TEXT(SamplingData[[#This Row],[Upper Range]], REPT("0",LEN('General Info'!$B$42))))</f>
        <v>22270 - 22272</v>
      </c>
      <c r="AF746" s="100">
        <f>SamplingData[[#This Row],[Upper Range]]-SamplingData[[#This Row],[Span]]</f>
        <v>22270.230980455537</v>
      </c>
      <c r="AG746" s="100">
        <f>IF(ISNUMBER('General Info'!$B$42), ((SamplingData[[#This Row],[up/U Selection Probability]]) * 'General Info'!$B$44) - 1, 0)</f>
        <v>1.6920799009314602</v>
      </c>
      <c r="AH746" s="100">
        <f>IF(ISNUMBER('General Info'!$B$42), (SamplingData[[#This Row],[Running (cumulative) sum]] * ('General Info'!$B$42 -'General Info'!$B$43 + 1)) + 'General Info'!$B$43 - 1, 0)</f>
        <v>22271.923060356468</v>
      </c>
      <c r="AI746" s="100" t="str">
        <f>IF(ISERROR(MATCH(SamplingData[[#This Row],[Batch by Type (p)]],SelectedPrecincts[Batch Name], 0)), "", INDEX(SelectedPrecincts[Draw], MATCH(SamplingData[[#This Row],[Batch by Type (p)]],SelectedPrecincts[Batch Name], 0)))</f>
        <v/>
      </c>
      <c r="AJ746" s="101">
        <f>IF(COUNTIF(SelectedPrecincts[Batch Name],SamplingData[[#This Row],[Batch by Type (p)]]) &lt;&gt; 0, COUNTIF(SelectedPrecincts[Batch Name],SamplingData[[#This Row],[Batch by Type (p)]]), 0)</f>
        <v>0</v>
      </c>
    </row>
    <row r="747" spans="1:36" ht="15" customHeight="1" x14ac:dyDescent="0.35">
      <c r="A747" s="98" t="s">
        <v>958</v>
      </c>
      <c r="B747" s="98">
        <v>34</v>
      </c>
      <c r="C747" s="98">
        <v>7</v>
      </c>
      <c r="D747" s="93"/>
      <c r="E747" s="93"/>
      <c r="F747" s="93"/>
      <c r="G747" s="97"/>
      <c r="H747" s="97"/>
      <c r="I747" s="93"/>
      <c r="J747" s="93"/>
      <c r="K747" s="93"/>
      <c r="L747" s="93"/>
      <c r="M747" s="93"/>
      <c r="N747" s="98">
        <v>0</v>
      </c>
      <c r="O747" s="98">
        <v>0</v>
      </c>
      <c r="P747" s="99">
        <f>SUM(SamplingData[[#This Row],[Winning Candidate]:[Under Votes]])</f>
        <v>41</v>
      </c>
      <c r="Q747" s="100">
        <f>IF(AND(SamplingData[[#This Row],[Total]]&lt;&gt; 0, NOT(ISBLANK(SamplingData[[#This Row],[Losing Candidate]]))),(SamplingData[[#This Row],[Total]]+SamplingData[[#This Row],[Winning Candidate]]-SamplingData[[#This Row],[Losing Candidate]])/(SamplingData[[#Totals],[Winning Candidate]]-SamplingData[[#Totals],[Losing Candidate]]), 0)</f>
        <v>2.1358796369004619E-3</v>
      </c>
      <c r="R747" s="100">
        <f>IF(AND(SamplingData[[#This Row],[Total]]&lt;&gt; 0, NOT(ISBLANK(SamplingData[[#This Row],[Candidate 3]]))),(SamplingData[[#This Row],[Total]]+SamplingData[[#This Row],[Winning Candidate]]-SamplingData[[#This Row],[Candidate 3]])/(SamplingData[[#Totals],[Winning Candidate]]-SamplingData[[#Totals],[Candidate 3]]), 0)</f>
        <v>0</v>
      </c>
      <c r="S747" s="100">
        <f>IF(AND(SamplingData[[#This Row],[Total]]&lt;&gt; 0, NOT(ISBLANK(SamplingData[[#This Row],[Candidate 4]]))),(SamplingData[[#This Row],[Total]]+SamplingData[[#This Row],[Winning Candidate]]-SamplingData[[#This Row],[Candidate 4]])/(SamplingData[[#Totals],[Winning Candidate]]-SamplingData[[#Totals],[Candidate 4]]), 0)</f>
        <v>0</v>
      </c>
      <c r="T747" s="100">
        <f>IF(AND(SamplingData[[#This Row],[Total]]&lt;&gt; 0, NOT(ISBLANK(SamplingData[[#This Row],[Candidate 5]]))),(SamplingData[[#This Row],[Total]]+SamplingData[[#This Row],[Winning Candidate]]-SamplingData[[#This Row],[Candidate 5]])/(SamplingData[[#Totals],[Winning Candidate]]-SamplingData[[#Totals],[Candidate 5]]), 0)</f>
        <v>0</v>
      </c>
      <c r="U747" s="100">
        <f>IF(AND(SamplingData[[#This Row],[Total]]&lt;&gt; 0, NOT(ISBLANK(SamplingData[[#This Row],[Candidate 6]]))),(SamplingData[[#This Row],[Total]]+SamplingData[[#This Row],[Losing Candidate]]-SamplingData[[#This Row],[Candidate 6]])/(SamplingData[[#Totals],[Winning Candidate]]-SamplingData[[#Totals],[Candidate 6]]), 0)</f>
        <v>0</v>
      </c>
      <c r="V747" s="100">
        <f>IF(AND(SamplingData[[#This Row],[Total]]&lt;&gt; 0, NOT(ISBLANK(SamplingData[[#This Row],[Candidate 7]]))),(SamplingData[[#This Row],[Total]]+SamplingData[[#This Row],[Winning Candidate]]-SamplingData[[#This Row],[Candidate 7]])/(SamplingData[[#Totals],[Winning Candidate]]-SamplingData[[#Totals],[Candidate 7]]), 0)</f>
        <v>0</v>
      </c>
      <c r="W747" s="100">
        <f>IF(AND(SamplingData[[#This Row],[Total]]&lt;&gt; 0, NOT(ISBLANK(SamplingData[[#This Row],[Candidate 8]]))),(SamplingData[[#This Row],[Total]]+SamplingData[[#This Row],[Winning Candidate]]-SamplingData[[#This Row],[Candidate 8]])/(SamplingData[[#Totals],[Winning Candidate]]-SamplingData[[#Totals],[Candidate 8]]), 0)</f>
        <v>0</v>
      </c>
      <c r="X7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00">
        <f>MAX(SamplingData[[#This Row],[Error Bound (up) - Max. possible relative overstatement - Losing Candidate]:[Error Bound (up) - Max. possible relative overstatement - Candidate 12]])</f>
        <v>2.1358796369004619E-3</v>
      </c>
      <c r="AC747" s="100">
        <f>IF(SamplingData[[#This Row],[Max Error Bound (up)]] = 0,0,SamplingData[[#This Row],[Max Error Bound (up)]]/SamplingData[[#Totals],[Max Error Bound (up)]])</f>
        <v>9.1530716631669671E-4</v>
      </c>
      <c r="AD747" s="104">
        <f>SUM($AC$5:AC747)</f>
        <v>0.22364453776988139</v>
      </c>
      <c r="AE747" s="100" t="str" cm="1">
        <f t="array" ref="AE747">IF(SamplingData[[#This Row],[up/U Selection Probability]] = 0, "Zero", TEXT(SamplingData[[#This Row],[Lower Range]], REPT("0",LEN('General Info'!$B$42))) &amp; " - " &amp; TEXT(SamplingData[[#This Row],[Upper Range]], REPT("0",LEN('General Info'!$B$42))))</f>
        <v>22273 - 22363</v>
      </c>
      <c r="AF747" s="100">
        <f>SamplingData[[#This Row],[Upper Range]]-SamplingData[[#This Row],[Span]]</f>
        <v>22272.923060356468</v>
      </c>
      <c r="AG747" s="100">
        <f>IF(ISNUMBER('General Info'!$B$42), ((SamplingData[[#This Row],[up/U Selection Probability]]) * 'General Info'!$B$44) - 1, 0)</f>
        <v>90.530716631669677</v>
      </c>
      <c r="AH747" s="100">
        <f>IF(ISNUMBER('General Info'!$B$42), (SamplingData[[#This Row],[Running (cumulative) sum]] * ('General Info'!$B$42 -'General Info'!$B$43 + 1)) + 'General Info'!$B$43 - 1, 0)</f>
        <v>22363.453776988139</v>
      </c>
      <c r="AI747" s="100" t="str">
        <f>IF(ISERROR(MATCH(SamplingData[[#This Row],[Batch by Type (p)]],SelectedPrecincts[Batch Name], 0)), "", INDEX(SelectedPrecincts[Draw], MATCH(SamplingData[[#This Row],[Batch by Type (p)]],SelectedPrecincts[Batch Name], 0)))</f>
        <v/>
      </c>
      <c r="AJ747" s="101">
        <f>IF(COUNTIF(SelectedPrecincts[Batch Name],SamplingData[[#This Row],[Batch by Type (p)]]) &lt;&gt; 0, COUNTIF(SelectedPrecincts[Batch Name],SamplingData[[#This Row],[Batch by Type (p)]]), 0)</f>
        <v>0</v>
      </c>
    </row>
    <row r="748" spans="1:36" ht="15" customHeight="1" x14ac:dyDescent="0.35">
      <c r="A748" s="98" t="s">
        <v>959</v>
      </c>
      <c r="B748" s="98">
        <v>6</v>
      </c>
      <c r="C748" s="98">
        <v>0</v>
      </c>
      <c r="D748" s="93"/>
      <c r="E748" s="93"/>
      <c r="F748" s="93"/>
      <c r="G748" s="97"/>
      <c r="H748" s="97"/>
      <c r="I748" s="93"/>
      <c r="J748" s="93"/>
      <c r="K748" s="93"/>
      <c r="L748" s="93"/>
      <c r="M748" s="93"/>
      <c r="N748" s="98">
        <v>0</v>
      </c>
      <c r="O748" s="98">
        <v>0</v>
      </c>
      <c r="P748" s="99">
        <f>SUM(SamplingData[[#This Row],[Winning Candidate]:[Under Votes]])</f>
        <v>6</v>
      </c>
      <c r="Q748" s="100">
        <f>IF(AND(SamplingData[[#This Row],[Total]]&lt;&gt; 0, NOT(ISBLANK(SamplingData[[#This Row],[Losing Candidate]]))),(SamplingData[[#This Row],[Total]]+SamplingData[[#This Row],[Winning Candidate]]-SamplingData[[#This Row],[Losing Candidate]])/(SamplingData[[#Totals],[Winning Candidate]]-SamplingData[[#Totals],[Losing Candidate]]), 0)</f>
        <v>3.7691993592361088E-4</v>
      </c>
      <c r="R748" s="100">
        <f>IF(AND(SamplingData[[#This Row],[Total]]&lt;&gt; 0, NOT(ISBLANK(SamplingData[[#This Row],[Candidate 3]]))),(SamplingData[[#This Row],[Total]]+SamplingData[[#This Row],[Winning Candidate]]-SamplingData[[#This Row],[Candidate 3]])/(SamplingData[[#Totals],[Winning Candidate]]-SamplingData[[#Totals],[Candidate 3]]), 0)</f>
        <v>0</v>
      </c>
      <c r="S748" s="100">
        <f>IF(AND(SamplingData[[#This Row],[Total]]&lt;&gt; 0, NOT(ISBLANK(SamplingData[[#This Row],[Candidate 4]]))),(SamplingData[[#This Row],[Total]]+SamplingData[[#This Row],[Winning Candidate]]-SamplingData[[#This Row],[Candidate 4]])/(SamplingData[[#Totals],[Winning Candidate]]-SamplingData[[#Totals],[Candidate 4]]), 0)</f>
        <v>0</v>
      </c>
      <c r="T748" s="100">
        <f>IF(AND(SamplingData[[#This Row],[Total]]&lt;&gt; 0, NOT(ISBLANK(SamplingData[[#This Row],[Candidate 5]]))),(SamplingData[[#This Row],[Total]]+SamplingData[[#This Row],[Winning Candidate]]-SamplingData[[#This Row],[Candidate 5]])/(SamplingData[[#Totals],[Winning Candidate]]-SamplingData[[#Totals],[Candidate 5]]), 0)</f>
        <v>0</v>
      </c>
      <c r="U748" s="100">
        <f>IF(AND(SamplingData[[#This Row],[Total]]&lt;&gt; 0, NOT(ISBLANK(SamplingData[[#This Row],[Candidate 6]]))),(SamplingData[[#This Row],[Total]]+SamplingData[[#This Row],[Losing Candidate]]-SamplingData[[#This Row],[Candidate 6]])/(SamplingData[[#Totals],[Winning Candidate]]-SamplingData[[#Totals],[Candidate 6]]), 0)</f>
        <v>0</v>
      </c>
      <c r="V748" s="100">
        <f>IF(AND(SamplingData[[#This Row],[Total]]&lt;&gt; 0, NOT(ISBLANK(SamplingData[[#This Row],[Candidate 7]]))),(SamplingData[[#This Row],[Total]]+SamplingData[[#This Row],[Winning Candidate]]-SamplingData[[#This Row],[Candidate 7]])/(SamplingData[[#Totals],[Winning Candidate]]-SamplingData[[#Totals],[Candidate 7]]), 0)</f>
        <v>0</v>
      </c>
      <c r="W748" s="100">
        <f>IF(AND(SamplingData[[#This Row],[Total]]&lt;&gt; 0, NOT(ISBLANK(SamplingData[[#This Row],[Candidate 8]]))),(SamplingData[[#This Row],[Total]]+SamplingData[[#This Row],[Winning Candidate]]-SamplingData[[#This Row],[Candidate 8]])/(SamplingData[[#Totals],[Winning Candidate]]-SamplingData[[#Totals],[Candidate 8]]), 0)</f>
        <v>0</v>
      </c>
      <c r="X7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00">
        <f>MAX(SamplingData[[#This Row],[Error Bound (up) - Max. possible relative overstatement - Losing Candidate]:[Error Bound (up) - Max. possible relative overstatement - Candidate 12]])</f>
        <v>3.7691993592361088E-4</v>
      </c>
      <c r="AC748" s="100">
        <f>IF(SamplingData[[#This Row],[Max Error Bound (up)]] = 0,0,SamplingData[[#This Row],[Max Error Bound (up)]]/SamplingData[[#Totals],[Max Error Bound (up)]])</f>
        <v>1.6152479405588763E-4</v>
      </c>
      <c r="AD748" s="104">
        <f>SUM($AC$5:AC748)</f>
        <v>0.22380606256393729</v>
      </c>
      <c r="AE748" s="100" t="str" cm="1">
        <f t="array" ref="AE748">IF(SamplingData[[#This Row],[up/U Selection Probability]] = 0, "Zero", TEXT(SamplingData[[#This Row],[Lower Range]], REPT("0",LEN('General Info'!$B$42))) &amp; " - " &amp; TEXT(SamplingData[[#This Row],[Upper Range]], REPT("0",LEN('General Info'!$B$42))))</f>
        <v>22364 - 22380</v>
      </c>
      <c r="AF748" s="100">
        <f>SamplingData[[#This Row],[Upper Range]]-SamplingData[[#This Row],[Span]]</f>
        <v>22364.453776988143</v>
      </c>
      <c r="AG748" s="100">
        <f>IF(ISNUMBER('General Info'!$B$42), ((SamplingData[[#This Row],[up/U Selection Probability]]) * 'General Info'!$B$44) - 1, 0)</f>
        <v>15.152479405588764</v>
      </c>
      <c r="AH748" s="100">
        <f>IF(ISNUMBER('General Info'!$B$42), (SamplingData[[#This Row],[Running (cumulative) sum]] * ('General Info'!$B$42 -'General Info'!$B$43 + 1)) + 'General Info'!$B$43 - 1, 0)</f>
        <v>22379.60625639373</v>
      </c>
      <c r="AI748" s="100" t="str">
        <f>IF(ISERROR(MATCH(SamplingData[[#This Row],[Batch by Type (p)]],SelectedPrecincts[Batch Name], 0)), "", INDEX(SelectedPrecincts[Draw], MATCH(SamplingData[[#This Row],[Batch by Type (p)]],SelectedPrecincts[Batch Name], 0)))</f>
        <v/>
      </c>
      <c r="AJ748" s="101">
        <f>IF(COUNTIF(SelectedPrecincts[Batch Name],SamplingData[[#This Row],[Batch by Type (p)]]) &lt;&gt; 0, COUNTIF(SelectedPrecincts[Batch Name],SamplingData[[#This Row],[Batch by Type (p)]]), 0)</f>
        <v>0</v>
      </c>
    </row>
    <row r="749" spans="1:36" ht="15" customHeight="1" x14ac:dyDescent="0.35">
      <c r="A749" s="98" t="s">
        <v>960</v>
      </c>
      <c r="B749" s="98">
        <v>41</v>
      </c>
      <c r="C749" s="98">
        <v>12</v>
      </c>
      <c r="D749" s="93"/>
      <c r="E749" s="93"/>
      <c r="F749" s="93"/>
      <c r="G749" s="97"/>
      <c r="H749" s="97"/>
      <c r="I749" s="93"/>
      <c r="J749" s="93"/>
      <c r="K749" s="93"/>
      <c r="L749" s="93"/>
      <c r="M749" s="93"/>
      <c r="N749" s="98">
        <v>0</v>
      </c>
      <c r="O749" s="98">
        <v>1</v>
      </c>
      <c r="P749" s="99">
        <f>SUM(SamplingData[[#This Row],[Winning Candidate]:[Under Votes]])</f>
        <v>54</v>
      </c>
      <c r="Q749" s="100">
        <f>IF(AND(SamplingData[[#This Row],[Total]]&lt;&gt; 0, NOT(ISBLANK(SamplingData[[#This Row],[Losing Candidate]]))),(SamplingData[[#This Row],[Total]]+SamplingData[[#This Row],[Winning Candidate]]-SamplingData[[#This Row],[Losing Candidate]])/(SamplingData[[#Totals],[Winning Candidate]]-SamplingData[[#Totals],[Losing Candidate]]), 0)</f>
        <v>2.6070295568049752E-3</v>
      </c>
      <c r="R749" s="100">
        <f>IF(AND(SamplingData[[#This Row],[Total]]&lt;&gt; 0, NOT(ISBLANK(SamplingData[[#This Row],[Candidate 3]]))),(SamplingData[[#This Row],[Total]]+SamplingData[[#This Row],[Winning Candidate]]-SamplingData[[#This Row],[Candidate 3]])/(SamplingData[[#Totals],[Winning Candidate]]-SamplingData[[#Totals],[Candidate 3]]), 0)</f>
        <v>0</v>
      </c>
      <c r="S749" s="100">
        <f>IF(AND(SamplingData[[#This Row],[Total]]&lt;&gt; 0, NOT(ISBLANK(SamplingData[[#This Row],[Candidate 4]]))),(SamplingData[[#This Row],[Total]]+SamplingData[[#This Row],[Winning Candidate]]-SamplingData[[#This Row],[Candidate 4]])/(SamplingData[[#Totals],[Winning Candidate]]-SamplingData[[#Totals],[Candidate 4]]), 0)</f>
        <v>0</v>
      </c>
      <c r="T749" s="100">
        <f>IF(AND(SamplingData[[#This Row],[Total]]&lt;&gt; 0, NOT(ISBLANK(SamplingData[[#This Row],[Candidate 5]]))),(SamplingData[[#This Row],[Total]]+SamplingData[[#This Row],[Winning Candidate]]-SamplingData[[#This Row],[Candidate 5]])/(SamplingData[[#Totals],[Winning Candidate]]-SamplingData[[#Totals],[Candidate 5]]), 0)</f>
        <v>0</v>
      </c>
      <c r="U749" s="100">
        <f>IF(AND(SamplingData[[#This Row],[Total]]&lt;&gt; 0, NOT(ISBLANK(SamplingData[[#This Row],[Candidate 6]]))),(SamplingData[[#This Row],[Total]]+SamplingData[[#This Row],[Losing Candidate]]-SamplingData[[#This Row],[Candidate 6]])/(SamplingData[[#Totals],[Winning Candidate]]-SamplingData[[#Totals],[Candidate 6]]), 0)</f>
        <v>0</v>
      </c>
      <c r="V749" s="100">
        <f>IF(AND(SamplingData[[#This Row],[Total]]&lt;&gt; 0, NOT(ISBLANK(SamplingData[[#This Row],[Candidate 7]]))),(SamplingData[[#This Row],[Total]]+SamplingData[[#This Row],[Winning Candidate]]-SamplingData[[#This Row],[Candidate 7]])/(SamplingData[[#Totals],[Winning Candidate]]-SamplingData[[#Totals],[Candidate 7]]), 0)</f>
        <v>0</v>
      </c>
      <c r="W749" s="100">
        <f>IF(AND(SamplingData[[#This Row],[Total]]&lt;&gt; 0, NOT(ISBLANK(SamplingData[[#This Row],[Candidate 8]]))),(SamplingData[[#This Row],[Total]]+SamplingData[[#This Row],[Winning Candidate]]-SamplingData[[#This Row],[Candidate 8]])/(SamplingData[[#Totals],[Winning Candidate]]-SamplingData[[#Totals],[Candidate 8]]), 0)</f>
        <v>0</v>
      </c>
      <c r="X7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00">
        <f>MAX(SamplingData[[#This Row],[Error Bound (up) - Max. possible relative overstatement - Losing Candidate]:[Error Bound (up) - Max. possible relative overstatement - Candidate 12]])</f>
        <v>2.6070295568049752E-3</v>
      </c>
      <c r="AC749" s="100">
        <f>IF(SamplingData[[#This Row],[Max Error Bound (up)]] = 0,0,SamplingData[[#This Row],[Max Error Bound (up)]]/SamplingData[[#Totals],[Max Error Bound (up)]])</f>
        <v>1.1172131588865562E-3</v>
      </c>
      <c r="AD749" s="104">
        <f>SUM($AC$5:AC749)</f>
        <v>0.22492327572282383</v>
      </c>
      <c r="AE749" s="100" t="str" cm="1">
        <f t="array" ref="AE749">IF(SamplingData[[#This Row],[up/U Selection Probability]] = 0, "Zero", TEXT(SamplingData[[#This Row],[Lower Range]], REPT("0",LEN('General Info'!$B$42))) &amp; " - " &amp; TEXT(SamplingData[[#This Row],[Upper Range]], REPT("0",LEN('General Info'!$B$42))))</f>
        <v>22381 - 22491</v>
      </c>
      <c r="AF749" s="100">
        <f>SamplingData[[#This Row],[Upper Range]]-SamplingData[[#This Row],[Span]]</f>
        <v>22380.606256393727</v>
      </c>
      <c r="AG749" s="100">
        <f>IF(ISNUMBER('General Info'!$B$42), ((SamplingData[[#This Row],[up/U Selection Probability]]) * 'General Info'!$B$44) - 1, 0)</f>
        <v>110.72131588865562</v>
      </c>
      <c r="AH749" s="100">
        <f>IF(ISNUMBER('General Info'!$B$42), (SamplingData[[#This Row],[Running (cumulative) sum]] * ('General Info'!$B$42 -'General Info'!$B$43 + 1)) + 'General Info'!$B$43 - 1, 0)</f>
        <v>22491.327572282382</v>
      </c>
      <c r="AI749" s="100" t="str">
        <f>IF(ISERROR(MATCH(SamplingData[[#This Row],[Batch by Type (p)]],SelectedPrecincts[Batch Name], 0)), "", INDEX(SelectedPrecincts[Draw], MATCH(SamplingData[[#This Row],[Batch by Type (p)]],SelectedPrecincts[Batch Name], 0)))</f>
        <v/>
      </c>
      <c r="AJ749" s="101">
        <f>IF(COUNTIF(SelectedPrecincts[Batch Name],SamplingData[[#This Row],[Batch by Type (p)]]) &lt;&gt; 0, COUNTIF(SelectedPrecincts[Batch Name],SamplingData[[#This Row],[Batch by Type (p)]]), 0)</f>
        <v>0</v>
      </c>
    </row>
    <row r="750" spans="1:36" ht="15" customHeight="1" x14ac:dyDescent="0.35">
      <c r="A750" s="98" t="s">
        <v>961</v>
      </c>
      <c r="B750" s="98">
        <v>15</v>
      </c>
      <c r="C750" s="98">
        <v>2</v>
      </c>
      <c r="D750" s="93"/>
      <c r="E750" s="93"/>
      <c r="F750" s="93"/>
      <c r="G750" s="97"/>
      <c r="H750" s="97"/>
      <c r="I750" s="93"/>
      <c r="J750" s="93"/>
      <c r="K750" s="93"/>
      <c r="L750" s="93"/>
      <c r="M750" s="93"/>
      <c r="N750" s="98">
        <v>0</v>
      </c>
      <c r="O750" s="98">
        <v>0</v>
      </c>
      <c r="P750" s="99">
        <f>SUM(SamplingData[[#This Row],[Winning Candidate]:[Under Votes]])</f>
        <v>17</v>
      </c>
      <c r="Q750"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750" s="100">
        <f>IF(AND(SamplingData[[#This Row],[Total]]&lt;&gt; 0, NOT(ISBLANK(SamplingData[[#This Row],[Candidate 3]]))),(SamplingData[[#This Row],[Total]]+SamplingData[[#This Row],[Winning Candidate]]-SamplingData[[#This Row],[Candidate 3]])/(SamplingData[[#Totals],[Winning Candidate]]-SamplingData[[#Totals],[Candidate 3]]), 0)</f>
        <v>0</v>
      </c>
      <c r="S750" s="100">
        <f>IF(AND(SamplingData[[#This Row],[Total]]&lt;&gt; 0, NOT(ISBLANK(SamplingData[[#This Row],[Candidate 4]]))),(SamplingData[[#This Row],[Total]]+SamplingData[[#This Row],[Winning Candidate]]-SamplingData[[#This Row],[Candidate 4]])/(SamplingData[[#Totals],[Winning Candidate]]-SamplingData[[#Totals],[Candidate 4]]), 0)</f>
        <v>0</v>
      </c>
      <c r="T750" s="100">
        <f>IF(AND(SamplingData[[#This Row],[Total]]&lt;&gt; 0, NOT(ISBLANK(SamplingData[[#This Row],[Candidate 5]]))),(SamplingData[[#This Row],[Total]]+SamplingData[[#This Row],[Winning Candidate]]-SamplingData[[#This Row],[Candidate 5]])/(SamplingData[[#Totals],[Winning Candidate]]-SamplingData[[#Totals],[Candidate 5]]), 0)</f>
        <v>0</v>
      </c>
      <c r="U750" s="100">
        <f>IF(AND(SamplingData[[#This Row],[Total]]&lt;&gt; 0, NOT(ISBLANK(SamplingData[[#This Row],[Candidate 6]]))),(SamplingData[[#This Row],[Total]]+SamplingData[[#This Row],[Losing Candidate]]-SamplingData[[#This Row],[Candidate 6]])/(SamplingData[[#Totals],[Winning Candidate]]-SamplingData[[#Totals],[Candidate 6]]), 0)</f>
        <v>0</v>
      </c>
      <c r="V750" s="100">
        <f>IF(AND(SamplingData[[#This Row],[Total]]&lt;&gt; 0, NOT(ISBLANK(SamplingData[[#This Row],[Candidate 7]]))),(SamplingData[[#This Row],[Total]]+SamplingData[[#This Row],[Winning Candidate]]-SamplingData[[#This Row],[Candidate 7]])/(SamplingData[[#Totals],[Winning Candidate]]-SamplingData[[#Totals],[Candidate 7]]), 0)</f>
        <v>0</v>
      </c>
      <c r="W750" s="100">
        <f>IF(AND(SamplingData[[#This Row],[Total]]&lt;&gt; 0, NOT(ISBLANK(SamplingData[[#This Row],[Candidate 8]]))),(SamplingData[[#This Row],[Total]]+SamplingData[[#This Row],[Winning Candidate]]-SamplingData[[#This Row],[Candidate 8]])/(SamplingData[[#Totals],[Winning Candidate]]-SamplingData[[#Totals],[Candidate 8]]), 0)</f>
        <v>0</v>
      </c>
      <c r="X7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00">
        <f>MAX(SamplingData[[#This Row],[Error Bound (up) - Max. possible relative overstatement - Losing Candidate]:[Error Bound (up) - Max. possible relative overstatement - Candidate 12]])</f>
        <v>9.4229983980902718E-4</v>
      </c>
      <c r="AC750" s="100">
        <f>IF(SamplingData[[#This Row],[Max Error Bound (up)]] = 0,0,SamplingData[[#This Row],[Max Error Bound (up)]]/SamplingData[[#Totals],[Max Error Bound (up)]])</f>
        <v>4.0381198513971905E-4</v>
      </c>
      <c r="AD750" s="104">
        <f>SUM($AC$5:AC750)</f>
        <v>0.22532708770796356</v>
      </c>
      <c r="AE750" s="100" t="str" cm="1">
        <f t="array" ref="AE750">IF(SamplingData[[#This Row],[up/U Selection Probability]] = 0, "Zero", TEXT(SamplingData[[#This Row],[Lower Range]], REPT("0",LEN('General Info'!$B$42))) &amp; " - " &amp; TEXT(SamplingData[[#This Row],[Upper Range]], REPT("0",LEN('General Info'!$B$42))))</f>
        <v>22492 - 22532</v>
      </c>
      <c r="AF750" s="100">
        <f>SamplingData[[#This Row],[Upper Range]]-SamplingData[[#This Row],[Span]]</f>
        <v>22492.327572282382</v>
      </c>
      <c r="AG750" s="100">
        <f>IF(ISNUMBER('General Info'!$B$42), ((SamplingData[[#This Row],[up/U Selection Probability]]) * 'General Info'!$B$44) - 1, 0)</f>
        <v>39.381198513971903</v>
      </c>
      <c r="AH750" s="100">
        <f>IF(ISNUMBER('General Info'!$B$42), (SamplingData[[#This Row],[Running (cumulative) sum]] * ('General Info'!$B$42 -'General Info'!$B$43 + 1)) + 'General Info'!$B$43 - 1, 0)</f>
        <v>22531.708770796355</v>
      </c>
      <c r="AI750" s="100" t="str">
        <f>IF(ISERROR(MATCH(SamplingData[[#This Row],[Batch by Type (p)]],SelectedPrecincts[Batch Name], 0)), "", INDEX(SelectedPrecincts[Draw], MATCH(SamplingData[[#This Row],[Batch by Type (p)]],SelectedPrecincts[Batch Name], 0)))</f>
        <v/>
      </c>
      <c r="AJ750" s="101">
        <f>IF(COUNTIF(SelectedPrecincts[Batch Name],SamplingData[[#This Row],[Batch by Type (p)]]) &lt;&gt; 0, COUNTIF(SelectedPrecincts[Batch Name],SamplingData[[#This Row],[Batch by Type (p)]]), 0)</f>
        <v>0</v>
      </c>
    </row>
    <row r="751" spans="1:36" ht="15" customHeight="1" x14ac:dyDescent="0.35">
      <c r="A751" s="98" t="s">
        <v>962</v>
      </c>
      <c r="B751" s="98">
        <v>4</v>
      </c>
      <c r="C751" s="98">
        <v>0</v>
      </c>
      <c r="D751" s="93"/>
      <c r="E751" s="93"/>
      <c r="F751" s="93"/>
      <c r="G751" s="97"/>
      <c r="H751" s="97"/>
      <c r="I751" s="93"/>
      <c r="J751" s="93"/>
      <c r="K751" s="93"/>
      <c r="L751" s="93"/>
      <c r="M751" s="93"/>
      <c r="N751" s="98">
        <v>0</v>
      </c>
      <c r="O751" s="98">
        <v>0</v>
      </c>
      <c r="P751" s="99">
        <f>SUM(SamplingData[[#This Row],[Winning Candidate]:[Under Votes]])</f>
        <v>4</v>
      </c>
      <c r="Q751"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751" s="100">
        <f>IF(AND(SamplingData[[#This Row],[Total]]&lt;&gt; 0, NOT(ISBLANK(SamplingData[[#This Row],[Candidate 3]]))),(SamplingData[[#This Row],[Total]]+SamplingData[[#This Row],[Winning Candidate]]-SamplingData[[#This Row],[Candidate 3]])/(SamplingData[[#Totals],[Winning Candidate]]-SamplingData[[#Totals],[Candidate 3]]), 0)</f>
        <v>0</v>
      </c>
      <c r="S751" s="100">
        <f>IF(AND(SamplingData[[#This Row],[Total]]&lt;&gt; 0, NOT(ISBLANK(SamplingData[[#This Row],[Candidate 4]]))),(SamplingData[[#This Row],[Total]]+SamplingData[[#This Row],[Winning Candidate]]-SamplingData[[#This Row],[Candidate 4]])/(SamplingData[[#Totals],[Winning Candidate]]-SamplingData[[#Totals],[Candidate 4]]), 0)</f>
        <v>0</v>
      </c>
      <c r="T751" s="100">
        <f>IF(AND(SamplingData[[#This Row],[Total]]&lt;&gt; 0, NOT(ISBLANK(SamplingData[[#This Row],[Candidate 5]]))),(SamplingData[[#This Row],[Total]]+SamplingData[[#This Row],[Winning Candidate]]-SamplingData[[#This Row],[Candidate 5]])/(SamplingData[[#Totals],[Winning Candidate]]-SamplingData[[#Totals],[Candidate 5]]), 0)</f>
        <v>0</v>
      </c>
      <c r="U751" s="100">
        <f>IF(AND(SamplingData[[#This Row],[Total]]&lt;&gt; 0, NOT(ISBLANK(SamplingData[[#This Row],[Candidate 6]]))),(SamplingData[[#This Row],[Total]]+SamplingData[[#This Row],[Losing Candidate]]-SamplingData[[#This Row],[Candidate 6]])/(SamplingData[[#Totals],[Winning Candidate]]-SamplingData[[#Totals],[Candidate 6]]), 0)</f>
        <v>0</v>
      </c>
      <c r="V751" s="100">
        <f>IF(AND(SamplingData[[#This Row],[Total]]&lt;&gt; 0, NOT(ISBLANK(SamplingData[[#This Row],[Candidate 7]]))),(SamplingData[[#This Row],[Total]]+SamplingData[[#This Row],[Winning Candidate]]-SamplingData[[#This Row],[Candidate 7]])/(SamplingData[[#Totals],[Winning Candidate]]-SamplingData[[#Totals],[Candidate 7]]), 0)</f>
        <v>0</v>
      </c>
      <c r="W751" s="100">
        <f>IF(AND(SamplingData[[#This Row],[Total]]&lt;&gt; 0, NOT(ISBLANK(SamplingData[[#This Row],[Candidate 8]]))),(SamplingData[[#This Row],[Total]]+SamplingData[[#This Row],[Winning Candidate]]-SamplingData[[#This Row],[Candidate 8]])/(SamplingData[[#Totals],[Winning Candidate]]-SamplingData[[#Totals],[Candidate 8]]), 0)</f>
        <v>0</v>
      </c>
      <c r="X7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00">
        <f>MAX(SamplingData[[#This Row],[Error Bound (up) - Max. possible relative overstatement - Losing Candidate]:[Error Bound (up) - Max. possible relative overstatement - Candidate 12]])</f>
        <v>2.5127995728240724E-4</v>
      </c>
      <c r="AC751" s="100">
        <f>IF(SamplingData[[#This Row],[Max Error Bound (up)]] = 0,0,SamplingData[[#This Row],[Max Error Bound (up)]]/SamplingData[[#Totals],[Max Error Bound (up)]])</f>
        <v>1.0768319603725841E-4</v>
      </c>
      <c r="AD751" s="104">
        <f>SUM($AC$5:AC751)</f>
        <v>0.22543477090400083</v>
      </c>
      <c r="AE751" s="100" t="str" cm="1">
        <f t="array" ref="AE751">IF(SamplingData[[#This Row],[up/U Selection Probability]] = 0, "Zero", TEXT(SamplingData[[#This Row],[Lower Range]], REPT("0",LEN('General Info'!$B$42))) &amp; " - " &amp; TEXT(SamplingData[[#This Row],[Upper Range]], REPT("0",LEN('General Info'!$B$42))))</f>
        <v>22533 - 22542</v>
      </c>
      <c r="AF751" s="100">
        <f>SamplingData[[#This Row],[Upper Range]]-SamplingData[[#This Row],[Span]]</f>
        <v>22532.708770796358</v>
      </c>
      <c r="AG751" s="100">
        <f>IF(ISNUMBER('General Info'!$B$42), ((SamplingData[[#This Row],[up/U Selection Probability]]) * 'General Info'!$B$44) - 1, 0)</f>
        <v>9.7683196037258408</v>
      </c>
      <c r="AH751" s="100">
        <f>IF(ISNUMBER('General Info'!$B$42), (SamplingData[[#This Row],[Running (cumulative) sum]] * ('General Info'!$B$42 -'General Info'!$B$43 + 1)) + 'General Info'!$B$43 - 1, 0)</f>
        <v>22542.477090400083</v>
      </c>
      <c r="AI751" s="100" t="str">
        <f>IF(ISERROR(MATCH(SamplingData[[#This Row],[Batch by Type (p)]],SelectedPrecincts[Batch Name], 0)), "", INDEX(SelectedPrecincts[Draw], MATCH(SamplingData[[#This Row],[Batch by Type (p)]],SelectedPrecincts[Batch Name], 0)))</f>
        <v/>
      </c>
      <c r="AJ751" s="101">
        <f>IF(COUNTIF(SelectedPrecincts[Batch Name],SamplingData[[#This Row],[Batch by Type (p)]]) &lt;&gt; 0, COUNTIF(SelectedPrecincts[Batch Name],SamplingData[[#This Row],[Batch by Type (p)]]), 0)</f>
        <v>0</v>
      </c>
    </row>
    <row r="752" spans="1:36" ht="15" customHeight="1" x14ac:dyDescent="0.35">
      <c r="A752" s="98" t="s">
        <v>963</v>
      </c>
      <c r="B752" s="98">
        <v>21</v>
      </c>
      <c r="C752" s="98">
        <v>1</v>
      </c>
      <c r="D752" s="93"/>
      <c r="E752" s="93"/>
      <c r="F752" s="93"/>
      <c r="G752" s="97"/>
      <c r="H752" s="97"/>
      <c r="I752" s="93"/>
      <c r="J752" s="93"/>
      <c r="K752" s="93"/>
      <c r="L752" s="93"/>
      <c r="M752" s="93"/>
      <c r="N752" s="98">
        <v>0</v>
      </c>
      <c r="O752" s="98">
        <v>0</v>
      </c>
      <c r="P752" s="99">
        <f>SUM(SamplingData[[#This Row],[Winning Candidate]:[Under Votes]])</f>
        <v>22</v>
      </c>
      <c r="Q752"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752" s="100">
        <f>IF(AND(SamplingData[[#This Row],[Total]]&lt;&gt; 0, NOT(ISBLANK(SamplingData[[#This Row],[Candidate 3]]))),(SamplingData[[#This Row],[Total]]+SamplingData[[#This Row],[Winning Candidate]]-SamplingData[[#This Row],[Candidate 3]])/(SamplingData[[#Totals],[Winning Candidate]]-SamplingData[[#Totals],[Candidate 3]]), 0)</f>
        <v>0</v>
      </c>
      <c r="S752" s="100">
        <f>IF(AND(SamplingData[[#This Row],[Total]]&lt;&gt; 0, NOT(ISBLANK(SamplingData[[#This Row],[Candidate 4]]))),(SamplingData[[#This Row],[Total]]+SamplingData[[#This Row],[Winning Candidate]]-SamplingData[[#This Row],[Candidate 4]])/(SamplingData[[#Totals],[Winning Candidate]]-SamplingData[[#Totals],[Candidate 4]]), 0)</f>
        <v>0</v>
      </c>
      <c r="T752" s="100">
        <f>IF(AND(SamplingData[[#This Row],[Total]]&lt;&gt; 0, NOT(ISBLANK(SamplingData[[#This Row],[Candidate 5]]))),(SamplingData[[#This Row],[Total]]+SamplingData[[#This Row],[Winning Candidate]]-SamplingData[[#This Row],[Candidate 5]])/(SamplingData[[#Totals],[Winning Candidate]]-SamplingData[[#Totals],[Candidate 5]]), 0)</f>
        <v>0</v>
      </c>
      <c r="U752" s="100">
        <f>IF(AND(SamplingData[[#This Row],[Total]]&lt;&gt; 0, NOT(ISBLANK(SamplingData[[#This Row],[Candidate 6]]))),(SamplingData[[#This Row],[Total]]+SamplingData[[#This Row],[Losing Candidate]]-SamplingData[[#This Row],[Candidate 6]])/(SamplingData[[#Totals],[Winning Candidate]]-SamplingData[[#Totals],[Candidate 6]]), 0)</f>
        <v>0</v>
      </c>
      <c r="V752" s="100">
        <f>IF(AND(SamplingData[[#This Row],[Total]]&lt;&gt; 0, NOT(ISBLANK(SamplingData[[#This Row],[Candidate 7]]))),(SamplingData[[#This Row],[Total]]+SamplingData[[#This Row],[Winning Candidate]]-SamplingData[[#This Row],[Candidate 7]])/(SamplingData[[#Totals],[Winning Candidate]]-SamplingData[[#Totals],[Candidate 7]]), 0)</f>
        <v>0</v>
      </c>
      <c r="W752" s="100">
        <f>IF(AND(SamplingData[[#This Row],[Total]]&lt;&gt; 0, NOT(ISBLANK(SamplingData[[#This Row],[Candidate 8]]))),(SamplingData[[#This Row],[Total]]+SamplingData[[#This Row],[Winning Candidate]]-SamplingData[[#This Row],[Candidate 8]])/(SamplingData[[#Totals],[Winning Candidate]]-SamplingData[[#Totals],[Candidate 8]]), 0)</f>
        <v>0</v>
      </c>
      <c r="X7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00">
        <f>MAX(SamplingData[[#This Row],[Error Bound (up) - Max. possible relative overstatement - Losing Candidate]:[Error Bound (up) - Max. possible relative overstatement - Candidate 12]])</f>
        <v>1.3192197757326382E-3</v>
      </c>
      <c r="AC752" s="100">
        <f>IF(SamplingData[[#This Row],[Max Error Bound (up)]] = 0,0,SamplingData[[#This Row],[Max Error Bound (up)]]/SamplingData[[#Totals],[Max Error Bound (up)]])</f>
        <v>5.6533677919560674E-4</v>
      </c>
      <c r="AD752" s="104">
        <f>SUM($AC$5:AC752)</f>
        <v>0.22600010768319642</v>
      </c>
      <c r="AE752" s="100" t="str" cm="1">
        <f t="array" ref="AE752">IF(SamplingData[[#This Row],[up/U Selection Probability]] = 0, "Zero", TEXT(SamplingData[[#This Row],[Lower Range]], REPT("0",LEN('General Info'!$B$42))) &amp; " - " &amp; TEXT(SamplingData[[#This Row],[Upper Range]], REPT("0",LEN('General Info'!$B$42))))</f>
        <v>22543 - 22599</v>
      </c>
      <c r="AF752" s="100">
        <f>SamplingData[[#This Row],[Upper Range]]-SamplingData[[#This Row],[Span]]</f>
        <v>22543.477090400083</v>
      </c>
      <c r="AG752" s="100">
        <f>IF(ISNUMBER('General Info'!$B$42), ((SamplingData[[#This Row],[up/U Selection Probability]]) * 'General Info'!$B$44) - 1, 0)</f>
        <v>55.533677919560674</v>
      </c>
      <c r="AH752" s="100">
        <f>IF(ISNUMBER('General Info'!$B$42), (SamplingData[[#This Row],[Running (cumulative) sum]] * ('General Info'!$B$42 -'General Info'!$B$43 + 1)) + 'General Info'!$B$43 - 1, 0)</f>
        <v>22599.010768319644</v>
      </c>
      <c r="AI752" s="100" t="str">
        <f>IF(ISERROR(MATCH(SamplingData[[#This Row],[Batch by Type (p)]],SelectedPrecincts[Batch Name], 0)), "", INDEX(SelectedPrecincts[Draw], MATCH(SamplingData[[#This Row],[Batch by Type (p)]],SelectedPrecincts[Batch Name], 0)))</f>
        <v/>
      </c>
      <c r="AJ752" s="101">
        <f>IF(COUNTIF(SelectedPrecincts[Batch Name],SamplingData[[#This Row],[Batch by Type (p)]]) &lt;&gt; 0, COUNTIF(SelectedPrecincts[Batch Name],SamplingData[[#This Row],[Batch by Type (p)]]), 0)</f>
        <v>0</v>
      </c>
    </row>
    <row r="753" spans="1:36" ht="15" customHeight="1" x14ac:dyDescent="0.35">
      <c r="A753" s="98" t="s">
        <v>964</v>
      </c>
      <c r="B753" s="98">
        <v>32</v>
      </c>
      <c r="C753" s="98">
        <v>4</v>
      </c>
      <c r="D753" s="93"/>
      <c r="E753" s="93"/>
      <c r="F753" s="93"/>
      <c r="G753" s="97"/>
      <c r="H753" s="97"/>
      <c r="I753" s="93"/>
      <c r="J753" s="93"/>
      <c r="K753" s="93"/>
      <c r="L753" s="93"/>
      <c r="M753" s="93"/>
      <c r="N753" s="98">
        <v>0</v>
      </c>
      <c r="O753" s="98">
        <v>0</v>
      </c>
      <c r="P753" s="99">
        <f>SUM(SamplingData[[#This Row],[Winning Candidate]:[Under Votes]])</f>
        <v>36</v>
      </c>
      <c r="Q753" s="100">
        <f>IF(AND(SamplingData[[#This Row],[Total]]&lt;&gt; 0, NOT(ISBLANK(SamplingData[[#This Row],[Losing Candidate]]))),(SamplingData[[#This Row],[Total]]+SamplingData[[#This Row],[Winning Candidate]]-SamplingData[[#This Row],[Losing Candidate]])/(SamplingData[[#Totals],[Winning Candidate]]-SamplingData[[#Totals],[Losing Candidate]]), 0)</f>
        <v>2.0102396582592579E-3</v>
      </c>
      <c r="R753" s="100">
        <f>IF(AND(SamplingData[[#This Row],[Total]]&lt;&gt; 0, NOT(ISBLANK(SamplingData[[#This Row],[Candidate 3]]))),(SamplingData[[#This Row],[Total]]+SamplingData[[#This Row],[Winning Candidate]]-SamplingData[[#This Row],[Candidate 3]])/(SamplingData[[#Totals],[Winning Candidate]]-SamplingData[[#Totals],[Candidate 3]]), 0)</f>
        <v>0</v>
      </c>
      <c r="S753" s="100">
        <f>IF(AND(SamplingData[[#This Row],[Total]]&lt;&gt; 0, NOT(ISBLANK(SamplingData[[#This Row],[Candidate 4]]))),(SamplingData[[#This Row],[Total]]+SamplingData[[#This Row],[Winning Candidate]]-SamplingData[[#This Row],[Candidate 4]])/(SamplingData[[#Totals],[Winning Candidate]]-SamplingData[[#Totals],[Candidate 4]]), 0)</f>
        <v>0</v>
      </c>
      <c r="T753" s="100">
        <f>IF(AND(SamplingData[[#This Row],[Total]]&lt;&gt; 0, NOT(ISBLANK(SamplingData[[#This Row],[Candidate 5]]))),(SamplingData[[#This Row],[Total]]+SamplingData[[#This Row],[Winning Candidate]]-SamplingData[[#This Row],[Candidate 5]])/(SamplingData[[#Totals],[Winning Candidate]]-SamplingData[[#Totals],[Candidate 5]]), 0)</f>
        <v>0</v>
      </c>
      <c r="U753" s="100">
        <f>IF(AND(SamplingData[[#This Row],[Total]]&lt;&gt; 0, NOT(ISBLANK(SamplingData[[#This Row],[Candidate 6]]))),(SamplingData[[#This Row],[Total]]+SamplingData[[#This Row],[Losing Candidate]]-SamplingData[[#This Row],[Candidate 6]])/(SamplingData[[#Totals],[Winning Candidate]]-SamplingData[[#Totals],[Candidate 6]]), 0)</f>
        <v>0</v>
      </c>
      <c r="V753" s="100">
        <f>IF(AND(SamplingData[[#This Row],[Total]]&lt;&gt; 0, NOT(ISBLANK(SamplingData[[#This Row],[Candidate 7]]))),(SamplingData[[#This Row],[Total]]+SamplingData[[#This Row],[Winning Candidate]]-SamplingData[[#This Row],[Candidate 7]])/(SamplingData[[#Totals],[Winning Candidate]]-SamplingData[[#Totals],[Candidate 7]]), 0)</f>
        <v>0</v>
      </c>
      <c r="W753" s="100">
        <f>IF(AND(SamplingData[[#This Row],[Total]]&lt;&gt; 0, NOT(ISBLANK(SamplingData[[#This Row],[Candidate 8]]))),(SamplingData[[#This Row],[Total]]+SamplingData[[#This Row],[Winning Candidate]]-SamplingData[[#This Row],[Candidate 8]])/(SamplingData[[#Totals],[Winning Candidate]]-SamplingData[[#Totals],[Candidate 8]]), 0)</f>
        <v>0</v>
      </c>
      <c r="X7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00">
        <f>MAX(SamplingData[[#This Row],[Error Bound (up) - Max. possible relative overstatement - Losing Candidate]:[Error Bound (up) - Max. possible relative overstatement - Candidate 12]])</f>
        <v>2.0102396582592579E-3</v>
      </c>
      <c r="AC753" s="100">
        <f>IF(SamplingData[[#This Row],[Max Error Bound (up)]] = 0,0,SamplingData[[#This Row],[Max Error Bound (up)]]/SamplingData[[#Totals],[Max Error Bound (up)]])</f>
        <v>8.614655682980673E-4</v>
      </c>
      <c r="AD753" s="104">
        <f>SUM($AC$5:AC753)</f>
        <v>0.2268615732514945</v>
      </c>
      <c r="AE753" s="100" t="str" cm="1">
        <f t="array" ref="AE753">IF(SamplingData[[#This Row],[up/U Selection Probability]] = 0, "Zero", TEXT(SamplingData[[#This Row],[Lower Range]], REPT("0",LEN('General Info'!$B$42))) &amp; " - " &amp; TEXT(SamplingData[[#This Row],[Upper Range]], REPT("0",LEN('General Info'!$B$42))))</f>
        <v>22600 - 22685</v>
      </c>
      <c r="AF753" s="100">
        <f>SamplingData[[#This Row],[Upper Range]]-SamplingData[[#This Row],[Span]]</f>
        <v>22600.010768319644</v>
      </c>
      <c r="AG753" s="100">
        <f>IF(ISNUMBER('General Info'!$B$42), ((SamplingData[[#This Row],[up/U Selection Probability]]) * 'General Info'!$B$44) - 1, 0)</f>
        <v>85.146556829806727</v>
      </c>
      <c r="AH753" s="100">
        <f>IF(ISNUMBER('General Info'!$B$42), (SamplingData[[#This Row],[Running (cumulative) sum]] * ('General Info'!$B$42 -'General Info'!$B$43 + 1)) + 'General Info'!$B$43 - 1, 0)</f>
        <v>22685.157325149452</v>
      </c>
      <c r="AI753" s="100" t="str">
        <f>IF(ISERROR(MATCH(SamplingData[[#This Row],[Batch by Type (p)]],SelectedPrecincts[Batch Name], 0)), "", INDEX(SelectedPrecincts[Draw], MATCH(SamplingData[[#This Row],[Batch by Type (p)]],SelectedPrecincts[Batch Name], 0)))</f>
        <v/>
      </c>
      <c r="AJ753" s="101">
        <f>IF(COUNTIF(SelectedPrecincts[Batch Name],SamplingData[[#This Row],[Batch by Type (p)]]) &lt;&gt; 0, COUNTIF(SelectedPrecincts[Batch Name],SamplingData[[#This Row],[Batch by Type (p)]]), 0)</f>
        <v>0</v>
      </c>
    </row>
    <row r="754" spans="1:36" ht="15" customHeight="1" x14ac:dyDescent="0.35">
      <c r="A754" s="98" t="s">
        <v>965</v>
      </c>
      <c r="B754" s="98">
        <v>10</v>
      </c>
      <c r="C754" s="98">
        <v>1</v>
      </c>
      <c r="D754" s="93"/>
      <c r="E754" s="93"/>
      <c r="F754" s="93"/>
      <c r="G754" s="97"/>
      <c r="H754" s="97"/>
      <c r="I754" s="93"/>
      <c r="J754" s="93"/>
      <c r="K754" s="93"/>
      <c r="L754" s="93"/>
      <c r="M754" s="93"/>
      <c r="N754" s="98">
        <v>1</v>
      </c>
      <c r="O754" s="98">
        <v>0</v>
      </c>
      <c r="P754" s="99">
        <f>SUM(SamplingData[[#This Row],[Winning Candidate]:[Under Votes]])</f>
        <v>12</v>
      </c>
      <c r="Q754" s="100">
        <f>IF(AND(SamplingData[[#This Row],[Total]]&lt;&gt; 0, NOT(ISBLANK(SamplingData[[#This Row],[Losing Candidate]]))),(SamplingData[[#This Row],[Total]]+SamplingData[[#This Row],[Winning Candidate]]-SamplingData[[#This Row],[Losing Candidate]])/(SamplingData[[#Totals],[Winning Candidate]]-SamplingData[[#Totals],[Losing Candidate]]), 0)</f>
        <v>6.5960988786631911E-4</v>
      </c>
      <c r="R754" s="100">
        <f>IF(AND(SamplingData[[#This Row],[Total]]&lt;&gt; 0, NOT(ISBLANK(SamplingData[[#This Row],[Candidate 3]]))),(SamplingData[[#This Row],[Total]]+SamplingData[[#This Row],[Winning Candidate]]-SamplingData[[#This Row],[Candidate 3]])/(SamplingData[[#Totals],[Winning Candidate]]-SamplingData[[#Totals],[Candidate 3]]), 0)</f>
        <v>0</v>
      </c>
      <c r="S754" s="100">
        <f>IF(AND(SamplingData[[#This Row],[Total]]&lt;&gt; 0, NOT(ISBLANK(SamplingData[[#This Row],[Candidate 4]]))),(SamplingData[[#This Row],[Total]]+SamplingData[[#This Row],[Winning Candidate]]-SamplingData[[#This Row],[Candidate 4]])/(SamplingData[[#Totals],[Winning Candidate]]-SamplingData[[#Totals],[Candidate 4]]), 0)</f>
        <v>0</v>
      </c>
      <c r="T754" s="100">
        <f>IF(AND(SamplingData[[#This Row],[Total]]&lt;&gt; 0, NOT(ISBLANK(SamplingData[[#This Row],[Candidate 5]]))),(SamplingData[[#This Row],[Total]]+SamplingData[[#This Row],[Winning Candidate]]-SamplingData[[#This Row],[Candidate 5]])/(SamplingData[[#Totals],[Winning Candidate]]-SamplingData[[#Totals],[Candidate 5]]), 0)</f>
        <v>0</v>
      </c>
      <c r="U754" s="100">
        <f>IF(AND(SamplingData[[#This Row],[Total]]&lt;&gt; 0, NOT(ISBLANK(SamplingData[[#This Row],[Candidate 6]]))),(SamplingData[[#This Row],[Total]]+SamplingData[[#This Row],[Losing Candidate]]-SamplingData[[#This Row],[Candidate 6]])/(SamplingData[[#Totals],[Winning Candidate]]-SamplingData[[#Totals],[Candidate 6]]), 0)</f>
        <v>0</v>
      </c>
      <c r="V754" s="100">
        <f>IF(AND(SamplingData[[#This Row],[Total]]&lt;&gt; 0, NOT(ISBLANK(SamplingData[[#This Row],[Candidate 7]]))),(SamplingData[[#This Row],[Total]]+SamplingData[[#This Row],[Winning Candidate]]-SamplingData[[#This Row],[Candidate 7]])/(SamplingData[[#Totals],[Winning Candidate]]-SamplingData[[#Totals],[Candidate 7]]), 0)</f>
        <v>0</v>
      </c>
      <c r="W754" s="100">
        <f>IF(AND(SamplingData[[#This Row],[Total]]&lt;&gt; 0, NOT(ISBLANK(SamplingData[[#This Row],[Candidate 8]]))),(SamplingData[[#This Row],[Total]]+SamplingData[[#This Row],[Winning Candidate]]-SamplingData[[#This Row],[Candidate 8]])/(SamplingData[[#Totals],[Winning Candidate]]-SamplingData[[#Totals],[Candidate 8]]), 0)</f>
        <v>0</v>
      </c>
      <c r="X7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00">
        <f>MAX(SamplingData[[#This Row],[Error Bound (up) - Max. possible relative overstatement - Losing Candidate]:[Error Bound (up) - Max. possible relative overstatement - Candidate 12]])</f>
        <v>6.5960988786631911E-4</v>
      </c>
      <c r="AC754" s="100">
        <f>IF(SamplingData[[#This Row],[Max Error Bound (up)]] = 0,0,SamplingData[[#This Row],[Max Error Bound (up)]]/SamplingData[[#Totals],[Max Error Bound (up)]])</f>
        <v>2.8266838959780337E-4</v>
      </c>
      <c r="AD754" s="104">
        <f>SUM($AC$5:AC754)</f>
        <v>0.22714424164109231</v>
      </c>
      <c r="AE754" s="100" t="str" cm="1">
        <f t="array" ref="AE754">IF(SamplingData[[#This Row],[up/U Selection Probability]] = 0, "Zero", TEXT(SamplingData[[#This Row],[Lower Range]], REPT("0",LEN('General Info'!$B$42))) &amp; " - " &amp; TEXT(SamplingData[[#This Row],[Upper Range]], REPT("0",LEN('General Info'!$B$42))))</f>
        <v>22686 - 22713</v>
      </c>
      <c r="AF754" s="100">
        <f>SamplingData[[#This Row],[Upper Range]]-SamplingData[[#This Row],[Span]]</f>
        <v>22686.157325149448</v>
      </c>
      <c r="AG754" s="100">
        <f>IF(ISNUMBER('General Info'!$B$42), ((SamplingData[[#This Row],[up/U Selection Probability]]) * 'General Info'!$B$44) - 1, 0)</f>
        <v>27.266838959780337</v>
      </c>
      <c r="AH754" s="100">
        <f>IF(ISNUMBER('General Info'!$B$42), (SamplingData[[#This Row],[Running (cumulative) sum]] * ('General Info'!$B$42 -'General Info'!$B$43 + 1)) + 'General Info'!$B$43 - 1, 0)</f>
        <v>22713.42416410923</v>
      </c>
      <c r="AI754" s="100" t="str">
        <f>IF(ISERROR(MATCH(SamplingData[[#This Row],[Batch by Type (p)]],SelectedPrecincts[Batch Name], 0)), "", INDEX(SelectedPrecincts[Draw], MATCH(SamplingData[[#This Row],[Batch by Type (p)]],SelectedPrecincts[Batch Name], 0)))</f>
        <v/>
      </c>
      <c r="AJ754" s="101">
        <f>IF(COUNTIF(SelectedPrecincts[Batch Name],SamplingData[[#This Row],[Batch by Type (p)]]) &lt;&gt; 0, COUNTIF(SelectedPrecincts[Batch Name],SamplingData[[#This Row],[Batch by Type (p)]]), 0)</f>
        <v>0</v>
      </c>
    </row>
    <row r="755" spans="1:36" ht="15" customHeight="1" x14ac:dyDescent="0.35">
      <c r="A755" s="98" t="s">
        <v>966</v>
      </c>
      <c r="B755" s="98">
        <v>7</v>
      </c>
      <c r="C755" s="98">
        <v>1</v>
      </c>
      <c r="D755" s="93"/>
      <c r="E755" s="93"/>
      <c r="F755" s="93"/>
      <c r="G755" s="97"/>
      <c r="H755" s="97"/>
      <c r="I755" s="93"/>
      <c r="J755" s="93"/>
      <c r="K755" s="93"/>
      <c r="L755" s="93"/>
      <c r="M755" s="93"/>
      <c r="N755" s="98">
        <v>0</v>
      </c>
      <c r="O755" s="98">
        <v>0</v>
      </c>
      <c r="P755" s="99">
        <f>SUM(SamplingData[[#This Row],[Winning Candidate]:[Under Votes]])</f>
        <v>8</v>
      </c>
      <c r="Q755"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755" s="100">
        <f>IF(AND(SamplingData[[#This Row],[Total]]&lt;&gt; 0, NOT(ISBLANK(SamplingData[[#This Row],[Candidate 3]]))),(SamplingData[[#This Row],[Total]]+SamplingData[[#This Row],[Winning Candidate]]-SamplingData[[#This Row],[Candidate 3]])/(SamplingData[[#Totals],[Winning Candidate]]-SamplingData[[#Totals],[Candidate 3]]), 0)</f>
        <v>0</v>
      </c>
      <c r="S755" s="100">
        <f>IF(AND(SamplingData[[#This Row],[Total]]&lt;&gt; 0, NOT(ISBLANK(SamplingData[[#This Row],[Candidate 4]]))),(SamplingData[[#This Row],[Total]]+SamplingData[[#This Row],[Winning Candidate]]-SamplingData[[#This Row],[Candidate 4]])/(SamplingData[[#Totals],[Winning Candidate]]-SamplingData[[#Totals],[Candidate 4]]), 0)</f>
        <v>0</v>
      </c>
      <c r="T755" s="100">
        <f>IF(AND(SamplingData[[#This Row],[Total]]&lt;&gt; 0, NOT(ISBLANK(SamplingData[[#This Row],[Candidate 5]]))),(SamplingData[[#This Row],[Total]]+SamplingData[[#This Row],[Winning Candidate]]-SamplingData[[#This Row],[Candidate 5]])/(SamplingData[[#Totals],[Winning Candidate]]-SamplingData[[#Totals],[Candidate 5]]), 0)</f>
        <v>0</v>
      </c>
      <c r="U755" s="100">
        <f>IF(AND(SamplingData[[#This Row],[Total]]&lt;&gt; 0, NOT(ISBLANK(SamplingData[[#This Row],[Candidate 6]]))),(SamplingData[[#This Row],[Total]]+SamplingData[[#This Row],[Losing Candidate]]-SamplingData[[#This Row],[Candidate 6]])/(SamplingData[[#Totals],[Winning Candidate]]-SamplingData[[#Totals],[Candidate 6]]), 0)</f>
        <v>0</v>
      </c>
      <c r="V755" s="100">
        <f>IF(AND(SamplingData[[#This Row],[Total]]&lt;&gt; 0, NOT(ISBLANK(SamplingData[[#This Row],[Candidate 7]]))),(SamplingData[[#This Row],[Total]]+SamplingData[[#This Row],[Winning Candidate]]-SamplingData[[#This Row],[Candidate 7]])/(SamplingData[[#Totals],[Winning Candidate]]-SamplingData[[#Totals],[Candidate 7]]), 0)</f>
        <v>0</v>
      </c>
      <c r="W755" s="100">
        <f>IF(AND(SamplingData[[#This Row],[Total]]&lt;&gt; 0, NOT(ISBLANK(SamplingData[[#This Row],[Candidate 8]]))),(SamplingData[[#This Row],[Total]]+SamplingData[[#This Row],[Winning Candidate]]-SamplingData[[#This Row],[Candidate 8]])/(SamplingData[[#Totals],[Winning Candidate]]-SamplingData[[#Totals],[Candidate 8]]), 0)</f>
        <v>0</v>
      </c>
      <c r="X7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00">
        <f>MAX(SamplingData[[#This Row],[Error Bound (up) - Max. possible relative overstatement - Losing Candidate]:[Error Bound (up) - Max. possible relative overstatement - Candidate 12]])</f>
        <v>4.3973992524421271E-4</v>
      </c>
      <c r="AC755" s="100">
        <f>IF(SamplingData[[#This Row],[Max Error Bound (up)]] = 0,0,SamplingData[[#This Row],[Max Error Bound (up)]]/SamplingData[[#Totals],[Max Error Bound (up)]])</f>
        <v>1.8844559306520223E-4</v>
      </c>
      <c r="AD755" s="104">
        <f>SUM($AC$5:AC755)</f>
        <v>0.2273326872341575</v>
      </c>
      <c r="AE755" s="100" t="str" cm="1">
        <f t="array" ref="AE755">IF(SamplingData[[#This Row],[up/U Selection Probability]] = 0, "Zero", TEXT(SamplingData[[#This Row],[Lower Range]], REPT("0",LEN('General Info'!$B$42))) &amp; " - " &amp; TEXT(SamplingData[[#This Row],[Upper Range]], REPT("0",LEN('General Info'!$B$42))))</f>
        <v>22714 - 22732</v>
      </c>
      <c r="AF755" s="100">
        <f>SamplingData[[#This Row],[Upper Range]]-SamplingData[[#This Row],[Span]]</f>
        <v>22714.42416410923</v>
      </c>
      <c r="AG755" s="100">
        <f>IF(ISNUMBER('General Info'!$B$42), ((SamplingData[[#This Row],[up/U Selection Probability]]) * 'General Info'!$B$44) - 1, 0)</f>
        <v>17.844559306520225</v>
      </c>
      <c r="AH755" s="100">
        <f>IF(ISNUMBER('General Info'!$B$42), (SamplingData[[#This Row],[Running (cumulative) sum]] * ('General Info'!$B$42 -'General Info'!$B$43 + 1)) + 'General Info'!$B$43 - 1, 0)</f>
        <v>22732.268723415749</v>
      </c>
      <c r="AI755" s="100" t="str">
        <f>IF(ISERROR(MATCH(SamplingData[[#This Row],[Batch by Type (p)]],SelectedPrecincts[Batch Name], 0)), "", INDEX(SelectedPrecincts[Draw], MATCH(SamplingData[[#This Row],[Batch by Type (p)]],SelectedPrecincts[Batch Name], 0)))</f>
        <v/>
      </c>
      <c r="AJ755" s="101">
        <f>IF(COUNTIF(SelectedPrecincts[Batch Name],SamplingData[[#This Row],[Batch by Type (p)]]) &lt;&gt; 0, COUNTIF(SelectedPrecincts[Batch Name],SamplingData[[#This Row],[Batch by Type (p)]]), 0)</f>
        <v>0</v>
      </c>
    </row>
    <row r="756" spans="1:36" ht="15" customHeight="1" x14ac:dyDescent="0.35">
      <c r="A756" s="98" t="s">
        <v>967</v>
      </c>
      <c r="B756" s="98">
        <v>7</v>
      </c>
      <c r="C756" s="98">
        <v>0</v>
      </c>
      <c r="D756" s="93"/>
      <c r="E756" s="93"/>
      <c r="F756" s="93"/>
      <c r="G756" s="97"/>
      <c r="H756" s="97"/>
      <c r="I756" s="93"/>
      <c r="J756" s="93"/>
      <c r="K756" s="93"/>
      <c r="L756" s="93"/>
      <c r="M756" s="93"/>
      <c r="N756" s="98">
        <v>0</v>
      </c>
      <c r="O756" s="98">
        <v>0</v>
      </c>
      <c r="P756" s="99">
        <f>SUM(SamplingData[[#This Row],[Winning Candidate]:[Under Votes]])</f>
        <v>7</v>
      </c>
      <c r="Q756"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756" s="100">
        <f>IF(AND(SamplingData[[#This Row],[Total]]&lt;&gt; 0, NOT(ISBLANK(SamplingData[[#This Row],[Candidate 3]]))),(SamplingData[[#This Row],[Total]]+SamplingData[[#This Row],[Winning Candidate]]-SamplingData[[#This Row],[Candidate 3]])/(SamplingData[[#Totals],[Winning Candidate]]-SamplingData[[#Totals],[Candidate 3]]), 0)</f>
        <v>0</v>
      </c>
      <c r="S756" s="100">
        <f>IF(AND(SamplingData[[#This Row],[Total]]&lt;&gt; 0, NOT(ISBLANK(SamplingData[[#This Row],[Candidate 4]]))),(SamplingData[[#This Row],[Total]]+SamplingData[[#This Row],[Winning Candidate]]-SamplingData[[#This Row],[Candidate 4]])/(SamplingData[[#Totals],[Winning Candidate]]-SamplingData[[#Totals],[Candidate 4]]), 0)</f>
        <v>0</v>
      </c>
      <c r="T756" s="100">
        <f>IF(AND(SamplingData[[#This Row],[Total]]&lt;&gt; 0, NOT(ISBLANK(SamplingData[[#This Row],[Candidate 5]]))),(SamplingData[[#This Row],[Total]]+SamplingData[[#This Row],[Winning Candidate]]-SamplingData[[#This Row],[Candidate 5]])/(SamplingData[[#Totals],[Winning Candidate]]-SamplingData[[#Totals],[Candidate 5]]), 0)</f>
        <v>0</v>
      </c>
      <c r="U756" s="100">
        <f>IF(AND(SamplingData[[#This Row],[Total]]&lt;&gt; 0, NOT(ISBLANK(SamplingData[[#This Row],[Candidate 6]]))),(SamplingData[[#This Row],[Total]]+SamplingData[[#This Row],[Losing Candidate]]-SamplingData[[#This Row],[Candidate 6]])/(SamplingData[[#Totals],[Winning Candidate]]-SamplingData[[#Totals],[Candidate 6]]), 0)</f>
        <v>0</v>
      </c>
      <c r="V756" s="100">
        <f>IF(AND(SamplingData[[#This Row],[Total]]&lt;&gt; 0, NOT(ISBLANK(SamplingData[[#This Row],[Candidate 7]]))),(SamplingData[[#This Row],[Total]]+SamplingData[[#This Row],[Winning Candidate]]-SamplingData[[#This Row],[Candidate 7]])/(SamplingData[[#Totals],[Winning Candidate]]-SamplingData[[#Totals],[Candidate 7]]), 0)</f>
        <v>0</v>
      </c>
      <c r="W756" s="100">
        <f>IF(AND(SamplingData[[#This Row],[Total]]&lt;&gt; 0, NOT(ISBLANK(SamplingData[[#This Row],[Candidate 8]]))),(SamplingData[[#This Row],[Total]]+SamplingData[[#This Row],[Winning Candidate]]-SamplingData[[#This Row],[Candidate 8]])/(SamplingData[[#Totals],[Winning Candidate]]-SamplingData[[#Totals],[Candidate 8]]), 0)</f>
        <v>0</v>
      </c>
      <c r="X7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00">
        <f>MAX(SamplingData[[#This Row],[Error Bound (up) - Max. possible relative overstatement - Losing Candidate]:[Error Bound (up) - Max. possible relative overstatement - Candidate 12]])</f>
        <v>4.3973992524421271E-4</v>
      </c>
      <c r="AC756" s="100">
        <f>IF(SamplingData[[#This Row],[Max Error Bound (up)]] = 0,0,SamplingData[[#This Row],[Max Error Bound (up)]]/SamplingData[[#Totals],[Max Error Bound (up)]])</f>
        <v>1.8844559306520223E-4</v>
      </c>
      <c r="AD756" s="104">
        <f>SUM($AC$5:AC756)</f>
        <v>0.22752113282722269</v>
      </c>
      <c r="AE756" s="100" t="str" cm="1">
        <f t="array" ref="AE756">IF(SamplingData[[#This Row],[up/U Selection Probability]] = 0, "Zero", TEXT(SamplingData[[#This Row],[Lower Range]], REPT("0",LEN('General Info'!$B$42))) &amp; " - " &amp; TEXT(SamplingData[[#This Row],[Upper Range]], REPT("0",LEN('General Info'!$B$42))))</f>
        <v>22733 - 22751</v>
      </c>
      <c r="AF756" s="100">
        <f>SamplingData[[#This Row],[Upper Range]]-SamplingData[[#This Row],[Span]]</f>
        <v>22733.268723415749</v>
      </c>
      <c r="AG756" s="100">
        <f>IF(ISNUMBER('General Info'!$B$42), ((SamplingData[[#This Row],[up/U Selection Probability]]) * 'General Info'!$B$44) - 1, 0)</f>
        <v>17.844559306520225</v>
      </c>
      <c r="AH756" s="100">
        <f>IF(ISNUMBER('General Info'!$B$42), (SamplingData[[#This Row],[Running (cumulative) sum]] * ('General Info'!$B$42 -'General Info'!$B$43 + 1)) + 'General Info'!$B$43 - 1, 0)</f>
        <v>22751.113282722268</v>
      </c>
      <c r="AI756" s="100" t="str">
        <f>IF(ISERROR(MATCH(SamplingData[[#This Row],[Batch by Type (p)]],SelectedPrecincts[Batch Name], 0)), "", INDEX(SelectedPrecincts[Draw], MATCH(SamplingData[[#This Row],[Batch by Type (p)]],SelectedPrecincts[Batch Name], 0)))</f>
        <v/>
      </c>
      <c r="AJ756" s="101">
        <f>IF(COUNTIF(SelectedPrecincts[Batch Name],SamplingData[[#This Row],[Batch by Type (p)]]) &lt;&gt; 0, COUNTIF(SelectedPrecincts[Batch Name],SamplingData[[#This Row],[Batch by Type (p)]]), 0)</f>
        <v>0</v>
      </c>
    </row>
    <row r="757" spans="1:36" ht="15" customHeight="1" x14ac:dyDescent="0.35">
      <c r="A757" s="98" t="s">
        <v>968</v>
      </c>
      <c r="B757" s="98">
        <v>28</v>
      </c>
      <c r="C757" s="98">
        <v>6</v>
      </c>
      <c r="D757" s="93"/>
      <c r="E757" s="93"/>
      <c r="F757" s="93"/>
      <c r="G757" s="97"/>
      <c r="H757" s="97"/>
      <c r="I757" s="93"/>
      <c r="J757" s="93"/>
      <c r="K757" s="93"/>
      <c r="L757" s="93"/>
      <c r="M757" s="93"/>
      <c r="N757" s="98">
        <v>0</v>
      </c>
      <c r="O757" s="98">
        <v>0</v>
      </c>
      <c r="P757" s="99">
        <f>SUM(SamplingData[[#This Row],[Winning Candidate]:[Under Votes]])</f>
        <v>34</v>
      </c>
      <c r="Q757" s="100">
        <f>IF(AND(SamplingData[[#This Row],[Total]]&lt;&gt; 0, NOT(ISBLANK(SamplingData[[#This Row],[Losing Candidate]]))),(SamplingData[[#This Row],[Total]]+SamplingData[[#This Row],[Winning Candidate]]-SamplingData[[#This Row],[Losing Candidate]])/(SamplingData[[#Totals],[Winning Candidate]]-SamplingData[[#Totals],[Losing Candidate]]), 0)</f>
        <v>1.7589597009768508E-3</v>
      </c>
      <c r="R757" s="100">
        <f>IF(AND(SamplingData[[#This Row],[Total]]&lt;&gt; 0, NOT(ISBLANK(SamplingData[[#This Row],[Candidate 3]]))),(SamplingData[[#This Row],[Total]]+SamplingData[[#This Row],[Winning Candidate]]-SamplingData[[#This Row],[Candidate 3]])/(SamplingData[[#Totals],[Winning Candidate]]-SamplingData[[#Totals],[Candidate 3]]), 0)</f>
        <v>0</v>
      </c>
      <c r="S757" s="100">
        <f>IF(AND(SamplingData[[#This Row],[Total]]&lt;&gt; 0, NOT(ISBLANK(SamplingData[[#This Row],[Candidate 4]]))),(SamplingData[[#This Row],[Total]]+SamplingData[[#This Row],[Winning Candidate]]-SamplingData[[#This Row],[Candidate 4]])/(SamplingData[[#Totals],[Winning Candidate]]-SamplingData[[#Totals],[Candidate 4]]), 0)</f>
        <v>0</v>
      </c>
      <c r="T757" s="100">
        <f>IF(AND(SamplingData[[#This Row],[Total]]&lt;&gt; 0, NOT(ISBLANK(SamplingData[[#This Row],[Candidate 5]]))),(SamplingData[[#This Row],[Total]]+SamplingData[[#This Row],[Winning Candidate]]-SamplingData[[#This Row],[Candidate 5]])/(SamplingData[[#Totals],[Winning Candidate]]-SamplingData[[#Totals],[Candidate 5]]), 0)</f>
        <v>0</v>
      </c>
      <c r="U757" s="100">
        <f>IF(AND(SamplingData[[#This Row],[Total]]&lt;&gt; 0, NOT(ISBLANK(SamplingData[[#This Row],[Candidate 6]]))),(SamplingData[[#This Row],[Total]]+SamplingData[[#This Row],[Losing Candidate]]-SamplingData[[#This Row],[Candidate 6]])/(SamplingData[[#Totals],[Winning Candidate]]-SamplingData[[#Totals],[Candidate 6]]), 0)</f>
        <v>0</v>
      </c>
      <c r="V757" s="100">
        <f>IF(AND(SamplingData[[#This Row],[Total]]&lt;&gt; 0, NOT(ISBLANK(SamplingData[[#This Row],[Candidate 7]]))),(SamplingData[[#This Row],[Total]]+SamplingData[[#This Row],[Winning Candidate]]-SamplingData[[#This Row],[Candidate 7]])/(SamplingData[[#Totals],[Winning Candidate]]-SamplingData[[#Totals],[Candidate 7]]), 0)</f>
        <v>0</v>
      </c>
      <c r="W757" s="100">
        <f>IF(AND(SamplingData[[#This Row],[Total]]&lt;&gt; 0, NOT(ISBLANK(SamplingData[[#This Row],[Candidate 8]]))),(SamplingData[[#This Row],[Total]]+SamplingData[[#This Row],[Winning Candidate]]-SamplingData[[#This Row],[Candidate 8]])/(SamplingData[[#Totals],[Winning Candidate]]-SamplingData[[#Totals],[Candidate 8]]), 0)</f>
        <v>0</v>
      </c>
      <c r="X7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00">
        <f>MAX(SamplingData[[#This Row],[Error Bound (up) - Max. possible relative overstatement - Losing Candidate]:[Error Bound (up) - Max. possible relative overstatement - Candidate 12]])</f>
        <v>1.7589597009768508E-3</v>
      </c>
      <c r="AC757" s="100">
        <f>IF(SamplingData[[#This Row],[Max Error Bound (up)]] = 0,0,SamplingData[[#This Row],[Max Error Bound (up)]]/SamplingData[[#Totals],[Max Error Bound (up)]])</f>
        <v>7.5378237226080892E-4</v>
      </c>
      <c r="AD757" s="104">
        <f>SUM($AC$5:AC757)</f>
        <v>0.22827491519948351</v>
      </c>
      <c r="AE757" s="100" t="str" cm="1">
        <f t="array" ref="AE757">IF(SamplingData[[#This Row],[up/U Selection Probability]] = 0, "Zero", TEXT(SamplingData[[#This Row],[Lower Range]], REPT("0",LEN('General Info'!$B$42))) &amp; " - " &amp; TEXT(SamplingData[[#This Row],[Upper Range]], REPT("0",LEN('General Info'!$B$42))))</f>
        <v>22752 - 22826</v>
      </c>
      <c r="AF757" s="100">
        <f>SamplingData[[#This Row],[Upper Range]]-SamplingData[[#This Row],[Span]]</f>
        <v>22752.113282722272</v>
      </c>
      <c r="AG757" s="100">
        <f>IF(ISNUMBER('General Info'!$B$42), ((SamplingData[[#This Row],[up/U Selection Probability]]) * 'General Info'!$B$44) - 1, 0)</f>
        <v>74.378237226080898</v>
      </c>
      <c r="AH757" s="100">
        <f>IF(ISNUMBER('General Info'!$B$42), (SamplingData[[#This Row],[Running (cumulative) sum]] * ('General Info'!$B$42 -'General Info'!$B$43 + 1)) + 'General Info'!$B$43 - 1, 0)</f>
        <v>22826.491519948351</v>
      </c>
      <c r="AI757" s="100" t="str">
        <f>IF(ISERROR(MATCH(SamplingData[[#This Row],[Batch by Type (p)]],SelectedPrecincts[Batch Name], 0)), "", INDEX(SelectedPrecincts[Draw], MATCH(SamplingData[[#This Row],[Batch by Type (p)]],SelectedPrecincts[Batch Name], 0)))</f>
        <v/>
      </c>
      <c r="AJ757" s="101">
        <f>IF(COUNTIF(SelectedPrecincts[Batch Name],SamplingData[[#This Row],[Batch by Type (p)]]) &lt;&gt; 0, COUNTIF(SelectedPrecincts[Batch Name],SamplingData[[#This Row],[Batch by Type (p)]]), 0)</f>
        <v>0</v>
      </c>
    </row>
    <row r="758" spans="1:36" ht="15" customHeight="1" x14ac:dyDescent="0.35">
      <c r="A758" s="98" t="s">
        <v>969</v>
      </c>
      <c r="B758" s="98">
        <v>80</v>
      </c>
      <c r="C758" s="98">
        <v>16</v>
      </c>
      <c r="D758" s="93"/>
      <c r="E758" s="93"/>
      <c r="F758" s="93"/>
      <c r="G758" s="97"/>
      <c r="H758" s="97"/>
      <c r="I758" s="93"/>
      <c r="J758" s="93"/>
      <c r="K758" s="93"/>
      <c r="L758" s="93"/>
      <c r="M758" s="93"/>
      <c r="N758" s="98">
        <v>0</v>
      </c>
      <c r="O758" s="98">
        <v>1</v>
      </c>
      <c r="P758" s="99">
        <f>SUM(SamplingData[[#This Row],[Winning Candidate]:[Under Votes]])</f>
        <v>97</v>
      </c>
      <c r="Q758" s="100">
        <f>IF(AND(SamplingData[[#This Row],[Total]]&lt;&gt; 0, NOT(ISBLANK(SamplingData[[#This Row],[Losing Candidate]]))),(SamplingData[[#This Row],[Total]]+SamplingData[[#This Row],[Winning Candidate]]-SamplingData[[#This Row],[Losing Candidate]])/(SamplingData[[#Totals],[Winning Candidate]]-SamplingData[[#Totals],[Losing Candidate]]), 0)</f>
        <v>5.0570091403084457E-3</v>
      </c>
      <c r="R758" s="100">
        <f>IF(AND(SamplingData[[#This Row],[Total]]&lt;&gt; 0, NOT(ISBLANK(SamplingData[[#This Row],[Candidate 3]]))),(SamplingData[[#This Row],[Total]]+SamplingData[[#This Row],[Winning Candidate]]-SamplingData[[#This Row],[Candidate 3]])/(SamplingData[[#Totals],[Winning Candidate]]-SamplingData[[#Totals],[Candidate 3]]), 0)</f>
        <v>0</v>
      </c>
      <c r="S758" s="100">
        <f>IF(AND(SamplingData[[#This Row],[Total]]&lt;&gt; 0, NOT(ISBLANK(SamplingData[[#This Row],[Candidate 4]]))),(SamplingData[[#This Row],[Total]]+SamplingData[[#This Row],[Winning Candidate]]-SamplingData[[#This Row],[Candidate 4]])/(SamplingData[[#Totals],[Winning Candidate]]-SamplingData[[#Totals],[Candidate 4]]), 0)</f>
        <v>0</v>
      </c>
      <c r="T758" s="100">
        <f>IF(AND(SamplingData[[#This Row],[Total]]&lt;&gt; 0, NOT(ISBLANK(SamplingData[[#This Row],[Candidate 5]]))),(SamplingData[[#This Row],[Total]]+SamplingData[[#This Row],[Winning Candidate]]-SamplingData[[#This Row],[Candidate 5]])/(SamplingData[[#Totals],[Winning Candidate]]-SamplingData[[#Totals],[Candidate 5]]), 0)</f>
        <v>0</v>
      </c>
      <c r="U758" s="100">
        <f>IF(AND(SamplingData[[#This Row],[Total]]&lt;&gt; 0, NOT(ISBLANK(SamplingData[[#This Row],[Candidate 6]]))),(SamplingData[[#This Row],[Total]]+SamplingData[[#This Row],[Losing Candidate]]-SamplingData[[#This Row],[Candidate 6]])/(SamplingData[[#Totals],[Winning Candidate]]-SamplingData[[#Totals],[Candidate 6]]), 0)</f>
        <v>0</v>
      </c>
      <c r="V758" s="100">
        <f>IF(AND(SamplingData[[#This Row],[Total]]&lt;&gt; 0, NOT(ISBLANK(SamplingData[[#This Row],[Candidate 7]]))),(SamplingData[[#This Row],[Total]]+SamplingData[[#This Row],[Winning Candidate]]-SamplingData[[#This Row],[Candidate 7]])/(SamplingData[[#Totals],[Winning Candidate]]-SamplingData[[#Totals],[Candidate 7]]), 0)</f>
        <v>0</v>
      </c>
      <c r="W758" s="100">
        <f>IF(AND(SamplingData[[#This Row],[Total]]&lt;&gt; 0, NOT(ISBLANK(SamplingData[[#This Row],[Candidate 8]]))),(SamplingData[[#This Row],[Total]]+SamplingData[[#This Row],[Winning Candidate]]-SamplingData[[#This Row],[Candidate 8]])/(SamplingData[[#Totals],[Winning Candidate]]-SamplingData[[#Totals],[Candidate 8]]), 0)</f>
        <v>0</v>
      </c>
      <c r="X7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00">
        <f>MAX(SamplingData[[#This Row],[Error Bound (up) - Max. possible relative overstatement - Losing Candidate]:[Error Bound (up) - Max. possible relative overstatement - Candidate 12]])</f>
        <v>5.0570091403084457E-3</v>
      </c>
      <c r="AC758" s="100">
        <f>IF(SamplingData[[#This Row],[Max Error Bound (up)]] = 0,0,SamplingData[[#This Row],[Max Error Bound (up)]]/SamplingData[[#Totals],[Max Error Bound (up)]])</f>
        <v>2.1671243202498257E-3</v>
      </c>
      <c r="AD758" s="104">
        <f>SUM($AC$5:AC758)</f>
        <v>0.23044203951973333</v>
      </c>
      <c r="AE758" s="100" t="str" cm="1">
        <f t="array" ref="AE758">IF(SamplingData[[#This Row],[up/U Selection Probability]] = 0, "Zero", TEXT(SamplingData[[#This Row],[Lower Range]], REPT("0",LEN('General Info'!$B$42))) &amp; " - " &amp; TEXT(SamplingData[[#This Row],[Upper Range]], REPT("0",LEN('General Info'!$B$42))))</f>
        <v>22827 - 23043</v>
      </c>
      <c r="AF758" s="100">
        <f>SamplingData[[#This Row],[Upper Range]]-SamplingData[[#This Row],[Span]]</f>
        <v>22827.491519948351</v>
      </c>
      <c r="AG758" s="100">
        <f>IF(ISNUMBER('General Info'!$B$42), ((SamplingData[[#This Row],[up/U Selection Probability]]) * 'General Info'!$B$44) - 1, 0)</f>
        <v>215.71243202498258</v>
      </c>
      <c r="AH758" s="100">
        <f>IF(ISNUMBER('General Info'!$B$42), (SamplingData[[#This Row],[Running (cumulative) sum]] * ('General Info'!$B$42 -'General Info'!$B$43 + 1)) + 'General Info'!$B$43 - 1, 0)</f>
        <v>23043.203951973333</v>
      </c>
      <c r="AI758" s="100" t="str">
        <f>IF(ISERROR(MATCH(SamplingData[[#This Row],[Batch by Type (p)]],SelectedPrecincts[Batch Name], 0)), "", INDEX(SelectedPrecincts[Draw], MATCH(SamplingData[[#This Row],[Batch by Type (p)]],SelectedPrecincts[Batch Name], 0)))</f>
        <v/>
      </c>
      <c r="AJ758" s="101">
        <f>IF(COUNTIF(SelectedPrecincts[Batch Name],SamplingData[[#This Row],[Batch by Type (p)]]) &lt;&gt; 0, COUNTIF(SelectedPrecincts[Batch Name],SamplingData[[#This Row],[Batch by Type (p)]]), 0)</f>
        <v>0</v>
      </c>
    </row>
    <row r="759" spans="1:36" ht="15" customHeight="1" x14ac:dyDescent="0.35">
      <c r="A759" s="98" t="s">
        <v>970</v>
      </c>
      <c r="B759" s="98">
        <v>49</v>
      </c>
      <c r="C759" s="98">
        <v>2</v>
      </c>
      <c r="D759" s="93"/>
      <c r="E759" s="93"/>
      <c r="F759" s="93"/>
      <c r="G759" s="97"/>
      <c r="H759" s="97"/>
      <c r="I759" s="93"/>
      <c r="J759" s="93"/>
      <c r="K759" s="93"/>
      <c r="L759" s="93"/>
      <c r="M759" s="93"/>
      <c r="N759" s="98">
        <v>0</v>
      </c>
      <c r="O759" s="98">
        <v>2</v>
      </c>
      <c r="P759" s="99">
        <f>SUM(SamplingData[[#This Row],[Winning Candidate]:[Under Votes]])</f>
        <v>53</v>
      </c>
      <c r="Q759"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3.1409994660300906E-3</v>
      </c>
      <c r="R759" s="100">
        <f>IF(AND(SamplingData[[#This Row],[Total]]&lt;&gt; 0, NOT(ISBLANK(SamplingData[[#This Row],[Candidate 3]]))),(SamplingData[[#This Row],[Total]]+SamplingData[[#This Row],[Winning Candidate]]-SamplingData[[#This Row],[Candidate 3]])/(SamplingData[[#Totals],[Winning Candidate]]-SamplingData[[#Totals],[Candidate 3]]), 0)</f>
        <v>0</v>
      </c>
      <c r="S759" s="100">
        <f>IF(AND(SamplingData[[#This Row],[Total]]&lt;&gt; 0, NOT(ISBLANK(SamplingData[[#This Row],[Candidate 4]]))),(SamplingData[[#This Row],[Total]]+SamplingData[[#This Row],[Winning Candidate]]-SamplingData[[#This Row],[Candidate 4]])/(SamplingData[[#Totals],[Winning Candidate]]-SamplingData[[#Totals],[Candidate 4]]), 0)</f>
        <v>0</v>
      </c>
      <c r="T759" s="100">
        <f>IF(AND(SamplingData[[#This Row],[Total]]&lt;&gt; 0, NOT(ISBLANK(SamplingData[[#This Row],[Candidate 5]]))),(SamplingData[[#This Row],[Total]]+SamplingData[[#This Row],[Winning Candidate]]-SamplingData[[#This Row],[Candidate 5]])/(SamplingData[[#Totals],[Winning Candidate]]-SamplingData[[#Totals],[Candidate 5]]), 0)</f>
        <v>0</v>
      </c>
      <c r="U759" s="100">
        <f>IF(AND(SamplingData[[#This Row],[Total]]&lt;&gt; 0, NOT(ISBLANK(SamplingData[[#This Row],[Candidate 6]]))),(SamplingData[[#This Row],[Total]]+SamplingData[[#This Row],[Losing Candidate]]-SamplingData[[#This Row],[Candidate 6]])/(SamplingData[[#Totals],[Winning Candidate]]-SamplingData[[#Totals],[Candidate 6]]), 0)</f>
        <v>0</v>
      </c>
      <c r="V759" s="100">
        <f>IF(AND(SamplingData[[#This Row],[Total]]&lt;&gt; 0, NOT(ISBLANK(SamplingData[[#This Row],[Candidate 7]]))),(SamplingData[[#This Row],[Total]]+SamplingData[[#This Row],[Winning Candidate]]-SamplingData[[#This Row],[Candidate 7]])/(SamplingData[[#Totals],[Winning Candidate]]-SamplingData[[#Totals],[Candidate 7]]), 0)</f>
        <v>0</v>
      </c>
      <c r="W759" s="100">
        <f>IF(AND(SamplingData[[#This Row],[Total]]&lt;&gt; 0, NOT(ISBLANK(SamplingData[[#This Row],[Candidate 8]]))),(SamplingData[[#This Row],[Total]]+SamplingData[[#This Row],[Winning Candidate]]-SamplingData[[#This Row],[Candidate 8]])/(SamplingData[[#Totals],[Winning Candidate]]-SamplingData[[#Totals],[Candidate 8]]), 0)</f>
        <v>0</v>
      </c>
      <c r="X7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00">
        <f>MAX(SamplingData[[#This Row],[Error Bound (up) - Max. possible relative overstatement - Losing Candidate]:[Error Bound (up) - Max. possible relative overstatement - Candidate 12]])</f>
        <v>3.1409994660300906E-3</v>
      </c>
      <c r="AC759" s="100">
        <f>IF(SamplingData[[#This Row],[Max Error Bound (up)]] = 0,0,SamplingData[[#This Row],[Max Error Bound (up)]]/SamplingData[[#Totals],[Max Error Bound (up)]])</f>
        <v>1.3460399504657303E-3</v>
      </c>
      <c r="AD759" s="104">
        <f>SUM($AC$5:AC759)</f>
        <v>0.23178807947019905</v>
      </c>
      <c r="AE759" s="100" t="str" cm="1">
        <f t="array" ref="AE759">IF(SamplingData[[#This Row],[up/U Selection Probability]] = 0, "Zero", TEXT(SamplingData[[#This Row],[Lower Range]], REPT("0",LEN('General Info'!$B$42))) &amp; " - " &amp; TEXT(SamplingData[[#This Row],[Upper Range]], REPT("0",LEN('General Info'!$B$42))))</f>
        <v>23044 - 23178</v>
      </c>
      <c r="AF759" s="100">
        <f>SamplingData[[#This Row],[Upper Range]]-SamplingData[[#This Row],[Span]]</f>
        <v>23044.20395197333</v>
      </c>
      <c r="AG759" s="100">
        <f>IF(ISNUMBER('General Info'!$B$42), ((SamplingData[[#This Row],[up/U Selection Probability]]) * 'General Info'!$B$44) - 1, 0)</f>
        <v>133.60399504657303</v>
      </c>
      <c r="AH759" s="100">
        <f>IF(ISNUMBER('General Info'!$B$42), (SamplingData[[#This Row],[Running (cumulative) sum]] * ('General Info'!$B$42 -'General Info'!$B$43 + 1)) + 'General Info'!$B$43 - 1, 0)</f>
        <v>23177.807947019905</v>
      </c>
      <c r="AI759" s="100" t="str">
        <f>IF(ISERROR(MATCH(SamplingData[[#This Row],[Batch by Type (p)]],SelectedPrecincts[Batch Name], 0)), "", INDEX(SelectedPrecincts[Draw], MATCH(SamplingData[[#This Row],[Batch by Type (p)]],SelectedPrecincts[Batch Name], 0)))</f>
        <v/>
      </c>
      <c r="AJ759" s="101">
        <f>IF(COUNTIF(SelectedPrecincts[Batch Name],SamplingData[[#This Row],[Batch by Type (p)]]) &lt;&gt; 0, COUNTIF(SelectedPrecincts[Batch Name],SamplingData[[#This Row],[Batch by Type (p)]]), 0)</f>
        <v>0</v>
      </c>
    </row>
    <row r="760" spans="1:36" ht="15" customHeight="1" x14ac:dyDescent="0.35">
      <c r="A760" s="98" t="s">
        <v>971</v>
      </c>
      <c r="B760" s="98">
        <v>55</v>
      </c>
      <c r="C760" s="98">
        <v>6</v>
      </c>
      <c r="D760" s="93"/>
      <c r="E760" s="93"/>
      <c r="F760" s="93"/>
      <c r="G760" s="97"/>
      <c r="H760" s="97"/>
      <c r="I760" s="93"/>
      <c r="J760" s="93"/>
      <c r="K760" s="93"/>
      <c r="L760" s="93"/>
      <c r="M760" s="93"/>
      <c r="N760" s="98">
        <v>0</v>
      </c>
      <c r="O760" s="98">
        <v>0</v>
      </c>
      <c r="P760" s="99">
        <f>SUM(SamplingData[[#This Row],[Winning Candidate]:[Under Votes]])</f>
        <v>61</v>
      </c>
      <c r="Q760" s="100">
        <f>IF(AND(SamplingData[[#This Row],[Total]]&lt;&gt; 0, NOT(ISBLANK(SamplingData[[#This Row],[Losing Candidate]]))),(SamplingData[[#This Row],[Total]]+SamplingData[[#This Row],[Winning Candidate]]-SamplingData[[#This Row],[Losing Candidate]])/(SamplingData[[#Totals],[Winning Candidate]]-SamplingData[[#Totals],[Losing Candidate]]), 0)</f>
        <v>3.4550994126330997E-3</v>
      </c>
      <c r="R760" s="100">
        <f>IF(AND(SamplingData[[#This Row],[Total]]&lt;&gt; 0, NOT(ISBLANK(SamplingData[[#This Row],[Candidate 3]]))),(SamplingData[[#This Row],[Total]]+SamplingData[[#This Row],[Winning Candidate]]-SamplingData[[#This Row],[Candidate 3]])/(SamplingData[[#Totals],[Winning Candidate]]-SamplingData[[#Totals],[Candidate 3]]), 0)</f>
        <v>0</v>
      </c>
      <c r="S760" s="100">
        <f>IF(AND(SamplingData[[#This Row],[Total]]&lt;&gt; 0, NOT(ISBLANK(SamplingData[[#This Row],[Candidate 4]]))),(SamplingData[[#This Row],[Total]]+SamplingData[[#This Row],[Winning Candidate]]-SamplingData[[#This Row],[Candidate 4]])/(SamplingData[[#Totals],[Winning Candidate]]-SamplingData[[#Totals],[Candidate 4]]), 0)</f>
        <v>0</v>
      </c>
      <c r="T760" s="100">
        <f>IF(AND(SamplingData[[#This Row],[Total]]&lt;&gt; 0, NOT(ISBLANK(SamplingData[[#This Row],[Candidate 5]]))),(SamplingData[[#This Row],[Total]]+SamplingData[[#This Row],[Winning Candidate]]-SamplingData[[#This Row],[Candidate 5]])/(SamplingData[[#Totals],[Winning Candidate]]-SamplingData[[#Totals],[Candidate 5]]), 0)</f>
        <v>0</v>
      </c>
      <c r="U760" s="100">
        <f>IF(AND(SamplingData[[#This Row],[Total]]&lt;&gt; 0, NOT(ISBLANK(SamplingData[[#This Row],[Candidate 6]]))),(SamplingData[[#This Row],[Total]]+SamplingData[[#This Row],[Losing Candidate]]-SamplingData[[#This Row],[Candidate 6]])/(SamplingData[[#Totals],[Winning Candidate]]-SamplingData[[#Totals],[Candidate 6]]), 0)</f>
        <v>0</v>
      </c>
      <c r="V760" s="100">
        <f>IF(AND(SamplingData[[#This Row],[Total]]&lt;&gt; 0, NOT(ISBLANK(SamplingData[[#This Row],[Candidate 7]]))),(SamplingData[[#This Row],[Total]]+SamplingData[[#This Row],[Winning Candidate]]-SamplingData[[#This Row],[Candidate 7]])/(SamplingData[[#Totals],[Winning Candidate]]-SamplingData[[#Totals],[Candidate 7]]), 0)</f>
        <v>0</v>
      </c>
      <c r="W760" s="100">
        <f>IF(AND(SamplingData[[#This Row],[Total]]&lt;&gt; 0, NOT(ISBLANK(SamplingData[[#This Row],[Candidate 8]]))),(SamplingData[[#This Row],[Total]]+SamplingData[[#This Row],[Winning Candidate]]-SamplingData[[#This Row],[Candidate 8]])/(SamplingData[[#Totals],[Winning Candidate]]-SamplingData[[#Totals],[Candidate 8]]), 0)</f>
        <v>0</v>
      </c>
      <c r="X7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00">
        <f>MAX(SamplingData[[#This Row],[Error Bound (up) - Max. possible relative overstatement - Losing Candidate]:[Error Bound (up) - Max. possible relative overstatement - Candidate 12]])</f>
        <v>3.4550994126330997E-3</v>
      </c>
      <c r="AC760" s="100">
        <f>IF(SamplingData[[#This Row],[Max Error Bound (up)]] = 0,0,SamplingData[[#This Row],[Max Error Bound (up)]]/SamplingData[[#Totals],[Max Error Bound (up)]])</f>
        <v>1.4806439455123032E-3</v>
      </c>
      <c r="AD760" s="104">
        <f>SUM($AC$5:AC760)</f>
        <v>0.23326872341571137</v>
      </c>
      <c r="AE760" s="100" t="str" cm="1">
        <f t="array" ref="AE760">IF(SamplingData[[#This Row],[up/U Selection Probability]] = 0, "Zero", TEXT(SamplingData[[#This Row],[Lower Range]], REPT("0",LEN('General Info'!$B$42))) &amp; " - " &amp; TEXT(SamplingData[[#This Row],[Upper Range]], REPT("0",LEN('General Info'!$B$42))))</f>
        <v>23179 - 23326</v>
      </c>
      <c r="AF760" s="100">
        <f>SamplingData[[#This Row],[Upper Range]]-SamplingData[[#This Row],[Span]]</f>
        <v>23178.807947019905</v>
      </c>
      <c r="AG760" s="100">
        <f>IF(ISNUMBER('General Info'!$B$42), ((SamplingData[[#This Row],[up/U Selection Probability]]) * 'General Info'!$B$44) - 1, 0)</f>
        <v>147.06439455123032</v>
      </c>
      <c r="AH760" s="100">
        <f>IF(ISNUMBER('General Info'!$B$42), (SamplingData[[#This Row],[Running (cumulative) sum]] * ('General Info'!$B$42 -'General Info'!$B$43 + 1)) + 'General Info'!$B$43 - 1, 0)</f>
        <v>23325.872341571136</v>
      </c>
      <c r="AI760" s="100" t="str">
        <f>IF(ISERROR(MATCH(SamplingData[[#This Row],[Batch by Type (p)]],SelectedPrecincts[Batch Name], 0)), "", INDEX(SelectedPrecincts[Draw], MATCH(SamplingData[[#This Row],[Batch by Type (p)]],SelectedPrecincts[Batch Name], 0)))</f>
        <v/>
      </c>
      <c r="AJ760" s="101">
        <f>IF(COUNTIF(SelectedPrecincts[Batch Name],SamplingData[[#This Row],[Batch by Type (p)]]) &lt;&gt; 0, COUNTIF(SelectedPrecincts[Batch Name],SamplingData[[#This Row],[Batch by Type (p)]]), 0)</f>
        <v>0</v>
      </c>
    </row>
    <row r="761" spans="1:36" ht="15" customHeight="1" x14ac:dyDescent="0.35">
      <c r="A761" s="98" t="s">
        <v>972</v>
      </c>
      <c r="B761" s="98">
        <v>63</v>
      </c>
      <c r="C761" s="98">
        <v>4</v>
      </c>
      <c r="D761" s="93"/>
      <c r="E761" s="93"/>
      <c r="F761" s="93"/>
      <c r="G761" s="97"/>
      <c r="H761" s="97"/>
      <c r="I761" s="93"/>
      <c r="J761" s="93"/>
      <c r="K761" s="93"/>
      <c r="L761" s="93"/>
      <c r="M761" s="93"/>
      <c r="N761" s="98">
        <v>0</v>
      </c>
      <c r="O761" s="98">
        <v>1</v>
      </c>
      <c r="P761" s="99">
        <f>SUM(SamplingData[[#This Row],[Winning Candidate]:[Under Votes]])</f>
        <v>68</v>
      </c>
      <c r="Q761" s="100">
        <f>IF(AND(SamplingData[[#This Row],[Total]]&lt;&gt; 0, NOT(ISBLANK(SamplingData[[#This Row],[Losing Candidate]]))),(SamplingData[[#This Row],[Total]]+SamplingData[[#This Row],[Winning Candidate]]-SamplingData[[#This Row],[Losing Candidate]])/(SamplingData[[#Totals],[Winning Candidate]]-SamplingData[[#Totals],[Losing Candidate]]), 0)</f>
        <v>3.989069321858215E-3</v>
      </c>
      <c r="R761" s="100">
        <f>IF(AND(SamplingData[[#This Row],[Total]]&lt;&gt; 0, NOT(ISBLANK(SamplingData[[#This Row],[Candidate 3]]))),(SamplingData[[#This Row],[Total]]+SamplingData[[#This Row],[Winning Candidate]]-SamplingData[[#This Row],[Candidate 3]])/(SamplingData[[#Totals],[Winning Candidate]]-SamplingData[[#Totals],[Candidate 3]]), 0)</f>
        <v>0</v>
      </c>
      <c r="S761" s="100">
        <f>IF(AND(SamplingData[[#This Row],[Total]]&lt;&gt; 0, NOT(ISBLANK(SamplingData[[#This Row],[Candidate 4]]))),(SamplingData[[#This Row],[Total]]+SamplingData[[#This Row],[Winning Candidate]]-SamplingData[[#This Row],[Candidate 4]])/(SamplingData[[#Totals],[Winning Candidate]]-SamplingData[[#Totals],[Candidate 4]]), 0)</f>
        <v>0</v>
      </c>
      <c r="T761" s="100">
        <f>IF(AND(SamplingData[[#This Row],[Total]]&lt;&gt; 0, NOT(ISBLANK(SamplingData[[#This Row],[Candidate 5]]))),(SamplingData[[#This Row],[Total]]+SamplingData[[#This Row],[Winning Candidate]]-SamplingData[[#This Row],[Candidate 5]])/(SamplingData[[#Totals],[Winning Candidate]]-SamplingData[[#Totals],[Candidate 5]]), 0)</f>
        <v>0</v>
      </c>
      <c r="U761" s="100">
        <f>IF(AND(SamplingData[[#This Row],[Total]]&lt;&gt; 0, NOT(ISBLANK(SamplingData[[#This Row],[Candidate 6]]))),(SamplingData[[#This Row],[Total]]+SamplingData[[#This Row],[Losing Candidate]]-SamplingData[[#This Row],[Candidate 6]])/(SamplingData[[#Totals],[Winning Candidate]]-SamplingData[[#Totals],[Candidate 6]]), 0)</f>
        <v>0</v>
      </c>
      <c r="V761" s="100">
        <f>IF(AND(SamplingData[[#This Row],[Total]]&lt;&gt; 0, NOT(ISBLANK(SamplingData[[#This Row],[Candidate 7]]))),(SamplingData[[#This Row],[Total]]+SamplingData[[#This Row],[Winning Candidate]]-SamplingData[[#This Row],[Candidate 7]])/(SamplingData[[#Totals],[Winning Candidate]]-SamplingData[[#Totals],[Candidate 7]]), 0)</f>
        <v>0</v>
      </c>
      <c r="W761" s="100">
        <f>IF(AND(SamplingData[[#This Row],[Total]]&lt;&gt; 0, NOT(ISBLANK(SamplingData[[#This Row],[Candidate 8]]))),(SamplingData[[#This Row],[Total]]+SamplingData[[#This Row],[Winning Candidate]]-SamplingData[[#This Row],[Candidate 8]])/(SamplingData[[#Totals],[Winning Candidate]]-SamplingData[[#Totals],[Candidate 8]]), 0)</f>
        <v>0</v>
      </c>
      <c r="X7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00">
        <f>MAX(SamplingData[[#This Row],[Error Bound (up) - Max. possible relative overstatement - Losing Candidate]:[Error Bound (up) - Max. possible relative overstatement - Candidate 12]])</f>
        <v>3.989069321858215E-3</v>
      </c>
      <c r="AC761" s="100">
        <f>IF(SamplingData[[#This Row],[Max Error Bound (up)]] = 0,0,SamplingData[[#This Row],[Max Error Bound (up)]]/SamplingData[[#Totals],[Max Error Bound (up)]])</f>
        <v>1.7094707370914773E-3</v>
      </c>
      <c r="AD761" s="104">
        <f>SUM($AC$5:AC761)</f>
        <v>0.23497819415280286</v>
      </c>
      <c r="AE761" s="100" t="str" cm="1">
        <f t="array" ref="AE761">IF(SamplingData[[#This Row],[up/U Selection Probability]] = 0, "Zero", TEXT(SamplingData[[#This Row],[Lower Range]], REPT("0",LEN('General Info'!$B$42))) &amp; " - " &amp; TEXT(SamplingData[[#This Row],[Upper Range]], REPT("0",LEN('General Info'!$B$42))))</f>
        <v>23327 - 23497</v>
      </c>
      <c r="AF761" s="100">
        <f>SamplingData[[#This Row],[Upper Range]]-SamplingData[[#This Row],[Span]]</f>
        <v>23326.872341571139</v>
      </c>
      <c r="AG761" s="100">
        <f>IF(ISNUMBER('General Info'!$B$42), ((SamplingData[[#This Row],[up/U Selection Probability]]) * 'General Info'!$B$44) - 1, 0)</f>
        <v>169.94707370914773</v>
      </c>
      <c r="AH761" s="100">
        <f>IF(ISNUMBER('General Info'!$B$42), (SamplingData[[#This Row],[Running (cumulative) sum]] * ('General Info'!$B$42 -'General Info'!$B$43 + 1)) + 'General Info'!$B$43 - 1, 0)</f>
        <v>23496.819415280286</v>
      </c>
      <c r="AI761" s="100" t="str">
        <f>IF(ISERROR(MATCH(SamplingData[[#This Row],[Batch by Type (p)]],SelectedPrecincts[Batch Name], 0)), "", INDEX(SelectedPrecincts[Draw], MATCH(SamplingData[[#This Row],[Batch by Type (p)]],SelectedPrecincts[Batch Name], 0)))</f>
        <v/>
      </c>
      <c r="AJ761" s="101">
        <f>IF(COUNTIF(SelectedPrecincts[Batch Name],SamplingData[[#This Row],[Batch by Type (p)]]) &lt;&gt; 0, COUNTIF(SelectedPrecincts[Batch Name],SamplingData[[#This Row],[Batch by Type (p)]]), 0)</f>
        <v>0</v>
      </c>
    </row>
    <row r="762" spans="1:36" ht="15" customHeight="1" x14ac:dyDescent="0.35">
      <c r="A762" s="98" t="s">
        <v>973</v>
      </c>
      <c r="B762" s="98">
        <v>77</v>
      </c>
      <c r="C762" s="98">
        <v>11</v>
      </c>
      <c r="D762" s="93"/>
      <c r="E762" s="93"/>
      <c r="F762" s="93"/>
      <c r="G762" s="97"/>
      <c r="H762" s="97"/>
      <c r="I762" s="93"/>
      <c r="J762" s="93"/>
      <c r="K762" s="93"/>
      <c r="L762" s="93"/>
      <c r="M762" s="93"/>
      <c r="N762" s="98">
        <v>0</v>
      </c>
      <c r="O762" s="98">
        <v>1</v>
      </c>
      <c r="P762" s="99">
        <f>SUM(SamplingData[[#This Row],[Winning Candidate]:[Under Votes]])</f>
        <v>89</v>
      </c>
      <c r="Q762" s="100">
        <f>IF(AND(SamplingData[[#This Row],[Total]]&lt;&gt; 0, NOT(ISBLANK(SamplingData[[#This Row],[Losing Candidate]]))),(SamplingData[[#This Row],[Total]]+SamplingData[[#This Row],[Winning Candidate]]-SamplingData[[#This Row],[Losing Candidate]])/(SamplingData[[#Totals],[Winning Candidate]]-SamplingData[[#Totals],[Losing Candidate]]), 0)</f>
        <v>4.8685491723466411E-3</v>
      </c>
      <c r="R762" s="100">
        <f>IF(AND(SamplingData[[#This Row],[Total]]&lt;&gt; 0, NOT(ISBLANK(SamplingData[[#This Row],[Candidate 3]]))),(SamplingData[[#This Row],[Total]]+SamplingData[[#This Row],[Winning Candidate]]-SamplingData[[#This Row],[Candidate 3]])/(SamplingData[[#Totals],[Winning Candidate]]-SamplingData[[#Totals],[Candidate 3]]), 0)</f>
        <v>0</v>
      </c>
      <c r="S762" s="100">
        <f>IF(AND(SamplingData[[#This Row],[Total]]&lt;&gt; 0, NOT(ISBLANK(SamplingData[[#This Row],[Candidate 4]]))),(SamplingData[[#This Row],[Total]]+SamplingData[[#This Row],[Winning Candidate]]-SamplingData[[#This Row],[Candidate 4]])/(SamplingData[[#Totals],[Winning Candidate]]-SamplingData[[#Totals],[Candidate 4]]), 0)</f>
        <v>0</v>
      </c>
      <c r="T762" s="100">
        <f>IF(AND(SamplingData[[#This Row],[Total]]&lt;&gt; 0, NOT(ISBLANK(SamplingData[[#This Row],[Candidate 5]]))),(SamplingData[[#This Row],[Total]]+SamplingData[[#This Row],[Winning Candidate]]-SamplingData[[#This Row],[Candidate 5]])/(SamplingData[[#Totals],[Winning Candidate]]-SamplingData[[#Totals],[Candidate 5]]), 0)</f>
        <v>0</v>
      </c>
      <c r="U762" s="100">
        <f>IF(AND(SamplingData[[#This Row],[Total]]&lt;&gt; 0, NOT(ISBLANK(SamplingData[[#This Row],[Candidate 6]]))),(SamplingData[[#This Row],[Total]]+SamplingData[[#This Row],[Losing Candidate]]-SamplingData[[#This Row],[Candidate 6]])/(SamplingData[[#Totals],[Winning Candidate]]-SamplingData[[#Totals],[Candidate 6]]), 0)</f>
        <v>0</v>
      </c>
      <c r="V762" s="100">
        <f>IF(AND(SamplingData[[#This Row],[Total]]&lt;&gt; 0, NOT(ISBLANK(SamplingData[[#This Row],[Candidate 7]]))),(SamplingData[[#This Row],[Total]]+SamplingData[[#This Row],[Winning Candidate]]-SamplingData[[#This Row],[Candidate 7]])/(SamplingData[[#Totals],[Winning Candidate]]-SamplingData[[#Totals],[Candidate 7]]), 0)</f>
        <v>0</v>
      </c>
      <c r="W762" s="100">
        <f>IF(AND(SamplingData[[#This Row],[Total]]&lt;&gt; 0, NOT(ISBLANK(SamplingData[[#This Row],[Candidate 8]]))),(SamplingData[[#This Row],[Total]]+SamplingData[[#This Row],[Winning Candidate]]-SamplingData[[#This Row],[Candidate 8]])/(SamplingData[[#Totals],[Winning Candidate]]-SamplingData[[#Totals],[Candidate 8]]), 0)</f>
        <v>0</v>
      </c>
      <c r="X7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00">
        <f>MAX(SamplingData[[#This Row],[Error Bound (up) - Max. possible relative overstatement - Losing Candidate]:[Error Bound (up) - Max. possible relative overstatement - Candidate 12]])</f>
        <v>4.8685491723466411E-3</v>
      </c>
      <c r="AC762" s="100">
        <f>IF(SamplingData[[#This Row],[Max Error Bound (up)]] = 0,0,SamplingData[[#This Row],[Max Error Bound (up)]]/SamplingData[[#Totals],[Max Error Bound (up)]])</f>
        <v>2.0863619232218823E-3</v>
      </c>
      <c r="AD762" s="104">
        <f>SUM($AC$5:AC762)</f>
        <v>0.23706455607602472</v>
      </c>
      <c r="AE762" s="100" t="str" cm="1">
        <f t="array" ref="AE762">IF(SamplingData[[#This Row],[up/U Selection Probability]] = 0, "Zero", TEXT(SamplingData[[#This Row],[Lower Range]], REPT("0",LEN('General Info'!$B$42))) &amp; " - " &amp; TEXT(SamplingData[[#This Row],[Upper Range]], REPT("0",LEN('General Info'!$B$42))))</f>
        <v>23498 - 23705</v>
      </c>
      <c r="AF762" s="100">
        <f>SamplingData[[#This Row],[Upper Range]]-SamplingData[[#This Row],[Span]]</f>
        <v>23497.819415280283</v>
      </c>
      <c r="AG762" s="100">
        <f>IF(ISNUMBER('General Info'!$B$42), ((SamplingData[[#This Row],[up/U Selection Probability]]) * 'General Info'!$B$44) - 1, 0)</f>
        <v>207.63619232218824</v>
      </c>
      <c r="AH762" s="100">
        <f>IF(ISNUMBER('General Info'!$B$42), (SamplingData[[#This Row],[Running (cumulative) sum]] * ('General Info'!$B$42 -'General Info'!$B$43 + 1)) + 'General Info'!$B$43 - 1, 0)</f>
        <v>23705.455607602471</v>
      </c>
      <c r="AI762" s="100" t="str">
        <f>IF(ISERROR(MATCH(SamplingData[[#This Row],[Batch by Type (p)]],SelectedPrecincts[Batch Name], 0)), "", INDEX(SelectedPrecincts[Draw], MATCH(SamplingData[[#This Row],[Batch by Type (p)]],SelectedPrecincts[Batch Name], 0)))</f>
        <v/>
      </c>
      <c r="AJ762" s="101">
        <f>IF(COUNTIF(SelectedPrecincts[Batch Name],SamplingData[[#This Row],[Batch by Type (p)]]) &lt;&gt; 0, COUNTIF(SelectedPrecincts[Batch Name],SamplingData[[#This Row],[Batch by Type (p)]]), 0)</f>
        <v>0</v>
      </c>
    </row>
    <row r="763" spans="1:36" ht="15" customHeight="1" x14ac:dyDescent="0.35">
      <c r="A763" s="98" t="s">
        <v>974</v>
      </c>
      <c r="B763" s="98">
        <v>71</v>
      </c>
      <c r="C763" s="98">
        <v>13</v>
      </c>
      <c r="D763" s="93"/>
      <c r="E763" s="93"/>
      <c r="F763" s="93"/>
      <c r="G763" s="97"/>
      <c r="H763" s="97"/>
      <c r="I763" s="93"/>
      <c r="J763" s="93"/>
      <c r="K763" s="93"/>
      <c r="L763" s="93"/>
      <c r="M763" s="93"/>
      <c r="N763" s="98">
        <v>0</v>
      </c>
      <c r="O763" s="98">
        <v>3</v>
      </c>
      <c r="P763" s="99">
        <f>SUM(SamplingData[[#This Row],[Winning Candidate]:[Under Votes]])</f>
        <v>87</v>
      </c>
      <c r="Q763" s="100">
        <f>IF(AND(SamplingData[[#This Row],[Total]]&lt;&gt; 0, NOT(ISBLANK(SamplingData[[#This Row],[Losing Candidate]]))),(SamplingData[[#This Row],[Total]]+SamplingData[[#This Row],[Winning Candidate]]-SamplingData[[#This Row],[Losing Candidate]])/(SamplingData[[#Totals],[Winning Candidate]]-SamplingData[[#Totals],[Losing Candidate]]), 0)</f>
        <v>4.5544492257436316E-3</v>
      </c>
      <c r="R763" s="100">
        <f>IF(AND(SamplingData[[#This Row],[Total]]&lt;&gt; 0, NOT(ISBLANK(SamplingData[[#This Row],[Candidate 3]]))),(SamplingData[[#This Row],[Total]]+SamplingData[[#This Row],[Winning Candidate]]-SamplingData[[#This Row],[Candidate 3]])/(SamplingData[[#Totals],[Winning Candidate]]-SamplingData[[#Totals],[Candidate 3]]), 0)</f>
        <v>0</v>
      </c>
      <c r="S763" s="100">
        <f>IF(AND(SamplingData[[#This Row],[Total]]&lt;&gt; 0, NOT(ISBLANK(SamplingData[[#This Row],[Candidate 4]]))),(SamplingData[[#This Row],[Total]]+SamplingData[[#This Row],[Winning Candidate]]-SamplingData[[#This Row],[Candidate 4]])/(SamplingData[[#Totals],[Winning Candidate]]-SamplingData[[#Totals],[Candidate 4]]), 0)</f>
        <v>0</v>
      </c>
      <c r="T763" s="100">
        <f>IF(AND(SamplingData[[#This Row],[Total]]&lt;&gt; 0, NOT(ISBLANK(SamplingData[[#This Row],[Candidate 5]]))),(SamplingData[[#This Row],[Total]]+SamplingData[[#This Row],[Winning Candidate]]-SamplingData[[#This Row],[Candidate 5]])/(SamplingData[[#Totals],[Winning Candidate]]-SamplingData[[#Totals],[Candidate 5]]), 0)</f>
        <v>0</v>
      </c>
      <c r="U763" s="100">
        <f>IF(AND(SamplingData[[#This Row],[Total]]&lt;&gt; 0, NOT(ISBLANK(SamplingData[[#This Row],[Candidate 6]]))),(SamplingData[[#This Row],[Total]]+SamplingData[[#This Row],[Losing Candidate]]-SamplingData[[#This Row],[Candidate 6]])/(SamplingData[[#Totals],[Winning Candidate]]-SamplingData[[#Totals],[Candidate 6]]), 0)</f>
        <v>0</v>
      </c>
      <c r="V763" s="100">
        <f>IF(AND(SamplingData[[#This Row],[Total]]&lt;&gt; 0, NOT(ISBLANK(SamplingData[[#This Row],[Candidate 7]]))),(SamplingData[[#This Row],[Total]]+SamplingData[[#This Row],[Winning Candidate]]-SamplingData[[#This Row],[Candidate 7]])/(SamplingData[[#Totals],[Winning Candidate]]-SamplingData[[#Totals],[Candidate 7]]), 0)</f>
        <v>0</v>
      </c>
      <c r="W763" s="100">
        <f>IF(AND(SamplingData[[#This Row],[Total]]&lt;&gt; 0, NOT(ISBLANK(SamplingData[[#This Row],[Candidate 8]]))),(SamplingData[[#This Row],[Total]]+SamplingData[[#This Row],[Winning Candidate]]-SamplingData[[#This Row],[Candidate 8]])/(SamplingData[[#Totals],[Winning Candidate]]-SamplingData[[#Totals],[Candidate 8]]), 0)</f>
        <v>0</v>
      </c>
      <c r="X7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00">
        <f>MAX(SamplingData[[#This Row],[Error Bound (up) - Max. possible relative overstatement - Losing Candidate]:[Error Bound (up) - Max. possible relative overstatement - Candidate 12]])</f>
        <v>4.5544492257436316E-3</v>
      </c>
      <c r="AC763" s="100">
        <f>IF(SamplingData[[#This Row],[Max Error Bound (up)]] = 0,0,SamplingData[[#This Row],[Max Error Bound (up)]]/SamplingData[[#Totals],[Max Error Bound (up)]])</f>
        <v>1.9517579281753089E-3</v>
      </c>
      <c r="AD763" s="104">
        <f>SUM($AC$5:AC763)</f>
        <v>0.23901631400420004</v>
      </c>
      <c r="AE763" s="100" t="str" cm="1">
        <f t="array" ref="AE763">IF(SamplingData[[#This Row],[up/U Selection Probability]] = 0, "Zero", TEXT(SamplingData[[#This Row],[Lower Range]], REPT("0",LEN('General Info'!$B$42))) &amp; " - " &amp; TEXT(SamplingData[[#This Row],[Upper Range]], REPT("0",LEN('General Info'!$B$42))))</f>
        <v>23706 - 23901</v>
      </c>
      <c r="AF763" s="100">
        <f>SamplingData[[#This Row],[Upper Range]]-SamplingData[[#This Row],[Span]]</f>
        <v>23706.455607602471</v>
      </c>
      <c r="AG763" s="100">
        <f>IF(ISNUMBER('General Info'!$B$42), ((SamplingData[[#This Row],[up/U Selection Probability]]) * 'General Info'!$B$44) - 1, 0)</f>
        <v>194.17579281753089</v>
      </c>
      <c r="AH763" s="100">
        <f>IF(ISNUMBER('General Info'!$B$42), (SamplingData[[#This Row],[Running (cumulative) sum]] * ('General Info'!$B$42 -'General Info'!$B$43 + 1)) + 'General Info'!$B$43 - 1, 0)</f>
        <v>23900.631400420003</v>
      </c>
      <c r="AI763" s="100" t="str">
        <f>IF(ISERROR(MATCH(SamplingData[[#This Row],[Batch by Type (p)]],SelectedPrecincts[Batch Name], 0)), "", INDEX(SelectedPrecincts[Draw], MATCH(SamplingData[[#This Row],[Batch by Type (p)]],SelectedPrecincts[Batch Name], 0)))</f>
        <v/>
      </c>
      <c r="AJ763" s="101">
        <f>IF(COUNTIF(SelectedPrecincts[Batch Name],SamplingData[[#This Row],[Batch by Type (p)]]) &lt;&gt; 0, COUNTIF(SelectedPrecincts[Batch Name],SamplingData[[#This Row],[Batch by Type (p)]]), 0)</f>
        <v>0</v>
      </c>
    </row>
    <row r="764" spans="1:36" ht="15" customHeight="1" x14ac:dyDescent="0.35">
      <c r="A764" s="98" t="s">
        <v>975</v>
      </c>
      <c r="B764" s="98">
        <v>52</v>
      </c>
      <c r="C764" s="98">
        <v>5</v>
      </c>
      <c r="D764" s="93"/>
      <c r="E764" s="93"/>
      <c r="F764" s="93"/>
      <c r="G764" s="97"/>
      <c r="H764" s="97"/>
      <c r="I764" s="93"/>
      <c r="J764" s="93"/>
      <c r="K764" s="93"/>
      <c r="L764" s="93"/>
      <c r="M764" s="93"/>
      <c r="N764" s="98">
        <v>0</v>
      </c>
      <c r="O764" s="98">
        <v>1</v>
      </c>
      <c r="P764" s="99">
        <f>SUM(SamplingData[[#This Row],[Winning Candidate]:[Under Votes]])</f>
        <v>58</v>
      </c>
      <c r="Q764" s="100">
        <f>IF(AND(SamplingData[[#This Row],[Total]]&lt;&gt; 0, NOT(ISBLANK(SamplingData[[#This Row],[Losing Candidate]]))),(SamplingData[[#This Row],[Total]]+SamplingData[[#This Row],[Winning Candidate]]-SamplingData[[#This Row],[Losing Candidate]])/(SamplingData[[#Totals],[Winning Candidate]]-SamplingData[[#Totals],[Losing Candidate]]), 0)</f>
        <v>3.2980494393315954E-3</v>
      </c>
      <c r="R764" s="100">
        <f>IF(AND(SamplingData[[#This Row],[Total]]&lt;&gt; 0, NOT(ISBLANK(SamplingData[[#This Row],[Candidate 3]]))),(SamplingData[[#This Row],[Total]]+SamplingData[[#This Row],[Winning Candidate]]-SamplingData[[#This Row],[Candidate 3]])/(SamplingData[[#Totals],[Winning Candidate]]-SamplingData[[#Totals],[Candidate 3]]), 0)</f>
        <v>0</v>
      </c>
      <c r="S764" s="100">
        <f>IF(AND(SamplingData[[#This Row],[Total]]&lt;&gt; 0, NOT(ISBLANK(SamplingData[[#This Row],[Candidate 4]]))),(SamplingData[[#This Row],[Total]]+SamplingData[[#This Row],[Winning Candidate]]-SamplingData[[#This Row],[Candidate 4]])/(SamplingData[[#Totals],[Winning Candidate]]-SamplingData[[#Totals],[Candidate 4]]), 0)</f>
        <v>0</v>
      </c>
      <c r="T764" s="100">
        <f>IF(AND(SamplingData[[#This Row],[Total]]&lt;&gt; 0, NOT(ISBLANK(SamplingData[[#This Row],[Candidate 5]]))),(SamplingData[[#This Row],[Total]]+SamplingData[[#This Row],[Winning Candidate]]-SamplingData[[#This Row],[Candidate 5]])/(SamplingData[[#Totals],[Winning Candidate]]-SamplingData[[#Totals],[Candidate 5]]), 0)</f>
        <v>0</v>
      </c>
      <c r="U764" s="100">
        <f>IF(AND(SamplingData[[#This Row],[Total]]&lt;&gt; 0, NOT(ISBLANK(SamplingData[[#This Row],[Candidate 6]]))),(SamplingData[[#This Row],[Total]]+SamplingData[[#This Row],[Losing Candidate]]-SamplingData[[#This Row],[Candidate 6]])/(SamplingData[[#Totals],[Winning Candidate]]-SamplingData[[#Totals],[Candidate 6]]), 0)</f>
        <v>0</v>
      </c>
      <c r="V764" s="100">
        <f>IF(AND(SamplingData[[#This Row],[Total]]&lt;&gt; 0, NOT(ISBLANK(SamplingData[[#This Row],[Candidate 7]]))),(SamplingData[[#This Row],[Total]]+SamplingData[[#This Row],[Winning Candidate]]-SamplingData[[#This Row],[Candidate 7]])/(SamplingData[[#Totals],[Winning Candidate]]-SamplingData[[#Totals],[Candidate 7]]), 0)</f>
        <v>0</v>
      </c>
      <c r="W764" s="100">
        <f>IF(AND(SamplingData[[#This Row],[Total]]&lt;&gt; 0, NOT(ISBLANK(SamplingData[[#This Row],[Candidate 8]]))),(SamplingData[[#This Row],[Total]]+SamplingData[[#This Row],[Winning Candidate]]-SamplingData[[#This Row],[Candidate 8]])/(SamplingData[[#Totals],[Winning Candidate]]-SamplingData[[#Totals],[Candidate 8]]), 0)</f>
        <v>0</v>
      </c>
      <c r="X7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00">
        <f>MAX(SamplingData[[#This Row],[Error Bound (up) - Max. possible relative overstatement - Losing Candidate]:[Error Bound (up) - Max. possible relative overstatement - Candidate 12]])</f>
        <v>3.2980494393315954E-3</v>
      </c>
      <c r="AC764" s="100">
        <f>IF(SamplingData[[#This Row],[Max Error Bound (up)]] = 0,0,SamplingData[[#This Row],[Max Error Bound (up)]]/SamplingData[[#Totals],[Max Error Bound (up)]])</f>
        <v>1.4133419479890167E-3</v>
      </c>
      <c r="AD764" s="104">
        <f>SUM($AC$5:AC764)</f>
        <v>0.24042965595218904</v>
      </c>
      <c r="AE764" s="100" t="str" cm="1">
        <f t="array" ref="AE764">IF(SamplingData[[#This Row],[up/U Selection Probability]] = 0, "Zero", TEXT(SamplingData[[#This Row],[Lower Range]], REPT("0",LEN('General Info'!$B$42))) &amp; " - " &amp; TEXT(SamplingData[[#This Row],[Upper Range]], REPT("0",LEN('General Info'!$B$42))))</f>
        <v>23902 - 24042</v>
      </c>
      <c r="AF764" s="100">
        <f>SamplingData[[#This Row],[Upper Range]]-SamplingData[[#This Row],[Span]]</f>
        <v>23901.631400420003</v>
      </c>
      <c r="AG764" s="100">
        <f>IF(ISNUMBER('General Info'!$B$42), ((SamplingData[[#This Row],[up/U Selection Probability]]) * 'General Info'!$B$44) - 1, 0)</f>
        <v>140.33419479890168</v>
      </c>
      <c r="AH764" s="100">
        <f>IF(ISNUMBER('General Info'!$B$42), (SamplingData[[#This Row],[Running (cumulative) sum]] * ('General Info'!$B$42 -'General Info'!$B$43 + 1)) + 'General Info'!$B$43 - 1, 0)</f>
        <v>24041.965595218906</v>
      </c>
      <c r="AI764" s="100" t="str">
        <f>IF(ISERROR(MATCH(SamplingData[[#This Row],[Batch by Type (p)]],SelectedPrecincts[Batch Name], 0)), "", INDEX(SelectedPrecincts[Draw], MATCH(SamplingData[[#This Row],[Batch by Type (p)]],SelectedPrecincts[Batch Name], 0)))</f>
        <v/>
      </c>
      <c r="AJ764" s="101">
        <f>IF(COUNTIF(SelectedPrecincts[Batch Name],SamplingData[[#This Row],[Batch by Type (p)]]) &lt;&gt; 0, COUNTIF(SelectedPrecincts[Batch Name],SamplingData[[#This Row],[Batch by Type (p)]]), 0)</f>
        <v>0</v>
      </c>
    </row>
    <row r="765" spans="1:36" ht="15" customHeight="1" x14ac:dyDescent="0.35">
      <c r="A765" s="98" t="s">
        <v>976</v>
      </c>
      <c r="B765" s="98">
        <v>49</v>
      </c>
      <c r="C765" s="98">
        <v>9</v>
      </c>
      <c r="D765" s="93"/>
      <c r="E765" s="93"/>
      <c r="F765" s="93"/>
      <c r="G765" s="97"/>
      <c r="H765" s="97"/>
      <c r="I765" s="93"/>
      <c r="J765" s="93"/>
      <c r="K765" s="93"/>
      <c r="L765" s="93"/>
      <c r="M765" s="93"/>
      <c r="N765" s="98">
        <v>0</v>
      </c>
      <c r="O765" s="98">
        <v>1</v>
      </c>
      <c r="P765" s="99">
        <f>SUM(SamplingData[[#This Row],[Winning Candidate]:[Under Votes]])</f>
        <v>59</v>
      </c>
      <c r="Q765" s="100">
        <f>IF(AND(SamplingData[[#This Row],[Total]]&lt;&gt; 0, NOT(ISBLANK(SamplingData[[#This Row],[Losing Candidate]]))),(SamplingData[[#This Row],[Total]]+SamplingData[[#This Row],[Winning Candidate]]-SamplingData[[#This Row],[Losing Candidate]])/(SamplingData[[#Totals],[Winning Candidate]]-SamplingData[[#Totals],[Losing Candidate]]), 0)</f>
        <v>3.1095894713697898E-3</v>
      </c>
      <c r="R765" s="100">
        <f>IF(AND(SamplingData[[#This Row],[Total]]&lt;&gt; 0, NOT(ISBLANK(SamplingData[[#This Row],[Candidate 3]]))),(SamplingData[[#This Row],[Total]]+SamplingData[[#This Row],[Winning Candidate]]-SamplingData[[#This Row],[Candidate 3]])/(SamplingData[[#Totals],[Winning Candidate]]-SamplingData[[#Totals],[Candidate 3]]), 0)</f>
        <v>0</v>
      </c>
      <c r="S765" s="100">
        <f>IF(AND(SamplingData[[#This Row],[Total]]&lt;&gt; 0, NOT(ISBLANK(SamplingData[[#This Row],[Candidate 4]]))),(SamplingData[[#This Row],[Total]]+SamplingData[[#This Row],[Winning Candidate]]-SamplingData[[#This Row],[Candidate 4]])/(SamplingData[[#Totals],[Winning Candidate]]-SamplingData[[#Totals],[Candidate 4]]), 0)</f>
        <v>0</v>
      </c>
      <c r="T765" s="100">
        <f>IF(AND(SamplingData[[#This Row],[Total]]&lt;&gt; 0, NOT(ISBLANK(SamplingData[[#This Row],[Candidate 5]]))),(SamplingData[[#This Row],[Total]]+SamplingData[[#This Row],[Winning Candidate]]-SamplingData[[#This Row],[Candidate 5]])/(SamplingData[[#Totals],[Winning Candidate]]-SamplingData[[#Totals],[Candidate 5]]), 0)</f>
        <v>0</v>
      </c>
      <c r="U765" s="100">
        <f>IF(AND(SamplingData[[#This Row],[Total]]&lt;&gt; 0, NOT(ISBLANK(SamplingData[[#This Row],[Candidate 6]]))),(SamplingData[[#This Row],[Total]]+SamplingData[[#This Row],[Losing Candidate]]-SamplingData[[#This Row],[Candidate 6]])/(SamplingData[[#Totals],[Winning Candidate]]-SamplingData[[#Totals],[Candidate 6]]), 0)</f>
        <v>0</v>
      </c>
      <c r="V765" s="100">
        <f>IF(AND(SamplingData[[#This Row],[Total]]&lt;&gt; 0, NOT(ISBLANK(SamplingData[[#This Row],[Candidate 7]]))),(SamplingData[[#This Row],[Total]]+SamplingData[[#This Row],[Winning Candidate]]-SamplingData[[#This Row],[Candidate 7]])/(SamplingData[[#Totals],[Winning Candidate]]-SamplingData[[#Totals],[Candidate 7]]), 0)</f>
        <v>0</v>
      </c>
      <c r="W765" s="100">
        <f>IF(AND(SamplingData[[#This Row],[Total]]&lt;&gt; 0, NOT(ISBLANK(SamplingData[[#This Row],[Candidate 8]]))),(SamplingData[[#This Row],[Total]]+SamplingData[[#This Row],[Winning Candidate]]-SamplingData[[#This Row],[Candidate 8]])/(SamplingData[[#Totals],[Winning Candidate]]-SamplingData[[#Totals],[Candidate 8]]), 0)</f>
        <v>0</v>
      </c>
      <c r="X7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00">
        <f>MAX(SamplingData[[#This Row],[Error Bound (up) - Max. possible relative overstatement - Losing Candidate]:[Error Bound (up) - Max. possible relative overstatement - Candidate 12]])</f>
        <v>3.1095894713697898E-3</v>
      </c>
      <c r="AC765" s="100">
        <f>IF(SamplingData[[#This Row],[Max Error Bound (up)]] = 0,0,SamplingData[[#This Row],[Max Error Bound (up)]]/SamplingData[[#Totals],[Max Error Bound (up)]])</f>
        <v>1.332579550961073E-3</v>
      </c>
      <c r="AD765" s="104">
        <f>SUM($AC$5:AC765)</f>
        <v>0.24176223550315012</v>
      </c>
      <c r="AE765" s="100" t="str" cm="1">
        <f t="array" ref="AE765">IF(SamplingData[[#This Row],[up/U Selection Probability]] = 0, "Zero", TEXT(SamplingData[[#This Row],[Lower Range]], REPT("0",LEN('General Info'!$B$42))) &amp; " - " &amp; TEXT(SamplingData[[#This Row],[Upper Range]], REPT("0",LEN('General Info'!$B$42))))</f>
        <v>24043 - 24175</v>
      </c>
      <c r="AF765" s="100">
        <f>SamplingData[[#This Row],[Upper Range]]-SamplingData[[#This Row],[Span]]</f>
        <v>24042.965595218902</v>
      </c>
      <c r="AG765" s="100">
        <f>IF(ISNUMBER('General Info'!$B$42), ((SamplingData[[#This Row],[up/U Selection Probability]]) * 'General Info'!$B$44) - 1, 0)</f>
        <v>132.25795509610731</v>
      </c>
      <c r="AH765" s="100">
        <f>IF(ISNUMBER('General Info'!$B$42), (SamplingData[[#This Row],[Running (cumulative) sum]] * ('General Info'!$B$42 -'General Info'!$B$43 + 1)) + 'General Info'!$B$43 - 1, 0)</f>
        <v>24175.223550315011</v>
      </c>
      <c r="AI765" s="100" t="str">
        <f>IF(ISERROR(MATCH(SamplingData[[#This Row],[Batch by Type (p)]],SelectedPrecincts[Batch Name], 0)), "", INDEX(SelectedPrecincts[Draw], MATCH(SamplingData[[#This Row],[Batch by Type (p)]],SelectedPrecincts[Batch Name], 0)))</f>
        <v/>
      </c>
      <c r="AJ765" s="101">
        <f>IF(COUNTIF(SelectedPrecincts[Batch Name],SamplingData[[#This Row],[Batch by Type (p)]]) &lt;&gt; 0, COUNTIF(SelectedPrecincts[Batch Name],SamplingData[[#This Row],[Batch by Type (p)]]), 0)</f>
        <v>0</v>
      </c>
    </row>
    <row r="766" spans="1:36" ht="15" customHeight="1" x14ac:dyDescent="0.35">
      <c r="A766" s="98" t="s">
        <v>977</v>
      </c>
      <c r="B766" s="98">
        <v>65</v>
      </c>
      <c r="C766" s="98">
        <v>10</v>
      </c>
      <c r="D766" s="93"/>
      <c r="E766" s="93"/>
      <c r="F766" s="93"/>
      <c r="G766" s="97"/>
      <c r="H766" s="97"/>
      <c r="I766" s="93"/>
      <c r="J766" s="93"/>
      <c r="K766" s="93"/>
      <c r="L766" s="93"/>
      <c r="M766" s="93"/>
      <c r="N766" s="98">
        <v>0</v>
      </c>
      <c r="O766" s="98">
        <v>1</v>
      </c>
      <c r="P766" s="99">
        <f>SUM(SamplingData[[#This Row],[Winning Candidate]:[Under Votes]])</f>
        <v>76</v>
      </c>
      <c r="Q766" s="100">
        <f>IF(AND(SamplingData[[#This Row],[Total]]&lt;&gt; 0, NOT(ISBLANK(SamplingData[[#This Row],[Losing Candidate]]))),(SamplingData[[#This Row],[Total]]+SamplingData[[#This Row],[Winning Candidate]]-SamplingData[[#This Row],[Losing Candidate]])/(SamplingData[[#Totals],[Winning Candidate]]-SamplingData[[#Totals],[Losing Candidate]]), 0)</f>
        <v>4.114709300499419E-3</v>
      </c>
      <c r="R766" s="100">
        <f>IF(AND(SamplingData[[#This Row],[Total]]&lt;&gt; 0, NOT(ISBLANK(SamplingData[[#This Row],[Candidate 3]]))),(SamplingData[[#This Row],[Total]]+SamplingData[[#This Row],[Winning Candidate]]-SamplingData[[#This Row],[Candidate 3]])/(SamplingData[[#Totals],[Winning Candidate]]-SamplingData[[#Totals],[Candidate 3]]), 0)</f>
        <v>0</v>
      </c>
      <c r="S766" s="100">
        <f>IF(AND(SamplingData[[#This Row],[Total]]&lt;&gt; 0, NOT(ISBLANK(SamplingData[[#This Row],[Candidate 4]]))),(SamplingData[[#This Row],[Total]]+SamplingData[[#This Row],[Winning Candidate]]-SamplingData[[#This Row],[Candidate 4]])/(SamplingData[[#Totals],[Winning Candidate]]-SamplingData[[#Totals],[Candidate 4]]), 0)</f>
        <v>0</v>
      </c>
      <c r="T766" s="100">
        <f>IF(AND(SamplingData[[#This Row],[Total]]&lt;&gt; 0, NOT(ISBLANK(SamplingData[[#This Row],[Candidate 5]]))),(SamplingData[[#This Row],[Total]]+SamplingData[[#This Row],[Winning Candidate]]-SamplingData[[#This Row],[Candidate 5]])/(SamplingData[[#Totals],[Winning Candidate]]-SamplingData[[#Totals],[Candidate 5]]), 0)</f>
        <v>0</v>
      </c>
      <c r="U766" s="100">
        <f>IF(AND(SamplingData[[#This Row],[Total]]&lt;&gt; 0, NOT(ISBLANK(SamplingData[[#This Row],[Candidate 6]]))),(SamplingData[[#This Row],[Total]]+SamplingData[[#This Row],[Losing Candidate]]-SamplingData[[#This Row],[Candidate 6]])/(SamplingData[[#Totals],[Winning Candidate]]-SamplingData[[#Totals],[Candidate 6]]), 0)</f>
        <v>0</v>
      </c>
      <c r="V766" s="100">
        <f>IF(AND(SamplingData[[#This Row],[Total]]&lt;&gt; 0, NOT(ISBLANK(SamplingData[[#This Row],[Candidate 7]]))),(SamplingData[[#This Row],[Total]]+SamplingData[[#This Row],[Winning Candidate]]-SamplingData[[#This Row],[Candidate 7]])/(SamplingData[[#Totals],[Winning Candidate]]-SamplingData[[#Totals],[Candidate 7]]), 0)</f>
        <v>0</v>
      </c>
      <c r="W766" s="100">
        <f>IF(AND(SamplingData[[#This Row],[Total]]&lt;&gt; 0, NOT(ISBLANK(SamplingData[[#This Row],[Candidate 8]]))),(SamplingData[[#This Row],[Total]]+SamplingData[[#This Row],[Winning Candidate]]-SamplingData[[#This Row],[Candidate 8]])/(SamplingData[[#Totals],[Winning Candidate]]-SamplingData[[#Totals],[Candidate 8]]), 0)</f>
        <v>0</v>
      </c>
      <c r="X7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00">
        <f>MAX(SamplingData[[#This Row],[Error Bound (up) - Max. possible relative overstatement - Losing Candidate]:[Error Bound (up) - Max. possible relative overstatement - Candidate 12]])</f>
        <v>4.114709300499419E-3</v>
      </c>
      <c r="AC766" s="100">
        <f>IF(SamplingData[[#This Row],[Max Error Bound (up)]] = 0,0,SamplingData[[#This Row],[Max Error Bound (up)]]/SamplingData[[#Totals],[Max Error Bound (up)]])</f>
        <v>1.7633123351101067E-3</v>
      </c>
      <c r="AD766" s="104">
        <f>SUM($AC$5:AC766)</f>
        <v>0.24352554783826022</v>
      </c>
      <c r="AE766" s="100" t="str" cm="1">
        <f t="array" ref="AE766">IF(SamplingData[[#This Row],[up/U Selection Probability]] = 0, "Zero", TEXT(SamplingData[[#This Row],[Lower Range]], REPT("0",LEN('General Info'!$B$42))) &amp; " - " &amp; TEXT(SamplingData[[#This Row],[Upper Range]], REPT("0",LEN('General Info'!$B$42))))</f>
        <v>24176 - 24352</v>
      </c>
      <c r="AF766" s="100">
        <f>SamplingData[[#This Row],[Upper Range]]-SamplingData[[#This Row],[Span]]</f>
        <v>24176.223550315011</v>
      </c>
      <c r="AG766" s="100">
        <f>IF(ISNUMBER('General Info'!$B$42), ((SamplingData[[#This Row],[up/U Selection Probability]]) * 'General Info'!$B$44) - 1, 0)</f>
        <v>175.33123351101068</v>
      </c>
      <c r="AH766" s="100">
        <f>IF(ISNUMBER('General Info'!$B$42), (SamplingData[[#This Row],[Running (cumulative) sum]] * ('General Info'!$B$42 -'General Info'!$B$43 + 1)) + 'General Info'!$B$43 - 1, 0)</f>
        <v>24351.554783826021</v>
      </c>
      <c r="AI766" s="100" t="str">
        <f>IF(ISERROR(MATCH(SamplingData[[#This Row],[Batch by Type (p)]],SelectedPrecincts[Batch Name], 0)), "", INDEX(SelectedPrecincts[Draw], MATCH(SamplingData[[#This Row],[Batch by Type (p)]],SelectedPrecincts[Batch Name], 0)))</f>
        <v/>
      </c>
      <c r="AJ766" s="101">
        <f>IF(COUNTIF(SelectedPrecincts[Batch Name],SamplingData[[#This Row],[Batch by Type (p)]]) &lt;&gt; 0, COUNTIF(SelectedPrecincts[Batch Name],SamplingData[[#This Row],[Batch by Type (p)]]), 0)</f>
        <v>0</v>
      </c>
    </row>
    <row r="767" spans="1:36" ht="15" customHeight="1" x14ac:dyDescent="0.35">
      <c r="A767" s="98" t="s">
        <v>978</v>
      </c>
      <c r="B767" s="98">
        <v>72</v>
      </c>
      <c r="C767" s="98">
        <v>12</v>
      </c>
      <c r="D767" s="93"/>
      <c r="E767" s="93"/>
      <c r="F767" s="93"/>
      <c r="G767" s="97"/>
      <c r="H767" s="97"/>
      <c r="I767" s="93"/>
      <c r="J767" s="93"/>
      <c r="K767" s="93"/>
      <c r="L767" s="93"/>
      <c r="M767" s="93"/>
      <c r="N767" s="98">
        <v>0</v>
      </c>
      <c r="O767" s="98">
        <v>0</v>
      </c>
      <c r="P767" s="99">
        <f>SUM(SamplingData[[#This Row],[Winning Candidate]:[Under Votes]])</f>
        <v>84</v>
      </c>
      <c r="Q767" s="100">
        <f>IF(AND(SamplingData[[#This Row],[Total]]&lt;&gt; 0, NOT(ISBLANK(SamplingData[[#This Row],[Losing Candidate]]))),(SamplingData[[#This Row],[Total]]+SamplingData[[#This Row],[Winning Candidate]]-SamplingData[[#This Row],[Losing Candidate]])/(SamplingData[[#Totals],[Winning Candidate]]-SamplingData[[#Totals],[Losing Candidate]]), 0)</f>
        <v>4.5230392310833308E-3</v>
      </c>
      <c r="R767" s="100">
        <f>IF(AND(SamplingData[[#This Row],[Total]]&lt;&gt; 0, NOT(ISBLANK(SamplingData[[#This Row],[Candidate 3]]))),(SamplingData[[#This Row],[Total]]+SamplingData[[#This Row],[Winning Candidate]]-SamplingData[[#This Row],[Candidate 3]])/(SamplingData[[#Totals],[Winning Candidate]]-SamplingData[[#Totals],[Candidate 3]]), 0)</f>
        <v>0</v>
      </c>
      <c r="S767" s="100">
        <f>IF(AND(SamplingData[[#This Row],[Total]]&lt;&gt; 0, NOT(ISBLANK(SamplingData[[#This Row],[Candidate 4]]))),(SamplingData[[#This Row],[Total]]+SamplingData[[#This Row],[Winning Candidate]]-SamplingData[[#This Row],[Candidate 4]])/(SamplingData[[#Totals],[Winning Candidate]]-SamplingData[[#Totals],[Candidate 4]]), 0)</f>
        <v>0</v>
      </c>
      <c r="T767" s="100">
        <f>IF(AND(SamplingData[[#This Row],[Total]]&lt;&gt; 0, NOT(ISBLANK(SamplingData[[#This Row],[Candidate 5]]))),(SamplingData[[#This Row],[Total]]+SamplingData[[#This Row],[Winning Candidate]]-SamplingData[[#This Row],[Candidate 5]])/(SamplingData[[#Totals],[Winning Candidate]]-SamplingData[[#Totals],[Candidate 5]]), 0)</f>
        <v>0</v>
      </c>
      <c r="U767" s="100">
        <f>IF(AND(SamplingData[[#This Row],[Total]]&lt;&gt; 0, NOT(ISBLANK(SamplingData[[#This Row],[Candidate 6]]))),(SamplingData[[#This Row],[Total]]+SamplingData[[#This Row],[Losing Candidate]]-SamplingData[[#This Row],[Candidate 6]])/(SamplingData[[#Totals],[Winning Candidate]]-SamplingData[[#Totals],[Candidate 6]]), 0)</f>
        <v>0</v>
      </c>
      <c r="V767" s="100">
        <f>IF(AND(SamplingData[[#This Row],[Total]]&lt;&gt; 0, NOT(ISBLANK(SamplingData[[#This Row],[Candidate 7]]))),(SamplingData[[#This Row],[Total]]+SamplingData[[#This Row],[Winning Candidate]]-SamplingData[[#This Row],[Candidate 7]])/(SamplingData[[#Totals],[Winning Candidate]]-SamplingData[[#Totals],[Candidate 7]]), 0)</f>
        <v>0</v>
      </c>
      <c r="W767" s="100">
        <f>IF(AND(SamplingData[[#This Row],[Total]]&lt;&gt; 0, NOT(ISBLANK(SamplingData[[#This Row],[Candidate 8]]))),(SamplingData[[#This Row],[Total]]+SamplingData[[#This Row],[Winning Candidate]]-SamplingData[[#This Row],[Candidate 8]])/(SamplingData[[#Totals],[Winning Candidate]]-SamplingData[[#Totals],[Candidate 8]]), 0)</f>
        <v>0</v>
      </c>
      <c r="X7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00">
        <f>MAX(SamplingData[[#This Row],[Error Bound (up) - Max. possible relative overstatement - Losing Candidate]:[Error Bound (up) - Max. possible relative overstatement - Candidate 12]])</f>
        <v>4.5230392310833308E-3</v>
      </c>
      <c r="AC767" s="100">
        <f>IF(SamplingData[[#This Row],[Max Error Bound (up)]] = 0,0,SamplingData[[#This Row],[Max Error Bound (up)]]/SamplingData[[#Totals],[Max Error Bound (up)]])</f>
        <v>1.9382975286706516E-3</v>
      </c>
      <c r="AD767" s="104">
        <f>SUM($AC$5:AC767)</f>
        <v>0.24546384536693086</v>
      </c>
      <c r="AE767" s="100" t="str" cm="1">
        <f t="array" ref="AE767">IF(SamplingData[[#This Row],[up/U Selection Probability]] = 0, "Zero", TEXT(SamplingData[[#This Row],[Lower Range]], REPT("0",LEN('General Info'!$B$42))) &amp; " - " &amp; TEXT(SamplingData[[#This Row],[Upper Range]], REPT("0",LEN('General Info'!$B$42))))</f>
        <v>24353 - 24545</v>
      </c>
      <c r="AF767" s="100">
        <f>SamplingData[[#This Row],[Upper Range]]-SamplingData[[#This Row],[Span]]</f>
        <v>24352.554783826021</v>
      </c>
      <c r="AG767" s="100">
        <f>IF(ISNUMBER('General Info'!$B$42), ((SamplingData[[#This Row],[up/U Selection Probability]]) * 'General Info'!$B$44) - 1, 0)</f>
        <v>192.82975286706517</v>
      </c>
      <c r="AH767" s="100">
        <f>IF(ISNUMBER('General Info'!$B$42), (SamplingData[[#This Row],[Running (cumulative) sum]] * ('General Info'!$B$42 -'General Info'!$B$43 + 1)) + 'General Info'!$B$43 - 1, 0)</f>
        <v>24545.384536693087</v>
      </c>
      <c r="AI767" s="100" t="str">
        <f>IF(ISERROR(MATCH(SamplingData[[#This Row],[Batch by Type (p)]],SelectedPrecincts[Batch Name], 0)), "", INDEX(SelectedPrecincts[Draw], MATCH(SamplingData[[#This Row],[Batch by Type (p)]],SelectedPrecincts[Batch Name], 0)))</f>
        <v/>
      </c>
      <c r="AJ767" s="101">
        <f>IF(COUNTIF(SelectedPrecincts[Batch Name],SamplingData[[#This Row],[Batch by Type (p)]]) &lt;&gt; 0, COUNTIF(SelectedPrecincts[Batch Name],SamplingData[[#This Row],[Batch by Type (p)]]), 0)</f>
        <v>0</v>
      </c>
    </row>
    <row r="768" spans="1:36" ht="15" customHeight="1" x14ac:dyDescent="0.35">
      <c r="A768" s="98" t="s">
        <v>979</v>
      </c>
      <c r="B768" s="98">
        <v>41</v>
      </c>
      <c r="C768" s="98">
        <v>4</v>
      </c>
      <c r="D768" s="93"/>
      <c r="E768" s="93"/>
      <c r="F768" s="93"/>
      <c r="G768" s="97"/>
      <c r="H768" s="97"/>
      <c r="I768" s="93"/>
      <c r="J768" s="93"/>
      <c r="K768" s="93"/>
      <c r="L768" s="93"/>
      <c r="M768" s="93"/>
      <c r="N768" s="98">
        <v>0</v>
      </c>
      <c r="O768" s="98">
        <v>0</v>
      </c>
      <c r="P768" s="99">
        <f>SUM(SamplingData[[#This Row],[Winning Candidate]:[Under Votes]])</f>
        <v>45</v>
      </c>
      <c r="Q768" s="100">
        <f>IF(AND(SamplingData[[#This Row],[Total]]&lt;&gt; 0, NOT(ISBLANK(SamplingData[[#This Row],[Losing Candidate]]))),(SamplingData[[#This Row],[Total]]+SamplingData[[#This Row],[Winning Candidate]]-SamplingData[[#This Row],[Losing Candidate]])/(SamplingData[[#Totals],[Winning Candidate]]-SamplingData[[#Totals],[Losing Candidate]]), 0)</f>
        <v>2.5756195621446745E-3</v>
      </c>
      <c r="R768" s="100">
        <f>IF(AND(SamplingData[[#This Row],[Total]]&lt;&gt; 0, NOT(ISBLANK(SamplingData[[#This Row],[Candidate 3]]))),(SamplingData[[#This Row],[Total]]+SamplingData[[#This Row],[Winning Candidate]]-SamplingData[[#This Row],[Candidate 3]])/(SamplingData[[#Totals],[Winning Candidate]]-SamplingData[[#Totals],[Candidate 3]]), 0)</f>
        <v>0</v>
      </c>
      <c r="S768" s="100">
        <f>IF(AND(SamplingData[[#This Row],[Total]]&lt;&gt; 0, NOT(ISBLANK(SamplingData[[#This Row],[Candidate 4]]))),(SamplingData[[#This Row],[Total]]+SamplingData[[#This Row],[Winning Candidate]]-SamplingData[[#This Row],[Candidate 4]])/(SamplingData[[#Totals],[Winning Candidate]]-SamplingData[[#Totals],[Candidate 4]]), 0)</f>
        <v>0</v>
      </c>
      <c r="T768" s="100">
        <f>IF(AND(SamplingData[[#This Row],[Total]]&lt;&gt; 0, NOT(ISBLANK(SamplingData[[#This Row],[Candidate 5]]))),(SamplingData[[#This Row],[Total]]+SamplingData[[#This Row],[Winning Candidate]]-SamplingData[[#This Row],[Candidate 5]])/(SamplingData[[#Totals],[Winning Candidate]]-SamplingData[[#Totals],[Candidate 5]]), 0)</f>
        <v>0</v>
      </c>
      <c r="U768" s="100">
        <f>IF(AND(SamplingData[[#This Row],[Total]]&lt;&gt; 0, NOT(ISBLANK(SamplingData[[#This Row],[Candidate 6]]))),(SamplingData[[#This Row],[Total]]+SamplingData[[#This Row],[Losing Candidate]]-SamplingData[[#This Row],[Candidate 6]])/(SamplingData[[#Totals],[Winning Candidate]]-SamplingData[[#Totals],[Candidate 6]]), 0)</f>
        <v>0</v>
      </c>
      <c r="V768" s="100">
        <f>IF(AND(SamplingData[[#This Row],[Total]]&lt;&gt; 0, NOT(ISBLANK(SamplingData[[#This Row],[Candidate 7]]))),(SamplingData[[#This Row],[Total]]+SamplingData[[#This Row],[Winning Candidate]]-SamplingData[[#This Row],[Candidate 7]])/(SamplingData[[#Totals],[Winning Candidate]]-SamplingData[[#Totals],[Candidate 7]]), 0)</f>
        <v>0</v>
      </c>
      <c r="W768" s="100">
        <f>IF(AND(SamplingData[[#This Row],[Total]]&lt;&gt; 0, NOT(ISBLANK(SamplingData[[#This Row],[Candidate 8]]))),(SamplingData[[#This Row],[Total]]+SamplingData[[#This Row],[Winning Candidate]]-SamplingData[[#This Row],[Candidate 8]])/(SamplingData[[#Totals],[Winning Candidate]]-SamplingData[[#Totals],[Candidate 8]]), 0)</f>
        <v>0</v>
      </c>
      <c r="X7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00">
        <f>MAX(SamplingData[[#This Row],[Error Bound (up) - Max. possible relative overstatement - Losing Candidate]:[Error Bound (up) - Max. possible relative overstatement - Candidate 12]])</f>
        <v>2.5756195621446745E-3</v>
      </c>
      <c r="AC768" s="100">
        <f>IF(SamplingData[[#This Row],[Max Error Bound (up)]] = 0,0,SamplingData[[#This Row],[Max Error Bound (up)]]/SamplingData[[#Totals],[Max Error Bound (up)]])</f>
        <v>1.1037527593818989E-3</v>
      </c>
      <c r="AD768" s="104">
        <f>SUM($AC$5:AC768)</f>
        <v>0.24656759812631276</v>
      </c>
      <c r="AE768" s="100" t="str" cm="1">
        <f t="array" ref="AE768">IF(SamplingData[[#This Row],[up/U Selection Probability]] = 0, "Zero", TEXT(SamplingData[[#This Row],[Lower Range]], REPT("0",LEN('General Info'!$B$42))) &amp; " - " &amp; TEXT(SamplingData[[#This Row],[Upper Range]], REPT("0",LEN('General Info'!$B$42))))</f>
        <v>24546 - 24656</v>
      </c>
      <c r="AF768" s="100">
        <f>SamplingData[[#This Row],[Upper Range]]-SamplingData[[#This Row],[Span]]</f>
        <v>24546.384536693087</v>
      </c>
      <c r="AG768" s="100">
        <f>IF(ISNUMBER('General Info'!$B$42), ((SamplingData[[#This Row],[up/U Selection Probability]]) * 'General Info'!$B$44) - 1, 0)</f>
        <v>109.37527593818989</v>
      </c>
      <c r="AH768" s="100">
        <f>IF(ISNUMBER('General Info'!$B$42), (SamplingData[[#This Row],[Running (cumulative) sum]] * ('General Info'!$B$42 -'General Info'!$B$43 + 1)) + 'General Info'!$B$43 - 1, 0)</f>
        <v>24655.759812631277</v>
      </c>
      <c r="AI768" s="100" t="str">
        <f>IF(ISERROR(MATCH(SamplingData[[#This Row],[Batch by Type (p)]],SelectedPrecincts[Batch Name], 0)), "", INDEX(SelectedPrecincts[Draw], MATCH(SamplingData[[#This Row],[Batch by Type (p)]],SelectedPrecincts[Batch Name], 0)))</f>
        <v/>
      </c>
      <c r="AJ768" s="101">
        <f>IF(COUNTIF(SelectedPrecincts[Batch Name],SamplingData[[#This Row],[Batch by Type (p)]]) &lt;&gt; 0, COUNTIF(SelectedPrecincts[Batch Name],SamplingData[[#This Row],[Batch by Type (p)]]), 0)</f>
        <v>0</v>
      </c>
    </row>
    <row r="769" spans="1:36" ht="15" customHeight="1" x14ac:dyDescent="0.35">
      <c r="A769" s="98" t="s">
        <v>980</v>
      </c>
      <c r="B769" s="98">
        <v>70</v>
      </c>
      <c r="C769" s="98">
        <v>10</v>
      </c>
      <c r="D769" s="93"/>
      <c r="E769" s="93"/>
      <c r="F769" s="93"/>
      <c r="G769" s="97"/>
      <c r="H769" s="97"/>
      <c r="I769" s="93"/>
      <c r="J769" s="93"/>
      <c r="K769" s="93"/>
      <c r="L769" s="93"/>
      <c r="M769" s="93"/>
      <c r="N769" s="98">
        <v>0</v>
      </c>
      <c r="O769" s="98">
        <v>0</v>
      </c>
      <c r="P769" s="99">
        <f>SUM(SamplingData[[#This Row],[Winning Candidate]:[Under Votes]])</f>
        <v>80</v>
      </c>
      <c r="Q769" s="100">
        <f>IF(AND(SamplingData[[#This Row],[Total]]&lt;&gt; 0, NOT(ISBLANK(SamplingData[[#This Row],[Losing Candidate]]))),(SamplingData[[#This Row],[Total]]+SamplingData[[#This Row],[Winning Candidate]]-SamplingData[[#This Row],[Losing Candidate]])/(SamplingData[[#Totals],[Winning Candidate]]-SamplingData[[#Totals],[Losing Candidate]]), 0)</f>
        <v>4.3973992524421269E-3</v>
      </c>
      <c r="R769" s="100">
        <f>IF(AND(SamplingData[[#This Row],[Total]]&lt;&gt; 0, NOT(ISBLANK(SamplingData[[#This Row],[Candidate 3]]))),(SamplingData[[#This Row],[Total]]+SamplingData[[#This Row],[Winning Candidate]]-SamplingData[[#This Row],[Candidate 3]])/(SamplingData[[#Totals],[Winning Candidate]]-SamplingData[[#Totals],[Candidate 3]]), 0)</f>
        <v>0</v>
      </c>
      <c r="S769" s="100">
        <f>IF(AND(SamplingData[[#This Row],[Total]]&lt;&gt; 0, NOT(ISBLANK(SamplingData[[#This Row],[Candidate 4]]))),(SamplingData[[#This Row],[Total]]+SamplingData[[#This Row],[Winning Candidate]]-SamplingData[[#This Row],[Candidate 4]])/(SamplingData[[#Totals],[Winning Candidate]]-SamplingData[[#Totals],[Candidate 4]]), 0)</f>
        <v>0</v>
      </c>
      <c r="T769" s="100">
        <f>IF(AND(SamplingData[[#This Row],[Total]]&lt;&gt; 0, NOT(ISBLANK(SamplingData[[#This Row],[Candidate 5]]))),(SamplingData[[#This Row],[Total]]+SamplingData[[#This Row],[Winning Candidate]]-SamplingData[[#This Row],[Candidate 5]])/(SamplingData[[#Totals],[Winning Candidate]]-SamplingData[[#Totals],[Candidate 5]]), 0)</f>
        <v>0</v>
      </c>
      <c r="U769" s="100">
        <f>IF(AND(SamplingData[[#This Row],[Total]]&lt;&gt; 0, NOT(ISBLANK(SamplingData[[#This Row],[Candidate 6]]))),(SamplingData[[#This Row],[Total]]+SamplingData[[#This Row],[Losing Candidate]]-SamplingData[[#This Row],[Candidate 6]])/(SamplingData[[#Totals],[Winning Candidate]]-SamplingData[[#Totals],[Candidate 6]]), 0)</f>
        <v>0</v>
      </c>
      <c r="V769" s="100">
        <f>IF(AND(SamplingData[[#This Row],[Total]]&lt;&gt; 0, NOT(ISBLANK(SamplingData[[#This Row],[Candidate 7]]))),(SamplingData[[#This Row],[Total]]+SamplingData[[#This Row],[Winning Candidate]]-SamplingData[[#This Row],[Candidate 7]])/(SamplingData[[#Totals],[Winning Candidate]]-SamplingData[[#Totals],[Candidate 7]]), 0)</f>
        <v>0</v>
      </c>
      <c r="W769" s="100">
        <f>IF(AND(SamplingData[[#This Row],[Total]]&lt;&gt; 0, NOT(ISBLANK(SamplingData[[#This Row],[Candidate 8]]))),(SamplingData[[#This Row],[Total]]+SamplingData[[#This Row],[Winning Candidate]]-SamplingData[[#This Row],[Candidate 8]])/(SamplingData[[#Totals],[Winning Candidate]]-SamplingData[[#Totals],[Candidate 8]]), 0)</f>
        <v>0</v>
      </c>
      <c r="X7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00">
        <f>MAX(SamplingData[[#This Row],[Error Bound (up) - Max. possible relative overstatement - Losing Candidate]:[Error Bound (up) - Max. possible relative overstatement - Candidate 12]])</f>
        <v>4.3973992524421269E-3</v>
      </c>
      <c r="AC769" s="100">
        <f>IF(SamplingData[[#This Row],[Max Error Bound (up)]] = 0,0,SamplingData[[#This Row],[Max Error Bound (up)]]/SamplingData[[#Totals],[Max Error Bound (up)]])</f>
        <v>1.8844559306520224E-3</v>
      </c>
      <c r="AD769" s="104">
        <f>SUM($AC$5:AC769)</f>
        <v>0.2484520540569648</v>
      </c>
      <c r="AE769" s="100" t="str" cm="1">
        <f t="array" ref="AE769">IF(SamplingData[[#This Row],[up/U Selection Probability]] = 0, "Zero", TEXT(SamplingData[[#This Row],[Lower Range]], REPT("0",LEN('General Info'!$B$42))) &amp; " - " &amp; TEXT(SamplingData[[#This Row],[Upper Range]], REPT("0",LEN('General Info'!$B$42))))</f>
        <v>24657 - 24844</v>
      </c>
      <c r="AF769" s="100">
        <f>SamplingData[[#This Row],[Upper Range]]-SamplingData[[#This Row],[Span]]</f>
        <v>24656.759812631277</v>
      </c>
      <c r="AG769" s="100">
        <f>IF(ISNUMBER('General Info'!$B$42), ((SamplingData[[#This Row],[up/U Selection Probability]]) * 'General Info'!$B$44) - 1, 0)</f>
        <v>187.44559306520225</v>
      </c>
      <c r="AH769" s="100">
        <f>IF(ISNUMBER('General Info'!$B$42), (SamplingData[[#This Row],[Running (cumulative) sum]] * ('General Info'!$B$42 -'General Info'!$B$43 + 1)) + 'General Info'!$B$43 - 1, 0)</f>
        <v>24844.205405696481</v>
      </c>
      <c r="AI769" s="100" t="str">
        <f>IF(ISERROR(MATCH(SamplingData[[#This Row],[Batch by Type (p)]],SelectedPrecincts[Batch Name], 0)), "", INDEX(SelectedPrecincts[Draw], MATCH(SamplingData[[#This Row],[Batch by Type (p)]],SelectedPrecincts[Batch Name], 0)))</f>
        <v/>
      </c>
      <c r="AJ769" s="101">
        <f>IF(COUNTIF(SelectedPrecincts[Batch Name],SamplingData[[#This Row],[Batch by Type (p)]]) &lt;&gt; 0, COUNTIF(SelectedPrecincts[Batch Name],SamplingData[[#This Row],[Batch by Type (p)]]), 0)</f>
        <v>0</v>
      </c>
    </row>
    <row r="770" spans="1:36" ht="15" customHeight="1" x14ac:dyDescent="0.35">
      <c r="A770" s="98" t="s">
        <v>981</v>
      </c>
      <c r="B770" s="98">
        <v>66</v>
      </c>
      <c r="C770" s="98">
        <v>13</v>
      </c>
      <c r="D770" s="93"/>
      <c r="E770" s="93"/>
      <c r="F770" s="93"/>
      <c r="G770" s="97"/>
      <c r="H770" s="97"/>
      <c r="I770" s="93"/>
      <c r="J770" s="93"/>
      <c r="K770" s="93"/>
      <c r="L770" s="93"/>
      <c r="M770" s="93"/>
      <c r="N770" s="98">
        <v>0</v>
      </c>
      <c r="O770" s="98">
        <v>1</v>
      </c>
      <c r="P770" s="99">
        <f>SUM(SamplingData[[#This Row],[Winning Candidate]:[Under Votes]])</f>
        <v>80</v>
      </c>
      <c r="Q770" s="100">
        <f>IF(AND(SamplingData[[#This Row],[Total]]&lt;&gt; 0, NOT(ISBLANK(SamplingData[[#This Row],[Losing Candidate]]))),(SamplingData[[#This Row],[Total]]+SamplingData[[#This Row],[Winning Candidate]]-SamplingData[[#This Row],[Losing Candidate]])/(SamplingData[[#Totals],[Winning Candidate]]-SamplingData[[#Totals],[Losing Candidate]]), 0)</f>
        <v>4.1775292898200206E-3</v>
      </c>
      <c r="R770" s="100">
        <f>IF(AND(SamplingData[[#This Row],[Total]]&lt;&gt; 0, NOT(ISBLANK(SamplingData[[#This Row],[Candidate 3]]))),(SamplingData[[#This Row],[Total]]+SamplingData[[#This Row],[Winning Candidate]]-SamplingData[[#This Row],[Candidate 3]])/(SamplingData[[#Totals],[Winning Candidate]]-SamplingData[[#Totals],[Candidate 3]]), 0)</f>
        <v>0</v>
      </c>
      <c r="S770" s="100">
        <f>IF(AND(SamplingData[[#This Row],[Total]]&lt;&gt; 0, NOT(ISBLANK(SamplingData[[#This Row],[Candidate 4]]))),(SamplingData[[#This Row],[Total]]+SamplingData[[#This Row],[Winning Candidate]]-SamplingData[[#This Row],[Candidate 4]])/(SamplingData[[#Totals],[Winning Candidate]]-SamplingData[[#Totals],[Candidate 4]]), 0)</f>
        <v>0</v>
      </c>
      <c r="T770" s="100">
        <f>IF(AND(SamplingData[[#This Row],[Total]]&lt;&gt; 0, NOT(ISBLANK(SamplingData[[#This Row],[Candidate 5]]))),(SamplingData[[#This Row],[Total]]+SamplingData[[#This Row],[Winning Candidate]]-SamplingData[[#This Row],[Candidate 5]])/(SamplingData[[#Totals],[Winning Candidate]]-SamplingData[[#Totals],[Candidate 5]]), 0)</f>
        <v>0</v>
      </c>
      <c r="U770" s="100">
        <f>IF(AND(SamplingData[[#This Row],[Total]]&lt;&gt; 0, NOT(ISBLANK(SamplingData[[#This Row],[Candidate 6]]))),(SamplingData[[#This Row],[Total]]+SamplingData[[#This Row],[Losing Candidate]]-SamplingData[[#This Row],[Candidate 6]])/(SamplingData[[#Totals],[Winning Candidate]]-SamplingData[[#Totals],[Candidate 6]]), 0)</f>
        <v>0</v>
      </c>
      <c r="V770" s="100">
        <f>IF(AND(SamplingData[[#This Row],[Total]]&lt;&gt; 0, NOT(ISBLANK(SamplingData[[#This Row],[Candidate 7]]))),(SamplingData[[#This Row],[Total]]+SamplingData[[#This Row],[Winning Candidate]]-SamplingData[[#This Row],[Candidate 7]])/(SamplingData[[#Totals],[Winning Candidate]]-SamplingData[[#Totals],[Candidate 7]]), 0)</f>
        <v>0</v>
      </c>
      <c r="W770" s="100">
        <f>IF(AND(SamplingData[[#This Row],[Total]]&lt;&gt; 0, NOT(ISBLANK(SamplingData[[#This Row],[Candidate 8]]))),(SamplingData[[#This Row],[Total]]+SamplingData[[#This Row],[Winning Candidate]]-SamplingData[[#This Row],[Candidate 8]])/(SamplingData[[#Totals],[Winning Candidate]]-SamplingData[[#Totals],[Candidate 8]]), 0)</f>
        <v>0</v>
      </c>
      <c r="X7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00">
        <f>MAX(SamplingData[[#This Row],[Error Bound (up) - Max. possible relative overstatement - Losing Candidate]:[Error Bound (up) - Max. possible relative overstatement - Candidate 12]])</f>
        <v>4.1775292898200206E-3</v>
      </c>
      <c r="AC770" s="100">
        <f>IF(SamplingData[[#This Row],[Max Error Bound (up)]] = 0,0,SamplingData[[#This Row],[Max Error Bound (up)]]/SamplingData[[#Totals],[Max Error Bound (up)]])</f>
        <v>1.7902331341194213E-3</v>
      </c>
      <c r="AD770" s="104">
        <f>SUM($AC$5:AC770)</f>
        <v>0.25024228719108421</v>
      </c>
      <c r="AE770" s="100" t="str" cm="1">
        <f t="array" ref="AE770">IF(SamplingData[[#This Row],[up/U Selection Probability]] = 0, "Zero", TEXT(SamplingData[[#This Row],[Lower Range]], REPT("0",LEN('General Info'!$B$42))) &amp; " - " &amp; TEXT(SamplingData[[#This Row],[Upper Range]], REPT("0",LEN('General Info'!$B$42))))</f>
        <v>24845 - 25023</v>
      </c>
      <c r="AF770" s="100">
        <f>SamplingData[[#This Row],[Upper Range]]-SamplingData[[#This Row],[Span]]</f>
        <v>24845.205405696481</v>
      </c>
      <c r="AG770" s="100">
        <f>IF(ISNUMBER('General Info'!$B$42), ((SamplingData[[#This Row],[up/U Selection Probability]]) * 'General Info'!$B$44) - 1, 0)</f>
        <v>178.02331341194213</v>
      </c>
      <c r="AH770" s="100">
        <f>IF(ISNUMBER('General Info'!$B$42), (SamplingData[[#This Row],[Running (cumulative) sum]] * ('General Info'!$B$42 -'General Info'!$B$43 + 1)) + 'General Info'!$B$43 - 1, 0)</f>
        <v>25023.228719108422</v>
      </c>
      <c r="AI770" s="100" t="str">
        <f>IF(ISERROR(MATCH(SamplingData[[#This Row],[Batch by Type (p)]],SelectedPrecincts[Batch Name], 0)), "", INDEX(SelectedPrecincts[Draw], MATCH(SamplingData[[#This Row],[Batch by Type (p)]],SelectedPrecincts[Batch Name], 0)))</f>
        <v/>
      </c>
      <c r="AJ770" s="101">
        <f>IF(COUNTIF(SelectedPrecincts[Batch Name],SamplingData[[#This Row],[Batch by Type (p)]]) &lt;&gt; 0, COUNTIF(SelectedPrecincts[Batch Name],SamplingData[[#This Row],[Batch by Type (p)]]), 0)</f>
        <v>0</v>
      </c>
    </row>
    <row r="771" spans="1:36" ht="15" customHeight="1" x14ac:dyDescent="0.35">
      <c r="A771" s="98" t="s">
        <v>982</v>
      </c>
      <c r="B771" s="98">
        <v>47</v>
      </c>
      <c r="C771" s="98">
        <v>3</v>
      </c>
      <c r="D771" s="93"/>
      <c r="E771" s="93"/>
      <c r="F771" s="93"/>
      <c r="G771" s="97"/>
      <c r="H771" s="97"/>
      <c r="I771" s="93"/>
      <c r="J771" s="93"/>
      <c r="K771" s="93"/>
      <c r="L771" s="93"/>
      <c r="M771" s="93"/>
      <c r="N771" s="98">
        <v>0</v>
      </c>
      <c r="O771" s="98">
        <v>2</v>
      </c>
      <c r="P771" s="99">
        <f>SUM(SamplingData[[#This Row],[Winning Candidate]:[Under Votes]])</f>
        <v>52</v>
      </c>
      <c r="Q771" s="100">
        <f>IF(AND(SamplingData[[#This Row],[Total]]&lt;&gt; 0, NOT(ISBLANK(SamplingData[[#This Row],[Losing Candidate]]))),(SamplingData[[#This Row],[Total]]+SamplingData[[#This Row],[Winning Candidate]]-SamplingData[[#This Row],[Losing Candidate]])/(SamplingData[[#Totals],[Winning Candidate]]-SamplingData[[#Totals],[Losing Candidate]]), 0)</f>
        <v>3.0153594873888871E-3</v>
      </c>
      <c r="R771" s="100">
        <f>IF(AND(SamplingData[[#This Row],[Total]]&lt;&gt; 0, NOT(ISBLANK(SamplingData[[#This Row],[Candidate 3]]))),(SamplingData[[#This Row],[Total]]+SamplingData[[#This Row],[Winning Candidate]]-SamplingData[[#This Row],[Candidate 3]])/(SamplingData[[#Totals],[Winning Candidate]]-SamplingData[[#Totals],[Candidate 3]]), 0)</f>
        <v>0</v>
      </c>
      <c r="S771" s="100">
        <f>IF(AND(SamplingData[[#This Row],[Total]]&lt;&gt; 0, NOT(ISBLANK(SamplingData[[#This Row],[Candidate 4]]))),(SamplingData[[#This Row],[Total]]+SamplingData[[#This Row],[Winning Candidate]]-SamplingData[[#This Row],[Candidate 4]])/(SamplingData[[#Totals],[Winning Candidate]]-SamplingData[[#Totals],[Candidate 4]]), 0)</f>
        <v>0</v>
      </c>
      <c r="T771" s="100">
        <f>IF(AND(SamplingData[[#This Row],[Total]]&lt;&gt; 0, NOT(ISBLANK(SamplingData[[#This Row],[Candidate 5]]))),(SamplingData[[#This Row],[Total]]+SamplingData[[#This Row],[Winning Candidate]]-SamplingData[[#This Row],[Candidate 5]])/(SamplingData[[#Totals],[Winning Candidate]]-SamplingData[[#Totals],[Candidate 5]]), 0)</f>
        <v>0</v>
      </c>
      <c r="U771" s="100">
        <f>IF(AND(SamplingData[[#This Row],[Total]]&lt;&gt; 0, NOT(ISBLANK(SamplingData[[#This Row],[Candidate 6]]))),(SamplingData[[#This Row],[Total]]+SamplingData[[#This Row],[Losing Candidate]]-SamplingData[[#This Row],[Candidate 6]])/(SamplingData[[#Totals],[Winning Candidate]]-SamplingData[[#Totals],[Candidate 6]]), 0)</f>
        <v>0</v>
      </c>
      <c r="V771" s="100">
        <f>IF(AND(SamplingData[[#This Row],[Total]]&lt;&gt; 0, NOT(ISBLANK(SamplingData[[#This Row],[Candidate 7]]))),(SamplingData[[#This Row],[Total]]+SamplingData[[#This Row],[Winning Candidate]]-SamplingData[[#This Row],[Candidate 7]])/(SamplingData[[#Totals],[Winning Candidate]]-SamplingData[[#Totals],[Candidate 7]]), 0)</f>
        <v>0</v>
      </c>
      <c r="W771" s="100">
        <f>IF(AND(SamplingData[[#This Row],[Total]]&lt;&gt; 0, NOT(ISBLANK(SamplingData[[#This Row],[Candidate 8]]))),(SamplingData[[#This Row],[Total]]+SamplingData[[#This Row],[Winning Candidate]]-SamplingData[[#This Row],[Candidate 8]])/(SamplingData[[#Totals],[Winning Candidate]]-SamplingData[[#Totals],[Candidate 8]]), 0)</f>
        <v>0</v>
      </c>
      <c r="X7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00">
        <f>MAX(SamplingData[[#This Row],[Error Bound (up) - Max. possible relative overstatement - Losing Candidate]:[Error Bound (up) - Max. possible relative overstatement - Candidate 12]])</f>
        <v>3.0153594873888871E-3</v>
      </c>
      <c r="AC771" s="100">
        <f>IF(SamplingData[[#This Row],[Max Error Bound (up)]] = 0,0,SamplingData[[#This Row],[Max Error Bound (up)]]/SamplingData[[#Totals],[Max Error Bound (up)]])</f>
        <v>1.2921983524471011E-3</v>
      </c>
      <c r="AD771" s="104">
        <f>SUM($AC$5:AC771)</f>
        <v>0.25153448554353131</v>
      </c>
      <c r="AE771" s="100" t="str" cm="1">
        <f t="array" ref="AE771">IF(SamplingData[[#This Row],[up/U Selection Probability]] = 0, "Zero", TEXT(SamplingData[[#This Row],[Lower Range]], REPT("0",LEN('General Info'!$B$42))) &amp; " - " &amp; TEXT(SamplingData[[#This Row],[Upper Range]], REPT("0",LEN('General Info'!$B$42))))</f>
        <v>25024 - 25152</v>
      </c>
      <c r="AF771" s="100">
        <f>SamplingData[[#This Row],[Upper Range]]-SamplingData[[#This Row],[Span]]</f>
        <v>25024.228719108422</v>
      </c>
      <c r="AG771" s="100">
        <f>IF(ISNUMBER('General Info'!$B$42), ((SamplingData[[#This Row],[up/U Selection Probability]]) * 'General Info'!$B$44) - 1, 0)</f>
        <v>128.21983524471011</v>
      </c>
      <c r="AH771" s="100">
        <f>IF(ISNUMBER('General Info'!$B$42), (SamplingData[[#This Row],[Running (cumulative) sum]] * ('General Info'!$B$42 -'General Info'!$B$43 + 1)) + 'General Info'!$B$43 - 1, 0)</f>
        <v>25152.44855435313</v>
      </c>
      <c r="AI771" s="100" t="str">
        <f>IF(ISERROR(MATCH(SamplingData[[#This Row],[Batch by Type (p)]],SelectedPrecincts[Batch Name], 0)), "", INDEX(SelectedPrecincts[Draw], MATCH(SamplingData[[#This Row],[Batch by Type (p)]],SelectedPrecincts[Batch Name], 0)))</f>
        <v/>
      </c>
      <c r="AJ771" s="101">
        <f>IF(COUNTIF(SelectedPrecincts[Batch Name],SamplingData[[#This Row],[Batch by Type (p)]]) &lt;&gt; 0, COUNTIF(SelectedPrecincts[Batch Name],SamplingData[[#This Row],[Batch by Type (p)]]), 0)</f>
        <v>0</v>
      </c>
    </row>
    <row r="772" spans="1:36" ht="15" customHeight="1" x14ac:dyDescent="0.35">
      <c r="A772" s="98" t="s">
        <v>983</v>
      </c>
      <c r="B772" s="98">
        <v>49</v>
      </c>
      <c r="C772" s="98">
        <v>7</v>
      </c>
      <c r="D772" s="93"/>
      <c r="E772" s="93"/>
      <c r="F772" s="93"/>
      <c r="G772" s="97"/>
      <c r="H772" s="97"/>
      <c r="I772" s="93"/>
      <c r="J772" s="93"/>
      <c r="K772" s="93"/>
      <c r="L772" s="93"/>
      <c r="M772" s="93"/>
      <c r="N772" s="98">
        <v>0</v>
      </c>
      <c r="O772" s="98">
        <v>2</v>
      </c>
      <c r="P772" s="99">
        <f>SUM(SamplingData[[#This Row],[Winning Candidate]:[Under Votes]])</f>
        <v>58</v>
      </c>
      <c r="Q772"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3.1409994660300906E-3</v>
      </c>
      <c r="R772" s="100">
        <f>IF(AND(SamplingData[[#This Row],[Total]]&lt;&gt; 0, NOT(ISBLANK(SamplingData[[#This Row],[Candidate 3]]))),(SamplingData[[#This Row],[Total]]+SamplingData[[#This Row],[Winning Candidate]]-SamplingData[[#This Row],[Candidate 3]])/(SamplingData[[#Totals],[Winning Candidate]]-SamplingData[[#Totals],[Candidate 3]]), 0)</f>
        <v>0</v>
      </c>
      <c r="S772" s="100">
        <f>IF(AND(SamplingData[[#This Row],[Total]]&lt;&gt; 0, NOT(ISBLANK(SamplingData[[#This Row],[Candidate 4]]))),(SamplingData[[#This Row],[Total]]+SamplingData[[#This Row],[Winning Candidate]]-SamplingData[[#This Row],[Candidate 4]])/(SamplingData[[#Totals],[Winning Candidate]]-SamplingData[[#Totals],[Candidate 4]]), 0)</f>
        <v>0</v>
      </c>
      <c r="T772" s="100">
        <f>IF(AND(SamplingData[[#This Row],[Total]]&lt;&gt; 0, NOT(ISBLANK(SamplingData[[#This Row],[Candidate 5]]))),(SamplingData[[#This Row],[Total]]+SamplingData[[#This Row],[Winning Candidate]]-SamplingData[[#This Row],[Candidate 5]])/(SamplingData[[#Totals],[Winning Candidate]]-SamplingData[[#Totals],[Candidate 5]]), 0)</f>
        <v>0</v>
      </c>
      <c r="U772" s="100">
        <f>IF(AND(SamplingData[[#This Row],[Total]]&lt;&gt; 0, NOT(ISBLANK(SamplingData[[#This Row],[Candidate 6]]))),(SamplingData[[#This Row],[Total]]+SamplingData[[#This Row],[Losing Candidate]]-SamplingData[[#This Row],[Candidate 6]])/(SamplingData[[#Totals],[Winning Candidate]]-SamplingData[[#Totals],[Candidate 6]]), 0)</f>
        <v>0</v>
      </c>
      <c r="V772" s="100">
        <f>IF(AND(SamplingData[[#This Row],[Total]]&lt;&gt; 0, NOT(ISBLANK(SamplingData[[#This Row],[Candidate 7]]))),(SamplingData[[#This Row],[Total]]+SamplingData[[#This Row],[Winning Candidate]]-SamplingData[[#This Row],[Candidate 7]])/(SamplingData[[#Totals],[Winning Candidate]]-SamplingData[[#Totals],[Candidate 7]]), 0)</f>
        <v>0</v>
      </c>
      <c r="W772" s="100">
        <f>IF(AND(SamplingData[[#This Row],[Total]]&lt;&gt; 0, NOT(ISBLANK(SamplingData[[#This Row],[Candidate 8]]))),(SamplingData[[#This Row],[Total]]+SamplingData[[#This Row],[Winning Candidate]]-SamplingData[[#This Row],[Candidate 8]])/(SamplingData[[#Totals],[Winning Candidate]]-SamplingData[[#Totals],[Candidate 8]]), 0)</f>
        <v>0</v>
      </c>
      <c r="X7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00">
        <f>MAX(SamplingData[[#This Row],[Error Bound (up) - Max. possible relative overstatement - Losing Candidate]:[Error Bound (up) - Max. possible relative overstatement - Candidate 12]])</f>
        <v>3.1409994660300906E-3</v>
      </c>
      <c r="AC772" s="100">
        <f>IF(SamplingData[[#This Row],[Max Error Bound (up)]] = 0,0,SamplingData[[#This Row],[Max Error Bound (up)]]/SamplingData[[#Totals],[Max Error Bound (up)]])</f>
        <v>1.3460399504657303E-3</v>
      </c>
      <c r="AD772" s="104">
        <f>SUM($AC$5:AC772)</f>
        <v>0.25288052549399703</v>
      </c>
      <c r="AE772" s="100" t="str" cm="1">
        <f t="array" ref="AE772">IF(SamplingData[[#This Row],[up/U Selection Probability]] = 0, "Zero", TEXT(SamplingData[[#This Row],[Lower Range]], REPT("0",LEN('General Info'!$B$42))) &amp; " - " &amp; TEXT(SamplingData[[#This Row],[Upper Range]], REPT("0",LEN('General Info'!$B$42))))</f>
        <v>25153 - 25287</v>
      </c>
      <c r="AF772" s="100">
        <f>SamplingData[[#This Row],[Upper Range]]-SamplingData[[#This Row],[Span]]</f>
        <v>25153.44855435313</v>
      </c>
      <c r="AG772" s="100">
        <f>IF(ISNUMBER('General Info'!$B$42), ((SamplingData[[#This Row],[up/U Selection Probability]]) * 'General Info'!$B$44) - 1, 0)</f>
        <v>133.60399504657303</v>
      </c>
      <c r="AH772" s="100">
        <f>IF(ISNUMBER('General Info'!$B$42), (SamplingData[[#This Row],[Running (cumulative) sum]] * ('General Info'!$B$42 -'General Info'!$B$43 + 1)) + 'General Info'!$B$43 - 1, 0)</f>
        <v>25287.052549399705</v>
      </c>
      <c r="AI772" s="100" t="str">
        <f>IF(ISERROR(MATCH(SamplingData[[#This Row],[Batch by Type (p)]],SelectedPrecincts[Batch Name], 0)), "", INDEX(SelectedPrecincts[Draw], MATCH(SamplingData[[#This Row],[Batch by Type (p)]],SelectedPrecincts[Batch Name], 0)))</f>
        <v/>
      </c>
      <c r="AJ772" s="101">
        <f>IF(COUNTIF(SelectedPrecincts[Batch Name],SamplingData[[#This Row],[Batch by Type (p)]]) &lt;&gt; 0, COUNTIF(SelectedPrecincts[Batch Name],SamplingData[[#This Row],[Batch by Type (p)]]), 0)</f>
        <v>0</v>
      </c>
    </row>
    <row r="773" spans="1:36" ht="15" customHeight="1" x14ac:dyDescent="0.35">
      <c r="A773" s="98" t="s">
        <v>984</v>
      </c>
      <c r="B773" s="98">
        <v>49</v>
      </c>
      <c r="C773" s="98">
        <v>15</v>
      </c>
      <c r="D773" s="93"/>
      <c r="E773" s="93"/>
      <c r="F773" s="93"/>
      <c r="G773" s="97"/>
      <c r="H773" s="97"/>
      <c r="I773" s="93"/>
      <c r="J773" s="93"/>
      <c r="K773" s="93"/>
      <c r="L773" s="93"/>
      <c r="M773" s="93"/>
      <c r="N773" s="98">
        <v>0</v>
      </c>
      <c r="O773" s="98">
        <v>1</v>
      </c>
      <c r="P773" s="99">
        <f>SUM(SamplingData[[#This Row],[Winning Candidate]:[Under Votes]])</f>
        <v>65</v>
      </c>
      <c r="Q773" s="100">
        <f>IF(AND(SamplingData[[#This Row],[Total]]&lt;&gt; 0, NOT(ISBLANK(SamplingData[[#This Row],[Losing Candidate]]))),(SamplingData[[#This Row],[Total]]+SamplingData[[#This Row],[Winning Candidate]]-SamplingData[[#This Row],[Losing Candidate]])/(SamplingData[[#Totals],[Winning Candidate]]-SamplingData[[#Totals],[Losing Candidate]]), 0)</f>
        <v>3.1095894713697898E-3</v>
      </c>
      <c r="R773" s="100">
        <f>IF(AND(SamplingData[[#This Row],[Total]]&lt;&gt; 0, NOT(ISBLANK(SamplingData[[#This Row],[Candidate 3]]))),(SamplingData[[#This Row],[Total]]+SamplingData[[#This Row],[Winning Candidate]]-SamplingData[[#This Row],[Candidate 3]])/(SamplingData[[#Totals],[Winning Candidate]]-SamplingData[[#Totals],[Candidate 3]]), 0)</f>
        <v>0</v>
      </c>
      <c r="S773" s="100">
        <f>IF(AND(SamplingData[[#This Row],[Total]]&lt;&gt; 0, NOT(ISBLANK(SamplingData[[#This Row],[Candidate 4]]))),(SamplingData[[#This Row],[Total]]+SamplingData[[#This Row],[Winning Candidate]]-SamplingData[[#This Row],[Candidate 4]])/(SamplingData[[#Totals],[Winning Candidate]]-SamplingData[[#Totals],[Candidate 4]]), 0)</f>
        <v>0</v>
      </c>
      <c r="T773" s="100">
        <f>IF(AND(SamplingData[[#This Row],[Total]]&lt;&gt; 0, NOT(ISBLANK(SamplingData[[#This Row],[Candidate 5]]))),(SamplingData[[#This Row],[Total]]+SamplingData[[#This Row],[Winning Candidate]]-SamplingData[[#This Row],[Candidate 5]])/(SamplingData[[#Totals],[Winning Candidate]]-SamplingData[[#Totals],[Candidate 5]]), 0)</f>
        <v>0</v>
      </c>
      <c r="U773" s="100">
        <f>IF(AND(SamplingData[[#This Row],[Total]]&lt;&gt; 0, NOT(ISBLANK(SamplingData[[#This Row],[Candidate 6]]))),(SamplingData[[#This Row],[Total]]+SamplingData[[#This Row],[Losing Candidate]]-SamplingData[[#This Row],[Candidate 6]])/(SamplingData[[#Totals],[Winning Candidate]]-SamplingData[[#Totals],[Candidate 6]]), 0)</f>
        <v>0</v>
      </c>
      <c r="V773" s="100">
        <f>IF(AND(SamplingData[[#This Row],[Total]]&lt;&gt; 0, NOT(ISBLANK(SamplingData[[#This Row],[Candidate 7]]))),(SamplingData[[#This Row],[Total]]+SamplingData[[#This Row],[Winning Candidate]]-SamplingData[[#This Row],[Candidate 7]])/(SamplingData[[#Totals],[Winning Candidate]]-SamplingData[[#Totals],[Candidate 7]]), 0)</f>
        <v>0</v>
      </c>
      <c r="W773" s="100">
        <f>IF(AND(SamplingData[[#This Row],[Total]]&lt;&gt; 0, NOT(ISBLANK(SamplingData[[#This Row],[Candidate 8]]))),(SamplingData[[#This Row],[Total]]+SamplingData[[#This Row],[Winning Candidate]]-SamplingData[[#This Row],[Candidate 8]])/(SamplingData[[#Totals],[Winning Candidate]]-SamplingData[[#Totals],[Candidate 8]]), 0)</f>
        <v>0</v>
      </c>
      <c r="X7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00">
        <f>MAX(SamplingData[[#This Row],[Error Bound (up) - Max. possible relative overstatement - Losing Candidate]:[Error Bound (up) - Max. possible relative overstatement - Candidate 12]])</f>
        <v>3.1095894713697898E-3</v>
      </c>
      <c r="AC773" s="100">
        <f>IF(SamplingData[[#This Row],[Max Error Bound (up)]] = 0,0,SamplingData[[#This Row],[Max Error Bound (up)]]/SamplingData[[#Totals],[Max Error Bound (up)]])</f>
        <v>1.332579550961073E-3</v>
      </c>
      <c r="AD773" s="104">
        <f>SUM($AC$5:AC773)</f>
        <v>0.25421310504495809</v>
      </c>
      <c r="AE773" s="100" t="str" cm="1">
        <f t="array" ref="AE773">IF(SamplingData[[#This Row],[up/U Selection Probability]] = 0, "Zero", TEXT(SamplingData[[#This Row],[Lower Range]], REPT("0",LEN('General Info'!$B$42))) &amp; " - " &amp; TEXT(SamplingData[[#This Row],[Upper Range]], REPT("0",LEN('General Info'!$B$42))))</f>
        <v>25288 - 25420</v>
      </c>
      <c r="AF773" s="100">
        <f>SamplingData[[#This Row],[Upper Range]]-SamplingData[[#This Row],[Span]]</f>
        <v>25288.052549399701</v>
      </c>
      <c r="AG773" s="100">
        <f>IF(ISNUMBER('General Info'!$B$42), ((SamplingData[[#This Row],[up/U Selection Probability]]) * 'General Info'!$B$44) - 1, 0)</f>
        <v>132.25795509610731</v>
      </c>
      <c r="AH773" s="100">
        <f>IF(ISNUMBER('General Info'!$B$42), (SamplingData[[#This Row],[Running (cumulative) sum]] * ('General Info'!$B$42 -'General Info'!$B$43 + 1)) + 'General Info'!$B$43 - 1, 0)</f>
        <v>25420.31050449581</v>
      </c>
      <c r="AI773" s="100" t="str">
        <f>IF(ISERROR(MATCH(SamplingData[[#This Row],[Batch by Type (p)]],SelectedPrecincts[Batch Name], 0)), "", INDEX(SelectedPrecincts[Draw], MATCH(SamplingData[[#This Row],[Batch by Type (p)]],SelectedPrecincts[Batch Name], 0)))</f>
        <v/>
      </c>
      <c r="AJ773" s="101">
        <f>IF(COUNTIF(SelectedPrecincts[Batch Name],SamplingData[[#This Row],[Batch by Type (p)]]) &lt;&gt; 0, COUNTIF(SelectedPrecincts[Batch Name],SamplingData[[#This Row],[Batch by Type (p)]]), 0)</f>
        <v>0</v>
      </c>
    </row>
    <row r="774" spans="1:36" ht="15" customHeight="1" x14ac:dyDescent="0.35">
      <c r="A774" s="98" t="s">
        <v>985</v>
      </c>
      <c r="B774" s="98">
        <v>79</v>
      </c>
      <c r="C774" s="98">
        <v>10</v>
      </c>
      <c r="D774" s="93"/>
      <c r="E774" s="93"/>
      <c r="F774" s="93"/>
      <c r="G774" s="97"/>
      <c r="H774" s="97"/>
      <c r="I774" s="93"/>
      <c r="J774" s="93"/>
      <c r="K774" s="93"/>
      <c r="L774" s="93"/>
      <c r="M774" s="93"/>
      <c r="N774" s="98">
        <v>0</v>
      </c>
      <c r="O774" s="98">
        <v>0</v>
      </c>
      <c r="P774" s="99">
        <f>SUM(SamplingData[[#This Row],[Winning Candidate]:[Under Votes]])</f>
        <v>89</v>
      </c>
      <c r="Q774" s="100">
        <f>IF(AND(SamplingData[[#This Row],[Total]]&lt;&gt; 0, NOT(ISBLANK(SamplingData[[#This Row],[Losing Candidate]]))),(SamplingData[[#This Row],[Total]]+SamplingData[[#This Row],[Winning Candidate]]-SamplingData[[#This Row],[Losing Candidate]])/(SamplingData[[#Totals],[Winning Candidate]]-SamplingData[[#Totals],[Losing Candidate]]), 0)</f>
        <v>4.9627791563275434E-3</v>
      </c>
      <c r="R774" s="100">
        <f>IF(AND(SamplingData[[#This Row],[Total]]&lt;&gt; 0, NOT(ISBLANK(SamplingData[[#This Row],[Candidate 3]]))),(SamplingData[[#This Row],[Total]]+SamplingData[[#This Row],[Winning Candidate]]-SamplingData[[#This Row],[Candidate 3]])/(SamplingData[[#Totals],[Winning Candidate]]-SamplingData[[#Totals],[Candidate 3]]), 0)</f>
        <v>0</v>
      </c>
      <c r="S774" s="100">
        <f>IF(AND(SamplingData[[#This Row],[Total]]&lt;&gt; 0, NOT(ISBLANK(SamplingData[[#This Row],[Candidate 4]]))),(SamplingData[[#This Row],[Total]]+SamplingData[[#This Row],[Winning Candidate]]-SamplingData[[#This Row],[Candidate 4]])/(SamplingData[[#Totals],[Winning Candidate]]-SamplingData[[#Totals],[Candidate 4]]), 0)</f>
        <v>0</v>
      </c>
      <c r="T774" s="100">
        <f>IF(AND(SamplingData[[#This Row],[Total]]&lt;&gt; 0, NOT(ISBLANK(SamplingData[[#This Row],[Candidate 5]]))),(SamplingData[[#This Row],[Total]]+SamplingData[[#This Row],[Winning Candidate]]-SamplingData[[#This Row],[Candidate 5]])/(SamplingData[[#Totals],[Winning Candidate]]-SamplingData[[#Totals],[Candidate 5]]), 0)</f>
        <v>0</v>
      </c>
      <c r="U774" s="100">
        <f>IF(AND(SamplingData[[#This Row],[Total]]&lt;&gt; 0, NOT(ISBLANK(SamplingData[[#This Row],[Candidate 6]]))),(SamplingData[[#This Row],[Total]]+SamplingData[[#This Row],[Losing Candidate]]-SamplingData[[#This Row],[Candidate 6]])/(SamplingData[[#Totals],[Winning Candidate]]-SamplingData[[#Totals],[Candidate 6]]), 0)</f>
        <v>0</v>
      </c>
      <c r="V774" s="100">
        <f>IF(AND(SamplingData[[#This Row],[Total]]&lt;&gt; 0, NOT(ISBLANK(SamplingData[[#This Row],[Candidate 7]]))),(SamplingData[[#This Row],[Total]]+SamplingData[[#This Row],[Winning Candidate]]-SamplingData[[#This Row],[Candidate 7]])/(SamplingData[[#Totals],[Winning Candidate]]-SamplingData[[#Totals],[Candidate 7]]), 0)</f>
        <v>0</v>
      </c>
      <c r="W774" s="100">
        <f>IF(AND(SamplingData[[#This Row],[Total]]&lt;&gt; 0, NOT(ISBLANK(SamplingData[[#This Row],[Candidate 8]]))),(SamplingData[[#This Row],[Total]]+SamplingData[[#This Row],[Winning Candidate]]-SamplingData[[#This Row],[Candidate 8]])/(SamplingData[[#Totals],[Winning Candidate]]-SamplingData[[#Totals],[Candidate 8]]), 0)</f>
        <v>0</v>
      </c>
      <c r="X7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00">
        <f>MAX(SamplingData[[#This Row],[Error Bound (up) - Max. possible relative overstatement - Losing Candidate]:[Error Bound (up) - Max. possible relative overstatement - Candidate 12]])</f>
        <v>4.9627791563275434E-3</v>
      </c>
      <c r="AC774" s="100">
        <f>IF(SamplingData[[#This Row],[Max Error Bound (up)]] = 0,0,SamplingData[[#This Row],[Max Error Bound (up)]]/SamplingData[[#Totals],[Max Error Bound (up)]])</f>
        <v>2.126743121735854E-3</v>
      </c>
      <c r="AD774" s="104">
        <f>SUM($AC$5:AC774)</f>
        <v>0.25633984816669392</v>
      </c>
      <c r="AE774" s="100" t="str" cm="1">
        <f t="array" ref="AE774">IF(SamplingData[[#This Row],[up/U Selection Probability]] = 0, "Zero", TEXT(SamplingData[[#This Row],[Lower Range]], REPT("0",LEN('General Info'!$B$42))) &amp; " - " &amp; TEXT(SamplingData[[#This Row],[Upper Range]], REPT("0",LEN('General Info'!$B$42))))</f>
        <v>25421 - 25633</v>
      </c>
      <c r="AF774" s="100">
        <f>SamplingData[[#This Row],[Upper Range]]-SamplingData[[#This Row],[Span]]</f>
        <v>25421.310504495807</v>
      </c>
      <c r="AG774" s="100">
        <f>IF(ISNUMBER('General Info'!$B$42), ((SamplingData[[#This Row],[up/U Selection Probability]]) * 'General Info'!$B$44) - 1, 0)</f>
        <v>211.67431217358541</v>
      </c>
      <c r="AH774" s="100">
        <f>IF(ISNUMBER('General Info'!$B$42), (SamplingData[[#This Row],[Running (cumulative) sum]] * ('General Info'!$B$42 -'General Info'!$B$43 + 1)) + 'General Info'!$B$43 - 1, 0)</f>
        <v>25632.984816669392</v>
      </c>
      <c r="AI774" s="100" t="str">
        <f>IF(ISERROR(MATCH(SamplingData[[#This Row],[Batch by Type (p)]],SelectedPrecincts[Batch Name], 0)), "", INDEX(SelectedPrecincts[Draw], MATCH(SamplingData[[#This Row],[Batch by Type (p)]],SelectedPrecincts[Batch Name], 0)))</f>
        <v/>
      </c>
      <c r="AJ774" s="101">
        <f>IF(COUNTIF(SelectedPrecincts[Batch Name],SamplingData[[#This Row],[Batch by Type (p)]]) &lt;&gt; 0, COUNTIF(SelectedPrecincts[Batch Name],SamplingData[[#This Row],[Batch by Type (p)]]), 0)</f>
        <v>0</v>
      </c>
    </row>
    <row r="775" spans="1:36" ht="15" customHeight="1" x14ac:dyDescent="0.35">
      <c r="A775" s="98" t="s">
        <v>986</v>
      </c>
      <c r="B775" s="98">
        <v>45</v>
      </c>
      <c r="C775" s="98">
        <v>8</v>
      </c>
      <c r="D775" s="93"/>
      <c r="E775" s="93"/>
      <c r="F775" s="93"/>
      <c r="G775" s="97"/>
      <c r="H775" s="97"/>
      <c r="I775" s="93"/>
      <c r="J775" s="93"/>
      <c r="K775" s="93"/>
      <c r="L775" s="93"/>
      <c r="M775" s="93"/>
      <c r="N775" s="98">
        <v>0</v>
      </c>
      <c r="O775" s="98">
        <v>0</v>
      </c>
      <c r="P775" s="99">
        <f>SUM(SamplingData[[#This Row],[Winning Candidate]:[Under Votes]])</f>
        <v>53</v>
      </c>
      <c r="Q775" s="100">
        <f>IF(AND(SamplingData[[#This Row],[Total]]&lt;&gt; 0, NOT(ISBLANK(SamplingData[[#This Row],[Losing Candidate]]))),(SamplingData[[#This Row],[Total]]+SamplingData[[#This Row],[Winning Candidate]]-SamplingData[[#This Row],[Losing Candidate]])/(SamplingData[[#Totals],[Winning Candidate]]-SamplingData[[#Totals],[Losing Candidate]]), 0)</f>
        <v>2.8268995194270815E-3</v>
      </c>
      <c r="R775" s="100">
        <f>IF(AND(SamplingData[[#This Row],[Total]]&lt;&gt; 0, NOT(ISBLANK(SamplingData[[#This Row],[Candidate 3]]))),(SamplingData[[#This Row],[Total]]+SamplingData[[#This Row],[Winning Candidate]]-SamplingData[[#This Row],[Candidate 3]])/(SamplingData[[#Totals],[Winning Candidate]]-SamplingData[[#Totals],[Candidate 3]]), 0)</f>
        <v>0</v>
      </c>
      <c r="S775" s="100">
        <f>IF(AND(SamplingData[[#This Row],[Total]]&lt;&gt; 0, NOT(ISBLANK(SamplingData[[#This Row],[Candidate 4]]))),(SamplingData[[#This Row],[Total]]+SamplingData[[#This Row],[Winning Candidate]]-SamplingData[[#This Row],[Candidate 4]])/(SamplingData[[#Totals],[Winning Candidate]]-SamplingData[[#Totals],[Candidate 4]]), 0)</f>
        <v>0</v>
      </c>
      <c r="T775" s="100">
        <f>IF(AND(SamplingData[[#This Row],[Total]]&lt;&gt; 0, NOT(ISBLANK(SamplingData[[#This Row],[Candidate 5]]))),(SamplingData[[#This Row],[Total]]+SamplingData[[#This Row],[Winning Candidate]]-SamplingData[[#This Row],[Candidate 5]])/(SamplingData[[#Totals],[Winning Candidate]]-SamplingData[[#Totals],[Candidate 5]]), 0)</f>
        <v>0</v>
      </c>
      <c r="U775" s="100">
        <f>IF(AND(SamplingData[[#This Row],[Total]]&lt;&gt; 0, NOT(ISBLANK(SamplingData[[#This Row],[Candidate 6]]))),(SamplingData[[#This Row],[Total]]+SamplingData[[#This Row],[Losing Candidate]]-SamplingData[[#This Row],[Candidate 6]])/(SamplingData[[#Totals],[Winning Candidate]]-SamplingData[[#Totals],[Candidate 6]]), 0)</f>
        <v>0</v>
      </c>
      <c r="V775" s="100">
        <f>IF(AND(SamplingData[[#This Row],[Total]]&lt;&gt; 0, NOT(ISBLANK(SamplingData[[#This Row],[Candidate 7]]))),(SamplingData[[#This Row],[Total]]+SamplingData[[#This Row],[Winning Candidate]]-SamplingData[[#This Row],[Candidate 7]])/(SamplingData[[#Totals],[Winning Candidate]]-SamplingData[[#Totals],[Candidate 7]]), 0)</f>
        <v>0</v>
      </c>
      <c r="W775" s="100">
        <f>IF(AND(SamplingData[[#This Row],[Total]]&lt;&gt; 0, NOT(ISBLANK(SamplingData[[#This Row],[Candidate 8]]))),(SamplingData[[#This Row],[Total]]+SamplingData[[#This Row],[Winning Candidate]]-SamplingData[[#This Row],[Candidate 8]])/(SamplingData[[#Totals],[Winning Candidate]]-SamplingData[[#Totals],[Candidate 8]]), 0)</f>
        <v>0</v>
      </c>
      <c r="X7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00">
        <f>MAX(SamplingData[[#This Row],[Error Bound (up) - Max. possible relative overstatement - Losing Candidate]:[Error Bound (up) - Max. possible relative overstatement - Candidate 12]])</f>
        <v>2.8268995194270815E-3</v>
      </c>
      <c r="AC775" s="100">
        <f>IF(SamplingData[[#This Row],[Max Error Bound (up)]] = 0,0,SamplingData[[#This Row],[Max Error Bound (up)]]/SamplingData[[#Totals],[Max Error Bound (up)]])</f>
        <v>1.2114359554191573E-3</v>
      </c>
      <c r="AD775" s="104">
        <f>SUM($AC$5:AC775)</f>
        <v>0.25755128412211309</v>
      </c>
      <c r="AE775" s="100" t="str" cm="1">
        <f t="array" ref="AE775">IF(SamplingData[[#This Row],[up/U Selection Probability]] = 0, "Zero", TEXT(SamplingData[[#This Row],[Lower Range]], REPT("0",LEN('General Info'!$B$42))) &amp; " - " &amp; TEXT(SamplingData[[#This Row],[Upper Range]], REPT("0",LEN('General Info'!$B$42))))</f>
        <v>25634 - 25754</v>
      </c>
      <c r="AF775" s="100">
        <f>SamplingData[[#This Row],[Upper Range]]-SamplingData[[#This Row],[Span]]</f>
        <v>25633.984816669396</v>
      </c>
      <c r="AG775" s="100">
        <f>IF(ISNUMBER('General Info'!$B$42), ((SamplingData[[#This Row],[up/U Selection Probability]]) * 'General Info'!$B$44) - 1, 0)</f>
        <v>120.14359554191573</v>
      </c>
      <c r="AH775" s="100">
        <f>IF(ISNUMBER('General Info'!$B$42), (SamplingData[[#This Row],[Running (cumulative) sum]] * ('General Info'!$B$42 -'General Info'!$B$43 + 1)) + 'General Info'!$B$43 - 1, 0)</f>
        <v>25754.12841221131</v>
      </c>
      <c r="AI775" s="100" t="str">
        <f>IF(ISERROR(MATCH(SamplingData[[#This Row],[Batch by Type (p)]],SelectedPrecincts[Batch Name], 0)), "", INDEX(SelectedPrecincts[Draw], MATCH(SamplingData[[#This Row],[Batch by Type (p)]],SelectedPrecincts[Batch Name], 0)))</f>
        <v/>
      </c>
      <c r="AJ775" s="101">
        <f>IF(COUNTIF(SelectedPrecincts[Batch Name],SamplingData[[#This Row],[Batch by Type (p)]]) &lt;&gt; 0, COUNTIF(SelectedPrecincts[Batch Name],SamplingData[[#This Row],[Batch by Type (p)]]), 0)</f>
        <v>0</v>
      </c>
    </row>
    <row r="776" spans="1:36" ht="15" customHeight="1" x14ac:dyDescent="0.35">
      <c r="A776" s="98" t="s">
        <v>987</v>
      </c>
      <c r="B776" s="98">
        <v>69</v>
      </c>
      <c r="C776" s="98">
        <v>11</v>
      </c>
      <c r="D776" s="93"/>
      <c r="E776" s="93"/>
      <c r="F776" s="93"/>
      <c r="G776" s="97"/>
      <c r="H776" s="97"/>
      <c r="I776" s="93"/>
      <c r="J776" s="93"/>
      <c r="K776" s="93"/>
      <c r="L776" s="93"/>
      <c r="M776" s="93"/>
      <c r="N776" s="98">
        <v>0</v>
      </c>
      <c r="O776" s="98">
        <v>2</v>
      </c>
      <c r="P776" s="99">
        <f>SUM(SamplingData[[#This Row],[Winning Candidate]:[Under Votes]])</f>
        <v>82</v>
      </c>
      <c r="Q776" s="100">
        <f>IF(AND(SamplingData[[#This Row],[Total]]&lt;&gt; 0, NOT(ISBLANK(SamplingData[[#This Row],[Losing Candidate]]))),(SamplingData[[#This Row],[Total]]+SamplingData[[#This Row],[Winning Candidate]]-SamplingData[[#This Row],[Losing Candidate]])/(SamplingData[[#Totals],[Winning Candidate]]-SamplingData[[#Totals],[Losing Candidate]]), 0)</f>
        <v>4.3973992524421269E-3</v>
      </c>
      <c r="R776" s="100">
        <f>IF(AND(SamplingData[[#This Row],[Total]]&lt;&gt; 0, NOT(ISBLANK(SamplingData[[#This Row],[Candidate 3]]))),(SamplingData[[#This Row],[Total]]+SamplingData[[#This Row],[Winning Candidate]]-SamplingData[[#This Row],[Candidate 3]])/(SamplingData[[#Totals],[Winning Candidate]]-SamplingData[[#Totals],[Candidate 3]]), 0)</f>
        <v>0</v>
      </c>
      <c r="S776" s="100">
        <f>IF(AND(SamplingData[[#This Row],[Total]]&lt;&gt; 0, NOT(ISBLANK(SamplingData[[#This Row],[Candidate 4]]))),(SamplingData[[#This Row],[Total]]+SamplingData[[#This Row],[Winning Candidate]]-SamplingData[[#This Row],[Candidate 4]])/(SamplingData[[#Totals],[Winning Candidate]]-SamplingData[[#Totals],[Candidate 4]]), 0)</f>
        <v>0</v>
      </c>
      <c r="T776" s="100">
        <f>IF(AND(SamplingData[[#This Row],[Total]]&lt;&gt; 0, NOT(ISBLANK(SamplingData[[#This Row],[Candidate 5]]))),(SamplingData[[#This Row],[Total]]+SamplingData[[#This Row],[Winning Candidate]]-SamplingData[[#This Row],[Candidate 5]])/(SamplingData[[#Totals],[Winning Candidate]]-SamplingData[[#Totals],[Candidate 5]]), 0)</f>
        <v>0</v>
      </c>
      <c r="U776" s="100">
        <f>IF(AND(SamplingData[[#This Row],[Total]]&lt;&gt; 0, NOT(ISBLANK(SamplingData[[#This Row],[Candidate 6]]))),(SamplingData[[#This Row],[Total]]+SamplingData[[#This Row],[Losing Candidate]]-SamplingData[[#This Row],[Candidate 6]])/(SamplingData[[#Totals],[Winning Candidate]]-SamplingData[[#Totals],[Candidate 6]]), 0)</f>
        <v>0</v>
      </c>
      <c r="V776" s="100">
        <f>IF(AND(SamplingData[[#This Row],[Total]]&lt;&gt; 0, NOT(ISBLANK(SamplingData[[#This Row],[Candidate 7]]))),(SamplingData[[#This Row],[Total]]+SamplingData[[#This Row],[Winning Candidate]]-SamplingData[[#This Row],[Candidate 7]])/(SamplingData[[#Totals],[Winning Candidate]]-SamplingData[[#Totals],[Candidate 7]]), 0)</f>
        <v>0</v>
      </c>
      <c r="W776" s="100">
        <f>IF(AND(SamplingData[[#This Row],[Total]]&lt;&gt; 0, NOT(ISBLANK(SamplingData[[#This Row],[Candidate 8]]))),(SamplingData[[#This Row],[Total]]+SamplingData[[#This Row],[Winning Candidate]]-SamplingData[[#This Row],[Candidate 8]])/(SamplingData[[#Totals],[Winning Candidate]]-SamplingData[[#Totals],[Candidate 8]]), 0)</f>
        <v>0</v>
      </c>
      <c r="X7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00">
        <f>MAX(SamplingData[[#This Row],[Error Bound (up) - Max. possible relative overstatement - Losing Candidate]:[Error Bound (up) - Max. possible relative overstatement - Candidate 12]])</f>
        <v>4.3973992524421269E-3</v>
      </c>
      <c r="AC776" s="100">
        <f>IF(SamplingData[[#This Row],[Max Error Bound (up)]] = 0,0,SamplingData[[#This Row],[Max Error Bound (up)]]/SamplingData[[#Totals],[Max Error Bound (up)]])</f>
        <v>1.8844559306520224E-3</v>
      </c>
      <c r="AD776" s="104">
        <f>SUM($AC$5:AC776)</f>
        <v>0.2594357400527651</v>
      </c>
      <c r="AE776" s="100" t="str" cm="1">
        <f t="array" ref="AE776">IF(SamplingData[[#This Row],[up/U Selection Probability]] = 0, "Zero", TEXT(SamplingData[[#This Row],[Lower Range]], REPT("0",LEN('General Info'!$B$42))) &amp; " - " &amp; TEXT(SamplingData[[#This Row],[Upper Range]], REPT("0",LEN('General Info'!$B$42))))</f>
        <v>25755 - 25943</v>
      </c>
      <c r="AF776" s="100">
        <f>SamplingData[[#This Row],[Upper Range]]-SamplingData[[#This Row],[Span]]</f>
        <v>25755.128412211307</v>
      </c>
      <c r="AG776" s="100">
        <f>IF(ISNUMBER('General Info'!$B$42), ((SamplingData[[#This Row],[up/U Selection Probability]]) * 'General Info'!$B$44) - 1, 0)</f>
        <v>187.44559306520225</v>
      </c>
      <c r="AH776" s="100">
        <f>IF(ISNUMBER('General Info'!$B$42), (SamplingData[[#This Row],[Running (cumulative) sum]] * ('General Info'!$B$42 -'General Info'!$B$43 + 1)) + 'General Info'!$B$43 - 1, 0)</f>
        <v>25942.57400527651</v>
      </c>
      <c r="AI776" s="100" t="str">
        <f>IF(ISERROR(MATCH(SamplingData[[#This Row],[Batch by Type (p)]],SelectedPrecincts[Batch Name], 0)), "", INDEX(SelectedPrecincts[Draw], MATCH(SamplingData[[#This Row],[Batch by Type (p)]],SelectedPrecincts[Batch Name], 0)))</f>
        <v/>
      </c>
      <c r="AJ776" s="101">
        <f>IF(COUNTIF(SelectedPrecincts[Batch Name],SamplingData[[#This Row],[Batch by Type (p)]]) &lt;&gt; 0, COUNTIF(SelectedPrecincts[Batch Name],SamplingData[[#This Row],[Batch by Type (p)]]), 0)</f>
        <v>0</v>
      </c>
    </row>
    <row r="777" spans="1:36" ht="15" customHeight="1" x14ac:dyDescent="0.35">
      <c r="A777" s="98" t="s">
        <v>988</v>
      </c>
      <c r="B777" s="98">
        <v>20</v>
      </c>
      <c r="C777" s="98">
        <v>3</v>
      </c>
      <c r="D777" s="93"/>
      <c r="E777" s="93"/>
      <c r="F777" s="93"/>
      <c r="G777" s="97"/>
      <c r="H777" s="97"/>
      <c r="I777" s="93"/>
      <c r="J777" s="93"/>
      <c r="K777" s="93"/>
      <c r="L777" s="93"/>
      <c r="M777" s="93"/>
      <c r="N777" s="98">
        <v>0</v>
      </c>
      <c r="O777" s="98">
        <v>0</v>
      </c>
      <c r="P777" s="99">
        <f>SUM(SamplingData[[#This Row],[Winning Candidate]:[Under Votes]])</f>
        <v>23</v>
      </c>
      <c r="Q777" s="100">
        <f>IF(AND(SamplingData[[#This Row],[Total]]&lt;&gt; 0, NOT(ISBLANK(SamplingData[[#This Row],[Losing Candidate]]))),(SamplingData[[#This Row],[Total]]+SamplingData[[#This Row],[Winning Candidate]]-SamplingData[[#This Row],[Losing Candidate]])/(SamplingData[[#Totals],[Winning Candidate]]-SamplingData[[#Totals],[Losing Candidate]]), 0)</f>
        <v>1.2563997864120362E-3</v>
      </c>
      <c r="R777" s="100">
        <f>IF(AND(SamplingData[[#This Row],[Total]]&lt;&gt; 0, NOT(ISBLANK(SamplingData[[#This Row],[Candidate 3]]))),(SamplingData[[#This Row],[Total]]+SamplingData[[#This Row],[Winning Candidate]]-SamplingData[[#This Row],[Candidate 3]])/(SamplingData[[#Totals],[Winning Candidate]]-SamplingData[[#Totals],[Candidate 3]]), 0)</f>
        <v>0</v>
      </c>
      <c r="S777" s="100">
        <f>IF(AND(SamplingData[[#This Row],[Total]]&lt;&gt; 0, NOT(ISBLANK(SamplingData[[#This Row],[Candidate 4]]))),(SamplingData[[#This Row],[Total]]+SamplingData[[#This Row],[Winning Candidate]]-SamplingData[[#This Row],[Candidate 4]])/(SamplingData[[#Totals],[Winning Candidate]]-SamplingData[[#Totals],[Candidate 4]]), 0)</f>
        <v>0</v>
      </c>
      <c r="T777" s="100">
        <f>IF(AND(SamplingData[[#This Row],[Total]]&lt;&gt; 0, NOT(ISBLANK(SamplingData[[#This Row],[Candidate 5]]))),(SamplingData[[#This Row],[Total]]+SamplingData[[#This Row],[Winning Candidate]]-SamplingData[[#This Row],[Candidate 5]])/(SamplingData[[#Totals],[Winning Candidate]]-SamplingData[[#Totals],[Candidate 5]]), 0)</f>
        <v>0</v>
      </c>
      <c r="U777" s="100">
        <f>IF(AND(SamplingData[[#This Row],[Total]]&lt;&gt; 0, NOT(ISBLANK(SamplingData[[#This Row],[Candidate 6]]))),(SamplingData[[#This Row],[Total]]+SamplingData[[#This Row],[Losing Candidate]]-SamplingData[[#This Row],[Candidate 6]])/(SamplingData[[#Totals],[Winning Candidate]]-SamplingData[[#Totals],[Candidate 6]]), 0)</f>
        <v>0</v>
      </c>
      <c r="V777" s="100">
        <f>IF(AND(SamplingData[[#This Row],[Total]]&lt;&gt; 0, NOT(ISBLANK(SamplingData[[#This Row],[Candidate 7]]))),(SamplingData[[#This Row],[Total]]+SamplingData[[#This Row],[Winning Candidate]]-SamplingData[[#This Row],[Candidate 7]])/(SamplingData[[#Totals],[Winning Candidate]]-SamplingData[[#Totals],[Candidate 7]]), 0)</f>
        <v>0</v>
      </c>
      <c r="W777" s="100">
        <f>IF(AND(SamplingData[[#This Row],[Total]]&lt;&gt; 0, NOT(ISBLANK(SamplingData[[#This Row],[Candidate 8]]))),(SamplingData[[#This Row],[Total]]+SamplingData[[#This Row],[Winning Candidate]]-SamplingData[[#This Row],[Candidate 8]])/(SamplingData[[#Totals],[Winning Candidate]]-SamplingData[[#Totals],[Candidate 8]]), 0)</f>
        <v>0</v>
      </c>
      <c r="X7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00">
        <f>MAX(SamplingData[[#This Row],[Error Bound (up) - Max. possible relative overstatement - Losing Candidate]:[Error Bound (up) - Max. possible relative overstatement - Candidate 12]])</f>
        <v>1.2563997864120362E-3</v>
      </c>
      <c r="AC777" s="100">
        <f>IF(SamplingData[[#This Row],[Max Error Bound (up)]] = 0,0,SamplingData[[#This Row],[Max Error Bound (up)]]/SamplingData[[#Totals],[Max Error Bound (up)]])</f>
        <v>5.3841598018629215E-4</v>
      </c>
      <c r="AD777" s="104">
        <f>SUM($AC$5:AC777)</f>
        <v>0.25997415603295138</v>
      </c>
      <c r="AE777" s="100" t="str" cm="1">
        <f t="array" ref="AE777">IF(SamplingData[[#This Row],[up/U Selection Probability]] = 0, "Zero", TEXT(SamplingData[[#This Row],[Lower Range]], REPT("0",LEN('General Info'!$B$42))) &amp; " - " &amp; TEXT(SamplingData[[#This Row],[Upper Range]], REPT("0",LEN('General Info'!$B$42))))</f>
        <v>25944 - 25996</v>
      </c>
      <c r="AF777" s="100">
        <f>SamplingData[[#This Row],[Upper Range]]-SamplingData[[#This Row],[Span]]</f>
        <v>25943.574005276507</v>
      </c>
      <c r="AG777" s="100">
        <f>IF(ISNUMBER('General Info'!$B$42), ((SamplingData[[#This Row],[up/U Selection Probability]]) * 'General Info'!$B$44) - 1, 0)</f>
        <v>52.841598018629213</v>
      </c>
      <c r="AH777" s="100">
        <f>IF(ISNUMBER('General Info'!$B$42), (SamplingData[[#This Row],[Running (cumulative) sum]] * ('General Info'!$B$42 -'General Info'!$B$43 + 1)) + 'General Info'!$B$43 - 1, 0)</f>
        <v>25996.415603295136</v>
      </c>
      <c r="AI777" s="100" t="str">
        <f>IF(ISERROR(MATCH(SamplingData[[#This Row],[Batch by Type (p)]],SelectedPrecincts[Batch Name], 0)), "", INDEX(SelectedPrecincts[Draw], MATCH(SamplingData[[#This Row],[Batch by Type (p)]],SelectedPrecincts[Batch Name], 0)))</f>
        <v/>
      </c>
      <c r="AJ777" s="101">
        <f>IF(COUNTIF(SelectedPrecincts[Batch Name],SamplingData[[#This Row],[Batch by Type (p)]]) &lt;&gt; 0, COUNTIF(SelectedPrecincts[Batch Name],SamplingData[[#This Row],[Batch by Type (p)]]), 0)</f>
        <v>0</v>
      </c>
    </row>
    <row r="778" spans="1:36" ht="15" customHeight="1" x14ac:dyDescent="0.35">
      <c r="A778" s="98" t="s">
        <v>989</v>
      </c>
      <c r="B778" s="98">
        <v>32</v>
      </c>
      <c r="C778" s="98">
        <v>2</v>
      </c>
      <c r="D778" s="93"/>
      <c r="E778" s="93"/>
      <c r="F778" s="93"/>
      <c r="G778" s="97"/>
      <c r="H778" s="97"/>
      <c r="I778" s="93"/>
      <c r="J778" s="93"/>
      <c r="K778" s="93"/>
      <c r="L778" s="93"/>
      <c r="M778" s="93"/>
      <c r="N778" s="98">
        <v>0</v>
      </c>
      <c r="O778" s="98">
        <v>2</v>
      </c>
      <c r="P778" s="99">
        <f>SUM(SamplingData[[#This Row],[Winning Candidate]:[Under Votes]])</f>
        <v>36</v>
      </c>
      <c r="Q778"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778" s="100">
        <f>IF(AND(SamplingData[[#This Row],[Total]]&lt;&gt; 0, NOT(ISBLANK(SamplingData[[#This Row],[Candidate 3]]))),(SamplingData[[#This Row],[Total]]+SamplingData[[#This Row],[Winning Candidate]]-SamplingData[[#This Row],[Candidate 3]])/(SamplingData[[#Totals],[Winning Candidate]]-SamplingData[[#Totals],[Candidate 3]]), 0)</f>
        <v>0</v>
      </c>
      <c r="S778" s="100">
        <f>IF(AND(SamplingData[[#This Row],[Total]]&lt;&gt; 0, NOT(ISBLANK(SamplingData[[#This Row],[Candidate 4]]))),(SamplingData[[#This Row],[Total]]+SamplingData[[#This Row],[Winning Candidate]]-SamplingData[[#This Row],[Candidate 4]])/(SamplingData[[#Totals],[Winning Candidate]]-SamplingData[[#Totals],[Candidate 4]]), 0)</f>
        <v>0</v>
      </c>
      <c r="T778" s="100">
        <f>IF(AND(SamplingData[[#This Row],[Total]]&lt;&gt; 0, NOT(ISBLANK(SamplingData[[#This Row],[Candidate 5]]))),(SamplingData[[#This Row],[Total]]+SamplingData[[#This Row],[Winning Candidate]]-SamplingData[[#This Row],[Candidate 5]])/(SamplingData[[#Totals],[Winning Candidate]]-SamplingData[[#Totals],[Candidate 5]]), 0)</f>
        <v>0</v>
      </c>
      <c r="U778" s="100">
        <f>IF(AND(SamplingData[[#This Row],[Total]]&lt;&gt; 0, NOT(ISBLANK(SamplingData[[#This Row],[Candidate 6]]))),(SamplingData[[#This Row],[Total]]+SamplingData[[#This Row],[Losing Candidate]]-SamplingData[[#This Row],[Candidate 6]])/(SamplingData[[#Totals],[Winning Candidate]]-SamplingData[[#Totals],[Candidate 6]]), 0)</f>
        <v>0</v>
      </c>
      <c r="V778" s="100">
        <f>IF(AND(SamplingData[[#This Row],[Total]]&lt;&gt; 0, NOT(ISBLANK(SamplingData[[#This Row],[Candidate 7]]))),(SamplingData[[#This Row],[Total]]+SamplingData[[#This Row],[Winning Candidate]]-SamplingData[[#This Row],[Candidate 7]])/(SamplingData[[#Totals],[Winning Candidate]]-SamplingData[[#Totals],[Candidate 7]]), 0)</f>
        <v>0</v>
      </c>
      <c r="W778" s="100">
        <f>IF(AND(SamplingData[[#This Row],[Total]]&lt;&gt; 0, NOT(ISBLANK(SamplingData[[#This Row],[Candidate 8]]))),(SamplingData[[#This Row],[Total]]+SamplingData[[#This Row],[Winning Candidate]]-SamplingData[[#This Row],[Candidate 8]])/(SamplingData[[#Totals],[Winning Candidate]]-SamplingData[[#Totals],[Candidate 8]]), 0)</f>
        <v>0</v>
      </c>
      <c r="X7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00">
        <f>MAX(SamplingData[[#This Row],[Error Bound (up) - Max. possible relative overstatement - Losing Candidate]:[Error Bound (up) - Max. possible relative overstatement - Candidate 12]])</f>
        <v>2.0730596475798599E-3</v>
      </c>
      <c r="AC778" s="100">
        <f>IF(SamplingData[[#This Row],[Max Error Bound (up)]] = 0,0,SamplingData[[#This Row],[Max Error Bound (up)]]/SamplingData[[#Totals],[Max Error Bound (up)]])</f>
        <v>8.8838636730738201E-4</v>
      </c>
      <c r="AD778" s="104">
        <f>SUM($AC$5:AC778)</f>
        <v>0.26086254240025875</v>
      </c>
      <c r="AE778" s="100" t="str" cm="1">
        <f t="array" ref="AE778">IF(SamplingData[[#This Row],[up/U Selection Probability]] = 0, "Zero", TEXT(SamplingData[[#This Row],[Lower Range]], REPT("0",LEN('General Info'!$B$42))) &amp; " - " &amp; TEXT(SamplingData[[#This Row],[Upper Range]], REPT("0",LEN('General Info'!$B$42))))</f>
        <v>25997 - 26085</v>
      </c>
      <c r="AF778" s="100">
        <f>SamplingData[[#This Row],[Upper Range]]-SamplingData[[#This Row],[Span]]</f>
        <v>25997.415603295136</v>
      </c>
      <c r="AG778" s="100">
        <f>IF(ISNUMBER('General Info'!$B$42), ((SamplingData[[#This Row],[up/U Selection Probability]]) * 'General Info'!$B$44) - 1, 0)</f>
        <v>87.838636730738202</v>
      </c>
      <c r="AH778" s="100">
        <f>IF(ISNUMBER('General Info'!$B$42), (SamplingData[[#This Row],[Running (cumulative) sum]] * ('General Info'!$B$42 -'General Info'!$B$43 + 1)) + 'General Info'!$B$43 - 1, 0)</f>
        <v>26085.254240025875</v>
      </c>
      <c r="AI778" s="100" t="str">
        <f>IF(ISERROR(MATCH(SamplingData[[#This Row],[Batch by Type (p)]],SelectedPrecincts[Batch Name], 0)), "", INDEX(SelectedPrecincts[Draw], MATCH(SamplingData[[#This Row],[Batch by Type (p)]],SelectedPrecincts[Batch Name], 0)))</f>
        <v/>
      </c>
      <c r="AJ778" s="101">
        <f>IF(COUNTIF(SelectedPrecincts[Batch Name],SamplingData[[#This Row],[Batch by Type (p)]]) &lt;&gt; 0, COUNTIF(SelectedPrecincts[Batch Name],SamplingData[[#This Row],[Batch by Type (p)]]), 0)</f>
        <v>0</v>
      </c>
    </row>
    <row r="779" spans="1:36" ht="15" customHeight="1" x14ac:dyDescent="0.35">
      <c r="A779" s="98" t="s">
        <v>990</v>
      </c>
      <c r="B779" s="98">
        <v>8</v>
      </c>
      <c r="C779" s="98">
        <v>3</v>
      </c>
      <c r="D779" s="93"/>
      <c r="E779" s="93"/>
      <c r="F779" s="93"/>
      <c r="G779" s="97"/>
      <c r="H779" s="97"/>
      <c r="I779" s="93"/>
      <c r="J779" s="93"/>
      <c r="K779" s="93"/>
      <c r="L779" s="93"/>
      <c r="M779" s="93"/>
      <c r="N779" s="98">
        <v>0</v>
      </c>
      <c r="O779" s="98">
        <v>0</v>
      </c>
      <c r="P779" s="99">
        <f>SUM(SamplingData[[#This Row],[Winning Candidate]:[Under Votes]])</f>
        <v>11</v>
      </c>
      <c r="Q779"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779" s="100">
        <f>IF(AND(SamplingData[[#This Row],[Total]]&lt;&gt; 0, NOT(ISBLANK(SamplingData[[#This Row],[Candidate 3]]))),(SamplingData[[#This Row],[Total]]+SamplingData[[#This Row],[Winning Candidate]]-SamplingData[[#This Row],[Candidate 3]])/(SamplingData[[#Totals],[Winning Candidate]]-SamplingData[[#Totals],[Candidate 3]]), 0)</f>
        <v>0</v>
      </c>
      <c r="S779" s="100">
        <f>IF(AND(SamplingData[[#This Row],[Total]]&lt;&gt; 0, NOT(ISBLANK(SamplingData[[#This Row],[Candidate 4]]))),(SamplingData[[#This Row],[Total]]+SamplingData[[#This Row],[Winning Candidate]]-SamplingData[[#This Row],[Candidate 4]])/(SamplingData[[#Totals],[Winning Candidate]]-SamplingData[[#Totals],[Candidate 4]]), 0)</f>
        <v>0</v>
      </c>
      <c r="T779" s="100">
        <f>IF(AND(SamplingData[[#This Row],[Total]]&lt;&gt; 0, NOT(ISBLANK(SamplingData[[#This Row],[Candidate 5]]))),(SamplingData[[#This Row],[Total]]+SamplingData[[#This Row],[Winning Candidate]]-SamplingData[[#This Row],[Candidate 5]])/(SamplingData[[#Totals],[Winning Candidate]]-SamplingData[[#Totals],[Candidate 5]]), 0)</f>
        <v>0</v>
      </c>
      <c r="U779" s="100">
        <f>IF(AND(SamplingData[[#This Row],[Total]]&lt;&gt; 0, NOT(ISBLANK(SamplingData[[#This Row],[Candidate 6]]))),(SamplingData[[#This Row],[Total]]+SamplingData[[#This Row],[Losing Candidate]]-SamplingData[[#This Row],[Candidate 6]])/(SamplingData[[#Totals],[Winning Candidate]]-SamplingData[[#Totals],[Candidate 6]]), 0)</f>
        <v>0</v>
      </c>
      <c r="V779" s="100">
        <f>IF(AND(SamplingData[[#This Row],[Total]]&lt;&gt; 0, NOT(ISBLANK(SamplingData[[#This Row],[Candidate 7]]))),(SamplingData[[#This Row],[Total]]+SamplingData[[#This Row],[Winning Candidate]]-SamplingData[[#This Row],[Candidate 7]])/(SamplingData[[#Totals],[Winning Candidate]]-SamplingData[[#Totals],[Candidate 7]]), 0)</f>
        <v>0</v>
      </c>
      <c r="W779" s="100">
        <f>IF(AND(SamplingData[[#This Row],[Total]]&lt;&gt; 0, NOT(ISBLANK(SamplingData[[#This Row],[Candidate 8]]))),(SamplingData[[#This Row],[Total]]+SamplingData[[#This Row],[Winning Candidate]]-SamplingData[[#This Row],[Candidate 8]])/(SamplingData[[#Totals],[Winning Candidate]]-SamplingData[[#Totals],[Candidate 8]]), 0)</f>
        <v>0</v>
      </c>
      <c r="X7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00">
        <f>MAX(SamplingData[[#This Row],[Error Bound (up) - Max. possible relative overstatement - Losing Candidate]:[Error Bound (up) - Max. possible relative overstatement - Candidate 12]])</f>
        <v>5.0255991456481448E-4</v>
      </c>
      <c r="AC779" s="100">
        <f>IF(SamplingData[[#This Row],[Max Error Bound (up)]] = 0,0,SamplingData[[#This Row],[Max Error Bound (up)]]/SamplingData[[#Totals],[Max Error Bound (up)]])</f>
        <v>2.1536639207451683E-4</v>
      </c>
      <c r="AD779" s="104">
        <f>SUM($AC$5:AC779)</f>
        <v>0.26107790879233328</v>
      </c>
      <c r="AE779" s="100" t="str" cm="1">
        <f t="array" ref="AE779">IF(SamplingData[[#This Row],[up/U Selection Probability]] = 0, "Zero", TEXT(SamplingData[[#This Row],[Lower Range]], REPT("0",LEN('General Info'!$B$42))) &amp; " - " &amp; TEXT(SamplingData[[#This Row],[Upper Range]], REPT("0",LEN('General Info'!$B$42))))</f>
        <v>26086 - 26107</v>
      </c>
      <c r="AF779" s="100">
        <f>SamplingData[[#This Row],[Upper Range]]-SamplingData[[#This Row],[Span]]</f>
        <v>26086.254240025879</v>
      </c>
      <c r="AG779" s="100">
        <f>IF(ISNUMBER('General Info'!$B$42), ((SamplingData[[#This Row],[up/U Selection Probability]]) * 'General Info'!$B$44) - 1, 0)</f>
        <v>20.536639207451682</v>
      </c>
      <c r="AH779" s="100">
        <f>IF(ISNUMBER('General Info'!$B$42), (SamplingData[[#This Row],[Running (cumulative) sum]] * ('General Info'!$B$42 -'General Info'!$B$43 + 1)) + 'General Info'!$B$43 - 1, 0)</f>
        <v>26106.790879233329</v>
      </c>
      <c r="AI779" s="100" t="str">
        <f>IF(ISERROR(MATCH(SamplingData[[#This Row],[Batch by Type (p)]],SelectedPrecincts[Batch Name], 0)), "", INDEX(SelectedPrecincts[Draw], MATCH(SamplingData[[#This Row],[Batch by Type (p)]],SelectedPrecincts[Batch Name], 0)))</f>
        <v/>
      </c>
      <c r="AJ779" s="101">
        <f>IF(COUNTIF(SelectedPrecincts[Batch Name],SamplingData[[#This Row],[Batch by Type (p)]]) &lt;&gt; 0, COUNTIF(SelectedPrecincts[Batch Name],SamplingData[[#This Row],[Batch by Type (p)]]), 0)</f>
        <v>0</v>
      </c>
    </row>
    <row r="780" spans="1:36" ht="15" customHeight="1" x14ac:dyDescent="0.35">
      <c r="A780" s="98" t="s">
        <v>991</v>
      </c>
      <c r="B780" s="98">
        <v>12</v>
      </c>
      <c r="C780" s="98">
        <v>3</v>
      </c>
      <c r="D780" s="93"/>
      <c r="E780" s="93"/>
      <c r="F780" s="93"/>
      <c r="G780" s="97"/>
      <c r="H780" s="97"/>
      <c r="I780" s="93"/>
      <c r="J780" s="93"/>
      <c r="K780" s="93"/>
      <c r="L780" s="93"/>
      <c r="M780" s="93"/>
      <c r="N780" s="98">
        <v>0</v>
      </c>
      <c r="O780" s="98">
        <v>0</v>
      </c>
      <c r="P780" s="99">
        <f>SUM(SamplingData[[#This Row],[Winning Candidate]:[Under Votes]])</f>
        <v>15</v>
      </c>
      <c r="Q780" s="100">
        <f>IF(AND(SamplingData[[#This Row],[Total]]&lt;&gt; 0, NOT(ISBLANK(SamplingData[[#This Row],[Losing Candidate]]))),(SamplingData[[#This Row],[Total]]+SamplingData[[#This Row],[Winning Candidate]]-SamplingData[[#This Row],[Losing Candidate]])/(SamplingData[[#Totals],[Winning Candidate]]-SamplingData[[#Totals],[Losing Candidate]]), 0)</f>
        <v>7.5383987184722177E-4</v>
      </c>
      <c r="R780" s="100">
        <f>IF(AND(SamplingData[[#This Row],[Total]]&lt;&gt; 0, NOT(ISBLANK(SamplingData[[#This Row],[Candidate 3]]))),(SamplingData[[#This Row],[Total]]+SamplingData[[#This Row],[Winning Candidate]]-SamplingData[[#This Row],[Candidate 3]])/(SamplingData[[#Totals],[Winning Candidate]]-SamplingData[[#Totals],[Candidate 3]]), 0)</f>
        <v>0</v>
      </c>
      <c r="S780" s="100">
        <f>IF(AND(SamplingData[[#This Row],[Total]]&lt;&gt; 0, NOT(ISBLANK(SamplingData[[#This Row],[Candidate 4]]))),(SamplingData[[#This Row],[Total]]+SamplingData[[#This Row],[Winning Candidate]]-SamplingData[[#This Row],[Candidate 4]])/(SamplingData[[#Totals],[Winning Candidate]]-SamplingData[[#Totals],[Candidate 4]]), 0)</f>
        <v>0</v>
      </c>
      <c r="T780" s="100">
        <f>IF(AND(SamplingData[[#This Row],[Total]]&lt;&gt; 0, NOT(ISBLANK(SamplingData[[#This Row],[Candidate 5]]))),(SamplingData[[#This Row],[Total]]+SamplingData[[#This Row],[Winning Candidate]]-SamplingData[[#This Row],[Candidate 5]])/(SamplingData[[#Totals],[Winning Candidate]]-SamplingData[[#Totals],[Candidate 5]]), 0)</f>
        <v>0</v>
      </c>
      <c r="U780" s="100">
        <f>IF(AND(SamplingData[[#This Row],[Total]]&lt;&gt; 0, NOT(ISBLANK(SamplingData[[#This Row],[Candidate 6]]))),(SamplingData[[#This Row],[Total]]+SamplingData[[#This Row],[Losing Candidate]]-SamplingData[[#This Row],[Candidate 6]])/(SamplingData[[#Totals],[Winning Candidate]]-SamplingData[[#Totals],[Candidate 6]]), 0)</f>
        <v>0</v>
      </c>
      <c r="V780" s="100">
        <f>IF(AND(SamplingData[[#This Row],[Total]]&lt;&gt; 0, NOT(ISBLANK(SamplingData[[#This Row],[Candidate 7]]))),(SamplingData[[#This Row],[Total]]+SamplingData[[#This Row],[Winning Candidate]]-SamplingData[[#This Row],[Candidate 7]])/(SamplingData[[#Totals],[Winning Candidate]]-SamplingData[[#Totals],[Candidate 7]]), 0)</f>
        <v>0</v>
      </c>
      <c r="W780" s="100">
        <f>IF(AND(SamplingData[[#This Row],[Total]]&lt;&gt; 0, NOT(ISBLANK(SamplingData[[#This Row],[Candidate 8]]))),(SamplingData[[#This Row],[Total]]+SamplingData[[#This Row],[Winning Candidate]]-SamplingData[[#This Row],[Candidate 8]])/(SamplingData[[#Totals],[Winning Candidate]]-SamplingData[[#Totals],[Candidate 8]]), 0)</f>
        <v>0</v>
      </c>
      <c r="X7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00">
        <f>MAX(SamplingData[[#This Row],[Error Bound (up) - Max. possible relative overstatement - Losing Candidate]:[Error Bound (up) - Max. possible relative overstatement - Candidate 12]])</f>
        <v>7.5383987184722177E-4</v>
      </c>
      <c r="AC780" s="100">
        <f>IF(SamplingData[[#This Row],[Max Error Bound (up)]] = 0,0,SamplingData[[#This Row],[Max Error Bound (up)]]/SamplingData[[#Totals],[Max Error Bound (up)]])</f>
        <v>3.2304958811177527E-4</v>
      </c>
      <c r="AD780" s="104">
        <f>SUM($AC$5:AC780)</f>
        <v>0.26140095838044508</v>
      </c>
      <c r="AE780" s="100" t="str" cm="1">
        <f t="array" ref="AE780">IF(SamplingData[[#This Row],[up/U Selection Probability]] = 0, "Zero", TEXT(SamplingData[[#This Row],[Lower Range]], REPT("0",LEN('General Info'!$B$42))) &amp; " - " &amp; TEXT(SamplingData[[#This Row],[Upper Range]], REPT("0",LEN('General Info'!$B$42))))</f>
        <v>26108 - 26139</v>
      </c>
      <c r="AF780" s="100">
        <f>SamplingData[[#This Row],[Upper Range]]-SamplingData[[#This Row],[Span]]</f>
        <v>26107.790879233329</v>
      </c>
      <c r="AG780" s="100">
        <f>IF(ISNUMBER('General Info'!$B$42), ((SamplingData[[#This Row],[up/U Selection Probability]]) * 'General Info'!$B$44) - 1, 0)</f>
        <v>31.304958811177528</v>
      </c>
      <c r="AH780" s="100">
        <f>IF(ISNUMBER('General Info'!$B$42), (SamplingData[[#This Row],[Running (cumulative) sum]] * ('General Info'!$B$42 -'General Info'!$B$43 + 1)) + 'General Info'!$B$43 - 1, 0)</f>
        <v>26139.095838044508</v>
      </c>
      <c r="AI780" s="100" t="str">
        <f>IF(ISERROR(MATCH(SamplingData[[#This Row],[Batch by Type (p)]],SelectedPrecincts[Batch Name], 0)), "", INDEX(SelectedPrecincts[Draw], MATCH(SamplingData[[#This Row],[Batch by Type (p)]],SelectedPrecincts[Batch Name], 0)))</f>
        <v/>
      </c>
      <c r="AJ780" s="101">
        <f>IF(COUNTIF(SelectedPrecincts[Batch Name],SamplingData[[#This Row],[Batch by Type (p)]]) &lt;&gt; 0, COUNTIF(SelectedPrecincts[Batch Name],SamplingData[[#This Row],[Batch by Type (p)]]), 0)</f>
        <v>0</v>
      </c>
    </row>
    <row r="781" spans="1:36" ht="15" customHeight="1" x14ac:dyDescent="0.35">
      <c r="A781" s="98" t="s">
        <v>992</v>
      </c>
      <c r="B781" s="98">
        <v>22</v>
      </c>
      <c r="C781" s="98">
        <v>1</v>
      </c>
      <c r="D781" s="93"/>
      <c r="E781" s="93"/>
      <c r="F781" s="93"/>
      <c r="G781" s="97"/>
      <c r="H781" s="97"/>
      <c r="I781" s="93"/>
      <c r="J781" s="93"/>
      <c r="K781" s="93"/>
      <c r="L781" s="93"/>
      <c r="M781" s="93"/>
      <c r="N781" s="98">
        <v>0</v>
      </c>
      <c r="O781" s="98">
        <v>1</v>
      </c>
      <c r="P781" s="99">
        <f>SUM(SamplingData[[#This Row],[Winning Candidate]:[Under Votes]])</f>
        <v>24</v>
      </c>
      <c r="Q781" s="100">
        <f>IF(AND(SamplingData[[#This Row],[Total]]&lt;&gt; 0, NOT(ISBLANK(SamplingData[[#This Row],[Losing Candidate]]))),(SamplingData[[#This Row],[Total]]+SamplingData[[#This Row],[Winning Candidate]]-SamplingData[[#This Row],[Losing Candidate]])/(SamplingData[[#Totals],[Winning Candidate]]-SamplingData[[#Totals],[Losing Candidate]]), 0)</f>
        <v>1.4134497597135408E-3</v>
      </c>
      <c r="R781" s="100">
        <f>IF(AND(SamplingData[[#This Row],[Total]]&lt;&gt; 0, NOT(ISBLANK(SamplingData[[#This Row],[Candidate 3]]))),(SamplingData[[#This Row],[Total]]+SamplingData[[#This Row],[Winning Candidate]]-SamplingData[[#This Row],[Candidate 3]])/(SamplingData[[#Totals],[Winning Candidate]]-SamplingData[[#Totals],[Candidate 3]]), 0)</f>
        <v>0</v>
      </c>
      <c r="S781" s="100">
        <f>IF(AND(SamplingData[[#This Row],[Total]]&lt;&gt; 0, NOT(ISBLANK(SamplingData[[#This Row],[Candidate 4]]))),(SamplingData[[#This Row],[Total]]+SamplingData[[#This Row],[Winning Candidate]]-SamplingData[[#This Row],[Candidate 4]])/(SamplingData[[#Totals],[Winning Candidate]]-SamplingData[[#Totals],[Candidate 4]]), 0)</f>
        <v>0</v>
      </c>
      <c r="T781" s="100">
        <f>IF(AND(SamplingData[[#This Row],[Total]]&lt;&gt; 0, NOT(ISBLANK(SamplingData[[#This Row],[Candidate 5]]))),(SamplingData[[#This Row],[Total]]+SamplingData[[#This Row],[Winning Candidate]]-SamplingData[[#This Row],[Candidate 5]])/(SamplingData[[#Totals],[Winning Candidate]]-SamplingData[[#Totals],[Candidate 5]]), 0)</f>
        <v>0</v>
      </c>
      <c r="U781" s="100">
        <f>IF(AND(SamplingData[[#This Row],[Total]]&lt;&gt; 0, NOT(ISBLANK(SamplingData[[#This Row],[Candidate 6]]))),(SamplingData[[#This Row],[Total]]+SamplingData[[#This Row],[Losing Candidate]]-SamplingData[[#This Row],[Candidate 6]])/(SamplingData[[#Totals],[Winning Candidate]]-SamplingData[[#Totals],[Candidate 6]]), 0)</f>
        <v>0</v>
      </c>
      <c r="V781" s="100">
        <f>IF(AND(SamplingData[[#This Row],[Total]]&lt;&gt; 0, NOT(ISBLANK(SamplingData[[#This Row],[Candidate 7]]))),(SamplingData[[#This Row],[Total]]+SamplingData[[#This Row],[Winning Candidate]]-SamplingData[[#This Row],[Candidate 7]])/(SamplingData[[#Totals],[Winning Candidate]]-SamplingData[[#Totals],[Candidate 7]]), 0)</f>
        <v>0</v>
      </c>
      <c r="W781" s="100">
        <f>IF(AND(SamplingData[[#This Row],[Total]]&lt;&gt; 0, NOT(ISBLANK(SamplingData[[#This Row],[Candidate 8]]))),(SamplingData[[#This Row],[Total]]+SamplingData[[#This Row],[Winning Candidate]]-SamplingData[[#This Row],[Candidate 8]])/(SamplingData[[#Totals],[Winning Candidate]]-SamplingData[[#Totals],[Candidate 8]]), 0)</f>
        <v>0</v>
      </c>
      <c r="X7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00">
        <f>MAX(SamplingData[[#This Row],[Error Bound (up) - Max. possible relative overstatement - Losing Candidate]:[Error Bound (up) - Max. possible relative overstatement - Candidate 12]])</f>
        <v>1.4134497597135408E-3</v>
      </c>
      <c r="AC781" s="100">
        <f>IF(SamplingData[[#This Row],[Max Error Bound (up)]] = 0,0,SamplingData[[#This Row],[Max Error Bound (up)]]/SamplingData[[#Totals],[Max Error Bound (up)]])</f>
        <v>6.0571797770957864E-4</v>
      </c>
      <c r="AD781" s="104">
        <f>SUM($AC$5:AC781)</f>
        <v>0.26200667635815467</v>
      </c>
      <c r="AE781" s="100" t="str" cm="1">
        <f t="array" ref="AE781">IF(SamplingData[[#This Row],[up/U Selection Probability]] = 0, "Zero", TEXT(SamplingData[[#This Row],[Lower Range]], REPT("0",LEN('General Info'!$B$42))) &amp; " - " &amp; TEXT(SamplingData[[#This Row],[Upper Range]], REPT("0",LEN('General Info'!$B$42))))</f>
        <v>26140 - 26200</v>
      </c>
      <c r="AF781" s="100">
        <f>SamplingData[[#This Row],[Upper Range]]-SamplingData[[#This Row],[Span]]</f>
        <v>26140.095838044508</v>
      </c>
      <c r="AG781" s="100">
        <f>IF(ISNUMBER('General Info'!$B$42), ((SamplingData[[#This Row],[up/U Selection Probability]]) * 'General Info'!$B$44) - 1, 0)</f>
        <v>59.571797770957865</v>
      </c>
      <c r="AH781" s="100">
        <f>IF(ISNUMBER('General Info'!$B$42), (SamplingData[[#This Row],[Running (cumulative) sum]] * ('General Info'!$B$42 -'General Info'!$B$43 + 1)) + 'General Info'!$B$43 - 1, 0)</f>
        <v>26199.667635815465</v>
      </c>
      <c r="AI781" s="100" t="str">
        <f>IF(ISERROR(MATCH(SamplingData[[#This Row],[Batch by Type (p)]],SelectedPrecincts[Batch Name], 0)), "", INDEX(SelectedPrecincts[Draw], MATCH(SamplingData[[#This Row],[Batch by Type (p)]],SelectedPrecincts[Batch Name], 0)))</f>
        <v/>
      </c>
      <c r="AJ781" s="101">
        <f>IF(COUNTIF(SelectedPrecincts[Batch Name],SamplingData[[#This Row],[Batch by Type (p)]]) &lt;&gt; 0, COUNTIF(SelectedPrecincts[Batch Name],SamplingData[[#This Row],[Batch by Type (p)]]), 0)</f>
        <v>0</v>
      </c>
    </row>
    <row r="782" spans="1:36" ht="15" customHeight="1" x14ac:dyDescent="0.35">
      <c r="A782" s="98" t="s">
        <v>993</v>
      </c>
      <c r="B782" s="98">
        <v>15</v>
      </c>
      <c r="C782" s="98">
        <v>0</v>
      </c>
      <c r="D782" s="93"/>
      <c r="E782" s="93"/>
      <c r="F782" s="93"/>
      <c r="G782" s="97"/>
      <c r="H782" s="97"/>
      <c r="I782" s="93"/>
      <c r="J782" s="93"/>
      <c r="K782" s="93"/>
      <c r="L782" s="93"/>
      <c r="M782" s="93"/>
      <c r="N782" s="98">
        <v>0</v>
      </c>
      <c r="O782" s="98">
        <v>0</v>
      </c>
      <c r="P782" s="99">
        <f>SUM(SamplingData[[#This Row],[Winning Candidate]:[Under Votes]])</f>
        <v>15</v>
      </c>
      <c r="Q782" s="100">
        <f>IF(AND(SamplingData[[#This Row],[Total]]&lt;&gt; 0, NOT(ISBLANK(SamplingData[[#This Row],[Losing Candidate]]))),(SamplingData[[#This Row],[Total]]+SamplingData[[#This Row],[Winning Candidate]]-SamplingData[[#This Row],[Losing Candidate]])/(SamplingData[[#Totals],[Winning Candidate]]-SamplingData[[#Totals],[Losing Candidate]]), 0)</f>
        <v>9.4229983980902718E-4</v>
      </c>
      <c r="R782" s="100">
        <f>IF(AND(SamplingData[[#This Row],[Total]]&lt;&gt; 0, NOT(ISBLANK(SamplingData[[#This Row],[Candidate 3]]))),(SamplingData[[#This Row],[Total]]+SamplingData[[#This Row],[Winning Candidate]]-SamplingData[[#This Row],[Candidate 3]])/(SamplingData[[#Totals],[Winning Candidate]]-SamplingData[[#Totals],[Candidate 3]]), 0)</f>
        <v>0</v>
      </c>
      <c r="S782" s="100">
        <f>IF(AND(SamplingData[[#This Row],[Total]]&lt;&gt; 0, NOT(ISBLANK(SamplingData[[#This Row],[Candidate 4]]))),(SamplingData[[#This Row],[Total]]+SamplingData[[#This Row],[Winning Candidate]]-SamplingData[[#This Row],[Candidate 4]])/(SamplingData[[#Totals],[Winning Candidate]]-SamplingData[[#Totals],[Candidate 4]]), 0)</f>
        <v>0</v>
      </c>
      <c r="T782" s="100">
        <f>IF(AND(SamplingData[[#This Row],[Total]]&lt;&gt; 0, NOT(ISBLANK(SamplingData[[#This Row],[Candidate 5]]))),(SamplingData[[#This Row],[Total]]+SamplingData[[#This Row],[Winning Candidate]]-SamplingData[[#This Row],[Candidate 5]])/(SamplingData[[#Totals],[Winning Candidate]]-SamplingData[[#Totals],[Candidate 5]]), 0)</f>
        <v>0</v>
      </c>
      <c r="U782" s="100">
        <f>IF(AND(SamplingData[[#This Row],[Total]]&lt;&gt; 0, NOT(ISBLANK(SamplingData[[#This Row],[Candidate 6]]))),(SamplingData[[#This Row],[Total]]+SamplingData[[#This Row],[Losing Candidate]]-SamplingData[[#This Row],[Candidate 6]])/(SamplingData[[#Totals],[Winning Candidate]]-SamplingData[[#Totals],[Candidate 6]]), 0)</f>
        <v>0</v>
      </c>
      <c r="V782" s="100">
        <f>IF(AND(SamplingData[[#This Row],[Total]]&lt;&gt; 0, NOT(ISBLANK(SamplingData[[#This Row],[Candidate 7]]))),(SamplingData[[#This Row],[Total]]+SamplingData[[#This Row],[Winning Candidate]]-SamplingData[[#This Row],[Candidate 7]])/(SamplingData[[#Totals],[Winning Candidate]]-SamplingData[[#Totals],[Candidate 7]]), 0)</f>
        <v>0</v>
      </c>
      <c r="W782" s="100">
        <f>IF(AND(SamplingData[[#This Row],[Total]]&lt;&gt; 0, NOT(ISBLANK(SamplingData[[#This Row],[Candidate 8]]))),(SamplingData[[#This Row],[Total]]+SamplingData[[#This Row],[Winning Candidate]]-SamplingData[[#This Row],[Candidate 8]])/(SamplingData[[#Totals],[Winning Candidate]]-SamplingData[[#Totals],[Candidate 8]]), 0)</f>
        <v>0</v>
      </c>
      <c r="X7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00">
        <f>MAX(SamplingData[[#This Row],[Error Bound (up) - Max. possible relative overstatement - Losing Candidate]:[Error Bound (up) - Max. possible relative overstatement - Candidate 12]])</f>
        <v>9.4229983980902718E-4</v>
      </c>
      <c r="AC782" s="100">
        <f>IF(SamplingData[[#This Row],[Max Error Bound (up)]] = 0,0,SamplingData[[#This Row],[Max Error Bound (up)]]/SamplingData[[#Totals],[Max Error Bound (up)]])</f>
        <v>4.0381198513971905E-4</v>
      </c>
      <c r="AD782" s="104">
        <f>SUM($AC$5:AC782)</f>
        <v>0.26241048834329439</v>
      </c>
      <c r="AE782" s="100" t="str" cm="1">
        <f t="array" ref="AE782">IF(SamplingData[[#This Row],[up/U Selection Probability]] = 0, "Zero", TEXT(SamplingData[[#This Row],[Lower Range]], REPT("0",LEN('General Info'!$B$42))) &amp; " - " &amp; TEXT(SamplingData[[#This Row],[Upper Range]], REPT("0",LEN('General Info'!$B$42))))</f>
        <v>26201 - 26240</v>
      </c>
      <c r="AF782" s="100">
        <f>SamplingData[[#This Row],[Upper Range]]-SamplingData[[#This Row],[Span]]</f>
        <v>26200.667635815465</v>
      </c>
      <c r="AG782" s="100">
        <f>IF(ISNUMBER('General Info'!$B$42), ((SamplingData[[#This Row],[up/U Selection Probability]]) * 'General Info'!$B$44) - 1, 0)</f>
        <v>39.381198513971903</v>
      </c>
      <c r="AH782" s="100">
        <f>IF(ISNUMBER('General Info'!$B$42), (SamplingData[[#This Row],[Running (cumulative) sum]] * ('General Info'!$B$42 -'General Info'!$B$43 + 1)) + 'General Info'!$B$43 - 1, 0)</f>
        <v>26240.048834329438</v>
      </c>
      <c r="AI782" s="100" t="str">
        <f>IF(ISERROR(MATCH(SamplingData[[#This Row],[Batch by Type (p)]],SelectedPrecincts[Batch Name], 0)), "", INDEX(SelectedPrecincts[Draw], MATCH(SamplingData[[#This Row],[Batch by Type (p)]],SelectedPrecincts[Batch Name], 0)))</f>
        <v/>
      </c>
      <c r="AJ782" s="101">
        <f>IF(COUNTIF(SelectedPrecincts[Batch Name],SamplingData[[#This Row],[Batch by Type (p)]]) &lt;&gt; 0, COUNTIF(SelectedPrecincts[Batch Name],SamplingData[[#This Row],[Batch by Type (p)]]), 0)</f>
        <v>0</v>
      </c>
    </row>
    <row r="783" spans="1:36" ht="15" customHeight="1" x14ac:dyDescent="0.35">
      <c r="A783" s="98" t="s">
        <v>994</v>
      </c>
      <c r="B783" s="98">
        <v>7</v>
      </c>
      <c r="C783" s="98">
        <v>4</v>
      </c>
      <c r="D783" s="93"/>
      <c r="E783" s="93"/>
      <c r="F783" s="93"/>
      <c r="G783" s="97"/>
      <c r="H783" s="97"/>
      <c r="I783" s="93"/>
      <c r="J783" s="93"/>
      <c r="K783" s="93"/>
      <c r="L783" s="93"/>
      <c r="M783" s="93"/>
      <c r="N783" s="98">
        <v>0</v>
      </c>
      <c r="O783" s="98">
        <v>0</v>
      </c>
      <c r="P783" s="99">
        <f>SUM(SamplingData[[#This Row],[Winning Candidate]:[Under Votes]])</f>
        <v>11</v>
      </c>
      <c r="Q783" s="100">
        <f>IF(AND(SamplingData[[#This Row],[Total]]&lt;&gt; 0, NOT(ISBLANK(SamplingData[[#This Row],[Losing Candidate]]))),(SamplingData[[#This Row],[Total]]+SamplingData[[#This Row],[Winning Candidate]]-SamplingData[[#This Row],[Losing Candidate]])/(SamplingData[[#Totals],[Winning Candidate]]-SamplingData[[#Totals],[Losing Candidate]]), 0)</f>
        <v>4.3973992524421271E-4</v>
      </c>
      <c r="R783" s="100">
        <f>IF(AND(SamplingData[[#This Row],[Total]]&lt;&gt; 0, NOT(ISBLANK(SamplingData[[#This Row],[Candidate 3]]))),(SamplingData[[#This Row],[Total]]+SamplingData[[#This Row],[Winning Candidate]]-SamplingData[[#This Row],[Candidate 3]])/(SamplingData[[#Totals],[Winning Candidate]]-SamplingData[[#Totals],[Candidate 3]]), 0)</f>
        <v>0</v>
      </c>
      <c r="S783" s="100">
        <f>IF(AND(SamplingData[[#This Row],[Total]]&lt;&gt; 0, NOT(ISBLANK(SamplingData[[#This Row],[Candidate 4]]))),(SamplingData[[#This Row],[Total]]+SamplingData[[#This Row],[Winning Candidate]]-SamplingData[[#This Row],[Candidate 4]])/(SamplingData[[#Totals],[Winning Candidate]]-SamplingData[[#Totals],[Candidate 4]]), 0)</f>
        <v>0</v>
      </c>
      <c r="T783" s="100">
        <f>IF(AND(SamplingData[[#This Row],[Total]]&lt;&gt; 0, NOT(ISBLANK(SamplingData[[#This Row],[Candidate 5]]))),(SamplingData[[#This Row],[Total]]+SamplingData[[#This Row],[Winning Candidate]]-SamplingData[[#This Row],[Candidate 5]])/(SamplingData[[#Totals],[Winning Candidate]]-SamplingData[[#Totals],[Candidate 5]]), 0)</f>
        <v>0</v>
      </c>
      <c r="U783" s="100">
        <f>IF(AND(SamplingData[[#This Row],[Total]]&lt;&gt; 0, NOT(ISBLANK(SamplingData[[#This Row],[Candidate 6]]))),(SamplingData[[#This Row],[Total]]+SamplingData[[#This Row],[Losing Candidate]]-SamplingData[[#This Row],[Candidate 6]])/(SamplingData[[#Totals],[Winning Candidate]]-SamplingData[[#Totals],[Candidate 6]]), 0)</f>
        <v>0</v>
      </c>
      <c r="V783" s="100">
        <f>IF(AND(SamplingData[[#This Row],[Total]]&lt;&gt; 0, NOT(ISBLANK(SamplingData[[#This Row],[Candidate 7]]))),(SamplingData[[#This Row],[Total]]+SamplingData[[#This Row],[Winning Candidate]]-SamplingData[[#This Row],[Candidate 7]])/(SamplingData[[#Totals],[Winning Candidate]]-SamplingData[[#Totals],[Candidate 7]]), 0)</f>
        <v>0</v>
      </c>
      <c r="W783" s="100">
        <f>IF(AND(SamplingData[[#This Row],[Total]]&lt;&gt; 0, NOT(ISBLANK(SamplingData[[#This Row],[Candidate 8]]))),(SamplingData[[#This Row],[Total]]+SamplingData[[#This Row],[Winning Candidate]]-SamplingData[[#This Row],[Candidate 8]])/(SamplingData[[#Totals],[Winning Candidate]]-SamplingData[[#Totals],[Candidate 8]]), 0)</f>
        <v>0</v>
      </c>
      <c r="X7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00">
        <f>MAX(SamplingData[[#This Row],[Error Bound (up) - Max. possible relative overstatement - Losing Candidate]:[Error Bound (up) - Max. possible relative overstatement - Candidate 12]])</f>
        <v>4.3973992524421271E-4</v>
      </c>
      <c r="AC783" s="100">
        <f>IF(SamplingData[[#This Row],[Max Error Bound (up)]] = 0,0,SamplingData[[#This Row],[Max Error Bound (up)]]/SamplingData[[#Totals],[Max Error Bound (up)]])</f>
        <v>1.8844559306520223E-4</v>
      </c>
      <c r="AD783" s="104">
        <f>SUM($AC$5:AC783)</f>
        <v>0.26259893393635958</v>
      </c>
      <c r="AE783" s="100" t="str" cm="1">
        <f t="array" ref="AE783">IF(SamplingData[[#This Row],[up/U Selection Probability]] = 0, "Zero", TEXT(SamplingData[[#This Row],[Lower Range]], REPT("0",LEN('General Info'!$B$42))) &amp; " - " &amp; TEXT(SamplingData[[#This Row],[Upper Range]], REPT("0",LEN('General Info'!$B$42))))</f>
        <v>26241 - 26259</v>
      </c>
      <c r="AF783" s="100">
        <f>SamplingData[[#This Row],[Upper Range]]-SamplingData[[#This Row],[Span]]</f>
        <v>26241.048834329438</v>
      </c>
      <c r="AG783" s="100">
        <f>IF(ISNUMBER('General Info'!$B$42), ((SamplingData[[#This Row],[up/U Selection Probability]]) * 'General Info'!$B$44) - 1, 0)</f>
        <v>17.844559306520225</v>
      </c>
      <c r="AH783" s="100">
        <f>IF(ISNUMBER('General Info'!$B$42), (SamplingData[[#This Row],[Running (cumulative) sum]] * ('General Info'!$B$42 -'General Info'!$B$43 + 1)) + 'General Info'!$B$43 - 1, 0)</f>
        <v>26258.893393635957</v>
      </c>
      <c r="AI783" s="100" t="str">
        <f>IF(ISERROR(MATCH(SamplingData[[#This Row],[Batch by Type (p)]],SelectedPrecincts[Batch Name], 0)), "", INDEX(SelectedPrecincts[Draw], MATCH(SamplingData[[#This Row],[Batch by Type (p)]],SelectedPrecincts[Batch Name], 0)))</f>
        <v/>
      </c>
      <c r="AJ783" s="101">
        <f>IF(COUNTIF(SelectedPrecincts[Batch Name],SamplingData[[#This Row],[Batch by Type (p)]]) &lt;&gt; 0, COUNTIF(SelectedPrecincts[Batch Name],SamplingData[[#This Row],[Batch by Type (p)]]), 0)</f>
        <v>0</v>
      </c>
    </row>
    <row r="784" spans="1:36" ht="15" customHeight="1" x14ac:dyDescent="0.35">
      <c r="A784" s="98" t="s">
        <v>995</v>
      </c>
      <c r="B784" s="98">
        <v>9</v>
      </c>
      <c r="C784" s="98">
        <v>4</v>
      </c>
      <c r="D784" s="93"/>
      <c r="E784" s="93"/>
      <c r="F784" s="93"/>
      <c r="G784" s="97"/>
      <c r="H784" s="97"/>
      <c r="I784" s="93"/>
      <c r="J784" s="93"/>
      <c r="K784" s="93"/>
      <c r="L784" s="93"/>
      <c r="M784" s="93"/>
      <c r="N784" s="98">
        <v>0</v>
      </c>
      <c r="O784" s="98">
        <v>0</v>
      </c>
      <c r="P784" s="99">
        <f>SUM(SamplingData[[#This Row],[Winning Candidate]:[Under Votes]])</f>
        <v>13</v>
      </c>
      <c r="Q784"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784" s="100">
        <f>IF(AND(SamplingData[[#This Row],[Total]]&lt;&gt; 0, NOT(ISBLANK(SamplingData[[#This Row],[Candidate 3]]))),(SamplingData[[#This Row],[Total]]+SamplingData[[#This Row],[Winning Candidate]]-SamplingData[[#This Row],[Candidate 3]])/(SamplingData[[#Totals],[Winning Candidate]]-SamplingData[[#Totals],[Candidate 3]]), 0)</f>
        <v>0</v>
      </c>
      <c r="S784" s="100">
        <f>IF(AND(SamplingData[[#This Row],[Total]]&lt;&gt; 0, NOT(ISBLANK(SamplingData[[#This Row],[Candidate 4]]))),(SamplingData[[#This Row],[Total]]+SamplingData[[#This Row],[Winning Candidate]]-SamplingData[[#This Row],[Candidate 4]])/(SamplingData[[#Totals],[Winning Candidate]]-SamplingData[[#Totals],[Candidate 4]]), 0)</f>
        <v>0</v>
      </c>
      <c r="T784" s="100">
        <f>IF(AND(SamplingData[[#This Row],[Total]]&lt;&gt; 0, NOT(ISBLANK(SamplingData[[#This Row],[Candidate 5]]))),(SamplingData[[#This Row],[Total]]+SamplingData[[#This Row],[Winning Candidate]]-SamplingData[[#This Row],[Candidate 5]])/(SamplingData[[#Totals],[Winning Candidate]]-SamplingData[[#Totals],[Candidate 5]]), 0)</f>
        <v>0</v>
      </c>
      <c r="U784" s="100">
        <f>IF(AND(SamplingData[[#This Row],[Total]]&lt;&gt; 0, NOT(ISBLANK(SamplingData[[#This Row],[Candidate 6]]))),(SamplingData[[#This Row],[Total]]+SamplingData[[#This Row],[Losing Candidate]]-SamplingData[[#This Row],[Candidate 6]])/(SamplingData[[#Totals],[Winning Candidate]]-SamplingData[[#Totals],[Candidate 6]]), 0)</f>
        <v>0</v>
      </c>
      <c r="V784" s="100">
        <f>IF(AND(SamplingData[[#This Row],[Total]]&lt;&gt; 0, NOT(ISBLANK(SamplingData[[#This Row],[Candidate 7]]))),(SamplingData[[#This Row],[Total]]+SamplingData[[#This Row],[Winning Candidate]]-SamplingData[[#This Row],[Candidate 7]])/(SamplingData[[#Totals],[Winning Candidate]]-SamplingData[[#Totals],[Candidate 7]]), 0)</f>
        <v>0</v>
      </c>
      <c r="W784" s="100">
        <f>IF(AND(SamplingData[[#This Row],[Total]]&lt;&gt; 0, NOT(ISBLANK(SamplingData[[#This Row],[Candidate 8]]))),(SamplingData[[#This Row],[Total]]+SamplingData[[#This Row],[Winning Candidate]]-SamplingData[[#This Row],[Candidate 8]])/(SamplingData[[#Totals],[Winning Candidate]]-SamplingData[[#Totals],[Candidate 8]]), 0)</f>
        <v>0</v>
      </c>
      <c r="X7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00">
        <f>MAX(SamplingData[[#This Row],[Error Bound (up) - Max. possible relative overstatement - Losing Candidate]:[Error Bound (up) - Max. possible relative overstatement - Candidate 12]])</f>
        <v>5.6537990388541635E-4</v>
      </c>
      <c r="AC784" s="100">
        <f>IF(SamplingData[[#This Row],[Max Error Bound (up)]] = 0,0,SamplingData[[#This Row],[Max Error Bound (up)]]/SamplingData[[#Totals],[Max Error Bound (up)]])</f>
        <v>2.4228719108383145E-4</v>
      </c>
      <c r="AD784" s="104">
        <f>SUM($AC$5:AC784)</f>
        <v>0.2628412211274434</v>
      </c>
      <c r="AE784" s="100" t="str" cm="1">
        <f t="array" ref="AE784">IF(SamplingData[[#This Row],[up/U Selection Probability]] = 0, "Zero", TEXT(SamplingData[[#This Row],[Lower Range]], REPT("0",LEN('General Info'!$B$42))) &amp; " - " &amp; TEXT(SamplingData[[#This Row],[Upper Range]], REPT("0",LEN('General Info'!$B$42))))</f>
        <v>26260 - 26283</v>
      </c>
      <c r="AF784" s="100">
        <f>SamplingData[[#This Row],[Upper Range]]-SamplingData[[#This Row],[Span]]</f>
        <v>26259.893393635957</v>
      </c>
      <c r="AG784" s="100">
        <f>IF(ISNUMBER('General Info'!$B$42), ((SamplingData[[#This Row],[up/U Selection Probability]]) * 'General Info'!$B$44) - 1, 0)</f>
        <v>23.228719108383146</v>
      </c>
      <c r="AH784" s="100">
        <f>IF(ISNUMBER('General Info'!$B$42), (SamplingData[[#This Row],[Running (cumulative) sum]] * ('General Info'!$B$42 -'General Info'!$B$43 + 1)) + 'General Info'!$B$43 - 1, 0)</f>
        <v>26283.122112744339</v>
      </c>
      <c r="AI784" s="100" t="str">
        <f>IF(ISERROR(MATCH(SamplingData[[#This Row],[Batch by Type (p)]],SelectedPrecincts[Batch Name], 0)), "", INDEX(SelectedPrecincts[Draw], MATCH(SamplingData[[#This Row],[Batch by Type (p)]],SelectedPrecincts[Batch Name], 0)))</f>
        <v/>
      </c>
      <c r="AJ784" s="101">
        <f>IF(COUNTIF(SelectedPrecincts[Batch Name],SamplingData[[#This Row],[Batch by Type (p)]]) &lt;&gt; 0, COUNTIF(SelectedPrecincts[Batch Name],SamplingData[[#This Row],[Batch by Type (p)]]), 0)</f>
        <v>0</v>
      </c>
    </row>
    <row r="785" spans="1:36" ht="15" customHeight="1" x14ac:dyDescent="0.35">
      <c r="A785" s="98" t="s">
        <v>996</v>
      </c>
      <c r="B785" s="98">
        <v>29</v>
      </c>
      <c r="C785" s="98">
        <v>7</v>
      </c>
      <c r="D785" s="93"/>
      <c r="E785" s="93"/>
      <c r="F785" s="93"/>
      <c r="G785" s="97"/>
      <c r="H785" s="97"/>
      <c r="I785" s="93"/>
      <c r="J785" s="93"/>
      <c r="K785" s="93"/>
      <c r="L785" s="93"/>
      <c r="M785" s="93"/>
      <c r="N785" s="98">
        <v>0</v>
      </c>
      <c r="O785" s="98">
        <v>0</v>
      </c>
      <c r="P785" s="99">
        <f>SUM(SamplingData[[#This Row],[Winning Candidate]:[Under Votes]])</f>
        <v>36</v>
      </c>
      <c r="Q785"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785" s="100">
        <f>IF(AND(SamplingData[[#This Row],[Total]]&lt;&gt; 0, NOT(ISBLANK(SamplingData[[#This Row],[Candidate 3]]))),(SamplingData[[#This Row],[Total]]+SamplingData[[#This Row],[Winning Candidate]]-SamplingData[[#This Row],[Candidate 3]])/(SamplingData[[#Totals],[Winning Candidate]]-SamplingData[[#Totals],[Candidate 3]]), 0)</f>
        <v>0</v>
      </c>
      <c r="S785" s="100">
        <f>IF(AND(SamplingData[[#This Row],[Total]]&lt;&gt; 0, NOT(ISBLANK(SamplingData[[#This Row],[Candidate 4]]))),(SamplingData[[#This Row],[Total]]+SamplingData[[#This Row],[Winning Candidate]]-SamplingData[[#This Row],[Candidate 4]])/(SamplingData[[#Totals],[Winning Candidate]]-SamplingData[[#Totals],[Candidate 4]]), 0)</f>
        <v>0</v>
      </c>
      <c r="T785" s="100">
        <f>IF(AND(SamplingData[[#This Row],[Total]]&lt;&gt; 0, NOT(ISBLANK(SamplingData[[#This Row],[Candidate 5]]))),(SamplingData[[#This Row],[Total]]+SamplingData[[#This Row],[Winning Candidate]]-SamplingData[[#This Row],[Candidate 5]])/(SamplingData[[#Totals],[Winning Candidate]]-SamplingData[[#Totals],[Candidate 5]]), 0)</f>
        <v>0</v>
      </c>
      <c r="U785" s="100">
        <f>IF(AND(SamplingData[[#This Row],[Total]]&lt;&gt; 0, NOT(ISBLANK(SamplingData[[#This Row],[Candidate 6]]))),(SamplingData[[#This Row],[Total]]+SamplingData[[#This Row],[Losing Candidate]]-SamplingData[[#This Row],[Candidate 6]])/(SamplingData[[#Totals],[Winning Candidate]]-SamplingData[[#Totals],[Candidate 6]]), 0)</f>
        <v>0</v>
      </c>
      <c r="V785" s="100">
        <f>IF(AND(SamplingData[[#This Row],[Total]]&lt;&gt; 0, NOT(ISBLANK(SamplingData[[#This Row],[Candidate 7]]))),(SamplingData[[#This Row],[Total]]+SamplingData[[#This Row],[Winning Candidate]]-SamplingData[[#This Row],[Candidate 7]])/(SamplingData[[#Totals],[Winning Candidate]]-SamplingData[[#Totals],[Candidate 7]]), 0)</f>
        <v>0</v>
      </c>
      <c r="W785" s="100">
        <f>IF(AND(SamplingData[[#This Row],[Total]]&lt;&gt; 0, NOT(ISBLANK(SamplingData[[#This Row],[Candidate 8]]))),(SamplingData[[#This Row],[Total]]+SamplingData[[#This Row],[Winning Candidate]]-SamplingData[[#This Row],[Candidate 8]])/(SamplingData[[#Totals],[Winning Candidate]]-SamplingData[[#Totals],[Candidate 8]]), 0)</f>
        <v>0</v>
      </c>
      <c r="X7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00">
        <f>MAX(SamplingData[[#This Row],[Error Bound (up) - Max. possible relative overstatement - Losing Candidate]:[Error Bound (up) - Max. possible relative overstatement - Candidate 12]])</f>
        <v>1.8217796902974526E-3</v>
      </c>
      <c r="AC785" s="100">
        <f>IF(SamplingData[[#This Row],[Max Error Bound (up)]] = 0,0,SamplingData[[#This Row],[Max Error Bound (up)]]/SamplingData[[#Totals],[Max Error Bound (up)]])</f>
        <v>7.8070317127012351E-4</v>
      </c>
      <c r="AD785" s="104">
        <f>SUM($AC$5:AC785)</f>
        <v>0.26362192429871351</v>
      </c>
      <c r="AE785" s="100" t="str" cm="1">
        <f t="array" ref="AE785">IF(SamplingData[[#This Row],[up/U Selection Probability]] = 0, "Zero", TEXT(SamplingData[[#This Row],[Lower Range]], REPT("0",LEN('General Info'!$B$42))) &amp; " - " &amp; TEXT(SamplingData[[#This Row],[Upper Range]], REPT("0",LEN('General Info'!$B$42))))</f>
        <v>26284 - 26361</v>
      </c>
      <c r="AF785" s="100">
        <f>SamplingData[[#This Row],[Upper Range]]-SamplingData[[#This Row],[Span]]</f>
        <v>26284.122112744339</v>
      </c>
      <c r="AG785" s="100">
        <f>IF(ISNUMBER('General Info'!$B$42), ((SamplingData[[#This Row],[up/U Selection Probability]]) * 'General Info'!$B$44) - 1, 0)</f>
        <v>77.070317127012345</v>
      </c>
      <c r="AH785" s="100">
        <f>IF(ISNUMBER('General Info'!$B$42), (SamplingData[[#This Row],[Running (cumulative) sum]] * ('General Info'!$B$42 -'General Info'!$B$43 + 1)) + 'General Info'!$B$43 - 1, 0)</f>
        <v>26361.192429871349</v>
      </c>
      <c r="AI785" s="100" t="str">
        <f>IF(ISERROR(MATCH(SamplingData[[#This Row],[Batch by Type (p)]],SelectedPrecincts[Batch Name], 0)), "", INDEX(SelectedPrecincts[Draw], MATCH(SamplingData[[#This Row],[Batch by Type (p)]],SelectedPrecincts[Batch Name], 0)))</f>
        <v/>
      </c>
      <c r="AJ785" s="101">
        <f>IF(COUNTIF(SelectedPrecincts[Batch Name],SamplingData[[#This Row],[Batch by Type (p)]]) &lt;&gt; 0, COUNTIF(SelectedPrecincts[Batch Name],SamplingData[[#This Row],[Batch by Type (p)]]), 0)</f>
        <v>0</v>
      </c>
    </row>
    <row r="786" spans="1:36" ht="15" customHeight="1" x14ac:dyDescent="0.35">
      <c r="A786" s="98" t="s">
        <v>997</v>
      </c>
      <c r="B786" s="98">
        <v>8</v>
      </c>
      <c r="C786" s="98">
        <v>2</v>
      </c>
      <c r="D786" s="93"/>
      <c r="E786" s="93"/>
      <c r="F786" s="93"/>
      <c r="G786" s="97"/>
      <c r="H786" s="97"/>
      <c r="I786" s="93"/>
      <c r="J786" s="93"/>
      <c r="K786" s="93"/>
      <c r="L786" s="93"/>
      <c r="M786" s="93"/>
      <c r="N786" s="98">
        <v>0</v>
      </c>
      <c r="O786" s="98">
        <v>0</v>
      </c>
      <c r="P786" s="99">
        <f>SUM(SamplingData[[#This Row],[Winning Candidate]:[Under Votes]])</f>
        <v>10</v>
      </c>
      <c r="Q786"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786" s="100">
        <f>IF(AND(SamplingData[[#This Row],[Total]]&lt;&gt; 0, NOT(ISBLANK(SamplingData[[#This Row],[Candidate 3]]))),(SamplingData[[#This Row],[Total]]+SamplingData[[#This Row],[Winning Candidate]]-SamplingData[[#This Row],[Candidate 3]])/(SamplingData[[#Totals],[Winning Candidate]]-SamplingData[[#Totals],[Candidate 3]]), 0)</f>
        <v>0</v>
      </c>
      <c r="S786" s="100">
        <f>IF(AND(SamplingData[[#This Row],[Total]]&lt;&gt; 0, NOT(ISBLANK(SamplingData[[#This Row],[Candidate 4]]))),(SamplingData[[#This Row],[Total]]+SamplingData[[#This Row],[Winning Candidate]]-SamplingData[[#This Row],[Candidate 4]])/(SamplingData[[#Totals],[Winning Candidate]]-SamplingData[[#Totals],[Candidate 4]]), 0)</f>
        <v>0</v>
      </c>
      <c r="T786" s="100">
        <f>IF(AND(SamplingData[[#This Row],[Total]]&lt;&gt; 0, NOT(ISBLANK(SamplingData[[#This Row],[Candidate 5]]))),(SamplingData[[#This Row],[Total]]+SamplingData[[#This Row],[Winning Candidate]]-SamplingData[[#This Row],[Candidate 5]])/(SamplingData[[#Totals],[Winning Candidate]]-SamplingData[[#Totals],[Candidate 5]]), 0)</f>
        <v>0</v>
      </c>
      <c r="U786" s="100">
        <f>IF(AND(SamplingData[[#This Row],[Total]]&lt;&gt; 0, NOT(ISBLANK(SamplingData[[#This Row],[Candidate 6]]))),(SamplingData[[#This Row],[Total]]+SamplingData[[#This Row],[Losing Candidate]]-SamplingData[[#This Row],[Candidate 6]])/(SamplingData[[#Totals],[Winning Candidate]]-SamplingData[[#Totals],[Candidate 6]]), 0)</f>
        <v>0</v>
      </c>
      <c r="V786" s="100">
        <f>IF(AND(SamplingData[[#This Row],[Total]]&lt;&gt; 0, NOT(ISBLANK(SamplingData[[#This Row],[Candidate 7]]))),(SamplingData[[#This Row],[Total]]+SamplingData[[#This Row],[Winning Candidate]]-SamplingData[[#This Row],[Candidate 7]])/(SamplingData[[#Totals],[Winning Candidate]]-SamplingData[[#Totals],[Candidate 7]]), 0)</f>
        <v>0</v>
      </c>
      <c r="W786" s="100">
        <f>IF(AND(SamplingData[[#This Row],[Total]]&lt;&gt; 0, NOT(ISBLANK(SamplingData[[#This Row],[Candidate 8]]))),(SamplingData[[#This Row],[Total]]+SamplingData[[#This Row],[Winning Candidate]]-SamplingData[[#This Row],[Candidate 8]])/(SamplingData[[#Totals],[Winning Candidate]]-SamplingData[[#Totals],[Candidate 8]]), 0)</f>
        <v>0</v>
      </c>
      <c r="X7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00">
        <f>MAX(SamplingData[[#This Row],[Error Bound (up) - Max. possible relative overstatement - Losing Candidate]:[Error Bound (up) - Max. possible relative overstatement - Candidate 12]])</f>
        <v>5.0255991456481448E-4</v>
      </c>
      <c r="AC786" s="100">
        <f>IF(SamplingData[[#This Row],[Max Error Bound (up)]] = 0,0,SamplingData[[#This Row],[Max Error Bound (up)]]/SamplingData[[#Totals],[Max Error Bound (up)]])</f>
        <v>2.1536639207451683E-4</v>
      </c>
      <c r="AD786" s="104">
        <f>SUM($AC$5:AC786)</f>
        <v>0.26383729069078804</v>
      </c>
      <c r="AE786" s="100" t="str" cm="1">
        <f t="array" ref="AE786">IF(SamplingData[[#This Row],[up/U Selection Probability]] = 0, "Zero", TEXT(SamplingData[[#This Row],[Lower Range]], REPT("0",LEN('General Info'!$B$42))) &amp; " - " &amp; TEXT(SamplingData[[#This Row],[Upper Range]], REPT("0",LEN('General Info'!$B$42))))</f>
        <v>26362 - 26383</v>
      </c>
      <c r="AF786" s="100">
        <f>SamplingData[[#This Row],[Upper Range]]-SamplingData[[#This Row],[Span]]</f>
        <v>26362.192429871353</v>
      </c>
      <c r="AG786" s="100">
        <f>IF(ISNUMBER('General Info'!$B$42), ((SamplingData[[#This Row],[up/U Selection Probability]]) * 'General Info'!$B$44) - 1, 0)</f>
        <v>20.536639207451682</v>
      </c>
      <c r="AH786" s="100">
        <f>IF(ISNUMBER('General Info'!$B$42), (SamplingData[[#This Row],[Running (cumulative) sum]] * ('General Info'!$B$42 -'General Info'!$B$43 + 1)) + 'General Info'!$B$43 - 1, 0)</f>
        <v>26382.729069078803</v>
      </c>
      <c r="AI786" s="100" t="str">
        <f>IF(ISERROR(MATCH(SamplingData[[#This Row],[Batch by Type (p)]],SelectedPrecincts[Batch Name], 0)), "", INDEX(SelectedPrecincts[Draw], MATCH(SamplingData[[#This Row],[Batch by Type (p)]],SelectedPrecincts[Batch Name], 0)))</f>
        <v/>
      </c>
      <c r="AJ786" s="101">
        <f>IF(COUNTIF(SelectedPrecincts[Batch Name],SamplingData[[#This Row],[Batch by Type (p)]]) &lt;&gt; 0, COUNTIF(SelectedPrecincts[Batch Name],SamplingData[[#This Row],[Batch by Type (p)]]), 0)</f>
        <v>0</v>
      </c>
    </row>
    <row r="787" spans="1:36" ht="15" customHeight="1" x14ac:dyDescent="0.35">
      <c r="A787" s="98" t="s">
        <v>998</v>
      </c>
      <c r="B787" s="98">
        <v>16</v>
      </c>
      <c r="C787" s="98">
        <v>2</v>
      </c>
      <c r="D787" s="93"/>
      <c r="E787" s="93"/>
      <c r="F787" s="93"/>
      <c r="G787" s="97"/>
      <c r="H787" s="97"/>
      <c r="I787" s="93"/>
      <c r="J787" s="93"/>
      <c r="K787" s="93"/>
      <c r="L787" s="93"/>
      <c r="M787" s="93"/>
      <c r="N787" s="98">
        <v>0</v>
      </c>
      <c r="O787" s="98">
        <v>0</v>
      </c>
      <c r="P787" s="99">
        <f>SUM(SamplingData[[#This Row],[Winning Candidate]:[Under Votes]])</f>
        <v>18</v>
      </c>
      <c r="Q787"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787" s="100">
        <f>IF(AND(SamplingData[[#This Row],[Total]]&lt;&gt; 0, NOT(ISBLANK(SamplingData[[#This Row],[Candidate 3]]))),(SamplingData[[#This Row],[Total]]+SamplingData[[#This Row],[Winning Candidate]]-SamplingData[[#This Row],[Candidate 3]])/(SamplingData[[#Totals],[Winning Candidate]]-SamplingData[[#Totals],[Candidate 3]]), 0)</f>
        <v>0</v>
      </c>
      <c r="S787" s="100">
        <f>IF(AND(SamplingData[[#This Row],[Total]]&lt;&gt; 0, NOT(ISBLANK(SamplingData[[#This Row],[Candidate 4]]))),(SamplingData[[#This Row],[Total]]+SamplingData[[#This Row],[Winning Candidate]]-SamplingData[[#This Row],[Candidate 4]])/(SamplingData[[#Totals],[Winning Candidate]]-SamplingData[[#Totals],[Candidate 4]]), 0)</f>
        <v>0</v>
      </c>
      <c r="T787" s="100">
        <f>IF(AND(SamplingData[[#This Row],[Total]]&lt;&gt; 0, NOT(ISBLANK(SamplingData[[#This Row],[Candidate 5]]))),(SamplingData[[#This Row],[Total]]+SamplingData[[#This Row],[Winning Candidate]]-SamplingData[[#This Row],[Candidate 5]])/(SamplingData[[#Totals],[Winning Candidate]]-SamplingData[[#Totals],[Candidate 5]]), 0)</f>
        <v>0</v>
      </c>
      <c r="U787" s="100">
        <f>IF(AND(SamplingData[[#This Row],[Total]]&lt;&gt; 0, NOT(ISBLANK(SamplingData[[#This Row],[Candidate 6]]))),(SamplingData[[#This Row],[Total]]+SamplingData[[#This Row],[Losing Candidate]]-SamplingData[[#This Row],[Candidate 6]])/(SamplingData[[#Totals],[Winning Candidate]]-SamplingData[[#Totals],[Candidate 6]]), 0)</f>
        <v>0</v>
      </c>
      <c r="V787" s="100">
        <f>IF(AND(SamplingData[[#This Row],[Total]]&lt;&gt; 0, NOT(ISBLANK(SamplingData[[#This Row],[Candidate 7]]))),(SamplingData[[#This Row],[Total]]+SamplingData[[#This Row],[Winning Candidate]]-SamplingData[[#This Row],[Candidate 7]])/(SamplingData[[#Totals],[Winning Candidate]]-SamplingData[[#Totals],[Candidate 7]]), 0)</f>
        <v>0</v>
      </c>
      <c r="W787" s="100">
        <f>IF(AND(SamplingData[[#This Row],[Total]]&lt;&gt; 0, NOT(ISBLANK(SamplingData[[#This Row],[Candidate 8]]))),(SamplingData[[#This Row],[Total]]+SamplingData[[#This Row],[Winning Candidate]]-SamplingData[[#This Row],[Candidate 8]])/(SamplingData[[#Totals],[Winning Candidate]]-SamplingData[[#Totals],[Candidate 8]]), 0)</f>
        <v>0</v>
      </c>
      <c r="X7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00">
        <f>MAX(SamplingData[[#This Row],[Error Bound (up) - Max. possible relative overstatement - Losing Candidate]:[Error Bound (up) - Max. possible relative overstatement - Candidate 12]])</f>
        <v>1.005119829129629E-3</v>
      </c>
      <c r="AC787" s="100">
        <f>IF(SamplingData[[#This Row],[Max Error Bound (up)]] = 0,0,SamplingData[[#This Row],[Max Error Bound (up)]]/SamplingData[[#Totals],[Max Error Bound (up)]])</f>
        <v>4.3073278414903365E-4</v>
      </c>
      <c r="AD787" s="104">
        <f>SUM($AC$5:AC787)</f>
        <v>0.26426802347493705</v>
      </c>
      <c r="AE787" s="100" t="str" cm="1">
        <f t="array" ref="AE787">IF(SamplingData[[#This Row],[up/U Selection Probability]] = 0, "Zero", TEXT(SamplingData[[#This Row],[Lower Range]], REPT("0",LEN('General Info'!$B$42))) &amp; " - " &amp; TEXT(SamplingData[[#This Row],[Upper Range]], REPT("0",LEN('General Info'!$B$42))))</f>
        <v>26384 - 26426</v>
      </c>
      <c r="AF787" s="100">
        <f>SamplingData[[#This Row],[Upper Range]]-SamplingData[[#This Row],[Span]]</f>
        <v>26383.7290690788</v>
      </c>
      <c r="AG787" s="100">
        <f>IF(ISNUMBER('General Info'!$B$42), ((SamplingData[[#This Row],[up/U Selection Probability]]) * 'General Info'!$B$44) - 1, 0)</f>
        <v>42.073278414903363</v>
      </c>
      <c r="AH787" s="100">
        <f>IF(ISNUMBER('General Info'!$B$42), (SamplingData[[#This Row],[Running (cumulative) sum]] * ('General Info'!$B$42 -'General Info'!$B$43 + 1)) + 'General Info'!$B$43 - 1, 0)</f>
        <v>26425.802347493704</v>
      </c>
      <c r="AI787" s="100" t="str">
        <f>IF(ISERROR(MATCH(SamplingData[[#This Row],[Batch by Type (p)]],SelectedPrecincts[Batch Name], 0)), "", INDEX(SelectedPrecincts[Draw], MATCH(SamplingData[[#This Row],[Batch by Type (p)]],SelectedPrecincts[Batch Name], 0)))</f>
        <v/>
      </c>
      <c r="AJ787" s="101">
        <f>IF(COUNTIF(SelectedPrecincts[Batch Name],SamplingData[[#This Row],[Batch by Type (p)]]) &lt;&gt; 0, COUNTIF(SelectedPrecincts[Batch Name],SamplingData[[#This Row],[Batch by Type (p)]]), 0)</f>
        <v>0</v>
      </c>
    </row>
    <row r="788" spans="1:36" ht="15" customHeight="1" x14ac:dyDescent="0.35">
      <c r="A788" s="98" t="s">
        <v>999</v>
      </c>
      <c r="B788" s="98">
        <v>22</v>
      </c>
      <c r="C788" s="98">
        <v>4</v>
      </c>
      <c r="D788" s="93"/>
      <c r="E788" s="93"/>
      <c r="F788" s="93"/>
      <c r="G788" s="97"/>
      <c r="H788" s="97"/>
      <c r="I788" s="93"/>
      <c r="J788" s="93"/>
      <c r="K788" s="93"/>
      <c r="L788" s="93"/>
      <c r="M788" s="93"/>
      <c r="N788" s="98">
        <v>0</v>
      </c>
      <c r="O788" s="98">
        <v>0</v>
      </c>
      <c r="P788" s="99">
        <f>SUM(SamplingData[[#This Row],[Winning Candidate]:[Under Votes]])</f>
        <v>26</v>
      </c>
      <c r="Q788" s="100">
        <f>IF(AND(SamplingData[[#This Row],[Total]]&lt;&gt; 0, NOT(ISBLANK(SamplingData[[#This Row],[Losing Candidate]]))),(SamplingData[[#This Row],[Total]]+SamplingData[[#This Row],[Winning Candidate]]-SamplingData[[#This Row],[Losing Candidate]])/(SamplingData[[#Totals],[Winning Candidate]]-SamplingData[[#Totals],[Losing Candidate]]), 0)</f>
        <v>1.38203976505324E-3</v>
      </c>
      <c r="R788" s="100">
        <f>IF(AND(SamplingData[[#This Row],[Total]]&lt;&gt; 0, NOT(ISBLANK(SamplingData[[#This Row],[Candidate 3]]))),(SamplingData[[#This Row],[Total]]+SamplingData[[#This Row],[Winning Candidate]]-SamplingData[[#This Row],[Candidate 3]])/(SamplingData[[#Totals],[Winning Candidate]]-SamplingData[[#Totals],[Candidate 3]]), 0)</f>
        <v>0</v>
      </c>
      <c r="S788" s="100">
        <f>IF(AND(SamplingData[[#This Row],[Total]]&lt;&gt; 0, NOT(ISBLANK(SamplingData[[#This Row],[Candidate 4]]))),(SamplingData[[#This Row],[Total]]+SamplingData[[#This Row],[Winning Candidate]]-SamplingData[[#This Row],[Candidate 4]])/(SamplingData[[#Totals],[Winning Candidate]]-SamplingData[[#Totals],[Candidate 4]]), 0)</f>
        <v>0</v>
      </c>
      <c r="T788" s="100">
        <f>IF(AND(SamplingData[[#This Row],[Total]]&lt;&gt; 0, NOT(ISBLANK(SamplingData[[#This Row],[Candidate 5]]))),(SamplingData[[#This Row],[Total]]+SamplingData[[#This Row],[Winning Candidate]]-SamplingData[[#This Row],[Candidate 5]])/(SamplingData[[#Totals],[Winning Candidate]]-SamplingData[[#Totals],[Candidate 5]]), 0)</f>
        <v>0</v>
      </c>
      <c r="U788" s="100">
        <f>IF(AND(SamplingData[[#This Row],[Total]]&lt;&gt; 0, NOT(ISBLANK(SamplingData[[#This Row],[Candidate 6]]))),(SamplingData[[#This Row],[Total]]+SamplingData[[#This Row],[Losing Candidate]]-SamplingData[[#This Row],[Candidate 6]])/(SamplingData[[#Totals],[Winning Candidate]]-SamplingData[[#Totals],[Candidate 6]]), 0)</f>
        <v>0</v>
      </c>
      <c r="V788" s="100">
        <f>IF(AND(SamplingData[[#This Row],[Total]]&lt;&gt; 0, NOT(ISBLANK(SamplingData[[#This Row],[Candidate 7]]))),(SamplingData[[#This Row],[Total]]+SamplingData[[#This Row],[Winning Candidate]]-SamplingData[[#This Row],[Candidate 7]])/(SamplingData[[#Totals],[Winning Candidate]]-SamplingData[[#Totals],[Candidate 7]]), 0)</f>
        <v>0</v>
      </c>
      <c r="W788" s="100">
        <f>IF(AND(SamplingData[[#This Row],[Total]]&lt;&gt; 0, NOT(ISBLANK(SamplingData[[#This Row],[Candidate 8]]))),(SamplingData[[#This Row],[Total]]+SamplingData[[#This Row],[Winning Candidate]]-SamplingData[[#This Row],[Candidate 8]])/(SamplingData[[#Totals],[Winning Candidate]]-SamplingData[[#Totals],[Candidate 8]]), 0)</f>
        <v>0</v>
      </c>
      <c r="X7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00">
        <f>MAX(SamplingData[[#This Row],[Error Bound (up) - Max. possible relative overstatement - Losing Candidate]:[Error Bound (up) - Max. possible relative overstatement - Candidate 12]])</f>
        <v>1.38203976505324E-3</v>
      </c>
      <c r="AC788" s="100">
        <f>IF(SamplingData[[#This Row],[Max Error Bound (up)]] = 0,0,SamplingData[[#This Row],[Max Error Bound (up)]]/SamplingData[[#Totals],[Max Error Bound (up)]])</f>
        <v>5.9225757820492134E-4</v>
      </c>
      <c r="AD788" s="104">
        <f>SUM($AC$5:AC788)</f>
        <v>0.26486028105314197</v>
      </c>
      <c r="AE788" s="100" t="str" cm="1">
        <f t="array" ref="AE788">IF(SamplingData[[#This Row],[up/U Selection Probability]] = 0, "Zero", TEXT(SamplingData[[#This Row],[Lower Range]], REPT("0",LEN('General Info'!$B$42))) &amp; " - " &amp; TEXT(SamplingData[[#This Row],[Upper Range]], REPT("0",LEN('General Info'!$B$42))))</f>
        <v>26427 - 26485</v>
      </c>
      <c r="AF788" s="100">
        <f>SamplingData[[#This Row],[Upper Range]]-SamplingData[[#This Row],[Span]]</f>
        <v>26426.802347493704</v>
      </c>
      <c r="AG788" s="100">
        <f>IF(ISNUMBER('General Info'!$B$42), ((SamplingData[[#This Row],[up/U Selection Probability]]) * 'General Info'!$B$44) - 1, 0)</f>
        <v>58.225757820492134</v>
      </c>
      <c r="AH788" s="100">
        <f>IF(ISNUMBER('General Info'!$B$42), (SamplingData[[#This Row],[Running (cumulative) sum]] * ('General Info'!$B$42 -'General Info'!$B$43 + 1)) + 'General Info'!$B$43 - 1, 0)</f>
        <v>26485.028105314195</v>
      </c>
      <c r="AI788" s="100" t="str">
        <f>IF(ISERROR(MATCH(SamplingData[[#This Row],[Batch by Type (p)]],SelectedPrecincts[Batch Name], 0)), "", INDEX(SelectedPrecincts[Draw], MATCH(SamplingData[[#This Row],[Batch by Type (p)]],SelectedPrecincts[Batch Name], 0)))</f>
        <v/>
      </c>
      <c r="AJ788" s="101">
        <f>IF(COUNTIF(SelectedPrecincts[Batch Name],SamplingData[[#This Row],[Batch by Type (p)]]) &lt;&gt; 0, COUNTIF(SelectedPrecincts[Batch Name],SamplingData[[#This Row],[Batch by Type (p)]]), 0)</f>
        <v>0</v>
      </c>
    </row>
    <row r="789" spans="1:36" ht="15" customHeight="1" x14ac:dyDescent="0.35">
      <c r="A789" s="98" t="s">
        <v>1000</v>
      </c>
      <c r="B789" s="98">
        <v>16</v>
      </c>
      <c r="C789" s="98">
        <v>0</v>
      </c>
      <c r="D789" s="93"/>
      <c r="E789" s="93"/>
      <c r="F789" s="93"/>
      <c r="G789" s="97"/>
      <c r="H789" s="97"/>
      <c r="I789" s="93"/>
      <c r="J789" s="93"/>
      <c r="K789" s="93"/>
      <c r="L789" s="93"/>
      <c r="M789" s="93"/>
      <c r="N789" s="98">
        <v>0</v>
      </c>
      <c r="O789" s="98">
        <v>0</v>
      </c>
      <c r="P789" s="99">
        <f>SUM(SamplingData[[#This Row],[Winning Candidate]:[Under Votes]])</f>
        <v>16</v>
      </c>
      <c r="Q789"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789" s="100">
        <f>IF(AND(SamplingData[[#This Row],[Total]]&lt;&gt; 0, NOT(ISBLANK(SamplingData[[#This Row],[Candidate 3]]))),(SamplingData[[#This Row],[Total]]+SamplingData[[#This Row],[Winning Candidate]]-SamplingData[[#This Row],[Candidate 3]])/(SamplingData[[#Totals],[Winning Candidate]]-SamplingData[[#Totals],[Candidate 3]]), 0)</f>
        <v>0</v>
      </c>
      <c r="S789" s="100">
        <f>IF(AND(SamplingData[[#This Row],[Total]]&lt;&gt; 0, NOT(ISBLANK(SamplingData[[#This Row],[Candidate 4]]))),(SamplingData[[#This Row],[Total]]+SamplingData[[#This Row],[Winning Candidate]]-SamplingData[[#This Row],[Candidate 4]])/(SamplingData[[#Totals],[Winning Candidate]]-SamplingData[[#Totals],[Candidate 4]]), 0)</f>
        <v>0</v>
      </c>
      <c r="T789" s="100">
        <f>IF(AND(SamplingData[[#This Row],[Total]]&lt;&gt; 0, NOT(ISBLANK(SamplingData[[#This Row],[Candidate 5]]))),(SamplingData[[#This Row],[Total]]+SamplingData[[#This Row],[Winning Candidate]]-SamplingData[[#This Row],[Candidate 5]])/(SamplingData[[#Totals],[Winning Candidate]]-SamplingData[[#Totals],[Candidate 5]]), 0)</f>
        <v>0</v>
      </c>
      <c r="U789" s="100">
        <f>IF(AND(SamplingData[[#This Row],[Total]]&lt;&gt; 0, NOT(ISBLANK(SamplingData[[#This Row],[Candidate 6]]))),(SamplingData[[#This Row],[Total]]+SamplingData[[#This Row],[Losing Candidate]]-SamplingData[[#This Row],[Candidate 6]])/(SamplingData[[#Totals],[Winning Candidate]]-SamplingData[[#Totals],[Candidate 6]]), 0)</f>
        <v>0</v>
      </c>
      <c r="V789" s="100">
        <f>IF(AND(SamplingData[[#This Row],[Total]]&lt;&gt; 0, NOT(ISBLANK(SamplingData[[#This Row],[Candidate 7]]))),(SamplingData[[#This Row],[Total]]+SamplingData[[#This Row],[Winning Candidate]]-SamplingData[[#This Row],[Candidate 7]])/(SamplingData[[#Totals],[Winning Candidate]]-SamplingData[[#Totals],[Candidate 7]]), 0)</f>
        <v>0</v>
      </c>
      <c r="W789" s="100">
        <f>IF(AND(SamplingData[[#This Row],[Total]]&lt;&gt; 0, NOT(ISBLANK(SamplingData[[#This Row],[Candidate 8]]))),(SamplingData[[#This Row],[Total]]+SamplingData[[#This Row],[Winning Candidate]]-SamplingData[[#This Row],[Candidate 8]])/(SamplingData[[#Totals],[Winning Candidate]]-SamplingData[[#Totals],[Candidate 8]]), 0)</f>
        <v>0</v>
      </c>
      <c r="X7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00">
        <f>MAX(SamplingData[[#This Row],[Error Bound (up) - Max. possible relative overstatement - Losing Candidate]:[Error Bound (up) - Max. possible relative overstatement - Candidate 12]])</f>
        <v>1.005119829129629E-3</v>
      </c>
      <c r="AC789" s="100">
        <f>IF(SamplingData[[#This Row],[Max Error Bound (up)]] = 0,0,SamplingData[[#This Row],[Max Error Bound (up)]]/SamplingData[[#Totals],[Max Error Bound (up)]])</f>
        <v>4.3073278414903365E-4</v>
      </c>
      <c r="AD789" s="104">
        <f>SUM($AC$5:AC789)</f>
        <v>0.26529101383729098</v>
      </c>
      <c r="AE789" s="100" t="str" cm="1">
        <f t="array" ref="AE789">IF(SamplingData[[#This Row],[up/U Selection Probability]] = 0, "Zero", TEXT(SamplingData[[#This Row],[Lower Range]], REPT("0",LEN('General Info'!$B$42))) &amp; " - " &amp; TEXT(SamplingData[[#This Row],[Upper Range]], REPT("0",LEN('General Info'!$B$42))))</f>
        <v>26486 - 26528</v>
      </c>
      <c r="AF789" s="100">
        <f>SamplingData[[#This Row],[Upper Range]]-SamplingData[[#This Row],[Span]]</f>
        <v>26486.028105314195</v>
      </c>
      <c r="AG789" s="100">
        <f>IF(ISNUMBER('General Info'!$B$42), ((SamplingData[[#This Row],[up/U Selection Probability]]) * 'General Info'!$B$44) - 1, 0)</f>
        <v>42.073278414903363</v>
      </c>
      <c r="AH789" s="100">
        <f>IF(ISNUMBER('General Info'!$B$42), (SamplingData[[#This Row],[Running (cumulative) sum]] * ('General Info'!$B$42 -'General Info'!$B$43 + 1)) + 'General Info'!$B$43 - 1, 0)</f>
        <v>26528.101383729099</v>
      </c>
      <c r="AI789" s="100" t="str">
        <f>IF(ISERROR(MATCH(SamplingData[[#This Row],[Batch by Type (p)]],SelectedPrecincts[Batch Name], 0)), "", INDEX(SelectedPrecincts[Draw], MATCH(SamplingData[[#This Row],[Batch by Type (p)]],SelectedPrecincts[Batch Name], 0)))</f>
        <v/>
      </c>
      <c r="AJ789" s="101">
        <f>IF(COUNTIF(SelectedPrecincts[Batch Name],SamplingData[[#This Row],[Batch by Type (p)]]) &lt;&gt; 0, COUNTIF(SelectedPrecincts[Batch Name],SamplingData[[#This Row],[Batch by Type (p)]]), 0)</f>
        <v>0</v>
      </c>
    </row>
    <row r="790" spans="1:36" ht="15" customHeight="1" x14ac:dyDescent="0.35">
      <c r="A790" s="98" t="s">
        <v>1001</v>
      </c>
      <c r="B790" s="98">
        <v>165</v>
      </c>
      <c r="C790" s="98">
        <v>28</v>
      </c>
      <c r="D790" s="93"/>
      <c r="E790" s="93"/>
      <c r="F790" s="93"/>
      <c r="G790" s="97"/>
      <c r="H790" s="97"/>
      <c r="I790" s="93"/>
      <c r="J790" s="93"/>
      <c r="K790" s="93"/>
      <c r="L790" s="93"/>
      <c r="M790" s="93"/>
      <c r="N790" s="98">
        <v>0</v>
      </c>
      <c r="O790" s="98">
        <v>21</v>
      </c>
      <c r="P790" s="99">
        <f>SUM(SamplingData[[#This Row],[Winning Candidate]:[Under Votes]])</f>
        <v>214</v>
      </c>
      <c r="Q790" s="100">
        <f>IF(AND(SamplingData[[#This Row],[Total]]&lt;&gt; 0, NOT(ISBLANK(SamplingData[[#This Row],[Losing Candidate]]))),(SamplingData[[#This Row],[Total]]+SamplingData[[#This Row],[Winning Candidate]]-SamplingData[[#This Row],[Losing Candidate]])/(SamplingData[[#Totals],[Winning Candidate]]-SamplingData[[#Totals],[Losing Candidate]]), 0)</f>
        <v>1.1024908125765618E-2</v>
      </c>
      <c r="R790" s="100">
        <f>IF(AND(SamplingData[[#This Row],[Total]]&lt;&gt; 0, NOT(ISBLANK(SamplingData[[#This Row],[Candidate 3]]))),(SamplingData[[#This Row],[Total]]+SamplingData[[#This Row],[Winning Candidate]]-SamplingData[[#This Row],[Candidate 3]])/(SamplingData[[#Totals],[Winning Candidate]]-SamplingData[[#Totals],[Candidate 3]]), 0)</f>
        <v>0</v>
      </c>
      <c r="S790" s="100">
        <f>IF(AND(SamplingData[[#This Row],[Total]]&lt;&gt; 0, NOT(ISBLANK(SamplingData[[#This Row],[Candidate 4]]))),(SamplingData[[#This Row],[Total]]+SamplingData[[#This Row],[Winning Candidate]]-SamplingData[[#This Row],[Candidate 4]])/(SamplingData[[#Totals],[Winning Candidate]]-SamplingData[[#Totals],[Candidate 4]]), 0)</f>
        <v>0</v>
      </c>
      <c r="T790" s="100">
        <f>IF(AND(SamplingData[[#This Row],[Total]]&lt;&gt; 0, NOT(ISBLANK(SamplingData[[#This Row],[Candidate 5]]))),(SamplingData[[#This Row],[Total]]+SamplingData[[#This Row],[Winning Candidate]]-SamplingData[[#This Row],[Candidate 5]])/(SamplingData[[#Totals],[Winning Candidate]]-SamplingData[[#Totals],[Candidate 5]]), 0)</f>
        <v>0</v>
      </c>
      <c r="U790" s="100">
        <f>IF(AND(SamplingData[[#This Row],[Total]]&lt;&gt; 0, NOT(ISBLANK(SamplingData[[#This Row],[Candidate 6]]))),(SamplingData[[#This Row],[Total]]+SamplingData[[#This Row],[Losing Candidate]]-SamplingData[[#This Row],[Candidate 6]])/(SamplingData[[#Totals],[Winning Candidate]]-SamplingData[[#Totals],[Candidate 6]]), 0)</f>
        <v>0</v>
      </c>
      <c r="V790" s="100">
        <f>IF(AND(SamplingData[[#This Row],[Total]]&lt;&gt; 0, NOT(ISBLANK(SamplingData[[#This Row],[Candidate 7]]))),(SamplingData[[#This Row],[Total]]+SamplingData[[#This Row],[Winning Candidate]]-SamplingData[[#This Row],[Candidate 7]])/(SamplingData[[#Totals],[Winning Candidate]]-SamplingData[[#Totals],[Candidate 7]]), 0)</f>
        <v>0</v>
      </c>
      <c r="W790" s="100">
        <f>IF(AND(SamplingData[[#This Row],[Total]]&lt;&gt; 0, NOT(ISBLANK(SamplingData[[#This Row],[Candidate 8]]))),(SamplingData[[#This Row],[Total]]+SamplingData[[#This Row],[Winning Candidate]]-SamplingData[[#This Row],[Candidate 8]])/(SamplingData[[#Totals],[Winning Candidate]]-SamplingData[[#Totals],[Candidate 8]]), 0)</f>
        <v>0</v>
      </c>
      <c r="X7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00">
        <f>MAX(SamplingData[[#This Row],[Error Bound (up) - Max. possible relative overstatement - Losing Candidate]:[Error Bound (up) - Max. possible relative overstatement - Candidate 12]])</f>
        <v>1.1024908125765618E-2</v>
      </c>
      <c r="AC790" s="100">
        <f>IF(SamplingData[[#This Row],[Max Error Bound (up)]] = 0,0,SamplingData[[#This Row],[Max Error Bound (up)]]/SamplingData[[#Totals],[Max Error Bound (up)]])</f>
        <v>4.7246002261347132E-3</v>
      </c>
      <c r="AD790" s="104">
        <f>SUM($AC$5:AC790)</f>
        <v>0.27001561406342567</v>
      </c>
      <c r="AE790" s="100" t="str" cm="1">
        <f t="array" ref="AE790">IF(SamplingData[[#This Row],[up/U Selection Probability]] = 0, "Zero", TEXT(SamplingData[[#This Row],[Lower Range]], REPT("0",LEN('General Info'!$B$42))) &amp; " - " &amp; TEXT(SamplingData[[#This Row],[Upper Range]], REPT("0",LEN('General Info'!$B$42))))</f>
        <v>26529 - 27001</v>
      </c>
      <c r="AF790" s="100">
        <f>SamplingData[[#This Row],[Upper Range]]-SamplingData[[#This Row],[Span]]</f>
        <v>26529.101383729096</v>
      </c>
      <c r="AG790" s="100">
        <f>IF(ISNUMBER('General Info'!$B$42), ((SamplingData[[#This Row],[up/U Selection Probability]]) * 'General Info'!$B$44) - 1, 0)</f>
        <v>471.46002261347132</v>
      </c>
      <c r="AH790" s="100">
        <f>IF(ISNUMBER('General Info'!$B$42), (SamplingData[[#This Row],[Running (cumulative) sum]] * ('General Info'!$B$42 -'General Info'!$B$43 + 1)) + 'General Info'!$B$43 - 1, 0)</f>
        <v>27000.561406342567</v>
      </c>
      <c r="AI790" s="100" t="str">
        <f>IF(ISERROR(MATCH(SamplingData[[#This Row],[Batch by Type (p)]],SelectedPrecincts[Batch Name], 0)), "", INDEX(SelectedPrecincts[Draw], MATCH(SamplingData[[#This Row],[Batch by Type (p)]],SelectedPrecincts[Batch Name], 0)))</f>
        <v/>
      </c>
      <c r="AJ790" s="101">
        <f>IF(COUNTIF(SelectedPrecincts[Batch Name],SamplingData[[#This Row],[Batch by Type (p)]]) &lt;&gt; 0, COUNTIF(SelectedPrecincts[Batch Name],SamplingData[[#This Row],[Batch by Type (p)]]), 0)</f>
        <v>0</v>
      </c>
    </row>
    <row r="791" spans="1:36" ht="15" customHeight="1" x14ac:dyDescent="0.35">
      <c r="A791" s="98" t="s">
        <v>1002</v>
      </c>
      <c r="B791" s="98">
        <v>153</v>
      </c>
      <c r="C791" s="98">
        <v>44</v>
      </c>
      <c r="D791" s="93"/>
      <c r="E791" s="93"/>
      <c r="F791" s="93"/>
      <c r="G791" s="97"/>
      <c r="H791" s="97"/>
      <c r="I791" s="93"/>
      <c r="J791" s="93"/>
      <c r="K791" s="93"/>
      <c r="L791" s="93"/>
      <c r="M791" s="93"/>
      <c r="N791" s="98">
        <v>0</v>
      </c>
      <c r="O791" s="98">
        <v>15</v>
      </c>
      <c r="P791" s="99">
        <f>SUM(SamplingData[[#This Row],[Winning Candidate]:[Under Votes]])</f>
        <v>212</v>
      </c>
      <c r="Q791" s="100">
        <f>IF(AND(SamplingData[[#This Row],[Total]]&lt;&gt; 0, NOT(ISBLANK(SamplingData[[#This Row],[Losing Candidate]]))),(SamplingData[[#This Row],[Total]]+SamplingData[[#This Row],[Winning Candidate]]-SamplingData[[#This Row],[Losing Candidate]])/(SamplingData[[#Totals],[Winning Candidate]]-SamplingData[[#Totals],[Losing Candidate]]), 0)</f>
        <v>1.0082608285956592E-2</v>
      </c>
      <c r="R791" s="100">
        <f>IF(AND(SamplingData[[#This Row],[Total]]&lt;&gt; 0, NOT(ISBLANK(SamplingData[[#This Row],[Candidate 3]]))),(SamplingData[[#This Row],[Total]]+SamplingData[[#This Row],[Winning Candidate]]-SamplingData[[#This Row],[Candidate 3]])/(SamplingData[[#Totals],[Winning Candidate]]-SamplingData[[#Totals],[Candidate 3]]), 0)</f>
        <v>0</v>
      </c>
      <c r="S791" s="100">
        <f>IF(AND(SamplingData[[#This Row],[Total]]&lt;&gt; 0, NOT(ISBLANK(SamplingData[[#This Row],[Candidate 4]]))),(SamplingData[[#This Row],[Total]]+SamplingData[[#This Row],[Winning Candidate]]-SamplingData[[#This Row],[Candidate 4]])/(SamplingData[[#Totals],[Winning Candidate]]-SamplingData[[#Totals],[Candidate 4]]), 0)</f>
        <v>0</v>
      </c>
      <c r="T791" s="100">
        <f>IF(AND(SamplingData[[#This Row],[Total]]&lt;&gt; 0, NOT(ISBLANK(SamplingData[[#This Row],[Candidate 5]]))),(SamplingData[[#This Row],[Total]]+SamplingData[[#This Row],[Winning Candidate]]-SamplingData[[#This Row],[Candidate 5]])/(SamplingData[[#Totals],[Winning Candidate]]-SamplingData[[#Totals],[Candidate 5]]), 0)</f>
        <v>0</v>
      </c>
      <c r="U791" s="100">
        <f>IF(AND(SamplingData[[#This Row],[Total]]&lt;&gt; 0, NOT(ISBLANK(SamplingData[[#This Row],[Candidate 6]]))),(SamplingData[[#This Row],[Total]]+SamplingData[[#This Row],[Losing Candidate]]-SamplingData[[#This Row],[Candidate 6]])/(SamplingData[[#Totals],[Winning Candidate]]-SamplingData[[#Totals],[Candidate 6]]), 0)</f>
        <v>0</v>
      </c>
      <c r="V791" s="100">
        <f>IF(AND(SamplingData[[#This Row],[Total]]&lt;&gt; 0, NOT(ISBLANK(SamplingData[[#This Row],[Candidate 7]]))),(SamplingData[[#This Row],[Total]]+SamplingData[[#This Row],[Winning Candidate]]-SamplingData[[#This Row],[Candidate 7]])/(SamplingData[[#Totals],[Winning Candidate]]-SamplingData[[#Totals],[Candidate 7]]), 0)</f>
        <v>0</v>
      </c>
      <c r="W791" s="100">
        <f>IF(AND(SamplingData[[#This Row],[Total]]&lt;&gt; 0, NOT(ISBLANK(SamplingData[[#This Row],[Candidate 8]]))),(SamplingData[[#This Row],[Total]]+SamplingData[[#This Row],[Winning Candidate]]-SamplingData[[#This Row],[Candidate 8]])/(SamplingData[[#Totals],[Winning Candidate]]-SamplingData[[#Totals],[Candidate 8]]), 0)</f>
        <v>0</v>
      </c>
      <c r="X7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00">
        <f>MAX(SamplingData[[#This Row],[Error Bound (up) - Max. possible relative overstatement - Losing Candidate]:[Error Bound (up) - Max. possible relative overstatement - Candidate 12]])</f>
        <v>1.0082608285956592E-2</v>
      </c>
      <c r="AC791" s="100">
        <f>IF(SamplingData[[#This Row],[Max Error Bound (up)]] = 0,0,SamplingData[[#This Row],[Max Error Bound (up)]]/SamplingData[[#Totals],[Max Error Bound (up)]])</f>
        <v>4.3207882409949947E-3</v>
      </c>
      <c r="AD791" s="104">
        <f>SUM($AC$5:AC791)</f>
        <v>0.27433640230442069</v>
      </c>
      <c r="AE791" s="100" t="str" cm="1">
        <f t="array" ref="AE791">IF(SamplingData[[#This Row],[up/U Selection Probability]] = 0, "Zero", TEXT(SamplingData[[#This Row],[Lower Range]], REPT("0",LEN('General Info'!$B$42))) &amp; " - " &amp; TEXT(SamplingData[[#This Row],[Upper Range]], REPT("0",LEN('General Info'!$B$42))))</f>
        <v>27002 - 27433</v>
      </c>
      <c r="AF791" s="100">
        <f>SamplingData[[#This Row],[Upper Range]]-SamplingData[[#This Row],[Span]]</f>
        <v>27001.561406342571</v>
      </c>
      <c r="AG791" s="100">
        <f>IF(ISNUMBER('General Info'!$B$42), ((SamplingData[[#This Row],[up/U Selection Probability]]) * 'General Info'!$B$44) - 1, 0)</f>
        <v>431.07882409949946</v>
      </c>
      <c r="AH791" s="100">
        <f>IF(ISNUMBER('General Info'!$B$42), (SamplingData[[#This Row],[Running (cumulative) sum]] * ('General Info'!$B$42 -'General Info'!$B$43 + 1)) + 'General Info'!$B$43 - 1, 0)</f>
        <v>27432.64023044207</v>
      </c>
      <c r="AI791" s="100" t="str">
        <f>IF(ISERROR(MATCH(SamplingData[[#This Row],[Batch by Type (p)]],SelectedPrecincts[Batch Name], 0)), "", INDEX(SelectedPrecincts[Draw], MATCH(SamplingData[[#This Row],[Batch by Type (p)]],SelectedPrecincts[Batch Name], 0)))</f>
        <v/>
      </c>
      <c r="AJ791" s="101">
        <f>IF(COUNTIF(SelectedPrecincts[Batch Name],SamplingData[[#This Row],[Batch by Type (p)]]) &lt;&gt; 0, COUNTIF(SelectedPrecincts[Batch Name],SamplingData[[#This Row],[Batch by Type (p)]]), 0)</f>
        <v>0</v>
      </c>
    </row>
    <row r="792" spans="1:36" ht="15" customHeight="1" x14ac:dyDescent="0.35">
      <c r="A792" s="98" t="s">
        <v>1003</v>
      </c>
      <c r="B792" s="98">
        <v>241</v>
      </c>
      <c r="C792" s="98">
        <v>25</v>
      </c>
      <c r="D792" s="93"/>
      <c r="E792" s="93"/>
      <c r="F792" s="93"/>
      <c r="G792" s="97"/>
      <c r="H792" s="97"/>
      <c r="I792" s="93"/>
      <c r="J792" s="93"/>
      <c r="K792" s="93"/>
      <c r="L792" s="93"/>
      <c r="M792" s="93"/>
      <c r="N792" s="98">
        <v>0</v>
      </c>
      <c r="O792" s="98">
        <v>20</v>
      </c>
      <c r="P792" s="99">
        <f>SUM(SamplingData[[#This Row],[Winning Candidate]:[Under Votes]])</f>
        <v>286</v>
      </c>
      <c r="Q792" s="100">
        <f>IF(AND(SamplingData[[#This Row],[Total]]&lt;&gt; 0, NOT(ISBLANK(SamplingData[[#This Row],[Losing Candidate]]))),(SamplingData[[#This Row],[Total]]+SamplingData[[#This Row],[Winning Candidate]]-SamplingData[[#This Row],[Losing Candidate]])/(SamplingData[[#Totals],[Winning Candidate]]-SamplingData[[#Totals],[Losing Candidate]]), 0)</f>
        <v>1.5767817319471057E-2</v>
      </c>
      <c r="R792" s="100">
        <f>IF(AND(SamplingData[[#This Row],[Total]]&lt;&gt; 0, NOT(ISBLANK(SamplingData[[#This Row],[Candidate 3]]))),(SamplingData[[#This Row],[Total]]+SamplingData[[#This Row],[Winning Candidate]]-SamplingData[[#This Row],[Candidate 3]])/(SamplingData[[#Totals],[Winning Candidate]]-SamplingData[[#Totals],[Candidate 3]]), 0)</f>
        <v>0</v>
      </c>
      <c r="S792" s="100">
        <f>IF(AND(SamplingData[[#This Row],[Total]]&lt;&gt; 0, NOT(ISBLANK(SamplingData[[#This Row],[Candidate 4]]))),(SamplingData[[#This Row],[Total]]+SamplingData[[#This Row],[Winning Candidate]]-SamplingData[[#This Row],[Candidate 4]])/(SamplingData[[#Totals],[Winning Candidate]]-SamplingData[[#Totals],[Candidate 4]]), 0)</f>
        <v>0</v>
      </c>
      <c r="T792" s="100">
        <f>IF(AND(SamplingData[[#This Row],[Total]]&lt;&gt; 0, NOT(ISBLANK(SamplingData[[#This Row],[Candidate 5]]))),(SamplingData[[#This Row],[Total]]+SamplingData[[#This Row],[Winning Candidate]]-SamplingData[[#This Row],[Candidate 5]])/(SamplingData[[#Totals],[Winning Candidate]]-SamplingData[[#Totals],[Candidate 5]]), 0)</f>
        <v>0</v>
      </c>
      <c r="U792" s="100">
        <f>IF(AND(SamplingData[[#This Row],[Total]]&lt;&gt; 0, NOT(ISBLANK(SamplingData[[#This Row],[Candidate 6]]))),(SamplingData[[#This Row],[Total]]+SamplingData[[#This Row],[Losing Candidate]]-SamplingData[[#This Row],[Candidate 6]])/(SamplingData[[#Totals],[Winning Candidate]]-SamplingData[[#Totals],[Candidate 6]]), 0)</f>
        <v>0</v>
      </c>
      <c r="V792" s="100">
        <f>IF(AND(SamplingData[[#This Row],[Total]]&lt;&gt; 0, NOT(ISBLANK(SamplingData[[#This Row],[Candidate 7]]))),(SamplingData[[#This Row],[Total]]+SamplingData[[#This Row],[Winning Candidate]]-SamplingData[[#This Row],[Candidate 7]])/(SamplingData[[#Totals],[Winning Candidate]]-SamplingData[[#Totals],[Candidate 7]]), 0)</f>
        <v>0</v>
      </c>
      <c r="W792" s="100">
        <f>IF(AND(SamplingData[[#This Row],[Total]]&lt;&gt; 0, NOT(ISBLANK(SamplingData[[#This Row],[Candidate 8]]))),(SamplingData[[#This Row],[Total]]+SamplingData[[#This Row],[Winning Candidate]]-SamplingData[[#This Row],[Candidate 8]])/(SamplingData[[#Totals],[Winning Candidate]]-SamplingData[[#Totals],[Candidate 8]]), 0)</f>
        <v>0</v>
      </c>
      <c r="X7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00">
        <f>MAX(SamplingData[[#This Row],[Error Bound (up) - Max. possible relative overstatement - Losing Candidate]:[Error Bound (up) - Max. possible relative overstatement - Candidate 12]])</f>
        <v>1.5767817319471057E-2</v>
      </c>
      <c r="AC792" s="100">
        <f>IF(SamplingData[[#This Row],[Max Error Bound (up)]] = 0,0,SamplingData[[#This Row],[Max Error Bound (up)]]/SamplingData[[#Totals],[Max Error Bound (up)]])</f>
        <v>6.7571205513379667E-3</v>
      </c>
      <c r="AD792" s="104">
        <f>SUM($AC$5:AC792)</f>
        <v>0.28109352285575867</v>
      </c>
      <c r="AE792" s="100" t="str" cm="1">
        <f t="array" ref="AE792">IF(SamplingData[[#This Row],[up/U Selection Probability]] = 0, "Zero", TEXT(SamplingData[[#This Row],[Lower Range]], REPT("0",LEN('General Info'!$B$42))) &amp; " - " &amp; TEXT(SamplingData[[#This Row],[Upper Range]], REPT("0",LEN('General Info'!$B$42))))</f>
        <v>27434 - 28108</v>
      </c>
      <c r="AF792" s="100">
        <f>SamplingData[[#This Row],[Upper Range]]-SamplingData[[#This Row],[Span]]</f>
        <v>27433.64023044207</v>
      </c>
      <c r="AG792" s="100">
        <f>IF(ISNUMBER('General Info'!$B$42), ((SamplingData[[#This Row],[up/U Selection Probability]]) * 'General Info'!$B$44) - 1, 0)</f>
        <v>674.71205513379664</v>
      </c>
      <c r="AH792" s="100">
        <f>IF(ISNUMBER('General Info'!$B$42), (SamplingData[[#This Row],[Running (cumulative) sum]] * ('General Info'!$B$42 -'General Info'!$B$43 + 1)) + 'General Info'!$B$43 - 1, 0)</f>
        <v>28108.352285575867</v>
      </c>
      <c r="AI792" s="100" t="str">
        <f>IF(ISERROR(MATCH(SamplingData[[#This Row],[Batch by Type (p)]],SelectedPrecincts[Batch Name], 0)), "", INDEX(SelectedPrecincts[Draw], MATCH(SamplingData[[#This Row],[Batch by Type (p)]],SelectedPrecincts[Batch Name], 0)))</f>
        <v/>
      </c>
      <c r="AJ792" s="101">
        <f>IF(COUNTIF(SelectedPrecincts[Batch Name],SamplingData[[#This Row],[Batch by Type (p)]]) &lt;&gt; 0, COUNTIF(SelectedPrecincts[Batch Name],SamplingData[[#This Row],[Batch by Type (p)]]), 0)</f>
        <v>0</v>
      </c>
    </row>
    <row r="793" spans="1:36" ht="15" customHeight="1" x14ac:dyDescent="0.35">
      <c r="A793" s="98" t="s">
        <v>1004</v>
      </c>
      <c r="B793" s="98">
        <v>227</v>
      </c>
      <c r="C793" s="98">
        <v>35</v>
      </c>
      <c r="D793" s="93"/>
      <c r="E793" s="93"/>
      <c r="F793" s="93"/>
      <c r="G793" s="97"/>
      <c r="H793" s="97"/>
      <c r="I793" s="93"/>
      <c r="J793" s="93"/>
      <c r="K793" s="93"/>
      <c r="L793" s="93"/>
      <c r="M793" s="93"/>
      <c r="N793" s="98">
        <v>0</v>
      </c>
      <c r="O793" s="98">
        <v>10</v>
      </c>
      <c r="P793" s="99">
        <f>SUM(SamplingData[[#This Row],[Winning Candidate]:[Under Votes]])</f>
        <v>272</v>
      </c>
      <c r="Q793" s="100">
        <f>IF(AND(SamplingData[[#This Row],[Total]]&lt;&gt; 0, NOT(ISBLANK(SamplingData[[#This Row],[Losing Candidate]]))),(SamplingData[[#This Row],[Total]]+SamplingData[[#This Row],[Winning Candidate]]-SamplingData[[#This Row],[Losing Candidate]])/(SamplingData[[#Totals],[Winning Candidate]]-SamplingData[[#Totals],[Losing Candidate]]), 0)</f>
        <v>1.4574237522379621E-2</v>
      </c>
      <c r="R793" s="100">
        <f>IF(AND(SamplingData[[#This Row],[Total]]&lt;&gt; 0, NOT(ISBLANK(SamplingData[[#This Row],[Candidate 3]]))),(SamplingData[[#This Row],[Total]]+SamplingData[[#This Row],[Winning Candidate]]-SamplingData[[#This Row],[Candidate 3]])/(SamplingData[[#Totals],[Winning Candidate]]-SamplingData[[#Totals],[Candidate 3]]), 0)</f>
        <v>0</v>
      </c>
      <c r="S793" s="100">
        <f>IF(AND(SamplingData[[#This Row],[Total]]&lt;&gt; 0, NOT(ISBLANK(SamplingData[[#This Row],[Candidate 4]]))),(SamplingData[[#This Row],[Total]]+SamplingData[[#This Row],[Winning Candidate]]-SamplingData[[#This Row],[Candidate 4]])/(SamplingData[[#Totals],[Winning Candidate]]-SamplingData[[#Totals],[Candidate 4]]), 0)</f>
        <v>0</v>
      </c>
      <c r="T793" s="100">
        <f>IF(AND(SamplingData[[#This Row],[Total]]&lt;&gt; 0, NOT(ISBLANK(SamplingData[[#This Row],[Candidate 5]]))),(SamplingData[[#This Row],[Total]]+SamplingData[[#This Row],[Winning Candidate]]-SamplingData[[#This Row],[Candidate 5]])/(SamplingData[[#Totals],[Winning Candidate]]-SamplingData[[#Totals],[Candidate 5]]), 0)</f>
        <v>0</v>
      </c>
      <c r="U793" s="100">
        <f>IF(AND(SamplingData[[#This Row],[Total]]&lt;&gt; 0, NOT(ISBLANK(SamplingData[[#This Row],[Candidate 6]]))),(SamplingData[[#This Row],[Total]]+SamplingData[[#This Row],[Losing Candidate]]-SamplingData[[#This Row],[Candidate 6]])/(SamplingData[[#Totals],[Winning Candidate]]-SamplingData[[#Totals],[Candidate 6]]), 0)</f>
        <v>0</v>
      </c>
      <c r="V793" s="100">
        <f>IF(AND(SamplingData[[#This Row],[Total]]&lt;&gt; 0, NOT(ISBLANK(SamplingData[[#This Row],[Candidate 7]]))),(SamplingData[[#This Row],[Total]]+SamplingData[[#This Row],[Winning Candidate]]-SamplingData[[#This Row],[Candidate 7]])/(SamplingData[[#Totals],[Winning Candidate]]-SamplingData[[#Totals],[Candidate 7]]), 0)</f>
        <v>0</v>
      </c>
      <c r="W793" s="100">
        <f>IF(AND(SamplingData[[#This Row],[Total]]&lt;&gt; 0, NOT(ISBLANK(SamplingData[[#This Row],[Candidate 8]]))),(SamplingData[[#This Row],[Total]]+SamplingData[[#This Row],[Winning Candidate]]-SamplingData[[#This Row],[Candidate 8]])/(SamplingData[[#Totals],[Winning Candidate]]-SamplingData[[#Totals],[Candidate 8]]), 0)</f>
        <v>0</v>
      </c>
      <c r="X7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00">
        <f>MAX(SamplingData[[#This Row],[Error Bound (up) - Max. possible relative overstatement - Losing Candidate]:[Error Bound (up) - Max. possible relative overstatement - Candidate 12]])</f>
        <v>1.4574237522379621E-2</v>
      </c>
      <c r="AC793" s="100">
        <f>IF(SamplingData[[#This Row],[Max Error Bound (up)]] = 0,0,SamplingData[[#This Row],[Max Error Bound (up)]]/SamplingData[[#Totals],[Max Error Bound (up)]])</f>
        <v>6.2456253701609881E-3</v>
      </c>
      <c r="AD793" s="104">
        <f>SUM($AC$5:AC793)</f>
        <v>0.28733914822591966</v>
      </c>
      <c r="AE793" s="100" t="str" cm="1">
        <f t="array" ref="AE793">IF(SamplingData[[#This Row],[up/U Selection Probability]] = 0, "Zero", TEXT(SamplingData[[#This Row],[Lower Range]], REPT("0",LEN('General Info'!$B$42))) &amp; " - " &amp; TEXT(SamplingData[[#This Row],[Upper Range]], REPT("0",LEN('General Info'!$B$42))))</f>
        <v>28109 - 28733</v>
      </c>
      <c r="AF793" s="100">
        <f>SamplingData[[#This Row],[Upper Range]]-SamplingData[[#This Row],[Span]]</f>
        <v>28109.352285575867</v>
      </c>
      <c r="AG793" s="100">
        <f>IF(ISNUMBER('General Info'!$B$42), ((SamplingData[[#This Row],[up/U Selection Probability]]) * 'General Info'!$B$44) - 1, 0)</f>
        <v>623.56253701609876</v>
      </c>
      <c r="AH793" s="100">
        <f>IF(ISNUMBER('General Info'!$B$42), (SamplingData[[#This Row],[Running (cumulative) sum]] * ('General Info'!$B$42 -'General Info'!$B$43 + 1)) + 'General Info'!$B$43 - 1, 0)</f>
        <v>28732.914822591967</v>
      </c>
      <c r="AI793" s="100" t="str">
        <f>IF(ISERROR(MATCH(SamplingData[[#This Row],[Batch by Type (p)]],SelectedPrecincts[Batch Name], 0)), "", INDEX(SelectedPrecincts[Draw], MATCH(SamplingData[[#This Row],[Batch by Type (p)]],SelectedPrecincts[Batch Name], 0)))</f>
        <v/>
      </c>
      <c r="AJ793" s="101">
        <f>IF(COUNTIF(SelectedPrecincts[Batch Name],SamplingData[[#This Row],[Batch by Type (p)]]) &lt;&gt; 0, COUNTIF(SelectedPrecincts[Batch Name],SamplingData[[#This Row],[Batch by Type (p)]]), 0)</f>
        <v>0</v>
      </c>
    </row>
    <row r="794" spans="1:36" ht="15" customHeight="1" x14ac:dyDescent="0.35">
      <c r="A794" s="98" t="s">
        <v>1005</v>
      </c>
      <c r="B794" s="98">
        <v>255</v>
      </c>
      <c r="C794" s="98">
        <v>49</v>
      </c>
      <c r="D794" s="93"/>
      <c r="E794" s="93"/>
      <c r="F794" s="93"/>
      <c r="G794" s="97"/>
      <c r="H794" s="97"/>
      <c r="I794" s="93"/>
      <c r="J794" s="93"/>
      <c r="K794" s="93"/>
      <c r="L794" s="93"/>
      <c r="M794" s="93"/>
      <c r="N794" s="98">
        <v>1</v>
      </c>
      <c r="O794" s="98">
        <v>28</v>
      </c>
      <c r="P794" s="99">
        <f>SUM(SamplingData[[#This Row],[Winning Candidate]:[Under Votes]])</f>
        <v>333</v>
      </c>
      <c r="Q794" s="100">
        <f>IF(AND(SamplingData[[#This Row],[Total]]&lt;&gt; 0, NOT(ISBLANK(SamplingData[[#This Row],[Losing Candidate]]))),(SamplingData[[#This Row],[Total]]+SamplingData[[#This Row],[Winning Candidate]]-SamplingData[[#This Row],[Losing Candidate]])/(SamplingData[[#Totals],[Winning Candidate]]-SamplingData[[#Totals],[Losing Candidate]]), 0)</f>
        <v>1.692998712190219E-2</v>
      </c>
      <c r="R794" s="100">
        <f>IF(AND(SamplingData[[#This Row],[Total]]&lt;&gt; 0, NOT(ISBLANK(SamplingData[[#This Row],[Candidate 3]]))),(SamplingData[[#This Row],[Total]]+SamplingData[[#This Row],[Winning Candidate]]-SamplingData[[#This Row],[Candidate 3]])/(SamplingData[[#Totals],[Winning Candidate]]-SamplingData[[#Totals],[Candidate 3]]), 0)</f>
        <v>0</v>
      </c>
      <c r="S794" s="100">
        <f>IF(AND(SamplingData[[#This Row],[Total]]&lt;&gt; 0, NOT(ISBLANK(SamplingData[[#This Row],[Candidate 4]]))),(SamplingData[[#This Row],[Total]]+SamplingData[[#This Row],[Winning Candidate]]-SamplingData[[#This Row],[Candidate 4]])/(SamplingData[[#Totals],[Winning Candidate]]-SamplingData[[#Totals],[Candidate 4]]), 0)</f>
        <v>0</v>
      </c>
      <c r="T794" s="100">
        <f>IF(AND(SamplingData[[#This Row],[Total]]&lt;&gt; 0, NOT(ISBLANK(SamplingData[[#This Row],[Candidate 5]]))),(SamplingData[[#This Row],[Total]]+SamplingData[[#This Row],[Winning Candidate]]-SamplingData[[#This Row],[Candidate 5]])/(SamplingData[[#Totals],[Winning Candidate]]-SamplingData[[#Totals],[Candidate 5]]), 0)</f>
        <v>0</v>
      </c>
      <c r="U794" s="100">
        <f>IF(AND(SamplingData[[#This Row],[Total]]&lt;&gt; 0, NOT(ISBLANK(SamplingData[[#This Row],[Candidate 6]]))),(SamplingData[[#This Row],[Total]]+SamplingData[[#This Row],[Losing Candidate]]-SamplingData[[#This Row],[Candidate 6]])/(SamplingData[[#Totals],[Winning Candidate]]-SamplingData[[#Totals],[Candidate 6]]), 0)</f>
        <v>0</v>
      </c>
      <c r="V794" s="100">
        <f>IF(AND(SamplingData[[#This Row],[Total]]&lt;&gt; 0, NOT(ISBLANK(SamplingData[[#This Row],[Candidate 7]]))),(SamplingData[[#This Row],[Total]]+SamplingData[[#This Row],[Winning Candidate]]-SamplingData[[#This Row],[Candidate 7]])/(SamplingData[[#Totals],[Winning Candidate]]-SamplingData[[#Totals],[Candidate 7]]), 0)</f>
        <v>0</v>
      </c>
      <c r="W794" s="100">
        <f>IF(AND(SamplingData[[#This Row],[Total]]&lt;&gt; 0, NOT(ISBLANK(SamplingData[[#This Row],[Candidate 8]]))),(SamplingData[[#This Row],[Total]]+SamplingData[[#This Row],[Winning Candidate]]-SamplingData[[#This Row],[Candidate 8]])/(SamplingData[[#Totals],[Winning Candidate]]-SamplingData[[#Totals],[Candidate 8]]), 0)</f>
        <v>0</v>
      </c>
      <c r="X7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00">
        <f>MAX(SamplingData[[#This Row],[Error Bound (up) - Max. possible relative overstatement - Losing Candidate]:[Error Bound (up) - Max. possible relative overstatement - Candidate 12]])</f>
        <v>1.692998712190219E-2</v>
      </c>
      <c r="AC794" s="100">
        <f>IF(SamplingData[[#This Row],[Max Error Bound (up)]] = 0,0,SamplingData[[#This Row],[Max Error Bound (up)]]/SamplingData[[#Totals],[Max Error Bound (up)]])</f>
        <v>7.255155333010287E-3</v>
      </c>
      <c r="AD794" s="104">
        <f>SUM($AC$5:AC794)</f>
        <v>0.29459430355892996</v>
      </c>
      <c r="AE794" s="100" t="str" cm="1">
        <f t="array" ref="AE794">IF(SamplingData[[#This Row],[up/U Selection Probability]] = 0, "Zero", TEXT(SamplingData[[#This Row],[Lower Range]], REPT("0",LEN('General Info'!$B$42))) &amp; " - " &amp; TEXT(SamplingData[[#This Row],[Upper Range]], REPT("0",LEN('General Info'!$B$42))))</f>
        <v>28734 - 29458</v>
      </c>
      <c r="AF794" s="100">
        <f>SamplingData[[#This Row],[Upper Range]]-SamplingData[[#This Row],[Span]]</f>
        <v>28733.914822591967</v>
      </c>
      <c r="AG794" s="100">
        <f>IF(ISNUMBER('General Info'!$B$42), ((SamplingData[[#This Row],[up/U Selection Probability]]) * 'General Info'!$B$44) - 1, 0)</f>
        <v>724.51553330102865</v>
      </c>
      <c r="AH794" s="100">
        <f>IF(ISNUMBER('General Info'!$B$42), (SamplingData[[#This Row],[Running (cumulative) sum]] * ('General Info'!$B$42 -'General Info'!$B$43 + 1)) + 'General Info'!$B$43 - 1, 0)</f>
        <v>29458.430355892997</v>
      </c>
      <c r="AI794" s="100" t="str">
        <f>IF(ISERROR(MATCH(SamplingData[[#This Row],[Batch by Type (p)]],SelectedPrecincts[Batch Name], 0)), "", INDEX(SelectedPrecincts[Draw], MATCH(SamplingData[[#This Row],[Batch by Type (p)]],SelectedPrecincts[Batch Name], 0)))</f>
        <v/>
      </c>
      <c r="AJ794" s="101">
        <f>IF(COUNTIF(SelectedPrecincts[Batch Name],SamplingData[[#This Row],[Batch by Type (p)]]) &lt;&gt; 0, COUNTIF(SelectedPrecincts[Batch Name],SamplingData[[#This Row],[Batch by Type (p)]]), 0)</f>
        <v>0</v>
      </c>
    </row>
    <row r="795" spans="1:36" ht="15" customHeight="1" x14ac:dyDescent="0.35">
      <c r="A795" s="98" t="s">
        <v>1006</v>
      </c>
      <c r="B795" s="98">
        <v>203</v>
      </c>
      <c r="C795" s="98">
        <v>30</v>
      </c>
      <c r="D795" s="93"/>
      <c r="E795" s="93"/>
      <c r="F795" s="93"/>
      <c r="G795" s="97"/>
      <c r="H795" s="97"/>
      <c r="I795" s="93"/>
      <c r="J795" s="93"/>
      <c r="K795" s="93"/>
      <c r="L795" s="93"/>
      <c r="M795" s="93"/>
      <c r="N795" s="98">
        <v>0</v>
      </c>
      <c r="O795" s="98">
        <v>28</v>
      </c>
      <c r="P795" s="99">
        <f>SUM(SamplingData[[#This Row],[Winning Candidate]:[Under Votes]])</f>
        <v>261</v>
      </c>
      <c r="Q795" s="100">
        <f>IF(AND(SamplingData[[#This Row],[Total]]&lt;&gt; 0, NOT(ISBLANK(SamplingData[[#This Row],[Losing Candidate]]))),(SamplingData[[#This Row],[Total]]+SamplingData[[#This Row],[Winning Candidate]]-SamplingData[[#This Row],[Losing Candidate]])/(SamplingData[[#Totals],[Winning Candidate]]-SamplingData[[#Totals],[Losing Candidate]]), 0)</f>
        <v>1.3631937682570594E-2</v>
      </c>
      <c r="R795" s="100">
        <f>IF(AND(SamplingData[[#This Row],[Total]]&lt;&gt; 0, NOT(ISBLANK(SamplingData[[#This Row],[Candidate 3]]))),(SamplingData[[#This Row],[Total]]+SamplingData[[#This Row],[Winning Candidate]]-SamplingData[[#This Row],[Candidate 3]])/(SamplingData[[#Totals],[Winning Candidate]]-SamplingData[[#Totals],[Candidate 3]]), 0)</f>
        <v>0</v>
      </c>
      <c r="S795" s="100">
        <f>IF(AND(SamplingData[[#This Row],[Total]]&lt;&gt; 0, NOT(ISBLANK(SamplingData[[#This Row],[Candidate 4]]))),(SamplingData[[#This Row],[Total]]+SamplingData[[#This Row],[Winning Candidate]]-SamplingData[[#This Row],[Candidate 4]])/(SamplingData[[#Totals],[Winning Candidate]]-SamplingData[[#Totals],[Candidate 4]]), 0)</f>
        <v>0</v>
      </c>
      <c r="T795" s="100">
        <f>IF(AND(SamplingData[[#This Row],[Total]]&lt;&gt; 0, NOT(ISBLANK(SamplingData[[#This Row],[Candidate 5]]))),(SamplingData[[#This Row],[Total]]+SamplingData[[#This Row],[Winning Candidate]]-SamplingData[[#This Row],[Candidate 5]])/(SamplingData[[#Totals],[Winning Candidate]]-SamplingData[[#Totals],[Candidate 5]]), 0)</f>
        <v>0</v>
      </c>
      <c r="U795" s="100">
        <f>IF(AND(SamplingData[[#This Row],[Total]]&lt;&gt; 0, NOT(ISBLANK(SamplingData[[#This Row],[Candidate 6]]))),(SamplingData[[#This Row],[Total]]+SamplingData[[#This Row],[Losing Candidate]]-SamplingData[[#This Row],[Candidate 6]])/(SamplingData[[#Totals],[Winning Candidate]]-SamplingData[[#Totals],[Candidate 6]]), 0)</f>
        <v>0</v>
      </c>
      <c r="V795" s="100">
        <f>IF(AND(SamplingData[[#This Row],[Total]]&lt;&gt; 0, NOT(ISBLANK(SamplingData[[#This Row],[Candidate 7]]))),(SamplingData[[#This Row],[Total]]+SamplingData[[#This Row],[Winning Candidate]]-SamplingData[[#This Row],[Candidate 7]])/(SamplingData[[#Totals],[Winning Candidate]]-SamplingData[[#Totals],[Candidate 7]]), 0)</f>
        <v>0</v>
      </c>
      <c r="W795" s="100">
        <f>IF(AND(SamplingData[[#This Row],[Total]]&lt;&gt; 0, NOT(ISBLANK(SamplingData[[#This Row],[Candidate 8]]))),(SamplingData[[#This Row],[Total]]+SamplingData[[#This Row],[Winning Candidate]]-SamplingData[[#This Row],[Candidate 8]])/(SamplingData[[#Totals],[Winning Candidate]]-SamplingData[[#Totals],[Candidate 8]]), 0)</f>
        <v>0</v>
      </c>
      <c r="X7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00">
        <f>MAX(SamplingData[[#This Row],[Error Bound (up) - Max. possible relative overstatement - Losing Candidate]:[Error Bound (up) - Max. possible relative overstatement - Candidate 12]])</f>
        <v>1.3631937682570594E-2</v>
      </c>
      <c r="AC795" s="100">
        <f>IF(SamplingData[[#This Row],[Max Error Bound (up)]] = 0,0,SamplingData[[#This Row],[Max Error Bound (up)]]/SamplingData[[#Totals],[Max Error Bound (up)]])</f>
        <v>5.8418133850212696E-3</v>
      </c>
      <c r="AD795" s="104">
        <f>SUM($AC$5:AC795)</f>
        <v>0.30043611694395123</v>
      </c>
      <c r="AE795" s="100" t="str" cm="1">
        <f t="array" ref="AE795">IF(SamplingData[[#This Row],[up/U Selection Probability]] = 0, "Zero", TEXT(SamplingData[[#This Row],[Lower Range]], REPT("0",LEN('General Info'!$B$42))) &amp; " - " &amp; TEXT(SamplingData[[#This Row],[Upper Range]], REPT("0",LEN('General Info'!$B$42))))</f>
        <v>29459 - 30043</v>
      </c>
      <c r="AF795" s="100">
        <f>SamplingData[[#This Row],[Upper Range]]-SamplingData[[#This Row],[Span]]</f>
        <v>29459.430355892997</v>
      </c>
      <c r="AG795" s="100">
        <f>IF(ISNUMBER('General Info'!$B$42), ((SamplingData[[#This Row],[up/U Selection Probability]]) * 'General Info'!$B$44) - 1, 0)</f>
        <v>583.18133850212701</v>
      </c>
      <c r="AH795" s="100">
        <f>IF(ISNUMBER('General Info'!$B$42), (SamplingData[[#This Row],[Running (cumulative) sum]] * ('General Info'!$B$42 -'General Info'!$B$43 + 1)) + 'General Info'!$B$43 - 1, 0)</f>
        <v>30042.611694395124</v>
      </c>
      <c r="AI795" s="100" t="str">
        <f>IF(ISERROR(MATCH(SamplingData[[#This Row],[Batch by Type (p)]],SelectedPrecincts[Batch Name], 0)), "", INDEX(SelectedPrecincts[Draw], MATCH(SamplingData[[#This Row],[Batch by Type (p)]],SelectedPrecincts[Batch Name], 0)))</f>
        <v/>
      </c>
      <c r="AJ795" s="101">
        <f>IF(COUNTIF(SelectedPrecincts[Batch Name],SamplingData[[#This Row],[Batch by Type (p)]]) &lt;&gt; 0, COUNTIF(SelectedPrecincts[Batch Name],SamplingData[[#This Row],[Batch by Type (p)]]), 0)</f>
        <v>0</v>
      </c>
    </row>
    <row r="796" spans="1:36" ht="15" customHeight="1" x14ac:dyDescent="0.35">
      <c r="A796" s="98" t="s">
        <v>1007</v>
      </c>
      <c r="B796" s="98">
        <v>206</v>
      </c>
      <c r="C796" s="98">
        <v>25</v>
      </c>
      <c r="D796" s="93"/>
      <c r="E796" s="93"/>
      <c r="F796" s="93"/>
      <c r="G796" s="97"/>
      <c r="H796" s="97"/>
      <c r="I796" s="93"/>
      <c r="J796" s="93"/>
      <c r="K796" s="93"/>
      <c r="L796" s="93"/>
      <c r="M796" s="93"/>
      <c r="N796" s="98">
        <v>0</v>
      </c>
      <c r="O796" s="98">
        <v>20</v>
      </c>
      <c r="P796" s="99">
        <f>SUM(SamplingData[[#This Row],[Winning Candidate]:[Under Votes]])</f>
        <v>251</v>
      </c>
      <c r="Q796" s="100">
        <f>IF(AND(SamplingData[[#This Row],[Total]]&lt;&gt; 0, NOT(ISBLANK(SamplingData[[#This Row],[Losing Candidate]]))),(SamplingData[[#This Row],[Total]]+SamplingData[[#This Row],[Winning Candidate]]-SamplingData[[#This Row],[Losing Candidate]])/(SamplingData[[#Totals],[Winning Candidate]]-SamplingData[[#Totals],[Losing Candidate]]), 0)</f>
        <v>1.3569117693249992E-2</v>
      </c>
      <c r="R796" s="100">
        <f>IF(AND(SamplingData[[#This Row],[Total]]&lt;&gt; 0, NOT(ISBLANK(SamplingData[[#This Row],[Candidate 3]]))),(SamplingData[[#This Row],[Total]]+SamplingData[[#This Row],[Winning Candidate]]-SamplingData[[#This Row],[Candidate 3]])/(SamplingData[[#Totals],[Winning Candidate]]-SamplingData[[#Totals],[Candidate 3]]), 0)</f>
        <v>0</v>
      </c>
      <c r="S796" s="100">
        <f>IF(AND(SamplingData[[#This Row],[Total]]&lt;&gt; 0, NOT(ISBLANK(SamplingData[[#This Row],[Candidate 4]]))),(SamplingData[[#This Row],[Total]]+SamplingData[[#This Row],[Winning Candidate]]-SamplingData[[#This Row],[Candidate 4]])/(SamplingData[[#Totals],[Winning Candidate]]-SamplingData[[#Totals],[Candidate 4]]), 0)</f>
        <v>0</v>
      </c>
      <c r="T796" s="100">
        <f>IF(AND(SamplingData[[#This Row],[Total]]&lt;&gt; 0, NOT(ISBLANK(SamplingData[[#This Row],[Candidate 5]]))),(SamplingData[[#This Row],[Total]]+SamplingData[[#This Row],[Winning Candidate]]-SamplingData[[#This Row],[Candidate 5]])/(SamplingData[[#Totals],[Winning Candidate]]-SamplingData[[#Totals],[Candidate 5]]), 0)</f>
        <v>0</v>
      </c>
      <c r="U796" s="100">
        <f>IF(AND(SamplingData[[#This Row],[Total]]&lt;&gt; 0, NOT(ISBLANK(SamplingData[[#This Row],[Candidate 6]]))),(SamplingData[[#This Row],[Total]]+SamplingData[[#This Row],[Losing Candidate]]-SamplingData[[#This Row],[Candidate 6]])/(SamplingData[[#Totals],[Winning Candidate]]-SamplingData[[#Totals],[Candidate 6]]), 0)</f>
        <v>0</v>
      </c>
      <c r="V796" s="100">
        <f>IF(AND(SamplingData[[#This Row],[Total]]&lt;&gt; 0, NOT(ISBLANK(SamplingData[[#This Row],[Candidate 7]]))),(SamplingData[[#This Row],[Total]]+SamplingData[[#This Row],[Winning Candidate]]-SamplingData[[#This Row],[Candidate 7]])/(SamplingData[[#Totals],[Winning Candidate]]-SamplingData[[#Totals],[Candidate 7]]), 0)</f>
        <v>0</v>
      </c>
      <c r="W796" s="100">
        <f>IF(AND(SamplingData[[#This Row],[Total]]&lt;&gt; 0, NOT(ISBLANK(SamplingData[[#This Row],[Candidate 8]]))),(SamplingData[[#This Row],[Total]]+SamplingData[[#This Row],[Winning Candidate]]-SamplingData[[#This Row],[Candidate 8]])/(SamplingData[[#Totals],[Winning Candidate]]-SamplingData[[#Totals],[Candidate 8]]), 0)</f>
        <v>0</v>
      </c>
      <c r="X7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00">
        <f>MAX(SamplingData[[#This Row],[Error Bound (up) - Max. possible relative overstatement - Losing Candidate]:[Error Bound (up) - Max. possible relative overstatement - Candidate 12]])</f>
        <v>1.3569117693249992E-2</v>
      </c>
      <c r="AC796" s="100">
        <f>IF(SamplingData[[#This Row],[Max Error Bound (up)]] = 0,0,SamplingData[[#This Row],[Max Error Bound (up)]]/SamplingData[[#Totals],[Max Error Bound (up)]])</f>
        <v>5.8148925860119554E-3</v>
      </c>
      <c r="AD796" s="104">
        <f>SUM($AC$5:AC796)</f>
        <v>0.3062510095299632</v>
      </c>
      <c r="AE796" s="100" t="str" cm="1">
        <f t="array" ref="AE796">IF(SamplingData[[#This Row],[up/U Selection Probability]] = 0, "Zero", TEXT(SamplingData[[#This Row],[Lower Range]], REPT("0",LEN('General Info'!$B$42))) &amp; " - " &amp; TEXT(SamplingData[[#This Row],[Upper Range]], REPT("0",LEN('General Info'!$B$42))))</f>
        <v>30044 - 30624</v>
      </c>
      <c r="AF796" s="100">
        <f>SamplingData[[#This Row],[Upper Range]]-SamplingData[[#This Row],[Span]]</f>
        <v>30043.611694395124</v>
      </c>
      <c r="AG796" s="100">
        <f>IF(ISNUMBER('General Info'!$B$42), ((SamplingData[[#This Row],[up/U Selection Probability]]) * 'General Info'!$B$44) - 1, 0)</f>
        <v>580.4892586011955</v>
      </c>
      <c r="AH796" s="100">
        <f>IF(ISNUMBER('General Info'!$B$42), (SamplingData[[#This Row],[Running (cumulative) sum]] * ('General Info'!$B$42 -'General Info'!$B$43 + 1)) + 'General Info'!$B$43 - 1, 0)</f>
        <v>30624.100952996319</v>
      </c>
      <c r="AI796" s="100" t="str">
        <f>IF(ISERROR(MATCH(SamplingData[[#This Row],[Batch by Type (p)]],SelectedPrecincts[Batch Name], 0)), "", INDEX(SelectedPrecincts[Draw], MATCH(SamplingData[[#This Row],[Batch by Type (p)]],SelectedPrecincts[Batch Name], 0)))</f>
        <v/>
      </c>
      <c r="AJ796" s="101">
        <f>IF(COUNTIF(SelectedPrecincts[Batch Name],SamplingData[[#This Row],[Batch by Type (p)]]) &lt;&gt; 0, COUNTIF(SelectedPrecincts[Batch Name],SamplingData[[#This Row],[Batch by Type (p)]]), 0)</f>
        <v>0</v>
      </c>
    </row>
    <row r="797" spans="1:36" ht="15" customHeight="1" x14ac:dyDescent="0.35">
      <c r="A797" s="98" t="s">
        <v>1008</v>
      </c>
      <c r="B797" s="98">
        <v>66</v>
      </c>
      <c r="C797" s="98">
        <v>8</v>
      </c>
      <c r="D797" s="93"/>
      <c r="E797" s="93"/>
      <c r="F797" s="93"/>
      <c r="G797" s="97"/>
      <c r="H797" s="97"/>
      <c r="I797" s="93"/>
      <c r="J797" s="93"/>
      <c r="K797" s="93"/>
      <c r="L797" s="93"/>
      <c r="M797" s="93"/>
      <c r="N797" s="98">
        <v>0</v>
      </c>
      <c r="O797" s="98">
        <v>0</v>
      </c>
      <c r="P797" s="99">
        <f>SUM(SamplingData[[#This Row],[Winning Candidate]:[Under Votes]])</f>
        <v>74</v>
      </c>
      <c r="Q797" s="100">
        <f>IF(AND(SamplingData[[#This Row],[Total]]&lt;&gt; 0, NOT(ISBLANK(SamplingData[[#This Row],[Losing Candidate]]))),(SamplingData[[#This Row],[Total]]+SamplingData[[#This Row],[Winning Candidate]]-SamplingData[[#This Row],[Losing Candidate]])/(SamplingData[[#Totals],[Winning Candidate]]-SamplingData[[#Totals],[Losing Candidate]]), 0)</f>
        <v>4.1461192951597198E-3</v>
      </c>
      <c r="R797" s="100">
        <f>IF(AND(SamplingData[[#This Row],[Total]]&lt;&gt; 0, NOT(ISBLANK(SamplingData[[#This Row],[Candidate 3]]))),(SamplingData[[#This Row],[Total]]+SamplingData[[#This Row],[Winning Candidate]]-SamplingData[[#This Row],[Candidate 3]])/(SamplingData[[#Totals],[Winning Candidate]]-SamplingData[[#Totals],[Candidate 3]]), 0)</f>
        <v>0</v>
      </c>
      <c r="S797" s="100">
        <f>IF(AND(SamplingData[[#This Row],[Total]]&lt;&gt; 0, NOT(ISBLANK(SamplingData[[#This Row],[Candidate 4]]))),(SamplingData[[#This Row],[Total]]+SamplingData[[#This Row],[Winning Candidate]]-SamplingData[[#This Row],[Candidate 4]])/(SamplingData[[#Totals],[Winning Candidate]]-SamplingData[[#Totals],[Candidate 4]]), 0)</f>
        <v>0</v>
      </c>
      <c r="T797" s="100">
        <f>IF(AND(SamplingData[[#This Row],[Total]]&lt;&gt; 0, NOT(ISBLANK(SamplingData[[#This Row],[Candidate 5]]))),(SamplingData[[#This Row],[Total]]+SamplingData[[#This Row],[Winning Candidate]]-SamplingData[[#This Row],[Candidate 5]])/(SamplingData[[#Totals],[Winning Candidate]]-SamplingData[[#Totals],[Candidate 5]]), 0)</f>
        <v>0</v>
      </c>
      <c r="U797" s="100">
        <f>IF(AND(SamplingData[[#This Row],[Total]]&lt;&gt; 0, NOT(ISBLANK(SamplingData[[#This Row],[Candidate 6]]))),(SamplingData[[#This Row],[Total]]+SamplingData[[#This Row],[Losing Candidate]]-SamplingData[[#This Row],[Candidate 6]])/(SamplingData[[#Totals],[Winning Candidate]]-SamplingData[[#Totals],[Candidate 6]]), 0)</f>
        <v>0</v>
      </c>
      <c r="V797" s="100">
        <f>IF(AND(SamplingData[[#This Row],[Total]]&lt;&gt; 0, NOT(ISBLANK(SamplingData[[#This Row],[Candidate 7]]))),(SamplingData[[#This Row],[Total]]+SamplingData[[#This Row],[Winning Candidate]]-SamplingData[[#This Row],[Candidate 7]])/(SamplingData[[#Totals],[Winning Candidate]]-SamplingData[[#Totals],[Candidate 7]]), 0)</f>
        <v>0</v>
      </c>
      <c r="W797" s="100">
        <f>IF(AND(SamplingData[[#This Row],[Total]]&lt;&gt; 0, NOT(ISBLANK(SamplingData[[#This Row],[Candidate 8]]))),(SamplingData[[#This Row],[Total]]+SamplingData[[#This Row],[Winning Candidate]]-SamplingData[[#This Row],[Candidate 8]])/(SamplingData[[#Totals],[Winning Candidate]]-SamplingData[[#Totals],[Candidate 8]]), 0)</f>
        <v>0</v>
      </c>
      <c r="X7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00">
        <f>MAX(SamplingData[[#This Row],[Error Bound (up) - Max. possible relative overstatement - Losing Candidate]:[Error Bound (up) - Max. possible relative overstatement - Candidate 12]])</f>
        <v>4.1461192951597198E-3</v>
      </c>
      <c r="AC797" s="100">
        <f>IF(SamplingData[[#This Row],[Max Error Bound (up)]] = 0,0,SamplingData[[#This Row],[Max Error Bound (up)]]/SamplingData[[#Totals],[Max Error Bound (up)]])</f>
        <v>1.776772734614764E-3</v>
      </c>
      <c r="AD797" s="104">
        <f>SUM($AC$5:AC797)</f>
        <v>0.30802778226457794</v>
      </c>
      <c r="AE797" s="100" t="str" cm="1">
        <f t="array" ref="AE797">IF(SamplingData[[#This Row],[up/U Selection Probability]] = 0, "Zero", TEXT(SamplingData[[#This Row],[Lower Range]], REPT("0",LEN('General Info'!$B$42))) &amp; " - " &amp; TEXT(SamplingData[[#This Row],[Upper Range]], REPT("0",LEN('General Info'!$B$42))))</f>
        <v>30625 - 30802</v>
      </c>
      <c r="AF797" s="100">
        <f>SamplingData[[#This Row],[Upper Range]]-SamplingData[[#This Row],[Span]]</f>
        <v>30625.100952996319</v>
      </c>
      <c r="AG797" s="100">
        <f>IF(ISNUMBER('General Info'!$B$42), ((SamplingData[[#This Row],[up/U Selection Probability]]) * 'General Info'!$B$44) - 1, 0)</f>
        <v>176.6772734614764</v>
      </c>
      <c r="AH797" s="100">
        <f>IF(ISNUMBER('General Info'!$B$42), (SamplingData[[#This Row],[Running (cumulative) sum]] * ('General Info'!$B$42 -'General Info'!$B$43 + 1)) + 'General Info'!$B$43 - 1, 0)</f>
        <v>30801.778226457795</v>
      </c>
      <c r="AI797" s="100" t="str">
        <f>IF(ISERROR(MATCH(SamplingData[[#This Row],[Batch by Type (p)]],SelectedPrecincts[Batch Name], 0)), "", INDEX(SelectedPrecincts[Draw], MATCH(SamplingData[[#This Row],[Batch by Type (p)]],SelectedPrecincts[Batch Name], 0)))</f>
        <v/>
      </c>
      <c r="AJ797" s="101">
        <f>IF(COUNTIF(SelectedPrecincts[Batch Name],SamplingData[[#This Row],[Batch by Type (p)]]) &lt;&gt; 0, COUNTIF(SelectedPrecincts[Batch Name],SamplingData[[#This Row],[Batch by Type (p)]]), 0)</f>
        <v>0</v>
      </c>
    </row>
    <row r="798" spans="1:36" ht="15" customHeight="1" x14ac:dyDescent="0.35">
      <c r="A798" s="98" t="s">
        <v>1009</v>
      </c>
      <c r="B798" s="98">
        <v>104</v>
      </c>
      <c r="C798" s="98">
        <v>13</v>
      </c>
      <c r="D798" s="93"/>
      <c r="E798" s="93"/>
      <c r="F798" s="93"/>
      <c r="G798" s="97"/>
      <c r="H798" s="97"/>
      <c r="I798" s="93"/>
      <c r="J798" s="93"/>
      <c r="K798" s="93"/>
      <c r="L798" s="93"/>
      <c r="M798" s="93"/>
      <c r="N798" s="98">
        <v>1</v>
      </c>
      <c r="O798" s="98">
        <v>2</v>
      </c>
      <c r="P798" s="99">
        <f>SUM(SamplingData[[#This Row],[Winning Candidate]:[Under Votes]])</f>
        <v>120</v>
      </c>
      <c r="Q798" s="100">
        <f>IF(AND(SamplingData[[#This Row],[Total]]&lt;&gt; 0, NOT(ISBLANK(SamplingData[[#This Row],[Losing Candidate]]))),(SamplingData[[#This Row],[Total]]+SamplingData[[#This Row],[Winning Candidate]]-SamplingData[[#This Row],[Losing Candidate]])/(SamplingData[[#Totals],[Winning Candidate]]-SamplingData[[#Totals],[Losing Candidate]]), 0)</f>
        <v>6.6275088733234915E-3</v>
      </c>
      <c r="R798" s="100">
        <f>IF(AND(SamplingData[[#This Row],[Total]]&lt;&gt; 0, NOT(ISBLANK(SamplingData[[#This Row],[Candidate 3]]))),(SamplingData[[#This Row],[Total]]+SamplingData[[#This Row],[Winning Candidate]]-SamplingData[[#This Row],[Candidate 3]])/(SamplingData[[#Totals],[Winning Candidate]]-SamplingData[[#Totals],[Candidate 3]]), 0)</f>
        <v>0</v>
      </c>
      <c r="S798" s="100">
        <f>IF(AND(SamplingData[[#This Row],[Total]]&lt;&gt; 0, NOT(ISBLANK(SamplingData[[#This Row],[Candidate 4]]))),(SamplingData[[#This Row],[Total]]+SamplingData[[#This Row],[Winning Candidate]]-SamplingData[[#This Row],[Candidate 4]])/(SamplingData[[#Totals],[Winning Candidate]]-SamplingData[[#Totals],[Candidate 4]]), 0)</f>
        <v>0</v>
      </c>
      <c r="T798" s="100">
        <f>IF(AND(SamplingData[[#This Row],[Total]]&lt;&gt; 0, NOT(ISBLANK(SamplingData[[#This Row],[Candidate 5]]))),(SamplingData[[#This Row],[Total]]+SamplingData[[#This Row],[Winning Candidate]]-SamplingData[[#This Row],[Candidate 5]])/(SamplingData[[#Totals],[Winning Candidate]]-SamplingData[[#Totals],[Candidate 5]]), 0)</f>
        <v>0</v>
      </c>
      <c r="U798" s="100">
        <f>IF(AND(SamplingData[[#This Row],[Total]]&lt;&gt; 0, NOT(ISBLANK(SamplingData[[#This Row],[Candidate 6]]))),(SamplingData[[#This Row],[Total]]+SamplingData[[#This Row],[Losing Candidate]]-SamplingData[[#This Row],[Candidate 6]])/(SamplingData[[#Totals],[Winning Candidate]]-SamplingData[[#Totals],[Candidate 6]]), 0)</f>
        <v>0</v>
      </c>
      <c r="V798" s="100">
        <f>IF(AND(SamplingData[[#This Row],[Total]]&lt;&gt; 0, NOT(ISBLANK(SamplingData[[#This Row],[Candidate 7]]))),(SamplingData[[#This Row],[Total]]+SamplingData[[#This Row],[Winning Candidate]]-SamplingData[[#This Row],[Candidate 7]])/(SamplingData[[#Totals],[Winning Candidate]]-SamplingData[[#Totals],[Candidate 7]]), 0)</f>
        <v>0</v>
      </c>
      <c r="W798" s="100">
        <f>IF(AND(SamplingData[[#This Row],[Total]]&lt;&gt; 0, NOT(ISBLANK(SamplingData[[#This Row],[Candidate 8]]))),(SamplingData[[#This Row],[Total]]+SamplingData[[#This Row],[Winning Candidate]]-SamplingData[[#This Row],[Candidate 8]])/(SamplingData[[#Totals],[Winning Candidate]]-SamplingData[[#Totals],[Candidate 8]]), 0)</f>
        <v>0</v>
      </c>
      <c r="X7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00">
        <f>MAX(SamplingData[[#This Row],[Error Bound (up) - Max. possible relative overstatement - Losing Candidate]:[Error Bound (up) - Max. possible relative overstatement - Candidate 12]])</f>
        <v>6.6275088733234915E-3</v>
      </c>
      <c r="AC798" s="100">
        <f>IF(SamplingData[[#This Row],[Max Error Bound (up)]] = 0,0,SamplingData[[#This Row],[Max Error Bound (up)]]/SamplingData[[#Totals],[Max Error Bound (up)]])</f>
        <v>2.840144295482691E-3</v>
      </c>
      <c r="AD798" s="104">
        <f>SUM($AC$5:AC798)</f>
        <v>0.31086792656006063</v>
      </c>
      <c r="AE798" s="100" t="str" cm="1">
        <f t="array" ref="AE798">IF(SamplingData[[#This Row],[up/U Selection Probability]] = 0, "Zero", TEXT(SamplingData[[#This Row],[Lower Range]], REPT("0",LEN('General Info'!$B$42))) &amp; " - " &amp; TEXT(SamplingData[[#This Row],[Upper Range]], REPT("0",LEN('General Info'!$B$42))))</f>
        <v>30803 - 31086</v>
      </c>
      <c r="AF798" s="100">
        <f>SamplingData[[#This Row],[Upper Range]]-SamplingData[[#This Row],[Span]]</f>
        <v>30802.778226457795</v>
      </c>
      <c r="AG798" s="100">
        <f>IF(ISNUMBER('General Info'!$B$42), ((SamplingData[[#This Row],[up/U Selection Probability]]) * 'General Info'!$B$44) - 1, 0)</f>
        <v>283.01442954826911</v>
      </c>
      <c r="AH798" s="100">
        <f>IF(ISNUMBER('General Info'!$B$42), (SamplingData[[#This Row],[Running (cumulative) sum]] * ('General Info'!$B$42 -'General Info'!$B$43 + 1)) + 'General Info'!$B$43 - 1, 0)</f>
        <v>31085.792656006062</v>
      </c>
      <c r="AI798" s="100" t="str">
        <f>IF(ISERROR(MATCH(SamplingData[[#This Row],[Batch by Type (p)]],SelectedPrecincts[Batch Name], 0)), "", INDEX(SelectedPrecincts[Draw], MATCH(SamplingData[[#This Row],[Batch by Type (p)]],SelectedPrecincts[Batch Name], 0)))</f>
        <v/>
      </c>
      <c r="AJ798" s="101">
        <f>IF(COUNTIF(SelectedPrecincts[Batch Name],SamplingData[[#This Row],[Batch by Type (p)]]) &lt;&gt; 0, COUNTIF(SelectedPrecincts[Batch Name],SamplingData[[#This Row],[Batch by Type (p)]]), 0)</f>
        <v>0</v>
      </c>
    </row>
    <row r="799" spans="1:36" ht="15" customHeight="1" x14ac:dyDescent="0.35">
      <c r="A799" s="98" t="s">
        <v>1010</v>
      </c>
      <c r="B799" s="98">
        <v>78</v>
      </c>
      <c r="C799" s="98">
        <v>11</v>
      </c>
      <c r="D799" s="93"/>
      <c r="E799" s="93"/>
      <c r="F799" s="93"/>
      <c r="G799" s="97"/>
      <c r="H799" s="97"/>
      <c r="I799" s="93"/>
      <c r="J799" s="93"/>
      <c r="K799" s="93"/>
      <c r="L799" s="93"/>
      <c r="M799" s="93"/>
      <c r="N799" s="98">
        <v>0</v>
      </c>
      <c r="O799" s="98">
        <v>2</v>
      </c>
      <c r="P799" s="99">
        <f>SUM(SamplingData[[#This Row],[Winning Candidate]:[Under Votes]])</f>
        <v>91</v>
      </c>
      <c r="Q799" s="100">
        <f>IF(AND(SamplingData[[#This Row],[Total]]&lt;&gt; 0, NOT(ISBLANK(SamplingData[[#This Row],[Losing Candidate]]))),(SamplingData[[#This Row],[Total]]+SamplingData[[#This Row],[Winning Candidate]]-SamplingData[[#This Row],[Losing Candidate]])/(SamplingData[[#Totals],[Winning Candidate]]-SamplingData[[#Totals],[Losing Candidate]]), 0)</f>
        <v>4.9627791563275434E-3</v>
      </c>
      <c r="R799" s="100">
        <f>IF(AND(SamplingData[[#This Row],[Total]]&lt;&gt; 0, NOT(ISBLANK(SamplingData[[#This Row],[Candidate 3]]))),(SamplingData[[#This Row],[Total]]+SamplingData[[#This Row],[Winning Candidate]]-SamplingData[[#This Row],[Candidate 3]])/(SamplingData[[#Totals],[Winning Candidate]]-SamplingData[[#Totals],[Candidate 3]]), 0)</f>
        <v>0</v>
      </c>
      <c r="S799" s="100">
        <f>IF(AND(SamplingData[[#This Row],[Total]]&lt;&gt; 0, NOT(ISBLANK(SamplingData[[#This Row],[Candidate 4]]))),(SamplingData[[#This Row],[Total]]+SamplingData[[#This Row],[Winning Candidate]]-SamplingData[[#This Row],[Candidate 4]])/(SamplingData[[#Totals],[Winning Candidate]]-SamplingData[[#Totals],[Candidate 4]]), 0)</f>
        <v>0</v>
      </c>
      <c r="T799" s="100">
        <f>IF(AND(SamplingData[[#This Row],[Total]]&lt;&gt; 0, NOT(ISBLANK(SamplingData[[#This Row],[Candidate 5]]))),(SamplingData[[#This Row],[Total]]+SamplingData[[#This Row],[Winning Candidate]]-SamplingData[[#This Row],[Candidate 5]])/(SamplingData[[#Totals],[Winning Candidate]]-SamplingData[[#Totals],[Candidate 5]]), 0)</f>
        <v>0</v>
      </c>
      <c r="U799" s="100">
        <f>IF(AND(SamplingData[[#This Row],[Total]]&lt;&gt; 0, NOT(ISBLANK(SamplingData[[#This Row],[Candidate 6]]))),(SamplingData[[#This Row],[Total]]+SamplingData[[#This Row],[Losing Candidate]]-SamplingData[[#This Row],[Candidate 6]])/(SamplingData[[#Totals],[Winning Candidate]]-SamplingData[[#Totals],[Candidate 6]]), 0)</f>
        <v>0</v>
      </c>
      <c r="V799" s="100">
        <f>IF(AND(SamplingData[[#This Row],[Total]]&lt;&gt; 0, NOT(ISBLANK(SamplingData[[#This Row],[Candidate 7]]))),(SamplingData[[#This Row],[Total]]+SamplingData[[#This Row],[Winning Candidate]]-SamplingData[[#This Row],[Candidate 7]])/(SamplingData[[#Totals],[Winning Candidate]]-SamplingData[[#Totals],[Candidate 7]]), 0)</f>
        <v>0</v>
      </c>
      <c r="W799" s="100">
        <f>IF(AND(SamplingData[[#This Row],[Total]]&lt;&gt; 0, NOT(ISBLANK(SamplingData[[#This Row],[Candidate 8]]))),(SamplingData[[#This Row],[Total]]+SamplingData[[#This Row],[Winning Candidate]]-SamplingData[[#This Row],[Candidate 8]])/(SamplingData[[#Totals],[Winning Candidate]]-SamplingData[[#Totals],[Candidate 8]]), 0)</f>
        <v>0</v>
      </c>
      <c r="X7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00">
        <f>MAX(SamplingData[[#This Row],[Error Bound (up) - Max. possible relative overstatement - Losing Candidate]:[Error Bound (up) - Max. possible relative overstatement - Candidate 12]])</f>
        <v>4.9627791563275434E-3</v>
      </c>
      <c r="AC799" s="100">
        <f>IF(SamplingData[[#This Row],[Max Error Bound (up)]] = 0,0,SamplingData[[#This Row],[Max Error Bound (up)]]/SamplingData[[#Totals],[Max Error Bound (up)]])</f>
        <v>2.126743121735854E-3</v>
      </c>
      <c r="AD799" s="104">
        <f>SUM($AC$5:AC799)</f>
        <v>0.31299466968179646</v>
      </c>
      <c r="AE799" s="100" t="str" cm="1">
        <f t="array" ref="AE799">IF(SamplingData[[#This Row],[up/U Selection Probability]] = 0, "Zero", TEXT(SamplingData[[#This Row],[Lower Range]], REPT("0",LEN('General Info'!$B$42))) &amp; " - " &amp; TEXT(SamplingData[[#This Row],[Upper Range]], REPT("0",LEN('General Info'!$B$42))))</f>
        <v>31087 - 31298</v>
      </c>
      <c r="AF799" s="100">
        <f>SamplingData[[#This Row],[Upper Range]]-SamplingData[[#This Row],[Span]]</f>
        <v>31086.792656006059</v>
      </c>
      <c r="AG799" s="100">
        <f>IF(ISNUMBER('General Info'!$B$42), ((SamplingData[[#This Row],[up/U Selection Probability]]) * 'General Info'!$B$44) - 1, 0)</f>
        <v>211.67431217358541</v>
      </c>
      <c r="AH799" s="100">
        <f>IF(ISNUMBER('General Info'!$B$42), (SamplingData[[#This Row],[Running (cumulative) sum]] * ('General Info'!$B$42 -'General Info'!$B$43 + 1)) + 'General Info'!$B$43 - 1, 0)</f>
        <v>31298.466968179644</v>
      </c>
      <c r="AI799" s="100" t="str">
        <f>IF(ISERROR(MATCH(SamplingData[[#This Row],[Batch by Type (p)]],SelectedPrecincts[Batch Name], 0)), "", INDEX(SelectedPrecincts[Draw], MATCH(SamplingData[[#This Row],[Batch by Type (p)]],SelectedPrecincts[Batch Name], 0)))</f>
        <v/>
      </c>
      <c r="AJ799" s="101">
        <f>IF(COUNTIF(SelectedPrecincts[Batch Name],SamplingData[[#This Row],[Batch by Type (p)]]) &lt;&gt; 0, COUNTIF(SelectedPrecincts[Batch Name],SamplingData[[#This Row],[Batch by Type (p)]]), 0)</f>
        <v>0</v>
      </c>
    </row>
    <row r="800" spans="1:36" ht="15" customHeight="1" x14ac:dyDescent="0.35">
      <c r="A800" s="98" t="s">
        <v>1011</v>
      </c>
      <c r="B800" s="98">
        <v>63</v>
      </c>
      <c r="C800" s="98">
        <v>4</v>
      </c>
      <c r="D800" s="93"/>
      <c r="E800" s="93"/>
      <c r="F800" s="93"/>
      <c r="G800" s="97"/>
      <c r="H800" s="97"/>
      <c r="I800" s="93"/>
      <c r="J800" s="93"/>
      <c r="K800" s="93"/>
      <c r="L800" s="93"/>
      <c r="M800" s="93"/>
      <c r="N800" s="98">
        <v>0</v>
      </c>
      <c r="O800" s="98">
        <v>1</v>
      </c>
      <c r="P800" s="99">
        <f>SUM(SamplingData[[#This Row],[Winning Candidate]:[Under Votes]])</f>
        <v>68</v>
      </c>
      <c r="Q800" s="100">
        <f>IF(AND(SamplingData[[#This Row],[Total]]&lt;&gt; 0, NOT(ISBLANK(SamplingData[[#This Row],[Losing Candidate]]))),(SamplingData[[#This Row],[Total]]+SamplingData[[#This Row],[Winning Candidate]]-SamplingData[[#This Row],[Losing Candidate]])/(SamplingData[[#Totals],[Winning Candidate]]-SamplingData[[#Totals],[Losing Candidate]]), 0)</f>
        <v>3.989069321858215E-3</v>
      </c>
      <c r="R800" s="100">
        <f>IF(AND(SamplingData[[#This Row],[Total]]&lt;&gt; 0, NOT(ISBLANK(SamplingData[[#This Row],[Candidate 3]]))),(SamplingData[[#This Row],[Total]]+SamplingData[[#This Row],[Winning Candidate]]-SamplingData[[#This Row],[Candidate 3]])/(SamplingData[[#Totals],[Winning Candidate]]-SamplingData[[#Totals],[Candidate 3]]), 0)</f>
        <v>0</v>
      </c>
      <c r="S800" s="100">
        <f>IF(AND(SamplingData[[#This Row],[Total]]&lt;&gt; 0, NOT(ISBLANK(SamplingData[[#This Row],[Candidate 4]]))),(SamplingData[[#This Row],[Total]]+SamplingData[[#This Row],[Winning Candidate]]-SamplingData[[#This Row],[Candidate 4]])/(SamplingData[[#Totals],[Winning Candidate]]-SamplingData[[#Totals],[Candidate 4]]), 0)</f>
        <v>0</v>
      </c>
      <c r="T800" s="100">
        <f>IF(AND(SamplingData[[#This Row],[Total]]&lt;&gt; 0, NOT(ISBLANK(SamplingData[[#This Row],[Candidate 5]]))),(SamplingData[[#This Row],[Total]]+SamplingData[[#This Row],[Winning Candidate]]-SamplingData[[#This Row],[Candidate 5]])/(SamplingData[[#Totals],[Winning Candidate]]-SamplingData[[#Totals],[Candidate 5]]), 0)</f>
        <v>0</v>
      </c>
      <c r="U800" s="100">
        <f>IF(AND(SamplingData[[#This Row],[Total]]&lt;&gt; 0, NOT(ISBLANK(SamplingData[[#This Row],[Candidate 6]]))),(SamplingData[[#This Row],[Total]]+SamplingData[[#This Row],[Losing Candidate]]-SamplingData[[#This Row],[Candidate 6]])/(SamplingData[[#Totals],[Winning Candidate]]-SamplingData[[#Totals],[Candidate 6]]), 0)</f>
        <v>0</v>
      </c>
      <c r="V800" s="100">
        <f>IF(AND(SamplingData[[#This Row],[Total]]&lt;&gt; 0, NOT(ISBLANK(SamplingData[[#This Row],[Candidate 7]]))),(SamplingData[[#This Row],[Total]]+SamplingData[[#This Row],[Winning Candidate]]-SamplingData[[#This Row],[Candidate 7]])/(SamplingData[[#Totals],[Winning Candidate]]-SamplingData[[#Totals],[Candidate 7]]), 0)</f>
        <v>0</v>
      </c>
      <c r="W800" s="100">
        <f>IF(AND(SamplingData[[#This Row],[Total]]&lt;&gt; 0, NOT(ISBLANK(SamplingData[[#This Row],[Candidate 8]]))),(SamplingData[[#This Row],[Total]]+SamplingData[[#This Row],[Winning Candidate]]-SamplingData[[#This Row],[Candidate 8]])/(SamplingData[[#Totals],[Winning Candidate]]-SamplingData[[#Totals],[Candidate 8]]), 0)</f>
        <v>0</v>
      </c>
      <c r="X8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00">
        <f>MAX(SamplingData[[#This Row],[Error Bound (up) - Max. possible relative overstatement - Losing Candidate]:[Error Bound (up) - Max. possible relative overstatement - Candidate 12]])</f>
        <v>3.989069321858215E-3</v>
      </c>
      <c r="AC800" s="100">
        <f>IF(SamplingData[[#This Row],[Max Error Bound (up)]] = 0,0,SamplingData[[#This Row],[Max Error Bound (up)]]/SamplingData[[#Totals],[Max Error Bound (up)]])</f>
        <v>1.7094707370914773E-3</v>
      </c>
      <c r="AD800" s="104">
        <f>SUM($AC$5:AC800)</f>
        <v>0.31470414041888795</v>
      </c>
      <c r="AE800" s="100" t="str" cm="1">
        <f t="array" ref="AE800">IF(SamplingData[[#This Row],[up/U Selection Probability]] = 0, "Zero", TEXT(SamplingData[[#This Row],[Lower Range]], REPT("0",LEN('General Info'!$B$42))) &amp; " - " &amp; TEXT(SamplingData[[#This Row],[Upper Range]], REPT("0",LEN('General Info'!$B$42))))</f>
        <v>31299 - 31469</v>
      </c>
      <c r="AF800" s="100">
        <f>SamplingData[[#This Row],[Upper Range]]-SamplingData[[#This Row],[Span]]</f>
        <v>31299.466968179648</v>
      </c>
      <c r="AG800" s="100">
        <f>IF(ISNUMBER('General Info'!$B$42), ((SamplingData[[#This Row],[up/U Selection Probability]]) * 'General Info'!$B$44) - 1, 0)</f>
        <v>169.94707370914773</v>
      </c>
      <c r="AH800" s="100">
        <f>IF(ISNUMBER('General Info'!$B$42), (SamplingData[[#This Row],[Running (cumulative) sum]] * ('General Info'!$B$42 -'General Info'!$B$43 + 1)) + 'General Info'!$B$43 - 1, 0)</f>
        <v>31469.414041888795</v>
      </c>
      <c r="AI800" s="100" t="str">
        <f>IF(ISERROR(MATCH(SamplingData[[#This Row],[Batch by Type (p)]],SelectedPrecincts[Batch Name], 0)), "", INDEX(SelectedPrecincts[Draw], MATCH(SamplingData[[#This Row],[Batch by Type (p)]],SelectedPrecincts[Batch Name], 0)))</f>
        <v/>
      </c>
      <c r="AJ800" s="101">
        <f>IF(COUNTIF(SelectedPrecincts[Batch Name],SamplingData[[#This Row],[Batch by Type (p)]]) &lt;&gt; 0, COUNTIF(SelectedPrecincts[Batch Name],SamplingData[[#This Row],[Batch by Type (p)]]), 0)</f>
        <v>0</v>
      </c>
    </row>
    <row r="801" spans="1:36" ht="15" customHeight="1" x14ac:dyDescent="0.35">
      <c r="A801" s="98" t="s">
        <v>1012</v>
      </c>
      <c r="B801" s="98">
        <v>87</v>
      </c>
      <c r="C801" s="98">
        <v>5</v>
      </c>
      <c r="D801" s="93"/>
      <c r="E801" s="93"/>
      <c r="F801" s="93"/>
      <c r="G801" s="97"/>
      <c r="H801" s="97"/>
      <c r="I801" s="93"/>
      <c r="J801" s="93"/>
      <c r="K801" s="93"/>
      <c r="L801" s="93"/>
      <c r="M801" s="93"/>
      <c r="N801" s="98">
        <v>0</v>
      </c>
      <c r="O801" s="98">
        <v>0</v>
      </c>
      <c r="P801" s="99">
        <f>SUM(SamplingData[[#This Row],[Winning Candidate]:[Under Votes]])</f>
        <v>92</v>
      </c>
      <c r="Q801" s="100">
        <f>IF(AND(SamplingData[[#This Row],[Total]]&lt;&gt; 0, NOT(ISBLANK(SamplingData[[#This Row],[Losing Candidate]]))),(SamplingData[[#This Row],[Total]]+SamplingData[[#This Row],[Winning Candidate]]-SamplingData[[#This Row],[Losing Candidate]])/(SamplingData[[#Totals],[Winning Candidate]]-SamplingData[[#Totals],[Losing Candidate]]), 0)</f>
        <v>5.4653390708923576E-3</v>
      </c>
      <c r="R801" s="100">
        <f>IF(AND(SamplingData[[#This Row],[Total]]&lt;&gt; 0, NOT(ISBLANK(SamplingData[[#This Row],[Candidate 3]]))),(SamplingData[[#This Row],[Total]]+SamplingData[[#This Row],[Winning Candidate]]-SamplingData[[#This Row],[Candidate 3]])/(SamplingData[[#Totals],[Winning Candidate]]-SamplingData[[#Totals],[Candidate 3]]), 0)</f>
        <v>0</v>
      </c>
      <c r="S801" s="100">
        <f>IF(AND(SamplingData[[#This Row],[Total]]&lt;&gt; 0, NOT(ISBLANK(SamplingData[[#This Row],[Candidate 4]]))),(SamplingData[[#This Row],[Total]]+SamplingData[[#This Row],[Winning Candidate]]-SamplingData[[#This Row],[Candidate 4]])/(SamplingData[[#Totals],[Winning Candidate]]-SamplingData[[#Totals],[Candidate 4]]), 0)</f>
        <v>0</v>
      </c>
      <c r="T801" s="100">
        <f>IF(AND(SamplingData[[#This Row],[Total]]&lt;&gt; 0, NOT(ISBLANK(SamplingData[[#This Row],[Candidate 5]]))),(SamplingData[[#This Row],[Total]]+SamplingData[[#This Row],[Winning Candidate]]-SamplingData[[#This Row],[Candidate 5]])/(SamplingData[[#Totals],[Winning Candidate]]-SamplingData[[#Totals],[Candidate 5]]), 0)</f>
        <v>0</v>
      </c>
      <c r="U801" s="100">
        <f>IF(AND(SamplingData[[#This Row],[Total]]&lt;&gt; 0, NOT(ISBLANK(SamplingData[[#This Row],[Candidate 6]]))),(SamplingData[[#This Row],[Total]]+SamplingData[[#This Row],[Losing Candidate]]-SamplingData[[#This Row],[Candidate 6]])/(SamplingData[[#Totals],[Winning Candidate]]-SamplingData[[#Totals],[Candidate 6]]), 0)</f>
        <v>0</v>
      </c>
      <c r="V801" s="100">
        <f>IF(AND(SamplingData[[#This Row],[Total]]&lt;&gt; 0, NOT(ISBLANK(SamplingData[[#This Row],[Candidate 7]]))),(SamplingData[[#This Row],[Total]]+SamplingData[[#This Row],[Winning Candidate]]-SamplingData[[#This Row],[Candidate 7]])/(SamplingData[[#Totals],[Winning Candidate]]-SamplingData[[#Totals],[Candidate 7]]), 0)</f>
        <v>0</v>
      </c>
      <c r="W801" s="100">
        <f>IF(AND(SamplingData[[#This Row],[Total]]&lt;&gt; 0, NOT(ISBLANK(SamplingData[[#This Row],[Candidate 8]]))),(SamplingData[[#This Row],[Total]]+SamplingData[[#This Row],[Winning Candidate]]-SamplingData[[#This Row],[Candidate 8]])/(SamplingData[[#Totals],[Winning Candidate]]-SamplingData[[#Totals],[Candidate 8]]), 0)</f>
        <v>0</v>
      </c>
      <c r="X8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00">
        <f>MAX(SamplingData[[#This Row],[Error Bound (up) - Max. possible relative overstatement - Losing Candidate]:[Error Bound (up) - Max. possible relative overstatement - Candidate 12]])</f>
        <v>5.4653390708923576E-3</v>
      </c>
      <c r="AC801" s="100">
        <f>IF(SamplingData[[#This Row],[Max Error Bound (up)]] = 0,0,SamplingData[[#This Row],[Max Error Bound (up)]]/SamplingData[[#Totals],[Max Error Bound (up)]])</f>
        <v>2.3421095138103708E-3</v>
      </c>
      <c r="AD801" s="104">
        <f>SUM($AC$5:AC801)</f>
        <v>0.31704624993269831</v>
      </c>
      <c r="AE801" s="100" t="str" cm="1">
        <f t="array" ref="AE801">IF(SamplingData[[#This Row],[up/U Selection Probability]] = 0, "Zero", TEXT(SamplingData[[#This Row],[Lower Range]], REPT("0",LEN('General Info'!$B$42))) &amp; " - " &amp; TEXT(SamplingData[[#This Row],[Upper Range]], REPT("0",LEN('General Info'!$B$42))))</f>
        <v>31470 - 31704</v>
      </c>
      <c r="AF801" s="100">
        <f>SamplingData[[#This Row],[Upper Range]]-SamplingData[[#This Row],[Span]]</f>
        <v>31470.414041888795</v>
      </c>
      <c r="AG801" s="100">
        <f>IF(ISNUMBER('General Info'!$B$42), ((SamplingData[[#This Row],[up/U Selection Probability]]) * 'General Info'!$B$44) - 1, 0)</f>
        <v>233.21095138103706</v>
      </c>
      <c r="AH801" s="100">
        <f>IF(ISNUMBER('General Info'!$B$42), (SamplingData[[#This Row],[Running (cumulative) sum]] * ('General Info'!$B$42 -'General Info'!$B$43 + 1)) + 'General Info'!$B$43 - 1, 0)</f>
        <v>31703.62499326983</v>
      </c>
      <c r="AI801" s="100" t="str">
        <f>IF(ISERROR(MATCH(SamplingData[[#This Row],[Batch by Type (p)]],SelectedPrecincts[Batch Name], 0)), "", INDEX(SelectedPrecincts[Draw], MATCH(SamplingData[[#This Row],[Batch by Type (p)]],SelectedPrecincts[Batch Name], 0)))</f>
        <v/>
      </c>
      <c r="AJ801" s="101">
        <f>IF(COUNTIF(SelectedPrecincts[Batch Name],SamplingData[[#This Row],[Batch by Type (p)]]) &lt;&gt; 0, COUNTIF(SelectedPrecincts[Batch Name],SamplingData[[#This Row],[Batch by Type (p)]]), 0)</f>
        <v>0</v>
      </c>
    </row>
    <row r="802" spans="1:36" ht="15" customHeight="1" x14ac:dyDescent="0.35">
      <c r="A802" s="98" t="s">
        <v>1013</v>
      </c>
      <c r="B802" s="98">
        <v>74</v>
      </c>
      <c r="C802" s="98">
        <v>12</v>
      </c>
      <c r="D802" s="93"/>
      <c r="E802" s="93"/>
      <c r="F802" s="93"/>
      <c r="G802" s="97"/>
      <c r="H802" s="97"/>
      <c r="I802" s="93"/>
      <c r="J802" s="93"/>
      <c r="K802" s="93"/>
      <c r="L802" s="93"/>
      <c r="M802" s="93"/>
      <c r="N802" s="98">
        <v>0</v>
      </c>
      <c r="O802" s="98">
        <v>1</v>
      </c>
      <c r="P802" s="99">
        <f>SUM(SamplingData[[#This Row],[Winning Candidate]:[Under Votes]])</f>
        <v>87</v>
      </c>
      <c r="Q802" s="100">
        <f>IF(AND(SamplingData[[#This Row],[Total]]&lt;&gt; 0, NOT(ISBLANK(SamplingData[[#This Row],[Losing Candidate]]))),(SamplingData[[#This Row],[Total]]+SamplingData[[#This Row],[Winning Candidate]]-SamplingData[[#This Row],[Losing Candidate]])/(SamplingData[[#Totals],[Winning Candidate]]-SamplingData[[#Totals],[Losing Candidate]]), 0)</f>
        <v>4.6800892043848356E-3</v>
      </c>
      <c r="R802" s="100">
        <f>IF(AND(SamplingData[[#This Row],[Total]]&lt;&gt; 0, NOT(ISBLANK(SamplingData[[#This Row],[Candidate 3]]))),(SamplingData[[#This Row],[Total]]+SamplingData[[#This Row],[Winning Candidate]]-SamplingData[[#This Row],[Candidate 3]])/(SamplingData[[#Totals],[Winning Candidate]]-SamplingData[[#Totals],[Candidate 3]]), 0)</f>
        <v>0</v>
      </c>
      <c r="S802" s="100">
        <f>IF(AND(SamplingData[[#This Row],[Total]]&lt;&gt; 0, NOT(ISBLANK(SamplingData[[#This Row],[Candidate 4]]))),(SamplingData[[#This Row],[Total]]+SamplingData[[#This Row],[Winning Candidate]]-SamplingData[[#This Row],[Candidate 4]])/(SamplingData[[#Totals],[Winning Candidate]]-SamplingData[[#Totals],[Candidate 4]]), 0)</f>
        <v>0</v>
      </c>
      <c r="T802" s="100">
        <f>IF(AND(SamplingData[[#This Row],[Total]]&lt;&gt; 0, NOT(ISBLANK(SamplingData[[#This Row],[Candidate 5]]))),(SamplingData[[#This Row],[Total]]+SamplingData[[#This Row],[Winning Candidate]]-SamplingData[[#This Row],[Candidate 5]])/(SamplingData[[#Totals],[Winning Candidate]]-SamplingData[[#Totals],[Candidate 5]]), 0)</f>
        <v>0</v>
      </c>
      <c r="U802" s="100">
        <f>IF(AND(SamplingData[[#This Row],[Total]]&lt;&gt; 0, NOT(ISBLANK(SamplingData[[#This Row],[Candidate 6]]))),(SamplingData[[#This Row],[Total]]+SamplingData[[#This Row],[Losing Candidate]]-SamplingData[[#This Row],[Candidate 6]])/(SamplingData[[#Totals],[Winning Candidate]]-SamplingData[[#Totals],[Candidate 6]]), 0)</f>
        <v>0</v>
      </c>
      <c r="V802" s="100">
        <f>IF(AND(SamplingData[[#This Row],[Total]]&lt;&gt; 0, NOT(ISBLANK(SamplingData[[#This Row],[Candidate 7]]))),(SamplingData[[#This Row],[Total]]+SamplingData[[#This Row],[Winning Candidate]]-SamplingData[[#This Row],[Candidate 7]])/(SamplingData[[#Totals],[Winning Candidate]]-SamplingData[[#Totals],[Candidate 7]]), 0)</f>
        <v>0</v>
      </c>
      <c r="W802" s="100">
        <f>IF(AND(SamplingData[[#This Row],[Total]]&lt;&gt; 0, NOT(ISBLANK(SamplingData[[#This Row],[Candidate 8]]))),(SamplingData[[#This Row],[Total]]+SamplingData[[#This Row],[Winning Candidate]]-SamplingData[[#This Row],[Candidate 8]])/(SamplingData[[#Totals],[Winning Candidate]]-SamplingData[[#Totals],[Candidate 8]]), 0)</f>
        <v>0</v>
      </c>
      <c r="X8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00">
        <f>MAX(SamplingData[[#This Row],[Error Bound (up) - Max. possible relative overstatement - Losing Candidate]:[Error Bound (up) - Max. possible relative overstatement - Candidate 12]])</f>
        <v>4.6800892043848356E-3</v>
      </c>
      <c r="AC802" s="100">
        <f>IF(SamplingData[[#This Row],[Max Error Bound (up)]] = 0,0,SamplingData[[#This Row],[Max Error Bound (up)]]/SamplingData[[#Totals],[Max Error Bound (up)]])</f>
        <v>2.0055995261939381E-3</v>
      </c>
      <c r="AD802" s="104">
        <f>SUM($AC$5:AC802)</f>
        <v>0.31905184945889226</v>
      </c>
      <c r="AE802" s="100" t="str" cm="1">
        <f t="array" ref="AE802">IF(SamplingData[[#This Row],[up/U Selection Probability]] = 0, "Zero", TEXT(SamplingData[[#This Row],[Lower Range]], REPT("0",LEN('General Info'!$B$42))) &amp; " - " &amp; TEXT(SamplingData[[#This Row],[Upper Range]], REPT("0",LEN('General Info'!$B$42))))</f>
        <v>31705 - 31904</v>
      </c>
      <c r="AF802" s="100">
        <f>SamplingData[[#This Row],[Upper Range]]-SamplingData[[#This Row],[Span]]</f>
        <v>31704.62499326983</v>
      </c>
      <c r="AG802" s="100">
        <f>IF(ISNUMBER('General Info'!$B$42), ((SamplingData[[#This Row],[up/U Selection Probability]]) * 'General Info'!$B$44) - 1, 0)</f>
        <v>199.55995261939381</v>
      </c>
      <c r="AH802" s="100">
        <f>IF(ISNUMBER('General Info'!$B$42), (SamplingData[[#This Row],[Running (cumulative) sum]] * ('General Info'!$B$42 -'General Info'!$B$43 + 1)) + 'General Info'!$B$43 - 1, 0)</f>
        <v>31904.184945889225</v>
      </c>
      <c r="AI802" s="100" t="str">
        <f>IF(ISERROR(MATCH(SamplingData[[#This Row],[Batch by Type (p)]],SelectedPrecincts[Batch Name], 0)), "", INDEX(SelectedPrecincts[Draw], MATCH(SamplingData[[#This Row],[Batch by Type (p)]],SelectedPrecincts[Batch Name], 0)))</f>
        <v/>
      </c>
      <c r="AJ802" s="101">
        <f>IF(COUNTIF(SelectedPrecincts[Batch Name],SamplingData[[#This Row],[Batch by Type (p)]]) &lt;&gt; 0, COUNTIF(SelectedPrecincts[Batch Name],SamplingData[[#This Row],[Batch by Type (p)]]), 0)</f>
        <v>0</v>
      </c>
    </row>
    <row r="803" spans="1:36" ht="15" customHeight="1" x14ac:dyDescent="0.35">
      <c r="A803" s="98" t="s">
        <v>1014</v>
      </c>
      <c r="B803" s="98">
        <v>69</v>
      </c>
      <c r="C803" s="98">
        <v>9</v>
      </c>
      <c r="D803" s="93"/>
      <c r="E803" s="93"/>
      <c r="F803" s="93"/>
      <c r="G803" s="97"/>
      <c r="H803" s="97"/>
      <c r="I803" s="93"/>
      <c r="J803" s="93"/>
      <c r="K803" s="93"/>
      <c r="L803" s="93"/>
      <c r="M803" s="93"/>
      <c r="N803" s="98">
        <v>0</v>
      </c>
      <c r="O803" s="98">
        <v>0</v>
      </c>
      <c r="P803" s="99">
        <f>SUM(SamplingData[[#This Row],[Winning Candidate]:[Under Votes]])</f>
        <v>78</v>
      </c>
      <c r="Q803" s="100">
        <f>IF(AND(SamplingData[[#This Row],[Total]]&lt;&gt; 0, NOT(ISBLANK(SamplingData[[#This Row],[Losing Candidate]]))),(SamplingData[[#This Row],[Total]]+SamplingData[[#This Row],[Winning Candidate]]-SamplingData[[#This Row],[Losing Candidate]])/(SamplingData[[#Totals],[Winning Candidate]]-SamplingData[[#Totals],[Losing Candidate]]), 0)</f>
        <v>4.3345792631215253E-3</v>
      </c>
      <c r="R803" s="100">
        <f>IF(AND(SamplingData[[#This Row],[Total]]&lt;&gt; 0, NOT(ISBLANK(SamplingData[[#This Row],[Candidate 3]]))),(SamplingData[[#This Row],[Total]]+SamplingData[[#This Row],[Winning Candidate]]-SamplingData[[#This Row],[Candidate 3]])/(SamplingData[[#Totals],[Winning Candidate]]-SamplingData[[#Totals],[Candidate 3]]), 0)</f>
        <v>0</v>
      </c>
      <c r="S803" s="100">
        <f>IF(AND(SamplingData[[#This Row],[Total]]&lt;&gt; 0, NOT(ISBLANK(SamplingData[[#This Row],[Candidate 4]]))),(SamplingData[[#This Row],[Total]]+SamplingData[[#This Row],[Winning Candidate]]-SamplingData[[#This Row],[Candidate 4]])/(SamplingData[[#Totals],[Winning Candidate]]-SamplingData[[#Totals],[Candidate 4]]), 0)</f>
        <v>0</v>
      </c>
      <c r="T803" s="100">
        <f>IF(AND(SamplingData[[#This Row],[Total]]&lt;&gt; 0, NOT(ISBLANK(SamplingData[[#This Row],[Candidate 5]]))),(SamplingData[[#This Row],[Total]]+SamplingData[[#This Row],[Winning Candidate]]-SamplingData[[#This Row],[Candidate 5]])/(SamplingData[[#Totals],[Winning Candidate]]-SamplingData[[#Totals],[Candidate 5]]), 0)</f>
        <v>0</v>
      </c>
      <c r="U803" s="100">
        <f>IF(AND(SamplingData[[#This Row],[Total]]&lt;&gt; 0, NOT(ISBLANK(SamplingData[[#This Row],[Candidate 6]]))),(SamplingData[[#This Row],[Total]]+SamplingData[[#This Row],[Losing Candidate]]-SamplingData[[#This Row],[Candidate 6]])/(SamplingData[[#Totals],[Winning Candidate]]-SamplingData[[#Totals],[Candidate 6]]), 0)</f>
        <v>0</v>
      </c>
      <c r="V803" s="100">
        <f>IF(AND(SamplingData[[#This Row],[Total]]&lt;&gt; 0, NOT(ISBLANK(SamplingData[[#This Row],[Candidate 7]]))),(SamplingData[[#This Row],[Total]]+SamplingData[[#This Row],[Winning Candidate]]-SamplingData[[#This Row],[Candidate 7]])/(SamplingData[[#Totals],[Winning Candidate]]-SamplingData[[#Totals],[Candidate 7]]), 0)</f>
        <v>0</v>
      </c>
      <c r="W803" s="100">
        <f>IF(AND(SamplingData[[#This Row],[Total]]&lt;&gt; 0, NOT(ISBLANK(SamplingData[[#This Row],[Candidate 8]]))),(SamplingData[[#This Row],[Total]]+SamplingData[[#This Row],[Winning Candidate]]-SamplingData[[#This Row],[Candidate 8]])/(SamplingData[[#Totals],[Winning Candidate]]-SamplingData[[#Totals],[Candidate 8]]), 0)</f>
        <v>0</v>
      </c>
      <c r="X8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00">
        <f>MAX(SamplingData[[#This Row],[Error Bound (up) - Max. possible relative overstatement - Losing Candidate]:[Error Bound (up) - Max. possible relative overstatement - Candidate 12]])</f>
        <v>4.3345792631215253E-3</v>
      </c>
      <c r="AC803" s="100">
        <f>IF(SamplingData[[#This Row],[Max Error Bound (up)]] = 0,0,SamplingData[[#This Row],[Max Error Bound (up)]]/SamplingData[[#Totals],[Max Error Bound (up)]])</f>
        <v>1.8575351316427078E-3</v>
      </c>
      <c r="AD803" s="104">
        <f>SUM($AC$5:AC803)</f>
        <v>0.32090938459053497</v>
      </c>
      <c r="AE803" s="100" t="str" cm="1">
        <f t="array" ref="AE803">IF(SamplingData[[#This Row],[up/U Selection Probability]] = 0, "Zero", TEXT(SamplingData[[#This Row],[Lower Range]], REPT("0",LEN('General Info'!$B$42))) &amp; " - " &amp; TEXT(SamplingData[[#This Row],[Upper Range]], REPT("0",LEN('General Info'!$B$42))))</f>
        <v>31905 - 32090</v>
      </c>
      <c r="AF803" s="100">
        <f>SamplingData[[#This Row],[Upper Range]]-SamplingData[[#This Row],[Span]]</f>
        <v>31905.184945889225</v>
      </c>
      <c r="AG803" s="100">
        <f>IF(ISNUMBER('General Info'!$B$42), ((SamplingData[[#This Row],[up/U Selection Probability]]) * 'General Info'!$B$44) - 1, 0)</f>
        <v>184.75351316427077</v>
      </c>
      <c r="AH803" s="100">
        <f>IF(ISNUMBER('General Info'!$B$42), (SamplingData[[#This Row],[Running (cumulative) sum]] * ('General Info'!$B$42 -'General Info'!$B$43 + 1)) + 'General Info'!$B$43 - 1, 0)</f>
        <v>32089.938459053497</v>
      </c>
      <c r="AI803" s="100" t="str">
        <f>IF(ISERROR(MATCH(SamplingData[[#This Row],[Batch by Type (p)]],SelectedPrecincts[Batch Name], 0)), "", INDEX(SelectedPrecincts[Draw], MATCH(SamplingData[[#This Row],[Batch by Type (p)]],SelectedPrecincts[Batch Name], 0)))</f>
        <v/>
      </c>
      <c r="AJ803" s="101">
        <f>IF(COUNTIF(SelectedPrecincts[Batch Name],SamplingData[[#This Row],[Batch by Type (p)]]) &lt;&gt; 0, COUNTIF(SelectedPrecincts[Batch Name],SamplingData[[#This Row],[Batch by Type (p)]]), 0)</f>
        <v>0</v>
      </c>
    </row>
    <row r="804" spans="1:36" ht="15" customHeight="1" x14ac:dyDescent="0.35">
      <c r="A804" s="98" t="s">
        <v>1015</v>
      </c>
      <c r="B804" s="98">
        <v>76</v>
      </c>
      <c r="C804" s="98">
        <v>15</v>
      </c>
      <c r="D804" s="93"/>
      <c r="E804" s="93"/>
      <c r="F804" s="93"/>
      <c r="G804" s="97"/>
      <c r="H804" s="97"/>
      <c r="I804" s="93"/>
      <c r="J804" s="93"/>
      <c r="K804" s="93"/>
      <c r="L804" s="93"/>
      <c r="M804" s="93"/>
      <c r="N804" s="98">
        <v>0</v>
      </c>
      <c r="O804" s="98">
        <v>0</v>
      </c>
      <c r="P804" s="99">
        <f>SUM(SamplingData[[#This Row],[Winning Candidate]:[Under Votes]])</f>
        <v>91</v>
      </c>
      <c r="Q804" s="100">
        <f>IF(AND(SamplingData[[#This Row],[Total]]&lt;&gt; 0, NOT(ISBLANK(SamplingData[[#This Row],[Losing Candidate]]))),(SamplingData[[#This Row],[Total]]+SamplingData[[#This Row],[Winning Candidate]]-SamplingData[[#This Row],[Losing Candidate]])/(SamplingData[[#Totals],[Winning Candidate]]-SamplingData[[#Totals],[Losing Candidate]]), 0)</f>
        <v>4.7743191883657379E-3</v>
      </c>
      <c r="R804" s="100">
        <f>IF(AND(SamplingData[[#This Row],[Total]]&lt;&gt; 0, NOT(ISBLANK(SamplingData[[#This Row],[Candidate 3]]))),(SamplingData[[#This Row],[Total]]+SamplingData[[#This Row],[Winning Candidate]]-SamplingData[[#This Row],[Candidate 3]])/(SamplingData[[#Totals],[Winning Candidate]]-SamplingData[[#Totals],[Candidate 3]]), 0)</f>
        <v>0</v>
      </c>
      <c r="S804" s="100">
        <f>IF(AND(SamplingData[[#This Row],[Total]]&lt;&gt; 0, NOT(ISBLANK(SamplingData[[#This Row],[Candidate 4]]))),(SamplingData[[#This Row],[Total]]+SamplingData[[#This Row],[Winning Candidate]]-SamplingData[[#This Row],[Candidate 4]])/(SamplingData[[#Totals],[Winning Candidate]]-SamplingData[[#Totals],[Candidate 4]]), 0)</f>
        <v>0</v>
      </c>
      <c r="T804" s="100">
        <f>IF(AND(SamplingData[[#This Row],[Total]]&lt;&gt; 0, NOT(ISBLANK(SamplingData[[#This Row],[Candidate 5]]))),(SamplingData[[#This Row],[Total]]+SamplingData[[#This Row],[Winning Candidate]]-SamplingData[[#This Row],[Candidate 5]])/(SamplingData[[#Totals],[Winning Candidate]]-SamplingData[[#Totals],[Candidate 5]]), 0)</f>
        <v>0</v>
      </c>
      <c r="U804" s="100">
        <f>IF(AND(SamplingData[[#This Row],[Total]]&lt;&gt; 0, NOT(ISBLANK(SamplingData[[#This Row],[Candidate 6]]))),(SamplingData[[#This Row],[Total]]+SamplingData[[#This Row],[Losing Candidate]]-SamplingData[[#This Row],[Candidate 6]])/(SamplingData[[#Totals],[Winning Candidate]]-SamplingData[[#Totals],[Candidate 6]]), 0)</f>
        <v>0</v>
      </c>
      <c r="V804" s="100">
        <f>IF(AND(SamplingData[[#This Row],[Total]]&lt;&gt; 0, NOT(ISBLANK(SamplingData[[#This Row],[Candidate 7]]))),(SamplingData[[#This Row],[Total]]+SamplingData[[#This Row],[Winning Candidate]]-SamplingData[[#This Row],[Candidate 7]])/(SamplingData[[#Totals],[Winning Candidate]]-SamplingData[[#Totals],[Candidate 7]]), 0)</f>
        <v>0</v>
      </c>
      <c r="W804" s="100">
        <f>IF(AND(SamplingData[[#This Row],[Total]]&lt;&gt; 0, NOT(ISBLANK(SamplingData[[#This Row],[Candidate 8]]))),(SamplingData[[#This Row],[Total]]+SamplingData[[#This Row],[Winning Candidate]]-SamplingData[[#This Row],[Candidate 8]])/(SamplingData[[#Totals],[Winning Candidate]]-SamplingData[[#Totals],[Candidate 8]]), 0)</f>
        <v>0</v>
      </c>
      <c r="X8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00">
        <f>MAX(SamplingData[[#This Row],[Error Bound (up) - Max. possible relative overstatement - Losing Candidate]:[Error Bound (up) - Max. possible relative overstatement - Candidate 12]])</f>
        <v>4.7743191883657379E-3</v>
      </c>
      <c r="AC804" s="100">
        <f>IF(SamplingData[[#This Row],[Max Error Bound (up)]] = 0,0,SamplingData[[#This Row],[Max Error Bound (up)]]/SamplingData[[#Totals],[Max Error Bound (up)]])</f>
        <v>2.0459807247079102E-3</v>
      </c>
      <c r="AD804" s="104">
        <f>SUM($AC$5:AC804)</f>
        <v>0.32295536531524288</v>
      </c>
      <c r="AE804" s="100" t="str" cm="1">
        <f t="array" ref="AE804">IF(SamplingData[[#This Row],[up/U Selection Probability]] = 0, "Zero", TEXT(SamplingData[[#This Row],[Lower Range]], REPT("0",LEN('General Info'!$B$42))) &amp; " - " &amp; TEXT(SamplingData[[#This Row],[Upper Range]], REPT("0",LEN('General Info'!$B$42))))</f>
        <v>32091 - 32295</v>
      </c>
      <c r="AF804" s="100">
        <f>SamplingData[[#This Row],[Upper Range]]-SamplingData[[#This Row],[Span]]</f>
        <v>32090.938459053497</v>
      </c>
      <c r="AG804" s="100">
        <f>IF(ISNUMBER('General Info'!$B$42), ((SamplingData[[#This Row],[up/U Selection Probability]]) * 'General Info'!$B$44) - 1, 0)</f>
        <v>203.59807247079101</v>
      </c>
      <c r="AH804" s="100">
        <f>IF(ISNUMBER('General Info'!$B$42), (SamplingData[[#This Row],[Running (cumulative) sum]] * ('General Info'!$B$42 -'General Info'!$B$43 + 1)) + 'General Info'!$B$43 - 1, 0)</f>
        <v>32294.536531524289</v>
      </c>
      <c r="AI804" s="100" t="str">
        <f>IF(ISERROR(MATCH(SamplingData[[#This Row],[Batch by Type (p)]],SelectedPrecincts[Batch Name], 0)), "", INDEX(SelectedPrecincts[Draw], MATCH(SamplingData[[#This Row],[Batch by Type (p)]],SelectedPrecincts[Batch Name], 0)))</f>
        <v/>
      </c>
      <c r="AJ804" s="101">
        <f>IF(COUNTIF(SelectedPrecincts[Batch Name],SamplingData[[#This Row],[Batch by Type (p)]]) &lt;&gt; 0, COUNTIF(SelectedPrecincts[Batch Name],SamplingData[[#This Row],[Batch by Type (p)]]), 0)</f>
        <v>0</v>
      </c>
    </row>
    <row r="805" spans="1:36" ht="15" customHeight="1" x14ac:dyDescent="0.35">
      <c r="A805" s="98" t="s">
        <v>1016</v>
      </c>
      <c r="B805" s="98">
        <v>69</v>
      </c>
      <c r="C805" s="98">
        <v>11</v>
      </c>
      <c r="D805" s="93"/>
      <c r="E805" s="93"/>
      <c r="F805" s="93"/>
      <c r="G805" s="97"/>
      <c r="H805" s="97"/>
      <c r="I805" s="93"/>
      <c r="J805" s="93"/>
      <c r="K805" s="93"/>
      <c r="L805" s="93"/>
      <c r="M805" s="93"/>
      <c r="N805" s="98">
        <v>0</v>
      </c>
      <c r="O805" s="98">
        <v>2</v>
      </c>
      <c r="P805" s="99">
        <f>SUM(SamplingData[[#This Row],[Winning Candidate]:[Under Votes]])</f>
        <v>82</v>
      </c>
      <c r="Q805" s="100">
        <f>IF(AND(SamplingData[[#This Row],[Total]]&lt;&gt; 0, NOT(ISBLANK(SamplingData[[#This Row],[Losing Candidate]]))),(SamplingData[[#This Row],[Total]]+SamplingData[[#This Row],[Winning Candidate]]-SamplingData[[#This Row],[Losing Candidate]])/(SamplingData[[#Totals],[Winning Candidate]]-SamplingData[[#Totals],[Losing Candidate]]), 0)</f>
        <v>4.3973992524421269E-3</v>
      </c>
      <c r="R805" s="100">
        <f>IF(AND(SamplingData[[#This Row],[Total]]&lt;&gt; 0, NOT(ISBLANK(SamplingData[[#This Row],[Candidate 3]]))),(SamplingData[[#This Row],[Total]]+SamplingData[[#This Row],[Winning Candidate]]-SamplingData[[#This Row],[Candidate 3]])/(SamplingData[[#Totals],[Winning Candidate]]-SamplingData[[#Totals],[Candidate 3]]), 0)</f>
        <v>0</v>
      </c>
      <c r="S805" s="100">
        <f>IF(AND(SamplingData[[#This Row],[Total]]&lt;&gt; 0, NOT(ISBLANK(SamplingData[[#This Row],[Candidate 4]]))),(SamplingData[[#This Row],[Total]]+SamplingData[[#This Row],[Winning Candidate]]-SamplingData[[#This Row],[Candidate 4]])/(SamplingData[[#Totals],[Winning Candidate]]-SamplingData[[#Totals],[Candidate 4]]), 0)</f>
        <v>0</v>
      </c>
      <c r="T805" s="100">
        <f>IF(AND(SamplingData[[#This Row],[Total]]&lt;&gt; 0, NOT(ISBLANK(SamplingData[[#This Row],[Candidate 5]]))),(SamplingData[[#This Row],[Total]]+SamplingData[[#This Row],[Winning Candidate]]-SamplingData[[#This Row],[Candidate 5]])/(SamplingData[[#Totals],[Winning Candidate]]-SamplingData[[#Totals],[Candidate 5]]), 0)</f>
        <v>0</v>
      </c>
      <c r="U805" s="100">
        <f>IF(AND(SamplingData[[#This Row],[Total]]&lt;&gt; 0, NOT(ISBLANK(SamplingData[[#This Row],[Candidate 6]]))),(SamplingData[[#This Row],[Total]]+SamplingData[[#This Row],[Losing Candidate]]-SamplingData[[#This Row],[Candidate 6]])/(SamplingData[[#Totals],[Winning Candidate]]-SamplingData[[#Totals],[Candidate 6]]), 0)</f>
        <v>0</v>
      </c>
      <c r="V805" s="100">
        <f>IF(AND(SamplingData[[#This Row],[Total]]&lt;&gt; 0, NOT(ISBLANK(SamplingData[[#This Row],[Candidate 7]]))),(SamplingData[[#This Row],[Total]]+SamplingData[[#This Row],[Winning Candidate]]-SamplingData[[#This Row],[Candidate 7]])/(SamplingData[[#Totals],[Winning Candidate]]-SamplingData[[#Totals],[Candidate 7]]), 0)</f>
        <v>0</v>
      </c>
      <c r="W805" s="100">
        <f>IF(AND(SamplingData[[#This Row],[Total]]&lt;&gt; 0, NOT(ISBLANK(SamplingData[[#This Row],[Candidate 8]]))),(SamplingData[[#This Row],[Total]]+SamplingData[[#This Row],[Winning Candidate]]-SamplingData[[#This Row],[Candidate 8]])/(SamplingData[[#Totals],[Winning Candidate]]-SamplingData[[#Totals],[Candidate 8]]), 0)</f>
        <v>0</v>
      </c>
      <c r="X8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00">
        <f>MAX(SamplingData[[#This Row],[Error Bound (up) - Max. possible relative overstatement - Losing Candidate]:[Error Bound (up) - Max. possible relative overstatement - Candidate 12]])</f>
        <v>4.3973992524421269E-3</v>
      </c>
      <c r="AC805" s="100">
        <f>IF(SamplingData[[#This Row],[Max Error Bound (up)]] = 0,0,SamplingData[[#This Row],[Max Error Bound (up)]]/SamplingData[[#Totals],[Max Error Bound (up)]])</f>
        <v>1.8844559306520224E-3</v>
      </c>
      <c r="AD805" s="104">
        <f>SUM($AC$5:AC805)</f>
        <v>0.32483982124589489</v>
      </c>
      <c r="AE805" s="100" t="str" cm="1">
        <f t="array" ref="AE805">IF(SamplingData[[#This Row],[up/U Selection Probability]] = 0, "Zero", TEXT(SamplingData[[#This Row],[Lower Range]], REPT("0",LEN('General Info'!$B$42))) &amp; " - " &amp; TEXT(SamplingData[[#This Row],[Upper Range]], REPT("0",LEN('General Info'!$B$42))))</f>
        <v>32296 - 32483</v>
      </c>
      <c r="AF805" s="100">
        <f>SamplingData[[#This Row],[Upper Range]]-SamplingData[[#This Row],[Span]]</f>
        <v>32295.536531524285</v>
      </c>
      <c r="AG805" s="100">
        <f>IF(ISNUMBER('General Info'!$B$42), ((SamplingData[[#This Row],[up/U Selection Probability]]) * 'General Info'!$B$44) - 1, 0)</f>
        <v>187.44559306520225</v>
      </c>
      <c r="AH805" s="100">
        <f>IF(ISNUMBER('General Info'!$B$42), (SamplingData[[#This Row],[Running (cumulative) sum]] * ('General Info'!$B$42 -'General Info'!$B$43 + 1)) + 'General Info'!$B$43 - 1, 0)</f>
        <v>32482.982124589489</v>
      </c>
      <c r="AI805" s="100" t="str">
        <f>IF(ISERROR(MATCH(SamplingData[[#This Row],[Batch by Type (p)]],SelectedPrecincts[Batch Name], 0)), "", INDEX(SelectedPrecincts[Draw], MATCH(SamplingData[[#This Row],[Batch by Type (p)]],SelectedPrecincts[Batch Name], 0)))</f>
        <v/>
      </c>
      <c r="AJ805" s="101">
        <f>IF(COUNTIF(SelectedPrecincts[Batch Name],SamplingData[[#This Row],[Batch by Type (p)]]) &lt;&gt; 0, COUNTIF(SelectedPrecincts[Batch Name],SamplingData[[#This Row],[Batch by Type (p)]]), 0)</f>
        <v>0</v>
      </c>
    </row>
    <row r="806" spans="1:36" ht="15" customHeight="1" x14ac:dyDescent="0.35">
      <c r="A806" s="98" t="s">
        <v>1017</v>
      </c>
      <c r="B806" s="98">
        <v>49</v>
      </c>
      <c r="C806" s="98">
        <v>5</v>
      </c>
      <c r="D806" s="93"/>
      <c r="E806" s="93"/>
      <c r="F806" s="93"/>
      <c r="G806" s="97"/>
      <c r="H806" s="97"/>
      <c r="I806" s="93"/>
      <c r="J806" s="93"/>
      <c r="K806" s="93"/>
      <c r="L806" s="93"/>
      <c r="M806" s="93"/>
      <c r="N806" s="98">
        <v>0</v>
      </c>
      <c r="O806" s="98">
        <v>0</v>
      </c>
      <c r="P806" s="99">
        <f>SUM(SamplingData[[#This Row],[Winning Candidate]:[Under Votes]])</f>
        <v>54</v>
      </c>
      <c r="Q806" s="100">
        <f>IF(AND(SamplingData[[#This Row],[Total]]&lt;&gt; 0, NOT(ISBLANK(SamplingData[[#This Row],[Losing Candidate]]))),(SamplingData[[#This Row],[Total]]+SamplingData[[#This Row],[Winning Candidate]]-SamplingData[[#This Row],[Losing Candidate]])/(SamplingData[[#Totals],[Winning Candidate]]-SamplingData[[#Totals],[Losing Candidate]]), 0)</f>
        <v>3.0781794767094891E-3</v>
      </c>
      <c r="R806" s="100">
        <f>IF(AND(SamplingData[[#This Row],[Total]]&lt;&gt; 0, NOT(ISBLANK(SamplingData[[#This Row],[Candidate 3]]))),(SamplingData[[#This Row],[Total]]+SamplingData[[#This Row],[Winning Candidate]]-SamplingData[[#This Row],[Candidate 3]])/(SamplingData[[#Totals],[Winning Candidate]]-SamplingData[[#Totals],[Candidate 3]]), 0)</f>
        <v>0</v>
      </c>
      <c r="S806" s="100">
        <f>IF(AND(SamplingData[[#This Row],[Total]]&lt;&gt; 0, NOT(ISBLANK(SamplingData[[#This Row],[Candidate 4]]))),(SamplingData[[#This Row],[Total]]+SamplingData[[#This Row],[Winning Candidate]]-SamplingData[[#This Row],[Candidate 4]])/(SamplingData[[#Totals],[Winning Candidate]]-SamplingData[[#Totals],[Candidate 4]]), 0)</f>
        <v>0</v>
      </c>
      <c r="T806" s="100">
        <f>IF(AND(SamplingData[[#This Row],[Total]]&lt;&gt; 0, NOT(ISBLANK(SamplingData[[#This Row],[Candidate 5]]))),(SamplingData[[#This Row],[Total]]+SamplingData[[#This Row],[Winning Candidate]]-SamplingData[[#This Row],[Candidate 5]])/(SamplingData[[#Totals],[Winning Candidate]]-SamplingData[[#Totals],[Candidate 5]]), 0)</f>
        <v>0</v>
      </c>
      <c r="U806" s="100">
        <f>IF(AND(SamplingData[[#This Row],[Total]]&lt;&gt; 0, NOT(ISBLANK(SamplingData[[#This Row],[Candidate 6]]))),(SamplingData[[#This Row],[Total]]+SamplingData[[#This Row],[Losing Candidate]]-SamplingData[[#This Row],[Candidate 6]])/(SamplingData[[#Totals],[Winning Candidate]]-SamplingData[[#Totals],[Candidate 6]]), 0)</f>
        <v>0</v>
      </c>
      <c r="V806" s="100">
        <f>IF(AND(SamplingData[[#This Row],[Total]]&lt;&gt; 0, NOT(ISBLANK(SamplingData[[#This Row],[Candidate 7]]))),(SamplingData[[#This Row],[Total]]+SamplingData[[#This Row],[Winning Candidate]]-SamplingData[[#This Row],[Candidate 7]])/(SamplingData[[#Totals],[Winning Candidate]]-SamplingData[[#Totals],[Candidate 7]]), 0)</f>
        <v>0</v>
      </c>
      <c r="W806" s="100">
        <f>IF(AND(SamplingData[[#This Row],[Total]]&lt;&gt; 0, NOT(ISBLANK(SamplingData[[#This Row],[Candidate 8]]))),(SamplingData[[#This Row],[Total]]+SamplingData[[#This Row],[Winning Candidate]]-SamplingData[[#This Row],[Candidate 8]])/(SamplingData[[#Totals],[Winning Candidate]]-SamplingData[[#Totals],[Candidate 8]]), 0)</f>
        <v>0</v>
      </c>
      <c r="X8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00">
        <f>MAX(SamplingData[[#This Row],[Error Bound (up) - Max. possible relative overstatement - Losing Candidate]:[Error Bound (up) - Max. possible relative overstatement - Candidate 12]])</f>
        <v>3.0781794767094891E-3</v>
      </c>
      <c r="AC806" s="100">
        <f>IF(SamplingData[[#This Row],[Max Error Bound (up)]] = 0,0,SamplingData[[#This Row],[Max Error Bound (up)]]/SamplingData[[#Totals],[Max Error Bound (up)]])</f>
        <v>1.3191191514564157E-3</v>
      </c>
      <c r="AD806" s="104">
        <f>SUM($AC$5:AC806)</f>
        <v>0.32615894039735133</v>
      </c>
      <c r="AE806" s="100" t="str" cm="1">
        <f t="array" ref="AE806">IF(SamplingData[[#This Row],[up/U Selection Probability]] = 0, "Zero", TEXT(SamplingData[[#This Row],[Lower Range]], REPT("0",LEN('General Info'!$B$42))) &amp; " - " &amp; TEXT(SamplingData[[#This Row],[Upper Range]], REPT("0",LEN('General Info'!$B$42))))</f>
        <v>32484 - 32615</v>
      </c>
      <c r="AF806" s="100">
        <f>SamplingData[[#This Row],[Upper Range]]-SamplingData[[#This Row],[Span]]</f>
        <v>32483.982124589493</v>
      </c>
      <c r="AG806" s="100">
        <f>IF(ISNUMBER('General Info'!$B$42), ((SamplingData[[#This Row],[up/U Selection Probability]]) * 'General Info'!$B$44) - 1, 0)</f>
        <v>130.91191514564156</v>
      </c>
      <c r="AH806" s="100">
        <f>IF(ISNUMBER('General Info'!$B$42), (SamplingData[[#This Row],[Running (cumulative) sum]] * ('General Info'!$B$42 -'General Info'!$B$43 + 1)) + 'General Info'!$B$43 - 1, 0)</f>
        <v>32614.894039735133</v>
      </c>
      <c r="AI806" s="100" t="str">
        <f>IF(ISERROR(MATCH(SamplingData[[#This Row],[Batch by Type (p)]],SelectedPrecincts[Batch Name], 0)), "", INDEX(SelectedPrecincts[Draw], MATCH(SamplingData[[#This Row],[Batch by Type (p)]],SelectedPrecincts[Batch Name], 0)))</f>
        <v/>
      </c>
      <c r="AJ806" s="101">
        <f>IF(COUNTIF(SelectedPrecincts[Batch Name],SamplingData[[#This Row],[Batch by Type (p)]]) &lt;&gt; 0, COUNTIF(SelectedPrecincts[Batch Name],SamplingData[[#This Row],[Batch by Type (p)]]), 0)</f>
        <v>0</v>
      </c>
    </row>
    <row r="807" spans="1:36" ht="15" customHeight="1" x14ac:dyDescent="0.35">
      <c r="A807" s="98" t="s">
        <v>1018</v>
      </c>
      <c r="B807" s="98">
        <v>82</v>
      </c>
      <c r="C807" s="98">
        <v>9</v>
      </c>
      <c r="D807" s="93"/>
      <c r="E807" s="93"/>
      <c r="F807" s="93"/>
      <c r="G807" s="97"/>
      <c r="H807" s="97"/>
      <c r="I807" s="93"/>
      <c r="J807" s="93"/>
      <c r="K807" s="93"/>
      <c r="L807" s="93"/>
      <c r="M807" s="93"/>
      <c r="N807" s="98">
        <v>0</v>
      </c>
      <c r="O807" s="98">
        <v>0</v>
      </c>
      <c r="P807" s="99">
        <f>SUM(SamplingData[[#This Row],[Winning Candidate]:[Under Votes]])</f>
        <v>91</v>
      </c>
      <c r="Q807" s="100">
        <f>IF(AND(SamplingData[[#This Row],[Total]]&lt;&gt; 0, NOT(ISBLANK(SamplingData[[#This Row],[Losing Candidate]]))),(SamplingData[[#This Row],[Total]]+SamplingData[[#This Row],[Winning Candidate]]-SamplingData[[#This Row],[Losing Candidate]])/(SamplingData[[#Totals],[Winning Candidate]]-SamplingData[[#Totals],[Losing Candidate]]), 0)</f>
        <v>5.1512391242893489E-3</v>
      </c>
      <c r="R807" s="100">
        <f>IF(AND(SamplingData[[#This Row],[Total]]&lt;&gt; 0, NOT(ISBLANK(SamplingData[[#This Row],[Candidate 3]]))),(SamplingData[[#This Row],[Total]]+SamplingData[[#This Row],[Winning Candidate]]-SamplingData[[#This Row],[Candidate 3]])/(SamplingData[[#Totals],[Winning Candidate]]-SamplingData[[#Totals],[Candidate 3]]), 0)</f>
        <v>0</v>
      </c>
      <c r="S807" s="100">
        <f>IF(AND(SamplingData[[#This Row],[Total]]&lt;&gt; 0, NOT(ISBLANK(SamplingData[[#This Row],[Candidate 4]]))),(SamplingData[[#This Row],[Total]]+SamplingData[[#This Row],[Winning Candidate]]-SamplingData[[#This Row],[Candidate 4]])/(SamplingData[[#Totals],[Winning Candidate]]-SamplingData[[#Totals],[Candidate 4]]), 0)</f>
        <v>0</v>
      </c>
      <c r="T807" s="100">
        <f>IF(AND(SamplingData[[#This Row],[Total]]&lt;&gt; 0, NOT(ISBLANK(SamplingData[[#This Row],[Candidate 5]]))),(SamplingData[[#This Row],[Total]]+SamplingData[[#This Row],[Winning Candidate]]-SamplingData[[#This Row],[Candidate 5]])/(SamplingData[[#Totals],[Winning Candidate]]-SamplingData[[#Totals],[Candidate 5]]), 0)</f>
        <v>0</v>
      </c>
      <c r="U807" s="100">
        <f>IF(AND(SamplingData[[#This Row],[Total]]&lt;&gt; 0, NOT(ISBLANK(SamplingData[[#This Row],[Candidate 6]]))),(SamplingData[[#This Row],[Total]]+SamplingData[[#This Row],[Losing Candidate]]-SamplingData[[#This Row],[Candidate 6]])/(SamplingData[[#Totals],[Winning Candidate]]-SamplingData[[#Totals],[Candidate 6]]), 0)</f>
        <v>0</v>
      </c>
      <c r="V807" s="100">
        <f>IF(AND(SamplingData[[#This Row],[Total]]&lt;&gt; 0, NOT(ISBLANK(SamplingData[[#This Row],[Candidate 7]]))),(SamplingData[[#This Row],[Total]]+SamplingData[[#This Row],[Winning Candidate]]-SamplingData[[#This Row],[Candidate 7]])/(SamplingData[[#Totals],[Winning Candidate]]-SamplingData[[#Totals],[Candidate 7]]), 0)</f>
        <v>0</v>
      </c>
      <c r="W807" s="100">
        <f>IF(AND(SamplingData[[#This Row],[Total]]&lt;&gt; 0, NOT(ISBLANK(SamplingData[[#This Row],[Candidate 8]]))),(SamplingData[[#This Row],[Total]]+SamplingData[[#This Row],[Winning Candidate]]-SamplingData[[#This Row],[Candidate 8]])/(SamplingData[[#Totals],[Winning Candidate]]-SamplingData[[#Totals],[Candidate 8]]), 0)</f>
        <v>0</v>
      </c>
      <c r="X8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00">
        <f>MAX(SamplingData[[#This Row],[Error Bound (up) - Max. possible relative overstatement - Losing Candidate]:[Error Bound (up) - Max. possible relative overstatement - Candidate 12]])</f>
        <v>5.1512391242893489E-3</v>
      </c>
      <c r="AC807" s="100">
        <f>IF(SamplingData[[#This Row],[Max Error Bound (up)]] = 0,0,SamplingData[[#This Row],[Max Error Bound (up)]]/SamplingData[[#Totals],[Max Error Bound (up)]])</f>
        <v>2.2075055187637978E-3</v>
      </c>
      <c r="AD807" s="104">
        <f>SUM($AC$5:AC807)</f>
        <v>0.32836644591611513</v>
      </c>
      <c r="AE807" s="100" t="str" cm="1">
        <f t="array" ref="AE807">IF(SamplingData[[#This Row],[up/U Selection Probability]] = 0, "Zero", TEXT(SamplingData[[#This Row],[Lower Range]], REPT("0",LEN('General Info'!$B$42))) &amp; " - " &amp; TEXT(SamplingData[[#This Row],[Upper Range]], REPT("0",LEN('General Info'!$B$42))))</f>
        <v>32616 - 32836</v>
      </c>
      <c r="AF807" s="100">
        <f>SamplingData[[#This Row],[Upper Range]]-SamplingData[[#This Row],[Span]]</f>
        <v>32615.894039735133</v>
      </c>
      <c r="AG807" s="100">
        <f>IF(ISNUMBER('General Info'!$B$42), ((SamplingData[[#This Row],[up/U Selection Probability]]) * 'General Info'!$B$44) - 1, 0)</f>
        <v>219.75055187637977</v>
      </c>
      <c r="AH807" s="100">
        <f>IF(ISNUMBER('General Info'!$B$42), (SamplingData[[#This Row],[Running (cumulative) sum]] * ('General Info'!$B$42 -'General Info'!$B$43 + 1)) + 'General Info'!$B$43 - 1, 0)</f>
        <v>32835.644591611512</v>
      </c>
      <c r="AI807" s="100" t="str">
        <f>IF(ISERROR(MATCH(SamplingData[[#This Row],[Batch by Type (p)]],SelectedPrecincts[Batch Name], 0)), "", INDEX(SelectedPrecincts[Draw], MATCH(SamplingData[[#This Row],[Batch by Type (p)]],SelectedPrecincts[Batch Name], 0)))</f>
        <v/>
      </c>
      <c r="AJ807" s="101">
        <f>IF(COUNTIF(SelectedPrecincts[Batch Name],SamplingData[[#This Row],[Batch by Type (p)]]) &lt;&gt; 0, COUNTIF(SelectedPrecincts[Batch Name],SamplingData[[#This Row],[Batch by Type (p)]]), 0)</f>
        <v>0</v>
      </c>
    </row>
    <row r="808" spans="1:36" ht="15" customHeight="1" x14ac:dyDescent="0.35">
      <c r="A808" s="98" t="s">
        <v>1019</v>
      </c>
      <c r="B808" s="98">
        <v>61</v>
      </c>
      <c r="C808" s="98">
        <v>8</v>
      </c>
      <c r="D808" s="93"/>
      <c r="E808" s="93"/>
      <c r="F808" s="93"/>
      <c r="G808" s="97"/>
      <c r="H808" s="97"/>
      <c r="I808" s="93"/>
      <c r="J808" s="93"/>
      <c r="K808" s="93"/>
      <c r="L808" s="93"/>
      <c r="M808" s="93"/>
      <c r="N808" s="98">
        <v>0</v>
      </c>
      <c r="O808" s="98">
        <v>3</v>
      </c>
      <c r="P808" s="99">
        <f>SUM(SamplingData[[#This Row],[Winning Candidate]:[Under Votes]])</f>
        <v>72</v>
      </c>
      <c r="Q808" s="100">
        <f>IF(AND(SamplingData[[#This Row],[Total]]&lt;&gt; 0, NOT(ISBLANK(SamplingData[[#This Row],[Losing Candidate]]))),(SamplingData[[#This Row],[Total]]+SamplingData[[#This Row],[Winning Candidate]]-SamplingData[[#This Row],[Losing Candidate]])/(SamplingData[[#Totals],[Winning Candidate]]-SamplingData[[#Totals],[Losing Candidate]]), 0)</f>
        <v>3.9262493325376135E-3</v>
      </c>
      <c r="R808" s="100">
        <f>IF(AND(SamplingData[[#This Row],[Total]]&lt;&gt; 0, NOT(ISBLANK(SamplingData[[#This Row],[Candidate 3]]))),(SamplingData[[#This Row],[Total]]+SamplingData[[#This Row],[Winning Candidate]]-SamplingData[[#This Row],[Candidate 3]])/(SamplingData[[#Totals],[Winning Candidate]]-SamplingData[[#Totals],[Candidate 3]]), 0)</f>
        <v>0</v>
      </c>
      <c r="S808" s="100">
        <f>IF(AND(SamplingData[[#This Row],[Total]]&lt;&gt; 0, NOT(ISBLANK(SamplingData[[#This Row],[Candidate 4]]))),(SamplingData[[#This Row],[Total]]+SamplingData[[#This Row],[Winning Candidate]]-SamplingData[[#This Row],[Candidate 4]])/(SamplingData[[#Totals],[Winning Candidate]]-SamplingData[[#Totals],[Candidate 4]]), 0)</f>
        <v>0</v>
      </c>
      <c r="T808" s="100">
        <f>IF(AND(SamplingData[[#This Row],[Total]]&lt;&gt; 0, NOT(ISBLANK(SamplingData[[#This Row],[Candidate 5]]))),(SamplingData[[#This Row],[Total]]+SamplingData[[#This Row],[Winning Candidate]]-SamplingData[[#This Row],[Candidate 5]])/(SamplingData[[#Totals],[Winning Candidate]]-SamplingData[[#Totals],[Candidate 5]]), 0)</f>
        <v>0</v>
      </c>
      <c r="U808" s="100">
        <f>IF(AND(SamplingData[[#This Row],[Total]]&lt;&gt; 0, NOT(ISBLANK(SamplingData[[#This Row],[Candidate 6]]))),(SamplingData[[#This Row],[Total]]+SamplingData[[#This Row],[Losing Candidate]]-SamplingData[[#This Row],[Candidate 6]])/(SamplingData[[#Totals],[Winning Candidate]]-SamplingData[[#Totals],[Candidate 6]]), 0)</f>
        <v>0</v>
      </c>
      <c r="V808" s="100">
        <f>IF(AND(SamplingData[[#This Row],[Total]]&lt;&gt; 0, NOT(ISBLANK(SamplingData[[#This Row],[Candidate 7]]))),(SamplingData[[#This Row],[Total]]+SamplingData[[#This Row],[Winning Candidate]]-SamplingData[[#This Row],[Candidate 7]])/(SamplingData[[#Totals],[Winning Candidate]]-SamplingData[[#Totals],[Candidate 7]]), 0)</f>
        <v>0</v>
      </c>
      <c r="W808" s="100">
        <f>IF(AND(SamplingData[[#This Row],[Total]]&lt;&gt; 0, NOT(ISBLANK(SamplingData[[#This Row],[Candidate 8]]))),(SamplingData[[#This Row],[Total]]+SamplingData[[#This Row],[Winning Candidate]]-SamplingData[[#This Row],[Candidate 8]])/(SamplingData[[#Totals],[Winning Candidate]]-SamplingData[[#Totals],[Candidate 8]]), 0)</f>
        <v>0</v>
      </c>
      <c r="X8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00">
        <f>MAX(SamplingData[[#This Row],[Error Bound (up) - Max. possible relative overstatement - Losing Candidate]:[Error Bound (up) - Max. possible relative overstatement - Candidate 12]])</f>
        <v>3.9262493325376135E-3</v>
      </c>
      <c r="AC808" s="100">
        <f>IF(SamplingData[[#This Row],[Max Error Bound (up)]] = 0,0,SamplingData[[#This Row],[Max Error Bound (up)]]/SamplingData[[#Totals],[Max Error Bound (up)]])</f>
        <v>1.6825499380821629E-3</v>
      </c>
      <c r="AD808" s="104">
        <f>SUM($AC$5:AC808)</f>
        <v>0.33004899585419728</v>
      </c>
      <c r="AE808" s="100" t="str" cm="1">
        <f t="array" ref="AE808">IF(SamplingData[[#This Row],[up/U Selection Probability]] = 0, "Zero", TEXT(SamplingData[[#This Row],[Lower Range]], REPT("0",LEN('General Info'!$B$42))) &amp; " - " &amp; TEXT(SamplingData[[#This Row],[Upper Range]], REPT("0",LEN('General Info'!$B$42))))</f>
        <v>32837 - 33004</v>
      </c>
      <c r="AF808" s="100">
        <f>SamplingData[[#This Row],[Upper Range]]-SamplingData[[#This Row],[Span]]</f>
        <v>32836.644591611512</v>
      </c>
      <c r="AG808" s="100">
        <f>IF(ISNUMBER('General Info'!$B$42), ((SamplingData[[#This Row],[up/U Selection Probability]]) * 'General Info'!$B$44) - 1, 0)</f>
        <v>167.25499380821628</v>
      </c>
      <c r="AH808" s="100">
        <f>IF(ISNUMBER('General Info'!$B$42), (SamplingData[[#This Row],[Running (cumulative) sum]] * ('General Info'!$B$42 -'General Info'!$B$43 + 1)) + 'General Info'!$B$43 - 1, 0)</f>
        <v>33003.899585419727</v>
      </c>
      <c r="AI808" s="100" t="str">
        <f>IF(ISERROR(MATCH(SamplingData[[#This Row],[Batch by Type (p)]],SelectedPrecincts[Batch Name], 0)), "", INDEX(SelectedPrecincts[Draw], MATCH(SamplingData[[#This Row],[Batch by Type (p)]],SelectedPrecincts[Batch Name], 0)))</f>
        <v/>
      </c>
      <c r="AJ808" s="101">
        <f>IF(COUNTIF(SelectedPrecincts[Batch Name],SamplingData[[#This Row],[Batch by Type (p)]]) &lt;&gt; 0, COUNTIF(SelectedPrecincts[Batch Name],SamplingData[[#This Row],[Batch by Type (p)]]), 0)</f>
        <v>0</v>
      </c>
    </row>
    <row r="809" spans="1:36" ht="15" customHeight="1" x14ac:dyDescent="0.35">
      <c r="A809" s="98" t="s">
        <v>1020</v>
      </c>
      <c r="B809" s="98">
        <v>48</v>
      </c>
      <c r="C809" s="98">
        <v>9</v>
      </c>
      <c r="D809" s="93"/>
      <c r="E809" s="93"/>
      <c r="F809" s="93"/>
      <c r="G809" s="97"/>
      <c r="H809" s="97"/>
      <c r="I809" s="93"/>
      <c r="J809" s="93"/>
      <c r="K809" s="93"/>
      <c r="L809" s="93"/>
      <c r="M809" s="93"/>
      <c r="N809" s="98">
        <v>0</v>
      </c>
      <c r="O809" s="98">
        <v>1</v>
      </c>
      <c r="P809" s="99">
        <f>SUM(SamplingData[[#This Row],[Winning Candidate]:[Under Votes]])</f>
        <v>58</v>
      </c>
      <c r="Q809" s="100">
        <f>IF(AND(SamplingData[[#This Row],[Total]]&lt;&gt; 0, NOT(ISBLANK(SamplingData[[#This Row],[Losing Candidate]]))),(SamplingData[[#This Row],[Total]]+SamplingData[[#This Row],[Winning Candidate]]-SamplingData[[#This Row],[Losing Candidate]])/(SamplingData[[#Totals],[Winning Candidate]]-SamplingData[[#Totals],[Losing Candidate]]), 0)</f>
        <v>3.0467694820491878E-3</v>
      </c>
      <c r="R809" s="100">
        <f>IF(AND(SamplingData[[#This Row],[Total]]&lt;&gt; 0, NOT(ISBLANK(SamplingData[[#This Row],[Candidate 3]]))),(SamplingData[[#This Row],[Total]]+SamplingData[[#This Row],[Winning Candidate]]-SamplingData[[#This Row],[Candidate 3]])/(SamplingData[[#Totals],[Winning Candidate]]-SamplingData[[#Totals],[Candidate 3]]), 0)</f>
        <v>0</v>
      </c>
      <c r="S809" s="100">
        <f>IF(AND(SamplingData[[#This Row],[Total]]&lt;&gt; 0, NOT(ISBLANK(SamplingData[[#This Row],[Candidate 4]]))),(SamplingData[[#This Row],[Total]]+SamplingData[[#This Row],[Winning Candidate]]-SamplingData[[#This Row],[Candidate 4]])/(SamplingData[[#Totals],[Winning Candidate]]-SamplingData[[#Totals],[Candidate 4]]), 0)</f>
        <v>0</v>
      </c>
      <c r="T809" s="100">
        <f>IF(AND(SamplingData[[#This Row],[Total]]&lt;&gt; 0, NOT(ISBLANK(SamplingData[[#This Row],[Candidate 5]]))),(SamplingData[[#This Row],[Total]]+SamplingData[[#This Row],[Winning Candidate]]-SamplingData[[#This Row],[Candidate 5]])/(SamplingData[[#Totals],[Winning Candidate]]-SamplingData[[#Totals],[Candidate 5]]), 0)</f>
        <v>0</v>
      </c>
      <c r="U809" s="100">
        <f>IF(AND(SamplingData[[#This Row],[Total]]&lt;&gt; 0, NOT(ISBLANK(SamplingData[[#This Row],[Candidate 6]]))),(SamplingData[[#This Row],[Total]]+SamplingData[[#This Row],[Losing Candidate]]-SamplingData[[#This Row],[Candidate 6]])/(SamplingData[[#Totals],[Winning Candidate]]-SamplingData[[#Totals],[Candidate 6]]), 0)</f>
        <v>0</v>
      </c>
      <c r="V809" s="100">
        <f>IF(AND(SamplingData[[#This Row],[Total]]&lt;&gt; 0, NOT(ISBLANK(SamplingData[[#This Row],[Candidate 7]]))),(SamplingData[[#This Row],[Total]]+SamplingData[[#This Row],[Winning Candidate]]-SamplingData[[#This Row],[Candidate 7]])/(SamplingData[[#Totals],[Winning Candidate]]-SamplingData[[#Totals],[Candidate 7]]), 0)</f>
        <v>0</v>
      </c>
      <c r="W809" s="100">
        <f>IF(AND(SamplingData[[#This Row],[Total]]&lt;&gt; 0, NOT(ISBLANK(SamplingData[[#This Row],[Candidate 8]]))),(SamplingData[[#This Row],[Total]]+SamplingData[[#This Row],[Winning Candidate]]-SamplingData[[#This Row],[Candidate 8]])/(SamplingData[[#Totals],[Winning Candidate]]-SamplingData[[#Totals],[Candidate 8]]), 0)</f>
        <v>0</v>
      </c>
      <c r="X8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00">
        <f>MAX(SamplingData[[#This Row],[Error Bound (up) - Max. possible relative overstatement - Losing Candidate]:[Error Bound (up) - Max. possible relative overstatement - Candidate 12]])</f>
        <v>3.0467694820491878E-3</v>
      </c>
      <c r="AC809" s="100">
        <f>IF(SamplingData[[#This Row],[Max Error Bound (up)]] = 0,0,SamplingData[[#This Row],[Max Error Bound (up)]]/SamplingData[[#Totals],[Max Error Bound (up)]])</f>
        <v>1.3056587519517584E-3</v>
      </c>
      <c r="AD809" s="104">
        <f>SUM($AC$5:AC809)</f>
        <v>0.33135465460614905</v>
      </c>
      <c r="AE809" s="100" t="str" cm="1">
        <f t="array" ref="AE809">IF(SamplingData[[#This Row],[up/U Selection Probability]] = 0, "Zero", TEXT(SamplingData[[#This Row],[Lower Range]], REPT("0",LEN('General Info'!$B$42))) &amp; " - " &amp; TEXT(SamplingData[[#This Row],[Upper Range]], REPT("0",LEN('General Info'!$B$42))))</f>
        <v>33005 - 33134</v>
      </c>
      <c r="AF809" s="100">
        <f>SamplingData[[#This Row],[Upper Range]]-SamplingData[[#This Row],[Span]]</f>
        <v>33004.899585419727</v>
      </c>
      <c r="AG809" s="100">
        <f>IF(ISNUMBER('General Info'!$B$42), ((SamplingData[[#This Row],[up/U Selection Probability]]) * 'General Info'!$B$44) - 1, 0)</f>
        <v>129.56587519517583</v>
      </c>
      <c r="AH809" s="100">
        <f>IF(ISNUMBER('General Info'!$B$42), (SamplingData[[#This Row],[Running (cumulative) sum]] * ('General Info'!$B$42 -'General Info'!$B$43 + 1)) + 'General Info'!$B$43 - 1, 0)</f>
        <v>33134.465460614905</v>
      </c>
      <c r="AI809" s="100" t="str">
        <f>IF(ISERROR(MATCH(SamplingData[[#This Row],[Batch by Type (p)]],SelectedPrecincts[Batch Name], 0)), "", INDEX(SelectedPrecincts[Draw], MATCH(SamplingData[[#This Row],[Batch by Type (p)]],SelectedPrecincts[Batch Name], 0)))</f>
        <v/>
      </c>
      <c r="AJ809" s="101">
        <f>IF(COUNTIF(SelectedPrecincts[Batch Name],SamplingData[[#This Row],[Batch by Type (p)]]) &lt;&gt; 0, COUNTIF(SelectedPrecincts[Batch Name],SamplingData[[#This Row],[Batch by Type (p)]]), 0)</f>
        <v>0</v>
      </c>
    </row>
    <row r="810" spans="1:36" ht="15" customHeight="1" x14ac:dyDescent="0.35">
      <c r="A810" s="98" t="s">
        <v>1021</v>
      </c>
      <c r="B810" s="98">
        <v>80</v>
      </c>
      <c r="C810" s="98">
        <v>4</v>
      </c>
      <c r="D810" s="93"/>
      <c r="E810" s="93"/>
      <c r="F810" s="93"/>
      <c r="G810" s="97"/>
      <c r="H810" s="97"/>
      <c r="I810" s="93"/>
      <c r="J810" s="93"/>
      <c r="K810" s="93"/>
      <c r="L810" s="93"/>
      <c r="M810" s="93"/>
      <c r="N810" s="98">
        <v>0</v>
      </c>
      <c r="O810" s="98">
        <v>0</v>
      </c>
      <c r="P810" s="99">
        <f>SUM(SamplingData[[#This Row],[Winning Candidate]:[Under Votes]])</f>
        <v>84</v>
      </c>
      <c r="Q810" s="100">
        <f>IF(AND(SamplingData[[#This Row],[Total]]&lt;&gt; 0, NOT(ISBLANK(SamplingData[[#This Row],[Losing Candidate]]))),(SamplingData[[#This Row],[Total]]+SamplingData[[#This Row],[Winning Candidate]]-SamplingData[[#This Row],[Losing Candidate]])/(SamplingData[[#Totals],[Winning Candidate]]-SamplingData[[#Totals],[Losing Candidate]]), 0)</f>
        <v>5.025599145648145E-3</v>
      </c>
      <c r="R810" s="100">
        <f>IF(AND(SamplingData[[#This Row],[Total]]&lt;&gt; 0, NOT(ISBLANK(SamplingData[[#This Row],[Candidate 3]]))),(SamplingData[[#This Row],[Total]]+SamplingData[[#This Row],[Winning Candidate]]-SamplingData[[#This Row],[Candidate 3]])/(SamplingData[[#Totals],[Winning Candidate]]-SamplingData[[#Totals],[Candidate 3]]), 0)</f>
        <v>0</v>
      </c>
      <c r="S810" s="100">
        <f>IF(AND(SamplingData[[#This Row],[Total]]&lt;&gt; 0, NOT(ISBLANK(SamplingData[[#This Row],[Candidate 4]]))),(SamplingData[[#This Row],[Total]]+SamplingData[[#This Row],[Winning Candidate]]-SamplingData[[#This Row],[Candidate 4]])/(SamplingData[[#Totals],[Winning Candidate]]-SamplingData[[#Totals],[Candidate 4]]), 0)</f>
        <v>0</v>
      </c>
      <c r="T810" s="100">
        <f>IF(AND(SamplingData[[#This Row],[Total]]&lt;&gt; 0, NOT(ISBLANK(SamplingData[[#This Row],[Candidate 5]]))),(SamplingData[[#This Row],[Total]]+SamplingData[[#This Row],[Winning Candidate]]-SamplingData[[#This Row],[Candidate 5]])/(SamplingData[[#Totals],[Winning Candidate]]-SamplingData[[#Totals],[Candidate 5]]), 0)</f>
        <v>0</v>
      </c>
      <c r="U810" s="100">
        <f>IF(AND(SamplingData[[#This Row],[Total]]&lt;&gt; 0, NOT(ISBLANK(SamplingData[[#This Row],[Candidate 6]]))),(SamplingData[[#This Row],[Total]]+SamplingData[[#This Row],[Losing Candidate]]-SamplingData[[#This Row],[Candidate 6]])/(SamplingData[[#Totals],[Winning Candidate]]-SamplingData[[#Totals],[Candidate 6]]), 0)</f>
        <v>0</v>
      </c>
      <c r="V810" s="100">
        <f>IF(AND(SamplingData[[#This Row],[Total]]&lt;&gt; 0, NOT(ISBLANK(SamplingData[[#This Row],[Candidate 7]]))),(SamplingData[[#This Row],[Total]]+SamplingData[[#This Row],[Winning Candidate]]-SamplingData[[#This Row],[Candidate 7]])/(SamplingData[[#Totals],[Winning Candidate]]-SamplingData[[#Totals],[Candidate 7]]), 0)</f>
        <v>0</v>
      </c>
      <c r="W810" s="100">
        <f>IF(AND(SamplingData[[#This Row],[Total]]&lt;&gt; 0, NOT(ISBLANK(SamplingData[[#This Row],[Candidate 8]]))),(SamplingData[[#This Row],[Total]]+SamplingData[[#This Row],[Winning Candidate]]-SamplingData[[#This Row],[Candidate 8]])/(SamplingData[[#Totals],[Winning Candidate]]-SamplingData[[#Totals],[Candidate 8]]), 0)</f>
        <v>0</v>
      </c>
      <c r="X8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00">
        <f>MAX(SamplingData[[#This Row],[Error Bound (up) - Max. possible relative overstatement - Losing Candidate]:[Error Bound (up) - Max. possible relative overstatement - Candidate 12]])</f>
        <v>5.025599145648145E-3</v>
      </c>
      <c r="AC810" s="100">
        <f>IF(SamplingData[[#This Row],[Max Error Bound (up)]] = 0,0,SamplingData[[#This Row],[Max Error Bound (up)]]/SamplingData[[#Totals],[Max Error Bound (up)]])</f>
        <v>2.1536639207451686E-3</v>
      </c>
      <c r="AD810" s="104">
        <f>SUM($AC$5:AC810)</f>
        <v>0.33350831852689422</v>
      </c>
      <c r="AE810" s="100" t="str" cm="1">
        <f t="array" ref="AE810">IF(SamplingData[[#This Row],[up/U Selection Probability]] = 0, "Zero", TEXT(SamplingData[[#This Row],[Lower Range]], REPT("0",LEN('General Info'!$B$42))) &amp; " - " &amp; TEXT(SamplingData[[#This Row],[Upper Range]], REPT("0",LEN('General Info'!$B$42))))</f>
        <v>33135 - 33350</v>
      </c>
      <c r="AF810" s="100">
        <f>SamplingData[[#This Row],[Upper Range]]-SamplingData[[#This Row],[Span]]</f>
        <v>33135.465460614905</v>
      </c>
      <c r="AG810" s="100">
        <f>IF(ISNUMBER('General Info'!$B$42), ((SamplingData[[#This Row],[up/U Selection Probability]]) * 'General Info'!$B$44) - 1, 0)</f>
        <v>214.36639207451685</v>
      </c>
      <c r="AH810" s="100">
        <f>IF(ISNUMBER('General Info'!$B$42), (SamplingData[[#This Row],[Running (cumulative) sum]] * ('General Info'!$B$42 -'General Info'!$B$43 + 1)) + 'General Info'!$B$43 - 1, 0)</f>
        <v>33349.831852689422</v>
      </c>
      <c r="AI810" s="100" t="str">
        <f>IF(ISERROR(MATCH(SamplingData[[#This Row],[Batch by Type (p)]],SelectedPrecincts[Batch Name], 0)), "", INDEX(SelectedPrecincts[Draw], MATCH(SamplingData[[#This Row],[Batch by Type (p)]],SelectedPrecincts[Batch Name], 0)))</f>
        <v/>
      </c>
      <c r="AJ810" s="101">
        <f>IF(COUNTIF(SelectedPrecincts[Batch Name],SamplingData[[#This Row],[Batch by Type (p)]]) &lt;&gt; 0, COUNTIF(SelectedPrecincts[Batch Name],SamplingData[[#This Row],[Batch by Type (p)]]), 0)</f>
        <v>0</v>
      </c>
    </row>
    <row r="811" spans="1:36" ht="15" customHeight="1" x14ac:dyDescent="0.35">
      <c r="A811" s="98" t="s">
        <v>1022</v>
      </c>
      <c r="B811" s="98">
        <v>64</v>
      </c>
      <c r="C811" s="98">
        <v>7</v>
      </c>
      <c r="D811" s="93"/>
      <c r="E811" s="93"/>
      <c r="F811" s="93"/>
      <c r="G811" s="97"/>
      <c r="H811" s="97"/>
      <c r="I811" s="93"/>
      <c r="J811" s="93"/>
      <c r="K811" s="93"/>
      <c r="L811" s="93"/>
      <c r="M811" s="93"/>
      <c r="N811" s="98">
        <v>0</v>
      </c>
      <c r="O811" s="98">
        <v>1</v>
      </c>
      <c r="P811" s="99">
        <f>SUM(SamplingData[[#This Row],[Winning Candidate]:[Under Votes]])</f>
        <v>72</v>
      </c>
      <c r="Q811" s="100">
        <f>IF(AND(SamplingData[[#This Row],[Total]]&lt;&gt; 0, NOT(ISBLANK(SamplingData[[#This Row],[Losing Candidate]]))),(SamplingData[[#This Row],[Total]]+SamplingData[[#This Row],[Winning Candidate]]-SamplingData[[#This Row],[Losing Candidate]])/(SamplingData[[#Totals],[Winning Candidate]]-SamplingData[[#Totals],[Losing Candidate]]), 0)</f>
        <v>4.0518893111788174E-3</v>
      </c>
      <c r="R811" s="100">
        <f>IF(AND(SamplingData[[#This Row],[Total]]&lt;&gt; 0, NOT(ISBLANK(SamplingData[[#This Row],[Candidate 3]]))),(SamplingData[[#This Row],[Total]]+SamplingData[[#This Row],[Winning Candidate]]-SamplingData[[#This Row],[Candidate 3]])/(SamplingData[[#Totals],[Winning Candidate]]-SamplingData[[#Totals],[Candidate 3]]), 0)</f>
        <v>0</v>
      </c>
      <c r="S811" s="100">
        <f>IF(AND(SamplingData[[#This Row],[Total]]&lt;&gt; 0, NOT(ISBLANK(SamplingData[[#This Row],[Candidate 4]]))),(SamplingData[[#This Row],[Total]]+SamplingData[[#This Row],[Winning Candidate]]-SamplingData[[#This Row],[Candidate 4]])/(SamplingData[[#Totals],[Winning Candidate]]-SamplingData[[#Totals],[Candidate 4]]), 0)</f>
        <v>0</v>
      </c>
      <c r="T811" s="100">
        <f>IF(AND(SamplingData[[#This Row],[Total]]&lt;&gt; 0, NOT(ISBLANK(SamplingData[[#This Row],[Candidate 5]]))),(SamplingData[[#This Row],[Total]]+SamplingData[[#This Row],[Winning Candidate]]-SamplingData[[#This Row],[Candidate 5]])/(SamplingData[[#Totals],[Winning Candidate]]-SamplingData[[#Totals],[Candidate 5]]), 0)</f>
        <v>0</v>
      </c>
      <c r="U811" s="100">
        <f>IF(AND(SamplingData[[#This Row],[Total]]&lt;&gt; 0, NOT(ISBLANK(SamplingData[[#This Row],[Candidate 6]]))),(SamplingData[[#This Row],[Total]]+SamplingData[[#This Row],[Losing Candidate]]-SamplingData[[#This Row],[Candidate 6]])/(SamplingData[[#Totals],[Winning Candidate]]-SamplingData[[#Totals],[Candidate 6]]), 0)</f>
        <v>0</v>
      </c>
      <c r="V811" s="100">
        <f>IF(AND(SamplingData[[#This Row],[Total]]&lt;&gt; 0, NOT(ISBLANK(SamplingData[[#This Row],[Candidate 7]]))),(SamplingData[[#This Row],[Total]]+SamplingData[[#This Row],[Winning Candidate]]-SamplingData[[#This Row],[Candidate 7]])/(SamplingData[[#Totals],[Winning Candidate]]-SamplingData[[#Totals],[Candidate 7]]), 0)</f>
        <v>0</v>
      </c>
      <c r="W811" s="100">
        <f>IF(AND(SamplingData[[#This Row],[Total]]&lt;&gt; 0, NOT(ISBLANK(SamplingData[[#This Row],[Candidate 8]]))),(SamplingData[[#This Row],[Total]]+SamplingData[[#This Row],[Winning Candidate]]-SamplingData[[#This Row],[Candidate 8]])/(SamplingData[[#Totals],[Winning Candidate]]-SamplingData[[#Totals],[Candidate 8]]), 0)</f>
        <v>0</v>
      </c>
      <c r="X8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00">
        <f>MAX(SamplingData[[#This Row],[Error Bound (up) - Max. possible relative overstatement - Losing Candidate]:[Error Bound (up) - Max. possible relative overstatement - Candidate 12]])</f>
        <v>4.0518893111788174E-3</v>
      </c>
      <c r="AC811" s="100">
        <f>IF(SamplingData[[#This Row],[Max Error Bound (up)]] = 0,0,SamplingData[[#This Row],[Max Error Bound (up)]]/SamplingData[[#Totals],[Max Error Bound (up)]])</f>
        <v>1.7363915361007923E-3</v>
      </c>
      <c r="AD811" s="104">
        <f>SUM($AC$5:AC811)</f>
        <v>0.335244710062995</v>
      </c>
      <c r="AE811" s="100" t="str" cm="1">
        <f t="array" ref="AE811">IF(SamplingData[[#This Row],[up/U Selection Probability]] = 0, "Zero", TEXT(SamplingData[[#This Row],[Lower Range]], REPT("0",LEN('General Info'!$B$42))) &amp; " - " &amp; TEXT(SamplingData[[#This Row],[Upper Range]], REPT("0",LEN('General Info'!$B$42))))</f>
        <v>33351 - 33523</v>
      </c>
      <c r="AF811" s="100">
        <f>SamplingData[[#This Row],[Upper Range]]-SamplingData[[#This Row],[Span]]</f>
        <v>33350.831852689422</v>
      </c>
      <c r="AG811" s="100">
        <f>IF(ISNUMBER('General Info'!$B$42), ((SamplingData[[#This Row],[up/U Selection Probability]]) * 'General Info'!$B$44) - 1, 0)</f>
        <v>172.63915361007923</v>
      </c>
      <c r="AH811" s="100">
        <f>IF(ISNUMBER('General Info'!$B$42), (SamplingData[[#This Row],[Running (cumulative) sum]] * ('General Info'!$B$42 -'General Info'!$B$43 + 1)) + 'General Info'!$B$43 - 1, 0)</f>
        <v>33523.4710062995</v>
      </c>
      <c r="AI811" s="100" t="str">
        <f>IF(ISERROR(MATCH(SamplingData[[#This Row],[Batch by Type (p)]],SelectedPrecincts[Batch Name], 0)), "", INDEX(SelectedPrecincts[Draw], MATCH(SamplingData[[#This Row],[Batch by Type (p)]],SelectedPrecincts[Batch Name], 0)))</f>
        <v/>
      </c>
      <c r="AJ811" s="101">
        <f>IF(COUNTIF(SelectedPrecincts[Batch Name],SamplingData[[#This Row],[Batch by Type (p)]]) &lt;&gt; 0, COUNTIF(SelectedPrecincts[Batch Name],SamplingData[[#This Row],[Batch by Type (p)]]), 0)</f>
        <v>0</v>
      </c>
    </row>
    <row r="812" spans="1:36" ht="15" customHeight="1" x14ac:dyDescent="0.35">
      <c r="A812" s="98" t="s">
        <v>1023</v>
      </c>
      <c r="B812" s="98">
        <v>47</v>
      </c>
      <c r="C812" s="98">
        <v>6</v>
      </c>
      <c r="D812" s="93"/>
      <c r="E812" s="93"/>
      <c r="F812" s="93"/>
      <c r="G812" s="97"/>
      <c r="H812" s="97"/>
      <c r="I812" s="93"/>
      <c r="J812" s="93"/>
      <c r="K812" s="93"/>
      <c r="L812" s="93"/>
      <c r="M812" s="93"/>
      <c r="N812" s="98">
        <v>0</v>
      </c>
      <c r="O812" s="98">
        <v>0</v>
      </c>
      <c r="P812" s="99">
        <f>SUM(SamplingData[[#This Row],[Winning Candidate]:[Under Votes]])</f>
        <v>53</v>
      </c>
      <c r="Q812" s="100">
        <f>IF(AND(SamplingData[[#This Row],[Total]]&lt;&gt; 0, NOT(ISBLANK(SamplingData[[#This Row],[Losing Candidate]]))),(SamplingData[[#This Row],[Total]]+SamplingData[[#This Row],[Winning Candidate]]-SamplingData[[#This Row],[Losing Candidate]])/(SamplingData[[#Totals],[Winning Candidate]]-SamplingData[[#Totals],[Losing Candidate]]), 0)</f>
        <v>2.9525394980682855E-3</v>
      </c>
      <c r="R812" s="100">
        <f>IF(AND(SamplingData[[#This Row],[Total]]&lt;&gt; 0, NOT(ISBLANK(SamplingData[[#This Row],[Candidate 3]]))),(SamplingData[[#This Row],[Total]]+SamplingData[[#This Row],[Winning Candidate]]-SamplingData[[#This Row],[Candidate 3]])/(SamplingData[[#Totals],[Winning Candidate]]-SamplingData[[#Totals],[Candidate 3]]), 0)</f>
        <v>0</v>
      </c>
      <c r="S812" s="100">
        <f>IF(AND(SamplingData[[#This Row],[Total]]&lt;&gt; 0, NOT(ISBLANK(SamplingData[[#This Row],[Candidate 4]]))),(SamplingData[[#This Row],[Total]]+SamplingData[[#This Row],[Winning Candidate]]-SamplingData[[#This Row],[Candidate 4]])/(SamplingData[[#Totals],[Winning Candidate]]-SamplingData[[#Totals],[Candidate 4]]), 0)</f>
        <v>0</v>
      </c>
      <c r="T812" s="100">
        <f>IF(AND(SamplingData[[#This Row],[Total]]&lt;&gt; 0, NOT(ISBLANK(SamplingData[[#This Row],[Candidate 5]]))),(SamplingData[[#This Row],[Total]]+SamplingData[[#This Row],[Winning Candidate]]-SamplingData[[#This Row],[Candidate 5]])/(SamplingData[[#Totals],[Winning Candidate]]-SamplingData[[#Totals],[Candidate 5]]), 0)</f>
        <v>0</v>
      </c>
      <c r="U812" s="100">
        <f>IF(AND(SamplingData[[#This Row],[Total]]&lt;&gt; 0, NOT(ISBLANK(SamplingData[[#This Row],[Candidate 6]]))),(SamplingData[[#This Row],[Total]]+SamplingData[[#This Row],[Losing Candidate]]-SamplingData[[#This Row],[Candidate 6]])/(SamplingData[[#Totals],[Winning Candidate]]-SamplingData[[#Totals],[Candidate 6]]), 0)</f>
        <v>0</v>
      </c>
      <c r="V812" s="100">
        <f>IF(AND(SamplingData[[#This Row],[Total]]&lt;&gt; 0, NOT(ISBLANK(SamplingData[[#This Row],[Candidate 7]]))),(SamplingData[[#This Row],[Total]]+SamplingData[[#This Row],[Winning Candidate]]-SamplingData[[#This Row],[Candidate 7]])/(SamplingData[[#Totals],[Winning Candidate]]-SamplingData[[#Totals],[Candidate 7]]), 0)</f>
        <v>0</v>
      </c>
      <c r="W812" s="100">
        <f>IF(AND(SamplingData[[#This Row],[Total]]&lt;&gt; 0, NOT(ISBLANK(SamplingData[[#This Row],[Candidate 8]]))),(SamplingData[[#This Row],[Total]]+SamplingData[[#This Row],[Winning Candidate]]-SamplingData[[#This Row],[Candidate 8]])/(SamplingData[[#Totals],[Winning Candidate]]-SamplingData[[#Totals],[Candidate 8]]), 0)</f>
        <v>0</v>
      </c>
      <c r="X8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00">
        <f>MAX(SamplingData[[#This Row],[Error Bound (up) - Max. possible relative overstatement - Losing Candidate]:[Error Bound (up) - Max. possible relative overstatement - Candidate 12]])</f>
        <v>2.9525394980682855E-3</v>
      </c>
      <c r="AC812" s="100">
        <f>IF(SamplingData[[#This Row],[Max Error Bound (up)]] = 0,0,SamplingData[[#This Row],[Max Error Bound (up)]]/SamplingData[[#Totals],[Max Error Bound (up)]])</f>
        <v>1.2652775534377865E-3</v>
      </c>
      <c r="AD812" s="104">
        <f>SUM($AC$5:AC812)</f>
        <v>0.3365099876164328</v>
      </c>
      <c r="AE812" s="100" t="str" cm="1">
        <f t="array" ref="AE812">IF(SamplingData[[#This Row],[up/U Selection Probability]] = 0, "Zero", TEXT(SamplingData[[#This Row],[Lower Range]], REPT("0",LEN('General Info'!$B$42))) &amp; " - " &amp; TEXT(SamplingData[[#This Row],[Upper Range]], REPT("0",LEN('General Info'!$B$42))))</f>
        <v>33524 - 33650</v>
      </c>
      <c r="AF812" s="100">
        <f>SamplingData[[#This Row],[Upper Range]]-SamplingData[[#This Row],[Span]]</f>
        <v>33524.4710062995</v>
      </c>
      <c r="AG812" s="100">
        <f>IF(ISNUMBER('General Info'!$B$42), ((SamplingData[[#This Row],[up/U Selection Probability]]) * 'General Info'!$B$44) - 1, 0)</f>
        <v>125.52775534377865</v>
      </c>
      <c r="AH812" s="100">
        <f>IF(ISNUMBER('General Info'!$B$42), (SamplingData[[#This Row],[Running (cumulative) sum]] * ('General Info'!$B$42 -'General Info'!$B$43 + 1)) + 'General Info'!$B$43 - 1, 0)</f>
        <v>33649.998761643277</v>
      </c>
      <c r="AI812" s="100" t="str">
        <f>IF(ISERROR(MATCH(SamplingData[[#This Row],[Batch by Type (p)]],SelectedPrecincts[Batch Name], 0)), "", INDEX(SelectedPrecincts[Draw], MATCH(SamplingData[[#This Row],[Batch by Type (p)]],SelectedPrecincts[Batch Name], 0)))</f>
        <v/>
      </c>
      <c r="AJ812" s="101">
        <f>IF(COUNTIF(SelectedPrecincts[Batch Name],SamplingData[[#This Row],[Batch by Type (p)]]) &lt;&gt; 0, COUNTIF(SelectedPrecincts[Batch Name],SamplingData[[#This Row],[Batch by Type (p)]]), 0)</f>
        <v>0</v>
      </c>
    </row>
    <row r="813" spans="1:36" ht="15" customHeight="1" x14ac:dyDescent="0.35">
      <c r="A813" s="98" t="s">
        <v>1024</v>
      </c>
      <c r="B813" s="98">
        <v>100</v>
      </c>
      <c r="C813" s="98">
        <v>11</v>
      </c>
      <c r="D813" s="93"/>
      <c r="E813" s="93"/>
      <c r="F813" s="93"/>
      <c r="G813" s="97"/>
      <c r="H813" s="97"/>
      <c r="I813" s="93"/>
      <c r="J813" s="93"/>
      <c r="K813" s="93"/>
      <c r="L813" s="93"/>
      <c r="M813" s="93"/>
      <c r="N813" s="98">
        <v>0</v>
      </c>
      <c r="O813" s="98">
        <v>0</v>
      </c>
      <c r="P813" s="99">
        <f>SUM(SamplingData[[#This Row],[Winning Candidate]:[Under Votes]])</f>
        <v>111</v>
      </c>
      <c r="Q813" s="100">
        <f>IF(AND(SamplingData[[#This Row],[Total]]&lt;&gt; 0, NOT(ISBLANK(SamplingData[[#This Row],[Losing Candidate]]))),(SamplingData[[#This Row],[Total]]+SamplingData[[#This Row],[Winning Candidate]]-SamplingData[[#This Row],[Losing Candidate]])/(SamplingData[[#Totals],[Winning Candidate]]-SamplingData[[#Totals],[Losing Candidate]]), 0)</f>
        <v>6.2819989320601812E-3</v>
      </c>
      <c r="R813" s="100">
        <f>IF(AND(SamplingData[[#This Row],[Total]]&lt;&gt; 0, NOT(ISBLANK(SamplingData[[#This Row],[Candidate 3]]))),(SamplingData[[#This Row],[Total]]+SamplingData[[#This Row],[Winning Candidate]]-SamplingData[[#This Row],[Candidate 3]])/(SamplingData[[#Totals],[Winning Candidate]]-SamplingData[[#Totals],[Candidate 3]]), 0)</f>
        <v>0</v>
      </c>
      <c r="S813" s="100">
        <f>IF(AND(SamplingData[[#This Row],[Total]]&lt;&gt; 0, NOT(ISBLANK(SamplingData[[#This Row],[Candidate 4]]))),(SamplingData[[#This Row],[Total]]+SamplingData[[#This Row],[Winning Candidate]]-SamplingData[[#This Row],[Candidate 4]])/(SamplingData[[#Totals],[Winning Candidate]]-SamplingData[[#Totals],[Candidate 4]]), 0)</f>
        <v>0</v>
      </c>
      <c r="T813" s="100">
        <f>IF(AND(SamplingData[[#This Row],[Total]]&lt;&gt; 0, NOT(ISBLANK(SamplingData[[#This Row],[Candidate 5]]))),(SamplingData[[#This Row],[Total]]+SamplingData[[#This Row],[Winning Candidate]]-SamplingData[[#This Row],[Candidate 5]])/(SamplingData[[#Totals],[Winning Candidate]]-SamplingData[[#Totals],[Candidate 5]]), 0)</f>
        <v>0</v>
      </c>
      <c r="U813" s="100">
        <f>IF(AND(SamplingData[[#This Row],[Total]]&lt;&gt; 0, NOT(ISBLANK(SamplingData[[#This Row],[Candidate 6]]))),(SamplingData[[#This Row],[Total]]+SamplingData[[#This Row],[Losing Candidate]]-SamplingData[[#This Row],[Candidate 6]])/(SamplingData[[#Totals],[Winning Candidate]]-SamplingData[[#Totals],[Candidate 6]]), 0)</f>
        <v>0</v>
      </c>
      <c r="V813" s="100">
        <f>IF(AND(SamplingData[[#This Row],[Total]]&lt;&gt; 0, NOT(ISBLANK(SamplingData[[#This Row],[Candidate 7]]))),(SamplingData[[#This Row],[Total]]+SamplingData[[#This Row],[Winning Candidate]]-SamplingData[[#This Row],[Candidate 7]])/(SamplingData[[#Totals],[Winning Candidate]]-SamplingData[[#Totals],[Candidate 7]]), 0)</f>
        <v>0</v>
      </c>
      <c r="W813" s="100">
        <f>IF(AND(SamplingData[[#This Row],[Total]]&lt;&gt; 0, NOT(ISBLANK(SamplingData[[#This Row],[Candidate 8]]))),(SamplingData[[#This Row],[Total]]+SamplingData[[#This Row],[Winning Candidate]]-SamplingData[[#This Row],[Candidate 8]])/(SamplingData[[#Totals],[Winning Candidate]]-SamplingData[[#Totals],[Candidate 8]]), 0)</f>
        <v>0</v>
      </c>
      <c r="X8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00">
        <f>MAX(SamplingData[[#This Row],[Error Bound (up) - Max. possible relative overstatement - Losing Candidate]:[Error Bound (up) - Max. possible relative overstatement - Candidate 12]])</f>
        <v>6.2819989320601812E-3</v>
      </c>
      <c r="AC813" s="100">
        <f>IF(SamplingData[[#This Row],[Max Error Bound (up)]] = 0,0,SamplingData[[#This Row],[Max Error Bound (up)]]/SamplingData[[#Totals],[Max Error Bound (up)]])</f>
        <v>2.6920799009314605E-3</v>
      </c>
      <c r="AD813" s="104">
        <f>SUM($AC$5:AC813)</f>
        <v>0.33920206751736426</v>
      </c>
      <c r="AE813" s="100" t="str" cm="1">
        <f t="array" ref="AE813">IF(SamplingData[[#This Row],[up/U Selection Probability]] = 0, "Zero", TEXT(SamplingData[[#This Row],[Lower Range]], REPT("0",LEN('General Info'!$B$42))) &amp; " - " &amp; TEXT(SamplingData[[#This Row],[Upper Range]], REPT("0",LEN('General Info'!$B$42))))</f>
        <v>33651 - 33919</v>
      </c>
      <c r="AF813" s="100">
        <f>SamplingData[[#This Row],[Upper Range]]-SamplingData[[#This Row],[Span]]</f>
        <v>33650.998761643277</v>
      </c>
      <c r="AG813" s="100">
        <f>IF(ISNUMBER('General Info'!$B$42), ((SamplingData[[#This Row],[up/U Selection Probability]]) * 'General Info'!$B$44) - 1, 0)</f>
        <v>268.20799009314607</v>
      </c>
      <c r="AH813" s="100">
        <f>IF(ISNUMBER('General Info'!$B$42), (SamplingData[[#This Row],[Running (cumulative) sum]] * ('General Info'!$B$42 -'General Info'!$B$43 + 1)) + 'General Info'!$B$43 - 1, 0)</f>
        <v>33919.206751736427</v>
      </c>
      <c r="AI813" s="100" t="str">
        <f>IF(ISERROR(MATCH(SamplingData[[#This Row],[Batch by Type (p)]],SelectedPrecincts[Batch Name], 0)), "", INDEX(SelectedPrecincts[Draw], MATCH(SamplingData[[#This Row],[Batch by Type (p)]],SelectedPrecincts[Batch Name], 0)))</f>
        <v/>
      </c>
      <c r="AJ813" s="101">
        <f>IF(COUNTIF(SelectedPrecincts[Batch Name],SamplingData[[#This Row],[Batch by Type (p)]]) &lt;&gt; 0, COUNTIF(SelectedPrecincts[Batch Name],SamplingData[[#This Row],[Batch by Type (p)]]), 0)</f>
        <v>0</v>
      </c>
    </row>
    <row r="814" spans="1:36" ht="15" customHeight="1" x14ac:dyDescent="0.35">
      <c r="A814" s="98" t="s">
        <v>1025</v>
      </c>
      <c r="B814" s="98">
        <v>41</v>
      </c>
      <c r="C814" s="98">
        <v>11</v>
      </c>
      <c r="D814" s="93"/>
      <c r="E814" s="93"/>
      <c r="F814" s="93"/>
      <c r="G814" s="97"/>
      <c r="H814" s="97"/>
      <c r="I814" s="93"/>
      <c r="J814" s="93"/>
      <c r="K814" s="93"/>
      <c r="L814" s="93"/>
      <c r="M814" s="93"/>
      <c r="N814" s="98">
        <v>0</v>
      </c>
      <c r="O814" s="98">
        <v>1</v>
      </c>
      <c r="P814" s="99">
        <f>SUM(SamplingData[[#This Row],[Winning Candidate]:[Under Votes]])</f>
        <v>53</v>
      </c>
      <c r="Q814" s="100">
        <f>IF(AND(SamplingData[[#This Row],[Total]]&lt;&gt; 0, NOT(ISBLANK(SamplingData[[#This Row],[Losing Candidate]]))),(SamplingData[[#This Row],[Total]]+SamplingData[[#This Row],[Winning Candidate]]-SamplingData[[#This Row],[Losing Candidate]])/(SamplingData[[#Totals],[Winning Candidate]]-SamplingData[[#Totals],[Losing Candidate]]), 0)</f>
        <v>2.6070295568049752E-3</v>
      </c>
      <c r="R814" s="100">
        <f>IF(AND(SamplingData[[#This Row],[Total]]&lt;&gt; 0, NOT(ISBLANK(SamplingData[[#This Row],[Candidate 3]]))),(SamplingData[[#This Row],[Total]]+SamplingData[[#This Row],[Winning Candidate]]-SamplingData[[#This Row],[Candidate 3]])/(SamplingData[[#Totals],[Winning Candidate]]-SamplingData[[#Totals],[Candidate 3]]), 0)</f>
        <v>0</v>
      </c>
      <c r="S814" s="100">
        <f>IF(AND(SamplingData[[#This Row],[Total]]&lt;&gt; 0, NOT(ISBLANK(SamplingData[[#This Row],[Candidate 4]]))),(SamplingData[[#This Row],[Total]]+SamplingData[[#This Row],[Winning Candidate]]-SamplingData[[#This Row],[Candidate 4]])/(SamplingData[[#Totals],[Winning Candidate]]-SamplingData[[#Totals],[Candidate 4]]), 0)</f>
        <v>0</v>
      </c>
      <c r="T814" s="100">
        <f>IF(AND(SamplingData[[#This Row],[Total]]&lt;&gt; 0, NOT(ISBLANK(SamplingData[[#This Row],[Candidate 5]]))),(SamplingData[[#This Row],[Total]]+SamplingData[[#This Row],[Winning Candidate]]-SamplingData[[#This Row],[Candidate 5]])/(SamplingData[[#Totals],[Winning Candidate]]-SamplingData[[#Totals],[Candidate 5]]), 0)</f>
        <v>0</v>
      </c>
      <c r="U814" s="100">
        <f>IF(AND(SamplingData[[#This Row],[Total]]&lt;&gt; 0, NOT(ISBLANK(SamplingData[[#This Row],[Candidate 6]]))),(SamplingData[[#This Row],[Total]]+SamplingData[[#This Row],[Losing Candidate]]-SamplingData[[#This Row],[Candidate 6]])/(SamplingData[[#Totals],[Winning Candidate]]-SamplingData[[#Totals],[Candidate 6]]), 0)</f>
        <v>0</v>
      </c>
      <c r="V814" s="100">
        <f>IF(AND(SamplingData[[#This Row],[Total]]&lt;&gt; 0, NOT(ISBLANK(SamplingData[[#This Row],[Candidate 7]]))),(SamplingData[[#This Row],[Total]]+SamplingData[[#This Row],[Winning Candidate]]-SamplingData[[#This Row],[Candidate 7]])/(SamplingData[[#Totals],[Winning Candidate]]-SamplingData[[#Totals],[Candidate 7]]), 0)</f>
        <v>0</v>
      </c>
      <c r="W814" s="100">
        <f>IF(AND(SamplingData[[#This Row],[Total]]&lt;&gt; 0, NOT(ISBLANK(SamplingData[[#This Row],[Candidate 8]]))),(SamplingData[[#This Row],[Total]]+SamplingData[[#This Row],[Winning Candidate]]-SamplingData[[#This Row],[Candidate 8]])/(SamplingData[[#Totals],[Winning Candidate]]-SamplingData[[#Totals],[Candidate 8]]), 0)</f>
        <v>0</v>
      </c>
      <c r="X8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00">
        <f>MAX(SamplingData[[#This Row],[Error Bound (up) - Max. possible relative overstatement - Losing Candidate]:[Error Bound (up) - Max. possible relative overstatement - Candidate 12]])</f>
        <v>2.6070295568049752E-3</v>
      </c>
      <c r="AC814" s="100">
        <f>IF(SamplingData[[#This Row],[Max Error Bound (up)]] = 0,0,SamplingData[[#This Row],[Max Error Bound (up)]]/SamplingData[[#Totals],[Max Error Bound (up)]])</f>
        <v>1.1172131588865562E-3</v>
      </c>
      <c r="AD814" s="104">
        <f>SUM($AC$5:AC814)</f>
        <v>0.34031928067625083</v>
      </c>
      <c r="AE814" s="100" t="str" cm="1">
        <f t="array" ref="AE814">IF(SamplingData[[#This Row],[up/U Selection Probability]] = 0, "Zero", TEXT(SamplingData[[#This Row],[Lower Range]], REPT("0",LEN('General Info'!$B$42))) &amp; " - " &amp; TEXT(SamplingData[[#This Row],[Upper Range]], REPT("0",LEN('General Info'!$B$42))))</f>
        <v>33920 - 34031</v>
      </c>
      <c r="AF814" s="100">
        <f>SamplingData[[#This Row],[Upper Range]]-SamplingData[[#This Row],[Span]]</f>
        <v>33920.206751736427</v>
      </c>
      <c r="AG814" s="100">
        <f>IF(ISNUMBER('General Info'!$B$42), ((SamplingData[[#This Row],[up/U Selection Probability]]) * 'General Info'!$B$44) - 1, 0)</f>
        <v>110.72131588865562</v>
      </c>
      <c r="AH814" s="100">
        <f>IF(ISNUMBER('General Info'!$B$42), (SamplingData[[#This Row],[Running (cumulative) sum]] * ('General Info'!$B$42 -'General Info'!$B$43 + 1)) + 'General Info'!$B$43 - 1, 0)</f>
        <v>34030.928067625086</v>
      </c>
      <c r="AI814" s="100" t="str">
        <f>IF(ISERROR(MATCH(SamplingData[[#This Row],[Batch by Type (p)]],SelectedPrecincts[Batch Name], 0)), "", INDEX(SelectedPrecincts[Draw], MATCH(SamplingData[[#This Row],[Batch by Type (p)]],SelectedPrecincts[Batch Name], 0)))</f>
        <v/>
      </c>
      <c r="AJ814" s="101">
        <f>IF(COUNTIF(SelectedPrecincts[Batch Name],SamplingData[[#This Row],[Batch by Type (p)]]) &lt;&gt; 0, COUNTIF(SelectedPrecincts[Batch Name],SamplingData[[#This Row],[Batch by Type (p)]]), 0)</f>
        <v>0</v>
      </c>
    </row>
    <row r="815" spans="1:36" ht="15" customHeight="1" x14ac:dyDescent="0.35">
      <c r="A815" s="98" t="s">
        <v>1026</v>
      </c>
      <c r="B815" s="98">
        <v>87</v>
      </c>
      <c r="C815" s="98">
        <v>14</v>
      </c>
      <c r="D815" s="93"/>
      <c r="E815" s="93"/>
      <c r="F815" s="93"/>
      <c r="G815" s="97"/>
      <c r="H815" s="97"/>
      <c r="I815" s="93"/>
      <c r="J815" s="93"/>
      <c r="K815" s="93"/>
      <c r="L815" s="93"/>
      <c r="M815" s="93"/>
      <c r="N815" s="98">
        <v>0</v>
      </c>
      <c r="O815" s="98">
        <v>1</v>
      </c>
      <c r="P815" s="99">
        <f>SUM(SamplingData[[#This Row],[Winning Candidate]:[Under Votes]])</f>
        <v>102</v>
      </c>
      <c r="Q815" s="100">
        <f>IF(AND(SamplingData[[#This Row],[Total]]&lt;&gt; 0, NOT(ISBLANK(SamplingData[[#This Row],[Losing Candidate]]))),(SamplingData[[#This Row],[Total]]+SamplingData[[#This Row],[Winning Candidate]]-SamplingData[[#This Row],[Losing Candidate]])/(SamplingData[[#Totals],[Winning Candidate]]-SamplingData[[#Totals],[Losing Candidate]]), 0)</f>
        <v>5.4967490655526592E-3</v>
      </c>
      <c r="R815" s="100">
        <f>IF(AND(SamplingData[[#This Row],[Total]]&lt;&gt; 0, NOT(ISBLANK(SamplingData[[#This Row],[Candidate 3]]))),(SamplingData[[#This Row],[Total]]+SamplingData[[#This Row],[Winning Candidate]]-SamplingData[[#This Row],[Candidate 3]])/(SamplingData[[#Totals],[Winning Candidate]]-SamplingData[[#Totals],[Candidate 3]]), 0)</f>
        <v>0</v>
      </c>
      <c r="S815" s="100">
        <f>IF(AND(SamplingData[[#This Row],[Total]]&lt;&gt; 0, NOT(ISBLANK(SamplingData[[#This Row],[Candidate 4]]))),(SamplingData[[#This Row],[Total]]+SamplingData[[#This Row],[Winning Candidate]]-SamplingData[[#This Row],[Candidate 4]])/(SamplingData[[#Totals],[Winning Candidate]]-SamplingData[[#Totals],[Candidate 4]]), 0)</f>
        <v>0</v>
      </c>
      <c r="T815" s="100">
        <f>IF(AND(SamplingData[[#This Row],[Total]]&lt;&gt; 0, NOT(ISBLANK(SamplingData[[#This Row],[Candidate 5]]))),(SamplingData[[#This Row],[Total]]+SamplingData[[#This Row],[Winning Candidate]]-SamplingData[[#This Row],[Candidate 5]])/(SamplingData[[#Totals],[Winning Candidate]]-SamplingData[[#Totals],[Candidate 5]]), 0)</f>
        <v>0</v>
      </c>
      <c r="U815" s="100">
        <f>IF(AND(SamplingData[[#This Row],[Total]]&lt;&gt; 0, NOT(ISBLANK(SamplingData[[#This Row],[Candidate 6]]))),(SamplingData[[#This Row],[Total]]+SamplingData[[#This Row],[Losing Candidate]]-SamplingData[[#This Row],[Candidate 6]])/(SamplingData[[#Totals],[Winning Candidate]]-SamplingData[[#Totals],[Candidate 6]]), 0)</f>
        <v>0</v>
      </c>
      <c r="V815" s="100">
        <f>IF(AND(SamplingData[[#This Row],[Total]]&lt;&gt; 0, NOT(ISBLANK(SamplingData[[#This Row],[Candidate 7]]))),(SamplingData[[#This Row],[Total]]+SamplingData[[#This Row],[Winning Candidate]]-SamplingData[[#This Row],[Candidate 7]])/(SamplingData[[#Totals],[Winning Candidate]]-SamplingData[[#Totals],[Candidate 7]]), 0)</f>
        <v>0</v>
      </c>
      <c r="W815" s="100">
        <f>IF(AND(SamplingData[[#This Row],[Total]]&lt;&gt; 0, NOT(ISBLANK(SamplingData[[#This Row],[Candidate 8]]))),(SamplingData[[#This Row],[Total]]+SamplingData[[#This Row],[Winning Candidate]]-SamplingData[[#This Row],[Candidate 8]])/(SamplingData[[#Totals],[Winning Candidate]]-SamplingData[[#Totals],[Candidate 8]]), 0)</f>
        <v>0</v>
      </c>
      <c r="X8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00">
        <f>MAX(SamplingData[[#This Row],[Error Bound (up) - Max. possible relative overstatement - Losing Candidate]:[Error Bound (up) - Max. possible relative overstatement - Candidate 12]])</f>
        <v>5.4967490655526592E-3</v>
      </c>
      <c r="AC815" s="100">
        <f>IF(SamplingData[[#This Row],[Max Error Bound (up)]] = 0,0,SamplingData[[#This Row],[Max Error Bound (up)]]/SamplingData[[#Totals],[Max Error Bound (up)]])</f>
        <v>2.3555699133150283E-3</v>
      </c>
      <c r="AD815" s="104">
        <f>SUM($AC$5:AC815)</f>
        <v>0.34267485058956587</v>
      </c>
      <c r="AE815" s="100" t="str" cm="1">
        <f t="array" ref="AE815">IF(SamplingData[[#This Row],[up/U Selection Probability]] = 0, "Zero", TEXT(SamplingData[[#This Row],[Lower Range]], REPT("0",LEN('General Info'!$B$42))) &amp; " - " &amp; TEXT(SamplingData[[#This Row],[Upper Range]], REPT("0",LEN('General Info'!$B$42))))</f>
        <v>34032 - 34266</v>
      </c>
      <c r="AF815" s="100">
        <f>SamplingData[[#This Row],[Upper Range]]-SamplingData[[#This Row],[Span]]</f>
        <v>34031.928067625086</v>
      </c>
      <c r="AG815" s="100">
        <f>IF(ISNUMBER('General Info'!$B$42), ((SamplingData[[#This Row],[up/U Selection Probability]]) * 'General Info'!$B$44) - 1, 0)</f>
        <v>234.55699133150281</v>
      </c>
      <c r="AH815" s="100">
        <f>IF(ISNUMBER('General Info'!$B$42), (SamplingData[[#This Row],[Running (cumulative) sum]] * ('General Info'!$B$42 -'General Info'!$B$43 + 1)) + 'General Info'!$B$43 - 1, 0)</f>
        <v>34266.48505895659</v>
      </c>
      <c r="AI815" s="100" t="str">
        <f>IF(ISERROR(MATCH(SamplingData[[#This Row],[Batch by Type (p)]],SelectedPrecincts[Batch Name], 0)), "", INDEX(SelectedPrecincts[Draw], MATCH(SamplingData[[#This Row],[Batch by Type (p)]],SelectedPrecincts[Batch Name], 0)))</f>
        <v/>
      </c>
      <c r="AJ815" s="101">
        <f>IF(COUNTIF(SelectedPrecincts[Batch Name],SamplingData[[#This Row],[Batch by Type (p)]]) &lt;&gt; 0, COUNTIF(SelectedPrecincts[Batch Name],SamplingData[[#This Row],[Batch by Type (p)]]), 0)</f>
        <v>0</v>
      </c>
    </row>
    <row r="816" spans="1:36" ht="15" customHeight="1" x14ac:dyDescent="0.35">
      <c r="A816" s="98" t="s">
        <v>1027</v>
      </c>
      <c r="B816" s="98">
        <v>47</v>
      </c>
      <c r="C816" s="98">
        <v>3</v>
      </c>
      <c r="D816" s="93"/>
      <c r="E816" s="93"/>
      <c r="F816" s="93"/>
      <c r="G816" s="97"/>
      <c r="H816" s="97"/>
      <c r="I816" s="93"/>
      <c r="J816" s="93"/>
      <c r="K816" s="93"/>
      <c r="L816" s="93"/>
      <c r="M816" s="93"/>
      <c r="N816" s="98">
        <v>0</v>
      </c>
      <c r="O816" s="98">
        <v>1</v>
      </c>
      <c r="P816" s="99">
        <f>SUM(SamplingData[[#This Row],[Winning Candidate]:[Under Votes]])</f>
        <v>51</v>
      </c>
      <c r="Q816" s="100">
        <f>IF(AND(SamplingData[[#This Row],[Total]]&lt;&gt; 0, NOT(ISBLANK(SamplingData[[#This Row],[Losing Candidate]]))),(SamplingData[[#This Row],[Total]]+SamplingData[[#This Row],[Winning Candidate]]-SamplingData[[#This Row],[Losing Candidate]])/(SamplingData[[#Totals],[Winning Candidate]]-SamplingData[[#Totals],[Losing Candidate]]), 0)</f>
        <v>2.9839494927285863E-3</v>
      </c>
      <c r="R816" s="100">
        <f>IF(AND(SamplingData[[#This Row],[Total]]&lt;&gt; 0, NOT(ISBLANK(SamplingData[[#This Row],[Candidate 3]]))),(SamplingData[[#This Row],[Total]]+SamplingData[[#This Row],[Winning Candidate]]-SamplingData[[#This Row],[Candidate 3]])/(SamplingData[[#Totals],[Winning Candidate]]-SamplingData[[#Totals],[Candidate 3]]), 0)</f>
        <v>0</v>
      </c>
      <c r="S816" s="100">
        <f>IF(AND(SamplingData[[#This Row],[Total]]&lt;&gt; 0, NOT(ISBLANK(SamplingData[[#This Row],[Candidate 4]]))),(SamplingData[[#This Row],[Total]]+SamplingData[[#This Row],[Winning Candidate]]-SamplingData[[#This Row],[Candidate 4]])/(SamplingData[[#Totals],[Winning Candidate]]-SamplingData[[#Totals],[Candidate 4]]), 0)</f>
        <v>0</v>
      </c>
      <c r="T816" s="100">
        <f>IF(AND(SamplingData[[#This Row],[Total]]&lt;&gt; 0, NOT(ISBLANK(SamplingData[[#This Row],[Candidate 5]]))),(SamplingData[[#This Row],[Total]]+SamplingData[[#This Row],[Winning Candidate]]-SamplingData[[#This Row],[Candidate 5]])/(SamplingData[[#Totals],[Winning Candidate]]-SamplingData[[#Totals],[Candidate 5]]), 0)</f>
        <v>0</v>
      </c>
      <c r="U816" s="100">
        <f>IF(AND(SamplingData[[#This Row],[Total]]&lt;&gt; 0, NOT(ISBLANK(SamplingData[[#This Row],[Candidate 6]]))),(SamplingData[[#This Row],[Total]]+SamplingData[[#This Row],[Losing Candidate]]-SamplingData[[#This Row],[Candidate 6]])/(SamplingData[[#Totals],[Winning Candidate]]-SamplingData[[#Totals],[Candidate 6]]), 0)</f>
        <v>0</v>
      </c>
      <c r="V816" s="100">
        <f>IF(AND(SamplingData[[#This Row],[Total]]&lt;&gt; 0, NOT(ISBLANK(SamplingData[[#This Row],[Candidate 7]]))),(SamplingData[[#This Row],[Total]]+SamplingData[[#This Row],[Winning Candidate]]-SamplingData[[#This Row],[Candidate 7]])/(SamplingData[[#Totals],[Winning Candidate]]-SamplingData[[#Totals],[Candidate 7]]), 0)</f>
        <v>0</v>
      </c>
      <c r="W816" s="100">
        <f>IF(AND(SamplingData[[#This Row],[Total]]&lt;&gt; 0, NOT(ISBLANK(SamplingData[[#This Row],[Candidate 8]]))),(SamplingData[[#This Row],[Total]]+SamplingData[[#This Row],[Winning Candidate]]-SamplingData[[#This Row],[Candidate 8]])/(SamplingData[[#Totals],[Winning Candidate]]-SamplingData[[#Totals],[Candidate 8]]), 0)</f>
        <v>0</v>
      </c>
      <c r="X8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00">
        <f>MAX(SamplingData[[#This Row],[Error Bound (up) - Max. possible relative overstatement - Losing Candidate]:[Error Bound (up) - Max. possible relative overstatement - Candidate 12]])</f>
        <v>2.9839494927285863E-3</v>
      </c>
      <c r="AC816" s="100">
        <f>IF(SamplingData[[#This Row],[Max Error Bound (up)]] = 0,0,SamplingData[[#This Row],[Max Error Bound (up)]]/SamplingData[[#Totals],[Max Error Bound (up)]])</f>
        <v>1.2787379529424438E-3</v>
      </c>
      <c r="AD816" s="104">
        <f>SUM($AC$5:AC816)</f>
        <v>0.34395358854250829</v>
      </c>
      <c r="AE816" s="100" t="str" cm="1">
        <f t="array" ref="AE816">IF(SamplingData[[#This Row],[up/U Selection Probability]] = 0, "Zero", TEXT(SamplingData[[#This Row],[Lower Range]], REPT("0",LEN('General Info'!$B$42))) &amp; " - " &amp; TEXT(SamplingData[[#This Row],[Upper Range]], REPT("0",LEN('General Info'!$B$42))))</f>
        <v>34267 - 34394</v>
      </c>
      <c r="AF816" s="100">
        <f>SamplingData[[#This Row],[Upper Range]]-SamplingData[[#This Row],[Span]]</f>
        <v>34267.485058956583</v>
      </c>
      <c r="AG816" s="100">
        <f>IF(ISNUMBER('General Info'!$B$42), ((SamplingData[[#This Row],[up/U Selection Probability]]) * 'General Info'!$B$44) - 1, 0)</f>
        <v>126.87379529424437</v>
      </c>
      <c r="AH816" s="100">
        <f>IF(ISNUMBER('General Info'!$B$42), (SamplingData[[#This Row],[Running (cumulative) sum]] * ('General Info'!$B$42 -'General Info'!$B$43 + 1)) + 'General Info'!$B$43 - 1, 0)</f>
        <v>34394.35885425083</v>
      </c>
      <c r="AI816" s="100" t="str">
        <f>IF(ISERROR(MATCH(SamplingData[[#This Row],[Batch by Type (p)]],SelectedPrecincts[Batch Name], 0)), "", INDEX(SelectedPrecincts[Draw], MATCH(SamplingData[[#This Row],[Batch by Type (p)]],SelectedPrecincts[Batch Name], 0)))</f>
        <v/>
      </c>
      <c r="AJ816" s="101">
        <f>IF(COUNTIF(SelectedPrecincts[Batch Name],SamplingData[[#This Row],[Batch by Type (p)]]) &lt;&gt; 0, COUNTIF(SelectedPrecincts[Batch Name],SamplingData[[#This Row],[Batch by Type (p)]]), 0)</f>
        <v>0</v>
      </c>
    </row>
    <row r="817" spans="1:36" ht="15" customHeight="1" x14ac:dyDescent="0.35">
      <c r="A817" s="98" t="s">
        <v>1028</v>
      </c>
      <c r="B817" s="98">
        <v>62</v>
      </c>
      <c r="C817" s="98">
        <v>7</v>
      </c>
      <c r="D817" s="93"/>
      <c r="E817" s="93"/>
      <c r="F817" s="93"/>
      <c r="G817" s="97"/>
      <c r="H817" s="97"/>
      <c r="I817" s="93"/>
      <c r="J817" s="93"/>
      <c r="K817" s="93"/>
      <c r="L817" s="93"/>
      <c r="M817" s="93"/>
      <c r="N817" s="98">
        <v>0</v>
      </c>
      <c r="O817" s="98">
        <v>0</v>
      </c>
      <c r="P817" s="99">
        <f>SUM(SamplingData[[#This Row],[Winning Candidate]:[Under Votes]])</f>
        <v>69</v>
      </c>
      <c r="Q817" s="100">
        <f>IF(AND(SamplingData[[#This Row],[Total]]&lt;&gt; 0, NOT(ISBLANK(SamplingData[[#This Row],[Losing Candidate]]))),(SamplingData[[#This Row],[Total]]+SamplingData[[#This Row],[Winning Candidate]]-SamplingData[[#This Row],[Losing Candidate]])/(SamplingData[[#Totals],[Winning Candidate]]-SamplingData[[#Totals],[Losing Candidate]]), 0)</f>
        <v>3.8948393378773127E-3</v>
      </c>
      <c r="R817" s="100">
        <f>IF(AND(SamplingData[[#This Row],[Total]]&lt;&gt; 0, NOT(ISBLANK(SamplingData[[#This Row],[Candidate 3]]))),(SamplingData[[#This Row],[Total]]+SamplingData[[#This Row],[Winning Candidate]]-SamplingData[[#This Row],[Candidate 3]])/(SamplingData[[#Totals],[Winning Candidate]]-SamplingData[[#Totals],[Candidate 3]]), 0)</f>
        <v>0</v>
      </c>
      <c r="S817" s="100">
        <f>IF(AND(SamplingData[[#This Row],[Total]]&lt;&gt; 0, NOT(ISBLANK(SamplingData[[#This Row],[Candidate 4]]))),(SamplingData[[#This Row],[Total]]+SamplingData[[#This Row],[Winning Candidate]]-SamplingData[[#This Row],[Candidate 4]])/(SamplingData[[#Totals],[Winning Candidate]]-SamplingData[[#Totals],[Candidate 4]]), 0)</f>
        <v>0</v>
      </c>
      <c r="T817" s="100">
        <f>IF(AND(SamplingData[[#This Row],[Total]]&lt;&gt; 0, NOT(ISBLANK(SamplingData[[#This Row],[Candidate 5]]))),(SamplingData[[#This Row],[Total]]+SamplingData[[#This Row],[Winning Candidate]]-SamplingData[[#This Row],[Candidate 5]])/(SamplingData[[#Totals],[Winning Candidate]]-SamplingData[[#Totals],[Candidate 5]]), 0)</f>
        <v>0</v>
      </c>
      <c r="U817" s="100">
        <f>IF(AND(SamplingData[[#This Row],[Total]]&lt;&gt; 0, NOT(ISBLANK(SamplingData[[#This Row],[Candidate 6]]))),(SamplingData[[#This Row],[Total]]+SamplingData[[#This Row],[Losing Candidate]]-SamplingData[[#This Row],[Candidate 6]])/(SamplingData[[#Totals],[Winning Candidate]]-SamplingData[[#Totals],[Candidate 6]]), 0)</f>
        <v>0</v>
      </c>
      <c r="V817" s="100">
        <f>IF(AND(SamplingData[[#This Row],[Total]]&lt;&gt; 0, NOT(ISBLANK(SamplingData[[#This Row],[Candidate 7]]))),(SamplingData[[#This Row],[Total]]+SamplingData[[#This Row],[Winning Candidate]]-SamplingData[[#This Row],[Candidate 7]])/(SamplingData[[#Totals],[Winning Candidate]]-SamplingData[[#Totals],[Candidate 7]]), 0)</f>
        <v>0</v>
      </c>
      <c r="W817" s="100">
        <f>IF(AND(SamplingData[[#This Row],[Total]]&lt;&gt; 0, NOT(ISBLANK(SamplingData[[#This Row],[Candidate 8]]))),(SamplingData[[#This Row],[Total]]+SamplingData[[#This Row],[Winning Candidate]]-SamplingData[[#This Row],[Candidate 8]])/(SamplingData[[#Totals],[Winning Candidate]]-SamplingData[[#Totals],[Candidate 8]]), 0)</f>
        <v>0</v>
      </c>
      <c r="X8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00">
        <f>MAX(SamplingData[[#This Row],[Error Bound (up) - Max. possible relative overstatement - Losing Candidate]:[Error Bound (up) - Max. possible relative overstatement - Candidate 12]])</f>
        <v>3.8948393378773127E-3</v>
      </c>
      <c r="AC817" s="100">
        <f>IF(SamplingData[[#This Row],[Max Error Bound (up)]] = 0,0,SamplingData[[#This Row],[Max Error Bound (up)]]/SamplingData[[#Totals],[Max Error Bound (up)]])</f>
        <v>1.6690895385775056E-3</v>
      </c>
      <c r="AD817" s="104">
        <f>SUM($AC$5:AC817)</f>
        <v>0.34562267808108582</v>
      </c>
      <c r="AE817" s="100" t="str" cm="1">
        <f t="array" ref="AE817">IF(SamplingData[[#This Row],[up/U Selection Probability]] = 0, "Zero", TEXT(SamplingData[[#This Row],[Lower Range]], REPT("0",LEN('General Info'!$B$42))) &amp; " - " &amp; TEXT(SamplingData[[#This Row],[Upper Range]], REPT("0",LEN('General Info'!$B$42))))</f>
        <v>34395 - 34561</v>
      </c>
      <c r="AF817" s="100">
        <f>SamplingData[[#This Row],[Upper Range]]-SamplingData[[#This Row],[Span]]</f>
        <v>34395.35885425083</v>
      </c>
      <c r="AG817" s="100">
        <f>IF(ISNUMBER('General Info'!$B$42), ((SamplingData[[#This Row],[up/U Selection Probability]]) * 'General Info'!$B$44) - 1, 0)</f>
        <v>165.90895385775056</v>
      </c>
      <c r="AH817" s="100">
        <f>IF(ISNUMBER('General Info'!$B$42), (SamplingData[[#This Row],[Running (cumulative) sum]] * ('General Info'!$B$42 -'General Info'!$B$43 + 1)) + 'General Info'!$B$43 - 1, 0)</f>
        <v>34561.267808108583</v>
      </c>
      <c r="AI817" s="100" t="str">
        <f>IF(ISERROR(MATCH(SamplingData[[#This Row],[Batch by Type (p)]],SelectedPrecincts[Batch Name], 0)), "", INDEX(SelectedPrecincts[Draw], MATCH(SamplingData[[#This Row],[Batch by Type (p)]],SelectedPrecincts[Batch Name], 0)))</f>
        <v/>
      </c>
      <c r="AJ817" s="101">
        <f>IF(COUNTIF(SelectedPrecincts[Batch Name],SamplingData[[#This Row],[Batch by Type (p)]]) &lt;&gt; 0, COUNTIF(SelectedPrecincts[Batch Name],SamplingData[[#This Row],[Batch by Type (p)]]), 0)</f>
        <v>0</v>
      </c>
    </row>
    <row r="818" spans="1:36" ht="15" customHeight="1" x14ac:dyDescent="0.35">
      <c r="A818" s="98" t="s">
        <v>1029</v>
      </c>
      <c r="B818" s="98">
        <v>5</v>
      </c>
      <c r="C818" s="98">
        <v>1</v>
      </c>
      <c r="D818" s="93"/>
      <c r="E818" s="93"/>
      <c r="F818" s="93"/>
      <c r="G818" s="97"/>
      <c r="H818" s="97"/>
      <c r="I818" s="93"/>
      <c r="J818" s="93"/>
      <c r="K818" s="93"/>
      <c r="L818" s="93"/>
      <c r="M818" s="93"/>
      <c r="N818" s="98">
        <v>0</v>
      </c>
      <c r="O818" s="98">
        <v>0</v>
      </c>
      <c r="P818" s="99">
        <f>SUM(SamplingData[[#This Row],[Winning Candidate]:[Under Votes]])</f>
        <v>6</v>
      </c>
      <c r="Q818"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3.1409994660300906E-4</v>
      </c>
      <c r="R818" s="100">
        <f>IF(AND(SamplingData[[#This Row],[Total]]&lt;&gt; 0, NOT(ISBLANK(SamplingData[[#This Row],[Candidate 3]]))),(SamplingData[[#This Row],[Total]]+SamplingData[[#This Row],[Winning Candidate]]-SamplingData[[#This Row],[Candidate 3]])/(SamplingData[[#Totals],[Winning Candidate]]-SamplingData[[#Totals],[Candidate 3]]), 0)</f>
        <v>0</v>
      </c>
      <c r="S818" s="100">
        <f>IF(AND(SamplingData[[#This Row],[Total]]&lt;&gt; 0, NOT(ISBLANK(SamplingData[[#This Row],[Candidate 4]]))),(SamplingData[[#This Row],[Total]]+SamplingData[[#This Row],[Winning Candidate]]-SamplingData[[#This Row],[Candidate 4]])/(SamplingData[[#Totals],[Winning Candidate]]-SamplingData[[#Totals],[Candidate 4]]), 0)</f>
        <v>0</v>
      </c>
      <c r="T818" s="100">
        <f>IF(AND(SamplingData[[#This Row],[Total]]&lt;&gt; 0, NOT(ISBLANK(SamplingData[[#This Row],[Candidate 5]]))),(SamplingData[[#This Row],[Total]]+SamplingData[[#This Row],[Winning Candidate]]-SamplingData[[#This Row],[Candidate 5]])/(SamplingData[[#Totals],[Winning Candidate]]-SamplingData[[#Totals],[Candidate 5]]), 0)</f>
        <v>0</v>
      </c>
      <c r="U818" s="100">
        <f>IF(AND(SamplingData[[#This Row],[Total]]&lt;&gt; 0, NOT(ISBLANK(SamplingData[[#This Row],[Candidate 6]]))),(SamplingData[[#This Row],[Total]]+SamplingData[[#This Row],[Losing Candidate]]-SamplingData[[#This Row],[Candidate 6]])/(SamplingData[[#Totals],[Winning Candidate]]-SamplingData[[#Totals],[Candidate 6]]), 0)</f>
        <v>0</v>
      </c>
      <c r="V818" s="100">
        <f>IF(AND(SamplingData[[#This Row],[Total]]&lt;&gt; 0, NOT(ISBLANK(SamplingData[[#This Row],[Candidate 7]]))),(SamplingData[[#This Row],[Total]]+SamplingData[[#This Row],[Winning Candidate]]-SamplingData[[#This Row],[Candidate 7]])/(SamplingData[[#Totals],[Winning Candidate]]-SamplingData[[#Totals],[Candidate 7]]), 0)</f>
        <v>0</v>
      </c>
      <c r="W818" s="100">
        <f>IF(AND(SamplingData[[#This Row],[Total]]&lt;&gt; 0, NOT(ISBLANK(SamplingData[[#This Row],[Candidate 8]]))),(SamplingData[[#This Row],[Total]]+SamplingData[[#This Row],[Winning Candidate]]-SamplingData[[#This Row],[Candidate 8]])/(SamplingData[[#Totals],[Winning Candidate]]-SamplingData[[#Totals],[Candidate 8]]), 0)</f>
        <v>0</v>
      </c>
      <c r="X8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00">
        <f>MAX(SamplingData[[#This Row],[Error Bound (up) - Max. possible relative overstatement - Losing Candidate]:[Error Bound (up) - Max. possible relative overstatement - Candidate 12]])</f>
        <v>3.1409994660300906E-4</v>
      </c>
      <c r="AC818" s="100">
        <f>IF(SamplingData[[#This Row],[Max Error Bound (up)]] = 0,0,SamplingData[[#This Row],[Max Error Bound (up)]]/SamplingData[[#Totals],[Max Error Bound (up)]])</f>
        <v>1.3460399504657304E-4</v>
      </c>
      <c r="AD818" s="104">
        <f>SUM($AC$5:AC818)</f>
        <v>0.34575728207613238</v>
      </c>
      <c r="AE818" s="100" t="str" cm="1">
        <f t="array" ref="AE818">IF(SamplingData[[#This Row],[up/U Selection Probability]] = 0, "Zero", TEXT(SamplingData[[#This Row],[Lower Range]], REPT("0",LEN('General Info'!$B$42))) &amp; " - " &amp; TEXT(SamplingData[[#This Row],[Upper Range]], REPT("0",LEN('General Info'!$B$42))))</f>
        <v>34562 - 34575</v>
      </c>
      <c r="AF818" s="100">
        <f>SamplingData[[#This Row],[Upper Range]]-SamplingData[[#This Row],[Span]]</f>
        <v>34562.267808108583</v>
      </c>
      <c r="AG818" s="100">
        <f>IF(ISNUMBER('General Info'!$B$42), ((SamplingData[[#This Row],[up/U Selection Probability]]) * 'General Info'!$B$44) - 1, 0)</f>
        <v>12.460399504657303</v>
      </c>
      <c r="AH818" s="100">
        <f>IF(ISNUMBER('General Info'!$B$42), (SamplingData[[#This Row],[Running (cumulative) sum]] * ('General Info'!$B$42 -'General Info'!$B$43 + 1)) + 'General Info'!$B$43 - 1, 0)</f>
        <v>34574.72820761324</v>
      </c>
      <c r="AI818" s="100" t="str">
        <f>IF(ISERROR(MATCH(SamplingData[[#This Row],[Batch by Type (p)]],SelectedPrecincts[Batch Name], 0)), "", INDEX(SelectedPrecincts[Draw], MATCH(SamplingData[[#This Row],[Batch by Type (p)]],SelectedPrecincts[Batch Name], 0)))</f>
        <v/>
      </c>
      <c r="AJ818" s="101">
        <f>IF(COUNTIF(SelectedPrecincts[Batch Name],SamplingData[[#This Row],[Batch by Type (p)]]) &lt;&gt; 0, COUNTIF(SelectedPrecincts[Batch Name],SamplingData[[#This Row],[Batch by Type (p)]]), 0)</f>
        <v>0</v>
      </c>
    </row>
    <row r="819" spans="1:36" ht="15" customHeight="1" x14ac:dyDescent="0.35">
      <c r="A819" s="98" t="s">
        <v>1030</v>
      </c>
      <c r="B819" s="98">
        <v>110</v>
      </c>
      <c r="C819" s="98">
        <v>13</v>
      </c>
      <c r="D819" s="93"/>
      <c r="E819" s="93"/>
      <c r="F819" s="93"/>
      <c r="G819" s="97"/>
      <c r="H819" s="97"/>
      <c r="I819" s="93"/>
      <c r="J819" s="93"/>
      <c r="K819" s="93"/>
      <c r="L819" s="93"/>
      <c r="M819" s="93"/>
      <c r="N819" s="98">
        <v>0</v>
      </c>
      <c r="O819" s="98">
        <v>1</v>
      </c>
      <c r="P819" s="99">
        <f>SUM(SamplingData[[#This Row],[Winning Candidate]:[Under Votes]])</f>
        <v>124</v>
      </c>
      <c r="Q819" s="100">
        <f>IF(AND(SamplingData[[#This Row],[Total]]&lt;&gt; 0, NOT(ISBLANK(SamplingData[[#This Row],[Losing Candidate]]))),(SamplingData[[#This Row],[Total]]+SamplingData[[#This Row],[Winning Candidate]]-SamplingData[[#This Row],[Losing Candidate]])/(SamplingData[[#Totals],[Winning Candidate]]-SamplingData[[#Totals],[Losing Candidate]]), 0)</f>
        <v>6.941608819926501E-3</v>
      </c>
      <c r="R819" s="100">
        <f>IF(AND(SamplingData[[#This Row],[Total]]&lt;&gt; 0, NOT(ISBLANK(SamplingData[[#This Row],[Candidate 3]]))),(SamplingData[[#This Row],[Total]]+SamplingData[[#This Row],[Winning Candidate]]-SamplingData[[#This Row],[Candidate 3]])/(SamplingData[[#Totals],[Winning Candidate]]-SamplingData[[#Totals],[Candidate 3]]), 0)</f>
        <v>0</v>
      </c>
      <c r="S819" s="100">
        <f>IF(AND(SamplingData[[#This Row],[Total]]&lt;&gt; 0, NOT(ISBLANK(SamplingData[[#This Row],[Candidate 4]]))),(SamplingData[[#This Row],[Total]]+SamplingData[[#This Row],[Winning Candidate]]-SamplingData[[#This Row],[Candidate 4]])/(SamplingData[[#Totals],[Winning Candidate]]-SamplingData[[#Totals],[Candidate 4]]), 0)</f>
        <v>0</v>
      </c>
      <c r="T819" s="100">
        <f>IF(AND(SamplingData[[#This Row],[Total]]&lt;&gt; 0, NOT(ISBLANK(SamplingData[[#This Row],[Candidate 5]]))),(SamplingData[[#This Row],[Total]]+SamplingData[[#This Row],[Winning Candidate]]-SamplingData[[#This Row],[Candidate 5]])/(SamplingData[[#Totals],[Winning Candidate]]-SamplingData[[#Totals],[Candidate 5]]), 0)</f>
        <v>0</v>
      </c>
      <c r="U819" s="100">
        <f>IF(AND(SamplingData[[#This Row],[Total]]&lt;&gt; 0, NOT(ISBLANK(SamplingData[[#This Row],[Candidate 6]]))),(SamplingData[[#This Row],[Total]]+SamplingData[[#This Row],[Losing Candidate]]-SamplingData[[#This Row],[Candidate 6]])/(SamplingData[[#Totals],[Winning Candidate]]-SamplingData[[#Totals],[Candidate 6]]), 0)</f>
        <v>0</v>
      </c>
      <c r="V819" s="100">
        <f>IF(AND(SamplingData[[#This Row],[Total]]&lt;&gt; 0, NOT(ISBLANK(SamplingData[[#This Row],[Candidate 7]]))),(SamplingData[[#This Row],[Total]]+SamplingData[[#This Row],[Winning Candidate]]-SamplingData[[#This Row],[Candidate 7]])/(SamplingData[[#Totals],[Winning Candidate]]-SamplingData[[#Totals],[Candidate 7]]), 0)</f>
        <v>0</v>
      </c>
      <c r="W819" s="100">
        <f>IF(AND(SamplingData[[#This Row],[Total]]&lt;&gt; 0, NOT(ISBLANK(SamplingData[[#This Row],[Candidate 8]]))),(SamplingData[[#This Row],[Total]]+SamplingData[[#This Row],[Winning Candidate]]-SamplingData[[#This Row],[Candidate 8]])/(SamplingData[[#Totals],[Winning Candidate]]-SamplingData[[#Totals],[Candidate 8]]), 0)</f>
        <v>0</v>
      </c>
      <c r="X8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00">
        <f>MAX(SamplingData[[#This Row],[Error Bound (up) - Max. possible relative overstatement - Losing Candidate]:[Error Bound (up) - Max. possible relative overstatement - Candidate 12]])</f>
        <v>6.941608819926501E-3</v>
      </c>
      <c r="AC819" s="100">
        <f>IF(SamplingData[[#This Row],[Max Error Bound (up)]] = 0,0,SamplingData[[#This Row],[Max Error Bound (up)]]/SamplingData[[#Totals],[Max Error Bound (up)]])</f>
        <v>2.974748290529264E-3</v>
      </c>
      <c r="AD819" s="104">
        <f>SUM($AC$5:AC819)</f>
        <v>0.34873203036666162</v>
      </c>
      <c r="AE819" s="100" t="str" cm="1">
        <f t="array" ref="AE819">IF(SamplingData[[#This Row],[up/U Selection Probability]] = 0, "Zero", TEXT(SamplingData[[#This Row],[Lower Range]], REPT("0",LEN('General Info'!$B$42))) &amp; " - " &amp; TEXT(SamplingData[[#This Row],[Upper Range]], REPT("0",LEN('General Info'!$B$42))))</f>
        <v>34576 - 34872</v>
      </c>
      <c r="AF819" s="100">
        <f>SamplingData[[#This Row],[Upper Range]]-SamplingData[[#This Row],[Span]]</f>
        <v>34575.72820761324</v>
      </c>
      <c r="AG819" s="100">
        <f>IF(ISNUMBER('General Info'!$B$42), ((SamplingData[[#This Row],[up/U Selection Probability]]) * 'General Info'!$B$44) - 1, 0)</f>
        <v>296.4748290529264</v>
      </c>
      <c r="AH819" s="100">
        <f>IF(ISNUMBER('General Info'!$B$42), (SamplingData[[#This Row],[Running (cumulative) sum]] * ('General Info'!$B$42 -'General Info'!$B$43 + 1)) + 'General Info'!$B$43 - 1, 0)</f>
        <v>34872.203036666164</v>
      </c>
      <c r="AI819" s="100" t="str">
        <f>IF(ISERROR(MATCH(SamplingData[[#This Row],[Batch by Type (p)]],SelectedPrecincts[Batch Name], 0)), "", INDEX(SelectedPrecincts[Draw], MATCH(SamplingData[[#This Row],[Batch by Type (p)]],SelectedPrecincts[Batch Name], 0)))</f>
        <v/>
      </c>
      <c r="AJ819" s="101">
        <f>IF(COUNTIF(SelectedPrecincts[Batch Name],SamplingData[[#This Row],[Batch by Type (p)]]) &lt;&gt; 0, COUNTIF(SelectedPrecincts[Batch Name],SamplingData[[#This Row],[Batch by Type (p)]]), 0)</f>
        <v>0</v>
      </c>
    </row>
    <row r="820" spans="1:36" ht="15" customHeight="1" x14ac:dyDescent="0.35">
      <c r="A820" s="98" t="s">
        <v>1031</v>
      </c>
      <c r="B820" s="98">
        <v>101</v>
      </c>
      <c r="C820" s="98">
        <v>11</v>
      </c>
      <c r="D820" s="93"/>
      <c r="E820" s="93"/>
      <c r="F820" s="93"/>
      <c r="G820" s="97"/>
      <c r="H820" s="97"/>
      <c r="I820" s="93"/>
      <c r="J820" s="93"/>
      <c r="K820" s="93"/>
      <c r="L820" s="93"/>
      <c r="M820" s="93"/>
      <c r="N820" s="98">
        <v>0</v>
      </c>
      <c r="O820" s="98">
        <v>0</v>
      </c>
      <c r="P820" s="99">
        <f>SUM(SamplingData[[#This Row],[Winning Candidate]:[Under Votes]])</f>
        <v>112</v>
      </c>
      <c r="Q820" s="100">
        <f>IF(AND(SamplingData[[#This Row],[Total]]&lt;&gt; 0, NOT(ISBLANK(SamplingData[[#This Row],[Losing Candidate]]))),(SamplingData[[#This Row],[Total]]+SamplingData[[#This Row],[Winning Candidate]]-SamplingData[[#This Row],[Losing Candidate]])/(SamplingData[[#Totals],[Winning Candidate]]-SamplingData[[#Totals],[Losing Candidate]]), 0)</f>
        <v>6.3448189213807836E-3</v>
      </c>
      <c r="R820" s="100">
        <f>IF(AND(SamplingData[[#This Row],[Total]]&lt;&gt; 0, NOT(ISBLANK(SamplingData[[#This Row],[Candidate 3]]))),(SamplingData[[#This Row],[Total]]+SamplingData[[#This Row],[Winning Candidate]]-SamplingData[[#This Row],[Candidate 3]])/(SamplingData[[#Totals],[Winning Candidate]]-SamplingData[[#Totals],[Candidate 3]]), 0)</f>
        <v>0</v>
      </c>
      <c r="S820" s="100">
        <f>IF(AND(SamplingData[[#This Row],[Total]]&lt;&gt; 0, NOT(ISBLANK(SamplingData[[#This Row],[Candidate 4]]))),(SamplingData[[#This Row],[Total]]+SamplingData[[#This Row],[Winning Candidate]]-SamplingData[[#This Row],[Candidate 4]])/(SamplingData[[#Totals],[Winning Candidate]]-SamplingData[[#Totals],[Candidate 4]]), 0)</f>
        <v>0</v>
      </c>
      <c r="T820" s="100">
        <f>IF(AND(SamplingData[[#This Row],[Total]]&lt;&gt; 0, NOT(ISBLANK(SamplingData[[#This Row],[Candidate 5]]))),(SamplingData[[#This Row],[Total]]+SamplingData[[#This Row],[Winning Candidate]]-SamplingData[[#This Row],[Candidate 5]])/(SamplingData[[#Totals],[Winning Candidate]]-SamplingData[[#Totals],[Candidate 5]]), 0)</f>
        <v>0</v>
      </c>
      <c r="U820" s="100">
        <f>IF(AND(SamplingData[[#This Row],[Total]]&lt;&gt; 0, NOT(ISBLANK(SamplingData[[#This Row],[Candidate 6]]))),(SamplingData[[#This Row],[Total]]+SamplingData[[#This Row],[Losing Candidate]]-SamplingData[[#This Row],[Candidate 6]])/(SamplingData[[#Totals],[Winning Candidate]]-SamplingData[[#Totals],[Candidate 6]]), 0)</f>
        <v>0</v>
      </c>
      <c r="V820" s="100">
        <f>IF(AND(SamplingData[[#This Row],[Total]]&lt;&gt; 0, NOT(ISBLANK(SamplingData[[#This Row],[Candidate 7]]))),(SamplingData[[#This Row],[Total]]+SamplingData[[#This Row],[Winning Candidate]]-SamplingData[[#This Row],[Candidate 7]])/(SamplingData[[#Totals],[Winning Candidate]]-SamplingData[[#Totals],[Candidate 7]]), 0)</f>
        <v>0</v>
      </c>
      <c r="W820" s="100">
        <f>IF(AND(SamplingData[[#This Row],[Total]]&lt;&gt; 0, NOT(ISBLANK(SamplingData[[#This Row],[Candidate 8]]))),(SamplingData[[#This Row],[Total]]+SamplingData[[#This Row],[Winning Candidate]]-SamplingData[[#This Row],[Candidate 8]])/(SamplingData[[#Totals],[Winning Candidate]]-SamplingData[[#Totals],[Candidate 8]]), 0)</f>
        <v>0</v>
      </c>
      <c r="X8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00">
        <f>MAX(SamplingData[[#This Row],[Error Bound (up) - Max. possible relative overstatement - Losing Candidate]:[Error Bound (up) - Max. possible relative overstatement - Candidate 12]])</f>
        <v>6.3448189213807836E-3</v>
      </c>
      <c r="AC820" s="100">
        <f>IF(SamplingData[[#This Row],[Max Error Bound (up)]] = 0,0,SamplingData[[#This Row],[Max Error Bound (up)]]/SamplingData[[#Totals],[Max Error Bound (up)]])</f>
        <v>2.7190006999407755E-3</v>
      </c>
      <c r="AD820" s="104">
        <f>SUM($AC$5:AC820)</f>
        <v>0.35145103106660242</v>
      </c>
      <c r="AE820" s="100" t="str" cm="1">
        <f t="array" ref="AE820">IF(SamplingData[[#This Row],[up/U Selection Probability]] = 0, "Zero", TEXT(SamplingData[[#This Row],[Lower Range]], REPT("0",LEN('General Info'!$B$42))) &amp; " - " &amp; TEXT(SamplingData[[#This Row],[Upper Range]], REPT("0",LEN('General Info'!$B$42))))</f>
        <v>34873 - 35144</v>
      </c>
      <c r="AF820" s="100">
        <f>SamplingData[[#This Row],[Upper Range]]-SamplingData[[#This Row],[Span]]</f>
        <v>34873.203036666164</v>
      </c>
      <c r="AG820" s="100">
        <f>IF(ISNUMBER('General Info'!$B$42), ((SamplingData[[#This Row],[up/U Selection Probability]]) * 'General Info'!$B$44) - 1, 0)</f>
        <v>270.90006999407757</v>
      </c>
      <c r="AH820" s="100">
        <f>IF(ISNUMBER('General Info'!$B$42), (SamplingData[[#This Row],[Running (cumulative) sum]] * ('General Info'!$B$42 -'General Info'!$B$43 + 1)) + 'General Info'!$B$43 - 1, 0)</f>
        <v>35144.103106660245</v>
      </c>
      <c r="AI820" s="100" t="str">
        <f>IF(ISERROR(MATCH(SamplingData[[#This Row],[Batch by Type (p)]],SelectedPrecincts[Batch Name], 0)), "", INDEX(SelectedPrecincts[Draw], MATCH(SamplingData[[#This Row],[Batch by Type (p)]],SelectedPrecincts[Batch Name], 0)))</f>
        <v/>
      </c>
      <c r="AJ820" s="101">
        <f>IF(COUNTIF(SelectedPrecincts[Batch Name],SamplingData[[#This Row],[Batch by Type (p)]]) &lt;&gt; 0, COUNTIF(SelectedPrecincts[Batch Name],SamplingData[[#This Row],[Batch by Type (p)]]), 0)</f>
        <v>0</v>
      </c>
    </row>
    <row r="821" spans="1:36" ht="15" customHeight="1" x14ac:dyDescent="0.35">
      <c r="A821" s="98" t="s">
        <v>1032</v>
      </c>
      <c r="B821" s="98">
        <v>118</v>
      </c>
      <c r="C821" s="98">
        <v>17</v>
      </c>
      <c r="D821" s="93"/>
      <c r="E821" s="93"/>
      <c r="F821" s="93"/>
      <c r="G821" s="97"/>
      <c r="H821" s="97"/>
      <c r="I821" s="93"/>
      <c r="J821" s="93"/>
      <c r="K821" s="93"/>
      <c r="L821" s="93"/>
      <c r="M821" s="93"/>
      <c r="N821" s="98">
        <v>0</v>
      </c>
      <c r="O821" s="98">
        <v>3</v>
      </c>
      <c r="P821" s="99">
        <f>SUM(SamplingData[[#This Row],[Winning Candidate]:[Under Votes]])</f>
        <v>138</v>
      </c>
      <c r="Q821" s="100">
        <f>IF(AND(SamplingData[[#This Row],[Total]]&lt;&gt; 0, NOT(ISBLANK(SamplingData[[#This Row],[Losing Candidate]]))),(SamplingData[[#This Row],[Total]]+SamplingData[[#This Row],[Winning Candidate]]-SamplingData[[#This Row],[Losing Candidate]])/(SamplingData[[#Totals],[Winning Candidate]]-SamplingData[[#Totals],[Losing Candidate]]), 0)</f>
        <v>7.5069887238119167E-3</v>
      </c>
      <c r="R821" s="100">
        <f>IF(AND(SamplingData[[#This Row],[Total]]&lt;&gt; 0, NOT(ISBLANK(SamplingData[[#This Row],[Candidate 3]]))),(SamplingData[[#This Row],[Total]]+SamplingData[[#This Row],[Winning Candidate]]-SamplingData[[#This Row],[Candidate 3]])/(SamplingData[[#Totals],[Winning Candidate]]-SamplingData[[#Totals],[Candidate 3]]), 0)</f>
        <v>0</v>
      </c>
      <c r="S821" s="100">
        <f>IF(AND(SamplingData[[#This Row],[Total]]&lt;&gt; 0, NOT(ISBLANK(SamplingData[[#This Row],[Candidate 4]]))),(SamplingData[[#This Row],[Total]]+SamplingData[[#This Row],[Winning Candidate]]-SamplingData[[#This Row],[Candidate 4]])/(SamplingData[[#Totals],[Winning Candidate]]-SamplingData[[#Totals],[Candidate 4]]), 0)</f>
        <v>0</v>
      </c>
      <c r="T821" s="100">
        <f>IF(AND(SamplingData[[#This Row],[Total]]&lt;&gt; 0, NOT(ISBLANK(SamplingData[[#This Row],[Candidate 5]]))),(SamplingData[[#This Row],[Total]]+SamplingData[[#This Row],[Winning Candidate]]-SamplingData[[#This Row],[Candidate 5]])/(SamplingData[[#Totals],[Winning Candidate]]-SamplingData[[#Totals],[Candidate 5]]), 0)</f>
        <v>0</v>
      </c>
      <c r="U821" s="100">
        <f>IF(AND(SamplingData[[#This Row],[Total]]&lt;&gt; 0, NOT(ISBLANK(SamplingData[[#This Row],[Candidate 6]]))),(SamplingData[[#This Row],[Total]]+SamplingData[[#This Row],[Losing Candidate]]-SamplingData[[#This Row],[Candidate 6]])/(SamplingData[[#Totals],[Winning Candidate]]-SamplingData[[#Totals],[Candidate 6]]), 0)</f>
        <v>0</v>
      </c>
      <c r="V821" s="100">
        <f>IF(AND(SamplingData[[#This Row],[Total]]&lt;&gt; 0, NOT(ISBLANK(SamplingData[[#This Row],[Candidate 7]]))),(SamplingData[[#This Row],[Total]]+SamplingData[[#This Row],[Winning Candidate]]-SamplingData[[#This Row],[Candidate 7]])/(SamplingData[[#Totals],[Winning Candidate]]-SamplingData[[#Totals],[Candidate 7]]), 0)</f>
        <v>0</v>
      </c>
      <c r="W821" s="100">
        <f>IF(AND(SamplingData[[#This Row],[Total]]&lt;&gt; 0, NOT(ISBLANK(SamplingData[[#This Row],[Candidate 8]]))),(SamplingData[[#This Row],[Total]]+SamplingData[[#This Row],[Winning Candidate]]-SamplingData[[#This Row],[Candidate 8]])/(SamplingData[[#Totals],[Winning Candidate]]-SamplingData[[#Totals],[Candidate 8]]), 0)</f>
        <v>0</v>
      </c>
      <c r="X8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00">
        <f>MAX(SamplingData[[#This Row],[Error Bound (up) - Max. possible relative overstatement - Losing Candidate]:[Error Bound (up) - Max. possible relative overstatement - Candidate 12]])</f>
        <v>7.5069887238119167E-3</v>
      </c>
      <c r="AC821" s="100">
        <f>IF(SamplingData[[#This Row],[Max Error Bound (up)]] = 0,0,SamplingData[[#This Row],[Max Error Bound (up)]]/SamplingData[[#Totals],[Max Error Bound (up)]])</f>
        <v>3.2170354816130954E-3</v>
      </c>
      <c r="AD821" s="104">
        <f>SUM($AC$5:AC821)</f>
        <v>0.35466806654821553</v>
      </c>
      <c r="AE821" s="100" t="str" cm="1">
        <f t="array" ref="AE821">IF(SamplingData[[#This Row],[up/U Selection Probability]] = 0, "Zero", TEXT(SamplingData[[#This Row],[Lower Range]], REPT("0",LEN('General Info'!$B$42))) &amp; " - " &amp; TEXT(SamplingData[[#This Row],[Upper Range]], REPT("0",LEN('General Info'!$B$42))))</f>
        <v>35145 - 35466</v>
      </c>
      <c r="AF821" s="100">
        <f>SamplingData[[#This Row],[Upper Range]]-SamplingData[[#This Row],[Span]]</f>
        <v>35145.103106660237</v>
      </c>
      <c r="AG821" s="100">
        <f>IF(ISNUMBER('General Info'!$B$42), ((SamplingData[[#This Row],[up/U Selection Probability]]) * 'General Info'!$B$44) - 1, 0)</f>
        <v>320.70354816130953</v>
      </c>
      <c r="AH821" s="100">
        <f>IF(ISNUMBER('General Info'!$B$42), (SamplingData[[#This Row],[Running (cumulative) sum]] * ('General Info'!$B$42 -'General Info'!$B$43 + 1)) + 'General Info'!$B$43 - 1, 0)</f>
        <v>35465.80665482155</v>
      </c>
      <c r="AI821" s="100" t="str">
        <f>IF(ISERROR(MATCH(SamplingData[[#This Row],[Batch by Type (p)]],SelectedPrecincts[Batch Name], 0)), "", INDEX(SelectedPrecincts[Draw], MATCH(SamplingData[[#This Row],[Batch by Type (p)]],SelectedPrecincts[Batch Name], 0)))</f>
        <v/>
      </c>
      <c r="AJ821" s="101">
        <f>IF(COUNTIF(SelectedPrecincts[Batch Name],SamplingData[[#This Row],[Batch by Type (p)]]) &lt;&gt; 0, COUNTIF(SelectedPrecincts[Batch Name],SamplingData[[#This Row],[Batch by Type (p)]]), 0)</f>
        <v>0</v>
      </c>
    </row>
    <row r="822" spans="1:36" ht="15" customHeight="1" x14ac:dyDescent="0.35">
      <c r="A822" s="98" t="s">
        <v>1033</v>
      </c>
      <c r="B822" s="98">
        <v>44</v>
      </c>
      <c r="C822" s="98">
        <v>3</v>
      </c>
      <c r="D822" s="93"/>
      <c r="E822" s="93"/>
      <c r="F822" s="93"/>
      <c r="G822" s="97"/>
      <c r="H822" s="97"/>
      <c r="I822" s="93"/>
      <c r="J822" s="93"/>
      <c r="K822" s="93"/>
      <c r="L822" s="93"/>
      <c r="M822" s="93"/>
      <c r="N822" s="98">
        <v>0</v>
      </c>
      <c r="O822" s="98">
        <v>0</v>
      </c>
      <c r="P822" s="99">
        <f>SUM(SamplingData[[#This Row],[Winning Candidate]:[Under Votes]])</f>
        <v>47</v>
      </c>
      <c r="Q822" s="100">
        <f>IF(AND(SamplingData[[#This Row],[Total]]&lt;&gt; 0, NOT(ISBLANK(SamplingData[[#This Row],[Losing Candidate]]))),(SamplingData[[#This Row],[Total]]+SamplingData[[#This Row],[Winning Candidate]]-SamplingData[[#This Row],[Losing Candidate]])/(SamplingData[[#Totals],[Winning Candidate]]-SamplingData[[#Totals],[Losing Candidate]]), 0)</f>
        <v>2.76407953010648E-3</v>
      </c>
      <c r="R822" s="100">
        <f>IF(AND(SamplingData[[#This Row],[Total]]&lt;&gt; 0, NOT(ISBLANK(SamplingData[[#This Row],[Candidate 3]]))),(SamplingData[[#This Row],[Total]]+SamplingData[[#This Row],[Winning Candidate]]-SamplingData[[#This Row],[Candidate 3]])/(SamplingData[[#Totals],[Winning Candidate]]-SamplingData[[#Totals],[Candidate 3]]), 0)</f>
        <v>0</v>
      </c>
      <c r="S822" s="100">
        <f>IF(AND(SamplingData[[#This Row],[Total]]&lt;&gt; 0, NOT(ISBLANK(SamplingData[[#This Row],[Candidate 4]]))),(SamplingData[[#This Row],[Total]]+SamplingData[[#This Row],[Winning Candidate]]-SamplingData[[#This Row],[Candidate 4]])/(SamplingData[[#Totals],[Winning Candidate]]-SamplingData[[#Totals],[Candidate 4]]), 0)</f>
        <v>0</v>
      </c>
      <c r="T822" s="100">
        <f>IF(AND(SamplingData[[#This Row],[Total]]&lt;&gt; 0, NOT(ISBLANK(SamplingData[[#This Row],[Candidate 5]]))),(SamplingData[[#This Row],[Total]]+SamplingData[[#This Row],[Winning Candidate]]-SamplingData[[#This Row],[Candidate 5]])/(SamplingData[[#Totals],[Winning Candidate]]-SamplingData[[#Totals],[Candidate 5]]), 0)</f>
        <v>0</v>
      </c>
      <c r="U822" s="100">
        <f>IF(AND(SamplingData[[#This Row],[Total]]&lt;&gt; 0, NOT(ISBLANK(SamplingData[[#This Row],[Candidate 6]]))),(SamplingData[[#This Row],[Total]]+SamplingData[[#This Row],[Losing Candidate]]-SamplingData[[#This Row],[Candidate 6]])/(SamplingData[[#Totals],[Winning Candidate]]-SamplingData[[#Totals],[Candidate 6]]), 0)</f>
        <v>0</v>
      </c>
      <c r="V822" s="100">
        <f>IF(AND(SamplingData[[#This Row],[Total]]&lt;&gt; 0, NOT(ISBLANK(SamplingData[[#This Row],[Candidate 7]]))),(SamplingData[[#This Row],[Total]]+SamplingData[[#This Row],[Winning Candidate]]-SamplingData[[#This Row],[Candidate 7]])/(SamplingData[[#Totals],[Winning Candidate]]-SamplingData[[#Totals],[Candidate 7]]), 0)</f>
        <v>0</v>
      </c>
      <c r="W822" s="100">
        <f>IF(AND(SamplingData[[#This Row],[Total]]&lt;&gt; 0, NOT(ISBLANK(SamplingData[[#This Row],[Candidate 8]]))),(SamplingData[[#This Row],[Total]]+SamplingData[[#This Row],[Winning Candidate]]-SamplingData[[#This Row],[Candidate 8]])/(SamplingData[[#Totals],[Winning Candidate]]-SamplingData[[#Totals],[Candidate 8]]), 0)</f>
        <v>0</v>
      </c>
      <c r="X8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00">
        <f>MAX(SamplingData[[#This Row],[Error Bound (up) - Max. possible relative overstatement - Losing Candidate]:[Error Bound (up) - Max. possible relative overstatement - Candidate 12]])</f>
        <v>2.76407953010648E-3</v>
      </c>
      <c r="AC822" s="100">
        <f>IF(SamplingData[[#This Row],[Max Error Bound (up)]] = 0,0,SamplingData[[#This Row],[Max Error Bound (up)]]/SamplingData[[#Totals],[Max Error Bound (up)]])</f>
        <v>1.1845151564098427E-3</v>
      </c>
      <c r="AD822" s="104">
        <f>SUM($AC$5:AC822)</f>
        <v>0.35585258170462536</v>
      </c>
      <c r="AE822" s="100" t="str" cm="1">
        <f t="array" ref="AE822">IF(SamplingData[[#This Row],[up/U Selection Probability]] = 0, "Zero", TEXT(SamplingData[[#This Row],[Lower Range]], REPT("0",LEN('General Info'!$B$42))) &amp; " - " &amp; TEXT(SamplingData[[#This Row],[Upper Range]], REPT("0",LEN('General Info'!$B$42))))</f>
        <v>35467 - 35584</v>
      </c>
      <c r="AF822" s="100">
        <f>SamplingData[[#This Row],[Upper Range]]-SamplingData[[#This Row],[Span]]</f>
        <v>35466.80665482155</v>
      </c>
      <c r="AG822" s="100">
        <f>IF(ISNUMBER('General Info'!$B$42), ((SamplingData[[#This Row],[up/U Selection Probability]]) * 'General Info'!$B$44) - 1, 0)</f>
        <v>117.45151564098427</v>
      </c>
      <c r="AH822" s="100">
        <f>IF(ISNUMBER('General Info'!$B$42), (SamplingData[[#This Row],[Running (cumulative) sum]] * ('General Info'!$B$42 -'General Info'!$B$43 + 1)) + 'General Info'!$B$43 - 1, 0)</f>
        <v>35584.258170462534</v>
      </c>
      <c r="AI822" s="100" t="str">
        <f>IF(ISERROR(MATCH(SamplingData[[#This Row],[Batch by Type (p)]],SelectedPrecincts[Batch Name], 0)), "", INDEX(SelectedPrecincts[Draw], MATCH(SamplingData[[#This Row],[Batch by Type (p)]],SelectedPrecincts[Batch Name], 0)))</f>
        <v/>
      </c>
      <c r="AJ822" s="101">
        <f>IF(COUNTIF(SelectedPrecincts[Batch Name],SamplingData[[#This Row],[Batch by Type (p)]]) &lt;&gt; 0, COUNTIF(SelectedPrecincts[Batch Name],SamplingData[[#This Row],[Batch by Type (p)]]), 0)</f>
        <v>0</v>
      </c>
    </row>
    <row r="823" spans="1:36" ht="15" customHeight="1" x14ac:dyDescent="0.35">
      <c r="A823" s="98" t="s">
        <v>1034</v>
      </c>
      <c r="B823" s="98">
        <v>42</v>
      </c>
      <c r="C823" s="98">
        <v>3</v>
      </c>
      <c r="D823" s="93"/>
      <c r="E823" s="93"/>
      <c r="F823" s="93"/>
      <c r="G823" s="97"/>
      <c r="H823" s="97"/>
      <c r="I823" s="93"/>
      <c r="J823" s="93"/>
      <c r="K823" s="93"/>
      <c r="L823" s="93"/>
      <c r="M823" s="93"/>
      <c r="N823" s="98">
        <v>0</v>
      </c>
      <c r="O823" s="98">
        <v>0</v>
      </c>
      <c r="P823" s="99">
        <f>SUM(SamplingData[[#This Row],[Winning Candidate]:[Under Votes]])</f>
        <v>45</v>
      </c>
      <c r="Q823" s="100">
        <f>IF(AND(SamplingData[[#This Row],[Total]]&lt;&gt; 0, NOT(ISBLANK(SamplingData[[#This Row],[Losing Candidate]]))),(SamplingData[[#This Row],[Total]]+SamplingData[[#This Row],[Winning Candidate]]-SamplingData[[#This Row],[Losing Candidate]])/(SamplingData[[#Totals],[Winning Candidate]]-SamplingData[[#Totals],[Losing Candidate]]), 0)</f>
        <v>2.6384395514652765E-3</v>
      </c>
      <c r="R823" s="100">
        <f>IF(AND(SamplingData[[#This Row],[Total]]&lt;&gt; 0, NOT(ISBLANK(SamplingData[[#This Row],[Candidate 3]]))),(SamplingData[[#This Row],[Total]]+SamplingData[[#This Row],[Winning Candidate]]-SamplingData[[#This Row],[Candidate 3]])/(SamplingData[[#Totals],[Winning Candidate]]-SamplingData[[#Totals],[Candidate 3]]), 0)</f>
        <v>0</v>
      </c>
      <c r="S823" s="100">
        <f>IF(AND(SamplingData[[#This Row],[Total]]&lt;&gt; 0, NOT(ISBLANK(SamplingData[[#This Row],[Candidate 4]]))),(SamplingData[[#This Row],[Total]]+SamplingData[[#This Row],[Winning Candidate]]-SamplingData[[#This Row],[Candidate 4]])/(SamplingData[[#Totals],[Winning Candidate]]-SamplingData[[#Totals],[Candidate 4]]), 0)</f>
        <v>0</v>
      </c>
      <c r="T823" s="100">
        <f>IF(AND(SamplingData[[#This Row],[Total]]&lt;&gt; 0, NOT(ISBLANK(SamplingData[[#This Row],[Candidate 5]]))),(SamplingData[[#This Row],[Total]]+SamplingData[[#This Row],[Winning Candidate]]-SamplingData[[#This Row],[Candidate 5]])/(SamplingData[[#Totals],[Winning Candidate]]-SamplingData[[#Totals],[Candidate 5]]), 0)</f>
        <v>0</v>
      </c>
      <c r="U823" s="100">
        <f>IF(AND(SamplingData[[#This Row],[Total]]&lt;&gt; 0, NOT(ISBLANK(SamplingData[[#This Row],[Candidate 6]]))),(SamplingData[[#This Row],[Total]]+SamplingData[[#This Row],[Losing Candidate]]-SamplingData[[#This Row],[Candidate 6]])/(SamplingData[[#Totals],[Winning Candidate]]-SamplingData[[#Totals],[Candidate 6]]), 0)</f>
        <v>0</v>
      </c>
      <c r="V823" s="100">
        <f>IF(AND(SamplingData[[#This Row],[Total]]&lt;&gt; 0, NOT(ISBLANK(SamplingData[[#This Row],[Candidate 7]]))),(SamplingData[[#This Row],[Total]]+SamplingData[[#This Row],[Winning Candidate]]-SamplingData[[#This Row],[Candidate 7]])/(SamplingData[[#Totals],[Winning Candidate]]-SamplingData[[#Totals],[Candidate 7]]), 0)</f>
        <v>0</v>
      </c>
      <c r="W823" s="100">
        <f>IF(AND(SamplingData[[#This Row],[Total]]&lt;&gt; 0, NOT(ISBLANK(SamplingData[[#This Row],[Candidate 8]]))),(SamplingData[[#This Row],[Total]]+SamplingData[[#This Row],[Winning Candidate]]-SamplingData[[#This Row],[Candidate 8]])/(SamplingData[[#Totals],[Winning Candidate]]-SamplingData[[#Totals],[Candidate 8]]), 0)</f>
        <v>0</v>
      </c>
      <c r="X8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00">
        <f>MAX(SamplingData[[#This Row],[Error Bound (up) - Max. possible relative overstatement - Losing Candidate]:[Error Bound (up) - Max. possible relative overstatement - Candidate 12]])</f>
        <v>2.6384395514652765E-3</v>
      </c>
      <c r="AC823" s="100">
        <f>IF(SamplingData[[#This Row],[Max Error Bound (up)]] = 0,0,SamplingData[[#This Row],[Max Error Bound (up)]]/SamplingData[[#Totals],[Max Error Bound (up)]])</f>
        <v>1.1306735583912135E-3</v>
      </c>
      <c r="AD823" s="104">
        <f>SUM($AC$5:AC823)</f>
        <v>0.35698325526301655</v>
      </c>
      <c r="AE823" s="100" t="str" cm="1">
        <f t="array" ref="AE823">IF(SamplingData[[#This Row],[up/U Selection Probability]] = 0, "Zero", TEXT(SamplingData[[#This Row],[Lower Range]], REPT("0",LEN('General Info'!$B$42))) &amp; " - " &amp; TEXT(SamplingData[[#This Row],[Upper Range]], REPT("0",LEN('General Info'!$B$42))))</f>
        <v>35585 - 35697</v>
      </c>
      <c r="AF823" s="100">
        <f>SamplingData[[#This Row],[Upper Range]]-SamplingData[[#This Row],[Span]]</f>
        <v>35585.258170462534</v>
      </c>
      <c r="AG823" s="100">
        <f>IF(ISNUMBER('General Info'!$B$42), ((SamplingData[[#This Row],[up/U Selection Probability]]) * 'General Info'!$B$44) - 1, 0)</f>
        <v>112.06735583912135</v>
      </c>
      <c r="AH823" s="100">
        <f>IF(ISNUMBER('General Info'!$B$42), (SamplingData[[#This Row],[Running (cumulative) sum]] * ('General Info'!$B$42 -'General Info'!$B$43 + 1)) + 'General Info'!$B$43 - 1, 0)</f>
        <v>35697.325526301654</v>
      </c>
      <c r="AI823" s="100" t="str">
        <f>IF(ISERROR(MATCH(SamplingData[[#This Row],[Batch by Type (p)]],SelectedPrecincts[Batch Name], 0)), "", INDEX(SelectedPrecincts[Draw], MATCH(SamplingData[[#This Row],[Batch by Type (p)]],SelectedPrecincts[Batch Name], 0)))</f>
        <v/>
      </c>
      <c r="AJ823" s="101">
        <f>IF(COUNTIF(SelectedPrecincts[Batch Name],SamplingData[[#This Row],[Batch by Type (p)]]) &lt;&gt; 0, COUNTIF(SelectedPrecincts[Batch Name],SamplingData[[#This Row],[Batch by Type (p)]]), 0)</f>
        <v>0</v>
      </c>
    </row>
    <row r="824" spans="1:36" ht="15" customHeight="1" x14ac:dyDescent="0.35">
      <c r="A824" s="98" t="s">
        <v>1035</v>
      </c>
      <c r="B824" s="98">
        <v>79</v>
      </c>
      <c r="C824" s="98">
        <v>5</v>
      </c>
      <c r="D824" s="93"/>
      <c r="E824" s="93"/>
      <c r="F824" s="93"/>
      <c r="G824" s="97"/>
      <c r="H824" s="97"/>
      <c r="I824" s="93"/>
      <c r="J824" s="93"/>
      <c r="K824" s="93"/>
      <c r="L824" s="93"/>
      <c r="M824" s="93"/>
      <c r="N824" s="98">
        <v>0</v>
      </c>
      <c r="O824" s="98">
        <v>1</v>
      </c>
      <c r="P824" s="99">
        <f>SUM(SamplingData[[#This Row],[Winning Candidate]:[Under Votes]])</f>
        <v>85</v>
      </c>
      <c r="Q824" s="100">
        <f>IF(AND(SamplingData[[#This Row],[Total]]&lt;&gt; 0, NOT(ISBLANK(SamplingData[[#This Row],[Losing Candidate]]))),(SamplingData[[#This Row],[Total]]+SamplingData[[#This Row],[Winning Candidate]]-SamplingData[[#This Row],[Losing Candidate]])/(SamplingData[[#Totals],[Winning Candidate]]-SamplingData[[#Totals],[Losing Candidate]]), 0)</f>
        <v>4.9941891509878442E-3</v>
      </c>
      <c r="R824" s="100">
        <f>IF(AND(SamplingData[[#This Row],[Total]]&lt;&gt; 0, NOT(ISBLANK(SamplingData[[#This Row],[Candidate 3]]))),(SamplingData[[#This Row],[Total]]+SamplingData[[#This Row],[Winning Candidate]]-SamplingData[[#This Row],[Candidate 3]])/(SamplingData[[#Totals],[Winning Candidate]]-SamplingData[[#Totals],[Candidate 3]]), 0)</f>
        <v>0</v>
      </c>
      <c r="S824" s="100">
        <f>IF(AND(SamplingData[[#This Row],[Total]]&lt;&gt; 0, NOT(ISBLANK(SamplingData[[#This Row],[Candidate 4]]))),(SamplingData[[#This Row],[Total]]+SamplingData[[#This Row],[Winning Candidate]]-SamplingData[[#This Row],[Candidate 4]])/(SamplingData[[#Totals],[Winning Candidate]]-SamplingData[[#Totals],[Candidate 4]]), 0)</f>
        <v>0</v>
      </c>
      <c r="T824" s="100">
        <f>IF(AND(SamplingData[[#This Row],[Total]]&lt;&gt; 0, NOT(ISBLANK(SamplingData[[#This Row],[Candidate 5]]))),(SamplingData[[#This Row],[Total]]+SamplingData[[#This Row],[Winning Candidate]]-SamplingData[[#This Row],[Candidate 5]])/(SamplingData[[#Totals],[Winning Candidate]]-SamplingData[[#Totals],[Candidate 5]]), 0)</f>
        <v>0</v>
      </c>
      <c r="U824" s="100">
        <f>IF(AND(SamplingData[[#This Row],[Total]]&lt;&gt; 0, NOT(ISBLANK(SamplingData[[#This Row],[Candidate 6]]))),(SamplingData[[#This Row],[Total]]+SamplingData[[#This Row],[Losing Candidate]]-SamplingData[[#This Row],[Candidate 6]])/(SamplingData[[#Totals],[Winning Candidate]]-SamplingData[[#Totals],[Candidate 6]]), 0)</f>
        <v>0</v>
      </c>
      <c r="V824" s="100">
        <f>IF(AND(SamplingData[[#This Row],[Total]]&lt;&gt; 0, NOT(ISBLANK(SamplingData[[#This Row],[Candidate 7]]))),(SamplingData[[#This Row],[Total]]+SamplingData[[#This Row],[Winning Candidate]]-SamplingData[[#This Row],[Candidate 7]])/(SamplingData[[#Totals],[Winning Candidate]]-SamplingData[[#Totals],[Candidate 7]]), 0)</f>
        <v>0</v>
      </c>
      <c r="W824" s="100">
        <f>IF(AND(SamplingData[[#This Row],[Total]]&lt;&gt; 0, NOT(ISBLANK(SamplingData[[#This Row],[Candidate 8]]))),(SamplingData[[#This Row],[Total]]+SamplingData[[#This Row],[Winning Candidate]]-SamplingData[[#This Row],[Candidate 8]])/(SamplingData[[#Totals],[Winning Candidate]]-SamplingData[[#Totals],[Candidate 8]]), 0)</f>
        <v>0</v>
      </c>
      <c r="X8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00">
        <f>MAX(SamplingData[[#This Row],[Error Bound (up) - Max. possible relative overstatement - Losing Candidate]:[Error Bound (up) - Max. possible relative overstatement - Candidate 12]])</f>
        <v>4.9941891509878442E-3</v>
      </c>
      <c r="AC824" s="100">
        <f>IF(SamplingData[[#This Row],[Max Error Bound (up)]] = 0,0,SamplingData[[#This Row],[Max Error Bound (up)]]/SamplingData[[#Totals],[Max Error Bound (up)]])</f>
        <v>2.1402035212405111E-3</v>
      </c>
      <c r="AD824" s="104">
        <f>SUM($AC$5:AC824)</f>
        <v>0.35912345878425705</v>
      </c>
      <c r="AE824" s="100" t="str" cm="1">
        <f t="array" ref="AE824">IF(SamplingData[[#This Row],[up/U Selection Probability]] = 0, "Zero", TEXT(SamplingData[[#This Row],[Lower Range]], REPT("0",LEN('General Info'!$B$42))) &amp; " - " &amp; TEXT(SamplingData[[#This Row],[Upper Range]], REPT("0",LEN('General Info'!$B$42))))</f>
        <v>35698 - 35911</v>
      </c>
      <c r="AF824" s="100">
        <f>SamplingData[[#This Row],[Upper Range]]-SamplingData[[#This Row],[Span]]</f>
        <v>35698.325526301654</v>
      </c>
      <c r="AG824" s="100">
        <f>IF(ISNUMBER('General Info'!$B$42), ((SamplingData[[#This Row],[up/U Selection Probability]]) * 'General Info'!$B$44) - 1, 0)</f>
        <v>213.0203521240511</v>
      </c>
      <c r="AH824" s="100">
        <f>IF(ISNUMBER('General Info'!$B$42), (SamplingData[[#This Row],[Running (cumulative) sum]] * ('General Info'!$B$42 -'General Info'!$B$43 + 1)) + 'General Info'!$B$43 - 1, 0)</f>
        <v>35911.345878425709</v>
      </c>
      <c r="AI824" s="100" t="str">
        <f>IF(ISERROR(MATCH(SamplingData[[#This Row],[Batch by Type (p)]],SelectedPrecincts[Batch Name], 0)), "", INDEX(SelectedPrecincts[Draw], MATCH(SamplingData[[#This Row],[Batch by Type (p)]],SelectedPrecincts[Batch Name], 0)))</f>
        <v/>
      </c>
      <c r="AJ824" s="101">
        <f>IF(COUNTIF(SelectedPrecincts[Batch Name],SamplingData[[#This Row],[Batch by Type (p)]]) &lt;&gt; 0, COUNTIF(SelectedPrecincts[Batch Name],SamplingData[[#This Row],[Batch by Type (p)]]), 0)</f>
        <v>0</v>
      </c>
    </row>
    <row r="825" spans="1:36" ht="15" customHeight="1" x14ac:dyDescent="0.35">
      <c r="A825" s="98" t="s">
        <v>1036</v>
      </c>
      <c r="B825" s="98">
        <v>51</v>
      </c>
      <c r="C825" s="98">
        <v>12</v>
      </c>
      <c r="D825" s="93"/>
      <c r="E825" s="93"/>
      <c r="F825" s="93"/>
      <c r="G825" s="97"/>
      <c r="H825" s="97"/>
      <c r="I825" s="93"/>
      <c r="J825" s="93"/>
      <c r="K825" s="93"/>
      <c r="L825" s="93"/>
      <c r="M825" s="93"/>
      <c r="N825" s="98">
        <v>0</v>
      </c>
      <c r="O825" s="98">
        <v>0</v>
      </c>
      <c r="P825" s="99">
        <f>SUM(SamplingData[[#This Row],[Winning Candidate]:[Under Votes]])</f>
        <v>63</v>
      </c>
      <c r="Q825" s="100">
        <f>IF(AND(SamplingData[[#This Row],[Total]]&lt;&gt; 0, NOT(ISBLANK(SamplingData[[#This Row],[Losing Candidate]]))),(SamplingData[[#This Row],[Total]]+SamplingData[[#This Row],[Winning Candidate]]-SamplingData[[#This Row],[Losing Candidate]])/(SamplingData[[#Totals],[Winning Candidate]]-SamplingData[[#Totals],[Losing Candidate]]), 0)</f>
        <v>3.2038194553506926E-3</v>
      </c>
      <c r="R825" s="100">
        <f>IF(AND(SamplingData[[#This Row],[Total]]&lt;&gt; 0, NOT(ISBLANK(SamplingData[[#This Row],[Candidate 3]]))),(SamplingData[[#This Row],[Total]]+SamplingData[[#This Row],[Winning Candidate]]-SamplingData[[#This Row],[Candidate 3]])/(SamplingData[[#Totals],[Winning Candidate]]-SamplingData[[#Totals],[Candidate 3]]), 0)</f>
        <v>0</v>
      </c>
      <c r="S825" s="100">
        <f>IF(AND(SamplingData[[#This Row],[Total]]&lt;&gt; 0, NOT(ISBLANK(SamplingData[[#This Row],[Candidate 4]]))),(SamplingData[[#This Row],[Total]]+SamplingData[[#This Row],[Winning Candidate]]-SamplingData[[#This Row],[Candidate 4]])/(SamplingData[[#Totals],[Winning Candidate]]-SamplingData[[#Totals],[Candidate 4]]), 0)</f>
        <v>0</v>
      </c>
      <c r="T825" s="100">
        <f>IF(AND(SamplingData[[#This Row],[Total]]&lt;&gt; 0, NOT(ISBLANK(SamplingData[[#This Row],[Candidate 5]]))),(SamplingData[[#This Row],[Total]]+SamplingData[[#This Row],[Winning Candidate]]-SamplingData[[#This Row],[Candidate 5]])/(SamplingData[[#Totals],[Winning Candidate]]-SamplingData[[#Totals],[Candidate 5]]), 0)</f>
        <v>0</v>
      </c>
      <c r="U825" s="100">
        <f>IF(AND(SamplingData[[#This Row],[Total]]&lt;&gt; 0, NOT(ISBLANK(SamplingData[[#This Row],[Candidate 6]]))),(SamplingData[[#This Row],[Total]]+SamplingData[[#This Row],[Losing Candidate]]-SamplingData[[#This Row],[Candidate 6]])/(SamplingData[[#Totals],[Winning Candidate]]-SamplingData[[#Totals],[Candidate 6]]), 0)</f>
        <v>0</v>
      </c>
      <c r="V825" s="100">
        <f>IF(AND(SamplingData[[#This Row],[Total]]&lt;&gt; 0, NOT(ISBLANK(SamplingData[[#This Row],[Candidate 7]]))),(SamplingData[[#This Row],[Total]]+SamplingData[[#This Row],[Winning Candidate]]-SamplingData[[#This Row],[Candidate 7]])/(SamplingData[[#Totals],[Winning Candidate]]-SamplingData[[#Totals],[Candidate 7]]), 0)</f>
        <v>0</v>
      </c>
      <c r="W825" s="100">
        <f>IF(AND(SamplingData[[#This Row],[Total]]&lt;&gt; 0, NOT(ISBLANK(SamplingData[[#This Row],[Candidate 8]]))),(SamplingData[[#This Row],[Total]]+SamplingData[[#This Row],[Winning Candidate]]-SamplingData[[#This Row],[Candidate 8]])/(SamplingData[[#Totals],[Winning Candidate]]-SamplingData[[#Totals],[Candidate 8]]), 0)</f>
        <v>0</v>
      </c>
      <c r="X8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00">
        <f>MAX(SamplingData[[#This Row],[Error Bound (up) - Max. possible relative overstatement - Losing Candidate]:[Error Bound (up) - Max. possible relative overstatement - Candidate 12]])</f>
        <v>3.2038194553506926E-3</v>
      </c>
      <c r="AC825" s="100">
        <f>IF(SamplingData[[#This Row],[Max Error Bound (up)]] = 0,0,SamplingData[[#This Row],[Max Error Bound (up)]]/SamplingData[[#Totals],[Max Error Bound (up)]])</f>
        <v>1.3729607494750449E-3</v>
      </c>
      <c r="AD825" s="104">
        <f>SUM($AC$5:AC825)</f>
        <v>0.36049641953373213</v>
      </c>
      <c r="AE825" s="100" t="str" cm="1">
        <f t="array" ref="AE825">IF(SamplingData[[#This Row],[up/U Selection Probability]] = 0, "Zero", TEXT(SamplingData[[#This Row],[Lower Range]], REPT("0",LEN('General Info'!$B$42))) &amp; " - " &amp; TEXT(SamplingData[[#This Row],[Upper Range]], REPT("0",LEN('General Info'!$B$42))))</f>
        <v>35912 - 36049</v>
      </c>
      <c r="AF825" s="100">
        <f>SamplingData[[#This Row],[Upper Range]]-SamplingData[[#This Row],[Span]]</f>
        <v>35912.345878425709</v>
      </c>
      <c r="AG825" s="100">
        <f>IF(ISNUMBER('General Info'!$B$42), ((SamplingData[[#This Row],[up/U Selection Probability]]) * 'General Info'!$B$44) - 1, 0)</f>
        <v>136.29607494750448</v>
      </c>
      <c r="AH825" s="100">
        <f>IF(ISNUMBER('General Info'!$B$42), (SamplingData[[#This Row],[Running (cumulative) sum]] * ('General Info'!$B$42 -'General Info'!$B$43 + 1)) + 'General Info'!$B$43 - 1, 0)</f>
        <v>36048.641953373211</v>
      </c>
      <c r="AI825" s="100" t="str">
        <f>IF(ISERROR(MATCH(SamplingData[[#This Row],[Batch by Type (p)]],SelectedPrecincts[Batch Name], 0)), "", INDEX(SelectedPrecincts[Draw], MATCH(SamplingData[[#This Row],[Batch by Type (p)]],SelectedPrecincts[Batch Name], 0)))</f>
        <v/>
      </c>
      <c r="AJ825" s="101">
        <f>IF(COUNTIF(SelectedPrecincts[Batch Name],SamplingData[[#This Row],[Batch by Type (p)]]) &lt;&gt; 0, COUNTIF(SelectedPrecincts[Batch Name],SamplingData[[#This Row],[Batch by Type (p)]]), 0)</f>
        <v>0</v>
      </c>
    </row>
    <row r="826" spans="1:36" ht="15" customHeight="1" x14ac:dyDescent="0.35">
      <c r="A826" s="98" t="s">
        <v>1037</v>
      </c>
      <c r="B826" s="98">
        <v>91</v>
      </c>
      <c r="C826" s="98">
        <v>2</v>
      </c>
      <c r="D826" s="93"/>
      <c r="E826" s="93"/>
      <c r="F826" s="93"/>
      <c r="G826" s="97"/>
      <c r="H826" s="97"/>
      <c r="I826" s="93"/>
      <c r="J826" s="93"/>
      <c r="K826" s="93"/>
      <c r="L826" s="93"/>
      <c r="M826" s="93"/>
      <c r="N826" s="98">
        <v>0</v>
      </c>
      <c r="O826" s="98">
        <v>2</v>
      </c>
      <c r="P826" s="99">
        <f>SUM(SamplingData[[#This Row],[Winning Candidate]:[Under Votes]])</f>
        <v>95</v>
      </c>
      <c r="Q826" s="100">
        <f>IF(AND(SamplingData[[#This Row],[Total]]&lt;&gt; 0, NOT(ISBLANK(SamplingData[[#This Row],[Losing Candidate]]))),(SamplingData[[#This Row],[Total]]+SamplingData[[#This Row],[Winning Candidate]]-SamplingData[[#This Row],[Losing Candidate]])/(SamplingData[[#Totals],[Winning Candidate]]-SamplingData[[#Totals],[Losing Candidate]]), 0)</f>
        <v>5.7794390174953671E-3</v>
      </c>
      <c r="R826" s="100">
        <f>IF(AND(SamplingData[[#This Row],[Total]]&lt;&gt; 0, NOT(ISBLANK(SamplingData[[#This Row],[Candidate 3]]))),(SamplingData[[#This Row],[Total]]+SamplingData[[#This Row],[Winning Candidate]]-SamplingData[[#This Row],[Candidate 3]])/(SamplingData[[#Totals],[Winning Candidate]]-SamplingData[[#Totals],[Candidate 3]]), 0)</f>
        <v>0</v>
      </c>
      <c r="S826" s="100">
        <f>IF(AND(SamplingData[[#This Row],[Total]]&lt;&gt; 0, NOT(ISBLANK(SamplingData[[#This Row],[Candidate 4]]))),(SamplingData[[#This Row],[Total]]+SamplingData[[#This Row],[Winning Candidate]]-SamplingData[[#This Row],[Candidate 4]])/(SamplingData[[#Totals],[Winning Candidate]]-SamplingData[[#Totals],[Candidate 4]]), 0)</f>
        <v>0</v>
      </c>
      <c r="T826" s="100">
        <f>IF(AND(SamplingData[[#This Row],[Total]]&lt;&gt; 0, NOT(ISBLANK(SamplingData[[#This Row],[Candidate 5]]))),(SamplingData[[#This Row],[Total]]+SamplingData[[#This Row],[Winning Candidate]]-SamplingData[[#This Row],[Candidate 5]])/(SamplingData[[#Totals],[Winning Candidate]]-SamplingData[[#Totals],[Candidate 5]]), 0)</f>
        <v>0</v>
      </c>
      <c r="U826" s="100">
        <f>IF(AND(SamplingData[[#This Row],[Total]]&lt;&gt; 0, NOT(ISBLANK(SamplingData[[#This Row],[Candidate 6]]))),(SamplingData[[#This Row],[Total]]+SamplingData[[#This Row],[Losing Candidate]]-SamplingData[[#This Row],[Candidate 6]])/(SamplingData[[#Totals],[Winning Candidate]]-SamplingData[[#Totals],[Candidate 6]]), 0)</f>
        <v>0</v>
      </c>
      <c r="V826" s="100">
        <f>IF(AND(SamplingData[[#This Row],[Total]]&lt;&gt; 0, NOT(ISBLANK(SamplingData[[#This Row],[Candidate 7]]))),(SamplingData[[#This Row],[Total]]+SamplingData[[#This Row],[Winning Candidate]]-SamplingData[[#This Row],[Candidate 7]])/(SamplingData[[#Totals],[Winning Candidate]]-SamplingData[[#Totals],[Candidate 7]]), 0)</f>
        <v>0</v>
      </c>
      <c r="W826" s="100">
        <f>IF(AND(SamplingData[[#This Row],[Total]]&lt;&gt; 0, NOT(ISBLANK(SamplingData[[#This Row],[Candidate 8]]))),(SamplingData[[#This Row],[Total]]+SamplingData[[#This Row],[Winning Candidate]]-SamplingData[[#This Row],[Candidate 8]])/(SamplingData[[#Totals],[Winning Candidate]]-SamplingData[[#Totals],[Candidate 8]]), 0)</f>
        <v>0</v>
      </c>
      <c r="X8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00">
        <f>MAX(SamplingData[[#This Row],[Error Bound (up) - Max. possible relative overstatement - Losing Candidate]:[Error Bound (up) - Max. possible relative overstatement - Candidate 12]])</f>
        <v>5.7794390174953671E-3</v>
      </c>
      <c r="AC826" s="100">
        <f>IF(SamplingData[[#This Row],[Max Error Bound (up)]] = 0,0,SamplingData[[#This Row],[Max Error Bound (up)]]/SamplingData[[#Totals],[Max Error Bound (up)]])</f>
        <v>2.4767135088569437E-3</v>
      </c>
      <c r="AD826" s="104">
        <f>SUM($AC$5:AC826)</f>
        <v>0.36297313304258905</v>
      </c>
      <c r="AE826" s="100" t="str" cm="1">
        <f t="array" ref="AE826">IF(SamplingData[[#This Row],[up/U Selection Probability]] = 0, "Zero", TEXT(SamplingData[[#This Row],[Lower Range]], REPT("0",LEN('General Info'!$B$42))) &amp; " - " &amp; TEXT(SamplingData[[#This Row],[Upper Range]], REPT("0",LEN('General Info'!$B$42))))</f>
        <v>36050 - 36296</v>
      </c>
      <c r="AF826" s="100">
        <f>SamplingData[[#This Row],[Upper Range]]-SamplingData[[#This Row],[Span]]</f>
        <v>36049.641953373211</v>
      </c>
      <c r="AG826" s="100">
        <f>IF(ISNUMBER('General Info'!$B$42), ((SamplingData[[#This Row],[up/U Selection Probability]]) * 'General Info'!$B$44) - 1, 0)</f>
        <v>246.67135088569438</v>
      </c>
      <c r="AH826" s="100">
        <f>IF(ISNUMBER('General Info'!$B$42), (SamplingData[[#This Row],[Running (cumulative) sum]] * ('General Info'!$B$42 -'General Info'!$B$43 + 1)) + 'General Info'!$B$43 - 1, 0)</f>
        <v>36296.313304258903</v>
      </c>
      <c r="AI826" s="100" t="str">
        <f>IF(ISERROR(MATCH(SamplingData[[#This Row],[Batch by Type (p)]],SelectedPrecincts[Batch Name], 0)), "", INDEX(SelectedPrecincts[Draw], MATCH(SamplingData[[#This Row],[Batch by Type (p)]],SelectedPrecincts[Batch Name], 0)))</f>
        <v/>
      </c>
      <c r="AJ826" s="101">
        <f>IF(COUNTIF(SelectedPrecincts[Batch Name],SamplingData[[#This Row],[Batch by Type (p)]]) &lt;&gt; 0, COUNTIF(SelectedPrecincts[Batch Name],SamplingData[[#This Row],[Batch by Type (p)]]), 0)</f>
        <v>0</v>
      </c>
    </row>
    <row r="827" spans="1:36" ht="15" customHeight="1" x14ac:dyDescent="0.35">
      <c r="A827" s="98" t="s">
        <v>1038</v>
      </c>
      <c r="B827" s="98">
        <v>93</v>
      </c>
      <c r="C827" s="98">
        <v>11</v>
      </c>
      <c r="D827" s="93"/>
      <c r="E827" s="93"/>
      <c r="F827" s="93"/>
      <c r="G827" s="97"/>
      <c r="H827" s="97"/>
      <c r="I827" s="93"/>
      <c r="J827" s="93"/>
      <c r="K827" s="93"/>
      <c r="L827" s="93"/>
      <c r="M827" s="93"/>
      <c r="N827" s="98">
        <v>0</v>
      </c>
      <c r="O827" s="98">
        <v>1</v>
      </c>
      <c r="P827" s="99">
        <f>SUM(SamplingData[[#This Row],[Winning Candidate]:[Under Votes]])</f>
        <v>105</v>
      </c>
      <c r="Q827" s="100">
        <f>IF(AND(SamplingData[[#This Row],[Total]]&lt;&gt; 0, NOT(ISBLANK(SamplingData[[#This Row],[Losing Candidate]]))),(SamplingData[[#This Row],[Total]]+SamplingData[[#This Row],[Winning Candidate]]-SamplingData[[#This Row],[Losing Candidate]])/(SamplingData[[#Totals],[Winning Candidate]]-SamplingData[[#Totals],[Losing Candidate]]), 0)</f>
        <v>5.8736690014762694E-3</v>
      </c>
      <c r="R827" s="100">
        <f>IF(AND(SamplingData[[#This Row],[Total]]&lt;&gt; 0, NOT(ISBLANK(SamplingData[[#This Row],[Candidate 3]]))),(SamplingData[[#This Row],[Total]]+SamplingData[[#This Row],[Winning Candidate]]-SamplingData[[#This Row],[Candidate 3]])/(SamplingData[[#Totals],[Winning Candidate]]-SamplingData[[#Totals],[Candidate 3]]), 0)</f>
        <v>0</v>
      </c>
      <c r="S827" s="100">
        <f>IF(AND(SamplingData[[#This Row],[Total]]&lt;&gt; 0, NOT(ISBLANK(SamplingData[[#This Row],[Candidate 4]]))),(SamplingData[[#This Row],[Total]]+SamplingData[[#This Row],[Winning Candidate]]-SamplingData[[#This Row],[Candidate 4]])/(SamplingData[[#Totals],[Winning Candidate]]-SamplingData[[#Totals],[Candidate 4]]), 0)</f>
        <v>0</v>
      </c>
      <c r="T827" s="100">
        <f>IF(AND(SamplingData[[#This Row],[Total]]&lt;&gt; 0, NOT(ISBLANK(SamplingData[[#This Row],[Candidate 5]]))),(SamplingData[[#This Row],[Total]]+SamplingData[[#This Row],[Winning Candidate]]-SamplingData[[#This Row],[Candidate 5]])/(SamplingData[[#Totals],[Winning Candidate]]-SamplingData[[#Totals],[Candidate 5]]), 0)</f>
        <v>0</v>
      </c>
      <c r="U827" s="100">
        <f>IF(AND(SamplingData[[#This Row],[Total]]&lt;&gt; 0, NOT(ISBLANK(SamplingData[[#This Row],[Candidate 6]]))),(SamplingData[[#This Row],[Total]]+SamplingData[[#This Row],[Losing Candidate]]-SamplingData[[#This Row],[Candidate 6]])/(SamplingData[[#Totals],[Winning Candidate]]-SamplingData[[#Totals],[Candidate 6]]), 0)</f>
        <v>0</v>
      </c>
      <c r="V827" s="100">
        <f>IF(AND(SamplingData[[#This Row],[Total]]&lt;&gt; 0, NOT(ISBLANK(SamplingData[[#This Row],[Candidate 7]]))),(SamplingData[[#This Row],[Total]]+SamplingData[[#This Row],[Winning Candidate]]-SamplingData[[#This Row],[Candidate 7]])/(SamplingData[[#Totals],[Winning Candidate]]-SamplingData[[#Totals],[Candidate 7]]), 0)</f>
        <v>0</v>
      </c>
      <c r="W827" s="100">
        <f>IF(AND(SamplingData[[#This Row],[Total]]&lt;&gt; 0, NOT(ISBLANK(SamplingData[[#This Row],[Candidate 8]]))),(SamplingData[[#This Row],[Total]]+SamplingData[[#This Row],[Winning Candidate]]-SamplingData[[#This Row],[Candidate 8]])/(SamplingData[[#Totals],[Winning Candidate]]-SamplingData[[#Totals],[Candidate 8]]), 0)</f>
        <v>0</v>
      </c>
      <c r="X8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00">
        <f>MAX(SamplingData[[#This Row],[Error Bound (up) - Max. possible relative overstatement - Losing Candidate]:[Error Bound (up) - Max. possible relative overstatement - Candidate 12]])</f>
        <v>5.8736690014762694E-3</v>
      </c>
      <c r="AC827" s="100">
        <f>IF(SamplingData[[#This Row],[Max Error Bound (up)]] = 0,0,SamplingData[[#This Row],[Max Error Bound (up)]]/SamplingData[[#Totals],[Max Error Bound (up)]])</f>
        <v>2.5170947073709154E-3</v>
      </c>
      <c r="AD827" s="104">
        <f>SUM($AC$5:AC827)</f>
        <v>0.36549022774995998</v>
      </c>
      <c r="AE827" s="100" t="str" cm="1">
        <f t="array" ref="AE827">IF(SamplingData[[#This Row],[up/U Selection Probability]] = 0, "Zero", TEXT(SamplingData[[#This Row],[Lower Range]], REPT("0",LEN('General Info'!$B$42))) &amp; " - " &amp; TEXT(SamplingData[[#This Row],[Upper Range]], REPT("0",LEN('General Info'!$B$42))))</f>
        <v>36297 - 36548</v>
      </c>
      <c r="AF827" s="100">
        <f>SamplingData[[#This Row],[Upper Range]]-SamplingData[[#This Row],[Span]]</f>
        <v>36297.313304258903</v>
      </c>
      <c r="AG827" s="100">
        <f>IF(ISNUMBER('General Info'!$B$42), ((SamplingData[[#This Row],[up/U Selection Probability]]) * 'General Info'!$B$44) - 1, 0)</f>
        <v>250.70947073709155</v>
      </c>
      <c r="AH827" s="100">
        <f>IF(ISNUMBER('General Info'!$B$42), (SamplingData[[#This Row],[Running (cumulative) sum]] * ('General Info'!$B$42 -'General Info'!$B$43 + 1)) + 'General Info'!$B$43 - 1, 0)</f>
        <v>36548.022774995996</v>
      </c>
      <c r="AI827" s="100" t="str">
        <f>IF(ISERROR(MATCH(SamplingData[[#This Row],[Batch by Type (p)]],SelectedPrecincts[Batch Name], 0)), "", INDEX(SelectedPrecincts[Draw], MATCH(SamplingData[[#This Row],[Batch by Type (p)]],SelectedPrecincts[Batch Name], 0)))</f>
        <v/>
      </c>
      <c r="AJ827" s="101">
        <f>IF(COUNTIF(SelectedPrecincts[Batch Name],SamplingData[[#This Row],[Batch by Type (p)]]) &lt;&gt; 0, COUNTIF(SelectedPrecincts[Batch Name],SamplingData[[#This Row],[Batch by Type (p)]]), 0)</f>
        <v>0</v>
      </c>
    </row>
    <row r="828" spans="1:36" ht="15" customHeight="1" x14ac:dyDescent="0.35">
      <c r="A828" s="98" t="s">
        <v>1039</v>
      </c>
      <c r="B828" s="98">
        <v>46</v>
      </c>
      <c r="C828" s="98">
        <v>5</v>
      </c>
      <c r="D828" s="93"/>
      <c r="E828" s="93"/>
      <c r="F828" s="93"/>
      <c r="G828" s="97"/>
      <c r="H828" s="97"/>
      <c r="I828" s="93"/>
      <c r="J828" s="93"/>
      <c r="K828" s="93"/>
      <c r="L828" s="93"/>
      <c r="M828" s="93"/>
      <c r="N828" s="98">
        <v>0</v>
      </c>
      <c r="O828" s="98">
        <v>5</v>
      </c>
      <c r="P828" s="99">
        <f>SUM(SamplingData[[#This Row],[Winning Candidate]:[Under Votes]])</f>
        <v>56</v>
      </c>
      <c r="Q828" s="100">
        <f>IF(AND(SamplingData[[#This Row],[Total]]&lt;&gt; 0, NOT(ISBLANK(SamplingData[[#This Row],[Losing Candidate]]))),(SamplingData[[#This Row],[Total]]+SamplingData[[#This Row],[Winning Candidate]]-SamplingData[[#This Row],[Losing Candidate]])/(SamplingData[[#Totals],[Winning Candidate]]-SamplingData[[#Totals],[Losing Candidate]]), 0)</f>
        <v>3.0467694820491878E-3</v>
      </c>
      <c r="R828" s="100">
        <f>IF(AND(SamplingData[[#This Row],[Total]]&lt;&gt; 0, NOT(ISBLANK(SamplingData[[#This Row],[Candidate 3]]))),(SamplingData[[#This Row],[Total]]+SamplingData[[#This Row],[Winning Candidate]]-SamplingData[[#This Row],[Candidate 3]])/(SamplingData[[#Totals],[Winning Candidate]]-SamplingData[[#Totals],[Candidate 3]]), 0)</f>
        <v>0</v>
      </c>
      <c r="S828" s="100">
        <f>IF(AND(SamplingData[[#This Row],[Total]]&lt;&gt; 0, NOT(ISBLANK(SamplingData[[#This Row],[Candidate 4]]))),(SamplingData[[#This Row],[Total]]+SamplingData[[#This Row],[Winning Candidate]]-SamplingData[[#This Row],[Candidate 4]])/(SamplingData[[#Totals],[Winning Candidate]]-SamplingData[[#Totals],[Candidate 4]]), 0)</f>
        <v>0</v>
      </c>
      <c r="T828" s="100">
        <f>IF(AND(SamplingData[[#This Row],[Total]]&lt;&gt; 0, NOT(ISBLANK(SamplingData[[#This Row],[Candidate 5]]))),(SamplingData[[#This Row],[Total]]+SamplingData[[#This Row],[Winning Candidate]]-SamplingData[[#This Row],[Candidate 5]])/(SamplingData[[#Totals],[Winning Candidate]]-SamplingData[[#Totals],[Candidate 5]]), 0)</f>
        <v>0</v>
      </c>
      <c r="U828" s="100">
        <f>IF(AND(SamplingData[[#This Row],[Total]]&lt;&gt; 0, NOT(ISBLANK(SamplingData[[#This Row],[Candidate 6]]))),(SamplingData[[#This Row],[Total]]+SamplingData[[#This Row],[Losing Candidate]]-SamplingData[[#This Row],[Candidate 6]])/(SamplingData[[#Totals],[Winning Candidate]]-SamplingData[[#Totals],[Candidate 6]]), 0)</f>
        <v>0</v>
      </c>
      <c r="V828" s="100">
        <f>IF(AND(SamplingData[[#This Row],[Total]]&lt;&gt; 0, NOT(ISBLANK(SamplingData[[#This Row],[Candidate 7]]))),(SamplingData[[#This Row],[Total]]+SamplingData[[#This Row],[Winning Candidate]]-SamplingData[[#This Row],[Candidate 7]])/(SamplingData[[#Totals],[Winning Candidate]]-SamplingData[[#Totals],[Candidate 7]]), 0)</f>
        <v>0</v>
      </c>
      <c r="W828" s="100">
        <f>IF(AND(SamplingData[[#This Row],[Total]]&lt;&gt; 0, NOT(ISBLANK(SamplingData[[#This Row],[Candidate 8]]))),(SamplingData[[#This Row],[Total]]+SamplingData[[#This Row],[Winning Candidate]]-SamplingData[[#This Row],[Candidate 8]])/(SamplingData[[#Totals],[Winning Candidate]]-SamplingData[[#Totals],[Candidate 8]]), 0)</f>
        <v>0</v>
      </c>
      <c r="X8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00">
        <f>MAX(SamplingData[[#This Row],[Error Bound (up) - Max. possible relative overstatement - Losing Candidate]:[Error Bound (up) - Max. possible relative overstatement - Candidate 12]])</f>
        <v>3.0467694820491878E-3</v>
      </c>
      <c r="AC828" s="100">
        <f>IF(SamplingData[[#This Row],[Max Error Bound (up)]] = 0,0,SamplingData[[#This Row],[Max Error Bound (up)]]/SamplingData[[#Totals],[Max Error Bound (up)]])</f>
        <v>1.3056587519517584E-3</v>
      </c>
      <c r="AD828" s="104">
        <f>SUM($AC$5:AC828)</f>
        <v>0.36679588650191175</v>
      </c>
      <c r="AE828" s="100" t="str" cm="1">
        <f t="array" ref="AE828">IF(SamplingData[[#This Row],[up/U Selection Probability]] = 0, "Zero", TEXT(SamplingData[[#This Row],[Lower Range]], REPT("0",LEN('General Info'!$B$42))) &amp; " - " &amp; TEXT(SamplingData[[#This Row],[Upper Range]], REPT("0",LEN('General Info'!$B$42))))</f>
        <v>36549 - 36679</v>
      </c>
      <c r="AF828" s="100">
        <f>SamplingData[[#This Row],[Upper Range]]-SamplingData[[#This Row],[Span]]</f>
        <v>36549.022774995996</v>
      </c>
      <c r="AG828" s="100">
        <f>IF(ISNUMBER('General Info'!$B$42), ((SamplingData[[#This Row],[up/U Selection Probability]]) * 'General Info'!$B$44) - 1, 0)</f>
        <v>129.56587519517583</v>
      </c>
      <c r="AH828" s="100">
        <f>IF(ISNUMBER('General Info'!$B$42), (SamplingData[[#This Row],[Running (cumulative) sum]] * ('General Info'!$B$42 -'General Info'!$B$43 + 1)) + 'General Info'!$B$43 - 1, 0)</f>
        <v>36678.588650191174</v>
      </c>
      <c r="AI828" s="100" t="str">
        <f>IF(ISERROR(MATCH(SamplingData[[#This Row],[Batch by Type (p)]],SelectedPrecincts[Batch Name], 0)), "", INDEX(SelectedPrecincts[Draw], MATCH(SamplingData[[#This Row],[Batch by Type (p)]],SelectedPrecincts[Batch Name], 0)))</f>
        <v/>
      </c>
      <c r="AJ828" s="101">
        <f>IF(COUNTIF(SelectedPrecincts[Batch Name],SamplingData[[#This Row],[Batch by Type (p)]]) &lt;&gt; 0, COUNTIF(SelectedPrecincts[Batch Name],SamplingData[[#This Row],[Batch by Type (p)]]), 0)</f>
        <v>0</v>
      </c>
    </row>
    <row r="829" spans="1:36" ht="15" customHeight="1" x14ac:dyDescent="0.35">
      <c r="A829" s="98" t="s">
        <v>1040</v>
      </c>
      <c r="B829" s="98">
        <v>77</v>
      </c>
      <c r="C829" s="98">
        <v>8</v>
      </c>
      <c r="D829" s="93"/>
      <c r="E829" s="93"/>
      <c r="F829" s="93"/>
      <c r="G829" s="97"/>
      <c r="H829" s="97"/>
      <c r="I829" s="93"/>
      <c r="J829" s="93"/>
      <c r="K829" s="93"/>
      <c r="L829" s="93"/>
      <c r="M829" s="93"/>
      <c r="N829" s="98">
        <v>0</v>
      </c>
      <c r="O829" s="98">
        <v>2</v>
      </c>
      <c r="P829" s="99">
        <f>SUM(SamplingData[[#This Row],[Winning Candidate]:[Under Votes]])</f>
        <v>87</v>
      </c>
      <c r="Q829" s="100">
        <f>IF(AND(SamplingData[[#This Row],[Total]]&lt;&gt; 0, NOT(ISBLANK(SamplingData[[#This Row],[Losing Candidate]]))),(SamplingData[[#This Row],[Total]]+SamplingData[[#This Row],[Winning Candidate]]-SamplingData[[#This Row],[Losing Candidate]])/(SamplingData[[#Totals],[Winning Candidate]]-SamplingData[[#Totals],[Losing Candidate]]), 0)</f>
        <v>4.8999591670069419E-3</v>
      </c>
      <c r="R829" s="100">
        <f>IF(AND(SamplingData[[#This Row],[Total]]&lt;&gt; 0, NOT(ISBLANK(SamplingData[[#This Row],[Candidate 3]]))),(SamplingData[[#This Row],[Total]]+SamplingData[[#This Row],[Winning Candidate]]-SamplingData[[#This Row],[Candidate 3]])/(SamplingData[[#Totals],[Winning Candidate]]-SamplingData[[#Totals],[Candidate 3]]), 0)</f>
        <v>0</v>
      </c>
      <c r="S829" s="100">
        <f>IF(AND(SamplingData[[#This Row],[Total]]&lt;&gt; 0, NOT(ISBLANK(SamplingData[[#This Row],[Candidate 4]]))),(SamplingData[[#This Row],[Total]]+SamplingData[[#This Row],[Winning Candidate]]-SamplingData[[#This Row],[Candidate 4]])/(SamplingData[[#Totals],[Winning Candidate]]-SamplingData[[#Totals],[Candidate 4]]), 0)</f>
        <v>0</v>
      </c>
      <c r="T829" s="100">
        <f>IF(AND(SamplingData[[#This Row],[Total]]&lt;&gt; 0, NOT(ISBLANK(SamplingData[[#This Row],[Candidate 5]]))),(SamplingData[[#This Row],[Total]]+SamplingData[[#This Row],[Winning Candidate]]-SamplingData[[#This Row],[Candidate 5]])/(SamplingData[[#Totals],[Winning Candidate]]-SamplingData[[#Totals],[Candidate 5]]), 0)</f>
        <v>0</v>
      </c>
      <c r="U829" s="100">
        <f>IF(AND(SamplingData[[#This Row],[Total]]&lt;&gt; 0, NOT(ISBLANK(SamplingData[[#This Row],[Candidate 6]]))),(SamplingData[[#This Row],[Total]]+SamplingData[[#This Row],[Losing Candidate]]-SamplingData[[#This Row],[Candidate 6]])/(SamplingData[[#Totals],[Winning Candidate]]-SamplingData[[#Totals],[Candidate 6]]), 0)</f>
        <v>0</v>
      </c>
      <c r="V829" s="100">
        <f>IF(AND(SamplingData[[#This Row],[Total]]&lt;&gt; 0, NOT(ISBLANK(SamplingData[[#This Row],[Candidate 7]]))),(SamplingData[[#This Row],[Total]]+SamplingData[[#This Row],[Winning Candidate]]-SamplingData[[#This Row],[Candidate 7]])/(SamplingData[[#Totals],[Winning Candidate]]-SamplingData[[#Totals],[Candidate 7]]), 0)</f>
        <v>0</v>
      </c>
      <c r="W829" s="100">
        <f>IF(AND(SamplingData[[#This Row],[Total]]&lt;&gt; 0, NOT(ISBLANK(SamplingData[[#This Row],[Candidate 8]]))),(SamplingData[[#This Row],[Total]]+SamplingData[[#This Row],[Winning Candidate]]-SamplingData[[#This Row],[Candidate 8]])/(SamplingData[[#Totals],[Winning Candidate]]-SamplingData[[#Totals],[Candidate 8]]), 0)</f>
        <v>0</v>
      </c>
      <c r="X8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00">
        <f>MAX(SamplingData[[#This Row],[Error Bound (up) - Max. possible relative overstatement - Losing Candidate]:[Error Bound (up) - Max. possible relative overstatement - Candidate 12]])</f>
        <v>4.8999591670069419E-3</v>
      </c>
      <c r="AC829" s="100">
        <f>IF(SamplingData[[#This Row],[Max Error Bound (up)]] = 0,0,SamplingData[[#This Row],[Max Error Bound (up)]]/SamplingData[[#Totals],[Max Error Bound (up)]])</f>
        <v>2.0998223227265394E-3</v>
      </c>
      <c r="AD829" s="104">
        <f>SUM($AC$5:AC829)</f>
        <v>0.36889570882463829</v>
      </c>
      <c r="AE829" s="100" t="str" cm="1">
        <f t="array" ref="AE829">IF(SamplingData[[#This Row],[up/U Selection Probability]] = 0, "Zero", TEXT(SamplingData[[#This Row],[Lower Range]], REPT("0",LEN('General Info'!$B$42))) &amp; " - " &amp; TEXT(SamplingData[[#This Row],[Upper Range]], REPT("0",LEN('General Info'!$B$42))))</f>
        <v>36680 - 36889</v>
      </c>
      <c r="AF829" s="100">
        <f>SamplingData[[#This Row],[Upper Range]]-SamplingData[[#This Row],[Span]]</f>
        <v>36679.588650191174</v>
      </c>
      <c r="AG829" s="100">
        <f>IF(ISNUMBER('General Info'!$B$42), ((SamplingData[[#This Row],[up/U Selection Probability]]) * 'General Info'!$B$44) - 1, 0)</f>
        <v>208.98223227265393</v>
      </c>
      <c r="AH829" s="100">
        <f>IF(ISNUMBER('General Info'!$B$42), (SamplingData[[#This Row],[Running (cumulative) sum]] * ('General Info'!$B$42 -'General Info'!$B$43 + 1)) + 'General Info'!$B$43 - 1, 0)</f>
        <v>36888.570882463828</v>
      </c>
      <c r="AI829" s="100" t="str">
        <f>IF(ISERROR(MATCH(SamplingData[[#This Row],[Batch by Type (p)]],SelectedPrecincts[Batch Name], 0)), "", INDEX(SelectedPrecincts[Draw], MATCH(SamplingData[[#This Row],[Batch by Type (p)]],SelectedPrecincts[Batch Name], 0)))</f>
        <v/>
      </c>
      <c r="AJ829" s="101">
        <f>IF(COUNTIF(SelectedPrecincts[Batch Name],SamplingData[[#This Row],[Batch by Type (p)]]) &lt;&gt; 0, COUNTIF(SelectedPrecincts[Batch Name],SamplingData[[#This Row],[Batch by Type (p)]]), 0)</f>
        <v>0</v>
      </c>
    </row>
    <row r="830" spans="1:36" ht="15" customHeight="1" x14ac:dyDescent="0.35">
      <c r="A830" s="98" t="s">
        <v>1041</v>
      </c>
      <c r="B830" s="98">
        <v>48</v>
      </c>
      <c r="C830" s="98">
        <v>11</v>
      </c>
      <c r="D830" s="93"/>
      <c r="E830" s="93"/>
      <c r="F830" s="93"/>
      <c r="G830" s="97"/>
      <c r="H830" s="97"/>
      <c r="I830" s="93"/>
      <c r="J830" s="93"/>
      <c r="K830" s="93"/>
      <c r="L830" s="93"/>
      <c r="M830" s="93"/>
      <c r="N830" s="98">
        <v>2</v>
      </c>
      <c r="O830" s="98">
        <v>5</v>
      </c>
      <c r="P830" s="99">
        <f>SUM(SamplingData[[#This Row],[Winning Candidate]:[Under Votes]])</f>
        <v>66</v>
      </c>
      <c r="Q830" s="100">
        <f>IF(AND(SamplingData[[#This Row],[Total]]&lt;&gt; 0, NOT(ISBLANK(SamplingData[[#This Row],[Losing Candidate]]))),(SamplingData[[#This Row],[Total]]+SamplingData[[#This Row],[Winning Candidate]]-SamplingData[[#This Row],[Losing Candidate]])/(SamplingData[[#Totals],[Winning Candidate]]-SamplingData[[#Totals],[Losing Candidate]]), 0)</f>
        <v>3.2352294500109934E-3</v>
      </c>
      <c r="R830" s="100">
        <f>IF(AND(SamplingData[[#This Row],[Total]]&lt;&gt; 0, NOT(ISBLANK(SamplingData[[#This Row],[Candidate 3]]))),(SamplingData[[#This Row],[Total]]+SamplingData[[#This Row],[Winning Candidate]]-SamplingData[[#This Row],[Candidate 3]])/(SamplingData[[#Totals],[Winning Candidate]]-SamplingData[[#Totals],[Candidate 3]]), 0)</f>
        <v>0</v>
      </c>
      <c r="S830" s="100">
        <f>IF(AND(SamplingData[[#This Row],[Total]]&lt;&gt; 0, NOT(ISBLANK(SamplingData[[#This Row],[Candidate 4]]))),(SamplingData[[#This Row],[Total]]+SamplingData[[#This Row],[Winning Candidate]]-SamplingData[[#This Row],[Candidate 4]])/(SamplingData[[#Totals],[Winning Candidate]]-SamplingData[[#Totals],[Candidate 4]]), 0)</f>
        <v>0</v>
      </c>
      <c r="T830" s="100">
        <f>IF(AND(SamplingData[[#This Row],[Total]]&lt;&gt; 0, NOT(ISBLANK(SamplingData[[#This Row],[Candidate 5]]))),(SamplingData[[#This Row],[Total]]+SamplingData[[#This Row],[Winning Candidate]]-SamplingData[[#This Row],[Candidate 5]])/(SamplingData[[#Totals],[Winning Candidate]]-SamplingData[[#Totals],[Candidate 5]]), 0)</f>
        <v>0</v>
      </c>
      <c r="U830" s="100">
        <f>IF(AND(SamplingData[[#This Row],[Total]]&lt;&gt; 0, NOT(ISBLANK(SamplingData[[#This Row],[Candidate 6]]))),(SamplingData[[#This Row],[Total]]+SamplingData[[#This Row],[Losing Candidate]]-SamplingData[[#This Row],[Candidate 6]])/(SamplingData[[#Totals],[Winning Candidate]]-SamplingData[[#Totals],[Candidate 6]]), 0)</f>
        <v>0</v>
      </c>
      <c r="V830" s="100">
        <f>IF(AND(SamplingData[[#This Row],[Total]]&lt;&gt; 0, NOT(ISBLANK(SamplingData[[#This Row],[Candidate 7]]))),(SamplingData[[#This Row],[Total]]+SamplingData[[#This Row],[Winning Candidate]]-SamplingData[[#This Row],[Candidate 7]])/(SamplingData[[#Totals],[Winning Candidate]]-SamplingData[[#Totals],[Candidate 7]]), 0)</f>
        <v>0</v>
      </c>
      <c r="W830" s="100">
        <f>IF(AND(SamplingData[[#This Row],[Total]]&lt;&gt; 0, NOT(ISBLANK(SamplingData[[#This Row],[Candidate 8]]))),(SamplingData[[#This Row],[Total]]+SamplingData[[#This Row],[Winning Candidate]]-SamplingData[[#This Row],[Candidate 8]])/(SamplingData[[#Totals],[Winning Candidate]]-SamplingData[[#Totals],[Candidate 8]]), 0)</f>
        <v>0</v>
      </c>
      <c r="X8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00">
        <f>MAX(SamplingData[[#This Row],[Error Bound (up) - Max. possible relative overstatement - Losing Candidate]:[Error Bound (up) - Max. possible relative overstatement - Candidate 12]])</f>
        <v>3.2352294500109934E-3</v>
      </c>
      <c r="AC830" s="100">
        <f>IF(SamplingData[[#This Row],[Max Error Bound (up)]] = 0,0,SamplingData[[#This Row],[Max Error Bound (up)]]/SamplingData[[#Totals],[Max Error Bound (up)]])</f>
        <v>1.3864211489797022E-3</v>
      </c>
      <c r="AD830" s="104">
        <f>SUM($AC$5:AC830)</f>
        <v>0.37028212997361798</v>
      </c>
      <c r="AE830" s="100" t="str" cm="1">
        <f t="array" ref="AE830">IF(SamplingData[[#This Row],[up/U Selection Probability]] = 0, "Zero", TEXT(SamplingData[[#This Row],[Lower Range]], REPT("0",LEN('General Info'!$B$42))) &amp; " - " &amp; TEXT(SamplingData[[#This Row],[Upper Range]], REPT("0",LEN('General Info'!$B$42))))</f>
        <v>36890 - 37027</v>
      </c>
      <c r="AF830" s="100">
        <f>SamplingData[[#This Row],[Upper Range]]-SamplingData[[#This Row],[Span]]</f>
        <v>36889.570882463828</v>
      </c>
      <c r="AG830" s="100">
        <f>IF(ISNUMBER('General Info'!$B$42), ((SamplingData[[#This Row],[up/U Selection Probability]]) * 'General Info'!$B$44) - 1, 0)</f>
        <v>137.6421148979702</v>
      </c>
      <c r="AH830" s="100">
        <f>IF(ISNUMBER('General Info'!$B$42), (SamplingData[[#This Row],[Running (cumulative) sum]] * ('General Info'!$B$42 -'General Info'!$B$43 + 1)) + 'General Info'!$B$43 - 1, 0)</f>
        <v>37027.212997361799</v>
      </c>
      <c r="AI830" s="100" t="str">
        <f>IF(ISERROR(MATCH(SamplingData[[#This Row],[Batch by Type (p)]],SelectedPrecincts[Batch Name], 0)), "", INDEX(SelectedPrecincts[Draw], MATCH(SamplingData[[#This Row],[Batch by Type (p)]],SelectedPrecincts[Batch Name], 0)))</f>
        <v/>
      </c>
      <c r="AJ830" s="101">
        <f>IF(COUNTIF(SelectedPrecincts[Batch Name],SamplingData[[#This Row],[Batch by Type (p)]]) &lt;&gt; 0, COUNTIF(SelectedPrecincts[Batch Name],SamplingData[[#This Row],[Batch by Type (p)]]), 0)</f>
        <v>0</v>
      </c>
    </row>
    <row r="831" spans="1:36" ht="15" customHeight="1" x14ac:dyDescent="0.35">
      <c r="A831" s="98" t="s">
        <v>1042</v>
      </c>
      <c r="B831" s="98">
        <v>25</v>
      </c>
      <c r="C831" s="98">
        <v>6</v>
      </c>
      <c r="D831" s="93"/>
      <c r="E831" s="93"/>
      <c r="F831" s="93"/>
      <c r="G831" s="97"/>
      <c r="H831" s="97"/>
      <c r="I831" s="93"/>
      <c r="J831" s="93"/>
      <c r="K831" s="93"/>
      <c r="L831" s="93"/>
      <c r="M831" s="93"/>
      <c r="N831" s="98">
        <v>0</v>
      </c>
      <c r="O831" s="98">
        <v>3</v>
      </c>
      <c r="P831" s="99">
        <f>SUM(SamplingData[[#This Row],[Winning Candidate]:[Under Votes]])</f>
        <v>34</v>
      </c>
      <c r="Q831" s="100">
        <f>IF(AND(SamplingData[[#This Row],[Total]]&lt;&gt; 0, NOT(ISBLANK(SamplingData[[#This Row],[Losing Candidate]]))),(SamplingData[[#This Row],[Total]]+SamplingData[[#This Row],[Winning Candidate]]-SamplingData[[#This Row],[Losing Candidate]])/(SamplingData[[#Totals],[Winning Candidate]]-SamplingData[[#Totals],[Losing Candidate]]), 0)</f>
        <v>1.6647297169959481E-3</v>
      </c>
      <c r="R831" s="100">
        <f>IF(AND(SamplingData[[#This Row],[Total]]&lt;&gt; 0, NOT(ISBLANK(SamplingData[[#This Row],[Candidate 3]]))),(SamplingData[[#This Row],[Total]]+SamplingData[[#This Row],[Winning Candidate]]-SamplingData[[#This Row],[Candidate 3]])/(SamplingData[[#Totals],[Winning Candidate]]-SamplingData[[#Totals],[Candidate 3]]), 0)</f>
        <v>0</v>
      </c>
      <c r="S831" s="100">
        <f>IF(AND(SamplingData[[#This Row],[Total]]&lt;&gt; 0, NOT(ISBLANK(SamplingData[[#This Row],[Candidate 4]]))),(SamplingData[[#This Row],[Total]]+SamplingData[[#This Row],[Winning Candidate]]-SamplingData[[#This Row],[Candidate 4]])/(SamplingData[[#Totals],[Winning Candidate]]-SamplingData[[#Totals],[Candidate 4]]), 0)</f>
        <v>0</v>
      </c>
      <c r="T831" s="100">
        <f>IF(AND(SamplingData[[#This Row],[Total]]&lt;&gt; 0, NOT(ISBLANK(SamplingData[[#This Row],[Candidate 5]]))),(SamplingData[[#This Row],[Total]]+SamplingData[[#This Row],[Winning Candidate]]-SamplingData[[#This Row],[Candidate 5]])/(SamplingData[[#Totals],[Winning Candidate]]-SamplingData[[#Totals],[Candidate 5]]), 0)</f>
        <v>0</v>
      </c>
      <c r="U831" s="100">
        <f>IF(AND(SamplingData[[#This Row],[Total]]&lt;&gt; 0, NOT(ISBLANK(SamplingData[[#This Row],[Candidate 6]]))),(SamplingData[[#This Row],[Total]]+SamplingData[[#This Row],[Losing Candidate]]-SamplingData[[#This Row],[Candidate 6]])/(SamplingData[[#Totals],[Winning Candidate]]-SamplingData[[#Totals],[Candidate 6]]), 0)</f>
        <v>0</v>
      </c>
      <c r="V831" s="100">
        <f>IF(AND(SamplingData[[#This Row],[Total]]&lt;&gt; 0, NOT(ISBLANK(SamplingData[[#This Row],[Candidate 7]]))),(SamplingData[[#This Row],[Total]]+SamplingData[[#This Row],[Winning Candidate]]-SamplingData[[#This Row],[Candidate 7]])/(SamplingData[[#Totals],[Winning Candidate]]-SamplingData[[#Totals],[Candidate 7]]), 0)</f>
        <v>0</v>
      </c>
      <c r="W831" s="100">
        <f>IF(AND(SamplingData[[#This Row],[Total]]&lt;&gt; 0, NOT(ISBLANK(SamplingData[[#This Row],[Candidate 8]]))),(SamplingData[[#This Row],[Total]]+SamplingData[[#This Row],[Winning Candidate]]-SamplingData[[#This Row],[Candidate 8]])/(SamplingData[[#Totals],[Winning Candidate]]-SamplingData[[#Totals],[Candidate 8]]), 0)</f>
        <v>0</v>
      </c>
      <c r="X8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00">
        <f>MAX(SamplingData[[#This Row],[Error Bound (up) - Max. possible relative overstatement - Losing Candidate]:[Error Bound (up) - Max. possible relative overstatement - Candidate 12]])</f>
        <v>1.6647297169959481E-3</v>
      </c>
      <c r="AC831" s="100">
        <f>IF(SamplingData[[#This Row],[Max Error Bound (up)]] = 0,0,SamplingData[[#This Row],[Max Error Bound (up)]]/SamplingData[[#Totals],[Max Error Bound (up)]])</f>
        <v>7.1340117374683702E-4</v>
      </c>
      <c r="AD831" s="104">
        <f>SUM($AC$5:AC831)</f>
        <v>0.37099553114736483</v>
      </c>
      <c r="AE831" s="100" t="str" cm="1">
        <f t="array" ref="AE831">IF(SamplingData[[#This Row],[up/U Selection Probability]] = 0, "Zero", TEXT(SamplingData[[#This Row],[Lower Range]], REPT("0",LEN('General Info'!$B$42))) &amp; " - " &amp; TEXT(SamplingData[[#This Row],[Upper Range]], REPT("0",LEN('General Info'!$B$42))))</f>
        <v>37028 - 37099</v>
      </c>
      <c r="AF831" s="100">
        <f>SamplingData[[#This Row],[Upper Range]]-SamplingData[[#This Row],[Span]]</f>
        <v>37028.212997361799</v>
      </c>
      <c r="AG831" s="100">
        <f>IF(ISNUMBER('General Info'!$B$42), ((SamplingData[[#This Row],[up/U Selection Probability]]) * 'General Info'!$B$44) - 1, 0)</f>
        <v>70.3401173746837</v>
      </c>
      <c r="AH831" s="100">
        <f>IF(ISNUMBER('General Info'!$B$42), (SamplingData[[#This Row],[Running (cumulative) sum]] * ('General Info'!$B$42 -'General Info'!$B$43 + 1)) + 'General Info'!$B$43 - 1, 0)</f>
        <v>37098.553114736482</v>
      </c>
      <c r="AI831" s="100" t="str">
        <f>IF(ISERROR(MATCH(SamplingData[[#This Row],[Batch by Type (p)]],SelectedPrecincts[Batch Name], 0)), "", INDEX(SelectedPrecincts[Draw], MATCH(SamplingData[[#This Row],[Batch by Type (p)]],SelectedPrecincts[Batch Name], 0)))</f>
        <v/>
      </c>
      <c r="AJ831" s="101">
        <f>IF(COUNTIF(SelectedPrecincts[Batch Name],SamplingData[[#This Row],[Batch by Type (p)]]) &lt;&gt; 0, COUNTIF(SelectedPrecincts[Batch Name],SamplingData[[#This Row],[Batch by Type (p)]]), 0)</f>
        <v>0</v>
      </c>
    </row>
    <row r="832" spans="1:36" ht="15" customHeight="1" x14ac:dyDescent="0.35">
      <c r="A832" s="98" t="s">
        <v>1043</v>
      </c>
      <c r="B832" s="98">
        <v>19</v>
      </c>
      <c r="C832" s="98">
        <v>4</v>
      </c>
      <c r="D832" s="93"/>
      <c r="E832" s="93"/>
      <c r="F832" s="93"/>
      <c r="G832" s="97"/>
      <c r="H832" s="97"/>
      <c r="I832" s="93"/>
      <c r="J832" s="93"/>
      <c r="K832" s="93"/>
      <c r="L832" s="93"/>
      <c r="M832" s="93"/>
      <c r="N832" s="98">
        <v>0</v>
      </c>
      <c r="O832" s="98">
        <v>0</v>
      </c>
      <c r="P832" s="99">
        <f>SUM(SamplingData[[#This Row],[Winning Candidate]:[Under Votes]])</f>
        <v>23</v>
      </c>
      <c r="Q832"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832" s="100">
        <f>IF(AND(SamplingData[[#This Row],[Total]]&lt;&gt; 0, NOT(ISBLANK(SamplingData[[#This Row],[Candidate 3]]))),(SamplingData[[#This Row],[Total]]+SamplingData[[#This Row],[Winning Candidate]]-SamplingData[[#This Row],[Candidate 3]])/(SamplingData[[#Totals],[Winning Candidate]]-SamplingData[[#Totals],[Candidate 3]]), 0)</f>
        <v>0</v>
      </c>
      <c r="S832" s="100">
        <f>IF(AND(SamplingData[[#This Row],[Total]]&lt;&gt; 0, NOT(ISBLANK(SamplingData[[#This Row],[Candidate 4]]))),(SamplingData[[#This Row],[Total]]+SamplingData[[#This Row],[Winning Candidate]]-SamplingData[[#This Row],[Candidate 4]])/(SamplingData[[#Totals],[Winning Candidate]]-SamplingData[[#Totals],[Candidate 4]]), 0)</f>
        <v>0</v>
      </c>
      <c r="T832" s="100">
        <f>IF(AND(SamplingData[[#This Row],[Total]]&lt;&gt; 0, NOT(ISBLANK(SamplingData[[#This Row],[Candidate 5]]))),(SamplingData[[#This Row],[Total]]+SamplingData[[#This Row],[Winning Candidate]]-SamplingData[[#This Row],[Candidate 5]])/(SamplingData[[#Totals],[Winning Candidate]]-SamplingData[[#Totals],[Candidate 5]]), 0)</f>
        <v>0</v>
      </c>
      <c r="U832" s="100">
        <f>IF(AND(SamplingData[[#This Row],[Total]]&lt;&gt; 0, NOT(ISBLANK(SamplingData[[#This Row],[Candidate 6]]))),(SamplingData[[#This Row],[Total]]+SamplingData[[#This Row],[Losing Candidate]]-SamplingData[[#This Row],[Candidate 6]])/(SamplingData[[#Totals],[Winning Candidate]]-SamplingData[[#Totals],[Candidate 6]]), 0)</f>
        <v>0</v>
      </c>
      <c r="V832" s="100">
        <f>IF(AND(SamplingData[[#This Row],[Total]]&lt;&gt; 0, NOT(ISBLANK(SamplingData[[#This Row],[Candidate 7]]))),(SamplingData[[#This Row],[Total]]+SamplingData[[#This Row],[Winning Candidate]]-SamplingData[[#This Row],[Candidate 7]])/(SamplingData[[#Totals],[Winning Candidate]]-SamplingData[[#Totals],[Candidate 7]]), 0)</f>
        <v>0</v>
      </c>
      <c r="W832" s="100">
        <f>IF(AND(SamplingData[[#This Row],[Total]]&lt;&gt; 0, NOT(ISBLANK(SamplingData[[#This Row],[Candidate 8]]))),(SamplingData[[#This Row],[Total]]+SamplingData[[#This Row],[Winning Candidate]]-SamplingData[[#This Row],[Candidate 8]])/(SamplingData[[#Totals],[Winning Candidate]]-SamplingData[[#Totals],[Candidate 8]]), 0)</f>
        <v>0</v>
      </c>
      <c r="X8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00">
        <f>MAX(SamplingData[[#This Row],[Error Bound (up) - Max. possible relative overstatement - Losing Candidate]:[Error Bound (up) - Max. possible relative overstatement - Candidate 12]])</f>
        <v>1.1935797970914345E-3</v>
      </c>
      <c r="AC832" s="100">
        <f>IF(SamplingData[[#This Row],[Max Error Bound (up)]] = 0,0,SamplingData[[#This Row],[Max Error Bound (up)]]/SamplingData[[#Totals],[Max Error Bound (up)]])</f>
        <v>5.1149518117697755E-4</v>
      </c>
      <c r="AD832" s="104">
        <f>SUM($AC$5:AC832)</f>
        <v>0.37150702632854182</v>
      </c>
      <c r="AE832" s="100" t="str" cm="1">
        <f t="array" ref="AE832">IF(SamplingData[[#This Row],[up/U Selection Probability]] = 0, "Zero", TEXT(SamplingData[[#This Row],[Lower Range]], REPT("0",LEN('General Info'!$B$42))) &amp; " - " &amp; TEXT(SamplingData[[#This Row],[Upper Range]], REPT("0",LEN('General Info'!$B$42))))</f>
        <v>37100 - 37150</v>
      </c>
      <c r="AF832" s="100">
        <f>SamplingData[[#This Row],[Upper Range]]-SamplingData[[#This Row],[Span]]</f>
        <v>37099.553114736489</v>
      </c>
      <c r="AG832" s="100">
        <f>IF(ISNUMBER('General Info'!$B$42), ((SamplingData[[#This Row],[up/U Selection Probability]]) * 'General Info'!$B$44) - 1, 0)</f>
        <v>50.149518117697752</v>
      </c>
      <c r="AH832" s="100">
        <f>IF(ISNUMBER('General Info'!$B$42), (SamplingData[[#This Row],[Running (cumulative) sum]] * ('General Info'!$B$42 -'General Info'!$B$43 + 1)) + 'General Info'!$B$43 - 1, 0)</f>
        <v>37149.702632854183</v>
      </c>
      <c r="AI832" s="100" t="str">
        <f>IF(ISERROR(MATCH(SamplingData[[#This Row],[Batch by Type (p)]],SelectedPrecincts[Batch Name], 0)), "", INDEX(SelectedPrecincts[Draw], MATCH(SamplingData[[#This Row],[Batch by Type (p)]],SelectedPrecincts[Batch Name], 0)))</f>
        <v/>
      </c>
      <c r="AJ832" s="101">
        <f>IF(COUNTIF(SelectedPrecincts[Batch Name],SamplingData[[#This Row],[Batch by Type (p)]]) &lt;&gt; 0, COUNTIF(SelectedPrecincts[Batch Name],SamplingData[[#This Row],[Batch by Type (p)]]), 0)</f>
        <v>0</v>
      </c>
    </row>
    <row r="833" spans="1:36" ht="15" customHeight="1" x14ac:dyDescent="0.35">
      <c r="A833" s="98" t="s">
        <v>1044</v>
      </c>
      <c r="B833" s="98">
        <v>41</v>
      </c>
      <c r="C833" s="98">
        <v>6</v>
      </c>
      <c r="D833" s="93"/>
      <c r="E833" s="93"/>
      <c r="F833" s="93"/>
      <c r="G833" s="97"/>
      <c r="H833" s="97"/>
      <c r="I833" s="93"/>
      <c r="J833" s="93"/>
      <c r="K833" s="93"/>
      <c r="L833" s="93"/>
      <c r="M833" s="93"/>
      <c r="N833" s="98">
        <v>0</v>
      </c>
      <c r="O833" s="98">
        <v>2</v>
      </c>
      <c r="P833" s="99">
        <f>SUM(SamplingData[[#This Row],[Winning Candidate]:[Under Votes]])</f>
        <v>49</v>
      </c>
      <c r="Q833" s="100">
        <f>IF(AND(SamplingData[[#This Row],[Total]]&lt;&gt; 0, NOT(ISBLANK(SamplingData[[#This Row],[Losing Candidate]]))),(SamplingData[[#This Row],[Total]]+SamplingData[[#This Row],[Winning Candidate]]-SamplingData[[#This Row],[Losing Candidate]])/(SamplingData[[#Totals],[Winning Candidate]]-SamplingData[[#Totals],[Losing Candidate]]), 0)</f>
        <v>2.6384395514652765E-3</v>
      </c>
      <c r="R833" s="100">
        <f>IF(AND(SamplingData[[#This Row],[Total]]&lt;&gt; 0, NOT(ISBLANK(SamplingData[[#This Row],[Candidate 3]]))),(SamplingData[[#This Row],[Total]]+SamplingData[[#This Row],[Winning Candidate]]-SamplingData[[#This Row],[Candidate 3]])/(SamplingData[[#Totals],[Winning Candidate]]-SamplingData[[#Totals],[Candidate 3]]), 0)</f>
        <v>0</v>
      </c>
      <c r="S833" s="100">
        <f>IF(AND(SamplingData[[#This Row],[Total]]&lt;&gt; 0, NOT(ISBLANK(SamplingData[[#This Row],[Candidate 4]]))),(SamplingData[[#This Row],[Total]]+SamplingData[[#This Row],[Winning Candidate]]-SamplingData[[#This Row],[Candidate 4]])/(SamplingData[[#Totals],[Winning Candidate]]-SamplingData[[#Totals],[Candidate 4]]), 0)</f>
        <v>0</v>
      </c>
      <c r="T833" s="100">
        <f>IF(AND(SamplingData[[#This Row],[Total]]&lt;&gt; 0, NOT(ISBLANK(SamplingData[[#This Row],[Candidate 5]]))),(SamplingData[[#This Row],[Total]]+SamplingData[[#This Row],[Winning Candidate]]-SamplingData[[#This Row],[Candidate 5]])/(SamplingData[[#Totals],[Winning Candidate]]-SamplingData[[#Totals],[Candidate 5]]), 0)</f>
        <v>0</v>
      </c>
      <c r="U833" s="100">
        <f>IF(AND(SamplingData[[#This Row],[Total]]&lt;&gt; 0, NOT(ISBLANK(SamplingData[[#This Row],[Candidate 6]]))),(SamplingData[[#This Row],[Total]]+SamplingData[[#This Row],[Losing Candidate]]-SamplingData[[#This Row],[Candidate 6]])/(SamplingData[[#Totals],[Winning Candidate]]-SamplingData[[#Totals],[Candidate 6]]), 0)</f>
        <v>0</v>
      </c>
      <c r="V833" s="100">
        <f>IF(AND(SamplingData[[#This Row],[Total]]&lt;&gt; 0, NOT(ISBLANK(SamplingData[[#This Row],[Candidate 7]]))),(SamplingData[[#This Row],[Total]]+SamplingData[[#This Row],[Winning Candidate]]-SamplingData[[#This Row],[Candidate 7]])/(SamplingData[[#Totals],[Winning Candidate]]-SamplingData[[#Totals],[Candidate 7]]), 0)</f>
        <v>0</v>
      </c>
      <c r="W833" s="100">
        <f>IF(AND(SamplingData[[#This Row],[Total]]&lt;&gt; 0, NOT(ISBLANK(SamplingData[[#This Row],[Candidate 8]]))),(SamplingData[[#This Row],[Total]]+SamplingData[[#This Row],[Winning Candidate]]-SamplingData[[#This Row],[Candidate 8]])/(SamplingData[[#Totals],[Winning Candidate]]-SamplingData[[#Totals],[Candidate 8]]), 0)</f>
        <v>0</v>
      </c>
      <c r="X8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00">
        <f>MAX(SamplingData[[#This Row],[Error Bound (up) - Max. possible relative overstatement - Losing Candidate]:[Error Bound (up) - Max. possible relative overstatement - Candidate 12]])</f>
        <v>2.6384395514652765E-3</v>
      </c>
      <c r="AC833" s="100">
        <f>IF(SamplingData[[#This Row],[Max Error Bound (up)]] = 0,0,SamplingData[[#This Row],[Max Error Bound (up)]]/SamplingData[[#Totals],[Max Error Bound (up)]])</f>
        <v>1.1306735583912135E-3</v>
      </c>
      <c r="AD833" s="104">
        <f>SUM($AC$5:AC833)</f>
        <v>0.37263769988693302</v>
      </c>
      <c r="AE833" s="100" t="str" cm="1">
        <f t="array" ref="AE833">IF(SamplingData[[#This Row],[up/U Selection Probability]] = 0, "Zero", TEXT(SamplingData[[#This Row],[Lower Range]], REPT("0",LEN('General Info'!$B$42))) &amp; " - " &amp; TEXT(SamplingData[[#This Row],[Upper Range]], REPT("0",LEN('General Info'!$B$42))))</f>
        <v>37151 - 37263</v>
      </c>
      <c r="AF833" s="100">
        <f>SamplingData[[#This Row],[Upper Range]]-SamplingData[[#This Row],[Span]]</f>
        <v>37150.702632854183</v>
      </c>
      <c r="AG833" s="100">
        <f>IF(ISNUMBER('General Info'!$B$42), ((SamplingData[[#This Row],[up/U Selection Probability]]) * 'General Info'!$B$44) - 1, 0)</f>
        <v>112.06735583912135</v>
      </c>
      <c r="AH833" s="100">
        <f>IF(ISNUMBER('General Info'!$B$42), (SamplingData[[#This Row],[Running (cumulative) sum]] * ('General Info'!$B$42 -'General Info'!$B$43 + 1)) + 'General Info'!$B$43 - 1, 0)</f>
        <v>37262.769988693304</v>
      </c>
      <c r="AI833" s="100" t="str">
        <f>IF(ISERROR(MATCH(SamplingData[[#This Row],[Batch by Type (p)]],SelectedPrecincts[Batch Name], 0)), "", INDEX(SelectedPrecincts[Draw], MATCH(SamplingData[[#This Row],[Batch by Type (p)]],SelectedPrecincts[Batch Name], 0)))</f>
        <v/>
      </c>
      <c r="AJ833" s="101">
        <f>IF(COUNTIF(SelectedPrecincts[Batch Name],SamplingData[[#This Row],[Batch by Type (p)]]) &lt;&gt; 0, COUNTIF(SelectedPrecincts[Batch Name],SamplingData[[#This Row],[Batch by Type (p)]]), 0)</f>
        <v>0</v>
      </c>
    </row>
    <row r="834" spans="1:36" ht="15" customHeight="1" x14ac:dyDescent="0.35">
      <c r="A834" s="98" t="s">
        <v>1045</v>
      </c>
      <c r="B834" s="98">
        <v>16</v>
      </c>
      <c r="C834" s="98">
        <v>2</v>
      </c>
      <c r="D834" s="93"/>
      <c r="E834" s="93"/>
      <c r="F834" s="93"/>
      <c r="G834" s="97"/>
      <c r="H834" s="97"/>
      <c r="I834" s="93"/>
      <c r="J834" s="93"/>
      <c r="K834" s="93"/>
      <c r="L834" s="93"/>
      <c r="M834" s="93"/>
      <c r="N834" s="98">
        <v>0</v>
      </c>
      <c r="O834" s="98">
        <v>0</v>
      </c>
      <c r="P834" s="99">
        <f>SUM(SamplingData[[#This Row],[Winning Candidate]:[Under Votes]])</f>
        <v>18</v>
      </c>
      <c r="Q834"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834" s="100">
        <f>IF(AND(SamplingData[[#This Row],[Total]]&lt;&gt; 0, NOT(ISBLANK(SamplingData[[#This Row],[Candidate 3]]))),(SamplingData[[#This Row],[Total]]+SamplingData[[#This Row],[Winning Candidate]]-SamplingData[[#This Row],[Candidate 3]])/(SamplingData[[#Totals],[Winning Candidate]]-SamplingData[[#Totals],[Candidate 3]]), 0)</f>
        <v>0</v>
      </c>
      <c r="S834" s="100">
        <f>IF(AND(SamplingData[[#This Row],[Total]]&lt;&gt; 0, NOT(ISBLANK(SamplingData[[#This Row],[Candidate 4]]))),(SamplingData[[#This Row],[Total]]+SamplingData[[#This Row],[Winning Candidate]]-SamplingData[[#This Row],[Candidate 4]])/(SamplingData[[#Totals],[Winning Candidate]]-SamplingData[[#Totals],[Candidate 4]]), 0)</f>
        <v>0</v>
      </c>
      <c r="T834" s="100">
        <f>IF(AND(SamplingData[[#This Row],[Total]]&lt;&gt; 0, NOT(ISBLANK(SamplingData[[#This Row],[Candidate 5]]))),(SamplingData[[#This Row],[Total]]+SamplingData[[#This Row],[Winning Candidate]]-SamplingData[[#This Row],[Candidate 5]])/(SamplingData[[#Totals],[Winning Candidate]]-SamplingData[[#Totals],[Candidate 5]]), 0)</f>
        <v>0</v>
      </c>
      <c r="U834" s="100">
        <f>IF(AND(SamplingData[[#This Row],[Total]]&lt;&gt; 0, NOT(ISBLANK(SamplingData[[#This Row],[Candidate 6]]))),(SamplingData[[#This Row],[Total]]+SamplingData[[#This Row],[Losing Candidate]]-SamplingData[[#This Row],[Candidate 6]])/(SamplingData[[#Totals],[Winning Candidate]]-SamplingData[[#Totals],[Candidate 6]]), 0)</f>
        <v>0</v>
      </c>
      <c r="V834" s="100">
        <f>IF(AND(SamplingData[[#This Row],[Total]]&lt;&gt; 0, NOT(ISBLANK(SamplingData[[#This Row],[Candidate 7]]))),(SamplingData[[#This Row],[Total]]+SamplingData[[#This Row],[Winning Candidate]]-SamplingData[[#This Row],[Candidate 7]])/(SamplingData[[#Totals],[Winning Candidate]]-SamplingData[[#Totals],[Candidate 7]]), 0)</f>
        <v>0</v>
      </c>
      <c r="W834" s="100">
        <f>IF(AND(SamplingData[[#This Row],[Total]]&lt;&gt; 0, NOT(ISBLANK(SamplingData[[#This Row],[Candidate 8]]))),(SamplingData[[#This Row],[Total]]+SamplingData[[#This Row],[Winning Candidate]]-SamplingData[[#This Row],[Candidate 8]])/(SamplingData[[#Totals],[Winning Candidate]]-SamplingData[[#Totals],[Candidate 8]]), 0)</f>
        <v>0</v>
      </c>
      <c r="X8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00">
        <f>MAX(SamplingData[[#This Row],[Error Bound (up) - Max. possible relative overstatement - Losing Candidate]:[Error Bound (up) - Max. possible relative overstatement - Candidate 12]])</f>
        <v>1.005119829129629E-3</v>
      </c>
      <c r="AC834" s="100">
        <f>IF(SamplingData[[#This Row],[Max Error Bound (up)]] = 0,0,SamplingData[[#This Row],[Max Error Bound (up)]]/SamplingData[[#Totals],[Max Error Bound (up)]])</f>
        <v>4.3073278414903365E-4</v>
      </c>
      <c r="AD834" s="104">
        <f>SUM($AC$5:AC834)</f>
        <v>0.37306843267108203</v>
      </c>
      <c r="AE834" s="100" t="str" cm="1">
        <f t="array" ref="AE834">IF(SamplingData[[#This Row],[up/U Selection Probability]] = 0, "Zero", TEXT(SamplingData[[#This Row],[Lower Range]], REPT("0",LEN('General Info'!$B$42))) &amp; " - " &amp; TEXT(SamplingData[[#This Row],[Upper Range]], REPT("0",LEN('General Info'!$B$42))))</f>
        <v>37264 - 37306</v>
      </c>
      <c r="AF834" s="100">
        <f>SamplingData[[#This Row],[Upper Range]]-SamplingData[[#This Row],[Span]]</f>
        <v>37263.769988693304</v>
      </c>
      <c r="AG834" s="100">
        <f>IF(ISNUMBER('General Info'!$B$42), ((SamplingData[[#This Row],[up/U Selection Probability]]) * 'General Info'!$B$44) - 1, 0)</f>
        <v>42.073278414903363</v>
      </c>
      <c r="AH834" s="100">
        <f>IF(ISNUMBER('General Info'!$B$42), (SamplingData[[#This Row],[Running (cumulative) sum]] * ('General Info'!$B$42 -'General Info'!$B$43 + 1)) + 'General Info'!$B$43 - 1, 0)</f>
        <v>37305.843267108205</v>
      </c>
      <c r="AI834" s="100" t="str">
        <f>IF(ISERROR(MATCH(SamplingData[[#This Row],[Batch by Type (p)]],SelectedPrecincts[Batch Name], 0)), "", INDEX(SelectedPrecincts[Draw], MATCH(SamplingData[[#This Row],[Batch by Type (p)]],SelectedPrecincts[Batch Name], 0)))</f>
        <v/>
      </c>
      <c r="AJ834" s="101">
        <f>IF(COUNTIF(SelectedPrecincts[Batch Name],SamplingData[[#This Row],[Batch by Type (p)]]) &lt;&gt; 0, COUNTIF(SelectedPrecincts[Batch Name],SamplingData[[#This Row],[Batch by Type (p)]]), 0)</f>
        <v>0</v>
      </c>
    </row>
    <row r="835" spans="1:36" ht="15" customHeight="1" x14ac:dyDescent="0.35">
      <c r="A835" s="98" t="s">
        <v>1046</v>
      </c>
      <c r="B835" s="98">
        <v>42</v>
      </c>
      <c r="C835" s="98">
        <v>5</v>
      </c>
      <c r="D835" s="93"/>
      <c r="E835" s="93"/>
      <c r="F835" s="93"/>
      <c r="G835" s="97"/>
      <c r="H835" s="97"/>
      <c r="I835" s="93"/>
      <c r="J835" s="93"/>
      <c r="K835" s="93"/>
      <c r="L835" s="93"/>
      <c r="M835" s="93"/>
      <c r="N835" s="98">
        <v>0</v>
      </c>
      <c r="O835" s="98">
        <v>1</v>
      </c>
      <c r="P835" s="99">
        <f>SUM(SamplingData[[#This Row],[Winning Candidate]:[Under Votes]])</f>
        <v>48</v>
      </c>
      <c r="Q835" s="100">
        <f>IF(AND(SamplingData[[#This Row],[Total]]&lt;&gt; 0, NOT(ISBLANK(SamplingData[[#This Row],[Losing Candidate]]))),(SamplingData[[#This Row],[Total]]+SamplingData[[#This Row],[Winning Candidate]]-SamplingData[[#This Row],[Losing Candidate]])/(SamplingData[[#Totals],[Winning Candidate]]-SamplingData[[#Totals],[Losing Candidate]]), 0)</f>
        <v>2.6698495461255772E-3</v>
      </c>
      <c r="R835" s="100">
        <f>IF(AND(SamplingData[[#This Row],[Total]]&lt;&gt; 0, NOT(ISBLANK(SamplingData[[#This Row],[Candidate 3]]))),(SamplingData[[#This Row],[Total]]+SamplingData[[#This Row],[Winning Candidate]]-SamplingData[[#This Row],[Candidate 3]])/(SamplingData[[#Totals],[Winning Candidate]]-SamplingData[[#Totals],[Candidate 3]]), 0)</f>
        <v>0</v>
      </c>
      <c r="S835" s="100">
        <f>IF(AND(SamplingData[[#This Row],[Total]]&lt;&gt; 0, NOT(ISBLANK(SamplingData[[#This Row],[Candidate 4]]))),(SamplingData[[#This Row],[Total]]+SamplingData[[#This Row],[Winning Candidate]]-SamplingData[[#This Row],[Candidate 4]])/(SamplingData[[#Totals],[Winning Candidate]]-SamplingData[[#Totals],[Candidate 4]]), 0)</f>
        <v>0</v>
      </c>
      <c r="T835" s="100">
        <f>IF(AND(SamplingData[[#This Row],[Total]]&lt;&gt; 0, NOT(ISBLANK(SamplingData[[#This Row],[Candidate 5]]))),(SamplingData[[#This Row],[Total]]+SamplingData[[#This Row],[Winning Candidate]]-SamplingData[[#This Row],[Candidate 5]])/(SamplingData[[#Totals],[Winning Candidate]]-SamplingData[[#Totals],[Candidate 5]]), 0)</f>
        <v>0</v>
      </c>
      <c r="U835" s="100">
        <f>IF(AND(SamplingData[[#This Row],[Total]]&lt;&gt; 0, NOT(ISBLANK(SamplingData[[#This Row],[Candidate 6]]))),(SamplingData[[#This Row],[Total]]+SamplingData[[#This Row],[Losing Candidate]]-SamplingData[[#This Row],[Candidate 6]])/(SamplingData[[#Totals],[Winning Candidate]]-SamplingData[[#Totals],[Candidate 6]]), 0)</f>
        <v>0</v>
      </c>
      <c r="V835" s="100">
        <f>IF(AND(SamplingData[[#This Row],[Total]]&lt;&gt; 0, NOT(ISBLANK(SamplingData[[#This Row],[Candidate 7]]))),(SamplingData[[#This Row],[Total]]+SamplingData[[#This Row],[Winning Candidate]]-SamplingData[[#This Row],[Candidate 7]])/(SamplingData[[#Totals],[Winning Candidate]]-SamplingData[[#Totals],[Candidate 7]]), 0)</f>
        <v>0</v>
      </c>
      <c r="W835" s="100">
        <f>IF(AND(SamplingData[[#This Row],[Total]]&lt;&gt; 0, NOT(ISBLANK(SamplingData[[#This Row],[Candidate 8]]))),(SamplingData[[#This Row],[Total]]+SamplingData[[#This Row],[Winning Candidate]]-SamplingData[[#This Row],[Candidate 8]])/(SamplingData[[#Totals],[Winning Candidate]]-SamplingData[[#Totals],[Candidate 8]]), 0)</f>
        <v>0</v>
      </c>
      <c r="X8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00">
        <f>MAX(SamplingData[[#This Row],[Error Bound (up) - Max. possible relative overstatement - Losing Candidate]:[Error Bound (up) - Max. possible relative overstatement - Candidate 12]])</f>
        <v>2.6698495461255772E-3</v>
      </c>
      <c r="AC835" s="100">
        <f>IF(SamplingData[[#This Row],[Max Error Bound (up)]] = 0,0,SamplingData[[#This Row],[Max Error Bound (up)]]/SamplingData[[#Totals],[Max Error Bound (up)]])</f>
        <v>1.1441339578958708E-3</v>
      </c>
      <c r="AD835" s="104">
        <f>SUM($AC$5:AC835)</f>
        <v>0.37421256662897789</v>
      </c>
      <c r="AE835" s="100" t="str" cm="1">
        <f t="array" ref="AE835">IF(SamplingData[[#This Row],[up/U Selection Probability]] = 0, "Zero", TEXT(SamplingData[[#This Row],[Lower Range]], REPT("0",LEN('General Info'!$B$42))) &amp; " - " &amp; TEXT(SamplingData[[#This Row],[Upper Range]], REPT("0",LEN('General Info'!$B$42))))</f>
        <v>37307 - 37420</v>
      </c>
      <c r="AF835" s="100">
        <f>SamplingData[[#This Row],[Upper Range]]-SamplingData[[#This Row],[Span]]</f>
        <v>37306.843267108197</v>
      </c>
      <c r="AG835" s="100">
        <f>IF(ISNUMBER('General Info'!$B$42), ((SamplingData[[#This Row],[up/U Selection Probability]]) * 'General Info'!$B$44) - 1, 0)</f>
        <v>113.41339578958709</v>
      </c>
      <c r="AH835" s="100">
        <f>IF(ISNUMBER('General Info'!$B$42), (SamplingData[[#This Row],[Running (cumulative) sum]] * ('General Info'!$B$42 -'General Info'!$B$43 + 1)) + 'General Info'!$B$43 - 1, 0)</f>
        <v>37420.256662897787</v>
      </c>
      <c r="AI835" s="100" t="str">
        <f>IF(ISERROR(MATCH(SamplingData[[#This Row],[Batch by Type (p)]],SelectedPrecincts[Batch Name], 0)), "", INDEX(SelectedPrecincts[Draw], MATCH(SamplingData[[#This Row],[Batch by Type (p)]],SelectedPrecincts[Batch Name], 0)))</f>
        <v/>
      </c>
      <c r="AJ835" s="101">
        <f>IF(COUNTIF(SelectedPrecincts[Batch Name],SamplingData[[#This Row],[Batch by Type (p)]]) &lt;&gt; 0, COUNTIF(SelectedPrecincts[Batch Name],SamplingData[[#This Row],[Batch by Type (p)]]), 0)</f>
        <v>0</v>
      </c>
    </row>
    <row r="836" spans="1:36" ht="15" customHeight="1" x14ac:dyDescent="0.35">
      <c r="A836" s="98" t="s">
        <v>1047</v>
      </c>
      <c r="B836" s="98">
        <v>69</v>
      </c>
      <c r="C836" s="98">
        <v>5</v>
      </c>
      <c r="D836" s="93"/>
      <c r="E836" s="93"/>
      <c r="F836" s="93"/>
      <c r="G836" s="97"/>
      <c r="H836" s="97"/>
      <c r="I836" s="93"/>
      <c r="J836" s="93"/>
      <c r="K836" s="93"/>
      <c r="L836" s="93"/>
      <c r="M836" s="93"/>
      <c r="N836" s="98">
        <v>0</v>
      </c>
      <c r="O836" s="98">
        <v>2</v>
      </c>
      <c r="P836" s="99">
        <f>SUM(SamplingData[[#This Row],[Winning Candidate]:[Under Votes]])</f>
        <v>76</v>
      </c>
      <c r="Q836" s="100">
        <f>IF(AND(SamplingData[[#This Row],[Total]]&lt;&gt; 0, NOT(ISBLANK(SamplingData[[#This Row],[Losing Candidate]]))),(SamplingData[[#This Row],[Total]]+SamplingData[[#This Row],[Winning Candidate]]-SamplingData[[#This Row],[Losing Candidate]])/(SamplingData[[#Totals],[Winning Candidate]]-SamplingData[[#Totals],[Losing Candidate]]), 0)</f>
        <v>4.3973992524421269E-3</v>
      </c>
      <c r="R836" s="100">
        <f>IF(AND(SamplingData[[#This Row],[Total]]&lt;&gt; 0, NOT(ISBLANK(SamplingData[[#This Row],[Candidate 3]]))),(SamplingData[[#This Row],[Total]]+SamplingData[[#This Row],[Winning Candidate]]-SamplingData[[#This Row],[Candidate 3]])/(SamplingData[[#Totals],[Winning Candidate]]-SamplingData[[#Totals],[Candidate 3]]), 0)</f>
        <v>0</v>
      </c>
      <c r="S836" s="100">
        <f>IF(AND(SamplingData[[#This Row],[Total]]&lt;&gt; 0, NOT(ISBLANK(SamplingData[[#This Row],[Candidate 4]]))),(SamplingData[[#This Row],[Total]]+SamplingData[[#This Row],[Winning Candidate]]-SamplingData[[#This Row],[Candidate 4]])/(SamplingData[[#Totals],[Winning Candidate]]-SamplingData[[#Totals],[Candidate 4]]), 0)</f>
        <v>0</v>
      </c>
      <c r="T836" s="100">
        <f>IF(AND(SamplingData[[#This Row],[Total]]&lt;&gt; 0, NOT(ISBLANK(SamplingData[[#This Row],[Candidate 5]]))),(SamplingData[[#This Row],[Total]]+SamplingData[[#This Row],[Winning Candidate]]-SamplingData[[#This Row],[Candidate 5]])/(SamplingData[[#Totals],[Winning Candidate]]-SamplingData[[#Totals],[Candidate 5]]), 0)</f>
        <v>0</v>
      </c>
      <c r="U836" s="100">
        <f>IF(AND(SamplingData[[#This Row],[Total]]&lt;&gt; 0, NOT(ISBLANK(SamplingData[[#This Row],[Candidate 6]]))),(SamplingData[[#This Row],[Total]]+SamplingData[[#This Row],[Losing Candidate]]-SamplingData[[#This Row],[Candidate 6]])/(SamplingData[[#Totals],[Winning Candidate]]-SamplingData[[#Totals],[Candidate 6]]), 0)</f>
        <v>0</v>
      </c>
      <c r="V836" s="100">
        <f>IF(AND(SamplingData[[#This Row],[Total]]&lt;&gt; 0, NOT(ISBLANK(SamplingData[[#This Row],[Candidate 7]]))),(SamplingData[[#This Row],[Total]]+SamplingData[[#This Row],[Winning Candidate]]-SamplingData[[#This Row],[Candidate 7]])/(SamplingData[[#Totals],[Winning Candidate]]-SamplingData[[#Totals],[Candidate 7]]), 0)</f>
        <v>0</v>
      </c>
      <c r="W836" s="100">
        <f>IF(AND(SamplingData[[#This Row],[Total]]&lt;&gt; 0, NOT(ISBLANK(SamplingData[[#This Row],[Candidate 8]]))),(SamplingData[[#This Row],[Total]]+SamplingData[[#This Row],[Winning Candidate]]-SamplingData[[#This Row],[Candidate 8]])/(SamplingData[[#Totals],[Winning Candidate]]-SamplingData[[#Totals],[Candidate 8]]), 0)</f>
        <v>0</v>
      </c>
      <c r="X8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00">
        <f>MAX(SamplingData[[#This Row],[Error Bound (up) - Max. possible relative overstatement - Losing Candidate]:[Error Bound (up) - Max. possible relative overstatement - Candidate 12]])</f>
        <v>4.3973992524421269E-3</v>
      </c>
      <c r="AC836" s="100">
        <f>IF(SamplingData[[#This Row],[Max Error Bound (up)]] = 0,0,SamplingData[[#This Row],[Max Error Bound (up)]]/SamplingData[[#Totals],[Max Error Bound (up)]])</f>
        <v>1.8844559306520224E-3</v>
      </c>
      <c r="AD836" s="104">
        <f>SUM($AC$5:AC836)</f>
        <v>0.3760970225596299</v>
      </c>
      <c r="AE836" s="100" t="str" cm="1">
        <f t="array" ref="AE836">IF(SamplingData[[#This Row],[up/U Selection Probability]] = 0, "Zero", TEXT(SamplingData[[#This Row],[Lower Range]], REPT("0",LEN('General Info'!$B$42))) &amp; " - " &amp; TEXT(SamplingData[[#This Row],[Upper Range]], REPT("0",LEN('General Info'!$B$42))))</f>
        <v>37421 - 37609</v>
      </c>
      <c r="AF836" s="100">
        <f>SamplingData[[#This Row],[Upper Range]]-SamplingData[[#This Row],[Span]]</f>
        <v>37421.256662897787</v>
      </c>
      <c r="AG836" s="100">
        <f>IF(ISNUMBER('General Info'!$B$42), ((SamplingData[[#This Row],[up/U Selection Probability]]) * 'General Info'!$B$44) - 1, 0)</f>
        <v>187.44559306520225</v>
      </c>
      <c r="AH836" s="100">
        <f>IF(ISNUMBER('General Info'!$B$42), (SamplingData[[#This Row],[Running (cumulative) sum]] * ('General Info'!$B$42 -'General Info'!$B$43 + 1)) + 'General Info'!$B$43 - 1, 0)</f>
        <v>37608.702255962991</v>
      </c>
      <c r="AI836" s="100" t="str">
        <f>IF(ISERROR(MATCH(SamplingData[[#This Row],[Batch by Type (p)]],SelectedPrecincts[Batch Name], 0)), "", INDEX(SelectedPrecincts[Draw], MATCH(SamplingData[[#This Row],[Batch by Type (p)]],SelectedPrecincts[Batch Name], 0)))</f>
        <v/>
      </c>
      <c r="AJ836" s="101">
        <f>IF(COUNTIF(SelectedPrecincts[Batch Name],SamplingData[[#This Row],[Batch by Type (p)]]) &lt;&gt; 0, COUNTIF(SelectedPrecincts[Batch Name],SamplingData[[#This Row],[Batch by Type (p)]]), 0)</f>
        <v>0</v>
      </c>
    </row>
    <row r="837" spans="1:36" ht="15" customHeight="1" x14ac:dyDescent="0.35">
      <c r="A837" s="98" t="s">
        <v>1048</v>
      </c>
      <c r="B837" s="98">
        <v>17</v>
      </c>
      <c r="C837" s="98">
        <v>6</v>
      </c>
      <c r="D837" s="93"/>
      <c r="E837" s="93"/>
      <c r="F837" s="93"/>
      <c r="G837" s="97"/>
      <c r="H837" s="97"/>
      <c r="I837" s="93"/>
      <c r="J837" s="93"/>
      <c r="K837" s="93"/>
      <c r="L837" s="93"/>
      <c r="M837" s="93"/>
      <c r="N837" s="98">
        <v>0</v>
      </c>
      <c r="O837" s="98">
        <v>1</v>
      </c>
      <c r="P837" s="99">
        <f>SUM(SamplingData[[#This Row],[Winning Candidate]:[Under Votes]])</f>
        <v>24</v>
      </c>
      <c r="Q837" s="100">
        <f>IF(AND(SamplingData[[#This Row],[Total]]&lt;&gt; 0, NOT(ISBLANK(SamplingData[[#This Row],[Losing Candidate]]))),(SamplingData[[#This Row],[Total]]+SamplingData[[#This Row],[Winning Candidate]]-SamplingData[[#This Row],[Losing Candidate]])/(SamplingData[[#Totals],[Winning Candidate]]-SamplingData[[#Totals],[Losing Candidate]]), 0)</f>
        <v>1.0993498131105317E-3</v>
      </c>
      <c r="R837" s="100">
        <f>IF(AND(SamplingData[[#This Row],[Total]]&lt;&gt; 0, NOT(ISBLANK(SamplingData[[#This Row],[Candidate 3]]))),(SamplingData[[#This Row],[Total]]+SamplingData[[#This Row],[Winning Candidate]]-SamplingData[[#This Row],[Candidate 3]])/(SamplingData[[#Totals],[Winning Candidate]]-SamplingData[[#Totals],[Candidate 3]]), 0)</f>
        <v>0</v>
      </c>
      <c r="S837" s="100">
        <f>IF(AND(SamplingData[[#This Row],[Total]]&lt;&gt; 0, NOT(ISBLANK(SamplingData[[#This Row],[Candidate 4]]))),(SamplingData[[#This Row],[Total]]+SamplingData[[#This Row],[Winning Candidate]]-SamplingData[[#This Row],[Candidate 4]])/(SamplingData[[#Totals],[Winning Candidate]]-SamplingData[[#Totals],[Candidate 4]]), 0)</f>
        <v>0</v>
      </c>
      <c r="T837" s="100">
        <f>IF(AND(SamplingData[[#This Row],[Total]]&lt;&gt; 0, NOT(ISBLANK(SamplingData[[#This Row],[Candidate 5]]))),(SamplingData[[#This Row],[Total]]+SamplingData[[#This Row],[Winning Candidate]]-SamplingData[[#This Row],[Candidate 5]])/(SamplingData[[#Totals],[Winning Candidate]]-SamplingData[[#Totals],[Candidate 5]]), 0)</f>
        <v>0</v>
      </c>
      <c r="U837" s="100">
        <f>IF(AND(SamplingData[[#This Row],[Total]]&lt;&gt; 0, NOT(ISBLANK(SamplingData[[#This Row],[Candidate 6]]))),(SamplingData[[#This Row],[Total]]+SamplingData[[#This Row],[Losing Candidate]]-SamplingData[[#This Row],[Candidate 6]])/(SamplingData[[#Totals],[Winning Candidate]]-SamplingData[[#Totals],[Candidate 6]]), 0)</f>
        <v>0</v>
      </c>
      <c r="V837" s="100">
        <f>IF(AND(SamplingData[[#This Row],[Total]]&lt;&gt; 0, NOT(ISBLANK(SamplingData[[#This Row],[Candidate 7]]))),(SamplingData[[#This Row],[Total]]+SamplingData[[#This Row],[Winning Candidate]]-SamplingData[[#This Row],[Candidate 7]])/(SamplingData[[#Totals],[Winning Candidate]]-SamplingData[[#Totals],[Candidate 7]]), 0)</f>
        <v>0</v>
      </c>
      <c r="W837" s="100">
        <f>IF(AND(SamplingData[[#This Row],[Total]]&lt;&gt; 0, NOT(ISBLANK(SamplingData[[#This Row],[Candidate 8]]))),(SamplingData[[#This Row],[Total]]+SamplingData[[#This Row],[Winning Candidate]]-SamplingData[[#This Row],[Candidate 8]])/(SamplingData[[#Totals],[Winning Candidate]]-SamplingData[[#Totals],[Candidate 8]]), 0)</f>
        <v>0</v>
      </c>
      <c r="X8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00">
        <f>MAX(SamplingData[[#This Row],[Error Bound (up) - Max. possible relative overstatement - Losing Candidate]:[Error Bound (up) - Max. possible relative overstatement - Candidate 12]])</f>
        <v>1.0993498131105317E-3</v>
      </c>
      <c r="AC837" s="100">
        <f>IF(SamplingData[[#This Row],[Max Error Bound (up)]] = 0,0,SamplingData[[#This Row],[Max Error Bound (up)]]/SamplingData[[#Totals],[Max Error Bound (up)]])</f>
        <v>4.711139826630056E-4</v>
      </c>
      <c r="AD837" s="104">
        <f>SUM($AC$5:AC837)</f>
        <v>0.37656813654229293</v>
      </c>
      <c r="AE837" s="100" t="str" cm="1">
        <f t="array" ref="AE837">IF(SamplingData[[#This Row],[up/U Selection Probability]] = 0, "Zero", TEXT(SamplingData[[#This Row],[Lower Range]], REPT("0",LEN('General Info'!$B$42))) &amp; " - " &amp; TEXT(SamplingData[[#This Row],[Upper Range]], REPT("0",LEN('General Info'!$B$42))))</f>
        <v>37610 - 37656</v>
      </c>
      <c r="AF837" s="100">
        <f>SamplingData[[#This Row],[Upper Range]]-SamplingData[[#This Row],[Span]]</f>
        <v>37609.702255962991</v>
      </c>
      <c r="AG837" s="100">
        <f>IF(ISNUMBER('General Info'!$B$42), ((SamplingData[[#This Row],[up/U Selection Probability]]) * 'General Info'!$B$44) - 1, 0)</f>
        <v>46.111398266300561</v>
      </c>
      <c r="AH837" s="100">
        <f>IF(ISNUMBER('General Info'!$B$42), (SamplingData[[#This Row],[Running (cumulative) sum]] * ('General Info'!$B$42 -'General Info'!$B$43 + 1)) + 'General Info'!$B$43 - 1, 0)</f>
        <v>37655.813654229292</v>
      </c>
      <c r="AI837" s="100" t="str">
        <f>IF(ISERROR(MATCH(SamplingData[[#This Row],[Batch by Type (p)]],SelectedPrecincts[Batch Name], 0)), "", INDEX(SelectedPrecincts[Draw], MATCH(SamplingData[[#This Row],[Batch by Type (p)]],SelectedPrecincts[Batch Name], 0)))</f>
        <v/>
      </c>
      <c r="AJ837" s="101">
        <f>IF(COUNTIF(SelectedPrecincts[Batch Name],SamplingData[[#This Row],[Batch by Type (p)]]) &lt;&gt; 0, COUNTIF(SelectedPrecincts[Batch Name],SamplingData[[#This Row],[Batch by Type (p)]]), 0)</f>
        <v>0</v>
      </c>
    </row>
    <row r="838" spans="1:36" ht="15" customHeight="1" x14ac:dyDescent="0.35">
      <c r="A838" s="98" t="s">
        <v>1049</v>
      </c>
      <c r="B838" s="98">
        <v>8</v>
      </c>
      <c r="C838" s="98">
        <v>0</v>
      </c>
      <c r="D838" s="93"/>
      <c r="E838" s="93"/>
      <c r="F838" s="93"/>
      <c r="G838" s="97"/>
      <c r="H838" s="97"/>
      <c r="I838" s="93"/>
      <c r="J838" s="93"/>
      <c r="K838" s="93"/>
      <c r="L838" s="93"/>
      <c r="M838" s="93"/>
      <c r="N838" s="98">
        <v>0</v>
      </c>
      <c r="O838" s="98">
        <v>1</v>
      </c>
      <c r="P838" s="99">
        <f>SUM(SamplingData[[#This Row],[Winning Candidate]:[Under Votes]])</f>
        <v>9</v>
      </c>
      <c r="Q838" s="100">
        <f>IF(AND(SamplingData[[#This Row],[Total]]&lt;&gt; 0, NOT(ISBLANK(SamplingData[[#This Row],[Losing Candidate]]))),(SamplingData[[#This Row],[Total]]+SamplingData[[#This Row],[Winning Candidate]]-SamplingData[[#This Row],[Losing Candidate]])/(SamplingData[[#Totals],[Winning Candidate]]-SamplingData[[#Totals],[Losing Candidate]]), 0)</f>
        <v>5.3396990922511547E-4</v>
      </c>
      <c r="R838" s="100">
        <f>IF(AND(SamplingData[[#This Row],[Total]]&lt;&gt; 0, NOT(ISBLANK(SamplingData[[#This Row],[Candidate 3]]))),(SamplingData[[#This Row],[Total]]+SamplingData[[#This Row],[Winning Candidate]]-SamplingData[[#This Row],[Candidate 3]])/(SamplingData[[#Totals],[Winning Candidate]]-SamplingData[[#Totals],[Candidate 3]]), 0)</f>
        <v>0</v>
      </c>
      <c r="S838" s="100">
        <f>IF(AND(SamplingData[[#This Row],[Total]]&lt;&gt; 0, NOT(ISBLANK(SamplingData[[#This Row],[Candidate 4]]))),(SamplingData[[#This Row],[Total]]+SamplingData[[#This Row],[Winning Candidate]]-SamplingData[[#This Row],[Candidate 4]])/(SamplingData[[#Totals],[Winning Candidate]]-SamplingData[[#Totals],[Candidate 4]]), 0)</f>
        <v>0</v>
      </c>
      <c r="T838" s="100">
        <f>IF(AND(SamplingData[[#This Row],[Total]]&lt;&gt; 0, NOT(ISBLANK(SamplingData[[#This Row],[Candidate 5]]))),(SamplingData[[#This Row],[Total]]+SamplingData[[#This Row],[Winning Candidate]]-SamplingData[[#This Row],[Candidate 5]])/(SamplingData[[#Totals],[Winning Candidate]]-SamplingData[[#Totals],[Candidate 5]]), 0)</f>
        <v>0</v>
      </c>
      <c r="U838" s="100">
        <f>IF(AND(SamplingData[[#This Row],[Total]]&lt;&gt; 0, NOT(ISBLANK(SamplingData[[#This Row],[Candidate 6]]))),(SamplingData[[#This Row],[Total]]+SamplingData[[#This Row],[Losing Candidate]]-SamplingData[[#This Row],[Candidate 6]])/(SamplingData[[#Totals],[Winning Candidate]]-SamplingData[[#Totals],[Candidate 6]]), 0)</f>
        <v>0</v>
      </c>
      <c r="V838" s="100">
        <f>IF(AND(SamplingData[[#This Row],[Total]]&lt;&gt; 0, NOT(ISBLANK(SamplingData[[#This Row],[Candidate 7]]))),(SamplingData[[#This Row],[Total]]+SamplingData[[#This Row],[Winning Candidate]]-SamplingData[[#This Row],[Candidate 7]])/(SamplingData[[#Totals],[Winning Candidate]]-SamplingData[[#Totals],[Candidate 7]]), 0)</f>
        <v>0</v>
      </c>
      <c r="W838" s="100">
        <f>IF(AND(SamplingData[[#This Row],[Total]]&lt;&gt; 0, NOT(ISBLANK(SamplingData[[#This Row],[Candidate 8]]))),(SamplingData[[#This Row],[Total]]+SamplingData[[#This Row],[Winning Candidate]]-SamplingData[[#This Row],[Candidate 8]])/(SamplingData[[#Totals],[Winning Candidate]]-SamplingData[[#Totals],[Candidate 8]]), 0)</f>
        <v>0</v>
      </c>
      <c r="X8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00">
        <f>MAX(SamplingData[[#This Row],[Error Bound (up) - Max. possible relative overstatement - Losing Candidate]:[Error Bound (up) - Max. possible relative overstatement - Candidate 12]])</f>
        <v>5.3396990922511547E-4</v>
      </c>
      <c r="AC838" s="100">
        <f>IF(SamplingData[[#This Row],[Max Error Bound (up)]] = 0,0,SamplingData[[#This Row],[Max Error Bound (up)]]/SamplingData[[#Totals],[Max Error Bound (up)]])</f>
        <v>2.2882679157917418E-4</v>
      </c>
      <c r="AD838" s="104">
        <f>SUM($AC$5:AC838)</f>
        <v>0.37679696333387208</v>
      </c>
      <c r="AE838" s="100" t="str" cm="1">
        <f t="array" ref="AE838">IF(SamplingData[[#This Row],[up/U Selection Probability]] = 0, "Zero", TEXT(SamplingData[[#This Row],[Lower Range]], REPT("0",LEN('General Info'!$B$42))) &amp; " - " &amp; TEXT(SamplingData[[#This Row],[Upper Range]], REPT("0",LEN('General Info'!$B$42))))</f>
        <v>37657 - 37679</v>
      </c>
      <c r="AF838" s="100">
        <f>SamplingData[[#This Row],[Upper Range]]-SamplingData[[#This Row],[Span]]</f>
        <v>37656.813654229292</v>
      </c>
      <c r="AG838" s="100">
        <f>IF(ISNUMBER('General Info'!$B$42), ((SamplingData[[#This Row],[up/U Selection Probability]]) * 'General Info'!$B$44) - 1, 0)</f>
        <v>21.882679157917419</v>
      </c>
      <c r="AH838" s="100">
        <f>IF(ISNUMBER('General Info'!$B$42), (SamplingData[[#This Row],[Running (cumulative) sum]] * ('General Info'!$B$42 -'General Info'!$B$43 + 1)) + 'General Info'!$B$43 - 1, 0)</f>
        <v>37678.696333387212</v>
      </c>
      <c r="AI838" s="100" t="str">
        <f>IF(ISERROR(MATCH(SamplingData[[#This Row],[Batch by Type (p)]],SelectedPrecincts[Batch Name], 0)), "", INDEX(SelectedPrecincts[Draw], MATCH(SamplingData[[#This Row],[Batch by Type (p)]],SelectedPrecincts[Batch Name], 0)))</f>
        <v/>
      </c>
      <c r="AJ838" s="101">
        <f>IF(COUNTIF(SelectedPrecincts[Batch Name],SamplingData[[#This Row],[Batch by Type (p)]]) &lt;&gt; 0, COUNTIF(SelectedPrecincts[Batch Name],SamplingData[[#This Row],[Batch by Type (p)]]), 0)</f>
        <v>0</v>
      </c>
    </row>
    <row r="839" spans="1:36" ht="15" customHeight="1" x14ac:dyDescent="0.35">
      <c r="A839" s="98" t="s">
        <v>1050</v>
      </c>
      <c r="B839" s="98">
        <v>13</v>
      </c>
      <c r="C839" s="98">
        <v>6</v>
      </c>
      <c r="D839" s="93"/>
      <c r="E839" s="93"/>
      <c r="F839" s="93"/>
      <c r="G839" s="97"/>
      <c r="H839" s="97"/>
      <c r="I839" s="93"/>
      <c r="J839" s="93"/>
      <c r="K839" s="93"/>
      <c r="L839" s="93"/>
      <c r="M839" s="93"/>
      <c r="N839" s="98">
        <v>0</v>
      </c>
      <c r="O839" s="98">
        <v>0</v>
      </c>
      <c r="P839" s="99">
        <f>SUM(SamplingData[[#This Row],[Winning Candidate]:[Under Votes]])</f>
        <v>19</v>
      </c>
      <c r="Q839"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839" s="100">
        <f>IF(AND(SamplingData[[#This Row],[Total]]&lt;&gt; 0, NOT(ISBLANK(SamplingData[[#This Row],[Candidate 3]]))),(SamplingData[[#This Row],[Total]]+SamplingData[[#This Row],[Winning Candidate]]-SamplingData[[#This Row],[Candidate 3]])/(SamplingData[[#Totals],[Winning Candidate]]-SamplingData[[#Totals],[Candidate 3]]), 0)</f>
        <v>0</v>
      </c>
      <c r="S839" s="100">
        <f>IF(AND(SamplingData[[#This Row],[Total]]&lt;&gt; 0, NOT(ISBLANK(SamplingData[[#This Row],[Candidate 4]]))),(SamplingData[[#This Row],[Total]]+SamplingData[[#This Row],[Winning Candidate]]-SamplingData[[#This Row],[Candidate 4]])/(SamplingData[[#Totals],[Winning Candidate]]-SamplingData[[#Totals],[Candidate 4]]), 0)</f>
        <v>0</v>
      </c>
      <c r="T839" s="100">
        <f>IF(AND(SamplingData[[#This Row],[Total]]&lt;&gt; 0, NOT(ISBLANK(SamplingData[[#This Row],[Candidate 5]]))),(SamplingData[[#This Row],[Total]]+SamplingData[[#This Row],[Winning Candidate]]-SamplingData[[#This Row],[Candidate 5]])/(SamplingData[[#Totals],[Winning Candidate]]-SamplingData[[#Totals],[Candidate 5]]), 0)</f>
        <v>0</v>
      </c>
      <c r="U839" s="100">
        <f>IF(AND(SamplingData[[#This Row],[Total]]&lt;&gt; 0, NOT(ISBLANK(SamplingData[[#This Row],[Candidate 6]]))),(SamplingData[[#This Row],[Total]]+SamplingData[[#This Row],[Losing Candidate]]-SamplingData[[#This Row],[Candidate 6]])/(SamplingData[[#Totals],[Winning Candidate]]-SamplingData[[#Totals],[Candidate 6]]), 0)</f>
        <v>0</v>
      </c>
      <c r="V839" s="100">
        <f>IF(AND(SamplingData[[#This Row],[Total]]&lt;&gt; 0, NOT(ISBLANK(SamplingData[[#This Row],[Candidate 7]]))),(SamplingData[[#This Row],[Total]]+SamplingData[[#This Row],[Winning Candidate]]-SamplingData[[#This Row],[Candidate 7]])/(SamplingData[[#Totals],[Winning Candidate]]-SamplingData[[#Totals],[Candidate 7]]), 0)</f>
        <v>0</v>
      </c>
      <c r="W839" s="100">
        <f>IF(AND(SamplingData[[#This Row],[Total]]&lt;&gt; 0, NOT(ISBLANK(SamplingData[[#This Row],[Candidate 8]]))),(SamplingData[[#This Row],[Total]]+SamplingData[[#This Row],[Winning Candidate]]-SamplingData[[#This Row],[Candidate 8]])/(SamplingData[[#Totals],[Winning Candidate]]-SamplingData[[#Totals],[Candidate 8]]), 0)</f>
        <v>0</v>
      </c>
      <c r="X8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00">
        <f>MAX(SamplingData[[#This Row],[Error Bound (up) - Max. possible relative overstatement - Losing Candidate]:[Error Bound (up) - Max. possible relative overstatement - Candidate 12]])</f>
        <v>8.1665986116782364E-4</v>
      </c>
      <c r="AC839" s="100">
        <f>IF(SamplingData[[#This Row],[Max Error Bound (up)]] = 0,0,SamplingData[[#This Row],[Max Error Bound (up)]]/SamplingData[[#Totals],[Max Error Bound (up)]])</f>
        <v>3.4997038712108992E-4</v>
      </c>
      <c r="AD839" s="104">
        <f>SUM($AC$5:AC839)</f>
        <v>0.37714693372099317</v>
      </c>
      <c r="AE839" s="100" t="str" cm="1">
        <f t="array" ref="AE839">IF(SamplingData[[#This Row],[up/U Selection Probability]] = 0, "Zero", TEXT(SamplingData[[#This Row],[Lower Range]], REPT("0",LEN('General Info'!$B$42))) &amp; " - " &amp; TEXT(SamplingData[[#This Row],[Upper Range]], REPT("0",LEN('General Info'!$B$42))))</f>
        <v>37680 - 37714</v>
      </c>
      <c r="AF839" s="100">
        <f>SamplingData[[#This Row],[Upper Range]]-SamplingData[[#This Row],[Span]]</f>
        <v>37679.696333387212</v>
      </c>
      <c r="AG839" s="100">
        <f>IF(ISNUMBER('General Info'!$B$42), ((SamplingData[[#This Row],[up/U Selection Probability]]) * 'General Info'!$B$44) - 1, 0)</f>
        <v>33.997038712108989</v>
      </c>
      <c r="AH839" s="100">
        <f>IF(ISNUMBER('General Info'!$B$42), (SamplingData[[#This Row],[Running (cumulative) sum]] * ('General Info'!$B$42 -'General Info'!$B$43 + 1)) + 'General Info'!$B$43 - 1, 0)</f>
        <v>37713.693372099318</v>
      </c>
      <c r="AI839" s="100" t="str">
        <f>IF(ISERROR(MATCH(SamplingData[[#This Row],[Batch by Type (p)]],SelectedPrecincts[Batch Name], 0)), "", INDEX(SelectedPrecincts[Draw], MATCH(SamplingData[[#This Row],[Batch by Type (p)]],SelectedPrecincts[Batch Name], 0)))</f>
        <v/>
      </c>
      <c r="AJ839" s="101">
        <f>IF(COUNTIF(SelectedPrecincts[Batch Name],SamplingData[[#This Row],[Batch by Type (p)]]) &lt;&gt; 0, COUNTIF(SelectedPrecincts[Batch Name],SamplingData[[#This Row],[Batch by Type (p)]]), 0)</f>
        <v>0</v>
      </c>
    </row>
    <row r="840" spans="1:36" ht="15" customHeight="1" x14ac:dyDescent="0.35">
      <c r="A840" s="98" t="s">
        <v>1051</v>
      </c>
      <c r="B840" s="98">
        <v>36</v>
      </c>
      <c r="C840" s="98">
        <v>3</v>
      </c>
      <c r="D840" s="93"/>
      <c r="E840" s="93"/>
      <c r="F840" s="93"/>
      <c r="G840" s="97"/>
      <c r="H840" s="97"/>
      <c r="I840" s="93"/>
      <c r="J840" s="93"/>
      <c r="K840" s="93"/>
      <c r="L840" s="93"/>
      <c r="M840" s="93"/>
      <c r="N840" s="98">
        <v>0</v>
      </c>
      <c r="O840" s="98">
        <v>1</v>
      </c>
      <c r="P840" s="99">
        <f>SUM(SamplingData[[#This Row],[Winning Candidate]:[Under Votes]])</f>
        <v>40</v>
      </c>
      <c r="Q840" s="100">
        <f>IF(AND(SamplingData[[#This Row],[Total]]&lt;&gt; 0, NOT(ISBLANK(SamplingData[[#This Row],[Losing Candidate]]))),(SamplingData[[#This Row],[Total]]+SamplingData[[#This Row],[Winning Candidate]]-SamplingData[[#This Row],[Losing Candidate]])/(SamplingData[[#Totals],[Winning Candidate]]-SamplingData[[#Totals],[Losing Candidate]]), 0)</f>
        <v>2.2929296102019662E-3</v>
      </c>
      <c r="R840" s="100">
        <f>IF(AND(SamplingData[[#This Row],[Total]]&lt;&gt; 0, NOT(ISBLANK(SamplingData[[#This Row],[Candidate 3]]))),(SamplingData[[#This Row],[Total]]+SamplingData[[#This Row],[Winning Candidate]]-SamplingData[[#This Row],[Candidate 3]])/(SamplingData[[#Totals],[Winning Candidate]]-SamplingData[[#Totals],[Candidate 3]]), 0)</f>
        <v>0</v>
      </c>
      <c r="S840" s="100">
        <f>IF(AND(SamplingData[[#This Row],[Total]]&lt;&gt; 0, NOT(ISBLANK(SamplingData[[#This Row],[Candidate 4]]))),(SamplingData[[#This Row],[Total]]+SamplingData[[#This Row],[Winning Candidate]]-SamplingData[[#This Row],[Candidate 4]])/(SamplingData[[#Totals],[Winning Candidate]]-SamplingData[[#Totals],[Candidate 4]]), 0)</f>
        <v>0</v>
      </c>
      <c r="T840" s="100">
        <f>IF(AND(SamplingData[[#This Row],[Total]]&lt;&gt; 0, NOT(ISBLANK(SamplingData[[#This Row],[Candidate 5]]))),(SamplingData[[#This Row],[Total]]+SamplingData[[#This Row],[Winning Candidate]]-SamplingData[[#This Row],[Candidate 5]])/(SamplingData[[#Totals],[Winning Candidate]]-SamplingData[[#Totals],[Candidate 5]]), 0)</f>
        <v>0</v>
      </c>
      <c r="U840" s="100">
        <f>IF(AND(SamplingData[[#This Row],[Total]]&lt;&gt; 0, NOT(ISBLANK(SamplingData[[#This Row],[Candidate 6]]))),(SamplingData[[#This Row],[Total]]+SamplingData[[#This Row],[Losing Candidate]]-SamplingData[[#This Row],[Candidate 6]])/(SamplingData[[#Totals],[Winning Candidate]]-SamplingData[[#Totals],[Candidate 6]]), 0)</f>
        <v>0</v>
      </c>
      <c r="V840" s="100">
        <f>IF(AND(SamplingData[[#This Row],[Total]]&lt;&gt; 0, NOT(ISBLANK(SamplingData[[#This Row],[Candidate 7]]))),(SamplingData[[#This Row],[Total]]+SamplingData[[#This Row],[Winning Candidate]]-SamplingData[[#This Row],[Candidate 7]])/(SamplingData[[#Totals],[Winning Candidate]]-SamplingData[[#Totals],[Candidate 7]]), 0)</f>
        <v>0</v>
      </c>
      <c r="W840" s="100">
        <f>IF(AND(SamplingData[[#This Row],[Total]]&lt;&gt; 0, NOT(ISBLANK(SamplingData[[#This Row],[Candidate 8]]))),(SamplingData[[#This Row],[Total]]+SamplingData[[#This Row],[Winning Candidate]]-SamplingData[[#This Row],[Candidate 8]])/(SamplingData[[#Totals],[Winning Candidate]]-SamplingData[[#Totals],[Candidate 8]]), 0)</f>
        <v>0</v>
      </c>
      <c r="X8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00">
        <f>MAX(SamplingData[[#This Row],[Error Bound (up) - Max. possible relative overstatement - Losing Candidate]:[Error Bound (up) - Max. possible relative overstatement - Candidate 12]])</f>
        <v>2.2929296102019662E-3</v>
      </c>
      <c r="AC840" s="100">
        <f>IF(SamplingData[[#This Row],[Max Error Bound (up)]] = 0,0,SamplingData[[#This Row],[Max Error Bound (up)]]/SamplingData[[#Totals],[Max Error Bound (up)]])</f>
        <v>9.8260916383998299E-4</v>
      </c>
      <c r="AD840" s="104">
        <f>SUM($AC$5:AC840)</f>
        <v>0.37812954288483314</v>
      </c>
      <c r="AE840" s="100" t="str" cm="1">
        <f t="array" ref="AE840">IF(SamplingData[[#This Row],[up/U Selection Probability]] = 0, "Zero", TEXT(SamplingData[[#This Row],[Lower Range]], REPT("0",LEN('General Info'!$B$42))) &amp; " - " &amp; TEXT(SamplingData[[#This Row],[Upper Range]], REPT("0",LEN('General Info'!$B$42))))</f>
        <v>37715 - 37812</v>
      </c>
      <c r="AF840" s="100">
        <f>SamplingData[[#This Row],[Upper Range]]-SamplingData[[#This Row],[Span]]</f>
        <v>37714.693372099318</v>
      </c>
      <c r="AG840" s="100">
        <f>IF(ISNUMBER('General Info'!$B$42), ((SamplingData[[#This Row],[up/U Selection Probability]]) * 'General Info'!$B$44) - 1, 0)</f>
        <v>97.260916383998293</v>
      </c>
      <c r="AH840" s="100">
        <f>IF(ISNUMBER('General Info'!$B$42), (SamplingData[[#This Row],[Running (cumulative) sum]] * ('General Info'!$B$42 -'General Info'!$B$43 + 1)) + 'General Info'!$B$43 - 1, 0)</f>
        <v>37811.954288483314</v>
      </c>
      <c r="AI840" s="100" t="str">
        <f>IF(ISERROR(MATCH(SamplingData[[#This Row],[Batch by Type (p)]],SelectedPrecincts[Batch Name], 0)), "", INDEX(SelectedPrecincts[Draw], MATCH(SamplingData[[#This Row],[Batch by Type (p)]],SelectedPrecincts[Batch Name], 0)))</f>
        <v/>
      </c>
      <c r="AJ840" s="101">
        <f>IF(COUNTIF(SelectedPrecincts[Batch Name],SamplingData[[#This Row],[Batch by Type (p)]]) &lt;&gt; 0, COUNTIF(SelectedPrecincts[Batch Name],SamplingData[[#This Row],[Batch by Type (p)]]), 0)</f>
        <v>0</v>
      </c>
    </row>
    <row r="841" spans="1:36" ht="15" customHeight="1" x14ac:dyDescent="0.35">
      <c r="A841" s="98" t="s">
        <v>1052</v>
      </c>
      <c r="B841" s="98">
        <v>24</v>
      </c>
      <c r="C841" s="98">
        <v>5</v>
      </c>
      <c r="D841" s="93"/>
      <c r="E841" s="93"/>
      <c r="F841" s="93"/>
      <c r="G841" s="97"/>
      <c r="H841" s="97"/>
      <c r="I841" s="93"/>
      <c r="J841" s="93"/>
      <c r="K841" s="93"/>
      <c r="L841" s="93"/>
      <c r="M841" s="93"/>
      <c r="N841" s="98">
        <v>0</v>
      </c>
      <c r="O841" s="98">
        <v>0</v>
      </c>
      <c r="P841" s="99">
        <f>SUM(SamplingData[[#This Row],[Winning Candidate]:[Under Votes]])</f>
        <v>29</v>
      </c>
      <c r="Q841" s="100">
        <f>IF(AND(SamplingData[[#This Row],[Total]]&lt;&gt; 0, NOT(ISBLANK(SamplingData[[#This Row],[Losing Candidate]]))),(SamplingData[[#This Row],[Total]]+SamplingData[[#This Row],[Winning Candidate]]-SamplingData[[#This Row],[Losing Candidate]])/(SamplingData[[#Totals],[Winning Candidate]]-SamplingData[[#Totals],[Losing Candidate]]), 0)</f>
        <v>1.5076797436944435E-3</v>
      </c>
      <c r="R841" s="100">
        <f>IF(AND(SamplingData[[#This Row],[Total]]&lt;&gt; 0, NOT(ISBLANK(SamplingData[[#This Row],[Candidate 3]]))),(SamplingData[[#This Row],[Total]]+SamplingData[[#This Row],[Winning Candidate]]-SamplingData[[#This Row],[Candidate 3]])/(SamplingData[[#Totals],[Winning Candidate]]-SamplingData[[#Totals],[Candidate 3]]), 0)</f>
        <v>0</v>
      </c>
      <c r="S841" s="100">
        <f>IF(AND(SamplingData[[#This Row],[Total]]&lt;&gt; 0, NOT(ISBLANK(SamplingData[[#This Row],[Candidate 4]]))),(SamplingData[[#This Row],[Total]]+SamplingData[[#This Row],[Winning Candidate]]-SamplingData[[#This Row],[Candidate 4]])/(SamplingData[[#Totals],[Winning Candidate]]-SamplingData[[#Totals],[Candidate 4]]), 0)</f>
        <v>0</v>
      </c>
      <c r="T841" s="100">
        <f>IF(AND(SamplingData[[#This Row],[Total]]&lt;&gt; 0, NOT(ISBLANK(SamplingData[[#This Row],[Candidate 5]]))),(SamplingData[[#This Row],[Total]]+SamplingData[[#This Row],[Winning Candidate]]-SamplingData[[#This Row],[Candidate 5]])/(SamplingData[[#Totals],[Winning Candidate]]-SamplingData[[#Totals],[Candidate 5]]), 0)</f>
        <v>0</v>
      </c>
      <c r="U841" s="100">
        <f>IF(AND(SamplingData[[#This Row],[Total]]&lt;&gt; 0, NOT(ISBLANK(SamplingData[[#This Row],[Candidate 6]]))),(SamplingData[[#This Row],[Total]]+SamplingData[[#This Row],[Losing Candidate]]-SamplingData[[#This Row],[Candidate 6]])/(SamplingData[[#Totals],[Winning Candidate]]-SamplingData[[#Totals],[Candidate 6]]), 0)</f>
        <v>0</v>
      </c>
      <c r="V841" s="100">
        <f>IF(AND(SamplingData[[#This Row],[Total]]&lt;&gt; 0, NOT(ISBLANK(SamplingData[[#This Row],[Candidate 7]]))),(SamplingData[[#This Row],[Total]]+SamplingData[[#This Row],[Winning Candidate]]-SamplingData[[#This Row],[Candidate 7]])/(SamplingData[[#Totals],[Winning Candidate]]-SamplingData[[#Totals],[Candidate 7]]), 0)</f>
        <v>0</v>
      </c>
      <c r="W841" s="100">
        <f>IF(AND(SamplingData[[#This Row],[Total]]&lt;&gt; 0, NOT(ISBLANK(SamplingData[[#This Row],[Candidate 8]]))),(SamplingData[[#This Row],[Total]]+SamplingData[[#This Row],[Winning Candidate]]-SamplingData[[#This Row],[Candidate 8]])/(SamplingData[[#Totals],[Winning Candidate]]-SamplingData[[#Totals],[Candidate 8]]), 0)</f>
        <v>0</v>
      </c>
      <c r="X8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00">
        <f>MAX(SamplingData[[#This Row],[Error Bound (up) - Max. possible relative overstatement - Losing Candidate]:[Error Bound (up) - Max. possible relative overstatement - Candidate 12]])</f>
        <v>1.5076797436944435E-3</v>
      </c>
      <c r="AC841" s="100">
        <f>IF(SamplingData[[#This Row],[Max Error Bound (up)]] = 0,0,SamplingData[[#This Row],[Max Error Bound (up)]]/SamplingData[[#Totals],[Max Error Bound (up)]])</f>
        <v>6.4609917622355053E-4</v>
      </c>
      <c r="AD841" s="104">
        <f>SUM($AC$5:AC841)</f>
        <v>0.37877564206105668</v>
      </c>
      <c r="AE841" s="100" t="str" cm="1">
        <f t="array" ref="AE841">IF(SamplingData[[#This Row],[up/U Selection Probability]] = 0, "Zero", TEXT(SamplingData[[#This Row],[Lower Range]], REPT("0",LEN('General Info'!$B$42))) &amp; " - " &amp; TEXT(SamplingData[[#This Row],[Upper Range]], REPT("0",LEN('General Info'!$B$42))))</f>
        <v>37813 - 37877</v>
      </c>
      <c r="AF841" s="100">
        <f>SamplingData[[#This Row],[Upper Range]]-SamplingData[[#This Row],[Span]]</f>
        <v>37812.954288483314</v>
      </c>
      <c r="AG841" s="100">
        <f>IF(ISNUMBER('General Info'!$B$42), ((SamplingData[[#This Row],[up/U Selection Probability]]) * 'General Info'!$B$44) - 1, 0)</f>
        <v>63.609917622355056</v>
      </c>
      <c r="AH841" s="100">
        <f>IF(ISNUMBER('General Info'!$B$42), (SamplingData[[#This Row],[Running (cumulative) sum]] * ('General Info'!$B$42 -'General Info'!$B$43 + 1)) + 'General Info'!$B$43 - 1, 0)</f>
        <v>37876.564206105671</v>
      </c>
      <c r="AI841" s="100" t="str">
        <f>IF(ISERROR(MATCH(SamplingData[[#This Row],[Batch by Type (p)]],SelectedPrecincts[Batch Name], 0)), "", INDEX(SelectedPrecincts[Draw], MATCH(SamplingData[[#This Row],[Batch by Type (p)]],SelectedPrecincts[Batch Name], 0)))</f>
        <v/>
      </c>
      <c r="AJ841" s="101">
        <f>IF(COUNTIF(SelectedPrecincts[Batch Name],SamplingData[[#This Row],[Batch by Type (p)]]) &lt;&gt; 0, COUNTIF(SelectedPrecincts[Batch Name],SamplingData[[#This Row],[Batch by Type (p)]]), 0)</f>
        <v>0</v>
      </c>
    </row>
    <row r="842" spans="1:36" ht="15" customHeight="1" x14ac:dyDescent="0.35">
      <c r="A842" s="98" t="s">
        <v>1053</v>
      </c>
      <c r="B842" s="98">
        <v>47</v>
      </c>
      <c r="C842" s="98">
        <v>9</v>
      </c>
      <c r="D842" s="93"/>
      <c r="E842" s="93"/>
      <c r="F842" s="93"/>
      <c r="G842" s="97"/>
      <c r="H842" s="97"/>
      <c r="I842" s="93"/>
      <c r="J842" s="93"/>
      <c r="K842" s="93"/>
      <c r="L842" s="93"/>
      <c r="M842" s="93"/>
      <c r="N842" s="98">
        <v>0</v>
      </c>
      <c r="O842" s="98">
        <v>3</v>
      </c>
      <c r="P842" s="99">
        <f>SUM(SamplingData[[#This Row],[Winning Candidate]:[Under Votes]])</f>
        <v>59</v>
      </c>
      <c r="Q842" s="100">
        <f>IF(AND(SamplingData[[#This Row],[Total]]&lt;&gt; 0, NOT(ISBLANK(SamplingData[[#This Row],[Losing Candidate]]))),(SamplingData[[#This Row],[Total]]+SamplingData[[#This Row],[Winning Candidate]]-SamplingData[[#This Row],[Losing Candidate]])/(SamplingData[[#Totals],[Winning Candidate]]-SamplingData[[#Totals],[Losing Candidate]]), 0)</f>
        <v>3.0467694820491878E-3</v>
      </c>
      <c r="R842" s="100">
        <f>IF(AND(SamplingData[[#This Row],[Total]]&lt;&gt; 0, NOT(ISBLANK(SamplingData[[#This Row],[Candidate 3]]))),(SamplingData[[#This Row],[Total]]+SamplingData[[#This Row],[Winning Candidate]]-SamplingData[[#This Row],[Candidate 3]])/(SamplingData[[#Totals],[Winning Candidate]]-SamplingData[[#Totals],[Candidate 3]]), 0)</f>
        <v>0</v>
      </c>
      <c r="S842" s="100">
        <f>IF(AND(SamplingData[[#This Row],[Total]]&lt;&gt; 0, NOT(ISBLANK(SamplingData[[#This Row],[Candidate 4]]))),(SamplingData[[#This Row],[Total]]+SamplingData[[#This Row],[Winning Candidate]]-SamplingData[[#This Row],[Candidate 4]])/(SamplingData[[#Totals],[Winning Candidate]]-SamplingData[[#Totals],[Candidate 4]]), 0)</f>
        <v>0</v>
      </c>
      <c r="T842" s="100">
        <f>IF(AND(SamplingData[[#This Row],[Total]]&lt;&gt; 0, NOT(ISBLANK(SamplingData[[#This Row],[Candidate 5]]))),(SamplingData[[#This Row],[Total]]+SamplingData[[#This Row],[Winning Candidate]]-SamplingData[[#This Row],[Candidate 5]])/(SamplingData[[#Totals],[Winning Candidate]]-SamplingData[[#Totals],[Candidate 5]]), 0)</f>
        <v>0</v>
      </c>
      <c r="U842" s="100">
        <f>IF(AND(SamplingData[[#This Row],[Total]]&lt;&gt; 0, NOT(ISBLANK(SamplingData[[#This Row],[Candidate 6]]))),(SamplingData[[#This Row],[Total]]+SamplingData[[#This Row],[Losing Candidate]]-SamplingData[[#This Row],[Candidate 6]])/(SamplingData[[#Totals],[Winning Candidate]]-SamplingData[[#Totals],[Candidate 6]]), 0)</f>
        <v>0</v>
      </c>
      <c r="V842" s="100">
        <f>IF(AND(SamplingData[[#This Row],[Total]]&lt;&gt; 0, NOT(ISBLANK(SamplingData[[#This Row],[Candidate 7]]))),(SamplingData[[#This Row],[Total]]+SamplingData[[#This Row],[Winning Candidate]]-SamplingData[[#This Row],[Candidate 7]])/(SamplingData[[#Totals],[Winning Candidate]]-SamplingData[[#Totals],[Candidate 7]]), 0)</f>
        <v>0</v>
      </c>
      <c r="W842" s="100">
        <f>IF(AND(SamplingData[[#This Row],[Total]]&lt;&gt; 0, NOT(ISBLANK(SamplingData[[#This Row],[Candidate 8]]))),(SamplingData[[#This Row],[Total]]+SamplingData[[#This Row],[Winning Candidate]]-SamplingData[[#This Row],[Candidate 8]])/(SamplingData[[#Totals],[Winning Candidate]]-SamplingData[[#Totals],[Candidate 8]]), 0)</f>
        <v>0</v>
      </c>
      <c r="X8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00">
        <f>MAX(SamplingData[[#This Row],[Error Bound (up) - Max. possible relative overstatement - Losing Candidate]:[Error Bound (up) - Max. possible relative overstatement - Candidate 12]])</f>
        <v>3.0467694820491878E-3</v>
      </c>
      <c r="AC842" s="100">
        <f>IF(SamplingData[[#This Row],[Max Error Bound (up)]] = 0,0,SamplingData[[#This Row],[Max Error Bound (up)]]/SamplingData[[#Totals],[Max Error Bound (up)]])</f>
        <v>1.3056587519517584E-3</v>
      </c>
      <c r="AD842" s="104">
        <f>SUM($AC$5:AC842)</f>
        <v>0.38008130081300845</v>
      </c>
      <c r="AE842" s="100" t="str" cm="1">
        <f t="array" ref="AE842">IF(SamplingData[[#This Row],[up/U Selection Probability]] = 0, "Zero", TEXT(SamplingData[[#This Row],[Lower Range]], REPT("0",LEN('General Info'!$B$42))) &amp; " - " &amp; TEXT(SamplingData[[#This Row],[Upper Range]], REPT("0",LEN('General Info'!$B$42))))</f>
        <v>37878 - 38007</v>
      </c>
      <c r="AF842" s="100">
        <f>SamplingData[[#This Row],[Upper Range]]-SamplingData[[#This Row],[Span]]</f>
        <v>37877.564206105664</v>
      </c>
      <c r="AG842" s="100">
        <f>IF(ISNUMBER('General Info'!$B$42), ((SamplingData[[#This Row],[up/U Selection Probability]]) * 'General Info'!$B$44) - 1, 0)</f>
        <v>129.56587519517583</v>
      </c>
      <c r="AH842" s="100">
        <f>IF(ISNUMBER('General Info'!$B$42), (SamplingData[[#This Row],[Running (cumulative) sum]] * ('General Info'!$B$42 -'General Info'!$B$43 + 1)) + 'General Info'!$B$43 - 1, 0)</f>
        <v>38007.130081300842</v>
      </c>
      <c r="AI842" s="100" t="str">
        <f>IF(ISERROR(MATCH(SamplingData[[#This Row],[Batch by Type (p)]],SelectedPrecincts[Batch Name], 0)), "", INDEX(SelectedPrecincts[Draw], MATCH(SamplingData[[#This Row],[Batch by Type (p)]],SelectedPrecincts[Batch Name], 0)))</f>
        <v/>
      </c>
      <c r="AJ842" s="101">
        <f>IF(COUNTIF(SelectedPrecincts[Batch Name],SamplingData[[#This Row],[Batch by Type (p)]]) &lt;&gt; 0, COUNTIF(SelectedPrecincts[Batch Name],SamplingData[[#This Row],[Batch by Type (p)]]), 0)</f>
        <v>0</v>
      </c>
    </row>
    <row r="843" spans="1:36" ht="15" customHeight="1" x14ac:dyDescent="0.35">
      <c r="A843" s="98" t="s">
        <v>1054</v>
      </c>
      <c r="B843" s="98">
        <v>35</v>
      </c>
      <c r="C843" s="98">
        <v>8</v>
      </c>
      <c r="D843" s="93"/>
      <c r="E843" s="93"/>
      <c r="F843" s="93"/>
      <c r="G843" s="97"/>
      <c r="H843" s="97"/>
      <c r="I843" s="93"/>
      <c r="J843" s="93"/>
      <c r="K843" s="93"/>
      <c r="L843" s="93"/>
      <c r="M843" s="93"/>
      <c r="N843" s="98">
        <v>0</v>
      </c>
      <c r="O843" s="98">
        <v>1</v>
      </c>
      <c r="P843" s="99">
        <f>SUM(SamplingData[[#This Row],[Winning Candidate]:[Under Votes]])</f>
        <v>44</v>
      </c>
      <c r="Q843" s="100">
        <f>IF(AND(SamplingData[[#This Row],[Total]]&lt;&gt; 0, NOT(ISBLANK(SamplingData[[#This Row],[Losing Candidate]]))),(SamplingData[[#This Row],[Total]]+SamplingData[[#This Row],[Winning Candidate]]-SamplingData[[#This Row],[Losing Candidate]])/(SamplingData[[#Totals],[Winning Candidate]]-SamplingData[[#Totals],[Losing Candidate]]), 0)</f>
        <v>2.2301096208813646E-3</v>
      </c>
      <c r="R843" s="100">
        <f>IF(AND(SamplingData[[#This Row],[Total]]&lt;&gt; 0, NOT(ISBLANK(SamplingData[[#This Row],[Candidate 3]]))),(SamplingData[[#This Row],[Total]]+SamplingData[[#This Row],[Winning Candidate]]-SamplingData[[#This Row],[Candidate 3]])/(SamplingData[[#Totals],[Winning Candidate]]-SamplingData[[#Totals],[Candidate 3]]), 0)</f>
        <v>0</v>
      </c>
      <c r="S843" s="100">
        <f>IF(AND(SamplingData[[#This Row],[Total]]&lt;&gt; 0, NOT(ISBLANK(SamplingData[[#This Row],[Candidate 4]]))),(SamplingData[[#This Row],[Total]]+SamplingData[[#This Row],[Winning Candidate]]-SamplingData[[#This Row],[Candidate 4]])/(SamplingData[[#Totals],[Winning Candidate]]-SamplingData[[#Totals],[Candidate 4]]), 0)</f>
        <v>0</v>
      </c>
      <c r="T843" s="100">
        <f>IF(AND(SamplingData[[#This Row],[Total]]&lt;&gt; 0, NOT(ISBLANK(SamplingData[[#This Row],[Candidate 5]]))),(SamplingData[[#This Row],[Total]]+SamplingData[[#This Row],[Winning Candidate]]-SamplingData[[#This Row],[Candidate 5]])/(SamplingData[[#Totals],[Winning Candidate]]-SamplingData[[#Totals],[Candidate 5]]), 0)</f>
        <v>0</v>
      </c>
      <c r="U843" s="100">
        <f>IF(AND(SamplingData[[#This Row],[Total]]&lt;&gt; 0, NOT(ISBLANK(SamplingData[[#This Row],[Candidate 6]]))),(SamplingData[[#This Row],[Total]]+SamplingData[[#This Row],[Losing Candidate]]-SamplingData[[#This Row],[Candidate 6]])/(SamplingData[[#Totals],[Winning Candidate]]-SamplingData[[#Totals],[Candidate 6]]), 0)</f>
        <v>0</v>
      </c>
      <c r="V843" s="100">
        <f>IF(AND(SamplingData[[#This Row],[Total]]&lt;&gt; 0, NOT(ISBLANK(SamplingData[[#This Row],[Candidate 7]]))),(SamplingData[[#This Row],[Total]]+SamplingData[[#This Row],[Winning Candidate]]-SamplingData[[#This Row],[Candidate 7]])/(SamplingData[[#Totals],[Winning Candidate]]-SamplingData[[#Totals],[Candidate 7]]), 0)</f>
        <v>0</v>
      </c>
      <c r="W843" s="100">
        <f>IF(AND(SamplingData[[#This Row],[Total]]&lt;&gt; 0, NOT(ISBLANK(SamplingData[[#This Row],[Candidate 8]]))),(SamplingData[[#This Row],[Total]]+SamplingData[[#This Row],[Winning Candidate]]-SamplingData[[#This Row],[Candidate 8]])/(SamplingData[[#Totals],[Winning Candidate]]-SamplingData[[#Totals],[Candidate 8]]), 0)</f>
        <v>0</v>
      </c>
      <c r="X8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00">
        <f>MAX(SamplingData[[#This Row],[Error Bound (up) - Max. possible relative overstatement - Losing Candidate]:[Error Bound (up) - Max. possible relative overstatement - Candidate 12]])</f>
        <v>2.2301096208813646E-3</v>
      </c>
      <c r="AC843" s="100">
        <f>IF(SamplingData[[#This Row],[Max Error Bound (up)]] = 0,0,SamplingData[[#This Row],[Max Error Bound (up)]]/SamplingData[[#Totals],[Max Error Bound (up)]])</f>
        <v>9.5568836483066861E-4</v>
      </c>
      <c r="AD843" s="104">
        <f>SUM($AC$5:AC843)</f>
        <v>0.38103698917783912</v>
      </c>
      <c r="AE843" s="100" t="str" cm="1">
        <f t="array" ref="AE843">IF(SamplingData[[#This Row],[up/U Selection Probability]] = 0, "Zero", TEXT(SamplingData[[#This Row],[Lower Range]], REPT("0",LEN('General Info'!$B$42))) &amp; " - " &amp; TEXT(SamplingData[[#This Row],[Upper Range]], REPT("0",LEN('General Info'!$B$42))))</f>
        <v>38008 - 38103</v>
      </c>
      <c r="AF843" s="100">
        <f>SamplingData[[#This Row],[Upper Range]]-SamplingData[[#This Row],[Span]]</f>
        <v>38008.130081300849</v>
      </c>
      <c r="AG843" s="100">
        <f>IF(ISNUMBER('General Info'!$B$42), ((SamplingData[[#This Row],[up/U Selection Probability]]) * 'General Info'!$B$44) - 1, 0)</f>
        <v>94.56883648306686</v>
      </c>
      <c r="AH843" s="100">
        <f>IF(ISNUMBER('General Info'!$B$42), (SamplingData[[#This Row],[Running (cumulative) sum]] * ('General Info'!$B$42 -'General Info'!$B$43 + 1)) + 'General Info'!$B$43 - 1, 0)</f>
        <v>38102.698917783913</v>
      </c>
      <c r="AI843" s="100" t="str">
        <f>IF(ISERROR(MATCH(SamplingData[[#This Row],[Batch by Type (p)]],SelectedPrecincts[Batch Name], 0)), "", INDEX(SelectedPrecincts[Draw], MATCH(SamplingData[[#This Row],[Batch by Type (p)]],SelectedPrecincts[Batch Name], 0)))</f>
        <v/>
      </c>
      <c r="AJ843" s="101">
        <f>IF(COUNTIF(SelectedPrecincts[Batch Name],SamplingData[[#This Row],[Batch by Type (p)]]) &lt;&gt; 0, COUNTIF(SelectedPrecincts[Batch Name],SamplingData[[#This Row],[Batch by Type (p)]]), 0)</f>
        <v>0</v>
      </c>
    </row>
    <row r="844" spans="1:36" ht="15" customHeight="1" x14ac:dyDescent="0.35">
      <c r="A844" s="98" t="s">
        <v>1055</v>
      </c>
      <c r="B844" s="98">
        <v>29</v>
      </c>
      <c r="C844" s="98">
        <v>8</v>
      </c>
      <c r="D844" s="93"/>
      <c r="E844" s="93"/>
      <c r="F844" s="93"/>
      <c r="G844" s="97"/>
      <c r="H844" s="97"/>
      <c r="I844" s="93"/>
      <c r="J844" s="93"/>
      <c r="K844" s="93"/>
      <c r="L844" s="93"/>
      <c r="M844" s="93"/>
      <c r="N844" s="98">
        <v>0</v>
      </c>
      <c r="O844" s="98">
        <v>1</v>
      </c>
      <c r="P844" s="99">
        <f>SUM(SamplingData[[#This Row],[Winning Candidate]:[Under Votes]])</f>
        <v>38</v>
      </c>
      <c r="Q844" s="100">
        <f>IF(AND(SamplingData[[#This Row],[Total]]&lt;&gt; 0, NOT(ISBLANK(SamplingData[[#This Row],[Losing Candidate]]))),(SamplingData[[#This Row],[Total]]+SamplingData[[#This Row],[Winning Candidate]]-SamplingData[[#This Row],[Losing Candidate]])/(SamplingData[[#Totals],[Winning Candidate]]-SamplingData[[#Totals],[Losing Candidate]]), 0)</f>
        <v>1.8531896849577536E-3</v>
      </c>
      <c r="R844" s="100">
        <f>IF(AND(SamplingData[[#This Row],[Total]]&lt;&gt; 0, NOT(ISBLANK(SamplingData[[#This Row],[Candidate 3]]))),(SamplingData[[#This Row],[Total]]+SamplingData[[#This Row],[Winning Candidate]]-SamplingData[[#This Row],[Candidate 3]])/(SamplingData[[#Totals],[Winning Candidate]]-SamplingData[[#Totals],[Candidate 3]]), 0)</f>
        <v>0</v>
      </c>
      <c r="S844" s="100">
        <f>IF(AND(SamplingData[[#This Row],[Total]]&lt;&gt; 0, NOT(ISBLANK(SamplingData[[#This Row],[Candidate 4]]))),(SamplingData[[#This Row],[Total]]+SamplingData[[#This Row],[Winning Candidate]]-SamplingData[[#This Row],[Candidate 4]])/(SamplingData[[#Totals],[Winning Candidate]]-SamplingData[[#Totals],[Candidate 4]]), 0)</f>
        <v>0</v>
      </c>
      <c r="T844" s="100">
        <f>IF(AND(SamplingData[[#This Row],[Total]]&lt;&gt; 0, NOT(ISBLANK(SamplingData[[#This Row],[Candidate 5]]))),(SamplingData[[#This Row],[Total]]+SamplingData[[#This Row],[Winning Candidate]]-SamplingData[[#This Row],[Candidate 5]])/(SamplingData[[#Totals],[Winning Candidate]]-SamplingData[[#Totals],[Candidate 5]]), 0)</f>
        <v>0</v>
      </c>
      <c r="U844" s="100">
        <f>IF(AND(SamplingData[[#This Row],[Total]]&lt;&gt; 0, NOT(ISBLANK(SamplingData[[#This Row],[Candidate 6]]))),(SamplingData[[#This Row],[Total]]+SamplingData[[#This Row],[Losing Candidate]]-SamplingData[[#This Row],[Candidate 6]])/(SamplingData[[#Totals],[Winning Candidate]]-SamplingData[[#Totals],[Candidate 6]]), 0)</f>
        <v>0</v>
      </c>
      <c r="V844" s="100">
        <f>IF(AND(SamplingData[[#This Row],[Total]]&lt;&gt; 0, NOT(ISBLANK(SamplingData[[#This Row],[Candidate 7]]))),(SamplingData[[#This Row],[Total]]+SamplingData[[#This Row],[Winning Candidate]]-SamplingData[[#This Row],[Candidate 7]])/(SamplingData[[#Totals],[Winning Candidate]]-SamplingData[[#Totals],[Candidate 7]]), 0)</f>
        <v>0</v>
      </c>
      <c r="W844" s="100">
        <f>IF(AND(SamplingData[[#This Row],[Total]]&lt;&gt; 0, NOT(ISBLANK(SamplingData[[#This Row],[Candidate 8]]))),(SamplingData[[#This Row],[Total]]+SamplingData[[#This Row],[Winning Candidate]]-SamplingData[[#This Row],[Candidate 8]])/(SamplingData[[#Totals],[Winning Candidate]]-SamplingData[[#Totals],[Candidate 8]]), 0)</f>
        <v>0</v>
      </c>
      <c r="X8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00">
        <f>MAX(SamplingData[[#This Row],[Error Bound (up) - Max. possible relative overstatement - Losing Candidate]:[Error Bound (up) - Max. possible relative overstatement - Candidate 12]])</f>
        <v>1.8531896849577536E-3</v>
      </c>
      <c r="AC844" s="100">
        <f>IF(SamplingData[[#This Row],[Max Error Bound (up)]] = 0,0,SamplingData[[#This Row],[Max Error Bound (up)]]/SamplingData[[#Totals],[Max Error Bound (up)]])</f>
        <v>7.9416357077478092E-4</v>
      </c>
      <c r="AD844" s="104">
        <f>SUM($AC$5:AC844)</f>
        <v>0.3818311527486139</v>
      </c>
      <c r="AE844" s="100" t="str" cm="1">
        <f t="array" ref="AE844">IF(SamplingData[[#This Row],[up/U Selection Probability]] = 0, "Zero", TEXT(SamplingData[[#This Row],[Lower Range]], REPT("0",LEN('General Info'!$B$42))) &amp; " - " &amp; TEXT(SamplingData[[#This Row],[Upper Range]], REPT("0",LEN('General Info'!$B$42))))</f>
        <v>38104 - 38182</v>
      </c>
      <c r="AF844" s="100">
        <f>SamplingData[[#This Row],[Upper Range]]-SamplingData[[#This Row],[Span]]</f>
        <v>38103.698917783913</v>
      </c>
      <c r="AG844" s="100">
        <f>IF(ISNUMBER('General Info'!$B$42), ((SamplingData[[#This Row],[up/U Selection Probability]]) * 'General Info'!$B$44) - 1, 0)</f>
        <v>78.416357077478096</v>
      </c>
      <c r="AH844" s="100">
        <f>IF(ISNUMBER('General Info'!$B$42), (SamplingData[[#This Row],[Running (cumulative) sum]] * ('General Info'!$B$42 -'General Info'!$B$43 + 1)) + 'General Info'!$B$43 - 1, 0)</f>
        <v>38182.115274861389</v>
      </c>
      <c r="AI844" s="100" t="str">
        <f>IF(ISERROR(MATCH(SamplingData[[#This Row],[Batch by Type (p)]],SelectedPrecincts[Batch Name], 0)), "", INDEX(SelectedPrecincts[Draw], MATCH(SamplingData[[#This Row],[Batch by Type (p)]],SelectedPrecincts[Batch Name], 0)))</f>
        <v/>
      </c>
      <c r="AJ844" s="101">
        <f>IF(COUNTIF(SelectedPrecincts[Batch Name],SamplingData[[#This Row],[Batch by Type (p)]]) &lt;&gt; 0, COUNTIF(SelectedPrecincts[Batch Name],SamplingData[[#This Row],[Batch by Type (p)]]), 0)</f>
        <v>0</v>
      </c>
    </row>
    <row r="845" spans="1:36" ht="15" customHeight="1" x14ac:dyDescent="0.35">
      <c r="A845" s="98" t="s">
        <v>1056</v>
      </c>
      <c r="B845" s="98">
        <v>27</v>
      </c>
      <c r="C845" s="98">
        <v>5</v>
      </c>
      <c r="D845" s="93"/>
      <c r="E845" s="93"/>
      <c r="F845" s="93"/>
      <c r="G845" s="97"/>
      <c r="H845" s="97"/>
      <c r="I845" s="93"/>
      <c r="J845" s="93"/>
      <c r="K845" s="93"/>
      <c r="L845" s="93"/>
      <c r="M845" s="93"/>
      <c r="N845" s="98">
        <v>0</v>
      </c>
      <c r="O845" s="98">
        <v>0</v>
      </c>
      <c r="P845" s="99">
        <f>SUM(SamplingData[[#This Row],[Winning Candidate]:[Under Votes]])</f>
        <v>32</v>
      </c>
      <c r="Q845" s="100">
        <f>IF(AND(SamplingData[[#This Row],[Total]]&lt;&gt; 0, NOT(ISBLANK(SamplingData[[#This Row],[Losing Candidate]]))),(SamplingData[[#This Row],[Total]]+SamplingData[[#This Row],[Winning Candidate]]-SamplingData[[#This Row],[Losing Candidate]])/(SamplingData[[#Totals],[Winning Candidate]]-SamplingData[[#Totals],[Losing Candidate]]), 0)</f>
        <v>1.6961397116562491E-3</v>
      </c>
      <c r="R845" s="100">
        <f>IF(AND(SamplingData[[#This Row],[Total]]&lt;&gt; 0, NOT(ISBLANK(SamplingData[[#This Row],[Candidate 3]]))),(SamplingData[[#This Row],[Total]]+SamplingData[[#This Row],[Winning Candidate]]-SamplingData[[#This Row],[Candidate 3]])/(SamplingData[[#Totals],[Winning Candidate]]-SamplingData[[#Totals],[Candidate 3]]), 0)</f>
        <v>0</v>
      </c>
      <c r="S845" s="100">
        <f>IF(AND(SamplingData[[#This Row],[Total]]&lt;&gt; 0, NOT(ISBLANK(SamplingData[[#This Row],[Candidate 4]]))),(SamplingData[[#This Row],[Total]]+SamplingData[[#This Row],[Winning Candidate]]-SamplingData[[#This Row],[Candidate 4]])/(SamplingData[[#Totals],[Winning Candidate]]-SamplingData[[#Totals],[Candidate 4]]), 0)</f>
        <v>0</v>
      </c>
      <c r="T845" s="100">
        <f>IF(AND(SamplingData[[#This Row],[Total]]&lt;&gt; 0, NOT(ISBLANK(SamplingData[[#This Row],[Candidate 5]]))),(SamplingData[[#This Row],[Total]]+SamplingData[[#This Row],[Winning Candidate]]-SamplingData[[#This Row],[Candidate 5]])/(SamplingData[[#Totals],[Winning Candidate]]-SamplingData[[#Totals],[Candidate 5]]), 0)</f>
        <v>0</v>
      </c>
      <c r="U845" s="100">
        <f>IF(AND(SamplingData[[#This Row],[Total]]&lt;&gt; 0, NOT(ISBLANK(SamplingData[[#This Row],[Candidate 6]]))),(SamplingData[[#This Row],[Total]]+SamplingData[[#This Row],[Losing Candidate]]-SamplingData[[#This Row],[Candidate 6]])/(SamplingData[[#Totals],[Winning Candidate]]-SamplingData[[#Totals],[Candidate 6]]), 0)</f>
        <v>0</v>
      </c>
      <c r="V845" s="100">
        <f>IF(AND(SamplingData[[#This Row],[Total]]&lt;&gt; 0, NOT(ISBLANK(SamplingData[[#This Row],[Candidate 7]]))),(SamplingData[[#This Row],[Total]]+SamplingData[[#This Row],[Winning Candidate]]-SamplingData[[#This Row],[Candidate 7]])/(SamplingData[[#Totals],[Winning Candidate]]-SamplingData[[#Totals],[Candidate 7]]), 0)</f>
        <v>0</v>
      </c>
      <c r="W845" s="100">
        <f>IF(AND(SamplingData[[#This Row],[Total]]&lt;&gt; 0, NOT(ISBLANK(SamplingData[[#This Row],[Candidate 8]]))),(SamplingData[[#This Row],[Total]]+SamplingData[[#This Row],[Winning Candidate]]-SamplingData[[#This Row],[Candidate 8]])/(SamplingData[[#Totals],[Winning Candidate]]-SamplingData[[#Totals],[Candidate 8]]), 0)</f>
        <v>0</v>
      </c>
      <c r="X8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00">
        <f>MAX(SamplingData[[#This Row],[Error Bound (up) - Max. possible relative overstatement - Losing Candidate]:[Error Bound (up) - Max. possible relative overstatement - Candidate 12]])</f>
        <v>1.6961397116562491E-3</v>
      </c>
      <c r="AC845" s="100">
        <f>IF(SamplingData[[#This Row],[Max Error Bound (up)]] = 0,0,SamplingData[[#This Row],[Max Error Bound (up)]]/SamplingData[[#Totals],[Max Error Bound (up)]])</f>
        <v>7.2686157325149443E-4</v>
      </c>
      <c r="AD845" s="104">
        <f>SUM($AC$5:AC845)</f>
        <v>0.38255801432186537</v>
      </c>
      <c r="AE845" s="100" t="str" cm="1">
        <f t="array" ref="AE845">IF(SamplingData[[#This Row],[up/U Selection Probability]] = 0, "Zero", TEXT(SamplingData[[#This Row],[Lower Range]], REPT("0",LEN('General Info'!$B$42))) &amp; " - " &amp; TEXT(SamplingData[[#This Row],[Upper Range]], REPT("0",LEN('General Info'!$B$42))))</f>
        <v>38183 - 38255</v>
      </c>
      <c r="AF845" s="100">
        <f>SamplingData[[#This Row],[Upper Range]]-SamplingData[[#This Row],[Span]]</f>
        <v>38183.115274861382</v>
      </c>
      <c r="AG845" s="100">
        <f>IF(ISNUMBER('General Info'!$B$42), ((SamplingData[[#This Row],[up/U Selection Probability]]) * 'General Info'!$B$44) - 1, 0)</f>
        <v>71.686157325149438</v>
      </c>
      <c r="AH845" s="100">
        <f>IF(ISNUMBER('General Info'!$B$42), (SamplingData[[#This Row],[Running (cumulative) sum]] * ('General Info'!$B$42 -'General Info'!$B$43 + 1)) + 'General Info'!$B$43 - 1, 0)</f>
        <v>38254.801432186534</v>
      </c>
      <c r="AI845" s="100" t="str">
        <f>IF(ISERROR(MATCH(SamplingData[[#This Row],[Batch by Type (p)]],SelectedPrecincts[Batch Name], 0)), "", INDEX(SelectedPrecincts[Draw], MATCH(SamplingData[[#This Row],[Batch by Type (p)]],SelectedPrecincts[Batch Name], 0)))</f>
        <v/>
      </c>
      <c r="AJ845" s="101">
        <f>IF(COUNTIF(SelectedPrecincts[Batch Name],SamplingData[[#This Row],[Batch by Type (p)]]) &lt;&gt; 0, COUNTIF(SelectedPrecincts[Batch Name],SamplingData[[#This Row],[Batch by Type (p)]]), 0)</f>
        <v>0</v>
      </c>
    </row>
    <row r="846" spans="1:36" ht="15" customHeight="1" x14ac:dyDescent="0.35">
      <c r="A846" s="98" t="s">
        <v>1057</v>
      </c>
      <c r="B846" s="98">
        <v>31</v>
      </c>
      <c r="C846" s="98">
        <v>6</v>
      </c>
      <c r="D846" s="93"/>
      <c r="E846" s="93"/>
      <c r="F846" s="93"/>
      <c r="G846" s="97"/>
      <c r="H846" s="97"/>
      <c r="I846" s="93"/>
      <c r="J846" s="93"/>
      <c r="K846" s="93"/>
      <c r="L846" s="93"/>
      <c r="M846" s="93"/>
      <c r="N846" s="98">
        <v>0</v>
      </c>
      <c r="O846" s="98">
        <v>0</v>
      </c>
      <c r="P846" s="99">
        <f>SUM(SamplingData[[#This Row],[Winning Candidate]:[Under Votes]])</f>
        <v>37</v>
      </c>
      <c r="Q846" s="100">
        <f>IF(AND(SamplingData[[#This Row],[Total]]&lt;&gt; 0, NOT(ISBLANK(SamplingData[[#This Row],[Losing Candidate]]))),(SamplingData[[#This Row],[Total]]+SamplingData[[#This Row],[Winning Candidate]]-SamplingData[[#This Row],[Losing Candidate]])/(SamplingData[[#Totals],[Winning Candidate]]-SamplingData[[#Totals],[Losing Candidate]]), 0)</f>
        <v>1.9474196689386564E-3</v>
      </c>
      <c r="R846" s="100">
        <f>IF(AND(SamplingData[[#This Row],[Total]]&lt;&gt; 0, NOT(ISBLANK(SamplingData[[#This Row],[Candidate 3]]))),(SamplingData[[#This Row],[Total]]+SamplingData[[#This Row],[Winning Candidate]]-SamplingData[[#This Row],[Candidate 3]])/(SamplingData[[#Totals],[Winning Candidate]]-SamplingData[[#Totals],[Candidate 3]]), 0)</f>
        <v>0</v>
      </c>
      <c r="S846" s="100">
        <f>IF(AND(SamplingData[[#This Row],[Total]]&lt;&gt; 0, NOT(ISBLANK(SamplingData[[#This Row],[Candidate 4]]))),(SamplingData[[#This Row],[Total]]+SamplingData[[#This Row],[Winning Candidate]]-SamplingData[[#This Row],[Candidate 4]])/(SamplingData[[#Totals],[Winning Candidate]]-SamplingData[[#Totals],[Candidate 4]]), 0)</f>
        <v>0</v>
      </c>
      <c r="T846" s="100">
        <f>IF(AND(SamplingData[[#This Row],[Total]]&lt;&gt; 0, NOT(ISBLANK(SamplingData[[#This Row],[Candidate 5]]))),(SamplingData[[#This Row],[Total]]+SamplingData[[#This Row],[Winning Candidate]]-SamplingData[[#This Row],[Candidate 5]])/(SamplingData[[#Totals],[Winning Candidate]]-SamplingData[[#Totals],[Candidate 5]]), 0)</f>
        <v>0</v>
      </c>
      <c r="U846" s="100">
        <f>IF(AND(SamplingData[[#This Row],[Total]]&lt;&gt; 0, NOT(ISBLANK(SamplingData[[#This Row],[Candidate 6]]))),(SamplingData[[#This Row],[Total]]+SamplingData[[#This Row],[Losing Candidate]]-SamplingData[[#This Row],[Candidate 6]])/(SamplingData[[#Totals],[Winning Candidate]]-SamplingData[[#Totals],[Candidate 6]]), 0)</f>
        <v>0</v>
      </c>
      <c r="V846" s="100">
        <f>IF(AND(SamplingData[[#This Row],[Total]]&lt;&gt; 0, NOT(ISBLANK(SamplingData[[#This Row],[Candidate 7]]))),(SamplingData[[#This Row],[Total]]+SamplingData[[#This Row],[Winning Candidate]]-SamplingData[[#This Row],[Candidate 7]])/(SamplingData[[#Totals],[Winning Candidate]]-SamplingData[[#Totals],[Candidate 7]]), 0)</f>
        <v>0</v>
      </c>
      <c r="W846" s="100">
        <f>IF(AND(SamplingData[[#This Row],[Total]]&lt;&gt; 0, NOT(ISBLANK(SamplingData[[#This Row],[Candidate 8]]))),(SamplingData[[#This Row],[Total]]+SamplingData[[#This Row],[Winning Candidate]]-SamplingData[[#This Row],[Candidate 8]])/(SamplingData[[#Totals],[Winning Candidate]]-SamplingData[[#Totals],[Candidate 8]]), 0)</f>
        <v>0</v>
      </c>
      <c r="X8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00">
        <f>MAX(SamplingData[[#This Row],[Error Bound (up) - Max. possible relative overstatement - Losing Candidate]:[Error Bound (up) - Max. possible relative overstatement - Candidate 12]])</f>
        <v>1.9474196689386564E-3</v>
      </c>
      <c r="AC846" s="100">
        <f>IF(SamplingData[[#This Row],[Max Error Bound (up)]] = 0,0,SamplingData[[#This Row],[Max Error Bound (up)]]/SamplingData[[#Totals],[Max Error Bound (up)]])</f>
        <v>8.3454476928875281E-4</v>
      </c>
      <c r="AD846" s="104">
        <f>SUM($AC$5:AC846)</f>
        <v>0.38339255909115411</v>
      </c>
      <c r="AE846" s="100" t="str" cm="1">
        <f t="array" ref="AE846">IF(SamplingData[[#This Row],[up/U Selection Probability]] = 0, "Zero", TEXT(SamplingData[[#This Row],[Lower Range]], REPT("0",LEN('General Info'!$B$42))) &amp; " - " &amp; TEXT(SamplingData[[#This Row],[Upper Range]], REPT("0",LEN('General Info'!$B$42))))</f>
        <v>38256 - 38338</v>
      </c>
      <c r="AF846" s="100">
        <f>SamplingData[[#This Row],[Upper Range]]-SamplingData[[#This Row],[Span]]</f>
        <v>38255.801432186534</v>
      </c>
      <c r="AG846" s="100">
        <f>IF(ISNUMBER('General Info'!$B$42), ((SamplingData[[#This Row],[up/U Selection Probability]]) * 'General Info'!$B$44) - 1, 0)</f>
        <v>82.45447692887528</v>
      </c>
      <c r="AH846" s="100">
        <f>IF(ISNUMBER('General Info'!$B$42), (SamplingData[[#This Row],[Running (cumulative) sum]] * ('General Info'!$B$42 -'General Info'!$B$43 + 1)) + 'General Info'!$B$43 - 1, 0)</f>
        <v>38338.255909115411</v>
      </c>
      <c r="AI846" s="100" t="str">
        <f>IF(ISERROR(MATCH(SamplingData[[#This Row],[Batch by Type (p)]],SelectedPrecincts[Batch Name], 0)), "", INDEX(SelectedPrecincts[Draw], MATCH(SamplingData[[#This Row],[Batch by Type (p)]],SelectedPrecincts[Batch Name], 0)))</f>
        <v/>
      </c>
      <c r="AJ846" s="101">
        <f>IF(COUNTIF(SelectedPrecincts[Batch Name],SamplingData[[#This Row],[Batch by Type (p)]]) &lt;&gt; 0, COUNTIF(SelectedPrecincts[Batch Name],SamplingData[[#This Row],[Batch by Type (p)]]), 0)</f>
        <v>0</v>
      </c>
    </row>
    <row r="847" spans="1:36" ht="15" customHeight="1" x14ac:dyDescent="0.35">
      <c r="A847" s="98" t="s">
        <v>1058</v>
      </c>
      <c r="B847" s="98">
        <v>52</v>
      </c>
      <c r="C847" s="98">
        <v>4</v>
      </c>
      <c r="D847" s="93"/>
      <c r="E847" s="93"/>
      <c r="F847" s="93"/>
      <c r="G847" s="97"/>
      <c r="H847" s="97"/>
      <c r="I847" s="93"/>
      <c r="J847" s="93"/>
      <c r="K847" s="93"/>
      <c r="L847" s="93"/>
      <c r="M847" s="93"/>
      <c r="N847" s="98">
        <v>0</v>
      </c>
      <c r="O847" s="98">
        <v>2</v>
      </c>
      <c r="P847" s="99">
        <f>SUM(SamplingData[[#This Row],[Winning Candidate]:[Under Votes]])</f>
        <v>58</v>
      </c>
      <c r="Q847" s="100">
        <f>IF(AND(SamplingData[[#This Row],[Total]]&lt;&gt; 0, NOT(ISBLANK(SamplingData[[#This Row],[Losing Candidate]]))),(SamplingData[[#This Row],[Total]]+SamplingData[[#This Row],[Winning Candidate]]-SamplingData[[#This Row],[Losing Candidate]])/(SamplingData[[#Totals],[Winning Candidate]]-SamplingData[[#Totals],[Losing Candidate]]), 0)</f>
        <v>3.3294594339918961E-3</v>
      </c>
      <c r="R847" s="100">
        <f>IF(AND(SamplingData[[#This Row],[Total]]&lt;&gt; 0, NOT(ISBLANK(SamplingData[[#This Row],[Candidate 3]]))),(SamplingData[[#This Row],[Total]]+SamplingData[[#This Row],[Winning Candidate]]-SamplingData[[#This Row],[Candidate 3]])/(SamplingData[[#Totals],[Winning Candidate]]-SamplingData[[#Totals],[Candidate 3]]), 0)</f>
        <v>0</v>
      </c>
      <c r="S847" s="100">
        <f>IF(AND(SamplingData[[#This Row],[Total]]&lt;&gt; 0, NOT(ISBLANK(SamplingData[[#This Row],[Candidate 4]]))),(SamplingData[[#This Row],[Total]]+SamplingData[[#This Row],[Winning Candidate]]-SamplingData[[#This Row],[Candidate 4]])/(SamplingData[[#Totals],[Winning Candidate]]-SamplingData[[#Totals],[Candidate 4]]), 0)</f>
        <v>0</v>
      </c>
      <c r="T847" s="100">
        <f>IF(AND(SamplingData[[#This Row],[Total]]&lt;&gt; 0, NOT(ISBLANK(SamplingData[[#This Row],[Candidate 5]]))),(SamplingData[[#This Row],[Total]]+SamplingData[[#This Row],[Winning Candidate]]-SamplingData[[#This Row],[Candidate 5]])/(SamplingData[[#Totals],[Winning Candidate]]-SamplingData[[#Totals],[Candidate 5]]), 0)</f>
        <v>0</v>
      </c>
      <c r="U847" s="100">
        <f>IF(AND(SamplingData[[#This Row],[Total]]&lt;&gt; 0, NOT(ISBLANK(SamplingData[[#This Row],[Candidate 6]]))),(SamplingData[[#This Row],[Total]]+SamplingData[[#This Row],[Losing Candidate]]-SamplingData[[#This Row],[Candidate 6]])/(SamplingData[[#Totals],[Winning Candidate]]-SamplingData[[#Totals],[Candidate 6]]), 0)</f>
        <v>0</v>
      </c>
      <c r="V847" s="100">
        <f>IF(AND(SamplingData[[#This Row],[Total]]&lt;&gt; 0, NOT(ISBLANK(SamplingData[[#This Row],[Candidate 7]]))),(SamplingData[[#This Row],[Total]]+SamplingData[[#This Row],[Winning Candidate]]-SamplingData[[#This Row],[Candidate 7]])/(SamplingData[[#Totals],[Winning Candidate]]-SamplingData[[#Totals],[Candidate 7]]), 0)</f>
        <v>0</v>
      </c>
      <c r="W847" s="100">
        <f>IF(AND(SamplingData[[#This Row],[Total]]&lt;&gt; 0, NOT(ISBLANK(SamplingData[[#This Row],[Candidate 8]]))),(SamplingData[[#This Row],[Total]]+SamplingData[[#This Row],[Winning Candidate]]-SamplingData[[#This Row],[Candidate 8]])/(SamplingData[[#Totals],[Winning Candidate]]-SamplingData[[#Totals],[Candidate 8]]), 0)</f>
        <v>0</v>
      </c>
      <c r="X8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00">
        <f>MAX(SamplingData[[#This Row],[Error Bound (up) - Max. possible relative overstatement - Losing Candidate]:[Error Bound (up) - Max. possible relative overstatement - Candidate 12]])</f>
        <v>3.3294594339918961E-3</v>
      </c>
      <c r="AC847" s="100">
        <f>IF(SamplingData[[#This Row],[Max Error Bound (up)]] = 0,0,SamplingData[[#This Row],[Max Error Bound (up)]]/SamplingData[[#Totals],[Max Error Bound (up)]])</f>
        <v>1.426802347493674E-3</v>
      </c>
      <c r="AD847" s="104">
        <f>SUM($AC$5:AC847)</f>
        <v>0.38481936143864776</v>
      </c>
      <c r="AE847" s="100" t="str" cm="1">
        <f t="array" ref="AE847">IF(SamplingData[[#This Row],[up/U Selection Probability]] = 0, "Zero", TEXT(SamplingData[[#This Row],[Lower Range]], REPT("0",LEN('General Info'!$B$42))) &amp; " - " &amp; TEXT(SamplingData[[#This Row],[Upper Range]], REPT("0",LEN('General Info'!$B$42))))</f>
        <v>38339 - 38481</v>
      </c>
      <c r="AF847" s="100">
        <f>SamplingData[[#This Row],[Upper Range]]-SamplingData[[#This Row],[Span]]</f>
        <v>38339.255909115411</v>
      </c>
      <c r="AG847" s="100">
        <f>IF(ISNUMBER('General Info'!$B$42), ((SamplingData[[#This Row],[up/U Selection Probability]]) * 'General Info'!$B$44) - 1, 0)</f>
        <v>141.6802347493674</v>
      </c>
      <c r="AH847" s="100">
        <f>IF(ISNUMBER('General Info'!$B$42), (SamplingData[[#This Row],[Running (cumulative) sum]] * ('General Info'!$B$42 -'General Info'!$B$43 + 1)) + 'General Info'!$B$43 - 1, 0)</f>
        <v>38480.936143864776</v>
      </c>
      <c r="AI847" s="100" t="str">
        <f>IF(ISERROR(MATCH(SamplingData[[#This Row],[Batch by Type (p)]],SelectedPrecincts[Batch Name], 0)), "", INDEX(SelectedPrecincts[Draw], MATCH(SamplingData[[#This Row],[Batch by Type (p)]],SelectedPrecincts[Batch Name], 0)))</f>
        <v/>
      </c>
      <c r="AJ847" s="101">
        <f>IF(COUNTIF(SelectedPrecincts[Batch Name],SamplingData[[#This Row],[Batch by Type (p)]]) &lt;&gt; 0, COUNTIF(SelectedPrecincts[Batch Name],SamplingData[[#This Row],[Batch by Type (p)]]), 0)</f>
        <v>0</v>
      </c>
    </row>
    <row r="848" spans="1:36" ht="15" customHeight="1" x14ac:dyDescent="0.35">
      <c r="A848" s="98" t="s">
        <v>1059</v>
      </c>
      <c r="B848" s="98">
        <v>11</v>
      </c>
      <c r="C848" s="98">
        <v>3</v>
      </c>
      <c r="D848" s="93"/>
      <c r="E848" s="93"/>
      <c r="F848" s="93"/>
      <c r="G848" s="97"/>
      <c r="H848" s="97"/>
      <c r="I848" s="93"/>
      <c r="J848" s="93"/>
      <c r="K848" s="93"/>
      <c r="L848" s="93"/>
      <c r="M848" s="93"/>
      <c r="N848" s="98">
        <v>0</v>
      </c>
      <c r="O848" s="98">
        <v>0</v>
      </c>
      <c r="P848" s="99">
        <f>SUM(SamplingData[[#This Row],[Winning Candidate]:[Under Votes]])</f>
        <v>14</v>
      </c>
      <c r="Q848"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848" s="100">
        <f>IF(AND(SamplingData[[#This Row],[Total]]&lt;&gt; 0, NOT(ISBLANK(SamplingData[[#This Row],[Candidate 3]]))),(SamplingData[[#This Row],[Total]]+SamplingData[[#This Row],[Winning Candidate]]-SamplingData[[#This Row],[Candidate 3]])/(SamplingData[[#Totals],[Winning Candidate]]-SamplingData[[#Totals],[Candidate 3]]), 0)</f>
        <v>0</v>
      </c>
      <c r="S848" s="100">
        <f>IF(AND(SamplingData[[#This Row],[Total]]&lt;&gt; 0, NOT(ISBLANK(SamplingData[[#This Row],[Candidate 4]]))),(SamplingData[[#This Row],[Total]]+SamplingData[[#This Row],[Winning Candidate]]-SamplingData[[#This Row],[Candidate 4]])/(SamplingData[[#Totals],[Winning Candidate]]-SamplingData[[#Totals],[Candidate 4]]), 0)</f>
        <v>0</v>
      </c>
      <c r="T848" s="100">
        <f>IF(AND(SamplingData[[#This Row],[Total]]&lt;&gt; 0, NOT(ISBLANK(SamplingData[[#This Row],[Candidate 5]]))),(SamplingData[[#This Row],[Total]]+SamplingData[[#This Row],[Winning Candidate]]-SamplingData[[#This Row],[Candidate 5]])/(SamplingData[[#Totals],[Winning Candidate]]-SamplingData[[#Totals],[Candidate 5]]), 0)</f>
        <v>0</v>
      </c>
      <c r="U848" s="100">
        <f>IF(AND(SamplingData[[#This Row],[Total]]&lt;&gt; 0, NOT(ISBLANK(SamplingData[[#This Row],[Candidate 6]]))),(SamplingData[[#This Row],[Total]]+SamplingData[[#This Row],[Losing Candidate]]-SamplingData[[#This Row],[Candidate 6]])/(SamplingData[[#Totals],[Winning Candidate]]-SamplingData[[#Totals],[Candidate 6]]), 0)</f>
        <v>0</v>
      </c>
      <c r="V848" s="100">
        <f>IF(AND(SamplingData[[#This Row],[Total]]&lt;&gt; 0, NOT(ISBLANK(SamplingData[[#This Row],[Candidate 7]]))),(SamplingData[[#This Row],[Total]]+SamplingData[[#This Row],[Winning Candidate]]-SamplingData[[#This Row],[Candidate 7]])/(SamplingData[[#Totals],[Winning Candidate]]-SamplingData[[#Totals],[Candidate 7]]), 0)</f>
        <v>0</v>
      </c>
      <c r="W848" s="100">
        <f>IF(AND(SamplingData[[#This Row],[Total]]&lt;&gt; 0, NOT(ISBLANK(SamplingData[[#This Row],[Candidate 8]]))),(SamplingData[[#This Row],[Total]]+SamplingData[[#This Row],[Winning Candidate]]-SamplingData[[#This Row],[Candidate 8]])/(SamplingData[[#Totals],[Winning Candidate]]-SamplingData[[#Totals],[Candidate 8]]), 0)</f>
        <v>0</v>
      </c>
      <c r="X8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00">
        <f>MAX(SamplingData[[#This Row],[Error Bound (up) - Max. possible relative overstatement - Losing Candidate]:[Error Bound (up) - Max. possible relative overstatement - Candidate 12]])</f>
        <v>6.9101988252662E-4</v>
      </c>
      <c r="AC848" s="100">
        <f>IF(SamplingData[[#This Row],[Max Error Bound (up)]] = 0,0,SamplingData[[#This Row],[Max Error Bound (up)]]/SamplingData[[#Totals],[Max Error Bound (up)]])</f>
        <v>2.9612878910246067E-4</v>
      </c>
      <c r="AD848" s="104">
        <f>SUM($AC$5:AC848)</f>
        <v>0.38511549022775021</v>
      </c>
      <c r="AE848" s="100" t="str" cm="1">
        <f t="array" ref="AE848">IF(SamplingData[[#This Row],[up/U Selection Probability]] = 0, "Zero", TEXT(SamplingData[[#This Row],[Lower Range]], REPT("0",LEN('General Info'!$B$42))) &amp; " - " &amp; TEXT(SamplingData[[#This Row],[Upper Range]], REPT("0",LEN('General Info'!$B$42))))</f>
        <v>38482 - 38511</v>
      </c>
      <c r="AF848" s="100">
        <f>SamplingData[[#This Row],[Upper Range]]-SamplingData[[#This Row],[Span]]</f>
        <v>38481.936143864776</v>
      </c>
      <c r="AG848" s="100">
        <f>IF(ISNUMBER('General Info'!$B$42), ((SamplingData[[#This Row],[up/U Selection Probability]]) * 'General Info'!$B$44) - 1, 0)</f>
        <v>28.612878910246067</v>
      </c>
      <c r="AH848" s="100">
        <f>IF(ISNUMBER('General Info'!$B$42), (SamplingData[[#This Row],[Running (cumulative) sum]] * ('General Info'!$B$42 -'General Info'!$B$43 + 1)) + 'General Info'!$B$43 - 1, 0)</f>
        <v>38510.54902277502</v>
      </c>
      <c r="AI848" s="100" t="str">
        <f>IF(ISERROR(MATCH(SamplingData[[#This Row],[Batch by Type (p)]],SelectedPrecincts[Batch Name], 0)), "", INDEX(SelectedPrecincts[Draw], MATCH(SamplingData[[#This Row],[Batch by Type (p)]],SelectedPrecincts[Batch Name], 0)))</f>
        <v/>
      </c>
      <c r="AJ848" s="101">
        <f>IF(COUNTIF(SelectedPrecincts[Batch Name],SamplingData[[#This Row],[Batch by Type (p)]]) &lt;&gt; 0, COUNTIF(SelectedPrecincts[Batch Name],SamplingData[[#This Row],[Batch by Type (p)]]), 0)</f>
        <v>0</v>
      </c>
    </row>
    <row r="849" spans="1:36" ht="15" customHeight="1" x14ac:dyDescent="0.35">
      <c r="A849" s="98" t="s">
        <v>1060</v>
      </c>
      <c r="B849" s="98">
        <v>17</v>
      </c>
      <c r="C849" s="98">
        <v>9</v>
      </c>
      <c r="D849" s="93"/>
      <c r="E849" s="93"/>
      <c r="F849" s="93"/>
      <c r="G849" s="97"/>
      <c r="H849" s="97"/>
      <c r="I849" s="93"/>
      <c r="J849" s="93"/>
      <c r="K849" s="93"/>
      <c r="L849" s="93"/>
      <c r="M849" s="93"/>
      <c r="N849" s="98">
        <v>0</v>
      </c>
      <c r="O849" s="98">
        <v>0</v>
      </c>
      <c r="P849" s="99">
        <f>SUM(SamplingData[[#This Row],[Winning Candidate]:[Under Votes]])</f>
        <v>26</v>
      </c>
      <c r="Q849"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849" s="100">
        <f>IF(AND(SamplingData[[#This Row],[Total]]&lt;&gt; 0, NOT(ISBLANK(SamplingData[[#This Row],[Candidate 3]]))),(SamplingData[[#This Row],[Total]]+SamplingData[[#This Row],[Winning Candidate]]-SamplingData[[#This Row],[Candidate 3]])/(SamplingData[[#Totals],[Winning Candidate]]-SamplingData[[#Totals],[Candidate 3]]), 0)</f>
        <v>0</v>
      </c>
      <c r="S849" s="100">
        <f>IF(AND(SamplingData[[#This Row],[Total]]&lt;&gt; 0, NOT(ISBLANK(SamplingData[[#This Row],[Candidate 4]]))),(SamplingData[[#This Row],[Total]]+SamplingData[[#This Row],[Winning Candidate]]-SamplingData[[#This Row],[Candidate 4]])/(SamplingData[[#Totals],[Winning Candidate]]-SamplingData[[#Totals],[Candidate 4]]), 0)</f>
        <v>0</v>
      </c>
      <c r="T849" s="100">
        <f>IF(AND(SamplingData[[#This Row],[Total]]&lt;&gt; 0, NOT(ISBLANK(SamplingData[[#This Row],[Candidate 5]]))),(SamplingData[[#This Row],[Total]]+SamplingData[[#This Row],[Winning Candidate]]-SamplingData[[#This Row],[Candidate 5]])/(SamplingData[[#Totals],[Winning Candidate]]-SamplingData[[#Totals],[Candidate 5]]), 0)</f>
        <v>0</v>
      </c>
      <c r="U849" s="100">
        <f>IF(AND(SamplingData[[#This Row],[Total]]&lt;&gt; 0, NOT(ISBLANK(SamplingData[[#This Row],[Candidate 6]]))),(SamplingData[[#This Row],[Total]]+SamplingData[[#This Row],[Losing Candidate]]-SamplingData[[#This Row],[Candidate 6]])/(SamplingData[[#Totals],[Winning Candidate]]-SamplingData[[#Totals],[Candidate 6]]), 0)</f>
        <v>0</v>
      </c>
      <c r="V849" s="100">
        <f>IF(AND(SamplingData[[#This Row],[Total]]&lt;&gt; 0, NOT(ISBLANK(SamplingData[[#This Row],[Candidate 7]]))),(SamplingData[[#This Row],[Total]]+SamplingData[[#This Row],[Winning Candidate]]-SamplingData[[#This Row],[Candidate 7]])/(SamplingData[[#Totals],[Winning Candidate]]-SamplingData[[#Totals],[Candidate 7]]), 0)</f>
        <v>0</v>
      </c>
      <c r="W849" s="100">
        <f>IF(AND(SamplingData[[#This Row],[Total]]&lt;&gt; 0, NOT(ISBLANK(SamplingData[[#This Row],[Candidate 8]]))),(SamplingData[[#This Row],[Total]]+SamplingData[[#This Row],[Winning Candidate]]-SamplingData[[#This Row],[Candidate 8]])/(SamplingData[[#Totals],[Winning Candidate]]-SamplingData[[#Totals],[Candidate 8]]), 0)</f>
        <v>0</v>
      </c>
      <c r="X8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00">
        <f>MAX(SamplingData[[#This Row],[Error Bound (up) - Max. possible relative overstatement - Losing Candidate]:[Error Bound (up) - Max. possible relative overstatement - Candidate 12]])</f>
        <v>1.0679398184502309E-3</v>
      </c>
      <c r="AC849" s="100">
        <f>IF(SamplingData[[#This Row],[Max Error Bound (up)]] = 0,0,SamplingData[[#This Row],[Max Error Bound (up)]]/SamplingData[[#Totals],[Max Error Bound (up)]])</f>
        <v>4.5765358315834836E-4</v>
      </c>
      <c r="AD849" s="104">
        <f>SUM($AC$5:AC849)</f>
        <v>0.38557314381090857</v>
      </c>
      <c r="AE849" s="100" t="str" cm="1">
        <f t="array" ref="AE849">IF(SamplingData[[#This Row],[up/U Selection Probability]] = 0, "Zero", TEXT(SamplingData[[#This Row],[Lower Range]], REPT("0",LEN('General Info'!$B$42))) &amp; " - " &amp; TEXT(SamplingData[[#This Row],[Upper Range]], REPT("0",LEN('General Info'!$B$42))))</f>
        <v>38512 - 38556</v>
      </c>
      <c r="AF849" s="100">
        <f>SamplingData[[#This Row],[Upper Range]]-SamplingData[[#This Row],[Span]]</f>
        <v>38511.549022775027</v>
      </c>
      <c r="AG849" s="100">
        <f>IF(ISNUMBER('General Info'!$B$42), ((SamplingData[[#This Row],[up/U Selection Probability]]) * 'General Info'!$B$44) - 1, 0)</f>
        <v>44.765358315834838</v>
      </c>
      <c r="AH849" s="100">
        <f>IF(ISNUMBER('General Info'!$B$42), (SamplingData[[#This Row],[Running (cumulative) sum]] * ('General Info'!$B$42 -'General Info'!$B$43 + 1)) + 'General Info'!$B$43 - 1, 0)</f>
        <v>38556.314381090859</v>
      </c>
      <c r="AI849" s="100" t="str">
        <f>IF(ISERROR(MATCH(SamplingData[[#This Row],[Batch by Type (p)]],SelectedPrecincts[Batch Name], 0)), "", INDEX(SelectedPrecincts[Draw], MATCH(SamplingData[[#This Row],[Batch by Type (p)]],SelectedPrecincts[Batch Name], 0)))</f>
        <v/>
      </c>
      <c r="AJ849" s="101">
        <f>IF(COUNTIF(SelectedPrecincts[Batch Name],SamplingData[[#This Row],[Batch by Type (p)]]) &lt;&gt; 0, COUNTIF(SelectedPrecincts[Batch Name],SamplingData[[#This Row],[Batch by Type (p)]]), 0)</f>
        <v>0</v>
      </c>
    </row>
    <row r="850" spans="1:36" ht="15" customHeight="1" x14ac:dyDescent="0.35">
      <c r="A850" s="98" t="s">
        <v>1061</v>
      </c>
      <c r="B850" s="98">
        <v>49</v>
      </c>
      <c r="C850" s="98">
        <v>4</v>
      </c>
      <c r="D850" s="93"/>
      <c r="E850" s="93"/>
      <c r="F850" s="93"/>
      <c r="G850" s="97"/>
      <c r="H850" s="97"/>
      <c r="I850" s="93"/>
      <c r="J850" s="93"/>
      <c r="K850" s="93"/>
      <c r="L850" s="93"/>
      <c r="M850" s="93"/>
      <c r="N850" s="98">
        <v>0</v>
      </c>
      <c r="O850" s="98">
        <v>0</v>
      </c>
      <c r="P850" s="99">
        <f>SUM(SamplingData[[#This Row],[Winning Candidate]:[Under Votes]])</f>
        <v>53</v>
      </c>
      <c r="Q850" s="100">
        <f>IF(AND(SamplingData[[#This Row],[Total]]&lt;&gt; 0, NOT(ISBLANK(SamplingData[[#This Row],[Losing Candidate]]))),(SamplingData[[#This Row],[Total]]+SamplingData[[#This Row],[Winning Candidate]]-SamplingData[[#This Row],[Losing Candidate]])/(SamplingData[[#Totals],[Winning Candidate]]-SamplingData[[#Totals],[Losing Candidate]]), 0)</f>
        <v>3.0781794767094891E-3</v>
      </c>
      <c r="R850" s="100">
        <f>IF(AND(SamplingData[[#This Row],[Total]]&lt;&gt; 0, NOT(ISBLANK(SamplingData[[#This Row],[Candidate 3]]))),(SamplingData[[#This Row],[Total]]+SamplingData[[#This Row],[Winning Candidate]]-SamplingData[[#This Row],[Candidate 3]])/(SamplingData[[#Totals],[Winning Candidate]]-SamplingData[[#Totals],[Candidate 3]]), 0)</f>
        <v>0</v>
      </c>
      <c r="S850" s="100">
        <f>IF(AND(SamplingData[[#This Row],[Total]]&lt;&gt; 0, NOT(ISBLANK(SamplingData[[#This Row],[Candidate 4]]))),(SamplingData[[#This Row],[Total]]+SamplingData[[#This Row],[Winning Candidate]]-SamplingData[[#This Row],[Candidate 4]])/(SamplingData[[#Totals],[Winning Candidate]]-SamplingData[[#Totals],[Candidate 4]]), 0)</f>
        <v>0</v>
      </c>
      <c r="T850" s="100">
        <f>IF(AND(SamplingData[[#This Row],[Total]]&lt;&gt; 0, NOT(ISBLANK(SamplingData[[#This Row],[Candidate 5]]))),(SamplingData[[#This Row],[Total]]+SamplingData[[#This Row],[Winning Candidate]]-SamplingData[[#This Row],[Candidate 5]])/(SamplingData[[#Totals],[Winning Candidate]]-SamplingData[[#Totals],[Candidate 5]]), 0)</f>
        <v>0</v>
      </c>
      <c r="U850" s="100">
        <f>IF(AND(SamplingData[[#This Row],[Total]]&lt;&gt; 0, NOT(ISBLANK(SamplingData[[#This Row],[Candidate 6]]))),(SamplingData[[#This Row],[Total]]+SamplingData[[#This Row],[Losing Candidate]]-SamplingData[[#This Row],[Candidate 6]])/(SamplingData[[#Totals],[Winning Candidate]]-SamplingData[[#Totals],[Candidate 6]]), 0)</f>
        <v>0</v>
      </c>
      <c r="V850" s="100">
        <f>IF(AND(SamplingData[[#This Row],[Total]]&lt;&gt; 0, NOT(ISBLANK(SamplingData[[#This Row],[Candidate 7]]))),(SamplingData[[#This Row],[Total]]+SamplingData[[#This Row],[Winning Candidate]]-SamplingData[[#This Row],[Candidate 7]])/(SamplingData[[#Totals],[Winning Candidate]]-SamplingData[[#Totals],[Candidate 7]]), 0)</f>
        <v>0</v>
      </c>
      <c r="W850" s="100">
        <f>IF(AND(SamplingData[[#This Row],[Total]]&lt;&gt; 0, NOT(ISBLANK(SamplingData[[#This Row],[Candidate 8]]))),(SamplingData[[#This Row],[Total]]+SamplingData[[#This Row],[Winning Candidate]]-SamplingData[[#This Row],[Candidate 8]])/(SamplingData[[#Totals],[Winning Candidate]]-SamplingData[[#Totals],[Candidate 8]]), 0)</f>
        <v>0</v>
      </c>
      <c r="X8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00">
        <f>MAX(SamplingData[[#This Row],[Error Bound (up) - Max. possible relative overstatement - Losing Candidate]:[Error Bound (up) - Max. possible relative overstatement - Candidate 12]])</f>
        <v>3.0781794767094891E-3</v>
      </c>
      <c r="AC850" s="100">
        <f>IF(SamplingData[[#This Row],[Max Error Bound (up)]] = 0,0,SamplingData[[#This Row],[Max Error Bound (up)]]/SamplingData[[#Totals],[Max Error Bound (up)]])</f>
        <v>1.3191191514564157E-3</v>
      </c>
      <c r="AD850" s="104">
        <f>SUM($AC$5:AC850)</f>
        <v>0.38689226296236501</v>
      </c>
      <c r="AE850" s="100" t="str" cm="1">
        <f t="array" ref="AE850">IF(SamplingData[[#This Row],[up/U Selection Probability]] = 0, "Zero", TEXT(SamplingData[[#This Row],[Lower Range]], REPT("0",LEN('General Info'!$B$42))) &amp; " - " &amp; TEXT(SamplingData[[#This Row],[Upper Range]], REPT("0",LEN('General Info'!$B$42))))</f>
        <v>38557 - 38688</v>
      </c>
      <c r="AF850" s="100">
        <f>SamplingData[[#This Row],[Upper Range]]-SamplingData[[#This Row],[Span]]</f>
        <v>38557.314381090859</v>
      </c>
      <c r="AG850" s="100">
        <f>IF(ISNUMBER('General Info'!$B$42), ((SamplingData[[#This Row],[up/U Selection Probability]]) * 'General Info'!$B$44) - 1, 0)</f>
        <v>130.91191514564156</v>
      </c>
      <c r="AH850" s="100">
        <f>IF(ISNUMBER('General Info'!$B$42), (SamplingData[[#This Row],[Running (cumulative) sum]] * ('General Info'!$B$42 -'General Info'!$B$43 + 1)) + 'General Info'!$B$43 - 1, 0)</f>
        <v>38688.226296236498</v>
      </c>
      <c r="AI850" s="100" t="str">
        <f>IF(ISERROR(MATCH(SamplingData[[#This Row],[Batch by Type (p)]],SelectedPrecincts[Batch Name], 0)), "", INDEX(SelectedPrecincts[Draw], MATCH(SamplingData[[#This Row],[Batch by Type (p)]],SelectedPrecincts[Batch Name], 0)))</f>
        <v/>
      </c>
      <c r="AJ850" s="101">
        <f>IF(COUNTIF(SelectedPrecincts[Batch Name],SamplingData[[#This Row],[Batch by Type (p)]]) &lt;&gt; 0, COUNTIF(SelectedPrecincts[Batch Name],SamplingData[[#This Row],[Batch by Type (p)]]), 0)</f>
        <v>0</v>
      </c>
    </row>
    <row r="851" spans="1:36" ht="15" customHeight="1" x14ac:dyDescent="0.35">
      <c r="A851" s="98" t="s">
        <v>1062</v>
      </c>
      <c r="B851" s="98">
        <v>121</v>
      </c>
      <c r="C851" s="98">
        <v>38</v>
      </c>
      <c r="D851" s="93"/>
      <c r="E851" s="93"/>
      <c r="F851" s="93"/>
      <c r="G851" s="97"/>
      <c r="H851" s="97"/>
      <c r="I851" s="93"/>
      <c r="J851" s="93"/>
      <c r="K851" s="93"/>
      <c r="L851" s="93"/>
      <c r="M851" s="93"/>
      <c r="N851" s="98">
        <v>0</v>
      </c>
      <c r="O851" s="98">
        <v>12</v>
      </c>
      <c r="P851" s="99">
        <f>SUM(SamplingData[[#This Row],[Winning Candidate]:[Under Votes]])</f>
        <v>171</v>
      </c>
      <c r="Q851" s="100">
        <f>IF(AND(SamplingData[[#This Row],[Total]]&lt;&gt; 0, NOT(ISBLANK(SamplingData[[#This Row],[Losing Candidate]]))),(SamplingData[[#This Row],[Total]]+SamplingData[[#This Row],[Winning Candidate]]-SamplingData[[#This Row],[Losing Candidate]])/(SamplingData[[#Totals],[Winning Candidate]]-SamplingData[[#Totals],[Losing Candidate]]), 0)</f>
        <v>7.9781386437164301E-3</v>
      </c>
      <c r="R851" s="100">
        <f>IF(AND(SamplingData[[#This Row],[Total]]&lt;&gt; 0, NOT(ISBLANK(SamplingData[[#This Row],[Candidate 3]]))),(SamplingData[[#This Row],[Total]]+SamplingData[[#This Row],[Winning Candidate]]-SamplingData[[#This Row],[Candidate 3]])/(SamplingData[[#Totals],[Winning Candidate]]-SamplingData[[#Totals],[Candidate 3]]), 0)</f>
        <v>0</v>
      </c>
      <c r="S851" s="100">
        <f>IF(AND(SamplingData[[#This Row],[Total]]&lt;&gt; 0, NOT(ISBLANK(SamplingData[[#This Row],[Candidate 4]]))),(SamplingData[[#This Row],[Total]]+SamplingData[[#This Row],[Winning Candidate]]-SamplingData[[#This Row],[Candidate 4]])/(SamplingData[[#Totals],[Winning Candidate]]-SamplingData[[#Totals],[Candidate 4]]), 0)</f>
        <v>0</v>
      </c>
      <c r="T851" s="100">
        <f>IF(AND(SamplingData[[#This Row],[Total]]&lt;&gt; 0, NOT(ISBLANK(SamplingData[[#This Row],[Candidate 5]]))),(SamplingData[[#This Row],[Total]]+SamplingData[[#This Row],[Winning Candidate]]-SamplingData[[#This Row],[Candidate 5]])/(SamplingData[[#Totals],[Winning Candidate]]-SamplingData[[#Totals],[Candidate 5]]), 0)</f>
        <v>0</v>
      </c>
      <c r="U851" s="100">
        <f>IF(AND(SamplingData[[#This Row],[Total]]&lt;&gt; 0, NOT(ISBLANK(SamplingData[[#This Row],[Candidate 6]]))),(SamplingData[[#This Row],[Total]]+SamplingData[[#This Row],[Losing Candidate]]-SamplingData[[#This Row],[Candidate 6]])/(SamplingData[[#Totals],[Winning Candidate]]-SamplingData[[#Totals],[Candidate 6]]), 0)</f>
        <v>0</v>
      </c>
      <c r="V851" s="100">
        <f>IF(AND(SamplingData[[#This Row],[Total]]&lt;&gt; 0, NOT(ISBLANK(SamplingData[[#This Row],[Candidate 7]]))),(SamplingData[[#This Row],[Total]]+SamplingData[[#This Row],[Winning Candidate]]-SamplingData[[#This Row],[Candidate 7]])/(SamplingData[[#Totals],[Winning Candidate]]-SamplingData[[#Totals],[Candidate 7]]), 0)</f>
        <v>0</v>
      </c>
      <c r="W851" s="100">
        <f>IF(AND(SamplingData[[#This Row],[Total]]&lt;&gt; 0, NOT(ISBLANK(SamplingData[[#This Row],[Candidate 8]]))),(SamplingData[[#This Row],[Total]]+SamplingData[[#This Row],[Winning Candidate]]-SamplingData[[#This Row],[Candidate 8]])/(SamplingData[[#Totals],[Winning Candidate]]-SamplingData[[#Totals],[Candidate 8]]), 0)</f>
        <v>0</v>
      </c>
      <c r="X8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00">
        <f>MAX(SamplingData[[#This Row],[Error Bound (up) - Max. possible relative overstatement - Losing Candidate]:[Error Bound (up) - Max. possible relative overstatement - Candidate 12]])</f>
        <v>7.9781386437164301E-3</v>
      </c>
      <c r="AC851" s="100">
        <f>IF(SamplingData[[#This Row],[Max Error Bound (up)]] = 0,0,SamplingData[[#This Row],[Max Error Bound (up)]]/SamplingData[[#Totals],[Max Error Bound (up)]])</f>
        <v>3.4189414741829546E-3</v>
      </c>
      <c r="AD851" s="104">
        <f>SUM($AC$5:AC851)</f>
        <v>0.39031120443654799</v>
      </c>
      <c r="AE851" s="100" t="str" cm="1">
        <f t="array" ref="AE851">IF(SamplingData[[#This Row],[up/U Selection Probability]] = 0, "Zero", TEXT(SamplingData[[#This Row],[Lower Range]], REPT("0",LEN('General Info'!$B$42))) &amp; " - " &amp; TEXT(SamplingData[[#This Row],[Upper Range]], REPT("0",LEN('General Info'!$B$42))))</f>
        <v>38689 - 39030</v>
      </c>
      <c r="AF851" s="100">
        <f>SamplingData[[#This Row],[Upper Range]]-SamplingData[[#This Row],[Span]]</f>
        <v>38689.226296236506</v>
      </c>
      <c r="AG851" s="100">
        <f>IF(ISNUMBER('General Info'!$B$42), ((SamplingData[[#This Row],[up/U Selection Probability]]) * 'General Info'!$B$44) - 1, 0)</f>
        <v>340.89414741829546</v>
      </c>
      <c r="AH851" s="100">
        <f>IF(ISNUMBER('General Info'!$B$42), (SamplingData[[#This Row],[Running (cumulative) sum]] * ('General Info'!$B$42 -'General Info'!$B$43 + 1)) + 'General Info'!$B$43 - 1, 0)</f>
        <v>39030.1204436548</v>
      </c>
      <c r="AI851" s="100" t="str">
        <f>IF(ISERROR(MATCH(SamplingData[[#This Row],[Batch by Type (p)]],SelectedPrecincts[Batch Name], 0)), "", INDEX(SelectedPrecincts[Draw], MATCH(SamplingData[[#This Row],[Batch by Type (p)]],SelectedPrecincts[Batch Name], 0)))</f>
        <v/>
      </c>
      <c r="AJ851" s="101">
        <f>IF(COUNTIF(SelectedPrecincts[Batch Name],SamplingData[[#This Row],[Batch by Type (p)]]) &lt;&gt; 0, COUNTIF(SelectedPrecincts[Batch Name],SamplingData[[#This Row],[Batch by Type (p)]]), 0)</f>
        <v>0</v>
      </c>
    </row>
    <row r="852" spans="1:36" ht="15" customHeight="1" x14ac:dyDescent="0.35">
      <c r="A852" s="98" t="s">
        <v>1063</v>
      </c>
      <c r="B852" s="98">
        <v>19</v>
      </c>
      <c r="C852" s="98">
        <v>8</v>
      </c>
      <c r="D852" s="93"/>
      <c r="E852" s="93"/>
      <c r="F852" s="93"/>
      <c r="G852" s="97"/>
      <c r="H852" s="97"/>
      <c r="I852" s="93"/>
      <c r="J852" s="93"/>
      <c r="K852" s="93"/>
      <c r="L852" s="93"/>
      <c r="M852" s="93"/>
      <c r="N852" s="98">
        <v>0</v>
      </c>
      <c r="O852" s="98">
        <v>0</v>
      </c>
      <c r="P852" s="99">
        <f>SUM(SamplingData[[#This Row],[Winning Candidate]:[Under Votes]])</f>
        <v>27</v>
      </c>
      <c r="Q852"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852" s="100">
        <f>IF(AND(SamplingData[[#This Row],[Total]]&lt;&gt; 0, NOT(ISBLANK(SamplingData[[#This Row],[Candidate 3]]))),(SamplingData[[#This Row],[Total]]+SamplingData[[#This Row],[Winning Candidate]]-SamplingData[[#This Row],[Candidate 3]])/(SamplingData[[#Totals],[Winning Candidate]]-SamplingData[[#Totals],[Candidate 3]]), 0)</f>
        <v>0</v>
      </c>
      <c r="S852" s="100">
        <f>IF(AND(SamplingData[[#This Row],[Total]]&lt;&gt; 0, NOT(ISBLANK(SamplingData[[#This Row],[Candidate 4]]))),(SamplingData[[#This Row],[Total]]+SamplingData[[#This Row],[Winning Candidate]]-SamplingData[[#This Row],[Candidate 4]])/(SamplingData[[#Totals],[Winning Candidate]]-SamplingData[[#Totals],[Candidate 4]]), 0)</f>
        <v>0</v>
      </c>
      <c r="T852" s="100">
        <f>IF(AND(SamplingData[[#This Row],[Total]]&lt;&gt; 0, NOT(ISBLANK(SamplingData[[#This Row],[Candidate 5]]))),(SamplingData[[#This Row],[Total]]+SamplingData[[#This Row],[Winning Candidate]]-SamplingData[[#This Row],[Candidate 5]])/(SamplingData[[#Totals],[Winning Candidate]]-SamplingData[[#Totals],[Candidate 5]]), 0)</f>
        <v>0</v>
      </c>
      <c r="U852" s="100">
        <f>IF(AND(SamplingData[[#This Row],[Total]]&lt;&gt; 0, NOT(ISBLANK(SamplingData[[#This Row],[Candidate 6]]))),(SamplingData[[#This Row],[Total]]+SamplingData[[#This Row],[Losing Candidate]]-SamplingData[[#This Row],[Candidate 6]])/(SamplingData[[#Totals],[Winning Candidate]]-SamplingData[[#Totals],[Candidate 6]]), 0)</f>
        <v>0</v>
      </c>
      <c r="V852" s="100">
        <f>IF(AND(SamplingData[[#This Row],[Total]]&lt;&gt; 0, NOT(ISBLANK(SamplingData[[#This Row],[Candidate 7]]))),(SamplingData[[#This Row],[Total]]+SamplingData[[#This Row],[Winning Candidate]]-SamplingData[[#This Row],[Candidate 7]])/(SamplingData[[#Totals],[Winning Candidate]]-SamplingData[[#Totals],[Candidate 7]]), 0)</f>
        <v>0</v>
      </c>
      <c r="W852" s="100">
        <f>IF(AND(SamplingData[[#This Row],[Total]]&lt;&gt; 0, NOT(ISBLANK(SamplingData[[#This Row],[Candidate 8]]))),(SamplingData[[#This Row],[Total]]+SamplingData[[#This Row],[Winning Candidate]]-SamplingData[[#This Row],[Candidate 8]])/(SamplingData[[#Totals],[Winning Candidate]]-SamplingData[[#Totals],[Candidate 8]]), 0)</f>
        <v>0</v>
      </c>
      <c r="X8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00">
        <f>MAX(SamplingData[[#This Row],[Error Bound (up) - Max. possible relative overstatement - Losing Candidate]:[Error Bound (up) - Max. possible relative overstatement - Candidate 12]])</f>
        <v>1.1935797970914345E-3</v>
      </c>
      <c r="AC852" s="100">
        <f>IF(SamplingData[[#This Row],[Max Error Bound (up)]] = 0,0,SamplingData[[#This Row],[Max Error Bound (up)]]/SamplingData[[#Totals],[Max Error Bound (up)]])</f>
        <v>5.1149518117697755E-4</v>
      </c>
      <c r="AD852" s="104">
        <f>SUM($AC$5:AC852)</f>
        <v>0.39082269961772498</v>
      </c>
      <c r="AE852" s="100" t="str" cm="1">
        <f t="array" ref="AE852">IF(SamplingData[[#This Row],[up/U Selection Probability]] = 0, "Zero", TEXT(SamplingData[[#This Row],[Lower Range]], REPT("0",LEN('General Info'!$B$42))) &amp; " - " &amp; TEXT(SamplingData[[#This Row],[Upper Range]], REPT("0",LEN('General Info'!$B$42))))</f>
        <v>39031 - 39081</v>
      </c>
      <c r="AF852" s="100">
        <f>SamplingData[[#This Row],[Upper Range]]-SamplingData[[#This Row],[Span]]</f>
        <v>39031.120443654807</v>
      </c>
      <c r="AG852" s="100">
        <f>IF(ISNUMBER('General Info'!$B$42), ((SamplingData[[#This Row],[up/U Selection Probability]]) * 'General Info'!$B$44) - 1, 0)</f>
        <v>50.149518117697752</v>
      </c>
      <c r="AH852" s="100">
        <f>IF(ISNUMBER('General Info'!$B$42), (SamplingData[[#This Row],[Running (cumulative) sum]] * ('General Info'!$B$42 -'General Info'!$B$43 + 1)) + 'General Info'!$B$43 - 1, 0)</f>
        <v>39081.269961772501</v>
      </c>
      <c r="AI852" s="100" t="str">
        <f>IF(ISERROR(MATCH(SamplingData[[#This Row],[Batch by Type (p)]],SelectedPrecincts[Batch Name], 0)), "", INDEX(SelectedPrecincts[Draw], MATCH(SamplingData[[#This Row],[Batch by Type (p)]],SelectedPrecincts[Batch Name], 0)))</f>
        <v/>
      </c>
      <c r="AJ852" s="101">
        <f>IF(COUNTIF(SelectedPrecincts[Batch Name],SamplingData[[#This Row],[Batch by Type (p)]]) &lt;&gt; 0, COUNTIF(SelectedPrecincts[Batch Name],SamplingData[[#This Row],[Batch by Type (p)]]), 0)</f>
        <v>0</v>
      </c>
    </row>
    <row r="853" spans="1:36" ht="15" customHeight="1" x14ac:dyDescent="0.35">
      <c r="A853" s="98" t="s">
        <v>1064</v>
      </c>
      <c r="B853" s="98">
        <v>87</v>
      </c>
      <c r="C853" s="98">
        <v>13</v>
      </c>
      <c r="D853" s="93"/>
      <c r="E853" s="93"/>
      <c r="F853" s="93"/>
      <c r="G853" s="97"/>
      <c r="H853" s="97"/>
      <c r="I853" s="93"/>
      <c r="J853" s="93"/>
      <c r="K853" s="93"/>
      <c r="L853" s="93"/>
      <c r="M853" s="93"/>
      <c r="N853" s="98">
        <v>0</v>
      </c>
      <c r="O853" s="98">
        <v>8</v>
      </c>
      <c r="P853" s="99">
        <f>SUM(SamplingData[[#This Row],[Winning Candidate]:[Under Votes]])</f>
        <v>108</v>
      </c>
      <c r="Q853" s="100">
        <f>IF(AND(SamplingData[[#This Row],[Total]]&lt;&gt; 0, NOT(ISBLANK(SamplingData[[#This Row],[Losing Candidate]]))),(SamplingData[[#This Row],[Total]]+SamplingData[[#This Row],[Winning Candidate]]-SamplingData[[#This Row],[Losing Candidate]])/(SamplingData[[#Totals],[Winning Candidate]]-SamplingData[[#Totals],[Losing Candidate]]), 0)</f>
        <v>5.7166190281747655E-3</v>
      </c>
      <c r="R853" s="100">
        <f>IF(AND(SamplingData[[#This Row],[Total]]&lt;&gt; 0, NOT(ISBLANK(SamplingData[[#This Row],[Candidate 3]]))),(SamplingData[[#This Row],[Total]]+SamplingData[[#This Row],[Winning Candidate]]-SamplingData[[#This Row],[Candidate 3]])/(SamplingData[[#Totals],[Winning Candidate]]-SamplingData[[#Totals],[Candidate 3]]), 0)</f>
        <v>0</v>
      </c>
      <c r="S853" s="100">
        <f>IF(AND(SamplingData[[#This Row],[Total]]&lt;&gt; 0, NOT(ISBLANK(SamplingData[[#This Row],[Candidate 4]]))),(SamplingData[[#This Row],[Total]]+SamplingData[[#This Row],[Winning Candidate]]-SamplingData[[#This Row],[Candidate 4]])/(SamplingData[[#Totals],[Winning Candidate]]-SamplingData[[#Totals],[Candidate 4]]), 0)</f>
        <v>0</v>
      </c>
      <c r="T853" s="100">
        <f>IF(AND(SamplingData[[#This Row],[Total]]&lt;&gt; 0, NOT(ISBLANK(SamplingData[[#This Row],[Candidate 5]]))),(SamplingData[[#This Row],[Total]]+SamplingData[[#This Row],[Winning Candidate]]-SamplingData[[#This Row],[Candidate 5]])/(SamplingData[[#Totals],[Winning Candidate]]-SamplingData[[#Totals],[Candidate 5]]), 0)</f>
        <v>0</v>
      </c>
      <c r="U853" s="100">
        <f>IF(AND(SamplingData[[#This Row],[Total]]&lt;&gt; 0, NOT(ISBLANK(SamplingData[[#This Row],[Candidate 6]]))),(SamplingData[[#This Row],[Total]]+SamplingData[[#This Row],[Losing Candidate]]-SamplingData[[#This Row],[Candidate 6]])/(SamplingData[[#Totals],[Winning Candidate]]-SamplingData[[#Totals],[Candidate 6]]), 0)</f>
        <v>0</v>
      </c>
      <c r="V853" s="100">
        <f>IF(AND(SamplingData[[#This Row],[Total]]&lt;&gt; 0, NOT(ISBLANK(SamplingData[[#This Row],[Candidate 7]]))),(SamplingData[[#This Row],[Total]]+SamplingData[[#This Row],[Winning Candidate]]-SamplingData[[#This Row],[Candidate 7]])/(SamplingData[[#Totals],[Winning Candidate]]-SamplingData[[#Totals],[Candidate 7]]), 0)</f>
        <v>0</v>
      </c>
      <c r="W853" s="100">
        <f>IF(AND(SamplingData[[#This Row],[Total]]&lt;&gt; 0, NOT(ISBLANK(SamplingData[[#This Row],[Candidate 8]]))),(SamplingData[[#This Row],[Total]]+SamplingData[[#This Row],[Winning Candidate]]-SamplingData[[#This Row],[Candidate 8]])/(SamplingData[[#Totals],[Winning Candidate]]-SamplingData[[#Totals],[Candidate 8]]), 0)</f>
        <v>0</v>
      </c>
      <c r="X8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00">
        <f>MAX(SamplingData[[#This Row],[Error Bound (up) - Max. possible relative overstatement - Losing Candidate]:[Error Bound (up) - Max. possible relative overstatement - Candidate 12]])</f>
        <v>5.7166190281747655E-3</v>
      </c>
      <c r="AC853" s="100">
        <f>IF(SamplingData[[#This Row],[Max Error Bound (up)]] = 0,0,SamplingData[[#This Row],[Max Error Bound (up)]]/SamplingData[[#Totals],[Max Error Bound (up)]])</f>
        <v>2.4497927098476291E-3</v>
      </c>
      <c r="AD853" s="104">
        <f>SUM($AC$5:AC853)</f>
        <v>0.39327249232757261</v>
      </c>
      <c r="AE853" s="100" t="str" cm="1">
        <f t="array" ref="AE853">IF(SamplingData[[#This Row],[up/U Selection Probability]] = 0, "Zero", TEXT(SamplingData[[#This Row],[Lower Range]], REPT("0",LEN('General Info'!$B$42))) &amp; " - " &amp; TEXT(SamplingData[[#This Row],[Upper Range]], REPT("0",LEN('General Info'!$B$42))))</f>
        <v>39082 - 39326</v>
      </c>
      <c r="AF853" s="100">
        <f>SamplingData[[#This Row],[Upper Range]]-SamplingData[[#This Row],[Span]]</f>
        <v>39082.269961772501</v>
      </c>
      <c r="AG853" s="100">
        <f>IF(ISNUMBER('General Info'!$B$42), ((SamplingData[[#This Row],[up/U Selection Probability]]) * 'General Info'!$B$44) - 1, 0)</f>
        <v>243.97927098476291</v>
      </c>
      <c r="AH853" s="100">
        <f>IF(ISNUMBER('General Info'!$B$42), (SamplingData[[#This Row],[Running (cumulative) sum]] * ('General Info'!$B$42 -'General Info'!$B$43 + 1)) + 'General Info'!$B$43 - 1, 0)</f>
        <v>39326.249232757262</v>
      </c>
      <c r="AI853" s="100" t="str">
        <f>IF(ISERROR(MATCH(SamplingData[[#This Row],[Batch by Type (p)]],SelectedPrecincts[Batch Name], 0)), "", INDEX(SelectedPrecincts[Draw], MATCH(SamplingData[[#This Row],[Batch by Type (p)]],SelectedPrecincts[Batch Name], 0)))</f>
        <v/>
      </c>
      <c r="AJ853" s="101">
        <f>IF(COUNTIF(SelectedPrecincts[Batch Name],SamplingData[[#This Row],[Batch by Type (p)]]) &lt;&gt; 0, COUNTIF(SelectedPrecincts[Batch Name],SamplingData[[#This Row],[Batch by Type (p)]]), 0)</f>
        <v>0</v>
      </c>
    </row>
    <row r="854" spans="1:36" ht="15" customHeight="1" x14ac:dyDescent="0.35">
      <c r="A854" s="98" t="s">
        <v>1065</v>
      </c>
      <c r="B854" s="98">
        <v>64</v>
      </c>
      <c r="C854" s="98">
        <v>15</v>
      </c>
      <c r="D854" s="93"/>
      <c r="E854" s="93"/>
      <c r="F854" s="93"/>
      <c r="G854" s="97"/>
      <c r="H854" s="97"/>
      <c r="I854" s="93"/>
      <c r="J854" s="93"/>
      <c r="K854" s="93"/>
      <c r="L854" s="93"/>
      <c r="M854" s="93"/>
      <c r="N854" s="98">
        <v>1</v>
      </c>
      <c r="O854" s="98">
        <v>4</v>
      </c>
      <c r="P854" s="99">
        <f>SUM(SamplingData[[#This Row],[Winning Candidate]:[Under Votes]])</f>
        <v>84</v>
      </c>
      <c r="Q854" s="100">
        <f>IF(AND(SamplingData[[#This Row],[Total]]&lt;&gt; 0, NOT(ISBLANK(SamplingData[[#This Row],[Losing Candidate]]))),(SamplingData[[#This Row],[Total]]+SamplingData[[#This Row],[Winning Candidate]]-SamplingData[[#This Row],[Losing Candidate]])/(SamplingData[[#Totals],[Winning Candidate]]-SamplingData[[#Totals],[Losing Candidate]]), 0)</f>
        <v>4.1775292898200206E-3</v>
      </c>
      <c r="R854" s="100">
        <f>IF(AND(SamplingData[[#This Row],[Total]]&lt;&gt; 0, NOT(ISBLANK(SamplingData[[#This Row],[Candidate 3]]))),(SamplingData[[#This Row],[Total]]+SamplingData[[#This Row],[Winning Candidate]]-SamplingData[[#This Row],[Candidate 3]])/(SamplingData[[#Totals],[Winning Candidate]]-SamplingData[[#Totals],[Candidate 3]]), 0)</f>
        <v>0</v>
      </c>
      <c r="S854" s="100">
        <f>IF(AND(SamplingData[[#This Row],[Total]]&lt;&gt; 0, NOT(ISBLANK(SamplingData[[#This Row],[Candidate 4]]))),(SamplingData[[#This Row],[Total]]+SamplingData[[#This Row],[Winning Candidate]]-SamplingData[[#This Row],[Candidate 4]])/(SamplingData[[#Totals],[Winning Candidate]]-SamplingData[[#Totals],[Candidate 4]]), 0)</f>
        <v>0</v>
      </c>
      <c r="T854" s="100">
        <f>IF(AND(SamplingData[[#This Row],[Total]]&lt;&gt; 0, NOT(ISBLANK(SamplingData[[#This Row],[Candidate 5]]))),(SamplingData[[#This Row],[Total]]+SamplingData[[#This Row],[Winning Candidate]]-SamplingData[[#This Row],[Candidate 5]])/(SamplingData[[#Totals],[Winning Candidate]]-SamplingData[[#Totals],[Candidate 5]]), 0)</f>
        <v>0</v>
      </c>
      <c r="U854" s="100">
        <f>IF(AND(SamplingData[[#This Row],[Total]]&lt;&gt; 0, NOT(ISBLANK(SamplingData[[#This Row],[Candidate 6]]))),(SamplingData[[#This Row],[Total]]+SamplingData[[#This Row],[Losing Candidate]]-SamplingData[[#This Row],[Candidate 6]])/(SamplingData[[#Totals],[Winning Candidate]]-SamplingData[[#Totals],[Candidate 6]]), 0)</f>
        <v>0</v>
      </c>
      <c r="V854" s="100">
        <f>IF(AND(SamplingData[[#This Row],[Total]]&lt;&gt; 0, NOT(ISBLANK(SamplingData[[#This Row],[Candidate 7]]))),(SamplingData[[#This Row],[Total]]+SamplingData[[#This Row],[Winning Candidate]]-SamplingData[[#This Row],[Candidate 7]])/(SamplingData[[#Totals],[Winning Candidate]]-SamplingData[[#Totals],[Candidate 7]]), 0)</f>
        <v>0</v>
      </c>
      <c r="W854" s="100">
        <f>IF(AND(SamplingData[[#This Row],[Total]]&lt;&gt; 0, NOT(ISBLANK(SamplingData[[#This Row],[Candidate 8]]))),(SamplingData[[#This Row],[Total]]+SamplingData[[#This Row],[Winning Candidate]]-SamplingData[[#This Row],[Candidate 8]])/(SamplingData[[#Totals],[Winning Candidate]]-SamplingData[[#Totals],[Candidate 8]]), 0)</f>
        <v>0</v>
      </c>
      <c r="X8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00">
        <f>MAX(SamplingData[[#This Row],[Error Bound (up) - Max. possible relative overstatement - Losing Candidate]:[Error Bound (up) - Max. possible relative overstatement - Candidate 12]])</f>
        <v>4.1775292898200206E-3</v>
      </c>
      <c r="AC854" s="100">
        <f>IF(SamplingData[[#This Row],[Max Error Bound (up)]] = 0,0,SamplingData[[#This Row],[Max Error Bound (up)]]/SamplingData[[#Totals],[Max Error Bound (up)]])</f>
        <v>1.7902331341194213E-3</v>
      </c>
      <c r="AD854" s="104">
        <f>SUM($AC$5:AC854)</f>
        <v>0.39506272546169202</v>
      </c>
      <c r="AE854" s="100" t="str" cm="1">
        <f t="array" ref="AE854">IF(SamplingData[[#This Row],[up/U Selection Probability]] = 0, "Zero", TEXT(SamplingData[[#This Row],[Lower Range]], REPT("0",LEN('General Info'!$B$42))) &amp; " - " &amp; TEXT(SamplingData[[#This Row],[Upper Range]], REPT("0",LEN('General Info'!$B$42))))</f>
        <v>39327 - 39505</v>
      </c>
      <c r="AF854" s="100">
        <f>SamplingData[[#This Row],[Upper Range]]-SamplingData[[#This Row],[Span]]</f>
        <v>39327.249232757262</v>
      </c>
      <c r="AG854" s="100">
        <f>IF(ISNUMBER('General Info'!$B$42), ((SamplingData[[#This Row],[up/U Selection Probability]]) * 'General Info'!$B$44) - 1, 0)</f>
        <v>178.02331341194213</v>
      </c>
      <c r="AH854" s="100">
        <f>IF(ISNUMBER('General Info'!$B$42), (SamplingData[[#This Row],[Running (cumulative) sum]] * ('General Info'!$B$42 -'General Info'!$B$43 + 1)) + 'General Info'!$B$43 - 1, 0)</f>
        <v>39505.272546169203</v>
      </c>
      <c r="AI854" s="100" t="str">
        <f>IF(ISERROR(MATCH(SamplingData[[#This Row],[Batch by Type (p)]],SelectedPrecincts[Batch Name], 0)), "", INDEX(SelectedPrecincts[Draw], MATCH(SamplingData[[#This Row],[Batch by Type (p)]],SelectedPrecincts[Batch Name], 0)))</f>
        <v/>
      </c>
      <c r="AJ854" s="101">
        <f>IF(COUNTIF(SelectedPrecincts[Batch Name],SamplingData[[#This Row],[Batch by Type (p)]]) &lt;&gt; 0, COUNTIF(SelectedPrecincts[Batch Name],SamplingData[[#This Row],[Batch by Type (p)]]), 0)</f>
        <v>0</v>
      </c>
    </row>
    <row r="855" spans="1:36" ht="15" customHeight="1" x14ac:dyDescent="0.35">
      <c r="A855" s="98" t="s">
        <v>1066</v>
      </c>
      <c r="B855" s="98">
        <v>118</v>
      </c>
      <c r="C855" s="98">
        <v>19</v>
      </c>
      <c r="D855" s="93"/>
      <c r="E855" s="93"/>
      <c r="F855" s="93"/>
      <c r="G855" s="97"/>
      <c r="H855" s="97"/>
      <c r="I855" s="93"/>
      <c r="J855" s="93"/>
      <c r="K855" s="93"/>
      <c r="L855" s="93"/>
      <c r="M855" s="93"/>
      <c r="N855" s="98">
        <v>0</v>
      </c>
      <c r="O855" s="98">
        <v>9</v>
      </c>
      <c r="P855" s="99">
        <f>SUM(SamplingData[[#This Row],[Winning Candidate]:[Under Votes]])</f>
        <v>146</v>
      </c>
      <c r="Q855" s="100">
        <f>IF(AND(SamplingData[[#This Row],[Total]]&lt;&gt; 0, NOT(ISBLANK(SamplingData[[#This Row],[Losing Candidate]]))),(SamplingData[[#This Row],[Total]]+SamplingData[[#This Row],[Winning Candidate]]-SamplingData[[#This Row],[Losing Candidate]])/(SamplingData[[#Totals],[Winning Candidate]]-SamplingData[[#Totals],[Losing Candidate]]), 0)</f>
        <v>7.6954486917737222E-3</v>
      </c>
      <c r="R855" s="100">
        <f>IF(AND(SamplingData[[#This Row],[Total]]&lt;&gt; 0, NOT(ISBLANK(SamplingData[[#This Row],[Candidate 3]]))),(SamplingData[[#This Row],[Total]]+SamplingData[[#This Row],[Winning Candidate]]-SamplingData[[#This Row],[Candidate 3]])/(SamplingData[[#Totals],[Winning Candidate]]-SamplingData[[#Totals],[Candidate 3]]), 0)</f>
        <v>0</v>
      </c>
      <c r="S855" s="100">
        <f>IF(AND(SamplingData[[#This Row],[Total]]&lt;&gt; 0, NOT(ISBLANK(SamplingData[[#This Row],[Candidate 4]]))),(SamplingData[[#This Row],[Total]]+SamplingData[[#This Row],[Winning Candidate]]-SamplingData[[#This Row],[Candidate 4]])/(SamplingData[[#Totals],[Winning Candidate]]-SamplingData[[#Totals],[Candidate 4]]), 0)</f>
        <v>0</v>
      </c>
      <c r="T855" s="100">
        <f>IF(AND(SamplingData[[#This Row],[Total]]&lt;&gt; 0, NOT(ISBLANK(SamplingData[[#This Row],[Candidate 5]]))),(SamplingData[[#This Row],[Total]]+SamplingData[[#This Row],[Winning Candidate]]-SamplingData[[#This Row],[Candidate 5]])/(SamplingData[[#Totals],[Winning Candidate]]-SamplingData[[#Totals],[Candidate 5]]), 0)</f>
        <v>0</v>
      </c>
      <c r="U855" s="100">
        <f>IF(AND(SamplingData[[#This Row],[Total]]&lt;&gt; 0, NOT(ISBLANK(SamplingData[[#This Row],[Candidate 6]]))),(SamplingData[[#This Row],[Total]]+SamplingData[[#This Row],[Losing Candidate]]-SamplingData[[#This Row],[Candidate 6]])/(SamplingData[[#Totals],[Winning Candidate]]-SamplingData[[#Totals],[Candidate 6]]), 0)</f>
        <v>0</v>
      </c>
      <c r="V855" s="100">
        <f>IF(AND(SamplingData[[#This Row],[Total]]&lt;&gt; 0, NOT(ISBLANK(SamplingData[[#This Row],[Candidate 7]]))),(SamplingData[[#This Row],[Total]]+SamplingData[[#This Row],[Winning Candidate]]-SamplingData[[#This Row],[Candidate 7]])/(SamplingData[[#Totals],[Winning Candidate]]-SamplingData[[#Totals],[Candidate 7]]), 0)</f>
        <v>0</v>
      </c>
      <c r="W855" s="100">
        <f>IF(AND(SamplingData[[#This Row],[Total]]&lt;&gt; 0, NOT(ISBLANK(SamplingData[[#This Row],[Candidate 8]]))),(SamplingData[[#This Row],[Total]]+SamplingData[[#This Row],[Winning Candidate]]-SamplingData[[#This Row],[Candidate 8]])/(SamplingData[[#Totals],[Winning Candidate]]-SamplingData[[#Totals],[Candidate 8]]), 0)</f>
        <v>0</v>
      </c>
      <c r="X8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00">
        <f>MAX(SamplingData[[#This Row],[Error Bound (up) - Max. possible relative overstatement - Losing Candidate]:[Error Bound (up) - Max. possible relative overstatement - Candidate 12]])</f>
        <v>7.6954486917737222E-3</v>
      </c>
      <c r="AC855" s="100">
        <f>IF(SamplingData[[#This Row],[Max Error Bound (up)]] = 0,0,SamplingData[[#This Row],[Max Error Bound (up)]]/SamplingData[[#Totals],[Max Error Bound (up)]])</f>
        <v>3.2977978786410391E-3</v>
      </c>
      <c r="AD855" s="104">
        <f>SUM($AC$5:AC855)</f>
        <v>0.39836052334033306</v>
      </c>
      <c r="AE855" s="100" t="str" cm="1">
        <f t="array" ref="AE855">IF(SamplingData[[#This Row],[up/U Selection Probability]] = 0, "Zero", TEXT(SamplingData[[#This Row],[Lower Range]], REPT("0",LEN('General Info'!$B$42))) &amp; " - " &amp; TEXT(SamplingData[[#This Row],[Upper Range]], REPT("0",LEN('General Info'!$B$42))))</f>
        <v>39506 - 39835</v>
      </c>
      <c r="AF855" s="100">
        <f>SamplingData[[#This Row],[Upper Range]]-SamplingData[[#This Row],[Span]]</f>
        <v>39506.272546169203</v>
      </c>
      <c r="AG855" s="100">
        <f>IF(ISNUMBER('General Info'!$B$42), ((SamplingData[[#This Row],[up/U Selection Probability]]) * 'General Info'!$B$44) - 1, 0)</f>
        <v>328.77978786410392</v>
      </c>
      <c r="AH855" s="100">
        <f>IF(ISNUMBER('General Info'!$B$42), (SamplingData[[#This Row],[Running (cumulative) sum]] * ('General Info'!$B$42 -'General Info'!$B$43 + 1)) + 'General Info'!$B$43 - 1, 0)</f>
        <v>39835.052334033309</v>
      </c>
      <c r="AI855" s="100" t="str">
        <f>IF(ISERROR(MATCH(SamplingData[[#This Row],[Batch by Type (p)]],SelectedPrecincts[Batch Name], 0)), "", INDEX(SelectedPrecincts[Draw], MATCH(SamplingData[[#This Row],[Batch by Type (p)]],SelectedPrecincts[Batch Name], 0)))</f>
        <v/>
      </c>
      <c r="AJ855" s="101">
        <f>IF(COUNTIF(SelectedPrecincts[Batch Name],SamplingData[[#This Row],[Batch by Type (p)]]) &lt;&gt; 0, COUNTIF(SelectedPrecincts[Batch Name],SamplingData[[#This Row],[Batch by Type (p)]]), 0)</f>
        <v>0</v>
      </c>
    </row>
    <row r="856" spans="1:36" ht="15" customHeight="1" x14ac:dyDescent="0.35">
      <c r="A856" s="98" t="s">
        <v>1067</v>
      </c>
      <c r="B856" s="98">
        <v>120</v>
      </c>
      <c r="C856" s="98">
        <v>20</v>
      </c>
      <c r="D856" s="93"/>
      <c r="E856" s="93"/>
      <c r="F856" s="93"/>
      <c r="G856" s="97"/>
      <c r="H856" s="97"/>
      <c r="I856" s="93"/>
      <c r="J856" s="93"/>
      <c r="K856" s="93"/>
      <c r="L856" s="93"/>
      <c r="M856" s="93"/>
      <c r="N856" s="98">
        <v>0</v>
      </c>
      <c r="O856" s="98">
        <v>12</v>
      </c>
      <c r="P856" s="99">
        <f>SUM(SamplingData[[#This Row],[Winning Candidate]:[Under Votes]])</f>
        <v>152</v>
      </c>
      <c r="Q856" s="100">
        <f>IF(AND(SamplingData[[#This Row],[Total]]&lt;&gt; 0, NOT(ISBLANK(SamplingData[[#This Row],[Losing Candidate]]))),(SamplingData[[#This Row],[Total]]+SamplingData[[#This Row],[Winning Candidate]]-SamplingData[[#This Row],[Losing Candidate]])/(SamplingData[[#Totals],[Winning Candidate]]-SamplingData[[#Totals],[Losing Candidate]]), 0)</f>
        <v>7.9153186543958285E-3</v>
      </c>
      <c r="R856" s="100">
        <f>IF(AND(SamplingData[[#This Row],[Total]]&lt;&gt; 0, NOT(ISBLANK(SamplingData[[#This Row],[Candidate 3]]))),(SamplingData[[#This Row],[Total]]+SamplingData[[#This Row],[Winning Candidate]]-SamplingData[[#This Row],[Candidate 3]])/(SamplingData[[#Totals],[Winning Candidate]]-SamplingData[[#Totals],[Candidate 3]]), 0)</f>
        <v>0</v>
      </c>
      <c r="S856" s="100">
        <f>IF(AND(SamplingData[[#This Row],[Total]]&lt;&gt; 0, NOT(ISBLANK(SamplingData[[#This Row],[Candidate 4]]))),(SamplingData[[#This Row],[Total]]+SamplingData[[#This Row],[Winning Candidate]]-SamplingData[[#This Row],[Candidate 4]])/(SamplingData[[#Totals],[Winning Candidate]]-SamplingData[[#Totals],[Candidate 4]]), 0)</f>
        <v>0</v>
      </c>
      <c r="T856" s="100">
        <f>IF(AND(SamplingData[[#This Row],[Total]]&lt;&gt; 0, NOT(ISBLANK(SamplingData[[#This Row],[Candidate 5]]))),(SamplingData[[#This Row],[Total]]+SamplingData[[#This Row],[Winning Candidate]]-SamplingData[[#This Row],[Candidate 5]])/(SamplingData[[#Totals],[Winning Candidate]]-SamplingData[[#Totals],[Candidate 5]]), 0)</f>
        <v>0</v>
      </c>
      <c r="U856" s="100">
        <f>IF(AND(SamplingData[[#This Row],[Total]]&lt;&gt; 0, NOT(ISBLANK(SamplingData[[#This Row],[Candidate 6]]))),(SamplingData[[#This Row],[Total]]+SamplingData[[#This Row],[Losing Candidate]]-SamplingData[[#This Row],[Candidate 6]])/(SamplingData[[#Totals],[Winning Candidate]]-SamplingData[[#Totals],[Candidate 6]]), 0)</f>
        <v>0</v>
      </c>
      <c r="V856" s="100">
        <f>IF(AND(SamplingData[[#This Row],[Total]]&lt;&gt; 0, NOT(ISBLANK(SamplingData[[#This Row],[Candidate 7]]))),(SamplingData[[#This Row],[Total]]+SamplingData[[#This Row],[Winning Candidate]]-SamplingData[[#This Row],[Candidate 7]])/(SamplingData[[#Totals],[Winning Candidate]]-SamplingData[[#Totals],[Candidate 7]]), 0)</f>
        <v>0</v>
      </c>
      <c r="W856" s="100">
        <f>IF(AND(SamplingData[[#This Row],[Total]]&lt;&gt; 0, NOT(ISBLANK(SamplingData[[#This Row],[Candidate 8]]))),(SamplingData[[#This Row],[Total]]+SamplingData[[#This Row],[Winning Candidate]]-SamplingData[[#This Row],[Candidate 8]])/(SamplingData[[#Totals],[Winning Candidate]]-SamplingData[[#Totals],[Candidate 8]]), 0)</f>
        <v>0</v>
      </c>
      <c r="X8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00">
        <f>MAX(SamplingData[[#This Row],[Error Bound (up) - Max. possible relative overstatement - Losing Candidate]:[Error Bound (up) - Max. possible relative overstatement - Candidate 12]])</f>
        <v>7.9153186543958285E-3</v>
      </c>
      <c r="AC856" s="100">
        <f>IF(SamplingData[[#This Row],[Max Error Bound (up)]] = 0,0,SamplingData[[#This Row],[Max Error Bound (up)]]/SamplingData[[#Totals],[Max Error Bound (up)]])</f>
        <v>3.3920206751736405E-3</v>
      </c>
      <c r="AD856" s="104">
        <f>SUM($AC$5:AC856)</f>
        <v>0.4017525440155067</v>
      </c>
      <c r="AE856" s="100" t="str" cm="1">
        <f t="array" ref="AE856">IF(SamplingData[[#This Row],[up/U Selection Probability]] = 0, "Zero", TEXT(SamplingData[[#This Row],[Lower Range]], REPT("0",LEN('General Info'!$B$42))) &amp; " - " &amp; TEXT(SamplingData[[#This Row],[Upper Range]], REPT("0",LEN('General Info'!$B$42))))</f>
        <v>39836 - 40174</v>
      </c>
      <c r="AF856" s="100">
        <f>SamplingData[[#This Row],[Upper Range]]-SamplingData[[#This Row],[Span]]</f>
        <v>39836.052334033309</v>
      </c>
      <c r="AG856" s="100">
        <f>IF(ISNUMBER('General Info'!$B$42), ((SamplingData[[#This Row],[up/U Selection Probability]]) * 'General Info'!$B$44) - 1, 0)</f>
        <v>338.20206751736407</v>
      </c>
      <c r="AH856" s="100">
        <f>IF(ISNUMBER('General Info'!$B$42), (SamplingData[[#This Row],[Running (cumulative) sum]] * ('General Info'!$B$42 -'General Info'!$B$43 + 1)) + 'General Info'!$B$43 - 1, 0)</f>
        <v>40174.254401550672</v>
      </c>
      <c r="AI856" s="100" t="str">
        <f>IF(ISERROR(MATCH(SamplingData[[#This Row],[Batch by Type (p)]],SelectedPrecincts[Batch Name], 0)), "", INDEX(SelectedPrecincts[Draw], MATCH(SamplingData[[#This Row],[Batch by Type (p)]],SelectedPrecincts[Batch Name], 0)))</f>
        <v/>
      </c>
      <c r="AJ856" s="101">
        <f>IF(COUNTIF(SelectedPrecincts[Batch Name],SamplingData[[#This Row],[Batch by Type (p)]]) &lt;&gt; 0, COUNTIF(SelectedPrecincts[Batch Name],SamplingData[[#This Row],[Batch by Type (p)]]), 0)</f>
        <v>0</v>
      </c>
    </row>
    <row r="857" spans="1:36" ht="15" customHeight="1" x14ac:dyDescent="0.35">
      <c r="A857" s="98" t="s">
        <v>1068</v>
      </c>
      <c r="B857" s="98">
        <v>136</v>
      </c>
      <c r="C857" s="98">
        <v>28</v>
      </c>
      <c r="D857" s="93"/>
      <c r="E857" s="93"/>
      <c r="F857" s="93"/>
      <c r="G857" s="97"/>
      <c r="H857" s="97"/>
      <c r="I857" s="93"/>
      <c r="J857" s="93"/>
      <c r="K857" s="93"/>
      <c r="L857" s="93"/>
      <c r="M857" s="93"/>
      <c r="N857" s="98">
        <v>0</v>
      </c>
      <c r="O857" s="98">
        <v>11</v>
      </c>
      <c r="P857" s="99">
        <f>SUM(SamplingData[[#This Row],[Winning Candidate]:[Under Votes]])</f>
        <v>175</v>
      </c>
      <c r="Q857" s="100">
        <f>IF(AND(SamplingData[[#This Row],[Total]]&lt;&gt; 0, NOT(ISBLANK(SamplingData[[#This Row],[Losing Candidate]]))),(SamplingData[[#This Row],[Total]]+SamplingData[[#This Row],[Winning Candidate]]-SamplingData[[#This Row],[Losing Candidate]])/(SamplingData[[#Totals],[Winning Candidate]]-SamplingData[[#Totals],[Losing Candidate]]), 0)</f>
        <v>8.8890284888651569E-3</v>
      </c>
      <c r="R857" s="100">
        <f>IF(AND(SamplingData[[#This Row],[Total]]&lt;&gt; 0, NOT(ISBLANK(SamplingData[[#This Row],[Candidate 3]]))),(SamplingData[[#This Row],[Total]]+SamplingData[[#This Row],[Winning Candidate]]-SamplingData[[#This Row],[Candidate 3]])/(SamplingData[[#Totals],[Winning Candidate]]-SamplingData[[#Totals],[Candidate 3]]), 0)</f>
        <v>0</v>
      </c>
      <c r="S857" s="100">
        <f>IF(AND(SamplingData[[#This Row],[Total]]&lt;&gt; 0, NOT(ISBLANK(SamplingData[[#This Row],[Candidate 4]]))),(SamplingData[[#This Row],[Total]]+SamplingData[[#This Row],[Winning Candidate]]-SamplingData[[#This Row],[Candidate 4]])/(SamplingData[[#Totals],[Winning Candidate]]-SamplingData[[#Totals],[Candidate 4]]), 0)</f>
        <v>0</v>
      </c>
      <c r="T857" s="100">
        <f>IF(AND(SamplingData[[#This Row],[Total]]&lt;&gt; 0, NOT(ISBLANK(SamplingData[[#This Row],[Candidate 5]]))),(SamplingData[[#This Row],[Total]]+SamplingData[[#This Row],[Winning Candidate]]-SamplingData[[#This Row],[Candidate 5]])/(SamplingData[[#Totals],[Winning Candidate]]-SamplingData[[#Totals],[Candidate 5]]), 0)</f>
        <v>0</v>
      </c>
      <c r="U857" s="100">
        <f>IF(AND(SamplingData[[#This Row],[Total]]&lt;&gt; 0, NOT(ISBLANK(SamplingData[[#This Row],[Candidate 6]]))),(SamplingData[[#This Row],[Total]]+SamplingData[[#This Row],[Losing Candidate]]-SamplingData[[#This Row],[Candidate 6]])/(SamplingData[[#Totals],[Winning Candidate]]-SamplingData[[#Totals],[Candidate 6]]), 0)</f>
        <v>0</v>
      </c>
      <c r="V857" s="100">
        <f>IF(AND(SamplingData[[#This Row],[Total]]&lt;&gt; 0, NOT(ISBLANK(SamplingData[[#This Row],[Candidate 7]]))),(SamplingData[[#This Row],[Total]]+SamplingData[[#This Row],[Winning Candidate]]-SamplingData[[#This Row],[Candidate 7]])/(SamplingData[[#Totals],[Winning Candidate]]-SamplingData[[#Totals],[Candidate 7]]), 0)</f>
        <v>0</v>
      </c>
      <c r="W857" s="100">
        <f>IF(AND(SamplingData[[#This Row],[Total]]&lt;&gt; 0, NOT(ISBLANK(SamplingData[[#This Row],[Candidate 8]]))),(SamplingData[[#This Row],[Total]]+SamplingData[[#This Row],[Winning Candidate]]-SamplingData[[#This Row],[Candidate 8]])/(SamplingData[[#Totals],[Winning Candidate]]-SamplingData[[#Totals],[Candidate 8]]), 0)</f>
        <v>0</v>
      </c>
      <c r="X8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00">
        <f>MAX(SamplingData[[#This Row],[Error Bound (up) - Max. possible relative overstatement - Losing Candidate]:[Error Bound (up) - Max. possible relative overstatement - Candidate 12]])</f>
        <v>8.8890284888651569E-3</v>
      </c>
      <c r="AC857" s="100">
        <f>IF(SamplingData[[#This Row],[Max Error Bound (up)]] = 0,0,SamplingData[[#This Row],[Max Error Bound (up)]]/SamplingData[[#Totals],[Max Error Bound (up)]])</f>
        <v>3.8092930598180169E-3</v>
      </c>
      <c r="AD857" s="104">
        <f>SUM($AC$5:AC857)</f>
        <v>0.40556183707532473</v>
      </c>
      <c r="AE857" s="100" t="str" cm="1">
        <f t="array" ref="AE857">IF(SamplingData[[#This Row],[up/U Selection Probability]] = 0, "Zero", TEXT(SamplingData[[#This Row],[Lower Range]], REPT("0",LEN('General Info'!$B$42))) &amp; " - " &amp; TEXT(SamplingData[[#This Row],[Upper Range]], REPT("0",LEN('General Info'!$B$42))))</f>
        <v>40175 - 40555</v>
      </c>
      <c r="AF857" s="100">
        <f>SamplingData[[#This Row],[Upper Range]]-SamplingData[[#This Row],[Span]]</f>
        <v>40175.254401550672</v>
      </c>
      <c r="AG857" s="100">
        <f>IF(ISNUMBER('General Info'!$B$42), ((SamplingData[[#This Row],[up/U Selection Probability]]) * 'General Info'!$B$44) - 1, 0)</f>
        <v>379.92930598180169</v>
      </c>
      <c r="AH857" s="100">
        <f>IF(ISNUMBER('General Info'!$B$42), (SamplingData[[#This Row],[Running (cumulative) sum]] * ('General Info'!$B$42 -'General Info'!$B$43 + 1)) + 'General Info'!$B$43 - 1, 0)</f>
        <v>40555.183707532473</v>
      </c>
      <c r="AI857" s="100" t="str">
        <f>IF(ISERROR(MATCH(SamplingData[[#This Row],[Batch by Type (p)]],SelectedPrecincts[Batch Name], 0)), "", INDEX(SelectedPrecincts[Draw], MATCH(SamplingData[[#This Row],[Batch by Type (p)]],SelectedPrecincts[Batch Name], 0)))</f>
        <v/>
      </c>
      <c r="AJ857" s="101">
        <f>IF(COUNTIF(SelectedPrecincts[Batch Name],SamplingData[[#This Row],[Batch by Type (p)]]) &lt;&gt; 0, COUNTIF(SelectedPrecincts[Batch Name],SamplingData[[#This Row],[Batch by Type (p)]]), 0)</f>
        <v>0</v>
      </c>
    </row>
    <row r="858" spans="1:36" ht="15" customHeight="1" x14ac:dyDescent="0.35">
      <c r="A858" s="98" t="s">
        <v>1069</v>
      </c>
      <c r="B858" s="98">
        <v>203</v>
      </c>
      <c r="C858" s="98">
        <v>34</v>
      </c>
      <c r="D858" s="93"/>
      <c r="E858" s="93"/>
      <c r="F858" s="93"/>
      <c r="G858" s="97"/>
      <c r="H858" s="97"/>
      <c r="I858" s="93"/>
      <c r="J858" s="93"/>
      <c r="K858" s="93"/>
      <c r="L858" s="93"/>
      <c r="M858" s="93"/>
      <c r="N858" s="98">
        <v>0</v>
      </c>
      <c r="O858" s="98">
        <v>14</v>
      </c>
      <c r="P858" s="99">
        <f>SUM(SamplingData[[#This Row],[Winning Candidate]:[Under Votes]])</f>
        <v>251</v>
      </c>
      <c r="Q858" s="100">
        <f>IF(AND(SamplingData[[#This Row],[Total]]&lt;&gt; 0, NOT(ISBLANK(SamplingData[[#This Row],[Losing Candidate]]))),(SamplingData[[#This Row],[Total]]+SamplingData[[#This Row],[Winning Candidate]]-SamplingData[[#This Row],[Losing Candidate]])/(SamplingData[[#Totals],[Winning Candidate]]-SamplingData[[#Totals],[Losing Candidate]]), 0)</f>
        <v>1.3192197757326381E-2</v>
      </c>
      <c r="R858" s="100">
        <f>IF(AND(SamplingData[[#This Row],[Total]]&lt;&gt; 0, NOT(ISBLANK(SamplingData[[#This Row],[Candidate 3]]))),(SamplingData[[#This Row],[Total]]+SamplingData[[#This Row],[Winning Candidate]]-SamplingData[[#This Row],[Candidate 3]])/(SamplingData[[#Totals],[Winning Candidate]]-SamplingData[[#Totals],[Candidate 3]]), 0)</f>
        <v>0</v>
      </c>
      <c r="S858" s="100">
        <f>IF(AND(SamplingData[[#This Row],[Total]]&lt;&gt; 0, NOT(ISBLANK(SamplingData[[#This Row],[Candidate 4]]))),(SamplingData[[#This Row],[Total]]+SamplingData[[#This Row],[Winning Candidate]]-SamplingData[[#This Row],[Candidate 4]])/(SamplingData[[#Totals],[Winning Candidate]]-SamplingData[[#Totals],[Candidate 4]]), 0)</f>
        <v>0</v>
      </c>
      <c r="T858" s="100">
        <f>IF(AND(SamplingData[[#This Row],[Total]]&lt;&gt; 0, NOT(ISBLANK(SamplingData[[#This Row],[Candidate 5]]))),(SamplingData[[#This Row],[Total]]+SamplingData[[#This Row],[Winning Candidate]]-SamplingData[[#This Row],[Candidate 5]])/(SamplingData[[#Totals],[Winning Candidate]]-SamplingData[[#Totals],[Candidate 5]]), 0)</f>
        <v>0</v>
      </c>
      <c r="U858" s="100">
        <f>IF(AND(SamplingData[[#This Row],[Total]]&lt;&gt; 0, NOT(ISBLANK(SamplingData[[#This Row],[Candidate 6]]))),(SamplingData[[#This Row],[Total]]+SamplingData[[#This Row],[Losing Candidate]]-SamplingData[[#This Row],[Candidate 6]])/(SamplingData[[#Totals],[Winning Candidate]]-SamplingData[[#Totals],[Candidate 6]]), 0)</f>
        <v>0</v>
      </c>
      <c r="V858" s="100">
        <f>IF(AND(SamplingData[[#This Row],[Total]]&lt;&gt; 0, NOT(ISBLANK(SamplingData[[#This Row],[Candidate 7]]))),(SamplingData[[#This Row],[Total]]+SamplingData[[#This Row],[Winning Candidate]]-SamplingData[[#This Row],[Candidate 7]])/(SamplingData[[#Totals],[Winning Candidate]]-SamplingData[[#Totals],[Candidate 7]]), 0)</f>
        <v>0</v>
      </c>
      <c r="W858" s="100">
        <f>IF(AND(SamplingData[[#This Row],[Total]]&lt;&gt; 0, NOT(ISBLANK(SamplingData[[#This Row],[Candidate 8]]))),(SamplingData[[#This Row],[Total]]+SamplingData[[#This Row],[Winning Candidate]]-SamplingData[[#This Row],[Candidate 8]])/(SamplingData[[#Totals],[Winning Candidate]]-SamplingData[[#Totals],[Candidate 8]]), 0)</f>
        <v>0</v>
      </c>
      <c r="X8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00">
        <f>MAX(SamplingData[[#This Row],[Error Bound (up) - Max. possible relative overstatement - Losing Candidate]:[Error Bound (up) - Max. possible relative overstatement - Candidate 12]])</f>
        <v>1.3192197757326381E-2</v>
      </c>
      <c r="AC858" s="100">
        <f>IF(SamplingData[[#This Row],[Max Error Bound (up)]] = 0,0,SamplingData[[#This Row],[Max Error Bound (up)]]/SamplingData[[#Totals],[Max Error Bound (up)]])</f>
        <v>5.653367791956067E-3</v>
      </c>
      <c r="AD858" s="104">
        <f>SUM($AC$5:AC858)</f>
        <v>0.4112152048672808</v>
      </c>
      <c r="AE858" s="100" t="str" cm="1">
        <f t="array" ref="AE858">IF(SamplingData[[#This Row],[up/U Selection Probability]] = 0, "Zero", TEXT(SamplingData[[#This Row],[Lower Range]], REPT("0",LEN('General Info'!$B$42))) &amp; " - " &amp; TEXT(SamplingData[[#This Row],[Upper Range]], REPT("0",LEN('General Info'!$B$42))))</f>
        <v>40556 - 41121</v>
      </c>
      <c r="AF858" s="100">
        <f>SamplingData[[#This Row],[Upper Range]]-SamplingData[[#This Row],[Span]]</f>
        <v>40556.183707532473</v>
      </c>
      <c r="AG858" s="100">
        <f>IF(ISNUMBER('General Info'!$B$42), ((SamplingData[[#This Row],[up/U Selection Probability]]) * 'General Info'!$B$44) - 1, 0)</f>
        <v>564.33677919560671</v>
      </c>
      <c r="AH858" s="100">
        <f>IF(ISNUMBER('General Info'!$B$42), (SamplingData[[#This Row],[Running (cumulative) sum]] * ('General Info'!$B$42 -'General Info'!$B$43 + 1)) + 'General Info'!$B$43 - 1, 0)</f>
        <v>41120.520486728077</v>
      </c>
      <c r="AI858" s="100" t="str">
        <f>IF(ISERROR(MATCH(SamplingData[[#This Row],[Batch by Type (p)]],SelectedPrecincts[Batch Name], 0)), "", INDEX(SelectedPrecincts[Draw], MATCH(SamplingData[[#This Row],[Batch by Type (p)]],SelectedPrecincts[Batch Name], 0)))</f>
        <v/>
      </c>
      <c r="AJ858" s="101">
        <f>IF(COUNTIF(SelectedPrecincts[Batch Name],SamplingData[[#This Row],[Batch by Type (p)]]) &lt;&gt; 0, COUNTIF(SelectedPrecincts[Batch Name],SamplingData[[#This Row],[Batch by Type (p)]]), 0)</f>
        <v>0</v>
      </c>
    </row>
    <row r="859" spans="1:36" ht="15" customHeight="1" x14ac:dyDescent="0.35">
      <c r="A859" s="98" t="s">
        <v>1070</v>
      </c>
      <c r="B859" s="98">
        <v>39</v>
      </c>
      <c r="C859" s="98">
        <v>2</v>
      </c>
      <c r="D859" s="93"/>
      <c r="E859" s="93"/>
      <c r="F859" s="93"/>
      <c r="G859" s="97"/>
      <c r="H859" s="97"/>
      <c r="I859" s="93"/>
      <c r="J859" s="93"/>
      <c r="K859" s="93"/>
      <c r="L859" s="93"/>
      <c r="M859" s="93"/>
      <c r="N859" s="98">
        <v>0</v>
      </c>
      <c r="O859" s="98">
        <v>0</v>
      </c>
      <c r="P859" s="99">
        <f>SUM(SamplingData[[#This Row],[Winning Candidate]:[Under Votes]])</f>
        <v>41</v>
      </c>
      <c r="Q859" s="100">
        <f>IF(AND(SamplingData[[#This Row],[Total]]&lt;&gt; 0, NOT(ISBLANK(SamplingData[[#This Row],[Losing Candidate]]))),(SamplingData[[#This Row],[Total]]+SamplingData[[#This Row],[Winning Candidate]]-SamplingData[[#This Row],[Losing Candidate]])/(SamplingData[[#Totals],[Winning Candidate]]-SamplingData[[#Totals],[Losing Candidate]]), 0)</f>
        <v>2.4499795835034709E-3</v>
      </c>
      <c r="R859" s="100">
        <f>IF(AND(SamplingData[[#This Row],[Total]]&lt;&gt; 0, NOT(ISBLANK(SamplingData[[#This Row],[Candidate 3]]))),(SamplingData[[#This Row],[Total]]+SamplingData[[#This Row],[Winning Candidate]]-SamplingData[[#This Row],[Candidate 3]])/(SamplingData[[#Totals],[Winning Candidate]]-SamplingData[[#Totals],[Candidate 3]]), 0)</f>
        <v>0</v>
      </c>
      <c r="S859" s="100">
        <f>IF(AND(SamplingData[[#This Row],[Total]]&lt;&gt; 0, NOT(ISBLANK(SamplingData[[#This Row],[Candidate 4]]))),(SamplingData[[#This Row],[Total]]+SamplingData[[#This Row],[Winning Candidate]]-SamplingData[[#This Row],[Candidate 4]])/(SamplingData[[#Totals],[Winning Candidate]]-SamplingData[[#Totals],[Candidate 4]]), 0)</f>
        <v>0</v>
      </c>
      <c r="T859" s="100">
        <f>IF(AND(SamplingData[[#This Row],[Total]]&lt;&gt; 0, NOT(ISBLANK(SamplingData[[#This Row],[Candidate 5]]))),(SamplingData[[#This Row],[Total]]+SamplingData[[#This Row],[Winning Candidate]]-SamplingData[[#This Row],[Candidate 5]])/(SamplingData[[#Totals],[Winning Candidate]]-SamplingData[[#Totals],[Candidate 5]]), 0)</f>
        <v>0</v>
      </c>
      <c r="U859" s="100">
        <f>IF(AND(SamplingData[[#This Row],[Total]]&lt;&gt; 0, NOT(ISBLANK(SamplingData[[#This Row],[Candidate 6]]))),(SamplingData[[#This Row],[Total]]+SamplingData[[#This Row],[Losing Candidate]]-SamplingData[[#This Row],[Candidate 6]])/(SamplingData[[#Totals],[Winning Candidate]]-SamplingData[[#Totals],[Candidate 6]]), 0)</f>
        <v>0</v>
      </c>
      <c r="V859" s="100">
        <f>IF(AND(SamplingData[[#This Row],[Total]]&lt;&gt; 0, NOT(ISBLANK(SamplingData[[#This Row],[Candidate 7]]))),(SamplingData[[#This Row],[Total]]+SamplingData[[#This Row],[Winning Candidate]]-SamplingData[[#This Row],[Candidate 7]])/(SamplingData[[#Totals],[Winning Candidate]]-SamplingData[[#Totals],[Candidate 7]]), 0)</f>
        <v>0</v>
      </c>
      <c r="W859" s="100">
        <f>IF(AND(SamplingData[[#This Row],[Total]]&lt;&gt; 0, NOT(ISBLANK(SamplingData[[#This Row],[Candidate 8]]))),(SamplingData[[#This Row],[Total]]+SamplingData[[#This Row],[Winning Candidate]]-SamplingData[[#This Row],[Candidate 8]])/(SamplingData[[#Totals],[Winning Candidate]]-SamplingData[[#Totals],[Candidate 8]]), 0)</f>
        <v>0</v>
      </c>
      <c r="X8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00">
        <f>MAX(SamplingData[[#This Row],[Error Bound (up) - Max. possible relative overstatement - Losing Candidate]:[Error Bound (up) - Max. possible relative overstatement - Candidate 12]])</f>
        <v>2.4499795835034709E-3</v>
      </c>
      <c r="AC859" s="100">
        <f>IF(SamplingData[[#This Row],[Max Error Bound (up)]] = 0,0,SamplingData[[#This Row],[Max Error Bound (up)]]/SamplingData[[#Totals],[Max Error Bound (up)]])</f>
        <v>1.0499111613632697E-3</v>
      </c>
      <c r="AD859" s="104">
        <f>SUM($AC$5:AC859)</f>
        <v>0.41226511602864407</v>
      </c>
      <c r="AE859" s="100" t="str" cm="1">
        <f t="array" ref="AE859">IF(SamplingData[[#This Row],[up/U Selection Probability]] = 0, "Zero", TEXT(SamplingData[[#This Row],[Lower Range]], REPT("0",LEN('General Info'!$B$42))) &amp; " - " &amp; TEXT(SamplingData[[#This Row],[Upper Range]], REPT("0",LEN('General Info'!$B$42))))</f>
        <v>41122 - 41226</v>
      </c>
      <c r="AF859" s="100">
        <f>SamplingData[[#This Row],[Upper Range]]-SamplingData[[#This Row],[Span]]</f>
        <v>41121.520486728077</v>
      </c>
      <c r="AG859" s="100">
        <f>IF(ISNUMBER('General Info'!$B$42), ((SamplingData[[#This Row],[up/U Selection Probability]]) * 'General Info'!$B$44) - 1, 0)</f>
        <v>103.99111613632697</v>
      </c>
      <c r="AH859" s="100">
        <f>IF(ISNUMBER('General Info'!$B$42), (SamplingData[[#This Row],[Running (cumulative) sum]] * ('General Info'!$B$42 -'General Info'!$B$43 + 1)) + 'General Info'!$B$43 - 1, 0)</f>
        <v>41225.511602864404</v>
      </c>
      <c r="AI859" s="100" t="str">
        <f>IF(ISERROR(MATCH(SamplingData[[#This Row],[Batch by Type (p)]],SelectedPrecincts[Batch Name], 0)), "", INDEX(SelectedPrecincts[Draw], MATCH(SamplingData[[#This Row],[Batch by Type (p)]],SelectedPrecincts[Batch Name], 0)))</f>
        <v/>
      </c>
      <c r="AJ859" s="101">
        <f>IF(COUNTIF(SelectedPrecincts[Batch Name],SamplingData[[#This Row],[Batch by Type (p)]]) &lt;&gt; 0, COUNTIF(SelectedPrecincts[Batch Name],SamplingData[[#This Row],[Batch by Type (p)]]), 0)</f>
        <v>0</v>
      </c>
    </row>
    <row r="860" spans="1:36" ht="15" customHeight="1" x14ac:dyDescent="0.35">
      <c r="A860" s="98" t="s">
        <v>1071</v>
      </c>
      <c r="B860" s="98">
        <v>29</v>
      </c>
      <c r="C860" s="98">
        <v>8</v>
      </c>
      <c r="D860" s="93"/>
      <c r="E860" s="93"/>
      <c r="F860" s="93"/>
      <c r="G860" s="97"/>
      <c r="H860" s="97"/>
      <c r="I860" s="93"/>
      <c r="J860" s="93"/>
      <c r="K860" s="93"/>
      <c r="L860" s="93"/>
      <c r="M860" s="93"/>
      <c r="N860" s="98">
        <v>0</v>
      </c>
      <c r="O860" s="98">
        <v>0</v>
      </c>
      <c r="P860" s="99">
        <f>SUM(SamplingData[[#This Row],[Winning Candidate]:[Under Votes]])</f>
        <v>37</v>
      </c>
      <c r="Q860"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860" s="100">
        <f>IF(AND(SamplingData[[#This Row],[Total]]&lt;&gt; 0, NOT(ISBLANK(SamplingData[[#This Row],[Candidate 3]]))),(SamplingData[[#This Row],[Total]]+SamplingData[[#This Row],[Winning Candidate]]-SamplingData[[#This Row],[Candidate 3]])/(SamplingData[[#Totals],[Winning Candidate]]-SamplingData[[#Totals],[Candidate 3]]), 0)</f>
        <v>0</v>
      </c>
      <c r="S860" s="100">
        <f>IF(AND(SamplingData[[#This Row],[Total]]&lt;&gt; 0, NOT(ISBLANK(SamplingData[[#This Row],[Candidate 4]]))),(SamplingData[[#This Row],[Total]]+SamplingData[[#This Row],[Winning Candidate]]-SamplingData[[#This Row],[Candidate 4]])/(SamplingData[[#Totals],[Winning Candidate]]-SamplingData[[#Totals],[Candidate 4]]), 0)</f>
        <v>0</v>
      </c>
      <c r="T860" s="100">
        <f>IF(AND(SamplingData[[#This Row],[Total]]&lt;&gt; 0, NOT(ISBLANK(SamplingData[[#This Row],[Candidate 5]]))),(SamplingData[[#This Row],[Total]]+SamplingData[[#This Row],[Winning Candidate]]-SamplingData[[#This Row],[Candidate 5]])/(SamplingData[[#Totals],[Winning Candidate]]-SamplingData[[#Totals],[Candidate 5]]), 0)</f>
        <v>0</v>
      </c>
      <c r="U860" s="100">
        <f>IF(AND(SamplingData[[#This Row],[Total]]&lt;&gt; 0, NOT(ISBLANK(SamplingData[[#This Row],[Candidate 6]]))),(SamplingData[[#This Row],[Total]]+SamplingData[[#This Row],[Losing Candidate]]-SamplingData[[#This Row],[Candidate 6]])/(SamplingData[[#Totals],[Winning Candidate]]-SamplingData[[#Totals],[Candidate 6]]), 0)</f>
        <v>0</v>
      </c>
      <c r="V860" s="100">
        <f>IF(AND(SamplingData[[#This Row],[Total]]&lt;&gt; 0, NOT(ISBLANK(SamplingData[[#This Row],[Candidate 7]]))),(SamplingData[[#This Row],[Total]]+SamplingData[[#This Row],[Winning Candidate]]-SamplingData[[#This Row],[Candidate 7]])/(SamplingData[[#Totals],[Winning Candidate]]-SamplingData[[#Totals],[Candidate 7]]), 0)</f>
        <v>0</v>
      </c>
      <c r="W860" s="100">
        <f>IF(AND(SamplingData[[#This Row],[Total]]&lt;&gt; 0, NOT(ISBLANK(SamplingData[[#This Row],[Candidate 8]]))),(SamplingData[[#This Row],[Total]]+SamplingData[[#This Row],[Winning Candidate]]-SamplingData[[#This Row],[Candidate 8]])/(SamplingData[[#Totals],[Winning Candidate]]-SamplingData[[#Totals],[Candidate 8]]), 0)</f>
        <v>0</v>
      </c>
      <c r="X8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00">
        <f>MAX(SamplingData[[#This Row],[Error Bound (up) - Max. possible relative overstatement - Losing Candidate]:[Error Bound (up) - Max. possible relative overstatement - Candidate 12]])</f>
        <v>1.8217796902974526E-3</v>
      </c>
      <c r="AC860" s="100">
        <f>IF(SamplingData[[#This Row],[Max Error Bound (up)]] = 0,0,SamplingData[[#This Row],[Max Error Bound (up)]]/SamplingData[[#Totals],[Max Error Bound (up)]])</f>
        <v>7.8070317127012351E-4</v>
      </c>
      <c r="AD860" s="104">
        <f>SUM($AC$5:AC860)</f>
        <v>0.41304581919991418</v>
      </c>
      <c r="AE860" s="100" t="str" cm="1">
        <f t="array" ref="AE860">IF(SamplingData[[#This Row],[up/U Selection Probability]] = 0, "Zero", TEXT(SamplingData[[#This Row],[Lower Range]], REPT("0",LEN('General Info'!$B$42))) &amp; " - " &amp; TEXT(SamplingData[[#This Row],[Upper Range]], REPT("0",LEN('General Info'!$B$42))))</f>
        <v>41227 - 41304</v>
      </c>
      <c r="AF860" s="100">
        <f>SamplingData[[#This Row],[Upper Range]]-SamplingData[[#This Row],[Span]]</f>
        <v>41226.511602864404</v>
      </c>
      <c r="AG860" s="100">
        <f>IF(ISNUMBER('General Info'!$B$42), ((SamplingData[[#This Row],[up/U Selection Probability]]) * 'General Info'!$B$44) - 1, 0)</f>
        <v>77.070317127012345</v>
      </c>
      <c r="AH860" s="100">
        <f>IF(ISNUMBER('General Info'!$B$42), (SamplingData[[#This Row],[Running (cumulative) sum]] * ('General Info'!$B$42 -'General Info'!$B$43 + 1)) + 'General Info'!$B$43 - 1, 0)</f>
        <v>41303.581919991419</v>
      </c>
      <c r="AI860" s="100" t="str">
        <f>IF(ISERROR(MATCH(SamplingData[[#This Row],[Batch by Type (p)]],SelectedPrecincts[Batch Name], 0)), "", INDEX(SelectedPrecincts[Draw], MATCH(SamplingData[[#This Row],[Batch by Type (p)]],SelectedPrecincts[Batch Name], 0)))</f>
        <v/>
      </c>
      <c r="AJ860" s="101">
        <f>IF(COUNTIF(SelectedPrecincts[Batch Name],SamplingData[[#This Row],[Batch by Type (p)]]) &lt;&gt; 0, COUNTIF(SelectedPrecincts[Batch Name],SamplingData[[#This Row],[Batch by Type (p)]]), 0)</f>
        <v>0</v>
      </c>
    </row>
    <row r="861" spans="1:36" ht="15" customHeight="1" x14ac:dyDescent="0.35">
      <c r="A861" s="98" t="s">
        <v>1072</v>
      </c>
      <c r="B861" s="98">
        <v>95</v>
      </c>
      <c r="C861" s="98">
        <v>11</v>
      </c>
      <c r="D861" s="93"/>
      <c r="E861" s="93"/>
      <c r="F861" s="93"/>
      <c r="G861" s="97"/>
      <c r="H861" s="97"/>
      <c r="I861" s="93"/>
      <c r="J861" s="93"/>
      <c r="K861" s="93"/>
      <c r="L861" s="93"/>
      <c r="M861" s="93"/>
      <c r="N861" s="98">
        <v>0</v>
      </c>
      <c r="O861" s="98">
        <v>2</v>
      </c>
      <c r="P861" s="99">
        <f>SUM(SamplingData[[#This Row],[Winning Candidate]:[Under Votes]])</f>
        <v>108</v>
      </c>
      <c r="Q861" s="100">
        <f>IF(AND(SamplingData[[#This Row],[Total]]&lt;&gt; 0, NOT(ISBLANK(SamplingData[[#This Row],[Losing Candidate]]))),(SamplingData[[#This Row],[Total]]+SamplingData[[#This Row],[Winning Candidate]]-SamplingData[[#This Row],[Losing Candidate]])/(SamplingData[[#Totals],[Winning Candidate]]-SamplingData[[#Totals],[Losing Candidate]]), 0)</f>
        <v>6.0307189747777741E-3</v>
      </c>
      <c r="R861" s="100">
        <f>IF(AND(SamplingData[[#This Row],[Total]]&lt;&gt; 0, NOT(ISBLANK(SamplingData[[#This Row],[Candidate 3]]))),(SamplingData[[#This Row],[Total]]+SamplingData[[#This Row],[Winning Candidate]]-SamplingData[[#This Row],[Candidate 3]])/(SamplingData[[#Totals],[Winning Candidate]]-SamplingData[[#Totals],[Candidate 3]]), 0)</f>
        <v>0</v>
      </c>
      <c r="S861" s="100">
        <f>IF(AND(SamplingData[[#This Row],[Total]]&lt;&gt; 0, NOT(ISBLANK(SamplingData[[#This Row],[Candidate 4]]))),(SamplingData[[#This Row],[Total]]+SamplingData[[#This Row],[Winning Candidate]]-SamplingData[[#This Row],[Candidate 4]])/(SamplingData[[#Totals],[Winning Candidate]]-SamplingData[[#Totals],[Candidate 4]]), 0)</f>
        <v>0</v>
      </c>
      <c r="T861" s="100">
        <f>IF(AND(SamplingData[[#This Row],[Total]]&lt;&gt; 0, NOT(ISBLANK(SamplingData[[#This Row],[Candidate 5]]))),(SamplingData[[#This Row],[Total]]+SamplingData[[#This Row],[Winning Candidate]]-SamplingData[[#This Row],[Candidate 5]])/(SamplingData[[#Totals],[Winning Candidate]]-SamplingData[[#Totals],[Candidate 5]]), 0)</f>
        <v>0</v>
      </c>
      <c r="U861" s="100">
        <f>IF(AND(SamplingData[[#This Row],[Total]]&lt;&gt; 0, NOT(ISBLANK(SamplingData[[#This Row],[Candidate 6]]))),(SamplingData[[#This Row],[Total]]+SamplingData[[#This Row],[Losing Candidate]]-SamplingData[[#This Row],[Candidate 6]])/(SamplingData[[#Totals],[Winning Candidate]]-SamplingData[[#Totals],[Candidate 6]]), 0)</f>
        <v>0</v>
      </c>
      <c r="V861" s="100">
        <f>IF(AND(SamplingData[[#This Row],[Total]]&lt;&gt; 0, NOT(ISBLANK(SamplingData[[#This Row],[Candidate 7]]))),(SamplingData[[#This Row],[Total]]+SamplingData[[#This Row],[Winning Candidate]]-SamplingData[[#This Row],[Candidate 7]])/(SamplingData[[#Totals],[Winning Candidate]]-SamplingData[[#Totals],[Candidate 7]]), 0)</f>
        <v>0</v>
      </c>
      <c r="W861" s="100">
        <f>IF(AND(SamplingData[[#This Row],[Total]]&lt;&gt; 0, NOT(ISBLANK(SamplingData[[#This Row],[Candidate 8]]))),(SamplingData[[#This Row],[Total]]+SamplingData[[#This Row],[Winning Candidate]]-SamplingData[[#This Row],[Candidate 8]])/(SamplingData[[#Totals],[Winning Candidate]]-SamplingData[[#Totals],[Candidate 8]]), 0)</f>
        <v>0</v>
      </c>
      <c r="X8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00">
        <f>MAX(SamplingData[[#This Row],[Error Bound (up) - Max. possible relative overstatement - Losing Candidate]:[Error Bound (up) - Max. possible relative overstatement - Candidate 12]])</f>
        <v>6.0307189747777741E-3</v>
      </c>
      <c r="AC861" s="100">
        <f>IF(SamplingData[[#This Row],[Max Error Bound (up)]] = 0,0,SamplingData[[#This Row],[Max Error Bound (up)]]/SamplingData[[#Totals],[Max Error Bound (up)]])</f>
        <v>2.5843967048942021E-3</v>
      </c>
      <c r="AD861" s="104">
        <f>SUM($AC$5:AC861)</f>
        <v>0.41563021590480836</v>
      </c>
      <c r="AE861" s="100" t="str" cm="1">
        <f t="array" ref="AE861">IF(SamplingData[[#This Row],[up/U Selection Probability]] = 0, "Zero", TEXT(SamplingData[[#This Row],[Lower Range]], REPT("0",LEN('General Info'!$B$42))) &amp; " - " &amp; TEXT(SamplingData[[#This Row],[Upper Range]], REPT("0",LEN('General Info'!$B$42))))</f>
        <v>41305 - 41562</v>
      </c>
      <c r="AF861" s="100">
        <f>SamplingData[[#This Row],[Upper Range]]-SamplingData[[#This Row],[Span]]</f>
        <v>41304.581919991419</v>
      </c>
      <c r="AG861" s="100">
        <f>IF(ISNUMBER('General Info'!$B$42), ((SamplingData[[#This Row],[up/U Selection Probability]]) * 'General Info'!$B$44) - 1, 0)</f>
        <v>257.43967048942022</v>
      </c>
      <c r="AH861" s="100">
        <f>IF(ISNUMBER('General Info'!$B$42), (SamplingData[[#This Row],[Running (cumulative) sum]] * ('General Info'!$B$42 -'General Info'!$B$43 + 1)) + 'General Info'!$B$43 - 1, 0)</f>
        <v>41562.021590480836</v>
      </c>
      <c r="AI861" s="100" t="str">
        <f>IF(ISERROR(MATCH(SamplingData[[#This Row],[Batch by Type (p)]],SelectedPrecincts[Batch Name], 0)), "", INDEX(SelectedPrecincts[Draw], MATCH(SamplingData[[#This Row],[Batch by Type (p)]],SelectedPrecincts[Batch Name], 0)))</f>
        <v/>
      </c>
      <c r="AJ861" s="101">
        <f>IF(COUNTIF(SelectedPrecincts[Batch Name],SamplingData[[#This Row],[Batch by Type (p)]]) &lt;&gt; 0, COUNTIF(SelectedPrecincts[Batch Name],SamplingData[[#This Row],[Batch by Type (p)]]), 0)</f>
        <v>0</v>
      </c>
    </row>
    <row r="862" spans="1:36" ht="15" customHeight="1" x14ac:dyDescent="0.35">
      <c r="A862" s="98" t="s">
        <v>1073</v>
      </c>
      <c r="B862" s="98">
        <v>137</v>
      </c>
      <c r="C862" s="98">
        <v>20</v>
      </c>
      <c r="D862" s="93"/>
      <c r="E862" s="93"/>
      <c r="F862" s="93"/>
      <c r="G862" s="97"/>
      <c r="H862" s="97"/>
      <c r="I862" s="93"/>
      <c r="J862" s="93"/>
      <c r="K862" s="93"/>
      <c r="L862" s="93"/>
      <c r="M862" s="93"/>
      <c r="N862" s="98">
        <v>0</v>
      </c>
      <c r="O862" s="98">
        <v>3</v>
      </c>
      <c r="P862" s="99">
        <f>SUM(SamplingData[[#This Row],[Winning Candidate]:[Under Votes]])</f>
        <v>160</v>
      </c>
      <c r="Q862" s="100">
        <f>IF(AND(SamplingData[[#This Row],[Total]]&lt;&gt; 0, NOT(ISBLANK(SamplingData[[#This Row],[Losing Candidate]]))),(SamplingData[[#This Row],[Total]]+SamplingData[[#This Row],[Winning Candidate]]-SamplingData[[#This Row],[Losing Candidate]])/(SamplingData[[#Totals],[Winning Candidate]]-SamplingData[[#Totals],[Losing Candidate]]), 0)</f>
        <v>8.7005685209033522E-3</v>
      </c>
      <c r="R862" s="100">
        <f>IF(AND(SamplingData[[#This Row],[Total]]&lt;&gt; 0, NOT(ISBLANK(SamplingData[[#This Row],[Candidate 3]]))),(SamplingData[[#This Row],[Total]]+SamplingData[[#This Row],[Winning Candidate]]-SamplingData[[#This Row],[Candidate 3]])/(SamplingData[[#Totals],[Winning Candidate]]-SamplingData[[#Totals],[Candidate 3]]), 0)</f>
        <v>0</v>
      </c>
      <c r="S862" s="100">
        <f>IF(AND(SamplingData[[#This Row],[Total]]&lt;&gt; 0, NOT(ISBLANK(SamplingData[[#This Row],[Candidate 4]]))),(SamplingData[[#This Row],[Total]]+SamplingData[[#This Row],[Winning Candidate]]-SamplingData[[#This Row],[Candidate 4]])/(SamplingData[[#Totals],[Winning Candidate]]-SamplingData[[#Totals],[Candidate 4]]), 0)</f>
        <v>0</v>
      </c>
      <c r="T862" s="100">
        <f>IF(AND(SamplingData[[#This Row],[Total]]&lt;&gt; 0, NOT(ISBLANK(SamplingData[[#This Row],[Candidate 5]]))),(SamplingData[[#This Row],[Total]]+SamplingData[[#This Row],[Winning Candidate]]-SamplingData[[#This Row],[Candidate 5]])/(SamplingData[[#Totals],[Winning Candidate]]-SamplingData[[#Totals],[Candidate 5]]), 0)</f>
        <v>0</v>
      </c>
      <c r="U862" s="100">
        <f>IF(AND(SamplingData[[#This Row],[Total]]&lt;&gt; 0, NOT(ISBLANK(SamplingData[[#This Row],[Candidate 6]]))),(SamplingData[[#This Row],[Total]]+SamplingData[[#This Row],[Losing Candidate]]-SamplingData[[#This Row],[Candidate 6]])/(SamplingData[[#Totals],[Winning Candidate]]-SamplingData[[#Totals],[Candidate 6]]), 0)</f>
        <v>0</v>
      </c>
      <c r="V862" s="100">
        <f>IF(AND(SamplingData[[#This Row],[Total]]&lt;&gt; 0, NOT(ISBLANK(SamplingData[[#This Row],[Candidate 7]]))),(SamplingData[[#This Row],[Total]]+SamplingData[[#This Row],[Winning Candidate]]-SamplingData[[#This Row],[Candidate 7]])/(SamplingData[[#Totals],[Winning Candidate]]-SamplingData[[#Totals],[Candidate 7]]), 0)</f>
        <v>0</v>
      </c>
      <c r="W862" s="100">
        <f>IF(AND(SamplingData[[#This Row],[Total]]&lt;&gt; 0, NOT(ISBLANK(SamplingData[[#This Row],[Candidate 8]]))),(SamplingData[[#This Row],[Total]]+SamplingData[[#This Row],[Winning Candidate]]-SamplingData[[#This Row],[Candidate 8]])/(SamplingData[[#Totals],[Winning Candidate]]-SamplingData[[#Totals],[Candidate 8]]), 0)</f>
        <v>0</v>
      </c>
      <c r="X8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00">
        <f>MAX(SamplingData[[#This Row],[Error Bound (up) - Max. possible relative overstatement - Losing Candidate]:[Error Bound (up) - Max. possible relative overstatement - Candidate 12]])</f>
        <v>8.7005685209033522E-3</v>
      </c>
      <c r="AC862" s="100">
        <f>IF(SamplingData[[#This Row],[Max Error Bound (up)]] = 0,0,SamplingData[[#This Row],[Max Error Bound (up)]]/SamplingData[[#Totals],[Max Error Bound (up)]])</f>
        <v>3.7285306627900731E-3</v>
      </c>
      <c r="AD862" s="104">
        <f>SUM($AC$5:AC862)</f>
        <v>0.41935874656759842</v>
      </c>
      <c r="AE862" s="100" t="str" cm="1">
        <f t="array" ref="AE862">IF(SamplingData[[#This Row],[up/U Selection Probability]] = 0, "Zero", TEXT(SamplingData[[#This Row],[Lower Range]], REPT("0",LEN('General Info'!$B$42))) &amp; " - " &amp; TEXT(SamplingData[[#This Row],[Upper Range]], REPT("0",LEN('General Info'!$B$42))))</f>
        <v>41563 - 41935</v>
      </c>
      <c r="AF862" s="100">
        <f>SamplingData[[#This Row],[Upper Range]]-SamplingData[[#This Row],[Span]]</f>
        <v>41563.021590480836</v>
      </c>
      <c r="AG862" s="100">
        <f>IF(ISNUMBER('General Info'!$B$42), ((SamplingData[[#This Row],[up/U Selection Probability]]) * 'General Info'!$B$44) - 1, 0)</f>
        <v>371.85306627900729</v>
      </c>
      <c r="AH862" s="100">
        <f>IF(ISNUMBER('General Info'!$B$42), (SamplingData[[#This Row],[Running (cumulative) sum]] * ('General Info'!$B$42 -'General Info'!$B$43 + 1)) + 'General Info'!$B$43 - 1, 0)</f>
        <v>41934.874656759843</v>
      </c>
      <c r="AI862" s="100" t="str">
        <f>IF(ISERROR(MATCH(SamplingData[[#This Row],[Batch by Type (p)]],SelectedPrecincts[Batch Name], 0)), "", INDEX(SelectedPrecincts[Draw], MATCH(SamplingData[[#This Row],[Batch by Type (p)]],SelectedPrecincts[Batch Name], 0)))</f>
        <v/>
      </c>
      <c r="AJ862" s="101">
        <f>IF(COUNTIF(SelectedPrecincts[Batch Name],SamplingData[[#This Row],[Batch by Type (p)]]) &lt;&gt; 0, COUNTIF(SelectedPrecincts[Batch Name],SamplingData[[#This Row],[Batch by Type (p)]]), 0)</f>
        <v>0</v>
      </c>
    </row>
    <row r="863" spans="1:36" ht="15" customHeight="1" x14ac:dyDescent="0.35">
      <c r="A863" s="98" t="s">
        <v>1074</v>
      </c>
      <c r="B863" s="98">
        <v>119</v>
      </c>
      <c r="C863" s="98">
        <v>7</v>
      </c>
      <c r="D863" s="93"/>
      <c r="E863" s="93"/>
      <c r="F863" s="93"/>
      <c r="G863" s="97"/>
      <c r="H863" s="97"/>
      <c r="I863" s="93"/>
      <c r="J863" s="93"/>
      <c r="K863" s="93"/>
      <c r="L863" s="93"/>
      <c r="M863" s="93"/>
      <c r="N863" s="98">
        <v>0</v>
      </c>
      <c r="O863" s="98">
        <v>4</v>
      </c>
      <c r="P863" s="99">
        <f>SUM(SamplingData[[#This Row],[Winning Candidate]:[Under Votes]])</f>
        <v>130</v>
      </c>
      <c r="Q863" s="100">
        <f>IF(AND(SamplingData[[#This Row],[Total]]&lt;&gt; 0, NOT(ISBLANK(SamplingData[[#This Row],[Losing Candidate]]))),(SamplingData[[#This Row],[Total]]+SamplingData[[#This Row],[Winning Candidate]]-SamplingData[[#This Row],[Losing Candidate]])/(SamplingData[[#Totals],[Winning Candidate]]-SamplingData[[#Totals],[Losing Candidate]]), 0)</f>
        <v>7.6012187077928199E-3</v>
      </c>
      <c r="R863" s="100">
        <f>IF(AND(SamplingData[[#This Row],[Total]]&lt;&gt; 0, NOT(ISBLANK(SamplingData[[#This Row],[Candidate 3]]))),(SamplingData[[#This Row],[Total]]+SamplingData[[#This Row],[Winning Candidate]]-SamplingData[[#This Row],[Candidate 3]])/(SamplingData[[#Totals],[Winning Candidate]]-SamplingData[[#Totals],[Candidate 3]]), 0)</f>
        <v>0</v>
      </c>
      <c r="S863" s="100">
        <f>IF(AND(SamplingData[[#This Row],[Total]]&lt;&gt; 0, NOT(ISBLANK(SamplingData[[#This Row],[Candidate 4]]))),(SamplingData[[#This Row],[Total]]+SamplingData[[#This Row],[Winning Candidate]]-SamplingData[[#This Row],[Candidate 4]])/(SamplingData[[#Totals],[Winning Candidate]]-SamplingData[[#Totals],[Candidate 4]]), 0)</f>
        <v>0</v>
      </c>
      <c r="T863" s="100">
        <f>IF(AND(SamplingData[[#This Row],[Total]]&lt;&gt; 0, NOT(ISBLANK(SamplingData[[#This Row],[Candidate 5]]))),(SamplingData[[#This Row],[Total]]+SamplingData[[#This Row],[Winning Candidate]]-SamplingData[[#This Row],[Candidate 5]])/(SamplingData[[#Totals],[Winning Candidate]]-SamplingData[[#Totals],[Candidate 5]]), 0)</f>
        <v>0</v>
      </c>
      <c r="U863" s="100">
        <f>IF(AND(SamplingData[[#This Row],[Total]]&lt;&gt; 0, NOT(ISBLANK(SamplingData[[#This Row],[Candidate 6]]))),(SamplingData[[#This Row],[Total]]+SamplingData[[#This Row],[Losing Candidate]]-SamplingData[[#This Row],[Candidate 6]])/(SamplingData[[#Totals],[Winning Candidate]]-SamplingData[[#Totals],[Candidate 6]]), 0)</f>
        <v>0</v>
      </c>
      <c r="V863" s="100">
        <f>IF(AND(SamplingData[[#This Row],[Total]]&lt;&gt; 0, NOT(ISBLANK(SamplingData[[#This Row],[Candidate 7]]))),(SamplingData[[#This Row],[Total]]+SamplingData[[#This Row],[Winning Candidate]]-SamplingData[[#This Row],[Candidate 7]])/(SamplingData[[#Totals],[Winning Candidate]]-SamplingData[[#Totals],[Candidate 7]]), 0)</f>
        <v>0</v>
      </c>
      <c r="W863" s="100">
        <f>IF(AND(SamplingData[[#This Row],[Total]]&lt;&gt; 0, NOT(ISBLANK(SamplingData[[#This Row],[Candidate 8]]))),(SamplingData[[#This Row],[Total]]+SamplingData[[#This Row],[Winning Candidate]]-SamplingData[[#This Row],[Candidate 8]])/(SamplingData[[#Totals],[Winning Candidate]]-SamplingData[[#Totals],[Candidate 8]]), 0)</f>
        <v>0</v>
      </c>
      <c r="X8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00">
        <f>MAX(SamplingData[[#This Row],[Error Bound (up) - Max. possible relative overstatement - Losing Candidate]:[Error Bound (up) - Max. possible relative overstatement - Candidate 12]])</f>
        <v>7.6012187077928199E-3</v>
      </c>
      <c r="AC863" s="100">
        <f>IF(SamplingData[[#This Row],[Max Error Bound (up)]] = 0,0,SamplingData[[#This Row],[Max Error Bound (up)]]/SamplingData[[#Totals],[Max Error Bound (up)]])</f>
        <v>3.2574166801270675E-3</v>
      </c>
      <c r="AD863" s="104">
        <f>SUM($AC$5:AC863)</f>
        <v>0.4226161632477255</v>
      </c>
      <c r="AE863" s="100" t="str" cm="1">
        <f t="array" ref="AE863">IF(SamplingData[[#This Row],[up/U Selection Probability]] = 0, "Zero", TEXT(SamplingData[[#This Row],[Lower Range]], REPT("0",LEN('General Info'!$B$42))) &amp; " - " &amp; TEXT(SamplingData[[#This Row],[Upper Range]], REPT("0",LEN('General Info'!$B$42))))</f>
        <v>41936 - 42261</v>
      </c>
      <c r="AF863" s="100">
        <f>SamplingData[[#This Row],[Upper Range]]-SamplingData[[#This Row],[Span]]</f>
        <v>41935.874656759843</v>
      </c>
      <c r="AG863" s="100">
        <f>IF(ISNUMBER('General Info'!$B$42), ((SamplingData[[#This Row],[up/U Selection Probability]]) * 'General Info'!$B$44) - 1, 0)</f>
        <v>324.74166801270673</v>
      </c>
      <c r="AH863" s="100">
        <f>IF(ISNUMBER('General Info'!$B$42), (SamplingData[[#This Row],[Running (cumulative) sum]] * ('General Info'!$B$42 -'General Info'!$B$43 + 1)) + 'General Info'!$B$43 - 1, 0)</f>
        <v>42260.616324772549</v>
      </c>
      <c r="AI863" s="100" t="str">
        <f>IF(ISERROR(MATCH(SamplingData[[#This Row],[Batch by Type (p)]],SelectedPrecincts[Batch Name], 0)), "", INDEX(SelectedPrecincts[Draw], MATCH(SamplingData[[#This Row],[Batch by Type (p)]],SelectedPrecincts[Batch Name], 0)))</f>
        <v/>
      </c>
      <c r="AJ863" s="101">
        <f>IF(COUNTIF(SelectedPrecincts[Batch Name],SamplingData[[#This Row],[Batch by Type (p)]]) &lt;&gt; 0, COUNTIF(SelectedPrecincts[Batch Name],SamplingData[[#This Row],[Batch by Type (p)]]), 0)</f>
        <v>0</v>
      </c>
    </row>
    <row r="864" spans="1:36" ht="15" customHeight="1" x14ac:dyDescent="0.35">
      <c r="A864" s="98" t="s">
        <v>1075</v>
      </c>
      <c r="B864" s="98">
        <v>135</v>
      </c>
      <c r="C864" s="98">
        <v>10</v>
      </c>
      <c r="D864" s="93"/>
      <c r="E864" s="93"/>
      <c r="F864" s="93"/>
      <c r="G864" s="97"/>
      <c r="H864" s="97"/>
      <c r="I864" s="93"/>
      <c r="J864" s="93"/>
      <c r="K864" s="93"/>
      <c r="L864" s="93"/>
      <c r="M864" s="93"/>
      <c r="N864" s="98">
        <v>0</v>
      </c>
      <c r="O864" s="98">
        <v>1</v>
      </c>
      <c r="P864" s="99">
        <f>SUM(SamplingData[[#This Row],[Winning Candidate]:[Under Votes]])</f>
        <v>146</v>
      </c>
      <c r="Q864" s="100">
        <f>IF(AND(SamplingData[[#This Row],[Total]]&lt;&gt; 0, NOT(ISBLANK(SamplingData[[#This Row],[Losing Candidate]]))),(SamplingData[[#This Row],[Total]]+SamplingData[[#This Row],[Winning Candidate]]-SamplingData[[#This Row],[Losing Candidate]])/(SamplingData[[#Totals],[Winning Candidate]]-SamplingData[[#Totals],[Losing Candidate]]), 0)</f>
        <v>8.5121085529415458E-3</v>
      </c>
      <c r="R864" s="100">
        <f>IF(AND(SamplingData[[#This Row],[Total]]&lt;&gt; 0, NOT(ISBLANK(SamplingData[[#This Row],[Candidate 3]]))),(SamplingData[[#This Row],[Total]]+SamplingData[[#This Row],[Winning Candidate]]-SamplingData[[#This Row],[Candidate 3]])/(SamplingData[[#Totals],[Winning Candidate]]-SamplingData[[#Totals],[Candidate 3]]), 0)</f>
        <v>0</v>
      </c>
      <c r="S864" s="100">
        <f>IF(AND(SamplingData[[#This Row],[Total]]&lt;&gt; 0, NOT(ISBLANK(SamplingData[[#This Row],[Candidate 4]]))),(SamplingData[[#This Row],[Total]]+SamplingData[[#This Row],[Winning Candidate]]-SamplingData[[#This Row],[Candidate 4]])/(SamplingData[[#Totals],[Winning Candidate]]-SamplingData[[#Totals],[Candidate 4]]), 0)</f>
        <v>0</v>
      </c>
      <c r="T864" s="100">
        <f>IF(AND(SamplingData[[#This Row],[Total]]&lt;&gt; 0, NOT(ISBLANK(SamplingData[[#This Row],[Candidate 5]]))),(SamplingData[[#This Row],[Total]]+SamplingData[[#This Row],[Winning Candidate]]-SamplingData[[#This Row],[Candidate 5]])/(SamplingData[[#Totals],[Winning Candidate]]-SamplingData[[#Totals],[Candidate 5]]), 0)</f>
        <v>0</v>
      </c>
      <c r="U864" s="100">
        <f>IF(AND(SamplingData[[#This Row],[Total]]&lt;&gt; 0, NOT(ISBLANK(SamplingData[[#This Row],[Candidate 6]]))),(SamplingData[[#This Row],[Total]]+SamplingData[[#This Row],[Losing Candidate]]-SamplingData[[#This Row],[Candidate 6]])/(SamplingData[[#Totals],[Winning Candidate]]-SamplingData[[#Totals],[Candidate 6]]), 0)</f>
        <v>0</v>
      </c>
      <c r="V864" s="100">
        <f>IF(AND(SamplingData[[#This Row],[Total]]&lt;&gt; 0, NOT(ISBLANK(SamplingData[[#This Row],[Candidate 7]]))),(SamplingData[[#This Row],[Total]]+SamplingData[[#This Row],[Winning Candidate]]-SamplingData[[#This Row],[Candidate 7]])/(SamplingData[[#Totals],[Winning Candidate]]-SamplingData[[#Totals],[Candidate 7]]), 0)</f>
        <v>0</v>
      </c>
      <c r="W864" s="100">
        <f>IF(AND(SamplingData[[#This Row],[Total]]&lt;&gt; 0, NOT(ISBLANK(SamplingData[[#This Row],[Candidate 8]]))),(SamplingData[[#This Row],[Total]]+SamplingData[[#This Row],[Winning Candidate]]-SamplingData[[#This Row],[Candidate 8]])/(SamplingData[[#Totals],[Winning Candidate]]-SamplingData[[#Totals],[Candidate 8]]), 0)</f>
        <v>0</v>
      </c>
      <c r="X8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00">
        <f>MAX(SamplingData[[#This Row],[Error Bound (up) - Max. possible relative overstatement - Losing Candidate]:[Error Bound (up) - Max. possible relative overstatement - Candidate 12]])</f>
        <v>8.5121085529415458E-3</v>
      </c>
      <c r="AC864" s="100">
        <f>IF(SamplingData[[#This Row],[Max Error Bound (up)]] = 0,0,SamplingData[[#This Row],[Max Error Bound (up)]]/SamplingData[[#Totals],[Max Error Bound (up)]])</f>
        <v>3.6477682657621289E-3</v>
      </c>
      <c r="AD864" s="104">
        <f>SUM($AC$5:AC864)</f>
        <v>0.42626393151348763</v>
      </c>
      <c r="AE864" s="100" t="str" cm="1">
        <f t="array" ref="AE864">IF(SamplingData[[#This Row],[up/U Selection Probability]] = 0, "Zero", TEXT(SamplingData[[#This Row],[Lower Range]], REPT("0",LEN('General Info'!$B$42))) &amp; " - " &amp; TEXT(SamplingData[[#This Row],[Upper Range]], REPT("0",LEN('General Info'!$B$42))))</f>
        <v>42262 - 42625</v>
      </c>
      <c r="AF864" s="100">
        <f>SamplingData[[#This Row],[Upper Range]]-SamplingData[[#This Row],[Span]]</f>
        <v>42261.616324772549</v>
      </c>
      <c r="AG864" s="100">
        <f>IF(ISNUMBER('General Info'!$B$42), ((SamplingData[[#This Row],[up/U Selection Probability]]) * 'General Info'!$B$44) - 1, 0)</f>
        <v>363.7768265762129</v>
      </c>
      <c r="AH864" s="100">
        <f>IF(ISNUMBER('General Info'!$B$42), (SamplingData[[#This Row],[Running (cumulative) sum]] * ('General Info'!$B$42 -'General Info'!$B$43 + 1)) + 'General Info'!$B$43 - 1, 0)</f>
        <v>42625.393151348762</v>
      </c>
      <c r="AI864" s="100" t="str">
        <f>IF(ISERROR(MATCH(SamplingData[[#This Row],[Batch by Type (p)]],SelectedPrecincts[Batch Name], 0)), "", INDEX(SelectedPrecincts[Draw], MATCH(SamplingData[[#This Row],[Batch by Type (p)]],SelectedPrecincts[Batch Name], 0)))</f>
        <v/>
      </c>
      <c r="AJ864" s="101">
        <f>IF(COUNTIF(SelectedPrecincts[Batch Name],SamplingData[[#This Row],[Batch by Type (p)]]) &lt;&gt; 0, COUNTIF(SelectedPrecincts[Batch Name],SamplingData[[#This Row],[Batch by Type (p)]]), 0)</f>
        <v>0</v>
      </c>
    </row>
    <row r="865" spans="1:36" ht="15" customHeight="1" x14ac:dyDescent="0.35">
      <c r="A865" s="98" t="s">
        <v>1076</v>
      </c>
      <c r="B865" s="98">
        <v>107</v>
      </c>
      <c r="C865" s="98">
        <v>23</v>
      </c>
      <c r="D865" s="93"/>
      <c r="E865" s="93"/>
      <c r="F865" s="93"/>
      <c r="G865" s="97"/>
      <c r="H865" s="97"/>
      <c r="I865" s="93"/>
      <c r="J865" s="93"/>
      <c r="K865" s="93"/>
      <c r="L865" s="93"/>
      <c r="M865" s="93"/>
      <c r="N865" s="98">
        <v>0</v>
      </c>
      <c r="O865" s="98">
        <v>3</v>
      </c>
      <c r="P865" s="99">
        <f>SUM(SamplingData[[#This Row],[Winning Candidate]:[Under Votes]])</f>
        <v>133</v>
      </c>
      <c r="Q865" s="100">
        <f>IF(AND(SamplingData[[#This Row],[Total]]&lt;&gt; 0, NOT(ISBLANK(SamplingData[[#This Row],[Losing Candidate]]))),(SamplingData[[#This Row],[Total]]+SamplingData[[#This Row],[Winning Candidate]]-SamplingData[[#This Row],[Losing Candidate]])/(SamplingData[[#Totals],[Winning Candidate]]-SamplingData[[#Totals],[Losing Candidate]]), 0)</f>
        <v>6.815968841285297E-3</v>
      </c>
      <c r="R865" s="100">
        <f>IF(AND(SamplingData[[#This Row],[Total]]&lt;&gt; 0, NOT(ISBLANK(SamplingData[[#This Row],[Candidate 3]]))),(SamplingData[[#This Row],[Total]]+SamplingData[[#This Row],[Winning Candidate]]-SamplingData[[#This Row],[Candidate 3]])/(SamplingData[[#Totals],[Winning Candidate]]-SamplingData[[#Totals],[Candidate 3]]), 0)</f>
        <v>0</v>
      </c>
      <c r="S865" s="100">
        <f>IF(AND(SamplingData[[#This Row],[Total]]&lt;&gt; 0, NOT(ISBLANK(SamplingData[[#This Row],[Candidate 4]]))),(SamplingData[[#This Row],[Total]]+SamplingData[[#This Row],[Winning Candidate]]-SamplingData[[#This Row],[Candidate 4]])/(SamplingData[[#Totals],[Winning Candidate]]-SamplingData[[#Totals],[Candidate 4]]), 0)</f>
        <v>0</v>
      </c>
      <c r="T865" s="100">
        <f>IF(AND(SamplingData[[#This Row],[Total]]&lt;&gt; 0, NOT(ISBLANK(SamplingData[[#This Row],[Candidate 5]]))),(SamplingData[[#This Row],[Total]]+SamplingData[[#This Row],[Winning Candidate]]-SamplingData[[#This Row],[Candidate 5]])/(SamplingData[[#Totals],[Winning Candidate]]-SamplingData[[#Totals],[Candidate 5]]), 0)</f>
        <v>0</v>
      </c>
      <c r="U865" s="100">
        <f>IF(AND(SamplingData[[#This Row],[Total]]&lt;&gt; 0, NOT(ISBLANK(SamplingData[[#This Row],[Candidate 6]]))),(SamplingData[[#This Row],[Total]]+SamplingData[[#This Row],[Losing Candidate]]-SamplingData[[#This Row],[Candidate 6]])/(SamplingData[[#Totals],[Winning Candidate]]-SamplingData[[#Totals],[Candidate 6]]), 0)</f>
        <v>0</v>
      </c>
      <c r="V865" s="100">
        <f>IF(AND(SamplingData[[#This Row],[Total]]&lt;&gt; 0, NOT(ISBLANK(SamplingData[[#This Row],[Candidate 7]]))),(SamplingData[[#This Row],[Total]]+SamplingData[[#This Row],[Winning Candidate]]-SamplingData[[#This Row],[Candidate 7]])/(SamplingData[[#Totals],[Winning Candidate]]-SamplingData[[#Totals],[Candidate 7]]), 0)</f>
        <v>0</v>
      </c>
      <c r="W865" s="100">
        <f>IF(AND(SamplingData[[#This Row],[Total]]&lt;&gt; 0, NOT(ISBLANK(SamplingData[[#This Row],[Candidate 8]]))),(SamplingData[[#This Row],[Total]]+SamplingData[[#This Row],[Winning Candidate]]-SamplingData[[#This Row],[Candidate 8]])/(SamplingData[[#Totals],[Winning Candidate]]-SamplingData[[#Totals],[Candidate 8]]), 0)</f>
        <v>0</v>
      </c>
      <c r="X8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00">
        <f>MAX(SamplingData[[#This Row],[Error Bound (up) - Max. possible relative overstatement - Losing Candidate]:[Error Bound (up) - Max. possible relative overstatement - Candidate 12]])</f>
        <v>6.815968841285297E-3</v>
      </c>
      <c r="AC865" s="100">
        <f>IF(SamplingData[[#This Row],[Max Error Bound (up)]] = 0,0,SamplingData[[#This Row],[Max Error Bound (up)]]/SamplingData[[#Totals],[Max Error Bound (up)]])</f>
        <v>2.9209066925106348E-3</v>
      </c>
      <c r="AD865" s="104">
        <f>SUM($AC$5:AC865)</f>
        <v>0.42918483820599829</v>
      </c>
      <c r="AE865" s="100" t="str" cm="1">
        <f t="array" ref="AE865">IF(SamplingData[[#This Row],[up/U Selection Probability]] = 0, "Zero", TEXT(SamplingData[[#This Row],[Lower Range]], REPT("0",LEN('General Info'!$B$42))) &amp; " - " &amp; TEXT(SamplingData[[#This Row],[Upper Range]], REPT("0",LEN('General Info'!$B$42))))</f>
        <v>42626 - 42917</v>
      </c>
      <c r="AF865" s="100">
        <f>SamplingData[[#This Row],[Upper Range]]-SamplingData[[#This Row],[Span]]</f>
        <v>42626.39315134877</v>
      </c>
      <c r="AG865" s="100">
        <f>IF(ISNUMBER('General Info'!$B$42), ((SamplingData[[#This Row],[up/U Selection Probability]]) * 'General Info'!$B$44) - 1, 0)</f>
        <v>291.0906692510635</v>
      </c>
      <c r="AH865" s="100">
        <f>IF(ISNUMBER('General Info'!$B$42), (SamplingData[[#This Row],[Running (cumulative) sum]] * ('General Info'!$B$42 -'General Info'!$B$43 + 1)) + 'General Info'!$B$43 - 1, 0)</f>
        <v>42917.483820599831</v>
      </c>
      <c r="AI865" s="100" t="str">
        <f>IF(ISERROR(MATCH(SamplingData[[#This Row],[Batch by Type (p)]],SelectedPrecincts[Batch Name], 0)), "", INDEX(SelectedPrecincts[Draw], MATCH(SamplingData[[#This Row],[Batch by Type (p)]],SelectedPrecincts[Batch Name], 0)))</f>
        <v/>
      </c>
      <c r="AJ865" s="101">
        <f>IF(COUNTIF(SelectedPrecincts[Batch Name],SamplingData[[#This Row],[Batch by Type (p)]]) &lt;&gt; 0, COUNTIF(SelectedPrecincts[Batch Name],SamplingData[[#This Row],[Batch by Type (p)]]), 0)</f>
        <v>0</v>
      </c>
    </row>
    <row r="866" spans="1:36" ht="15" customHeight="1" x14ac:dyDescent="0.35">
      <c r="A866" s="98" t="s">
        <v>1077</v>
      </c>
      <c r="B866" s="98">
        <v>30</v>
      </c>
      <c r="C866" s="98">
        <v>4</v>
      </c>
      <c r="D866" s="93"/>
      <c r="E866" s="93"/>
      <c r="F866" s="93"/>
      <c r="G866" s="97"/>
      <c r="H866" s="97"/>
      <c r="I866" s="93"/>
      <c r="J866" s="93"/>
      <c r="K866" s="93"/>
      <c r="L866" s="93"/>
      <c r="M866" s="93"/>
      <c r="N866" s="98">
        <v>0</v>
      </c>
      <c r="O866" s="98">
        <v>0</v>
      </c>
      <c r="P866" s="99">
        <f>SUM(SamplingData[[#This Row],[Winning Candidate]:[Under Votes]])</f>
        <v>34</v>
      </c>
      <c r="Q866"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1.8845996796180544E-3</v>
      </c>
      <c r="R866" s="100">
        <f>IF(AND(SamplingData[[#This Row],[Total]]&lt;&gt; 0, NOT(ISBLANK(SamplingData[[#This Row],[Candidate 3]]))),(SamplingData[[#This Row],[Total]]+SamplingData[[#This Row],[Winning Candidate]]-SamplingData[[#This Row],[Candidate 3]])/(SamplingData[[#Totals],[Winning Candidate]]-SamplingData[[#Totals],[Candidate 3]]), 0)</f>
        <v>0</v>
      </c>
      <c r="S866" s="100">
        <f>IF(AND(SamplingData[[#This Row],[Total]]&lt;&gt; 0, NOT(ISBLANK(SamplingData[[#This Row],[Candidate 4]]))),(SamplingData[[#This Row],[Total]]+SamplingData[[#This Row],[Winning Candidate]]-SamplingData[[#This Row],[Candidate 4]])/(SamplingData[[#Totals],[Winning Candidate]]-SamplingData[[#Totals],[Candidate 4]]), 0)</f>
        <v>0</v>
      </c>
      <c r="T866" s="100">
        <f>IF(AND(SamplingData[[#This Row],[Total]]&lt;&gt; 0, NOT(ISBLANK(SamplingData[[#This Row],[Candidate 5]]))),(SamplingData[[#This Row],[Total]]+SamplingData[[#This Row],[Winning Candidate]]-SamplingData[[#This Row],[Candidate 5]])/(SamplingData[[#Totals],[Winning Candidate]]-SamplingData[[#Totals],[Candidate 5]]), 0)</f>
        <v>0</v>
      </c>
      <c r="U866" s="100">
        <f>IF(AND(SamplingData[[#This Row],[Total]]&lt;&gt; 0, NOT(ISBLANK(SamplingData[[#This Row],[Candidate 6]]))),(SamplingData[[#This Row],[Total]]+SamplingData[[#This Row],[Losing Candidate]]-SamplingData[[#This Row],[Candidate 6]])/(SamplingData[[#Totals],[Winning Candidate]]-SamplingData[[#Totals],[Candidate 6]]), 0)</f>
        <v>0</v>
      </c>
      <c r="V866" s="100">
        <f>IF(AND(SamplingData[[#This Row],[Total]]&lt;&gt; 0, NOT(ISBLANK(SamplingData[[#This Row],[Candidate 7]]))),(SamplingData[[#This Row],[Total]]+SamplingData[[#This Row],[Winning Candidate]]-SamplingData[[#This Row],[Candidate 7]])/(SamplingData[[#Totals],[Winning Candidate]]-SamplingData[[#Totals],[Candidate 7]]), 0)</f>
        <v>0</v>
      </c>
      <c r="W866" s="100">
        <f>IF(AND(SamplingData[[#This Row],[Total]]&lt;&gt; 0, NOT(ISBLANK(SamplingData[[#This Row],[Candidate 8]]))),(SamplingData[[#This Row],[Total]]+SamplingData[[#This Row],[Winning Candidate]]-SamplingData[[#This Row],[Candidate 8]])/(SamplingData[[#Totals],[Winning Candidate]]-SamplingData[[#Totals],[Candidate 8]]), 0)</f>
        <v>0</v>
      </c>
      <c r="X8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00">
        <f>MAX(SamplingData[[#This Row],[Error Bound (up) - Max. possible relative overstatement - Losing Candidate]:[Error Bound (up) - Max. possible relative overstatement - Candidate 12]])</f>
        <v>1.8845996796180544E-3</v>
      </c>
      <c r="AC866" s="100">
        <f>IF(SamplingData[[#This Row],[Max Error Bound (up)]] = 0,0,SamplingData[[#This Row],[Max Error Bound (up)]]/SamplingData[[#Totals],[Max Error Bound (up)]])</f>
        <v>8.0762397027943811E-4</v>
      </c>
      <c r="AD866" s="104">
        <f>SUM($AC$5:AC866)</f>
        <v>0.42999246217627773</v>
      </c>
      <c r="AE866" s="100" t="str" cm="1">
        <f t="array" ref="AE866">IF(SamplingData[[#This Row],[up/U Selection Probability]] = 0, "Zero", TEXT(SamplingData[[#This Row],[Lower Range]], REPT("0",LEN('General Info'!$B$42))) &amp; " - " &amp; TEXT(SamplingData[[#This Row],[Upper Range]], REPT("0",LEN('General Info'!$B$42))))</f>
        <v>42918 - 42998</v>
      </c>
      <c r="AF866" s="100">
        <f>SamplingData[[#This Row],[Upper Range]]-SamplingData[[#This Row],[Span]]</f>
        <v>42918.483820599831</v>
      </c>
      <c r="AG866" s="100">
        <f>IF(ISNUMBER('General Info'!$B$42), ((SamplingData[[#This Row],[up/U Selection Probability]]) * 'General Info'!$B$44) - 1, 0)</f>
        <v>79.762397027943805</v>
      </c>
      <c r="AH866" s="100">
        <f>IF(ISNUMBER('General Info'!$B$42), (SamplingData[[#This Row],[Running (cumulative) sum]] * ('General Info'!$B$42 -'General Info'!$B$43 + 1)) + 'General Info'!$B$43 - 1, 0)</f>
        <v>42998.246217627777</v>
      </c>
      <c r="AI866" s="100" t="str">
        <f>IF(ISERROR(MATCH(SamplingData[[#This Row],[Batch by Type (p)]],SelectedPrecincts[Batch Name], 0)), "", INDEX(SelectedPrecincts[Draw], MATCH(SamplingData[[#This Row],[Batch by Type (p)]],SelectedPrecincts[Batch Name], 0)))</f>
        <v/>
      </c>
      <c r="AJ866" s="101">
        <f>IF(COUNTIF(SelectedPrecincts[Batch Name],SamplingData[[#This Row],[Batch by Type (p)]]) &lt;&gt; 0, COUNTIF(SelectedPrecincts[Batch Name],SamplingData[[#This Row],[Batch by Type (p)]]), 0)</f>
        <v>0</v>
      </c>
    </row>
    <row r="867" spans="1:36" ht="15" customHeight="1" x14ac:dyDescent="0.35">
      <c r="A867" s="98" t="s">
        <v>1078</v>
      </c>
      <c r="B867" s="98">
        <v>39</v>
      </c>
      <c r="C867" s="98">
        <v>5</v>
      </c>
      <c r="D867" s="93"/>
      <c r="E867" s="93"/>
      <c r="F867" s="93"/>
      <c r="G867" s="97"/>
      <c r="H867" s="97"/>
      <c r="I867" s="93"/>
      <c r="J867" s="93"/>
      <c r="K867" s="93"/>
      <c r="L867" s="93"/>
      <c r="M867" s="93"/>
      <c r="N867" s="98">
        <v>0</v>
      </c>
      <c r="O867" s="98">
        <v>0</v>
      </c>
      <c r="P867" s="99">
        <f>SUM(SamplingData[[#This Row],[Winning Candidate]:[Under Votes]])</f>
        <v>44</v>
      </c>
      <c r="Q867" s="100">
        <f>IF(AND(SamplingData[[#This Row],[Total]]&lt;&gt; 0, NOT(ISBLANK(SamplingData[[#This Row],[Losing Candidate]]))),(SamplingData[[#This Row],[Total]]+SamplingData[[#This Row],[Winning Candidate]]-SamplingData[[#This Row],[Losing Candidate]])/(SamplingData[[#Totals],[Winning Candidate]]-SamplingData[[#Totals],[Losing Candidate]]), 0)</f>
        <v>2.4499795835034709E-3</v>
      </c>
      <c r="R867" s="100">
        <f>IF(AND(SamplingData[[#This Row],[Total]]&lt;&gt; 0, NOT(ISBLANK(SamplingData[[#This Row],[Candidate 3]]))),(SamplingData[[#This Row],[Total]]+SamplingData[[#This Row],[Winning Candidate]]-SamplingData[[#This Row],[Candidate 3]])/(SamplingData[[#Totals],[Winning Candidate]]-SamplingData[[#Totals],[Candidate 3]]), 0)</f>
        <v>0</v>
      </c>
      <c r="S867" s="100">
        <f>IF(AND(SamplingData[[#This Row],[Total]]&lt;&gt; 0, NOT(ISBLANK(SamplingData[[#This Row],[Candidate 4]]))),(SamplingData[[#This Row],[Total]]+SamplingData[[#This Row],[Winning Candidate]]-SamplingData[[#This Row],[Candidate 4]])/(SamplingData[[#Totals],[Winning Candidate]]-SamplingData[[#Totals],[Candidate 4]]), 0)</f>
        <v>0</v>
      </c>
      <c r="T867" s="100">
        <f>IF(AND(SamplingData[[#This Row],[Total]]&lt;&gt; 0, NOT(ISBLANK(SamplingData[[#This Row],[Candidate 5]]))),(SamplingData[[#This Row],[Total]]+SamplingData[[#This Row],[Winning Candidate]]-SamplingData[[#This Row],[Candidate 5]])/(SamplingData[[#Totals],[Winning Candidate]]-SamplingData[[#Totals],[Candidate 5]]), 0)</f>
        <v>0</v>
      </c>
      <c r="U867" s="100">
        <f>IF(AND(SamplingData[[#This Row],[Total]]&lt;&gt; 0, NOT(ISBLANK(SamplingData[[#This Row],[Candidate 6]]))),(SamplingData[[#This Row],[Total]]+SamplingData[[#This Row],[Losing Candidate]]-SamplingData[[#This Row],[Candidate 6]])/(SamplingData[[#Totals],[Winning Candidate]]-SamplingData[[#Totals],[Candidate 6]]), 0)</f>
        <v>0</v>
      </c>
      <c r="V867" s="100">
        <f>IF(AND(SamplingData[[#This Row],[Total]]&lt;&gt; 0, NOT(ISBLANK(SamplingData[[#This Row],[Candidate 7]]))),(SamplingData[[#This Row],[Total]]+SamplingData[[#This Row],[Winning Candidate]]-SamplingData[[#This Row],[Candidate 7]])/(SamplingData[[#Totals],[Winning Candidate]]-SamplingData[[#Totals],[Candidate 7]]), 0)</f>
        <v>0</v>
      </c>
      <c r="W867" s="100">
        <f>IF(AND(SamplingData[[#This Row],[Total]]&lt;&gt; 0, NOT(ISBLANK(SamplingData[[#This Row],[Candidate 8]]))),(SamplingData[[#This Row],[Total]]+SamplingData[[#This Row],[Winning Candidate]]-SamplingData[[#This Row],[Candidate 8]])/(SamplingData[[#Totals],[Winning Candidate]]-SamplingData[[#Totals],[Candidate 8]]), 0)</f>
        <v>0</v>
      </c>
      <c r="X8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00">
        <f>MAX(SamplingData[[#This Row],[Error Bound (up) - Max. possible relative overstatement - Losing Candidate]:[Error Bound (up) - Max. possible relative overstatement - Candidate 12]])</f>
        <v>2.4499795835034709E-3</v>
      </c>
      <c r="AC867" s="100">
        <f>IF(SamplingData[[#This Row],[Max Error Bound (up)]] = 0,0,SamplingData[[#This Row],[Max Error Bound (up)]]/SamplingData[[#Totals],[Max Error Bound (up)]])</f>
        <v>1.0499111613632697E-3</v>
      </c>
      <c r="AD867" s="104">
        <f>SUM($AC$5:AC867)</f>
        <v>0.431042373337641</v>
      </c>
      <c r="AE867" s="100" t="str" cm="1">
        <f t="array" ref="AE867">IF(SamplingData[[#This Row],[up/U Selection Probability]] = 0, "Zero", TEXT(SamplingData[[#This Row],[Lower Range]], REPT("0",LEN('General Info'!$B$42))) &amp; " - " &amp; TEXT(SamplingData[[#This Row],[Upper Range]], REPT("0",LEN('General Info'!$B$42))))</f>
        <v>42999 - 43103</v>
      </c>
      <c r="AF867" s="100">
        <f>SamplingData[[#This Row],[Upper Range]]-SamplingData[[#This Row],[Span]]</f>
        <v>42999.246217627777</v>
      </c>
      <c r="AG867" s="100">
        <f>IF(ISNUMBER('General Info'!$B$42), ((SamplingData[[#This Row],[up/U Selection Probability]]) * 'General Info'!$B$44) - 1, 0)</f>
        <v>103.99111613632697</v>
      </c>
      <c r="AH867" s="100">
        <f>IF(ISNUMBER('General Info'!$B$42), (SamplingData[[#This Row],[Running (cumulative) sum]] * ('General Info'!$B$42 -'General Info'!$B$43 + 1)) + 'General Info'!$B$43 - 1, 0)</f>
        <v>43103.237333764104</v>
      </c>
      <c r="AI867" s="100" t="str">
        <f>IF(ISERROR(MATCH(SamplingData[[#This Row],[Batch by Type (p)]],SelectedPrecincts[Batch Name], 0)), "", INDEX(SelectedPrecincts[Draw], MATCH(SamplingData[[#This Row],[Batch by Type (p)]],SelectedPrecincts[Batch Name], 0)))</f>
        <v/>
      </c>
      <c r="AJ867" s="101">
        <f>IF(COUNTIF(SelectedPrecincts[Batch Name],SamplingData[[#This Row],[Batch by Type (p)]]) &lt;&gt; 0, COUNTIF(SelectedPrecincts[Batch Name],SamplingData[[#This Row],[Batch by Type (p)]]), 0)</f>
        <v>0</v>
      </c>
    </row>
    <row r="868" spans="1:36" ht="15" customHeight="1" x14ac:dyDescent="0.35">
      <c r="A868" s="98" t="s">
        <v>1079</v>
      </c>
      <c r="B868" s="98">
        <v>47</v>
      </c>
      <c r="C868" s="98">
        <v>5</v>
      </c>
      <c r="D868" s="93"/>
      <c r="E868" s="93"/>
      <c r="F868" s="93"/>
      <c r="G868" s="97"/>
      <c r="H868" s="97"/>
      <c r="I868" s="93"/>
      <c r="J868" s="93"/>
      <c r="K868" s="93"/>
      <c r="L868" s="93"/>
      <c r="M868" s="93"/>
      <c r="N868" s="98">
        <v>0</v>
      </c>
      <c r="O868" s="98">
        <v>3</v>
      </c>
      <c r="P868" s="99">
        <f>SUM(SamplingData[[#This Row],[Winning Candidate]:[Under Votes]])</f>
        <v>55</v>
      </c>
      <c r="Q868" s="100">
        <f>IF(AND(SamplingData[[#This Row],[Total]]&lt;&gt; 0, NOT(ISBLANK(SamplingData[[#This Row],[Losing Candidate]]))),(SamplingData[[#This Row],[Total]]+SamplingData[[#This Row],[Winning Candidate]]-SamplingData[[#This Row],[Losing Candidate]])/(SamplingData[[#Totals],[Winning Candidate]]-SamplingData[[#Totals],[Losing Candidate]]), 0)</f>
        <v>3.0467694820491878E-3</v>
      </c>
      <c r="R868" s="100">
        <f>IF(AND(SamplingData[[#This Row],[Total]]&lt;&gt; 0, NOT(ISBLANK(SamplingData[[#This Row],[Candidate 3]]))),(SamplingData[[#This Row],[Total]]+SamplingData[[#This Row],[Winning Candidate]]-SamplingData[[#This Row],[Candidate 3]])/(SamplingData[[#Totals],[Winning Candidate]]-SamplingData[[#Totals],[Candidate 3]]), 0)</f>
        <v>0</v>
      </c>
      <c r="S868" s="100">
        <f>IF(AND(SamplingData[[#This Row],[Total]]&lt;&gt; 0, NOT(ISBLANK(SamplingData[[#This Row],[Candidate 4]]))),(SamplingData[[#This Row],[Total]]+SamplingData[[#This Row],[Winning Candidate]]-SamplingData[[#This Row],[Candidate 4]])/(SamplingData[[#Totals],[Winning Candidate]]-SamplingData[[#Totals],[Candidate 4]]), 0)</f>
        <v>0</v>
      </c>
      <c r="T868" s="100">
        <f>IF(AND(SamplingData[[#This Row],[Total]]&lt;&gt; 0, NOT(ISBLANK(SamplingData[[#This Row],[Candidate 5]]))),(SamplingData[[#This Row],[Total]]+SamplingData[[#This Row],[Winning Candidate]]-SamplingData[[#This Row],[Candidate 5]])/(SamplingData[[#Totals],[Winning Candidate]]-SamplingData[[#Totals],[Candidate 5]]), 0)</f>
        <v>0</v>
      </c>
      <c r="U868" s="100">
        <f>IF(AND(SamplingData[[#This Row],[Total]]&lt;&gt; 0, NOT(ISBLANK(SamplingData[[#This Row],[Candidate 6]]))),(SamplingData[[#This Row],[Total]]+SamplingData[[#This Row],[Losing Candidate]]-SamplingData[[#This Row],[Candidate 6]])/(SamplingData[[#Totals],[Winning Candidate]]-SamplingData[[#Totals],[Candidate 6]]), 0)</f>
        <v>0</v>
      </c>
      <c r="V868" s="100">
        <f>IF(AND(SamplingData[[#This Row],[Total]]&lt;&gt; 0, NOT(ISBLANK(SamplingData[[#This Row],[Candidate 7]]))),(SamplingData[[#This Row],[Total]]+SamplingData[[#This Row],[Winning Candidate]]-SamplingData[[#This Row],[Candidate 7]])/(SamplingData[[#Totals],[Winning Candidate]]-SamplingData[[#Totals],[Candidate 7]]), 0)</f>
        <v>0</v>
      </c>
      <c r="W868" s="100">
        <f>IF(AND(SamplingData[[#This Row],[Total]]&lt;&gt; 0, NOT(ISBLANK(SamplingData[[#This Row],[Candidate 8]]))),(SamplingData[[#This Row],[Total]]+SamplingData[[#This Row],[Winning Candidate]]-SamplingData[[#This Row],[Candidate 8]])/(SamplingData[[#Totals],[Winning Candidate]]-SamplingData[[#Totals],[Candidate 8]]), 0)</f>
        <v>0</v>
      </c>
      <c r="X8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00">
        <f>MAX(SamplingData[[#This Row],[Error Bound (up) - Max. possible relative overstatement - Losing Candidate]:[Error Bound (up) - Max. possible relative overstatement - Candidate 12]])</f>
        <v>3.0467694820491878E-3</v>
      </c>
      <c r="AC868" s="100">
        <f>IF(SamplingData[[#This Row],[Max Error Bound (up)]] = 0,0,SamplingData[[#This Row],[Max Error Bound (up)]]/SamplingData[[#Totals],[Max Error Bound (up)]])</f>
        <v>1.3056587519517584E-3</v>
      </c>
      <c r="AD868" s="104">
        <f>SUM($AC$5:AC868)</f>
        <v>0.43234803208959277</v>
      </c>
      <c r="AE868" s="100" t="str" cm="1">
        <f t="array" ref="AE868">IF(SamplingData[[#This Row],[up/U Selection Probability]] = 0, "Zero", TEXT(SamplingData[[#This Row],[Lower Range]], REPT("0",LEN('General Info'!$B$42))) &amp; " - " &amp; TEXT(SamplingData[[#This Row],[Upper Range]], REPT("0",LEN('General Info'!$B$42))))</f>
        <v>43104 - 43234</v>
      </c>
      <c r="AF868" s="100">
        <f>SamplingData[[#This Row],[Upper Range]]-SamplingData[[#This Row],[Span]]</f>
        <v>43104.237333764097</v>
      </c>
      <c r="AG868" s="100">
        <f>IF(ISNUMBER('General Info'!$B$42), ((SamplingData[[#This Row],[up/U Selection Probability]]) * 'General Info'!$B$44) - 1, 0)</f>
        <v>129.56587519517583</v>
      </c>
      <c r="AH868" s="100">
        <f>IF(ISNUMBER('General Info'!$B$42), (SamplingData[[#This Row],[Running (cumulative) sum]] * ('General Info'!$B$42 -'General Info'!$B$43 + 1)) + 'General Info'!$B$43 - 1, 0)</f>
        <v>43233.803208959274</v>
      </c>
      <c r="AI868" s="100" t="str">
        <f>IF(ISERROR(MATCH(SamplingData[[#This Row],[Batch by Type (p)]],SelectedPrecincts[Batch Name], 0)), "", INDEX(SelectedPrecincts[Draw], MATCH(SamplingData[[#This Row],[Batch by Type (p)]],SelectedPrecincts[Batch Name], 0)))</f>
        <v/>
      </c>
      <c r="AJ868" s="101">
        <f>IF(COUNTIF(SelectedPrecincts[Batch Name],SamplingData[[#This Row],[Batch by Type (p)]]) &lt;&gt; 0, COUNTIF(SelectedPrecincts[Batch Name],SamplingData[[#This Row],[Batch by Type (p)]]), 0)</f>
        <v>0</v>
      </c>
    </row>
    <row r="869" spans="1:36" ht="15" customHeight="1" x14ac:dyDescent="0.35">
      <c r="A869" s="98" t="s">
        <v>1080</v>
      </c>
      <c r="B869" s="98">
        <v>48</v>
      </c>
      <c r="C869" s="98">
        <v>9</v>
      </c>
      <c r="D869" s="93"/>
      <c r="E869" s="93"/>
      <c r="F869" s="93"/>
      <c r="G869" s="97"/>
      <c r="H869" s="97"/>
      <c r="I869" s="93"/>
      <c r="J869" s="93"/>
      <c r="K869" s="93"/>
      <c r="L869" s="93"/>
      <c r="M869" s="93"/>
      <c r="N869" s="98">
        <v>1</v>
      </c>
      <c r="O869" s="98">
        <v>1</v>
      </c>
      <c r="P869" s="99">
        <f>SUM(SamplingData[[#This Row],[Winning Candidate]:[Under Votes]])</f>
        <v>59</v>
      </c>
      <c r="Q869" s="100">
        <f>IF(AND(SamplingData[[#This Row],[Total]]&lt;&gt; 0, NOT(ISBLANK(SamplingData[[#This Row],[Losing Candidate]]))),(SamplingData[[#This Row],[Total]]+SamplingData[[#This Row],[Winning Candidate]]-SamplingData[[#This Row],[Losing Candidate]])/(SamplingData[[#Totals],[Winning Candidate]]-SamplingData[[#Totals],[Losing Candidate]]), 0)</f>
        <v>3.0781794767094891E-3</v>
      </c>
      <c r="R869" s="100">
        <f>IF(AND(SamplingData[[#This Row],[Total]]&lt;&gt; 0, NOT(ISBLANK(SamplingData[[#This Row],[Candidate 3]]))),(SamplingData[[#This Row],[Total]]+SamplingData[[#This Row],[Winning Candidate]]-SamplingData[[#This Row],[Candidate 3]])/(SamplingData[[#Totals],[Winning Candidate]]-SamplingData[[#Totals],[Candidate 3]]), 0)</f>
        <v>0</v>
      </c>
      <c r="S869" s="100">
        <f>IF(AND(SamplingData[[#This Row],[Total]]&lt;&gt; 0, NOT(ISBLANK(SamplingData[[#This Row],[Candidate 4]]))),(SamplingData[[#This Row],[Total]]+SamplingData[[#This Row],[Winning Candidate]]-SamplingData[[#This Row],[Candidate 4]])/(SamplingData[[#Totals],[Winning Candidate]]-SamplingData[[#Totals],[Candidate 4]]), 0)</f>
        <v>0</v>
      </c>
      <c r="T869" s="100">
        <f>IF(AND(SamplingData[[#This Row],[Total]]&lt;&gt; 0, NOT(ISBLANK(SamplingData[[#This Row],[Candidate 5]]))),(SamplingData[[#This Row],[Total]]+SamplingData[[#This Row],[Winning Candidate]]-SamplingData[[#This Row],[Candidate 5]])/(SamplingData[[#Totals],[Winning Candidate]]-SamplingData[[#Totals],[Candidate 5]]), 0)</f>
        <v>0</v>
      </c>
      <c r="U869" s="100">
        <f>IF(AND(SamplingData[[#This Row],[Total]]&lt;&gt; 0, NOT(ISBLANK(SamplingData[[#This Row],[Candidate 6]]))),(SamplingData[[#This Row],[Total]]+SamplingData[[#This Row],[Losing Candidate]]-SamplingData[[#This Row],[Candidate 6]])/(SamplingData[[#Totals],[Winning Candidate]]-SamplingData[[#Totals],[Candidate 6]]), 0)</f>
        <v>0</v>
      </c>
      <c r="V869" s="100">
        <f>IF(AND(SamplingData[[#This Row],[Total]]&lt;&gt; 0, NOT(ISBLANK(SamplingData[[#This Row],[Candidate 7]]))),(SamplingData[[#This Row],[Total]]+SamplingData[[#This Row],[Winning Candidate]]-SamplingData[[#This Row],[Candidate 7]])/(SamplingData[[#Totals],[Winning Candidate]]-SamplingData[[#Totals],[Candidate 7]]), 0)</f>
        <v>0</v>
      </c>
      <c r="W869" s="100">
        <f>IF(AND(SamplingData[[#This Row],[Total]]&lt;&gt; 0, NOT(ISBLANK(SamplingData[[#This Row],[Candidate 8]]))),(SamplingData[[#This Row],[Total]]+SamplingData[[#This Row],[Winning Candidate]]-SamplingData[[#This Row],[Candidate 8]])/(SamplingData[[#Totals],[Winning Candidate]]-SamplingData[[#Totals],[Candidate 8]]), 0)</f>
        <v>0</v>
      </c>
      <c r="X8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00">
        <f>MAX(SamplingData[[#This Row],[Error Bound (up) - Max. possible relative overstatement - Losing Candidate]:[Error Bound (up) - Max. possible relative overstatement - Candidate 12]])</f>
        <v>3.0781794767094891E-3</v>
      </c>
      <c r="AC869" s="100">
        <f>IF(SamplingData[[#This Row],[Max Error Bound (up)]] = 0,0,SamplingData[[#This Row],[Max Error Bound (up)]]/SamplingData[[#Totals],[Max Error Bound (up)]])</f>
        <v>1.3191191514564157E-3</v>
      </c>
      <c r="AD869" s="104">
        <f>SUM($AC$5:AC869)</f>
        <v>0.43366715124104921</v>
      </c>
      <c r="AE869" s="100" t="str" cm="1">
        <f t="array" ref="AE869">IF(SamplingData[[#This Row],[up/U Selection Probability]] = 0, "Zero", TEXT(SamplingData[[#This Row],[Lower Range]], REPT("0",LEN('General Info'!$B$42))) &amp; " - " &amp; TEXT(SamplingData[[#This Row],[Upper Range]], REPT("0",LEN('General Info'!$B$42))))</f>
        <v>43235 - 43366</v>
      </c>
      <c r="AF869" s="100">
        <f>SamplingData[[#This Row],[Upper Range]]-SamplingData[[#This Row],[Span]]</f>
        <v>43234.803208959282</v>
      </c>
      <c r="AG869" s="100">
        <f>IF(ISNUMBER('General Info'!$B$42), ((SamplingData[[#This Row],[up/U Selection Probability]]) * 'General Info'!$B$44) - 1, 0)</f>
        <v>130.91191514564156</v>
      </c>
      <c r="AH869" s="100">
        <f>IF(ISNUMBER('General Info'!$B$42), (SamplingData[[#This Row],[Running (cumulative) sum]] * ('General Info'!$B$42 -'General Info'!$B$43 + 1)) + 'General Info'!$B$43 - 1, 0)</f>
        <v>43365.715124104921</v>
      </c>
      <c r="AI869" s="100" t="str">
        <f>IF(ISERROR(MATCH(SamplingData[[#This Row],[Batch by Type (p)]],SelectedPrecincts[Batch Name], 0)), "", INDEX(SelectedPrecincts[Draw], MATCH(SamplingData[[#This Row],[Batch by Type (p)]],SelectedPrecincts[Batch Name], 0)))</f>
        <v/>
      </c>
      <c r="AJ869" s="101">
        <f>IF(COUNTIF(SelectedPrecincts[Batch Name],SamplingData[[#This Row],[Batch by Type (p)]]) &lt;&gt; 0, COUNTIF(SelectedPrecincts[Batch Name],SamplingData[[#This Row],[Batch by Type (p)]]), 0)</f>
        <v>0</v>
      </c>
    </row>
    <row r="870" spans="1:36" ht="15" customHeight="1" x14ac:dyDescent="0.35">
      <c r="A870" s="98" t="s">
        <v>1081</v>
      </c>
      <c r="B870" s="98">
        <v>47</v>
      </c>
      <c r="C870" s="98">
        <v>7</v>
      </c>
      <c r="D870" s="93"/>
      <c r="E870" s="93"/>
      <c r="F870" s="93"/>
      <c r="G870" s="97"/>
      <c r="H870" s="97"/>
      <c r="I870" s="93"/>
      <c r="J870" s="93"/>
      <c r="K870" s="93"/>
      <c r="L870" s="93"/>
      <c r="M870" s="93"/>
      <c r="N870" s="98">
        <v>0</v>
      </c>
      <c r="O870" s="98">
        <v>0</v>
      </c>
      <c r="P870" s="99">
        <f>SUM(SamplingData[[#This Row],[Winning Candidate]:[Under Votes]])</f>
        <v>54</v>
      </c>
      <c r="Q870" s="100">
        <f>IF(AND(SamplingData[[#This Row],[Total]]&lt;&gt; 0, NOT(ISBLANK(SamplingData[[#This Row],[Losing Candidate]]))),(SamplingData[[#This Row],[Total]]+SamplingData[[#This Row],[Winning Candidate]]-SamplingData[[#This Row],[Losing Candidate]])/(SamplingData[[#Totals],[Winning Candidate]]-SamplingData[[#Totals],[Losing Candidate]]), 0)</f>
        <v>2.9525394980682855E-3</v>
      </c>
      <c r="R870" s="100">
        <f>IF(AND(SamplingData[[#This Row],[Total]]&lt;&gt; 0, NOT(ISBLANK(SamplingData[[#This Row],[Candidate 3]]))),(SamplingData[[#This Row],[Total]]+SamplingData[[#This Row],[Winning Candidate]]-SamplingData[[#This Row],[Candidate 3]])/(SamplingData[[#Totals],[Winning Candidate]]-SamplingData[[#Totals],[Candidate 3]]), 0)</f>
        <v>0</v>
      </c>
      <c r="S870" s="100">
        <f>IF(AND(SamplingData[[#This Row],[Total]]&lt;&gt; 0, NOT(ISBLANK(SamplingData[[#This Row],[Candidate 4]]))),(SamplingData[[#This Row],[Total]]+SamplingData[[#This Row],[Winning Candidate]]-SamplingData[[#This Row],[Candidate 4]])/(SamplingData[[#Totals],[Winning Candidate]]-SamplingData[[#Totals],[Candidate 4]]), 0)</f>
        <v>0</v>
      </c>
      <c r="T870" s="100">
        <f>IF(AND(SamplingData[[#This Row],[Total]]&lt;&gt; 0, NOT(ISBLANK(SamplingData[[#This Row],[Candidate 5]]))),(SamplingData[[#This Row],[Total]]+SamplingData[[#This Row],[Winning Candidate]]-SamplingData[[#This Row],[Candidate 5]])/(SamplingData[[#Totals],[Winning Candidate]]-SamplingData[[#Totals],[Candidate 5]]), 0)</f>
        <v>0</v>
      </c>
      <c r="U870" s="100">
        <f>IF(AND(SamplingData[[#This Row],[Total]]&lt;&gt; 0, NOT(ISBLANK(SamplingData[[#This Row],[Candidate 6]]))),(SamplingData[[#This Row],[Total]]+SamplingData[[#This Row],[Losing Candidate]]-SamplingData[[#This Row],[Candidate 6]])/(SamplingData[[#Totals],[Winning Candidate]]-SamplingData[[#Totals],[Candidate 6]]), 0)</f>
        <v>0</v>
      </c>
      <c r="V870" s="100">
        <f>IF(AND(SamplingData[[#This Row],[Total]]&lt;&gt; 0, NOT(ISBLANK(SamplingData[[#This Row],[Candidate 7]]))),(SamplingData[[#This Row],[Total]]+SamplingData[[#This Row],[Winning Candidate]]-SamplingData[[#This Row],[Candidate 7]])/(SamplingData[[#Totals],[Winning Candidate]]-SamplingData[[#Totals],[Candidate 7]]), 0)</f>
        <v>0</v>
      </c>
      <c r="W870" s="100">
        <f>IF(AND(SamplingData[[#This Row],[Total]]&lt;&gt; 0, NOT(ISBLANK(SamplingData[[#This Row],[Candidate 8]]))),(SamplingData[[#This Row],[Total]]+SamplingData[[#This Row],[Winning Candidate]]-SamplingData[[#This Row],[Candidate 8]])/(SamplingData[[#Totals],[Winning Candidate]]-SamplingData[[#Totals],[Candidate 8]]), 0)</f>
        <v>0</v>
      </c>
      <c r="X8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00">
        <f>MAX(SamplingData[[#This Row],[Error Bound (up) - Max. possible relative overstatement - Losing Candidate]:[Error Bound (up) - Max. possible relative overstatement - Candidate 12]])</f>
        <v>2.9525394980682855E-3</v>
      </c>
      <c r="AC870" s="100">
        <f>IF(SamplingData[[#This Row],[Max Error Bound (up)]] = 0,0,SamplingData[[#This Row],[Max Error Bound (up)]]/SamplingData[[#Totals],[Max Error Bound (up)]])</f>
        <v>1.2652775534377865E-3</v>
      </c>
      <c r="AD870" s="104">
        <f>SUM($AC$5:AC870)</f>
        <v>0.43493242879448701</v>
      </c>
      <c r="AE870" s="100" t="str" cm="1">
        <f t="array" ref="AE870">IF(SamplingData[[#This Row],[up/U Selection Probability]] = 0, "Zero", TEXT(SamplingData[[#This Row],[Lower Range]], REPT("0",LEN('General Info'!$B$42))) &amp; " - " &amp; TEXT(SamplingData[[#This Row],[Upper Range]], REPT("0",LEN('General Info'!$B$42))))</f>
        <v>43367 - 43492</v>
      </c>
      <c r="AF870" s="100">
        <f>SamplingData[[#This Row],[Upper Range]]-SamplingData[[#This Row],[Span]]</f>
        <v>43366.715124104921</v>
      </c>
      <c r="AG870" s="100">
        <f>IF(ISNUMBER('General Info'!$B$42), ((SamplingData[[#This Row],[up/U Selection Probability]]) * 'General Info'!$B$44) - 1, 0)</f>
        <v>125.52775534377865</v>
      </c>
      <c r="AH870" s="100">
        <f>IF(ISNUMBER('General Info'!$B$42), (SamplingData[[#This Row],[Running (cumulative) sum]] * ('General Info'!$B$42 -'General Info'!$B$43 + 1)) + 'General Info'!$B$43 - 1, 0)</f>
        <v>43492.242879448699</v>
      </c>
      <c r="AI870" s="100" t="str">
        <f>IF(ISERROR(MATCH(SamplingData[[#This Row],[Batch by Type (p)]],SelectedPrecincts[Batch Name], 0)), "", INDEX(SelectedPrecincts[Draw], MATCH(SamplingData[[#This Row],[Batch by Type (p)]],SelectedPrecincts[Batch Name], 0)))</f>
        <v/>
      </c>
      <c r="AJ870" s="101">
        <f>IF(COUNTIF(SelectedPrecincts[Batch Name],SamplingData[[#This Row],[Batch by Type (p)]]) &lt;&gt; 0, COUNTIF(SelectedPrecincts[Batch Name],SamplingData[[#This Row],[Batch by Type (p)]]), 0)</f>
        <v>0</v>
      </c>
    </row>
    <row r="871" spans="1:36" ht="15" customHeight="1" x14ac:dyDescent="0.35">
      <c r="A871" s="98" t="s">
        <v>1082</v>
      </c>
      <c r="B871" s="98">
        <v>33</v>
      </c>
      <c r="C871" s="98">
        <v>9</v>
      </c>
      <c r="D871" s="93"/>
      <c r="E871" s="93"/>
      <c r="F871" s="93"/>
      <c r="G871" s="97"/>
      <c r="H871" s="97"/>
      <c r="I871" s="93"/>
      <c r="J871" s="93"/>
      <c r="K871" s="93"/>
      <c r="L871" s="93"/>
      <c r="M871" s="93"/>
      <c r="N871" s="98">
        <v>0</v>
      </c>
      <c r="O871" s="98">
        <v>0</v>
      </c>
      <c r="P871" s="99">
        <f>SUM(SamplingData[[#This Row],[Winning Candidate]:[Under Votes]])</f>
        <v>42</v>
      </c>
      <c r="Q871"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871" s="100">
        <f>IF(AND(SamplingData[[#This Row],[Total]]&lt;&gt; 0, NOT(ISBLANK(SamplingData[[#This Row],[Candidate 3]]))),(SamplingData[[#This Row],[Total]]+SamplingData[[#This Row],[Winning Candidate]]-SamplingData[[#This Row],[Candidate 3]])/(SamplingData[[#Totals],[Winning Candidate]]-SamplingData[[#Totals],[Candidate 3]]), 0)</f>
        <v>0</v>
      </c>
      <c r="S871" s="100">
        <f>IF(AND(SamplingData[[#This Row],[Total]]&lt;&gt; 0, NOT(ISBLANK(SamplingData[[#This Row],[Candidate 4]]))),(SamplingData[[#This Row],[Total]]+SamplingData[[#This Row],[Winning Candidate]]-SamplingData[[#This Row],[Candidate 4]])/(SamplingData[[#Totals],[Winning Candidate]]-SamplingData[[#Totals],[Candidate 4]]), 0)</f>
        <v>0</v>
      </c>
      <c r="T871" s="100">
        <f>IF(AND(SamplingData[[#This Row],[Total]]&lt;&gt; 0, NOT(ISBLANK(SamplingData[[#This Row],[Candidate 5]]))),(SamplingData[[#This Row],[Total]]+SamplingData[[#This Row],[Winning Candidate]]-SamplingData[[#This Row],[Candidate 5]])/(SamplingData[[#Totals],[Winning Candidate]]-SamplingData[[#Totals],[Candidate 5]]), 0)</f>
        <v>0</v>
      </c>
      <c r="U871" s="100">
        <f>IF(AND(SamplingData[[#This Row],[Total]]&lt;&gt; 0, NOT(ISBLANK(SamplingData[[#This Row],[Candidate 6]]))),(SamplingData[[#This Row],[Total]]+SamplingData[[#This Row],[Losing Candidate]]-SamplingData[[#This Row],[Candidate 6]])/(SamplingData[[#Totals],[Winning Candidate]]-SamplingData[[#Totals],[Candidate 6]]), 0)</f>
        <v>0</v>
      </c>
      <c r="V871" s="100">
        <f>IF(AND(SamplingData[[#This Row],[Total]]&lt;&gt; 0, NOT(ISBLANK(SamplingData[[#This Row],[Candidate 7]]))),(SamplingData[[#This Row],[Total]]+SamplingData[[#This Row],[Winning Candidate]]-SamplingData[[#This Row],[Candidate 7]])/(SamplingData[[#Totals],[Winning Candidate]]-SamplingData[[#Totals],[Candidate 7]]), 0)</f>
        <v>0</v>
      </c>
      <c r="W871" s="100">
        <f>IF(AND(SamplingData[[#This Row],[Total]]&lt;&gt; 0, NOT(ISBLANK(SamplingData[[#This Row],[Candidate 8]]))),(SamplingData[[#This Row],[Total]]+SamplingData[[#This Row],[Winning Candidate]]-SamplingData[[#This Row],[Candidate 8]])/(SamplingData[[#Totals],[Winning Candidate]]-SamplingData[[#Totals],[Candidate 8]]), 0)</f>
        <v>0</v>
      </c>
      <c r="X8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00">
        <f>MAX(SamplingData[[#This Row],[Error Bound (up) - Max. possible relative overstatement - Losing Candidate]:[Error Bound (up) - Max. possible relative overstatement - Candidate 12]])</f>
        <v>2.0730596475798599E-3</v>
      </c>
      <c r="AC871" s="100">
        <f>IF(SamplingData[[#This Row],[Max Error Bound (up)]] = 0,0,SamplingData[[#This Row],[Max Error Bound (up)]]/SamplingData[[#Totals],[Max Error Bound (up)]])</f>
        <v>8.8838636730738201E-4</v>
      </c>
      <c r="AD871" s="104">
        <f>SUM($AC$5:AC871)</f>
        <v>0.43582081516179438</v>
      </c>
      <c r="AE871" s="100" t="str" cm="1">
        <f t="array" ref="AE871">IF(SamplingData[[#This Row],[up/U Selection Probability]] = 0, "Zero", TEXT(SamplingData[[#This Row],[Lower Range]], REPT("0",LEN('General Info'!$B$42))) &amp; " - " &amp; TEXT(SamplingData[[#This Row],[Upper Range]], REPT("0",LEN('General Info'!$B$42))))</f>
        <v>43493 - 43581</v>
      </c>
      <c r="AF871" s="100">
        <f>SamplingData[[#This Row],[Upper Range]]-SamplingData[[#This Row],[Span]]</f>
        <v>43493.242879448699</v>
      </c>
      <c r="AG871" s="100">
        <f>IF(ISNUMBER('General Info'!$B$42), ((SamplingData[[#This Row],[up/U Selection Probability]]) * 'General Info'!$B$44) - 1, 0)</f>
        <v>87.838636730738202</v>
      </c>
      <c r="AH871" s="100">
        <f>IF(ISNUMBER('General Info'!$B$42), (SamplingData[[#This Row],[Running (cumulative) sum]] * ('General Info'!$B$42 -'General Info'!$B$43 + 1)) + 'General Info'!$B$43 - 1, 0)</f>
        <v>43581.081516179438</v>
      </c>
      <c r="AI871" s="100" t="str">
        <f>IF(ISERROR(MATCH(SamplingData[[#This Row],[Batch by Type (p)]],SelectedPrecincts[Batch Name], 0)), "", INDEX(SelectedPrecincts[Draw], MATCH(SamplingData[[#This Row],[Batch by Type (p)]],SelectedPrecincts[Batch Name], 0)))</f>
        <v/>
      </c>
      <c r="AJ871" s="101">
        <f>IF(COUNTIF(SelectedPrecincts[Batch Name],SamplingData[[#This Row],[Batch by Type (p)]]) &lt;&gt; 0, COUNTIF(SelectedPrecincts[Batch Name],SamplingData[[#This Row],[Batch by Type (p)]]), 0)</f>
        <v>0</v>
      </c>
    </row>
    <row r="872" spans="1:36" ht="15" customHeight="1" x14ac:dyDescent="0.35">
      <c r="A872" s="98" t="s">
        <v>1083</v>
      </c>
      <c r="B872" s="98">
        <v>17</v>
      </c>
      <c r="C872" s="98">
        <v>7</v>
      </c>
      <c r="D872" s="93"/>
      <c r="E872" s="93"/>
      <c r="F872" s="93"/>
      <c r="G872" s="97"/>
      <c r="H872" s="97"/>
      <c r="I872" s="93"/>
      <c r="J872" s="93"/>
      <c r="K872" s="93"/>
      <c r="L872" s="93"/>
      <c r="M872" s="93"/>
      <c r="N872" s="98">
        <v>0</v>
      </c>
      <c r="O872" s="98">
        <v>0</v>
      </c>
      <c r="P872" s="99">
        <f>SUM(SamplingData[[#This Row],[Winning Candidate]:[Under Votes]])</f>
        <v>24</v>
      </c>
      <c r="Q872"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872" s="100">
        <f>IF(AND(SamplingData[[#This Row],[Total]]&lt;&gt; 0, NOT(ISBLANK(SamplingData[[#This Row],[Candidate 3]]))),(SamplingData[[#This Row],[Total]]+SamplingData[[#This Row],[Winning Candidate]]-SamplingData[[#This Row],[Candidate 3]])/(SamplingData[[#Totals],[Winning Candidate]]-SamplingData[[#Totals],[Candidate 3]]), 0)</f>
        <v>0</v>
      </c>
      <c r="S872" s="100">
        <f>IF(AND(SamplingData[[#This Row],[Total]]&lt;&gt; 0, NOT(ISBLANK(SamplingData[[#This Row],[Candidate 4]]))),(SamplingData[[#This Row],[Total]]+SamplingData[[#This Row],[Winning Candidate]]-SamplingData[[#This Row],[Candidate 4]])/(SamplingData[[#Totals],[Winning Candidate]]-SamplingData[[#Totals],[Candidate 4]]), 0)</f>
        <v>0</v>
      </c>
      <c r="T872" s="100">
        <f>IF(AND(SamplingData[[#This Row],[Total]]&lt;&gt; 0, NOT(ISBLANK(SamplingData[[#This Row],[Candidate 5]]))),(SamplingData[[#This Row],[Total]]+SamplingData[[#This Row],[Winning Candidate]]-SamplingData[[#This Row],[Candidate 5]])/(SamplingData[[#Totals],[Winning Candidate]]-SamplingData[[#Totals],[Candidate 5]]), 0)</f>
        <v>0</v>
      </c>
      <c r="U872" s="100">
        <f>IF(AND(SamplingData[[#This Row],[Total]]&lt;&gt; 0, NOT(ISBLANK(SamplingData[[#This Row],[Candidate 6]]))),(SamplingData[[#This Row],[Total]]+SamplingData[[#This Row],[Losing Candidate]]-SamplingData[[#This Row],[Candidate 6]])/(SamplingData[[#Totals],[Winning Candidate]]-SamplingData[[#Totals],[Candidate 6]]), 0)</f>
        <v>0</v>
      </c>
      <c r="V872" s="100">
        <f>IF(AND(SamplingData[[#This Row],[Total]]&lt;&gt; 0, NOT(ISBLANK(SamplingData[[#This Row],[Candidate 7]]))),(SamplingData[[#This Row],[Total]]+SamplingData[[#This Row],[Winning Candidate]]-SamplingData[[#This Row],[Candidate 7]])/(SamplingData[[#Totals],[Winning Candidate]]-SamplingData[[#Totals],[Candidate 7]]), 0)</f>
        <v>0</v>
      </c>
      <c r="W872" s="100">
        <f>IF(AND(SamplingData[[#This Row],[Total]]&lt;&gt; 0, NOT(ISBLANK(SamplingData[[#This Row],[Candidate 8]]))),(SamplingData[[#This Row],[Total]]+SamplingData[[#This Row],[Winning Candidate]]-SamplingData[[#This Row],[Candidate 8]])/(SamplingData[[#Totals],[Winning Candidate]]-SamplingData[[#Totals],[Candidate 8]]), 0)</f>
        <v>0</v>
      </c>
      <c r="X8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00">
        <f>MAX(SamplingData[[#This Row],[Error Bound (up) - Max. possible relative overstatement - Losing Candidate]:[Error Bound (up) - Max. possible relative overstatement - Candidate 12]])</f>
        <v>1.0679398184502309E-3</v>
      </c>
      <c r="AC872" s="100">
        <f>IF(SamplingData[[#This Row],[Max Error Bound (up)]] = 0,0,SamplingData[[#This Row],[Max Error Bound (up)]]/SamplingData[[#Totals],[Max Error Bound (up)]])</f>
        <v>4.5765358315834836E-4</v>
      </c>
      <c r="AD872" s="104">
        <f>SUM($AC$5:AC872)</f>
        <v>0.43627846874495274</v>
      </c>
      <c r="AE872" s="100" t="str" cm="1">
        <f t="array" ref="AE872">IF(SamplingData[[#This Row],[up/U Selection Probability]] = 0, "Zero", TEXT(SamplingData[[#This Row],[Lower Range]], REPT("0",LEN('General Info'!$B$42))) &amp; " - " &amp; TEXT(SamplingData[[#This Row],[Upper Range]], REPT("0",LEN('General Info'!$B$42))))</f>
        <v>43582 - 43627</v>
      </c>
      <c r="AF872" s="100">
        <f>SamplingData[[#This Row],[Upper Range]]-SamplingData[[#This Row],[Span]]</f>
        <v>43582.081516179445</v>
      </c>
      <c r="AG872" s="100">
        <f>IF(ISNUMBER('General Info'!$B$42), ((SamplingData[[#This Row],[up/U Selection Probability]]) * 'General Info'!$B$44) - 1, 0)</f>
        <v>44.765358315834838</v>
      </c>
      <c r="AH872" s="100">
        <f>IF(ISNUMBER('General Info'!$B$42), (SamplingData[[#This Row],[Running (cumulative) sum]] * ('General Info'!$B$42 -'General Info'!$B$43 + 1)) + 'General Info'!$B$43 - 1, 0)</f>
        <v>43626.846874495277</v>
      </c>
      <c r="AI872" s="100" t="str">
        <f>IF(ISERROR(MATCH(SamplingData[[#This Row],[Batch by Type (p)]],SelectedPrecincts[Batch Name], 0)), "", INDEX(SelectedPrecincts[Draw], MATCH(SamplingData[[#This Row],[Batch by Type (p)]],SelectedPrecincts[Batch Name], 0)))</f>
        <v/>
      </c>
      <c r="AJ872" s="101">
        <f>IF(COUNTIF(SelectedPrecincts[Batch Name],SamplingData[[#This Row],[Batch by Type (p)]]) &lt;&gt; 0, COUNTIF(SelectedPrecincts[Batch Name],SamplingData[[#This Row],[Batch by Type (p)]]), 0)</f>
        <v>0</v>
      </c>
    </row>
    <row r="873" spans="1:36" ht="15" customHeight="1" x14ac:dyDescent="0.35">
      <c r="A873" s="98" t="s">
        <v>1084</v>
      </c>
      <c r="B873" s="98">
        <v>37</v>
      </c>
      <c r="C873" s="98">
        <v>7</v>
      </c>
      <c r="D873" s="93"/>
      <c r="E873" s="93"/>
      <c r="F873" s="93"/>
      <c r="G873" s="97"/>
      <c r="H873" s="97"/>
      <c r="I873" s="93"/>
      <c r="J873" s="93"/>
      <c r="K873" s="93"/>
      <c r="L873" s="93"/>
      <c r="M873" s="93"/>
      <c r="N873" s="98">
        <v>0</v>
      </c>
      <c r="O873" s="98">
        <v>0</v>
      </c>
      <c r="P873" s="99">
        <f>SUM(SamplingData[[#This Row],[Winning Candidate]:[Under Votes]])</f>
        <v>44</v>
      </c>
      <c r="Q873" s="100">
        <f>IF(AND(SamplingData[[#This Row],[Total]]&lt;&gt; 0, NOT(ISBLANK(SamplingData[[#This Row],[Losing Candidate]]))),(SamplingData[[#This Row],[Total]]+SamplingData[[#This Row],[Winning Candidate]]-SamplingData[[#This Row],[Losing Candidate]])/(SamplingData[[#Totals],[Winning Candidate]]-SamplingData[[#Totals],[Losing Candidate]]), 0)</f>
        <v>2.324339604862267E-3</v>
      </c>
      <c r="R873" s="100">
        <f>IF(AND(SamplingData[[#This Row],[Total]]&lt;&gt; 0, NOT(ISBLANK(SamplingData[[#This Row],[Candidate 3]]))),(SamplingData[[#This Row],[Total]]+SamplingData[[#This Row],[Winning Candidate]]-SamplingData[[#This Row],[Candidate 3]])/(SamplingData[[#Totals],[Winning Candidate]]-SamplingData[[#Totals],[Candidate 3]]), 0)</f>
        <v>0</v>
      </c>
      <c r="S873" s="100">
        <f>IF(AND(SamplingData[[#This Row],[Total]]&lt;&gt; 0, NOT(ISBLANK(SamplingData[[#This Row],[Candidate 4]]))),(SamplingData[[#This Row],[Total]]+SamplingData[[#This Row],[Winning Candidate]]-SamplingData[[#This Row],[Candidate 4]])/(SamplingData[[#Totals],[Winning Candidate]]-SamplingData[[#Totals],[Candidate 4]]), 0)</f>
        <v>0</v>
      </c>
      <c r="T873" s="100">
        <f>IF(AND(SamplingData[[#This Row],[Total]]&lt;&gt; 0, NOT(ISBLANK(SamplingData[[#This Row],[Candidate 5]]))),(SamplingData[[#This Row],[Total]]+SamplingData[[#This Row],[Winning Candidate]]-SamplingData[[#This Row],[Candidate 5]])/(SamplingData[[#Totals],[Winning Candidate]]-SamplingData[[#Totals],[Candidate 5]]), 0)</f>
        <v>0</v>
      </c>
      <c r="U873" s="100">
        <f>IF(AND(SamplingData[[#This Row],[Total]]&lt;&gt; 0, NOT(ISBLANK(SamplingData[[#This Row],[Candidate 6]]))),(SamplingData[[#This Row],[Total]]+SamplingData[[#This Row],[Losing Candidate]]-SamplingData[[#This Row],[Candidate 6]])/(SamplingData[[#Totals],[Winning Candidate]]-SamplingData[[#Totals],[Candidate 6]]), 0)</f>
        <v>0</v>
      </c>
      <c r="V873" s="100">
        <f>IF(AND(SamplingData[[#This Row],[Total]]&lt;&gt; 0, NOT(ISBLANK(SamplingData[[#This Row],[Candidate 7]]))),(SamplingData[[#This Row],[Total]]+SamplingData[[#This Row],[Winning Candidate]]-SamplingData[[#This Row],[Candidate 7]])/(SamplingData[[#Totals],[Winning Candidate]]-SamplingData[[#Totals],[Candidate 7]]), 0)</f>
        <v>0</v>
      </c>
      <c r="W873" s="100">
        <f>IF(AND(SamplingData[[#This Row],[Total]]&lt;&gt; 0, NOT(ISBLANK(SamplingData[[#This Row],[Candidate 8]]))),(SamplingData[[#This Row],[Total]]+SamplingData[[#This Row],[Winning Candidate]]-SamplingData[[#This Row],[Candidate 8]])/(SamplingData[[#Totals],[Winning Candidate]]-SamplingData[[#Totals],[Candidate 8]]), 0)</f>
        <v>0</v>
      </c>
      <c r="X8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00">
        <f>MAX(SamplingData[[#This Row],[Error Bound (up) - Max. possible relative overstatement - Losing Candidate]:[Error Bound (up) - Max. possible relative overstatement - Candidate 12]])</f>
        <v>2.324339604862267E-3</v>
      </c>
      <c r="AC873" s="100">
        <f>IF(SamplingData[[#This Row],[Max Error Bound (up)]] = 0,0,SamplingData[[#This Row],[Max Error Bound (up)]]/SamplingData[[#Totals],[Max Error Bound (up)]])</f>
        <v>9.9606956334464028E-4</v>
      </c>
      <c r="AD873" s="104">
        <f>SUM($AC$5:AC873)</f>
        <v>0.43727453830829738</v>
      </c>
      <c r="AE873" s="100" t="str" cm="1">
        <f t="array" ref="AE873">IF(SamplingData[[#This Row],[up/U Selection Probability]] = 0, "Zero", TEXT(SamplingData[[#This Row],[Lower Range]], REPT("0",LEN('General Info'!$B$42))) &amp; " - " &amp; TEXT(SamplingData[[#This Row],[Upper Range]], REPT("0",LEN('General Info'!$B$42))))</f>
        <v>43628 - 43726</v>
      </c>
      <c r="AF873" s="100">
        <f>SamplingData[[#This Row],[Upper Range]]-SamplingData[[#This Row],[Span]]</f>
        <v>43627.84687449527</v>
      </c>
      <c r="AG873" s="100">
        <f>IF(ISNUMBER('General Info'!$B$42), ((SamplingData[[#This Row],[up/U Selection Probability]]) * 'General Info'!$B$44) - 1, 0)</f>
        <v>98.60695633446403</v>
      </c>
      <c r="AH873" s="100">
        <f>IF(ISNUMBER('General Info'!$B$42), (SamplingData[[#This Row],[Running (cumulative) sum]] * ('General Info'!$B$42 -'General Info'!$B$43 + 1)) + 'General Info'!$B$43 - 1, 0)</f>
        <v>43726.453830829734</v>
      </c>
      <c r="AI873" s="100" t="str">
        <f>IF(ISERROR(MATCH(SamplingData[[#This Row],[Batch by Type (p)]],SelectedPrecincts[Batch Name], 0)), "", INDEX(SelectedPrecincts[Draw], MATCH(SamplingData[[#This Row],[Batch by Type (p)]],SelectedPrecincts[Batch Name], 0)))</f>
        <v/>
      </c>
      <c r="AJ873" s="101">
        <f>IF(COUNTIF(SelectedPrecincts[Batch Name],SamplingData[[#This Row],[Batch by Type (p)]]) &lt;&gt; 0, COUNTIF(SelectedPrecincts[Batch Name],SamplingData[[#This Row],[Batch by Type (p)]]), 0)</f>
        <v>0</v>
      </c>
    </row>
    <row r="874" spans="1:36" ht="15" customHeight="1" x14ac:dyDescent="0.35">
      <c r="A874" s="98" t="s">
        <v>1085</v>
      </c>
      <c r="B874" s="98">
        <v>86</v>
      </c>
      <c r="C874" s="98">
        <v>6</v>
      </c>
      <c r="D874" s="93"/>
      <c r="E874" s="93"/>
      <c r="F874" s="93"/>
      <c r="G874" s="97"/>
      <c r="H874" s="97"/>
      <c r="I874" s="93"/>
      <c r="J874" s="93"/>
      <c r="K874" s="93"/>
      <c r="L874" s="93"/>
      <c r="M874" s="93"/>
      <c r="N874" s="98">
        <v>0</v>
      </c>
      <c r="O874" s="98">
        <v>2</v>
      </c>
      <c r="P874" s="99">
        <f>SUM(SamplingData[[#This Row],[Winning Candidate]:[Under Votes]])</f>
        <v>94</v>
      </c>
      <c r="Q874" s="100">
        <f>IF(AND(SamplingData[[#This Row],[Total]]&lt;&gt; 0, NOT(ISBLANK(SamplingData[[#This Row],[Losing Candidate]]))),(SamplingData[[#This Row],[Total]]+SamplingData[[#This Row],[Winning Candidate]]-SamplingData[[#This Row],[Losing Candidate]])/(SamplingData[[#Totals],[Winning Candidate]]-SamplingData[[#Totals],[Losing Candidate]]), 0)</f>
        <v>5.4653390708923576E-3</v>
      </c>
      <c r="R874" s="100">
        <f>IF(AND(SamplingData[[#This Row],[Total]]&lt;&gt; 0, NOT(ISBLANK(SamplingData[[#This Row],[Candidate 3]]))),(SamplingData[[#This Row],[Total]]+SamplingData[[#This Row],[Winning Candidate]]-SamplingData[[#This Row],[Candidate 3]])/(SamplingData[[#Totals],[Winning Candidate]]-SamplingData[[#Totals],[Candidate 3]]), 0)</f>
        <v>0</v>
      </c>
      <c r="S874" s="100">
        <f>IF(AND(SamplingData[[#This Row],[Total]]&lt;&gt; 0, NOT(ISBLANK(SamplingData[[#This Row],[Candidate 4]]))),(SamplingData[[#This Row],[Total]]+SamplingData[[#This Row],[Winning Candidate]]-SamplingData[[#This Row],[Candidate 4]])/(SamplingData[[#Totals],[Winning Candidate]]-SamplingData[[#Totals],[Candidate 4]]), 0)</f>
        <v>0</v>
      </c>
      <c r="T874" s="100">
        <f>IF(AND(SamplingData[[#This Row],[Total]]&lt;&gt; 0, NOT(ISBLANK(SamplingData[[#This Row],[Candidate 5]]))),(SamplingData[[#This Row],[Total]]+SamplingData[[#This Row],[Winning Candidate]]-SamplingData[[#This Row],[Candidate 5]])/(SamplingData[[#Totals],[Winning Candidate]]-SamplingData[[#Totals],[Candidate 5]]), 0)</f>
        <v>0</v>
      </c>
      <c r="U874" s="100">
        <f>IF(AND(SamplingData[[#This Row],[Total]]&lt;&gt; 0, NOT(ISBLANK(SamplingData[[#This Row],[Candidate 6]]))),(SamplingData[[#This Row],[Total]]+SamplingData[[#This Row],[Losing Candidate]]-SamplingData[[#This Row],[Candidate 6]])/(SamplingData[[#Totals],[Winning Candidate]]-SamplingData[[#Totals],[Candidate 6]]), 0)</f>
        <v>0</v>
      </c>
      <c r="V874" s="100">
        <f>IF(AND(SamplingData[[#This Row],[Total]]&lt;&gt; 0, NOT(ISBLANK(SamplingData[[#This Row],[Candidate 7]]))),(SamplingData[[#This Row],[Total]]+SamplingData[[#This Row],[Winning Candidate]]-SamplingData[[#This Row],[Candidate 7]])/(SamplingData[[#Totals],[Winning Candidate]]-SamplingData[[#Totals],[Candidate 7]]), 0)</f>
        <v>0</v>
      </c>
      <c r="W874" s="100">
        <f>IF(AND(SamplingData[[#This Row],[Total]]&lt;&gt; 0, NOT(ISBLANK(SamplingData[[#This Row],[Candidate 8]]))),(SamplingData[[#This Row],[Total]]+SamplingData[[#This Row],[Winning Candidate]]-SamplingData[[#This Row],[Candidate 8]])/(SamplingData[[#Totals],[Winning Candidate]]-SamplingData[[#Totals],[Candidate 8]]), 0)</f>
        <v>0</v>
      </c>
      <c r="X8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00">
        <f>MAX(SamplingData[[#This Row],[Error Bound (up) - Max. possible relative overstatement - Losing Candidate]:[Error Bound (up) - Max. possible relative overstatement - Candidate 12]])</f>
        <v>5.4653390708923576E-3</v>
      </c>
      <c r="AC874" s="100">
        <f>IF(SamplingData[[#This Row],[Max Error Bound (up)]] = 0,0,SamplingData[[#This Row],[Max Error Bound (up)]]/SamplingData[[#Totals],[Max Error Bound (up)]])</f>
        <v>2.3421095138103708E-3</v>
      </c>
      <c r="AD874" s="104">
        <f>SUM($AC$5:AC874)</f>
        <v>0.43961664782210774</v>
      </c>
      <c r="AE874" s="100" t="str" cm="1">
        <f t="array" ref="AE874">IF(SamplingData[[#This Row],[up/U Selection Probability]] = 0, "Zero", TEXT(SamplingData[[#This Row],[Lower Range]], REPT("0",LEN('General Info'!$B$42))) &amp; " - " &amp; TEXT(SamplingData[[#This Row],[Upper Range]], REPT("0",LEN('General Info'!$B$42))))</f>
        <v>43727 - 43961</v>
      </c>
      <c r="AF874" s="100">
        <f>SamplingData[[#This Row],[Upper Range]]-SamplingData[[#This Row],[Span]]</f>
        <v>43727.453830829741</v>
      </c>
      <c r="AG874" s="100">
        <f>IF(ISNUMBER('General Info'!$B$42), ((SamplingData[[#This Row],[up/U Selection Probability]]) * 'General Info'!$B$44) - 1, 0)</f>
        <v>233.21095138103706</v>
      </c>
      <c r="AH874" s="100">
        <f>IF(ISNUMBER('General Info'!$B$42), (SamplingData[[#This Row],[Running (cumulative) sum]] * ('General Info'!$B$42 -'General Info'!$B$43 + 1)) + 'General Info'!$B$43 - 1, 0)</f>
        <v>43960.664782210777</v>
      </c>
      <c r="AI874" s="100" t="str">
        <f>IF(ISERROR(MATCH(SamplingData[[#This Row],[Batch by Type (p)]],SelectedPrecincts[Batch Name], 0)), "", INDEX(SelectedPrecincts[Draw], MATCH(SamplingData[[#This Row],[Batch by Type (p)]],SelectedPrecincts[Batch Name], 0)))</f>
        <v/>
      </c>
      <c r="AJ874" s="101">
        <f>IF(COUNTIF(SelectedPrecincts[Batch Name],SamplingData[[#This Row],[Batch by Type (p)]]) &lt;&gt; 0, COUNTIF(SelectedPrecincts[Batch Name],SamplingData[[#This Row],[Batch by Type (p)]]), 0)</f>
        <v>0</v>
      </c>
    </row>
    <row r="875" spans="1:36" ht="15" customHeight="1" x14ac:dyDescent="0.35">
      <c r="A875" s="98" t="s">
        <v>1086</v>
      </c>
      <c r="B875" s="98">
        <v>47</v>
      </c>
      <c r="C875" s="98">
        <v>8</v>
      </c>
      <c r="D875" s="93"/>
      <c r="E875" s="93"/>
      <c r="F875" s="93"/>
      <c r="G875" s="97"/>
      <c r="H875" s="97"/>
      <c r="I875" s="93"/>
      <c r="J875" s="93"/>
      <c r="K875" s="93"/>
      <c r="L875" s="93"/>
      <c r="M875" s="93"/>
      <c r="N875" s="98">
        <v>0</v>
      </c>
      <c r="O875" s="98">
        <v>2</v>
      </c>
      <c r="P875" s="99">
        <f>SUM(SamplingData[[#This Row],[Winning Candidate]:[Under Votes]])</f>
        <v>57</v>
      </c>
      <c r="Q875" s="100">
        <f>IF(AND(SamplingData[[#This Row],[Total]]&lt;&gt; 0, NOT(ISBLANK(SamplingData[[#This Row],[Losing Candidate]]))),(SamplingData[[#This Row],[Total]]+SamplingData[[#This Row],[Winning Candidate]]-SamplingData[[#This Row],[Losing Candidate]])/(SamplingData[[#Totals],[Winning Candidate]]-SamplingData[[#Totals],[Losing Candidate]]), 0)</f>
        <v>3.0153594873888871E-3</v>
      </c>
      <c r="R875" s="100">
        <f>IF(AND(SamplingData[[#This Row],[Total]]&lt;&gt; 0, NOT(ISBLANK(SamplingData[[#This Row],[Candidate 3]]))),(SamplingData[[#This Row],[Total]]+SamplingData[[#This Row],[Winning Candidate]]-SamplingData[[#This Row],[Candidate 3]])/(SamplingData[[#Totals],[Winning Candidate]]-SamplingData[[#Totals],[Candidate 3]]), 0)</f>
        <v>0</v>
      </c>
      <c r="S875" s="100">
        <f>IF(AND(SamplingData[[#This Row],[Total]]&lt;&gt; 0, NOT(ISBLANK(SamplingData[[#This Row],[Candidate 4]]))),(SamplingData[[#This Row],[Total]]+SamplingData[[#This Row],[Winning Candidate]]-SamplingData[[#This Row],[Candidate 4]])/(SamplingData[[#Totals],[Winning Candidate]]-SamplingData[[#Totals],[Candidate 4]]), 0)</f>
        <v>0</v>
      </c>
      <c r="T875" s="100">
        <f>IF(AND(SamplingData[[#This Row],[Total]]&lt;&gt; 0, NOT(ISBLANK(SamplingData[[#This Row],[Candidate 5]]))),(SamplingData[[#This Row],[Total]]+SamplingData[[#This Row],[Winning Candidate]]-SamplingData[[#This Row],[Candidate 5]])/(SamplingData[[#Totals],[Winning Candidate]]-SamplingData[[#Totals],[Candidate 5]]), 0)</f>
        <v>0</v>
      </c>
      <c r="U875" s="100">
        <f>IF(AND(SamplingData[[#This Row],[Total]]&lt;&gt; 0, NOT(ISBLANK(SamplingData[[#This Row],[Candidate 6]]))),(SamplingData[[#This Row],[Total]]+SamplingData[[#This Row],[Losing Candidate]]-SamplingData[[#This Row],[Candidate 6]])/(SamplingData[[#Totals],[Winning Candidate]]-SamplingData[[#Totals],[Candidate 6]]), 0)</f>
        <v>0</v>
      </c>
      <c r="V875" s="100">
        <f>IF(AND(SamplingData[[#This Row],[Total]]&lt;&gt; 0, NOT(ISBLANK(SamplingData[[#This Row],[Candidate 7]]))),(SamplingData[[#This Row],[Total]]+SamplingData[[#This Row],[Winning Candidate]]-SamplingData[[#This Row],[Candidate 7]])/(SamplingData[[#Totals],[Winning Candidate]]-SamplingData[[#Totals],[Candidate 7]]), 0)</f>
        <v>0</v>
      </c>
      <c r="W875" s="100">
        <f>IF(AND(SamplingData[[#This Row],[Total]]&lt;&gt; 0, NOT(ISBLANK(SamplingData[[#This Row],[Candidate 8]]))),(SamplingData[[#This Row],[Total]]+SamplingData[[#This Row],[Winning Candidate]]-SamplingData[[#This Row],[Candidate 8]])/(SamplingData[[#Totals],[Winning Candidate]]-SamplingData[[#Totals],[Candidate 8]]), 0)</f>
        <v>0</v>
      </c>
      <c r="X8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00">
        <f>MAX(SamplingData[[#This Row],[Error Bound (up) - Max. possible relative overstatement - Losing Candidate]:[Error Bound (up) - Max. possible relative overstatement - Candidate 12]])</f>
        <v>3.0153594873888871E-3</v>
      </c>
      <c r="AC875" s="100">
        <f>IF(SamplingData[[#This Row],[Max Error Bound (up)]] = 0,0,SamplingData[[#This Row],[Max Error Bound (up)]]/SamplingData[[#Totals],[Max Error Bound (up)]])</f>
        <v>1.2921983524471011E-3</v>
      </c>
      <c r="AD875" s="104">
        <f>SUM($AC$5:AC875)</f>
        <v>0.44090884617455484</v>
      </c>
      <c r="AE875" s="100" t="str" cm="1">
        <f t="array" ref="AE875">IF(SamplingData[[#This Row],[up/U Selection Probability]] = 0, "Zero", TEXT(SamplingData[[#This Row],[Lower Range]], REPT("0",LEN('General Info'!$B$42))) &amp; " - " &amp; TEXT(SamplingData[[#This Row],[Upper Range]], REPT("0",LEN('General Info'!$B$42))))</f>
        <v>43962 - 44090</v>
      </c>
      <c r="AF875" s="100">
        <f>SamplingData[[#This Row],[Upper Range]]-SamplingData[[#This Row],[Span]]</f>
        <v>43961.664782210777</v>
      </c>
      <c r="AG875" s="100">
        <f>IF(ISNUMBER('General Info'!$B$42), ((SamplingData[[#This Row],[up/U Selection Probability]]) * 'General Info'!$B$44) - 1, 0)</f>
        <v>128.21983524471011</v>
      </c>
      <c r="AH875" s="100">
        <f>IF(ISNUMBER('General Info'!$B$42), (SamplingData[[#This Row],[Running (cumulative) sum]] * ('General Info'!$B$42 -'General Info'!$B$43 + 1)) + 'General Info'!$B$43 - 1, 0)</f>
        <v>44089.884617455486</v>
      </c>
      <c r="AI875" s="100" t="str">
        <f>IF(ISERROR(MATCH(SamplingData[[#This Row],[Batch by Type (p)]],SelectedPrecincts[Batch Name], 0)), "", INDEX(SelectedPrecincts[Draw], MATCH(SamplingData[[#This Row],[Batch by Type (p)]],SelectedPrecincts[Batch Name], 0)))</f>
        <v/>
      </c>
      <c r="AJ875" s="101">
        <f>IF(COUNTIF(SelectedPrecincts[Batch Name],SamplingData[[#This Row],[Batch by Type (p)]]) &lt;&gt; 0, COUNTIF(SelectedPrecincts[Batch Name],SamplingData[[#This Row],[Batch by Type (p)]]), 0)</f>
        <v>0</v>
      </c>
    </row>
    <row r="876" spans="1:36" ht="15" customHeight="1" x14ac:dyDescent="0.35">
      <c r="A876" s="98" t="s">
        <v>1087</v>
      </c>
      <c r="B876" s="98">
        <v>57</v>
      </c>
      <c r="C876" s="98">
        <v>4</v>
      </c>
      <c r="D876" s="93"/>
      <c r="E876" s="93"/>
      <c r="F876" s="93"/>
      <c r="G876" s="97"/>
      <c r="H876" s="97"/>
      <c r="I876" s="93"/>
      <c r="J876" s="93"/>
      <c r="K876" s="93"/>
      <c r="L876" s="93"/>
      <c r="M876" s="93"/>
      <c r="N876" s="98">
        <v>0</v>
      </c>
      <c r="O876" s="98">
        <v>1</v>
      </c>
      <c r="P876" s="99">
        <f>SUM(SamplingData[[#This Row],[Winning Candidate]:[Under Votes]])</f>
        <v>62</v>
      </c>
      <c r="Q876" s="100">
        <f>IF(AND(SamplingData[[#This Row],[Total]]&lt;&gt; 0, NOT(ISBLANK(SamplingData[[#This Row],[Losing Candidate]]))),(SamplingData[[#This Row],[Total]]+SamplingData[[#This Row],[Winning Candidate]]-SamplingData[[#This Row],[Losing Candidate]])/(SamplingData[[#Totals],[Winning Candidate]]-SamplingData[[#Totals],[Losing Candidate]]), 0)</f>
        <v>3.6121493859346044E-3</v>
      </c>
      <c r="R876" s="100">
        <f>IF(AND(SamplingData[[#This Row],[Total]]&lt;&gt; 0, NOT(ISBLANK(SamplingData[[#This Row],[Candidate 3]]))),(SamplingData[[#This Row],[Total]]+SamplingData[[#This Row],[Winning Candidate]]-SamplingData[[#This Row],[Candidate 3]])/(SamplingData[[#Totals],[Winning Candidate]]-SamplingData[[#Totals],[Candidate 3]]), 0)</f>
        <v>0</v>
      </c>
      <c r="S876" s="100">
        <f>IF(AND(SamplingData[[#This Row],[Total]]&lt;&gt; 0, NOT(ISBLANK(SamplingData[[#This Row],[Candidate 4]]))),(SamplingData[[#This Row],[Total]]+SamplingData[[#This Row],[Winning Candidate]]-SamplingData[[#This Row],[Candidate 4]])/(SamplingData[[#Totals],[Winning Candidate]]-SamplingData[[#Totals],[Candidate 4]]), 0)</f>
        <v>0</v>
      </c>
      <c r="T876" s="100">
        <f>IF(AND(SamplingData[[#This Row],[Total]]&lt;&gt; 0, NOT(ISBLANK(SamplingData[[#This Row],[Candidate 5]]))),(SamplingData[[#This Row],[Total]]+SamplingData[[#This Row],[Winning Candidate]]-SamplingData[[#This Row],[Candidate 5]])/(SamplingData[[#Totals],[Winning Candidate]]-SamplingData[[#Totals],[Candidate 5]]), 0)</f>
        <v>0</v>
      </c>
      <c r="U876" s="100">
        <f>IF(AND(SamplingData[[#This Row],[Total]]&lt;&gt; 0, NOT(ISBLANK(SamplingData[[#This Row],[Candidate 6]]))),(SamplingData[[#This Row],[Total]]+SamplingData[[#This Row],[Losing Candidate]]-SamplingData[[#This Row],[Candidate 6]])/(SamplingData[[#Totals],[Winning Candidate]]-SamplingData[[#Totals],[Candidate 6]]), 0)</f>
        <v>0</v>
      </c>
      <c r="V876" s="100">
        <f>IF(AND(SamplingData[[#This Row],[Total]]&lt;&gt; 0, NOT(ISBLANK(SamplingData[[#This Row],[Candidate 7]]))),(SamplingData[[#This Row],[Total]]+SamplingData[[#This Row],[Winning Candidate]]-SamplingData[[#This Row],[Candidate 7]])/(SamplingData[[#Totals],[Winning Candidate]]-SamplingData[[#Totals],[Candidate 7]]), 0)</f>
        <v>0</v>
      </c>
      <c r="W876" s="100">
        <f>IF(AND(SamplingData[[#This Row],[Total]]&lt;&gt; 0, NOT(ISBLANK(SamplingData[[#This Row],[Candidate 8]]))),(SamplingData[[#This Row],[Total]]+SamplingData[[#This Row],[Winning Candidate]]-SamplingData[[#This Row],[Candidate 8]])/(SamplingData[[#Totals],[Winning Candidate]]-SamplingData[[#Totals],[Candidate 8]]), 0)</f>
        <v>0</v>
      </c>
      <c r="X8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00">
        <f>MAX(SamplingData[[#This Row],[Error Bound (up) - Max. possible relative overstatement - Losing Candidate]:[Error Bound (up) - Max. possible relative overstatement - Candidate 12]])</f>
        <v>3.6121493859346044E-3</v>
      </c>
      <c r="AC876" s="100">
        <f>IF(SamplingData[[#This Row],[Max Error Bound (up)]] = 0,0,SamplingData[[#This Row],[Max Error Bound (up)]]/SamplingData[[#Totals],[Max Error Bound (up)]])</f>
        <v>1.5479459430355899E-3</v>
      </c>
      <c r="AD876" s="104">
        <f>SUM($AC$5:AC876)</f>
        <v>0.44245679211759043</v>
      </c>
      <c r="AE876" s="100" t="str" cm="1">
        <f t="array" ref="AE876">IF(SamplingData[[#This Row],[up/U Selection Probability]] = 0, "Zero", TEXT(SamplingData[[#This Row],[Lower Range]], REPT("0",LEN('General Info'!$B$42))) &amp; " - " &amp; TEXT(SamplingData[[#This Row],[Upper Range]], REPT("0",LEN('General Info'!$B$42))))</f>
        <v>44091 - 44245</v>
      </c>
      <c r="AF876" s="100">
        <f>SamplingData[[#This Row],[Upper Range]]-SamplingData[[#This Row],[Span]]</f>
        <v>44090.884617455486</v>
      </c>
      <c r="AG876" s="100">
        <f>IF(ISNUMBER('General Info'!$B$42), ((SamplingData[[#This Row],[up/U Selection Probability]]) * 'General Info'!$B$44) - 1, 0)</f>
        <v>153.79459430355899</v>
      </c>
      <c r="AH876" s="100">
        <f>IF(ISNUMBER('General Info'!$B$42), (SamplingData[[#This Row],[Running (cumulative) sum]] * ('General Info'!$B$42 -'General Info'!$B$43 + 1)) + 'General Info'!$B$43 - 1, 0)</f>
        <v>44244.679211759045</v>
      </c>
      <c r="AI876" s="100" t="str">
        <f>IF(ISERROR(MATCH(SamplingData[[#This Row],[Batch by Type (p)]],SelectedPrecincts[Batch Name], 0)), "", INDEX(SelectedPrecincts[Draw], MATCH(SamplingData[[#This Row],[Batch by Type (p)]],SelectedPrecincts[Batch Name], 0)))</f>
        <v/>
      </c>
      <c r="AJ876" s="101">
        <f>IF(COUNTIF(SelectedPrecincts[Batch Name],SamplingData[[#This Row],[Batch by Type (p)]]) &lt;&gt; 0, COUNTIF(SelectedPrecincts[Batch Name],SamplingData[[#This Row],[Batch by Type (p)]]), 0)</f>
        <v>0</v>
      </c>
    </row>
    <row r="877" spans="1:36" ht="15" customHeight="1" x14ac:dyDescent="0.35">
      <c r="A877" s="98" t="s">
        <v>1088</v>
      </c>
      <c r="B877" s="98">
        <v>36</v>
      </c>
      <c r="C877" s="98">
        <v>8</v>
      </c>
      <c r="D877" s="93"/>
      <c r="E877" s="93"/>
      <c r="F877" s="93"/>
      <c r="G877" s="97"/>
      <c r="H877" s="97"/>
      <c r="I877" s="93"/>
      <c r="J877" s="93"/>
      <c r="K877" s="93"/>
      <c r="L877" s="93"/>
      <c r="M877" s="93"/>
      <c r="N877" s="98">
        <v>0</v>
      </c>
      <c r="O877" s="98">
        <v>0</v>
      </c>
      <c r="P877" s="99">
        <f>SUM(SamplingData[[#This Row],[Winning Candidate]:[Under Votes]])</f>
        <v>44</v>
      </c>
      <c r="Q877" s="100">
        <f>IF(AND(SamplingData[[#This Row],[Total]]&lt;&gt; 0, NOT(ISBLANK(SamplingData[[#This Row],[Losing Candidate]]))),(SamplingData[[#This Row],[Total]]+SamplingData[[#This Row],[Winning Candidate]]-SamplingData[[#This Row],[Losing Candidate]])/(SamplingData[[#Totals],[Winning Candidate]]-SamplingData[[#Totals],[Losing Candidate]]), 0)</f>
        <v>2.2615196155416654E-3</v>
      </c>
      <c r="R877" s="100">
        <f>IF(AND(SamplingData[[#This Row],[Total]]&lt;&gt; 0, NOT(ISBLANK(SamplingData[[#This Row],[Candidate 3]]))),(SamplingData[[#This Row],[Total]]+SamplingData[[#This Row],[Winning Candidate]]-SamplingData[[#This Row],[Candidate 3]])/(SamplingData[[#Totals],[Winning Candidate]]-SamplingData[[#Totals],[Candidate 3]]), 0)</f>
        <v>0</v>
      </c>
      <c r="S877" s="100">
        <f>IF(AND(SamplingData[[#This Row],[Total]]&lt;&gt; 0, NOT(ISBLANK(SamplingData[[#This Row],[Candidate 4]]))),(SamplingData[[#This Row],[Total]]+SamplingData[[#This Row],[Winning Candidate]]-SamplingData[[#This Row],[Candidate 4]])/(SamplingData[[#Totals],[Winning Candidate]]-SamplingData[[#Totals],[Candidate 4]]), 0)</f>
        <v>0</v>
      </c>
      <c r="T877" s="100">
        <f>IF(AND(SamplingData[[#This Row],[Total]]&lt;&gt; 0, NOT(ISBLANK(SamplingData[[#This Row],[Candidate 5]]))),(SamplingData[[#This Row],[Total]]+SamplingData[[#This Row],[Winning Candidate]]-SamplingData[[#This Row],[Candidate 5]])/(SamplingData[[#Totals],[Winning Candidate]]-SamplingData[[#Totals],[Candidate 5]]), 0)</f>
        <v>0</v>
      </c>
      <c r="U877" s="100">
        <f>IF(AND(SamplingData[[#This Row],[Total]]&lt;&gt; 0, NOT(ISBLANK(SamplingData[[#This Row],[Candidate 6]]))),(SamplingData[[#This Row],[Total]]+SamplingData[[#This Row],[Losing Candidate]]-SamplingData[[#This Row],[Candidate 6]])/(SamplingData[[#Totals],[Winning Candidate]]-SamplingData[[#Totals],[Candidate 6]]), 0)</f>
        <v>0</v>
      </c>
      <c r="V877" s="100">
        <f>IF(AND(SamplingData[[#This Row],[Total]]&lt;&gt; 0, NOT(ISBLANK(SamplingData[[#This Row],[Candidate 7]]))),(SamplingData[[#This Row],[Total]]+SamplingData[[#This Row],[Winning Candidate]]-SamplingData[[#This Row],[Candidate 7]])/(SamplingData[[#Totals],[Winning Candidate]]-SamplingData[[#Totals],[Candidate 7]]), 0)</f>
        <v>0</v>
      </c>
      <c r="W877" s="100">
        <f>IF(AND(SamplingData[[#This Row],[Total]]&lt;&gt; 0, NOT(ISBLANK(SamplingData[[#This Row],[Candidate 8]]))),(SamplingData[[#This Row],[Total]]+SamplingData[[#This Row],[Winning Candidate]]-SamplingData[[#This Row],[Candidate 8]])/(SamplingData[[#Totals],[Winning Candidate]]-SamplingData[[#Totals],[Candidate 8]]), 0)</f>
        <v>0</v>
      </c>
      <c r="X8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00">
        <f>MAX(SamplingData[[#This Row],[Error Bound (up) - Max. possible relative overstatement - Losing Candidate]:[Error Bound (up) - Max. possible relative overstatement - Candidate 12]])</f>
        <v>2.2615196155416654E-3</v>
      </c>
      <c r="AC877" s="100">
        <f>IF(SamplingData[[#This Row],[Max Error Bound (up)]] = 0,0,SamplingData[[#This Row],[Max Error Bound (up)]]/SamplingData[[#Totals],[Max Error Bound (up)]])</f>
        <v>9.691487643353258E-4</v>
      </c>
      <c r="AD877" s="104">
        <f>SUM($AC$5:AC877)</f>
        <v>0.44342594088192577</v>
      </c>
      <c r="AE877" s="100" t="str" cm="1">
        <f t="array" ref="AE877">IF(SamplingData[[#This Row],[up/U Selection Probability]] = 0, "Zero", TEXT(SamplingData[[#This Row],[Lower Range]], REPT("0",LEN('General Info'!$B$42))) &amp; " - " &amp; TEXT(SamplingData[[#This Row],[Upper Range]], REPT("0",LEN('General Info'!$B$42))))</f>
        <v>44246 - 44342</v>
      </c>
      <c r="AF877" s="100">
        <f>SamplingData[[#This Row],[Upper Range]]-SamplingData[[#This Row],[Span]]</f>
        <v>44245.679211759045</v>
      </c>
      <c r="AG877" s="100">
        <f>IF(ISNUMBER('General Info'!$B$42), ((SamplingData[[#This Row],[up/U Selection Probability]]) * 'General Info'!$B$44) - 1, 0)</f>
        <v>95.914876433532584</v>
      </c>
      <c r="AH877" s="100">
        <f>IF(ISNUMBER('General Info'!$B$42), (SamplingData[[#This Row],[Running (cumulative) sum]] * ('General Info'!$B$42 -'General Info'!$B$43 + 1)) + 'General Info'!$B$43 - 1, 0)</f>
        <v>44341.594088192578</v>
      </c>
      <c r="AI877" s="100" t="str">
        <f>IF(ISERROR(MATCH(SamplingData[[#This Row],[Batch by Type (p)]],SelectedPrecincts[Batch Name], 0)), "", INDEX(SelectedPrecincts[Draw], MATCH(SamplingData[[#This Row],[Batch by Type (p)]],SelectedPrecincts[Batch Name], 0)))</f>
        <v/>
      </c>
      <c r="AJ877" s="101">
        <f>IF(COUNTIF(SelectedPrecincts[Batch Name],SamplingData[[#This Row],[Batch by Type (p)]]) &lt;&gt; 0, COUNTIF(SelectedPrecincts[Batch Name],SamplingData[[#This Row],[Batch by Type (p)]]), 0)</f>
        <v>0</v>
      </c>
    </row>
    <row r="878" spans="1:36" ht="15" customHeight="1" x14ac:dyDescent="0.35">
      <c r="A878" s="98" t="s">
        <v>1089</v>
      </c>
      <c r="B878" s="98">
        <v>53</v>
      </c>
      <c r="C878" s="98">
        <v>4</v>
      </c>
      <c r="D878" s="93"/>
      <c r="E878" s="93"/>
      <c r="F878" s="93"/>
      <c r="G878" s="97"/>
      <c r="H878" s="97"/>
      <c r="I878" s="93"/>
      <c r="J878" s="93"/>
      <c r="K878" s="93"/>
      <c r="L878" s="93"/>
      <c r="M878" s="93"/>
      <c r="N878" s="98">
        <v>0</v>
      </c>
      <c r="O878" s="98">
        <v>0</v>
      </c>
      <c r="P878" s="99">
        <f>SUM(SamplingData[[#This Row],[Winning Candidate]:[Under Votes]])</f>
        <v>57</v>
      </c>
      <c r="Q878" s="100">
        <f>IF(AND(SamplingData[[#This Row],[Total]]&lt;&gt; 0, NOT(ISBLANK(SamplingData[[#This Row],[Losing Candidate]]))),(SamplingData[[#This Row],[Total]]+SamplingData[[#This Row],[Winning Candidate]]-SamplingData[[#This Row],[Losing Candidate]])/(SamplingData[[#Totals],[Winning Candidate]]-SamplingData[[#Totals],[Losing Candidate]]), 0)</f>
        <v>3.3294594339918961E-3</v>
      </c>
      <c r="R878" s="100">
        <f>IF(AND(SamplingData[[#This Row],[Total]]&lt;&gt; 0, NOT(ISBLANK(SamplingData[[#This Row],[Candidate 3]]))),(SamplingData[[#This Row],[Total]]+SamplingData[[#This Row],[Winning Candidate]]-SamplingData[[#This Row],[Candidate 3]])/(SamplingData[[#Totals],[Winning Candidate]]-SamplingData[[#Totals],[Candidate 3]]), 0)</f>
        <v>0</v>
      </c>
      <c r="S878" s="100">
        <f>IF(AND(SamplingData[[#This Row],[Total]]&lt;&gt; 0, NOT(ISBLANK(SamplingData[[#This Row],[Candidate 4]]))),(SamplingData[[#This Row],[Total]]+SamplingData[[#This Row],[Winning Candidate]]-SamplingData[[#This Row],[Candidate 4]])/(SamplingData[[#Totals],[Winning Candidate]]-SamplingData[[#Totals],[Candidate 4]]), 0)</f>
        <v>0</v>
      </c>
      <c r="T878" s="100">
        <f>IF(AND(SamplingData[[#This Row],[Total]]&lt;&gt; 0, NOT(ISBLANK(SamplingData[[#This Row],[Candidate 5]]))),(SamplingData[[#This Row],[Total]]+SamplingData[[#This Row],[Winning Candidate]]-SamplingData[[#This Row],[Candidate 5]])/(SamplingData[[#Totals],[Winning Candidate]]-SamplingData[[#Totals],[Candidate 5]]), 0)</f>
        <v>0</v>
      </c>
      <c r="U878" s="100">
        <f>IF(AND(SamplingData[[#This Row],[Total]]&lt;&gt; 0, NOT(ISBLANK(SamplingData[[#This Row],[Candidate 6]]))),(SamplingData[[#This Row],[Total]]+SamplingData[[#This Row],[Losing Candidate]]-SamplingData[[#This Row],[Candidate 6]])/(SamplingData[[#Totals],[Winning Candidate]]-SamplingData[[#Totals],[Candidate 6]]), 0)</f>
        <v>0</v>
      </c>
      <c r="V878" s="100">
        <f>IF(AND(SamplingData[[#This Row],[Total]]&lt;&gt; 0, NOT(ISBLANK(SamplingData[[#This Row],[Candidate 7]]))),(SamplingData[[#This Row],[Total]]+SamplingData[[#This Row],[Winning Candidate]]-SamplingData[[#This Row],[Candidate 7]])/(SamplingData[[#Totals],[Winning Candidate]]-SamplingData[[#Totals],[Candidate 7]]), 0)</f>
        <v>0</v>
      </c>
      <c r="W878" s="100">
        <f>IF(AND(SamplingData[[#This Row],[Total]]&lt;&gt; 0, NOT(ISBLANK(SamplingData[[#This Row],[Candidate 8]]))),(SamplingData[[#This Row],[Total]]+SamplingData[[#This Row],[Winning Candidate]]-SamplingData[[#This Row],[Candidate 8]])/(SamplingData[[#Totals],[Winning Candidate]]-SamplingData[[#Totals],[Candidate 8]]), 0)</f>
        <v>0</v>
      </c>
      <c r="X8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00">
        <f>MAX(SamplingData[[#This Row],[Error Bound (up) - Max. possible relative overstatement - Losing Candidate]:[Error Bound (up) - Max. possible relative overstatement - Candidate 12]])</f>
        <v>3.3294594339918961E-3</v>
      </c>
      <c r="AC878" s="100">
        <f>IF(SamplingData[[#This Row],[Max Error Bound (up)]] = 0,0,SamplingData[[#This Row],[Max Error Bound (up)]]/SamplingData[[#Totals],[Max Error Bound (up)]])</f>
        <v>1.426802347493674E-3</v>
      </c>
      <c r="AD878" s="104">
        <f>SUM($AC$5:AC878)</f>
        <v>0.44485274322941942</v>
      </c>
      <c r="AE878" s="100" t="str" cm="1">
        <f t="array" ref="AE878">IF(SamplingData[[#This Row],[up/U Selection Probability]] = 0, "Zero", TEXT(SamplingData[[#This Row],[Lower Range]], REPT("0",LEN('General Info'!$B$42))) &amp; " - " &amp; TEXT(SamplingData[[#This Row],[Upper Range]], REPT("0",LEN('General Info'!$B$42))))</f>
        <v>44343 - 44484</v>
      </c>
      <c r="AF878" s="100">
        <f>SamplingData[[#This Row],[Upper Range]]-SamplingData[[#This Row],[Span]]</f>
        <v>44342.594088192578</v>
      </c>
      <c r="AG878" s="100">
        <f>IF(ISNUMBER('General Info'!$B$42), ((SamplingData[[#This Row],[up/U Selection Probability]]) * 'General Info'!$B$44) - 1, 0)</f>
        <v>141.6802347493674</v>
      </c>
      <c r="AH878" s="100">
        <f>IF(ISNUMBER('General Info'!$B$42), (SamplingData[[#This Row],[Running (cumulative) sum]] * ('General Info'!$B$42 -'General Info'!$B$43 + 1)) + 'General Info'!$B$43 - 1, 0)</f>
        <v>44484.274322941943</v>
      </c>
      <c r="AI878" s="100" t="str">
        <f>IF(ISERROR(MATCH(SamplingData[[#This Row],[Batch by Type (p)]],SelectedPrecincts[Batch Name], 0)), "", INDEX(SelectedPrecincts[Draw], MATCH(SamplingData[[#This Row],[Batch by Type (p)]],SelectedPrecincts[Batch Name], 0)))</f>
        <v/>
      </c>
      <c r="AJ878" s="101">
        <f>IF(COUNTIF(SelectedPrecincts[Batch Name],SamplingData[[#This Row],[Batch by Type (p)]]) &lt;&gt; 0, COUNTIF(SelectedPrecincts[Batch Name],SamplingData[[#This Row],[Batch by Type (p)]]), 0)</f>
        <v>0</v>
      </c>
    </row>
    <row r="879" spans="1:36" ht="15" customHeight="1" x14ac:dyDescent="0.35">
      <c r="A879" s="98" t="s">
        <v>1090</v>
      </c>
      <c r="B879" s="98">
        <v>49</v>
      </c>
      <c r="C879" s="98">
        <v>1</v>
      </c>
      <c r="D879" s="93"/>
      <c r="E879" s="93"/>
      <c r="F879" s="93"/>
      <c r="G879" s="97"/>
      <c r="H879" s="97"/>
      <c r="I879" s="93"/>
      <c r="J879" s="93"/>
      <c r="K879" s="93"/>
      <c r="L879" s="93"/>
      <c r="M879" s="93"/>
      <c r="N879" s="98">
        <v>0</v>
      </c>
      <c r="O879" s="98">
        <v>0</v>
      </c>
      <c r="P879" s="99">
        <f>SUM(SamplingData[[#This Row],[Winning Candidate]:[Under Votes]])</f>
        <v>50</v>
      </c>
      <c r="Q879" s="100">
        <f>IF(AND(SamplingData[[#This Row],[Total]]&lt;&gt; 0, NOT(ISBLANK(SamplingData[[#This Row],[Losing Candidate]]))),(SamplingData[[#This Row],[Total]]+SamplingData[[#This Row],[Winning Candidate]]-SamplingData[[#This Row],[Losing Candidate]])/(SamplingData[[#Totals],[Winning Candidate]]-SamplingData[[#Totals],[Losing Candidate]]), 0)</f>
        <v>3.0781794767094891E-3</v>
      </c>
      <c r="R879" s="100">
        <f>IF(AND(SamplingData[[#This Row],[Total]]&lt;&gt; 0, NOT(ISBLANK(SamplingData[[#This Row],[Candidate 3]]))),(SamplingData[[#This Row],[Total]]+SamplingData[[#This Row],[Winning Candidate]]-SamplingData[[#This Row],[Candidate 3]])/(SamplingData[[#Totals],[Winning Candidate]]-SamplingData[[#Totals],[Candidate 3]]), 0)</f>
        <v>0</v>
      </c>
      <c r="S879" s="100">
        <f>IF(AND(SamplingData[[#This Row],[Total]]&lt;&gt; 0, NOT(ISBLANK(SamplingData[[#This Row],[Candidate 4]]))),(SamplingData[[#This Row],[Total]]+SamplingData[[#This Row],[Winning Candidate]]-SamplingData[[#This Row],[Candidate 4]])/(SamplingData[[#Totals],[Winning Candidate]]-SamplingData[[#Totals],[Candidate 4]]), 0)</f>
        <v>0</v>
      </c>
      <c r="T879" s="100">
        <f>IF(AND(SamplingData[[#This Row],[Total]]&lt;&gt; 0, NOT(ISBLANK(SamplingData[[#This Row],[Candidate 5]]))),(SamplingData[[#This Row],[Total]]+SamplingData[[#This Row],[Winning Candidate]]-SamplingData[[#This Row],[Candidate 5]])/(SamplingData[[#Totals],[Winning Candidate]]-SamplingData[[#Totals],[Candidate 5]]), 0)</f>
        <v>0</v>
      </c>
      <c r="U879" s="100">
        <f>IF(AND(SamplingData[[#This Row],[Total]]&lt;&gt; 0, NOT(ISBLANK(SamplingData[[#This Row],[Candidate 6]]))),(SamplingData[[#This Row],[Total]]+SamplingData[[#This Row],[Losing Candidate]]-SamplingData[[#This Row],[Candidate 6]])/(SamplingData[[#Totals],[Winning Candidate]]-SamplingData[[#Totals],[Candidate 6]]), 0)</f>
        <v>0</v>
      </c>
      <c r="V879" s="100">
        <f>IF(AND(SamplingData[[#This Row],[Total]]&lt;&gt; 0, NOT(ISBLANK(SamplingData[[#This Row],[Candidate 7]]))),(SamplingData[[#This Row],[Total]]+SamplingData[[#This Row],[Winning Candidate]]-SamplingData[[#This Row],[Candidate 7]])/(SamplingData[[#Totals],[Winning Candidate]]-SamplingData[[#Totals],[Candidate 7]]), 0)</f>
        <v>0</v>
      </c>
      <c r="W879" s="100">
        <f>IF(AND(SamplingData[[#This Row],[Total]]&lt;&gt; 0, NOT(ISBLANK(SamplingData[[#This Row],[Candidate 8]]))),(SamplingData[[#This Row],[Total]]+SamplingData[[#This Row],[Winning Candidate]]-SamplingData[[#This Row],[Candidate 8]])/(SamplingData[[#Totals],[Winning Candidate]]-SamplingData[[#Totals],[Candidate 8]]), 0)</f>
        <v>0</v>
      </c>
      <c r="X8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00">
        <f>MAX(SamplingData[[#This Row],[Error Bound (up) - Max. possible relative overstatement - Losing Candidate]:[Error Bound (up) - Max. possible relative overstatement - Candidate 12]])</f>
        <v>3.0781794767094891E-3</v>
      </c>
      <c r="AC879" s="100">
        <f>IF(SamplingData[[#This Row],[Max Error Bound (up)]] = 0,0,SamplingData[[#This Row],[Max Error Bound (up)]]/SamplingData[[#Totals],[Max Error Bound (up)]])</f>
        <v>1.3191191514564157E-3</v>
      </c>
      <c r="AD879" s="104">
        <f>SUM($AC$5:AC879)</f>
        <v>0.44617186238087586</v>
      </c>
      <c r="AE879" s="100" t="str" cm="1">
        <f t="array" ref="AE879">IF(SamplingData[[#This Row],[up/U Selection Probability]] = 0, "Zero", TEXT(SamplingData[[#This Row],[Lower Range]], REPT("0",LEN('General Info'!$B$42))) &amp; " - " &amp; TEXT(SamplingData[[#This Row],[Upper Range]], REPT("0",LEN('General Info'!$B$42))))</f>
        <v>44485 - 44616</v>
      </c>
      <c r="AF879" s="100">
        <f>SamplingData[[#This Row],[Upper Range]]-SamplingData[[#This Row],[Span]]</f>
        <v>44485.274322941943</v>
      </c>
      <c r="AG879" s="100">
        <f>IF(ISNUMBER('General Info'!$B$42), ((SamplingData[[#This Row],[up/U Selection Probability]]) * 'General Info'!$B$44) - 1, 0)</f>
        <v>130.91191514564156</v>
      </c>
      <c r="AH879" s="100">
        <f>IF(ISNUMBER('General Info'!$B$42), (SamplingData[[#This Row],[Running (cumulative) sum]] * ('General Info'!$B$42 -'General Info'!$B$43 + 1)) + 'General Info'!$B$43 - 1, 0)</f>
        <v>44616.186238087583</v>
      </c>
      <c r="AI879" s="100" t="str">
        <f>IF(ISERROR(MATCH(SamplingData[[#This Row],[Batch by Type (p)]],SelectedPrecincts[Batch Name], 0)), "", INDEX(SelectedPrecincts[Draw], MATCH(SamplingData[[#This Row],[Batch by Type (p)]],SelectedPrecincts[Batch Name], 0)))</f>
        <v/>
      </c>
      <c r="AJ879" s="101">
        <f>IF(COUNTIF(SelectedPrecincts[Batch Name],SamplingData[[#This Row],[Batch by Type (p)]]) &lt;&gt; 0, COUNTIF(SelectedPrecincts[Batch Name],SamplingData[[#This Row],[Batch by Type (p)]]), 0)</f>
        <v>0</v>
      </c>
    </row>
    <row r="880" spans="1:36" ht="15" customHeight="1" x14ac:dyDescent="0.35">
      <c r="A880" s="98" t="s">
        <v>1091</v>
      </c>
      <c r="B880" s="98">
        <v>57</v>
      </c>
      <c r="C880" s="98">
        <v>2</v>
      </c>
      <c r="D880" s="93"/>
      <c r="E880" s="93"/>
      <c r="F880" s="93"/>
      <c r="G880" s="97"/>
      <c r="H880" s="97"/>
      <c r="I880" s="93"/>
      <c r="J880" s="93"/>
      <c r="K880" s="93"/>
      <c r="L880" s="93"/>
      <c r="M880" s="93"/>
      <c r="N880" s="98">
        <v>0</v>
      </c>
      <c r="O880" s="98">
        <v>1</v>
      </c>
      <c r="P880" s="99">
        <f>SUM(SamplingData[[#This Row],[Winning Candidate]:[Under Votes]])</f>
        <v>60</v>
      </c>
      <c r="Q880" s="100">
        <f>IF(AND(SamplingData[[#This Row],[Total]]&lt;&gt; 0, NOT(ISBLANK(SamplingData[[#This Row],[Losing Candidate]]))),(SamplingData[[#This Row],[Total]]+SamplingData[[#This Row],[Winning Candidate]]-SamplingData[[#This Row],[Losing Candidate]])/(SamplingData[[#Totals],[Winning Candidate]]-SamplingData[[#Totals],[Losing Candidate]]), 0)</f>
        <v>3.6121493859346044E-3</v>
      </c>
      <c r="R880" s="100">
        <f>IF(AND(SamplingData[[#This Row],[Total]]&lt;&gt; 0, NOT(ISBLANK(SamplingData[[#This Row],[Candidate 3]]))),(SamplingData[[#This Row],[Total]]+SamplingData[[#This Row],[Winning Candidate]]-SamplingData[[#This Row],[Candidate 3]])/(SamplingData[[#Totals],[Winning Candidate]]-SamplingData[[#Totals],[Candidate 3]]), 0)</f>
        <v>0</v>
      </c>
      <c r="S880" s="100">
        <f>IF(AND(SamplingData[[#This Row],[Total]]&lt;&gt; 0, NOT(ISBLANK(SamplingData[[#This Row],[Candidate 4]]))),(SamplingData[[#This Row],[Total]]+SamplingData[[#This Row],[Winning Candidate]]-SamplingData[[#This Row],[Candidate 4]])/(SamplingData[[#Totals],[Winning Candidate]]-SamplingData[[#Totals],[Candidate 4]]), 0)</f>
        <v>0</v>
      </c>
      <c r="T880" s="100">
        <f>IF(AND(SamplingData[[#This Row],[Total]]&lt;&gt; 0, NOT(ISBLANK(SamplingData[[#This Row],[Candidate 5]]))),(SamplingData[[#This Row],[Total]]+SamplingData[[#This Row],[Winning Candidate]]-SamplingData[[#This Row],[Candidate 5]])/(SamplingData[[#Totals],[Winning Candidate]]-SamplingData[[#Totals],[Candidate 5]]), 0)</f>
        <v>0</v>
      </c>
      <c r="U880" s="100">
        <f>IF(AND(SamplingData[[#This Row],[Total]]&lt;&gt; 0, NOT(ISBLANK(SamplingData[[#This Row],[Candidate 6]]))),(SamplingData[[#This Row],[Total]]+SamplingData[[#This Row],[Losing Candidate]]-SamplingData[[#This Row],[Candidate 6]])/(SamplingData[[#Totals],[Winning Candidate]]-SamplingData[[#Totals],[Candidate 6]]), 0)</f>
        <v>0</v>
      </c>
      <c r="V880" s="100">
        <f>IF(AND(SamplingData[[#This Row],[Total]]&lt;&gt; 0, NOT(ISBLANK(SamplingData[[#This Row],[Candidate 7]]))),(SamplingData[[#This Row],[Total]]+SamplingData[[#This Row],[Winning Candidate]]-SamplingData[[#This Row],[Candidate 7]])/(SamplingData[[#Totals],[Winning Candidate]]-SamplingData[[#Totals],[Candidate 7]]), 0)</f>
        <v>0</v>
      </c>
      <c r="W880" s="100">
        <f>IF(AND(SamplingData[[#This Row],[Total]]&lt;&gt; 0, NOT(ISBLANK(SamplingData[[#This Row],[Candidate 8]]))),(SamplingData[[#This Row],[Total]]+SamplingData[[#This Row],[Winning Candidate]]-SamplingData[[#This Row],[Candidate 8]])/(SamplingData[[#Totals],[Winning Candidate]]-SamplingData[[#Totals],[Candidate 8]]), 0)</f>
        <v>0</v>
      </c>
      <c r="X8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00">
        <f>MAX(SamplingData[[#This Row],[Error Bound (up) - Max. possible relative overstatement - Losing Candidate]:[Error Bound (up) - Max. possible relative overstatement - Candidate 12]])</f>
        <v>3.6121493859346044E-3</v>
      </c>
      <c r="AC880" s="100">
        <f>IF(SamplingData[[#This Row],[Max Error Bound (up)]] = 0,0,SamplingData[[#This Row],[Max Error Bound (up)]]/SamplingData[[#Totals],[Max Error Bound (up)]])</f>
        <v>1.5479459430355899E-3</v>
      </c>
      <c r="AD880" s="104">
        <f>SUM($AC$5:AC880)</f>
        <v>0.44771980832391145</v>
      </c>
      <c r="AE880" s="100" t="str" cm="1">
        <f t="array" ref="AE880">IF(SamplingData[[#This Row],[up/U Selection Probability]] = 0, "Zero", TEXT(SamplingData[[#This Row],[Lower Range]], REPT("0",LEN('General Info'!$B$42))) &amp; " - " &amp; TEXT(SamplingData[[#This Row],[Upper Range]], REPT("0",LEN('General Info'!$B$42))))</f>
        <v>44617 - 44771</v>
      </c>
      <c r="AF880" s="100">
        <f>SamplingData[[#This Row],[Upper Range]]-SamplingData[[#This Row],[Span]]</f>
        <v>44617.186238087583</v>
      </c>
      <c r="AG880" s="100">
        <f>IF(ISNUMBER('General Info'!$B$42), ((SamplingData[[#This Row],[up/U Selection Probability]]) * 'General Info'!$B$44) - 1, 0)</f>
        <v>153.79459430355899</v>
      </c>
      <c r="AH880" s="100">
        <f>IF(ISNUMBER('General Info'!$B$42), (SamplingData[[#This Row],[Running (cumulative) sum]] * ('General Info'!$B$42 -'General Info'!$B$43 + 1)) + 'General Info'!$B$43 - 1, 0)</f>
        <v>44770.980832391142</v>
      </c>
      <c r="AI880" s="100" t="str">
        <f>IF(ISERROR(MATCH(SamplingData[[#This Row],[Batch by Type (p)]],SelectedPrecincts[Batch Name], 0)), "", INDEX(SelectedPrecincts[Draw], MATCH(SamplingData[[#This Row],[Batch by Type (p)]],SelectedPrecincts[Batch Name], 0)))</f>
        <v/>
      </c>
      <c r="AJ880" s="101">
        <f>IF(COUNTIF(SelectedPrecincts[Batch Name],SamplingData[[#This Row],[Batch by Type (p)]]) &lt;&gt; 0, COUNTIF(SelectedPrecincts[Batch Name],SamplingData[[#This Row],[Batch by Type (p)]]), 0)</f>
        <v>0</v>
      </c>
    </row>
    <row r="881" spans="1:36" ht="15" customHeight="1" x14ac:dyDescent="0.35">
      <c r="A881" s="98" t="s">
        <v>1092</v>
      </c>
      <c r="B881" s="98">
        <v>52</v>
      </c>
      <c r="C881" s="98">
        <v>7</v>
      </c>
      <c r="D881" s="93"/>
      <c r="E881" s="93"/>
      <c r="F881" s="93"/>
      <c r="G881" s="97"/>
      <c r="H881" s="97"/>
      <c r="I881" s="93"/>
      <c r="J881" s="93"/>
      <c r="K881" s="93"/>
      <c r="L881" s="93"/>
      <c r="M881" s="93"/>
      <c r="N881" s="98">
        <v>0</v>
      </c>
      <c r="O881" s="98">
        <v>1</v>
      </c>
      <c r="P881" s="99">
        <f>SUM(SamplingData[[#This Row],[Winning Candidate]:[Under Votes]])</f>
        <v>60</v>
      </c>
      <c r="Q881" s="100">
        <f>IF(AND(SamplingData[[#This Row],[Total]]&lt;&gt; 0, NOT(ISBLANK(SamplingData[[#This Row],[Losing Candidate]]))),(SamplingData[[#This Row],[Total]]+SamplingData[[#This Row],[Winning Candidate]]-SamplingData[[#This Row],[Losing Candidate]])/(SamplingData[[#Totals],[Winning Candidate]]-SamplingData[[#Totals],[Losing Candidate]]), 0)</f>
        <v>3.2980494393315954E-3</v>
      </c>
      <c r="R881" s="100">
        <f>IF(AND(SamplingData[[#This Row],[Total]]&lt;&gt; 0, NOT(ISBLANK(SamplingData[[#This Row],[Candidate 3]]))),(SamplingData[[#This Row],[Total]]+SamplingData[[#This Row],[Winning Candidate]]-SamplingData[[#This Row],[Candidate 3]])/(SamplingData[[#Totals],[Winning Candidate]]-SamplingData[[#Totals],[Candidate 3]]), 0)</f>
        <v>0</v>
      </c>
      <c r="S881" s="100">
        <f>IF(AND(SamplingData[[#This Row],[Total]]&lt;&gt; 0, NOT(ISBLANK(SamplingData[[#This Row],[Candidate 4]]))),(SamplingData[[#This Row],[Total]]+SamplingData[[#This Row],[Winning Candidate]]-SamplingData[[#This Row],[Candidate 4]])/(SamplingData[[#Totals],[Winning Candidate]]-SamplingData[[#Totals],[Candidate 4]]), 0)</f>
        <v>0</v>
      </c>
      <c r="T881" s="100">
        <f>IF(AND(SamplingData[[#This Row],[Total]]&lt;&gt; 0, NOT(ISBLANK(SamplingData[[#This Row],[Candidate 5]]))),(SamplingData[[#This Row],[Total]]+SamplingData[[#This Row],[Winning Candidate]]-SamplingData[[#This Row],[Candidate 5]])/(SamplingData[[#Totals],[Winning Candidate]]-SamplingData[[#Totals],[Candidate 5]]), 0)</f>
        <v>0</v>
      </c>
      <c r="U881" s="100">
        <f>IF(AND(SamplingData[[#This Row],[Total]]&lt;&gt; 0, NOT(ISBLANK(SamplingData[[#This Row],[Candidate 6]]))),(SamplingData[[#This Row],[Total]]+SamplingData[[#This Row],[Losing Candidate]]-SamplingData[[#This Row],[Candidate 6]])/(SamplingData[[#Totals],[Winning Candidate]]-SamplingData[[#Totals],[Candidate 6]]), 0)</f>
        <v>0</v>
      </c>
      <c r="V881" s="100">
        <f>IF(AND(SamplingData[[#This Row],[Total]]&lt;&gt; 0, NOT(ISBLANK(SamplingData[[#This Row],[Candidate 7]]))),(SamplingData[[#This Row],[Total]]+SamplingData[[#This Row],[Winning Candidate]]-SamplingData[[#This Row],[Candidate 7]])/(SamplingData[[#Totals],[Winning Candidate]]-SamplingData[[#Totals],[Candidate 7]]), 0)</f>
        <v>0</v>
      </c>
      <c r="W881" s="100">
        <f>IF(AND(SamplingData[[#This Row],[Total]]&lt;&gt; 0, NOT(ISBLANK(SamplingData[[#This Row],[Candidate 8]]))),(SamplingData[[#This Row],[Total]]+SamplingData[[#This Row],[Winning Candidate]]-SamplingData[[#This Row],[Candidate 8]])/(SamplingData[[#Totals],[Winning Candidate]]-SamplingData[[#Totals],[Candidate 8]]), 0)</f>
        <v>0</v>
      </c>
      <c r="X8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00">
        <f>MAX(SamplingData[[#This Row],[Error Bound (up) - Max. possible relative overstatement - Losing Candidate]:[Error Bound (up) - Max. possible relative overstatement - Candidate 12]])</f>
        <v>3.2980494393315954E-3</v>
      </c>
      <c r="AC881" s="100">
        <f>IF(SamplingData[[#This Row],[Max Error Bound (up)]] = 0,0,SamplingData[[#This Row],[Max Error Bound (up)]]/SamplingData[[#Totals],[Max Error Bound (up)]])</f>
        <v>1.4133419479890167E-3</v>
      </c>
      <c r="AD881" s="104">
        <f>SUM($AC$5:AC881)</f>
        <v>0.44913315027190048</v>
      </c>
      <c r="AE881" s="100" t="str" cm="1">
        <f t="array" ref="AE881">IF(SamplingData[[#This Row],[up/U Selection Probability]] = 0, "Zero", TEXT(SamplingData[[#This Row],[Lower Range]], REPT("0",LEN('General Info'!$B$42))) &amp; " - " &amp; TEXT(SamplingData[[#This Row],[Upper Range]], REPT("0",LEN('General Info'!$B$42))))</f>
        <v>44772 - 44912</v>
      </c>
      <c r="AF881" s="100">
        <f>SamplingData[[#This Row],[Upper Range]]-SamplingData[[#This Row],[Span]]</f>
        <v>44771.980832391142</v>
      </c>
      <c r="AG881" s="100">
        <f>IF(ISNUMBER('General Info'!$B$42), ((SamplingData[[#This Row],[up/U Selection Probability]]) * 'General Info'!$B$44) - 1, 0)</f>
        <v>140.33419479890168</v>
      </c>
      <c r="AH881" s="100">
        <f>IF(ISNUMBER('General Info'!$B$42), (SamplingData[[#This Row],[Running (cumulative) sum]] * ('General Info'!$B$42 -'General Info'!$B$43 + 1)) + 'General Info'!$B$43 - 1, 0)</f>
        <v>44912.315027190045</v>
      </c>
      <c r="AI881" s="100" t="str">
        <f>IF(ISERROR(MATCH(SamplingData[[#This Row],[Batch by Type (p)]],SelectedPrecincts[Batch Name], 0)), "", INDEX(SelectedPrecincts[Draw], MATCH(SamplingData[[#This Row],[Batch by Type (p)]],SelectedPrecincts[Batch Name], 0)))</f>
        <v/>
      </c>
      <c r="AJ881" s="101">
        <f>IF(COUNTIF(SelectedPrecincts[Batch Name],SamplingData[[#This Row],[Batch by Type (p)]]) &lt;&gt; 0, COUNTIF(SelectedPrecincts[Batch Name],SamplingData[[#This Row],[Batch by Type (p)]]), 0)</f>
        <v>0</v>
      </c>
    </row>
    <row r="882" spans="1:36" ht="15" customHeight="1" x14ac:dyDescent="0.35">
      <c r="A882" s="98" t="s">
        <v>1093</v>
      </c>
      <c r="B882" s="98">
        <v>67</v>
      </c>
      <c r="C882" s="98">
        <v>8</v>
      </c>
      <c r="D882" s="93"/>
      <c r="E882" s="93"/>
      <c r="F882" s="93"/>
      <c r="G882" s="97"/>
      <c r="H882" s="97"/>
      <c r="I882" s="93"/>
      <c r="J882" s="93"/>
      <c r="K882" s="93"/>
      <c r="L882" s="93"/>
      <c r="M882" s="93"/>
      <c r="N882" s="98">
        <v>0</v>
      </c>
      <c r="O882" s="98">
        <v>0</v>
      </c>
      <c r="P882" s="99">
        <f>SUM(SamplingData[[#This Row],[Winning Candidate]:[Under Votes]])</f>
        <v>75</v>
      </c>
      <c r="Q882" s="100">
        <f>IF(AND(SamplingData[[#This Row],[Total]]&lt;&gt; 0, NOT(ISBLANK(SamplingData[[#This Row],[Losing Candidate]]))),(SamplingData[[#This Row],[Total]]+SamplingData[[#This Row],[Winning Candidate]]-SamplingData[[#This Row],[Losing Candidate]])/(SamplingData[[#Totals],[Winning Candidate]]-SamplingData[[#Totals],[Losing Candidate]]), 0)</f>
        <v>4.2089392844803213E-3</v>
      </c>
      <c r="R882" s="100">
        <f>IF(AND(SamplingData[[#This Row],[Total]]&lt;&gt; 0, NOT(ISBLANK(SamplingData[[#This Row],[Candidate 3]]))),(SamplingData[[#This Row],[Total]]+SamplingData[[#This Row],[Winning Candidate]]-SamplingData[[#This Row],[Candidate 3]])/(SamplingData[[#Totals],[Winning Candidate]]-SamplingData[[#Totals],[Candidate 3]]), 0)</f>
        <v>0</v>
      </c>
      <c r="S882" s="100">
        <f>IF(AND(SamplingData[[#This Row],[Total]]&lt;&gt; 0, NOT(ISBLANK(SamplingData[[#This Row],[Candidate 4]]))),(SamplingData[[#This Row],[Total]]+SamplingData[[#This Row],[Winning Candidate]]-SamplingData[[#This Row],[Candidate 4]])/(SamplingData[[#Totals],[Winning Candidate]]-SamplingData[[#Totals],[Candidate 4]]), 0)</f>
        <v>0</v>
      </c>
      <c r="T882" s="100">
        <f>IF(AND(SamplingData[[#This Row],[Total]]&lt;&gt; 0, NOT(ISBLANK(SamplingData[[#This Row],[Candidate 5]]))),(SamplingData[[#This Row],[Total]]+SamplingData[[#This Row],[Winning Candidate]]-SamplingData[[#This Row],[Candidate 5]])/(SamplingData[[#Totals],[Winning Candidate]]-SamplingData[[#Totals],[Candidate 5]]), 0)</f>
        <v>0</v>
      </c>
      <c r="U882" s="100">
        <f>IF(AND(SamplingData[[#This Row],[Total]]&lt;&gt; 0, NOT(ISBLANK(SamplingData[[#This Row],[Candidate 6]]))),(SamplingData[[#This Row],[Total]]+SamplingData[[#This Row],[Losing Candidate]]-SamplingData[[#This Row],[Candidate 6]])/(SamplingData[[#Totals],[Winning Candidate]]-SamplingData[[#Totals],[Candidate 6]]), 0)</f>
        <v>0</v>
      </c>
      <c r="V882" s="100">
        <f>IF(AND(SamplingData[[#This Row],[Total]]&lt;&gt; 0, NOT(ISBLANK(SamplingData[[#This Row],[Candidate 7]]))),(SamplingData[[#This Row],[Total]]+SamplingData[[#This Row],[Winning Candidate]]-SamplingData[[#This Row],[Candidate 7]])/(SamplingData[[#Totals],[Winning Candidate]]-SamplingData[[#Totals],[Candidate 7]]), 0)</f>
        <v>0</v>
      </c>
      <c r="W882" s="100">
        <f>IF(AND(SamplingData[[#This Row],[Total]]&lt;&gt; 0, NOT(ISBLANK(SamplingData[[#This Row],[Candidate 8]]))),(SamplingData[[#This Row],[Total]]+SamplingData[[#This Row],[Winning Candidate]]-SamplingData[[#This Row],[Candidate 8]])/(SamplingData[[#Totals],[Winning Candidate]]-SamplingData[[#Totals],[Candidate 8]]), 0)</f>
        <v>0</v>
      </c>
      <c r="X8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00">
        <f>MAX(SamplingData[[#This Row],[Error Bound (up) - Max. possible relative overstatement - Losing Candidate]:[Error Bound (up) - Max. possible relative overstatement - Candidate 12]])</f>
        <v>4.2089392844803213E-3</v>
      </c>
      <c r="AC882" s="100">
        <f>IF(SamplingData[[#This Row],[Max Error Bound (up)]] = 0,0,SamplingData[[#This Row],[Max Error Bound (up)]]/SamplingData[[#Totals],[Max Error Bound (up)]])</f>
        <v>1.8036935336240784E-3</v>
      </c>
      <c r="AD882" s="104">
        <f>SUM($AC$5:AC882)</f>
        <v>0.45093684380552457</v>
      </c>
      <c r="AE882" s="100" t="str" cm="1">
        <f t="array" ref="AE882">IF(SamplingData[[#This Row],[up/U Selection Probability]] = 0, "Zero", TEXT(SamplingData[[#This Row],[Lower Range]], REPT("0",LEN('General Info'!$B$42))) &amp; " - " &amp; TEXT(SamplingData[[#This Row],[Upper Range]], REPT("0",LEN('General Info'!$B$42))))</f>
        <v>44913 - 45093</v>
      </c>
      <c r="AF882" s="100">
        <f>SamplingData[[#This Row],[Upper Range]]-SamplingData[[#This Row],[Span]]</f>
        <v>44913.315027190045</v>
      </c>
      <c r="AG882" s="100">
        <f>IF(ISNUMBER('General Info'!$B$42), ((SamplingData[[#This Row],[up/U Selection Probability]]) * 'General Info'!$B$44) - 1, 0)</f>
        <v>179.36935336240785</v>
      </c>
      <c r="AH882" s="100">
        <f>IF(ISNUMBER('General Info'!$B$42), (SamplingData[[#This Row],[Running (cumulative) sum]] * ('General Info'!$B$42 -'General Info'!$B$43 + 1)) + 'General Info'!$B$43 - 1, 0)</f>
        <v>45092.684380552455</v>
      </c>
      <c r="AI882" s="100" t="str">
        <f>IF(ISERROR(MATCH(SamplingData[[#This Row],[Batch by Type (p)]],SelectedPrecincts[Batch Name], 0)), "", INDEX(SelectedPrecincts[Draw], MATCH(SamplingData[[#This Row],[Batch by Type (p)]],SelectedPrecincts[Batch Name], 0)))</f>
        <v/>
      </c>
      <c r="AJ882" s="101">
        <f>IF(COUNTIF(SelectedPrecincts[Batch Name],SamplingData[[#This Row],[Batch by Type (p)]]) &lt;&gt; 0, COUNTIF(SelectedPrecincts[Batch Name],SamplingData[[#This Row],[Batch by Type (p)]]), 0)</f>
        <v>0</v>
      </c>
    </row>
    <row r="883" spans="1:36" ht="15" customHeight="1" x14ac:dyDescent="0.35">
      <c r="A883" s="98" t="s">
        <v>1094</v>
      </c>
      <c r="B883" s="98">
        <v>81</v>
      </c>
      <c r="C883" s="98">
        <v>7</v>
      </c>
      <c r="D883" s="93"/>
      <c r="E883" s="93"/>
      <c r="F883" s="93"/>
      <c r="G883" s="97"/>
      <c r="H883" s="97"/>
      <c r="I883" s="93"/>
      <c r="J883" s="93"/>
      <c r="K883" s="93"/>
      <c r="L883" s="93"/>
      <c r="M883" s="93"/>
      <c r="N883" s="98">
        <v>0</v>
      </c>
      <c r="O883" s="98">
        <v>2</v>
      </c>
      <c r="P883" s="99">
        <f>SUM(SamplingData[[#This Row],[Winning Candidate]:[Under Votes]])</f>
        <v>90</v>
      </c>
      <c r="Q883" s="100">
        <f>IF(AND(SamplingData[[#This Row],[Total]]&lt;&gt; 0, NOT(ISBLANK(SamplingData[[#This Row],[Losing Candidate]]))),(SamplingData[[#This Row],[Total]]+SamplingData[[#This Row],[Winning Candidate]]-SamplingData[[#This Row],[Losing Candidate]])/(SamplingData[[#Totals],[Winning Candidate]]-SamplingData[[#Totals],[Losing Candidate]]), 0)</f>
        <v>5.1512391242893489E-3</v>
      </c>
      <c r="R883" s="100">
        <f>IF(AND(SamplingData[[#This Row],[Total]]&lt;&gt; 0, NOT(ISBLANK(SamplingData[[#This Row],[Candidate 3]]))),(SamplingData[[#This Row],[Total]]+SamplingData[[#This Row],[Winning Candidate]]-SamplingData[[#This Row],[Candidate 3]])/(SamplingData[[#Totals],[Winning Candidate]]-SamplingData[[#Totals],[Candidate 3]]), 0)</f>
        <v>0</v>
      </c>
      <c r="S883" s="100">
        <f>IF(AND(SamplingData[[#This Row],[Total]]&lt;&gt; 0, NOT(ISBLANK(SamplingData[[#This Row],[Candidate 4]]))),(SamplingData[[#This Row],[Total]]+SamplingData[[#This Row],[Winning Candidate]]-SamplingData[[#This Row],[Candidate 4]])/(SamplingData[[#Totals],[Winning Candidate]]-SamplingData[[#Totals],[Candidate 4]]), 0)</f>
        <v>0</v>
      </c>
      <c r="T883" s="100">
        <f>IF(AND(SamplingData[[#This Row],[Total]]&lt;&gt; 0, NOT(ISBLANK(SamplingData[[#This Row],[Candidate 5]]))),(SamplingData[[#This Row],[Total]]+SamplingData[[#This Row],[Winning Candidate]]-SamplingData[[#This Row],[Candidate 5]])/(SamplingData[[#Totals],[Winning Candidate]]-SamplingData[[#Totals],[Candidate 5]]), 0)</f>
        <v>0</v>
      </c>
      <c r="U883" s="100">
        <f>IF(AND(SamplingData[[#This Row],[Total]]&lt;&gt; 0, NOT(ISBLANK(SamplingData[[#This Row],[Candidate 6]]))),(SamplingData[[#This Row],[Total]]+SamplingData[[#This Row],[Losing Candidate]]-SamplingData[[#This Row],[Candidate 6]])/(SamplingData[[#Totals],[Winning Candidate]]-SamplingData[[#Totals],[Candidate 6]]), 0)</f>
        <v>0</v>
      </c>
      <c r="V883" s="100">
        <f>IF(AND(SamplingData[[#This Row],[Total]]&lt;&gt; 0, NOT(ISBLANK(SamplingData[[#This Row],[Candidate 7]]))),(SamplingData[[#This Row],[Total]]+SamplingData[[#This Row],[Winning Candidate]]-SamplingData[[#This Row],[Candidate 7]])/(SamplingData[[#Totals],[Winning Candidate]]-SamplingData[[#Totals],[Candidate 7]]), 0)</f>
        <v>0</v>
      </c>
      <c r="W883" s="100">
        <f>IF(AND(SamplingData[[#This Row],[Total]]&lt;&gt; 0, NOT(ISBLANK(SamplingData[[#This Row],[Candidate 8]]))),(SamplingData[[#This Row],[Total]]+SamplingData[[#This Row],[Winning Candidate]]-SamplingData[[#This Row],[Candidate 8]])/(SamplingData[[#Totals],[Winning Candidate]]-SamplingData[[#Totals],[Candidate 8]]), 0)</f>
        <v>0</v>
      </c>
      <c r="X8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00">
        <f>MAX(SamplingData[[#This Row],[Error Bound (up) - Max. possible relative overstatement - Losing Candidate]:[Error Bound (up) - Max. possible relative overstatement - Candidate 12]])</f>
        <v>5.1512391242893489E-3</v>
      </c>
      <c r="AC883" s="100">
        <f>IF(SamplingData[[#This Row],[Max Error Bound (up)]] = 0,0,SamplingData[[#This Row],[Max Error Bound (up)]]/SamplingData[[#Totals],[Max Error Bound (up)]])</f>
        <v>2.2075055187637978E-3</v>
      </c>
      <c r="AD883" s="104">
        <f>SUM($AC$5:AC883)</f>
        <v>0.45314434932428838</v>
      </c>
      <c r="AE883" s="100" t="str" cm="1">
        <f t="array" ref="AE883">IF(SamplingData[[#This Row],[up/U Selection Probability]] = 0, "Zero", TEXT(SamplingData[[#This Row],[Lower Range]], REPT("0",LEN('General Info'!$B$42))) &amp; " - " &amp; TEXT(SamplingData[[#This Row],[Upper Range]], REPT("0",LEN('General Info'!$B$42))))</f>
        <v>45094 - 45313</v>
      </c>
      <c r="AF883" s="100">
        <f>SamplingData[[#This Row],[Upper Range]]-SamplingData[[#This Row],[Span]]</f>
        <v>45093.684380552455</v>
      </c>
      <c r="AG883" s="100">
        <f>IF(ISNUMBER('General Info'!$B$42), ((SamplingData[[#This Row],[up/U Selection Probability]]) * 'General Info'!$B$44) - 1, 0)</f>
        <v>219.75055187637977</v>
      </c>
      <c r="AH883" s="100">
        <f>IF(ISNUMBER('General Info'!$B$42), (SamplingData[[#This Row],[Running (cumulative) sum]] * ('General Info'!$B$42 -'General Info'!$B$43 + 1)) + 'General Info'!$B$43 - 1, 0)</f>
        <v>45313.434932428834</v>
      </c>
      <c r="AI883" s="100" t="str">
        <f>IF(ISERROR(MATCH(SamplingData[[#This Row],[Batch by Type (p)]],SelectedPrecincts[Batch Name], 0)), "", INDEX(SelectedPrecincts[Draw], MATCH(SamplingData[[#This Row],[Batch by Type (p)]],SelectedPrecincts[Batch Name], 0)))</f>
        <v/>
      </c>
      <c r="AJ883" s="101">
        <f>IF(COUNTIF(SelectedPrecincts[Batch Name],SamplingData[[#This Row],[Batch by Type (p)]]) &lt;&gt; 0, COUNTIF(SelectedPrecincts[Batch Name],SamplingData[[#This Row],[Batch by Type (p)]]), 0)</f>
        <v>0</v>
      </c>
    </row>
    <row r="884" spans="1:36" ht="15" customHeight="1" x14ac:dyDescent="0.35">
      <c r="A884" s="98" t="s">
        <v>1095</v>
      </c>
      <c r="B884" s="98">
        <v>92</v>
      </c>
      <c r="C884" s="98">
        <v>10</v>
      </c>
      <c r="D884" s="93"/>
      <c r="E884" s="93"/>
      <c r="F884" s="93"/>
      <c r="G884" s="97"/>
      <c r="H884" s="97"/>
      <c r="I884" s="93"/>
      <c r="J884" s="93"/>
      <c r="K884" s="93"/>
      <c r="L884" s="93"/>
      <c r="M884" s="93"/>
      <c r="N884" s="98">
        <v>0</v>
      </c>
      <c r="O884" s="98">
        <v>0</v>
      </c>
      <c r="P884" s="99">
        <f>SUM(SamplingData[[#This Row],[Winning Candidate]:[Under Votes]])</f>
        <v>102</v>
      </c>
      <c r="Q884" s="100">
        <f>IF(AND(SamplingData[[#This Row],[Total]]&lt;&gt; 0, NOT(ISBLANK(SamplingData[[#This Row],[Losing Candidate]]))),(SamplingData[[#This Row],[Total]]+SamplingData[[#This Row],[Winning Candidate]]-SamplingData[[#This Row],[Losing Candidate]])/(SamplingData[[#Totals],[Winning Candidate]]-SamplingData[[#Totals],[Losing Candidate]]), 0)</f>
        <v>5.7794390174953671E-3</v>
      </c>
      <c r="R884" s="100">
        <f>IF(AND(SamplingData[[#This Row],[Total]]&lt;&gt; 0, NOT(ISBLANK(SamplingData[[#This Row],[Candidate 3]]))),(SamplingData[[#This Row],[Total]]+SamplingData[[#This Row],[Winning Candidate]]-SamplingData[[#This Row],[Candidate 3]])/(SamplingData[[#Totals],[Winning Candidate]]-SamplingData[[#Totals],[Candidate 3]]), 0)</f>
        <v>0</v>
      </c>
      <c r="S884" s="100">
        <f>IF(AND(SamplingData[[#This Row],[Total]]&lt;&gt; 0, NOT(ISBLANK(SamplingData[[#This Row],[Candidate 4]]))),(SamplingData[[#This Row],[Total]]+SamplingData[[#This Row],[Winning Candidate]]-SamplingData[[#This Row],[Candidate 4]])/(SamplingData[[#Totals],[Winning Candidate]]-SamplingData[[#Totals],[Candidate 4]]), 0)</f>
        <v>0</v>
      </c>
      <c r="T884" s="100">
        <f>IF(AND(SamplingData[[#This Row],[Total]]&lt;&gt; 0, NOT(ISBLANK(SamplingData[[#This Row],[Candidate 5]]))),(SamplingData[[#This Row],[Total]]+SamplingData[[#This Row],[Winning Candidate]]-SamplingData[[#This Row],[Candidate 5]])/(SamplingData[[#Totals],[Winning Candidate]]-SamplingData[[#Totals],[Candidate 5]]), 0)</f>
        <v>0</v>
      </c>
      <c r="U884" s="100">
        <f>IF(AND(SamplingData[[#This Row],[Total]]&lt;&gt; 0, NOT(ISBLANK(SamplingData[[#This Row],[Candidate 6]]))),(SamplingData[[#This Row],[Total]]+SamplingData[[#This Row],[Losing Candidate]]-SamplingData[[#This Row],[Candidate 6]])/(SamplingData[[#Totals],[Winning Candidate]]-SamplingData[[#Totals],[Candidate 6]]), 0)</f>
        <v>0</v>
      </c>
      <c r="V884" s="100">
        <f>IF(AND(SamplingData[[#This Row],[Total]]&lt;&gt; 0, NOT(ISBLANK(SamplingData[[#This Row],[Candidate 7]]))),(SamplingData[[#This Row],[Total]]+SamplingData[[#This Row],[Winning Candidate]]-SamplingData[[#This Row],[Candidate 7]])/(SamplingData[[#Totals],[Winning Candidate]]-SamplingData[[#Totals],[Candidate 7]]), 0)</f>
        <v>0</v>
      </c>
      <c r="W884" s="100">
        <f>IF(AND(SamplingData[[#This Row],[Total]]&lt;&gt; 0, NOT(ISBLANK(SamplingData[[#This Row],[Candidate 8]]))),(SamplingData[[#This Row],[Total]]+SamplingData[[#This Row],[Winning Candidate]]-SamplingData[[#This Row],[Candidate 8]])/(SamplingData[[#Totals],[Winning Candidate]]-SamplingData[[#Totals],[Candidate 8]]), 0)</f>
        <v>0</v>
      </c>
      <c r="X8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00">
        <f>MAX(SamplingData[[#This Row],[Error Bound (up) - Max. possible relative overstatement - Losing Candidate]:[Error Bound (up) - Max. possible relative overstatement - Candidate 12]])</f>
        <v>5.7794390174953671E-3</v>
      </c>
      <c r="AC884" s="100">
        <f>IF(SamplingData[[#This Row],[Max Error Bound (up)]] = 0,0,SamplingData[[#This Row],[Max Error Bound (up)]]/SamplingData[[#Totals],[Max Error Bound (up)]])</f>
        <v>2.4767135088569437E-3</v>
      </c>
      <c r="AD884" s="104">
        <f>SUM($AC$5:AC884)</f>
        <v>0.4556210628331453</v>
      </c>
      <c r="AE884" s="100" t="str" cm="1">
        <f t="array" ref="AE884">IF(SamplingData[[#This Row],[up/U Selection Probability]] = 0, "Zero", TEXT(SamplingData[[#This Row],[Lower Range]], REPT("0",LEN('General Info'!$B$42))) &amp; " - " &amp; TEXT(SamplingData[[#This Row],[Upper Range]], REPT("0",LEN('General Info'!$B$42))))</f>
        <v>45314 - 45561</v>
      </c>
      <c r="AF884" s="100">
        <f>SamplingData[[#This Row],[Upper Range]]-SamplingData[[#This Row],[Span]]</f>
        <v>45314.434932428834</v>
      </c>
      <c r="AG884" s="100">
        <f>IF(ISNUMBER('General Info'!$B$42), ((SamplingData[[#This Row],[up/U Selection Probability]]) * 'General Info'!$B$44) - 1, 0)</f>
        <v>246.67135088569438</v>
      </c>
      <c r="AH884" s="100">
        <f>IF(ISNUMBER('General Info'!$B$42), (SamplingData[[#This Row],[Running (cumulative) sum]] * ('General Info'!$B$42 -'General Info'!$B$43 + 1)) + 'General Info'!$B$43 - 1, 0)</f>
        <v>45561.106283314526</v>
      </c>
      <c r="AI884" s="100" t="str">
        <f>IF(ISERROR(MATCH(SamplingData[[#This Row],[Batch by Type (p)]],SelectedPrecincts[Batch Name], 0)), "", INDEX(SelectedPrecincts[Draw], MATCH(SamplingData[[#This Row],[Batch by Type (p)]],SelectedPrecincts[Batch Name], 0)))</f>
        <v/>
      </c>
      <c r="AJ884" s="101">
        <f>IF(COUNTIF(SelectedPrecincts[Batch Name],SamplingData[[#This Row],[Batch by Type (p)]]) &lt;&gt; 0, COUNTIF(SelectedPrecincts[Batch Name],SamplingData[[#This Row],[Batch by Type (p)]]), 0)</f>
        <v>0</v>
      </c>
    </row>
    <row r="885" spans="1:36" ht="15" customHeight="1" x14ac:dyDescent="0.35">
      <c r="A885" s="98" t="s">
        <v>1096</v>
      </c>
      <c r="B885" s="98">
        <v>94</v>
      </c>
      <c r="C885" s="98">
        <v>6</v>
      </c>
      <c r="D885" s="93"/>
      <c r="E885" s="93"/>
      <c r="F885" s="93"/>
      <c r="G885" s="97"/>
      <c r="H885" s="97"/>
      <c r="I885" s="93"/>
      <c r="J885" s="93"/>
      <c r="K885" s="93"/>
      <c r="L885" s="93"/>
      <c r="M885" s="93"/>
      <c r="N885" s="98">
        <v>1</v>
      </c>
      <c r="O885" s="98">
        <v>1</v>
      </c>
      <c r="P885" s="99">
        <f>SUM(SamplingData[[#This Row],[Winning Candidate]:[Under Votes]])</f>
        <v>102</v>
      </c>
      <c r="Q885" s="100">
        <f>IF(AND(SamplingData[[#This Row],[Total]]&lt;&gt; 0, NOT(ISBLANK(SamplingData[[#This Row],[Losing Candidate]]))),(SamplingData[[#This Row],[Total]]+SamplingData[[#This Row],[Winning Candidate]]-SamplingData[[#This Row],[Losing Candidate]])/(SamplingData[[#Totals],[Winning Candidate]]-SamplingData[[#Totals],[Losing Candidate]]), 0)</f>
        <v>5.9678989854571726E-3</v>
      </c>
      <c r="R885" s="100">
        <f>IF(AND(SamplingData[[#This Row],[Total]]&lt;&gt; 0, NOT(ISBLANK(SamplingData[[#This Row],[Candidate 3]]))),(SamplingData[[#This Row],[Total]]+SamplingData[[#This Row],[Winning Candidate]]-SamplingData[[#This Row],[Candidate 3]])/(SamplingData[[#Totals],[Winning Candidate]]-SamplingData[[#Totals],[Candidate 3]]), 0)</f>
        <v>0</v>
      </c>
      <c r="S885" s="100">
        <f>IF(AND(SamplingData[[#This Row],[Total]]&lt;&gt; 0, NOT(ISBLANK(SamplingData[[#This Row],[Candidate 4]]))),(SamplingData[[#This Row],[Total]]+SamplingData[[#This Row],[Winning Candidate]]-SamplingData[[#This Row],[Candidate 4]])/(SamplingData[[#Totals],[Winning Candidate]]-SamplingData[[#Totals],[Candidate 4]]), 0)</f>
        <v>0</v>
      </c>
      <c r="T885" s="100">
        <f>IF(AND(SamplingData[[#This Row],[Total]]&lt;&gt; 0, NOT(ISBLANK(SamplingData[[#This Row],[Candidate 5]]))),(SamplingData[[#This Row],[Total]]+SamplingData[[#This Row],[Winning Candidate]]-SamplingData[[#This Row],[Candidate 5]])/(SamplingData[[#Totals],[Winning Candidate]]-SamplingData[[#Totals],[Candidate 5]]), 0)</f>
        <v>0</v>
      </c>
      <c r="U885" s="100">
        <f>IF(AND(SamplingData[[#This Row],[Total]]&lt;&gt; 0, NOT(ISBLANK(SamplingData[[#This Row],[Candidate 6]]))),(SamplingData[[#This Row],[Total]]+SamplingData[[#This Row],[Losing Candidate]]-SamplingData[[#This Row],[Candidate 6]])/(SamplingData[[#Totals],[Winning Candidate]]-SamplingData[[#Totals],[Candidate 6]]), 0)</f>
        <v>0</v>
      </c>
      <c r="V885" s="100">
        <f>IF(AND(SamplingData[[#This Row],[Total]]&lt;&gt; 0, NOT(ISBLANK(SamplingData[[#This Row],[Candidate 7]]))),(SamplingData[[#This Row],[Total]]+SamplingData[[#This Row],[Winning Candidate]]-SamplingData[[#This Row],[Candidate 7]])/(SamplingData[[#Totals],[Winning Candidate]]-SamplingData[[#Totals],[Candidate 7]]), 0)</f>
        <v>0</v>
      </c>
      <c r="W885" s="100">
        <f>IF(AND(SamplingData[[#This Row],[Total]]&lt;&gt; 0, NOT(ISBLANK(SamplingData[[#This Row],[Candidate 8]]))),(SamplingData[[#This Row],[Total]]+SamplingData[[#This Row],[Winning Candidate]]-SamplingData[[#This Row],[Candidate 8]])/(SamplingData[[#Totals],[Winning Candidate]]-SamplingData[[#Totals],[Candidate 8]]), 0)</f>
        <v>0</v>
      </c>
      <c r="X8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00">
        <f>MAX(SamplingData[[#This Row],[Error Bound (up) - Max. possible relative overstatement - Losing Candidate]:[Error Bound (up) - Max. possible relative overstatement - Candidate 12]])</f>
        <v>5.9678989854571726E-3</v>
      </c>
      <c r="AC885" s="100">
        <f>IF(SamplingData[[#This Row],[Max Error Bound (up)]] = 0,0,SamplingData[[#This Row],[Max Error Bound (up)]]/SamplingData[[#Totals],[Max Error Bound (up)]])</f>
        <v>2.5574759058848875E-3</v>
      </c>
      <c r="AD885" s="104">
        <f>SUM($AC$5:AC885)</f>
        <v>0.45817853873903019</v>
      </c>
      <c r="AE885" s="100" t="str" cm="1">
        <f t="array" ref="AE885">IF(SamplingData[[#This Row],[up/U Selection Probability]] = 0, "Zero", TEXT(SamplingData[[#This Row],[Lower Range]], REPT("0",LEN('General Info'!$B$42))) &amp; " - " &amp; TEXT(SamplingData[[#This Row],[Upper Range]], REPT("0",LEN('General Info'!$B$42))))</f>
        <v>45562 - 45817</v>
      </c>
      <c r="AF885" s="100">
        <f>SamplingData[[#This Row],[Upper Range]]-SamplingData[[#This Row],[Span]]</f>
        <v>45562.106283314533</v>
      </c>
      <c r="AG885" s="100">
        <f>IF(ISNUMBER('General Info'!$B$42), ((SamplingData[[#This Row],[up/U Selection Probability]]) * 'General Info'!$B$44) - 1, 0)</f>
        <v>254.74759058848875</v>
      </c>
      <c r="AH885" s="100">
        <f>IF(ISNUMBER('General Info'!$B$42), (SamplingData[[#This Row],[Running (cumulative) sum]] * ('General Info'!$B$42 -'General Info'!$B$43 + 1)) + 'General Info'!$B$43 - 1, 0)</f>
        <v>45816.853873903019</v>
      </c>
      <c r="AI885" s="100" t="str">
        <f>IF(ISERROR(MATCH(SamplingData[[#This Row],[Batch by Type (p)]],SelectedPrecincts[Batch Name], 0)), "", INDEX(SelectedPrecincts[Draw], MATCH(SamplingData[[#This Row],[Batch by Type (p)]],SelectedPrecincts[Batch Name], 0)))</f>
        <v/>
      </c>
      <c r="AJ885" s="101">
        <f>IF(COUNTIF(SelectedPrecincts[Batch Name],SamplingData[[#This Row],[Batch by Type (p)]]) &lt;&gt; 0, COUNTIF(SelectedPrecincts[Batch Name],SamplingData[[#This Row],[Batch by Type (p)]]), 0)</f>
        <v>0</v>
      </c>
    </row>
    <row r="886" spans="1:36" ht="15" customHeight="1" x14ac:dyDescent="0.35">
      <c r="A886" s="98" t="s">
        <v>1097</v>
      </c>
      <c r="B886" s="98">
        <v>161</v>
      </c>
      <c r="C886" s="98">
        <v>11</v>
      </c>
      <c r="D886" s="93"/>
      <c r="E886" s="93"/>
      <c r="F886" s="93"/>
      <c r="G886" s="97"/>
      <c r="H886" s="97"/>
      <c r="I886" s="93"/>
      <c r="J886" s="93"/>
      <c r="K886" s="93"/>
      <c r="L886" s="93"/>
      <c r="M886" s="93"/>
      <c r="N886" s="98">
        <v>0</v>
      </c>
      <c r="O886" s="98">
        <v>1</v>
      </c>
      <c r="P886" s="99">
        <f>SUM(SamplingData[[#This Row],[Winning Candidate]:[Under Votes]])</f>
        <v>173</v>
      </c>
      <c r="Q886" s="100">
        <f>IF(AND(SamplingData[[#This Row],[Total]]&lt;&gt; 0, NOT(ISBLANK(SamplingData[[#This Row],[Losing Candidate]]))),(SamplingData[[#This Row],[Total]]+SamplingData[[#This Row],[Winning Candidate]]-SamplingData[[#This Row],[Losing Candidate]])/(SamplingData[[#Totals],[Winning Candidate]]-SamplingData[[#Totals],[Losing Candidate]]), 0)</f>
        <v>1.0145428275277193E-2</v>
      </c>
      <c r="R886" s="100">
        <f>IF(AND(SamplingData[[#This Row],[Total]]&lt;&gt; 0, NOT(ISBLANK(SamplingData[[#This Row],[Candidate 3]]))),(SamplingData[[#This Row],[Total]]+SamplingData[[#This Row],[Winning Candidate]]-SamplingData[[#This Row],[Candidate 3]])/(SamplingData[[#Totals],[Winning Candidate]]-SamplingData[[#Totals],[Candidate 3]]), 0)</f>
        <v>0</v>
      </c>
      <c r="S886" s="100">
        <f>IF(AND(SamplingData[[#This Row],[Total]]&lt;&gt; 0, NOT(ISBLANK(SamplingData[[#This Row],[Candidate 4]]))),(SamplingData[[#This Row],[Total]]+SamplingData[[#This Row],[Winning Candidate]]-SamplingData[[#This Row],[Candidate 4]])/(SamplingData[[#Totals],[Winning Candidate]]-SamplingData[[#Totals],[Candidate 4]]), 0)</f>
        <v>0</v>
      </c>
      <c r="T886" s="100">
        <f>IF(AND(SamplingData[[#This Row],[Total]]&lt;&gt; 0, NOT(ISBLANK(SamplingData[[#This Row],[Candidate 5]]))),(SamplingData[[#This Row],[Total]]+SamplingData[[#This Row],[Winning Candidate]]-SamplingData[[#This Row],[Candidate 5]])/(SamplingData[[#Totals],[Winning Candidate]]-SamplingData[[#Totals],[Candidate 5]]), 0)</f>
        <v>0</v>
      </c>
      <c r="U886" s="100">
        <f>IF(AND(SamplingData[[#This Row],[Total]]&lt;&gt; 0, NOT(ISBLANK(SamplingData[[#This Row],[Candidate 6]]))),(SamplingData[[#This Row],[Total]]+SamplingData[[#This Row],[Losing Candidate]]-SamplingData[[#This Row],[Candidate 6]])/(SamplingData[[#Totals],[Winning Candidate]]-SamplingData[[#Totals],[Candidate 6]]), 0)</f>
        <v>0</v>
      </c>
      <c r="V886" s="100">
        <f>IF(AND(SamplingData[[#This Row],[Total]]&lt;&gt; 0, NOT(ISBLANK(SamplingData[[#This Row],[Candidate 7]]))),(SamplingData[[#This Row],[Total]]+SamplingData[[#This Row],[Winning Candidate]]-SamplingData[[#This Row],[Candidate 7]])/(SamplingData[[#Totals],[Winning Candidate]]-SamplingData[[#Totals],[Candidate 7]]), 0)</f>
        <v>0</v>
      </c>
      <c r="W886" s="100">
        <f>IF(AND(SamplingData[[#This Row],[Total]]&lt;&gt; 0, NOT(ISBLANK(SamplingData[[#This Row],[Candidate 8]]))),(SamplingData[[#This Row],[Total]]+SamplingData[[#This Row],[Winning Candidate]]-SamplingData[[#This Row],[Candidate 8]])/(SamplingData[[#Totals],[Winning Candidate]]-SamplingData[[#Totals],[Candidate 8]]), 0)</f>
        <v>0</v>
      </c>
      <c r="X8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00">
        <f>MAX(SamplingData[[#This Row],[Error Bound (up) - Max. possible relative overstatement - Losing Candidate]:[Error Bound (up) - Max. possible relative overstatement - Candidate 12]])</f>
        <v>1.0145428275277193E-2</v>
      </c>
      <c r="AC886" s="100">
        <f>IF(SamplingData[[#This Row],[Max Error Bound (up)]] = 0,0,SamplingData[[#This Row],[Max Error Bound (up)]]/SamplingData[[#Totals],[Max Error Bound (up)]])</f>
        <v>4.3477090400043088E-3</v>
      </c>
      <c r="AD886" s="104">
        <f>SUM($AC$5:AC886)</f>
        <v>0.46252624777903451</v>
      </c>
      <c r="AE886" s="100" t="str" cm="1">
        <f t="array" ref="AE886">IF(SamplingData[[#This Row],[up/U Selection Probability]] = 0, "Zero", TEXT(SamplingData[[#This Row],[Lower Range]], REPT("0",LEN('General Info'!$B$42))) &amp; " - " &amp; TEXT(SamplingData[[#This Row],[Upper Range]], REPT("0",LEN('General Info'!$B$42))))</f>
        <v>45818 - 46252</v>
      </c>
      <c r="AF886" s="100">
        <f>SamplingData[[#This Row],[Upper Range]]-SamplingData[[#This Row],[Span]]</f>
        <v>45817.853873903019</v>
      </c>
      <c r="AG886" s="100">
        <f>IF(ISNUMBER('General Info'!$B$42), ((SamplingData[[#This Row],[up/U Selection Probability]]) * 'General Info'!$B$44) - 1, 0)</f>
        <v>433.7709040004309</v>
      </c>
      <c r="AH886" s="100">
        <f>IF(ISNUMBER('General Info'!$B$42), (SamplingData[[#This Row],[Running (cumulative) sum]] * ('General Info'!$B$42 -'General Info'!$B$43 + 1)) + 'General Info'!$B$43 - 1, 0)</f>
        <v>46251.624777903453</v>
      </c>
      <c r="AI886" s="100" t="str">
        <f>IF(ISERROR(MATCH(SamplingData[[#This Row],[Batch by Type (p)]],SelectedPrecincts[Batch Name], 0)), "", INDEX(SelectedPrecincts[Draw], MATCH(SamplingData[[#This Row],[Batch by Type (p)]],SelectedPrecincts[Batch Name], 0)))</f>
        <v/>
      </c>
      <c r="AJ886" s="101">
        <f>IF(COUNTIF(SelectedPrecincts[Batch Name],SamplingData[[#This Row],[Batch by Type (p)]]) &lt;&gt; 0, COUNTIF(SelectedPrecincts[Batch Name],SamplingData[[#This Row],[Batch by Type (p)]]), 0)</f>
        <v>0</v>
      </c>
    </row>
    <row r="887" spans="1:36" ht="15" customHeight="1" x14ac:dyDescent="0.35">
      <c r="A887" s="98" t="s">
        <v>1098</v>
      </c>
      <c r="B887" s="98">
        <v>106</v>
      </c>
      <c r="C887" s="98">
        <v>14</v>
      </c>
      <c r="D887" s="93"/>
      <c r="E887" s="93"/>
      <c r="F887" s="93"/>
      <c r="G887" s="97"/>
      <c r="H887" s="97"/>
      <c r="I887" s="93"/>
      <c r="J887" s="93"/>
      <c r="K887" s="93"/>
      <c r="L887" s="93"/>
      <c r="M887" s="93"/>
      <c r="N887" s="98">
        <v>0</v>
      </c>
      <c r="O887" s="98">
        <v>2</v>
      </c>
      <c r="P887" s="99">
        <f>SUM(SamplingData[[#This Row],[Winning Candidate]:[Under Votes]])</f>
        <v>122</v>
      </c>
      <c r="Q887" s="100">
        <f>IF(AND(SamplingData[[#This Row],[Total]]&lt;&gt; 0, NOT(ISBLANK(SamplingData[[#This Row],[Losing Candidate]]))),(SamplingData[[#This Row],[Total]]+SamplingData[[#This Row],[Winning Candidate]]-SamplingData[[#This Row],[Losing Candidate]])/(SamplingData[[#Totals],[Winning Candidate]]-SamplingData[[#Totals],[Losing Candidate]]), 0)</f>
        <v>6.7217388573043947E-3</v>
      </c>
      <c r="R887" s="100">
        <f>IF(AND(SamplingData[[#This Row],[Total]]&lt;&gt; 0, NOT(ISBLANK(SamplingData[[#This Row],[Candidate 3]]))),(SamplingData[[#This Row],[Total]]+SamplingData[[#This Row],[Winning Candidate]]-SamplingData[[#This Row],[Candidate 3]])/(SamplingData[[#Totals],[Winning Candidate]]-SamplingData[[#Totals],[Candidate 3]]), 0)</f>
        <v>0</v>
      </c>
      <c r="S887" s="100">
        <f>IF(AND(SamplingData[[#This Row],[Total]]&lt;&gt; 0, NOT(ISBLANK(SamplingData[[#This Row],[Candidate 4]]))),(SamplingData[[#This Row],[Total]]+SamplingData[[#This Row],[Winning Candidate]]-SamplingData[[#This Row],[Candidate 4]])/(SamplingData[[#Totals],[Winning Candidate]]-SamplingData[[#Totals],[Candidate 4]]), 0)</f>
        <v>0</v>
      </c>
      <c r="T887" s="100">
        <f>IF(AND(SamplingData[[#This Row],[Total]]&lt;&gt; 0, NOT(ISBLANK(SamplingData[[#This Row],[Candidate 5]]))),(SamplingData[[#This Row],[Total]]+SamplingData[[#This Row],[Winning Candidate]]-SamplingData[[#This Row],[Candidate 5]])/(SamplingData[[#Totals],[Winning Candidate]]-SamplingData[[#Totals],[Candidate 5]]), 0)</f>
        <v>0</v>
      </c>
      <c r="U887" s="100">
        <f>IF(AND(SamplingData[[#This Row],[Total]]&lt;&gt; 0, NOT(ISBLANK(SamplingData[[#This Row],[Candidate 6]]))),(SamplingData[[#This Row],[Total]]+SamplingData[[#This Row],[Losing Candidate]]-SamplingData[[#This Row],[Candidate 6]])/(SamplingData[[#Totals],[Winning Candidate]]-SamplingData[[#Totals],[Candidate 6]]), 0)</f>
        <v>0</v>
      </c>
      <c r="V887" s="100">
        <f>IF(AND(SamplingData[[#This Row],[Total]]&lt;&gt; 0, NOT(ISBLANK(SamplingData[[#This Row],[Candidate 7]]))),(SamplingData[[#This Row],[Total]]+SamplingData[[#This Row],[Winning Candidate]]-SamplingData[[#This Row],[Candidate 7]])/(SamplingData[[#Totals],[Winning Candidate]]-SamplingData[[#Totals],[Candidate 7]]), 0)</f>
        <v>0</v>
      </c>
      <c r="W887" s="100">
        <f>IF(AND(SamplingData[[#This Row],[Total]]&lt;&gt; 0, NOT(ISBLANK(SamplingData[[#This Row],[Candidate 8]]))),(SamplingData[[#This Row],[Total]]+SamplingData[[#This Row],[Winning Candidate]]-SamplingData[[#This Row],[Candidate 8]])/(SamplingData[[#Totals],[Winning Candidate]]-SamplingData[[#Totals],[Candidate 8]]), 0)</f>
        <v>0</v>
      </c>
      <c r="X8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00">
        <f>MAX(SamplingData[[#This Row],[Error Bound (up) - Max. possible relative overstatement - Losing Candidate]:[Error Bound (up) - Max. possible relative overstatement - Candidate 12]])</f>
        <v>6.7217388573043947E-3</v>
      </c>
      <c r="AC887" s="100">
        <f>IF(SamplingData[[#This Row],[Max Error Bound (up)]] = 0,0,SamplingData[[#This Row],[Max Error Bound (up)]]/SamplingData[[#Totals],[Max Error Bound (up)]])</f>
        <v>2.8805254939966631E-3</v>
      </c>
      <c r="AD887" s="104">
        <f>SUM($AC$5:AC887)</f>
        <v>0.46540677327303115</v>
      </c>
      <c r="AE887" s="100" t="str" cm="1">
        <f t="array" ref="AE887">IF(SamplingData[[#This Row],[up/U Selection Probability]] = 0, "Zero", TEXT(SamplingData[[#This Row],[Lower Range]], REPT("0",LEN('General Info'!$B$42))) &amp; " - " &amp; TEXT(SamplingData[[#This Row],[Upper Range]], REPT("0",LEN('General Info'!$B$42))))</f>
        <v>46253 - 46540</v>
      </c>
      <c r="AF887" s="100">
        <f>SamplingData[[#This Row],[Upper Range]]-SamplingData[[#This Row],[Span]]</f>
        <v>46252.624777903446</v>
      </c>
      <c r="AG887" s="100">
        <f>IF(ISNUMBER('General Info'!$B$42), ((SamplingData[[#This Row],[up/U Selection Probability]]) * 'General Info'!$B$44) - 1, 0)</f>
        <v>287.0525493996663</v>
      </c>
      <c r="AH887" s="100">
        <f>IF(ISNUMBER('General Info'!$B$42), (SamplingData[[#This Row],[Running (cumulative) sum]] * ('General Info'!$B$42 -'General Info'!$B$43 + 1)) + 'General Info'!$B$43 - 1, 0)</f>
        <v>46539.677327303114</v>
      </c>
      <c r="AI887" s="100" t="str">
        <f>IF(ISERROR(MATCH(SamplingData[[#This Row],[Batch by Type (p)]],SelectedPrecincts[Batch Name], 0)), "", INDEX(SelectedPrecincts[Draw], MATCH(SamplingData[[#This Row],[Batch by Type (p)]],SelectedPrecincts[Batch Name], 0)))</f>
        <v/>
      </c>
      <c r="AJ887" s="101">
        <f>IF(COUNTIF(SelectedPrecincts[Batch Name],SamplingData[[#This Row],[Batch by Type (p)]]) &lt;&gt; 0, COUNTIF(SelectedPrecincts[Batch Name],SamplingData[[#This Row],[Batch by Type (p)]]), 0)</f>
        <v>0</v>
      </c>
    </row>
    <row r="888" spans="1:36" ht="15" customHeight="1" x14ac:dyDescent="0.35">
      <c r="A888" s="98" t="s">
        <v>1099</v>
      </c>
      <c r="B888" s="98">
        <v>119</v>
      </c>
      <c r="C888" s="98">
        <v>7</v>
      </c>
      <c r="D888" s="93"/>
      <c r="E888" s="93"/>
      <c r="F888" s="93"/>
      <c r="G888" s="97"/>
      <c r="H888" s="97"/>
      <c r="I888" s="93"/>
      <c r="J888" s="93"/>
      <c r="K888" s="93"/>
      <c r="L888" s="93"/>
      <c r="M888" s="93"/>
      <c r="N888" s="98">
        <v>0</v>
      </c>
      <c r="O888" s="98">
        <v>0</v>
      </c>
      <c r="P888" s="99">
        <f>SUM(SamplingData[[#This Row],[Winning Candidate]:[Under Votes]])</f>
        <v>126</v>
      </c>
      <c r="Q888" s="100">
        <f>IF(AND(SamplingData[[#This Row],[Total]]&lt;&gt; 0, NOT(ISBLANK(SamplingData[[#This Row],[Losing Candidate]]))),(SamplingData[[#This Row],[Total]]+SamplingData[[#This Row],[Winning Candidate]]-SamplingData[[#This Row],[Losing Candidate]])/(SamplingData[[#Totals],[Winning Candidate]]-SamplingData[[#Totals],[Losing Candidate]]), 0)</f>
        <v>7.4755787291516159E-3</v>
      </c>
      <c r="R888" s="100">
        <f>IF(AND(SamplingData[[#This Row],[Total]]&lt;&gt; 0, NOT(ISBLANK(SamplingData[[#This Row],[Candidate 3]]))),(SamplingData[[#This Row],[Total]]+SamplingData[[#This Row],[Winning Candidate]]-SamplingData[[#This Row],[Candidate 3]])/(SamplingData[[#Totals],[Winning Candidate]]-SamplingData[[#Totals],[Candidate 3]]), 0)</f>
        <v>0</v>
      </c>
      <c r="S888" s="100">
        <f>IF(AND(SamplingData[[#This Row],[Total]]&lt;&gt; 0, NOT(ISBLANK(SamplingData[[#This Row],[Candidate 4]]))),(SamplingData[[#This Row],[Total]]+SamplingData[[#This Row],[Winning Candidate]]-SamplingData[[#This Row],[Candidate 4]])/(SamplingData[[#Totals],[Winning Candidate]]-SamplingData[[#Totals],[Candidate 4]]), 0)</f>
        <v>0</v>
      </c>
      <c r="T888" s="100">
        <f>IF(AND(SamplingData[[#This Row],[Total]]&lt;&gt; 0, NOT(ISBLANK(SamplingData[[#This Row],[Candidate 5]]))),(SamplingData[[#This Row],[Total]]+SamplingData[[#This Row],[Winning Candidate]]-SamplingData[[#This Row],[Candidate 5]])/(SamplingData[[#Totals],[Winning Candidate]]-SamplingData[[#Totals],[Candidate 5]]), 0)</f>
        <v>0</v>
      </c>
      <c r="U888" s="100">
        <f>IF(AND(SamplingData[[#This Row],[Total]]&lt;&gt; 0, NOT(ISBLANK(SamplingData[[#This Row],[Candidate 6]]))),(SamplingData[[#This Row],[Total]]+SamplingData[[#This Row],[Losing Candidate]]-SamplingData[[#This Row],[Candidate 6]])/(SamplingData[[#Totals],[Winning Candidate]]-SamplingData[[#Totals],[Candidate 6]]), 0)</f>
        <v>0</v>
      </c>
      <c r="V888" s="100">
        <f>IF(AND(SamplingData[[#This Row],[Total]]&lt;&gt; 0, NOT(ISBLANK(SamplingData[[#This Row],[Candidate 7]]))),(SamplingData[[#This Row],[Total]]+SamplingData[[#This Row],[Winning Candidate]]-SamplingData[[#This Row],[Candidate 7]])/(SamplingData[[#Totals],[Winning Candidate]]-SamplingData[[#Totals],[Candidate 7]]), 0)</f>
        <v>0</v>
      </c>
      <c r="W888" s="100">
        <f>IF(AND(SamplingData[[#This Row],[Total]]&lt;&gt; 0, NOT(ISBLANK(SamplingData[[#This Row],[Candidate 8]]))),(SamplingData[[#This Row],[Total]]+SamplingData[[#This Row],[Winning Candidate]]-SamplingData[[#This Row],[Candidate 8]])/(SamplingData[[#Totals],[Winning Candidate]]-SamplingData[[#Totals],[Candidate 8]]), 0)</f>
        <v>0</v>
      </c>
      <c r="X8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00">
        <f>MAX(SamplingData[[#This Row],[Error Bound (up) - Max. possible relative overstatement - Losing Candidate]:[Error Bound (up) - Max. possible relative overstatement - Candidate 12]])</f>
        <v>7.4755787291516159E-3</v>
      </c>
      <c r="AC888" s="100">
        <f>IF(SamplingData[[#This Row],[Max Error Bound (up)]] = 0,0,SamplingData[[#This Row],[Max Error Bound (up)]]/SamplingData[[#Totals],[Max Error Bound (up)]])</f>
        <v>3.2035750821084383E-3</v>
      </c>
      <c r="AD888" s="104">
        <f>SUM($AC$5:AC888)</f>
        <v>0.46861034835513959</v>
      </c>
      <c r="AE888" s="100" t="str" cm="1">
        <f t="array" ref="AE888">IF(SamplingData[[#This Row],[up/U Selection Probability]] = 0, "Zero", TEXT(SamplingData[[#This Row],[Lower Range]], REPT("0",LEN('General Info'!$B$42))) &amp; " - " &amp; TEXT(SamplingData[[#This Row],[Upper Range]], REPT("0",LEN('General Info'!$B$42))))</f>
        <v>46541 - 46860</v>
      </c>
      <c r="AF888" s="100">
        <f>SamplingData[[#This Row],[Upper Range]]-SamplingData[[#This Row],[Span]]</f>
        <v>46540.677327303114</v>
      </c>
      <c r="AG888" s="100">
        <f>IF(ISNUMBER('General Info'!$B$42), ((SamplingData[[#This Row],[up/U Selection Probability]]) * 'General Info'!$B$44) - 1, 0)</f>
        <v>319.35750821084383</v>
      </c>
      <c r="AH888" s="100">
        <f>IF(ISNUMBER('General Info'!$B$42), (SamplingData[[#This Row],[Running (cumulative) sum]] * ('General Info'!$B$42 -'General Info'!$B$43 + 1)) + 'General Info'!$B$43 - 1, 0)</f>
        <v>46860.034835513958</v>
      </c>
      <c r="AI888" s="100" t="str">
        <f>IF(ISERROR(MATCH(SamplingData[[#This Row],[Batch by Type (p)]],SelectedPrecincts[Batch Name], 0)), "", INDEX(SelectedPrecincts[Draw], MATCH(SamplingData[[#This Row],[Batch by Type (p)]],SelectedPrecincts[Batch Name], 0)))</f>
        <v/>
      </c>
      <c r="AJ888" s="101">
        <f>IF(COUNTIF(SelectedPrecincts[Batch Name],SamplingData[[#This Row],[Batch by Type (p)]]) &lt;&gt; 0, COUNTIF(SelectedPrecincts[Batch Name],SamplingData[[#This Row],[Batch by Type (p)]]), 0)</f>
        <v>0</v>
      </c>
    </row>
    <row r="889" spans="1:36" ht="15" customHeight="1" x14ac:dyDescent="0.35">
      <c r="A889" s="98" t="s">
        <v>1100</v>
      </c>
      <c r="B889" s="98">
        <v>123</v>
      </c>
      <c r="C889" s="98">
        <v>30</v>
      </c>
      <c r="D889" s="93"/>
      <c r="E889" s="93"/>
      <c r="F889" s="93"/>
      <c r="G889" s="97"/>
      <c r="H889" s="97"/>
      <c r="I889" s="93"/>
      <c r="J889" s="93"/>
      <c r="K889" s="93"/>
      <c r="L889" s="93"/>
      <c r="M889" s="93"/>
      <c r="N889" s="98">
        <v>1</v>
      </c>
      <c r="O889" s="98">
        <v>0</v>
      </c>
      <c r="P889" s="99">
        <f>SUM(SamplingData[[#This Row],[Winning Candidate]:[Under Votes]])</f>
        <v>154</v>
      </c>
      <c r="Q889" s="100">
        <f>IF(AND(SamplingData[[#This Row],[Total]]&lt;&gt; 0, NOT(ISBLANK(SamplingData[[#This Row],[Losing Candidate]]))),(SamplingData[[#This Row],[Total]]+SamplingData[[#This Row],[Winning Candidate]]-SamplingData[[#This Row],[Losing Candidate]])/(SamplingData[[#Totals],[Winning Candidate]]-SamplingData[[#Totals],[Losing Candidate]]), 0)</f>
        <v>7.7582686810943246E-3</v>
      </c>
      <c r="R889" s="100">
        <f>IF(AND(SamplingData[[#This Row],[Total]]&lt;&gt; 0, NOT(ISBLANK(SamplingData[[#This Row],[Candidate 3]]))),(SamplingData[[#This Row],[Total]]+SamplingData[[#This Row],[Winning Candidate]]-SamplingData[[#This Row],[Candidate 3]])/(SamplingData[[#Totals],[Winning Candidate]]-SamplingData[[#Totals],[Candidate 3]]), 0)</f>
        <v>0</v>
      </c>
      <c r="S889" s="100">
        <f>IF(AND(SamplingData[[#This Row],[Total]]&lt;&gt; 0, NOT(ISBLANK(SamplingData[[#This Row],[Candidate 4]]))),(SamplingData[[#This Row],[Total]]+SamplingData[[#This Row],[Winning Candidate]]-SamplingData[[#This Row],[Candidate 4]])/(SamplingData[[#Totals],[Winning Candidate]]-SamplingData[[#Totals],[Candidate 4]]), 0)</f>
        <v>0</v>
      </c>
      <c r="T889" s="100">
        <f>IF(AND(SamplingData[[#This Row],[Total]]&lt;&gt; 0, NOT(ISBLANK(SamplingData[[#This Row],[Candidate 5]]))),(SamplingData[[#This Row],[Total]]+SamplingData[[#This Row],[Winning Candidate]]-SamplingData[[#This Row],[Candidate 5]])/(SamplingData[[#Totals],[Winning Candidate]]-SamplingData[[#Totals],[Candidate 5]]), 0)</f>
        <v>0</v>
      </c>
      <c r="U889" s="100">
        <f>IF(AND(SamplingData[[#This Row],[Total]]&lt;&gt; 0, NOT(ISBLANK(SamplingData[[#This Row],[Candidate 6]]))),(SamplingData[[#This Row],[Total]]+SamplingData[[#This Row],[Losing Candidate]]-SamplingData[[#This Row],[Candidate 6]])/(SamplingData[[#Totals],[Winning Candidate]]-SamplingData[[#Totals],[Candidate 6]]), 0)</f>
        <v>0</v>
      </c>
      <c r="V889" s="100">
        <f>IF(AND(SamplingData[[#This Row],[Total]]&lt;&gt; 0, NOT(ISBLANK(SamplingData[[#This Row],[Candidate 7]]))),(SamplingData[[#This Row],[Total]]+SamplingData[[#This Row],[Winning Candidate]]-SamplingData[[#This Row],[Candidate 7]])/(SamplingData[[#Totals],[Winning Candidate]]-SamplingData[[#Totals],[Candidate 7]]), 0)</f>
        <v>0</v>
      </c>
      <c r="W889" s="100">
        <f>IF(AND(SamplingData[[#This Row],[Total]]&lt;&gt; 0, NOT(ISBLANK(SamplingData[[#This Row],[Candidate 8]]))),(SamplingData[[#This Row],[Total]]+SamplingData[[#This Row],[Winning Candidate]]-SamplingData[[#This Row],[Candidate 8]])/(SamplingData[[#Totals],[Winning Candidate]]-SamplingData[[#Totals],[Candidate 8]]), 0)</f>
        <v>0</v>
      </c>
      <c r="X8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00">
        <f>MAX(SamplingData[[#This Row],[Error Bound (up) - Max. possible relative overstatement - Losing Candidate]:[Error Bound (up) - Max. possible relative overstatement - Candidate 12]])</f>
        <v>7.7582686810943246E-3</v>
      </c>
      <c r="AC889" s="100">
        <f>IF(SamplingData[[#This Row],[Max Error Bound (up)]] = 0,0,SamplingData[[#This Row],[Max Error Bound (up)]]/SamplingData[[#Totals],[Max Error Bound (up)]])</f>
        <v>3.3247186776503542E-3</v>
      </c>
      <c r="AD889" s="104">
        <f>SUM($AC$5:AC889)</f>
        <v>0.47193506703278992</v>
      </c>
      <c r="AE889" s="100" t="str" cm="1">
        <f t="array" ref="AE889">IF(SamplingData[[#This Row],[up/U Selection Probability]] = 0, "Zero", TEXT(SamplingData[[#This Row],[Lower Range]], REPT("0",LEN('General Info'!$B$42))) &amp; " - " &amp; TEXT(SamplingData[[#This Row],[Upper Range]], REPT("0",LEN('General Info'!$B$42))))</f>
        <v>46861 - 47193</v>
      </c>
      <c r="AF889" s="100">
        <f>SamplingData[[#This Row],[Upper Range]]-SamplingData[[#This Row],[Span]]</f>
        <v>46861.034835513958</v>
      </c>
      <c r="AG889" s="100">
        <f>IF(ISNUMBER('General Info'!$B$42), ((SamplingData[[#This Row],[up/U Selection Probability]]) * 'General Info'!$B$44) - 1, 0)</f>
        <v>331.47186776503543</v>
      </c>
      <c r="AH889" s="100">
        <f>IF(ISNUMBER('General Info'!$B$42), (SamplingData[[#This Row],[Running (cumulative) sum]] * ('General Info'!$B$42 -'General Info'!$B$43 + 1)) + 'General Info'!$B$43 - 1, 0)</f>
        <v>47192.506703278996</v>
      </c>
      <c r="AI889" s="100" t="str">
        <f>IF(ISERROR(MATCH(SamplingData[[#This Row],[Batch by Type (p)]],SelectedPrecincts[Batch Name], 0)), "", INDEX(SelectedPrecincts[Draw], MATCH(SamplingData[[#This Row],[Batch by Type (p)]],SelectedPrecincts[Batch Name], 0)))</f>
        <v/>
      </c>
      <c r="AJ889" s="101">
        <f>IF(COUNTIF(SelectedPrecincts[Batch Name],SamplingData[[#This Row],[Batch by Type (p)]]) &lt;&gt; 0, COUNTIF(SelectedPrecincts[Batch Name],SamplingData[[#This Row],[Batch by Type (p)]]), 0)</f>
        <v>0</v>
      </c>
    </row>
    <row r="890" spans="1:36" ht="15" customHeight="1" x14ac:dyDescent="0.35">
      <c r="A890" s="98" t="s">
        <v>1101</v>
      </c>
      <c r="B890" s="98">
        <v>107</v>
      </c>
      <c r="C890" s="98">
        <v>18</v>
      </c>
      <c r="D890" s="93"/>
      <c r="E890" s="93"/>
      <c r="F890" s="93"/>
      <c r="G890" s="97"/>
      <c r="H890" s="97"/>
      <c r="I890" s="93"/>
      <c r="J890" s="93"/>
      <c r="K890" s="93"/>
      <c r="L890" s="93"/>
      <c r="M890" s="93"/>
      <c r="N890" s="98">
        <v>0</v>
      </c>
      <c r="O890" s="98">
        <v>3</v>
      </c>
      <c r="P890" s="99">
        <f>SUM(SamplingData[[#This Row],[Winning Candidate]:[Under Votes]])</f>
        <v>128</v>
      </c>
      <c r="Q890" s="100">
        <f>IF(AND(SamplingData[[#This Row],[Total]]&lt;&gt; 0, NOT(ISBLANK(SamplingData[[#This Row],[Losing Candidate]]))),(SamplingData[[#This Row],[Total]]+SamplingData[[#This Row],[Winning Candidate]]-SamplingData[[#This Row],[Losing Candidate]])/(SamplingData[[#Totals],[Winning Candidate]]-SamplingData[[#Totals],[Losing Candidate]]), 0)</f>
        <v>6.815968841285297E-3</v>
      </c>
      <c r="R890" s="100">
        <f>IF(AND(SamplingData[[#This Row],[Total]]&lt;&gt; 0, NOT(ISBLANK(SamplingData[[#This Row],[Candidate 3]]))),(SamplingData[[#This Row],[Total]]+SamplingData[[#This Row],[Winning Candidate]]-SamplingData[[#This Row],[Candidate 3]])/(SamplingData[[#Totals],[Winning Candidate]]-SamplingData[[#Totals],[Candidate 3]]), 0)</f>
        <v>0</v>
      </c>
      <c r="S890" s="100">
        <f>IF(AND(SamplingData[[#This Row],[Total]]&lt;&gt; 0, NOT(ISBLANK(SamplingData[[#This Row],[Candidate 4]]))),(SamplingData[[#This Row],[Total]]+SamplingData[[#This Row],[Winning Candidate]]-SamplingData[[#This Row],[Candidate 4]])/(SamplingData[[#Totals],[Winning Candidate]]-SamplingData[[#Totals],[Candidate 4]]), 0)</f>
        <v>0</v>
      </c>
      <c r="T890" s="100">
        <f>IF(AND(SamplingData[[#This Row],[Total]]&lt;&gt; 0, NOT(ISBLANK(SamplingData[[#This Row],[Candidate 5]]))),(SamplingData[[#This Row],[Total]]+SamplingData[[#This Row],[Winning Candidate]]-SamplingData[[#This Row],[Candidate 5]])/(SamplingData[[#Totals],[Winning Candidate]]-SamplingData[[#Totals],[Candidate 5]]), 0)</f>
        <v>0</v>
      </c>
      <c r="U890" s="100">
        <f>IF(AND(SamplingData[[#This Row],[Total]]&lt;&gt; 0, NOT(ISBLANK(SamplingData[[#This Row],[Candidate 6]]))),(SamplingData[[#This Row],[Total]]+SamplingData[[#This Row],[Losing Candidate]]-SamplingData[[#This Row],[Candidate 6]])/(SamplingData[[#Totals],[Winning Candidate]]-SamplingData[[#Totals],[Candidate 6]]), 0)</f>
        <v>0</v>
      </c>
      <c r="V890" s="100">
        <f>IF(AND(SamplingData[[#This Row],[Total]]&lt;&gt; 0, NOT(ISBLANK(SamplingData[[#This Row],[Candidate 7]]))),(SamplingData[[#This Row],[Total]]+SamplingData[[#This Row],[Winning Candidate]]-SamplingData[[#This Row],[Candidate 7]])/(SamplingData[[#Totals],[Winning Candidate]]-SamplingData[[#Totals],[Candidate 7]]), 0)</f>
        <v>0</v>
      </c>
      <c r="W890" s="100">
        <f>IF(AND(SamplingData[[#This Row],[Total]]&lt;&gt; 0, NOT(ISBLANK(SamplingData[[#This Row],[Candidate 8]]))),(SamplingData[[#This Row],[Total]]+SamplingData[[#This Row],[Winning Candidate]]-SamplingData[[#This Row],[Candidate 8]])/(SamplingData[[#Totals],[Winning Candidate]]-SamplingData[[#Totals],[Candidate 8]]), 0)</f>
        <v>0</v>
      </c>
      <c r="X8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00">
        <f>MAX(SamplingData[[#This Row],[Error Bound (up) - Max. possible relative overstatement - Losing Candidate]:[Error Bound (up) - Max. possible relative overstatement - Candidate 12]])</f>
        <v>6.815968841285297E-3</v>
      </c>
      <c r="AC890" s="100">
        <f>IF(SamplingData[[#This Row],[Max Error Bound (up)]] = 0,0,SamplingData[[#This Row],[Max Error Bound (up)]]/SamplingData[[#Totals],[Max Error Bound (up)]])</f>
        <v>2.9209066925106348E-3</v>
      </c>
      <c r="AD890" s="104">
        <f>SUM($AC$5:AC890)</f>
        <v>0.47485597372530058</v>
      </c>
      <c r="AE890" s="100" t="str" cm="1">
        <f t="array" ref="AE890">IF(SamplingData[[#This Row],[up/U Selection Probability]] = 0, "Zero", TEXT(SamplingData[[#This Row],[Lower Range]], REPT("0",LEN('General Info'!$B$42))) &amp; " - " &amp; TEXT(SamplingData[[#This Row],[Upper Range]], REPT("0",LEN('General Info'!$B$42))))</f>
        <v>47194 - 47485</v>
      </c>
      <c r="AF890" s="100">
        <f>SamplingData[[#This Row],[Upper Range]]-SamplingData[[#This Row],[Span]]</f>
        <v>47193.506703278996</v>
      </c>
      <c r="AG890" s="100">
        <f>IF(ISNUMBER('General Info'!$B$42), ((SamplingData[[#This Row],[up/U Selection Probability]]) * 'General Info'!$B$44) - 1, 0)</f>
        <v>291.0906692510635</v>
      </c>
      <c r="AH890" s="100">
        <f>IF(ISNUMBER('General Info'!$B$42), (SamplingData[[#This Row],[Running (cumulative) sum]] * ('General Info'!$B$42 -'General Info'!$B$43 + 1)) + 'General Info'!$B$43 - 1, 0)</f>
        <v>47484.597372530057</v>
      </c>
      <c r="AI890" s="100" t="str">
        <f>IF(ISERROR(MATCH(SamplingData[[#This Row],[Batch by Type (p)]],SelectedPrecincts[Batch Name], 0)), "", INDEX(SelectedPrecincts[Draw], MATCH(SamplingData[[#This Row],[Batch by Type (p)]],SelectedPrecincts[Batch Name], 0)))</f>
        <v/>
      </c>
      <c r="AJ890" s="101">
        <f>IF(COUNTIF(SelectedPrecincts[Batch Name],SamplingData[[#This Row],[Batch by Type (p)]]) &lt;&gt; 0, COUNTIF(SelectedPrecincts[Batch Name],SamplingData[[#This Row],[Batch by Type (p)]]), 0)</f>
        <v>0</v>
      </c>
    </row>
    <row r="891" spans="1:36" ht="15" customHeight="1" x14ac:dyDescent="0.35">
      <c r="A891" s="98" t="s">
        <v>1102</v>
      </c>
      <c r="B891" s="98">
        <v>97</v>
      </c>
      <c r="C891" s="98">
        <v>8</v>
      </c>
      <c r="D891" s="93"/>
      <c r="E891" s="93"/>
      <c r="F891" s="93"/>
      <c r="G891" s="97"/>
      <c r="H891" s="97"/>
      <c r="I891" s="93"/>
      <c r="J891" s="93"/>
      <c r="K891" s="93"/>
      <c r="L891" s="93"/>
      <c r="M891" s="93"/>
      <c r="N891" s="98">
        <v>0</v>
      </c>
      <c r="O891" s="98">
        <v>0</v>
      </c>
      <c r="P891" s="99">
        <f>SUM(SamplingData[[#This Row],[Winning Candidate]:[Under Votes]])</f>
        <v>105</v>
      </c>
      <c r="Q891" s="100">
        <f>IF(AND(SamplingData[[#This Row],[Total]]&lt;&gt; 0, NOT(ISBLANK(SamplingData[[#This Row],[Losing Candidate]]))),(SamplingData[[#This Row],[Total]]+SamplingData[[#This Row],[Winning Candidate]]-SamplingData[[#This Row],[Losing Candidate]])/(SamplingData[[#Totals],[Winning Candidate]]-SamplingData[[#Totals],[Losing Candidate]]), 0)</f>
        <v>6.0935389640983757E-3</v>
      </c>
      <c r="R891" s="100">
        <f>IF(AND(SamplingData[[#This Row],[Total]]&lt;&gt; 0, NOT(ISBLANK(SamplingData[[#This Row],[Candidate 3]]))),(SamplingData[[#This Row],[Total]]+SamplingData[[#This Row],[Winning Candidate]]-SamplingData[[#This Row],[Candidate 3]])/(SamplingData[[#Totals],[Winning Candidate]]-SamplingData[[#Totals],[Candidate 3]]), 0)</f>
        <v>0</v>
      </c>
      <c r="S891" s="100">
        <f>IF(AND(SamplingData[[#This Row],[Total]]&lt;&gt; 0, NOT(ISBLANK(SamplingData[[#This Row],[Candidate 4]]))),(SamplingData[[#This Row],[Total]]+SamplingData[[#This Row],[Winning Candidate]]-SamplingData[[#This Row],[Candidate 4]])/(SamplingData[[#Totals],[Winning Candidate]]-SamplingData[[#Totals],[Candidate 4]]), 0)</f>
        <v>0</v>
      </c>
      <c r="T891" s="100">
        <f>IF(AND(SamplingData[[#This Row],[Total]]&lt;&gt; 0, NOT(ISBLANK(SamplingData[[#This Row],[Candidate 5]]))),(SamplingData[[#This Row],[Total]]+SamplingData[[#This Row],[Winning Candidate]]-SamplingData[[#This Row],[Candidate 5]])/(SamplingData[[#Totals],[Winning Candidate]]-SamplingData[[#Totals],[Candidate 5]]), 0)</f>
        <v>0</v>
      </c>
      <c r="U891" s="100">
        <f>IF(AND(SamplingData[[#This Row],[Total]]&lt;&gt; 0, NOT(ISBLANK(SamplingData[[#This Row],[Candidate 6]]))),(SamplingData[[#This Row],[Total]]+SamplingData[[#This Row],[Losing Candidate]]-SamplingData[[#This Row],[Candidate 6]])/(SamplingData[[#Totals],[Winning Candidate]]-SamplingData[[#Totals],[Candidate 6]]), 0)</f>
        <v>0</v>
      </c>
      <c r="V891" s="100">
        <f>IF(AND(SamplingData[[#This Row],[Total]]&lt;&gt; 0, NOT(ISBLANK(SamplingData[[#This Row],[Candidate 7]]))),(SamplingData[[#This Row],[Total]]+SamplingData[[#This Row],[Winning Candidate]]-SamplingData[[#This Row],[Candidate 7]])/(SamplingData[[#Totals],[Winning Candidate]]-SamplingData[[#Totals],[Candidate 7]]), 0)</f>
        <v>0</v>
      </c>
      <c r="W891" s="100">
        <f>IF(AND(SamplingData[[#This Row],[Total]]&lt;&gt; 0, NOT(ISBLANK(SamplingData[[#This Row],[Candidate 8]]))),(SamplingData[[#This Row],[Total]]+SamplingData[[#This Row],[Winning Candidate]]-SamplingData[[#This Row],[Candidate 8]])/(SamplingData[[#Totals],[Winning Candidate]]-SamplingData[[#Totals],[Candidate 8]]), 0)</f>
        <v>0</v>
      </c>
      <c r="X8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00">
        <f>MAX(SamplingData[[#This Row],[Error Bound (up) - Max. possible relative overstatement - Losing Candidate]:[Error Bound (up) - Max. possible relative overstatement - Candidate 12]])</f>
        <v>6.0935389640983757E-3</v>
      </c>
      <c r="AC891" s="100">
        <f>IF(SamplingData[[#This Row],[Max Error Bound (up)]] = 0,0,SamplingData[[#This Row],[Max Error Bound (up)]]/SamplingData[[#Totals],[Max Error Bound (up)]])</f>
        <v>2.6113175039035167E-3</v>
      </c>
      <c r="AD891" s="104">
        <f>SUM($AC$5:AC891)</f>
        <v>0.47746729122920412</v>
      </c>
      <c r="AE891" s="100" t="str" cm="1">
        <f t="array" ref="AE891">IF(SamplingData[[#This Row],[up/U Selection Probability]] = 0, "Zero", TEXT(SamplingData[[#This Row],[Lower Range]], REPT("0",LEN('General Info'!$B$42))) &amp; " - " &amp; TEXT(SamplingData[[#This Row],[Upper Range]], REPT("0",LEN('General Info'!$B$42))))</f>
        <v>47486 - 47746</v>
      </c>
      <c r="AF891" s="100">
        <f>SamplingData[[#This Row],[Upper Range]]-SamplingData[[#This Row],[Span]]</f>
        <v>47485.597372530065</v>
      </c>
      <c r="AG891" s="100">
        <f>IF(ISNUMBER('General Info'!$B$42), ((SamplingData[[#This Row],[up/U Selection Probability]]) * 'General Info'!$B$44) - 1, 0)</f>
        <v>260.13175039035167</v>
      </c>
      <c r="AH891" s="100">
        <f>IF(ISNUMBER('General Info'!$B$42), (SamplingData[[#This Row],[Running (cumulative) sum]] * ('General Info'!$B$42 -'General Info'!$B$43 + 1)) + 'General Info'!$B$43 - 1, 0)</f>
        <v>47745.729122920413</v>
      </c>
      <c r="AI891" s="100" t="str">
        <f>IF(ISERROR(MATCH(SamplingData[[#This Row],[Batch by Type (p)]],SelectedPrecincts[Batch Name], 0)), "", INDEX(SelectedPrecincts[Draw], MATCH(SamplingData[[#This Row],[Batch by Type (p)]],SelectedPrecincts[Batch Name], 0)))</f>
        <v/>
      </c>
      <c r="AJ891" s="101">
        <f>IF(COUNTIF(SelectedPrecincts[Batch Name],SamplingData[[#This Row],[Batch by Type (p)]]) &lt;&gt; 0, COUNTIF(SelectedPrecincts[Batch Name],SamplingData[[#This Row],[Batch by Type (p)]]), 0)</f>
        <v>0</v>
      </c>
    </row>
    <row r="892" spans="1:36" ht="15" customHeight="1" x14ac:dyDescent="0.35">
      <c r="A892" s="98" t="s">
        <v>1103</v>
      </c>
      <c r="B892" s="98">
        <v>101</v>
      </c>
      <c r="C892" s="98">
        <v>8</v>
      </c>
      <c r="D892" s="93"/>
      <c r="E892" s="93"/>
      <c r="F892" s="93"/>
      <c r="G892" s="97"/>
      <c r="H892" s="97"/>
      <c r="I892" s="93"/>
      <c r="J892" s="93"/>
      <c r="K892" s="93"/>
      <c r="L892" s="93"/>
      <c r="M892" s="93"/>
      <c r="N892" s="98">
        <v>0</v>
      </c>
      <c r="O892" s="98">
        <v>2</v>
      </c>
      <c r="P892" s="99">
        <f>SUM(SamplingData[[#This Row],[Winning Candidate]:[Under Votes]])</f>
        <v>111</v>
      </c>
      <c r="Q892" s="100">
        <f>IF(AND(SamplingData[[#This Row],[Total]]&lt;&gt; 0, NOT(ISBLANK(SamplingData[[#This Row],[Losing Candidate]]))),(SamplingData[[#This Row],[Total]]+SamplingData[[#This Row],[Winning Candidate]]-SamplingData[[#This Row],[Losing Candidate]])/(SamplingData[[#Totals],[Winning Candidate]]-SamplingData[[#Totals],[Losing Candidate]]), 0)</f>
        <v>6.4076389107013852E-3</v>
      </c>
      <c r="R892" s="100">
        <f>IF(AND(SamplingData[[#This Row],[Total]]&lt;&gt; 0, NOT(ISBLANK(SamplingData[[#This Row],[Candidate 3]]))),(SamplingData[[#This Row],[Total]]+SamplingData[[#This Row],[Winning Candidate]]-SamplingData[[#This Row],[Candidate 3]])/(SamplingData[[#Totals],[Winning Candidate]]-SamplingData[[#Totals],[Candidate 3]]), 0)</f>
        <v>0</v>
      </c>
      <c r="S892" s="100">
        <f>IF(AND(SamplingData[[#This Row],[Total]]&lt;&gt; 0, NOT(ISBLANK(SamplingData[[#This Row],[Candidate 4]]))),(SamplingData[[#This Row],[Total]]+SamplingData[[#This Row],[Winning Candidate]]-SamplingData[[#This Row],[Candidate 4]])/(SamplingData[[#Totals],[Winning Candidate]]-SamplingData[[#Totals],[Candidate 4]]), 0)</f>
        <v>0</v>
      </c>
      <c r="T892" s="100">
        <f>IF(AND(SamplingData[[#This Row],[Total]]&lt;&gt; 0, NOT(ISBLANK(SamplingData[[#This Row],[Candidate 5]]))),(SamplingData[[#This Row],[Total]]+SamplingData[[#This Row],[Winning Candidate]]-SamplingData[[#This Row],[Candidate 5]])/(SamplingData[[#Totals],[Winning Candidate]]-SamplingData[[#Totals],[Candidate 5]]), 0)</f>
        <v>0</v>
      </c>
      <c r="U892" s="100">
        <f>IF(AND(SamplingData[[#This Row],[Total]]&lt;&gt; 0, NOT(ISBLANK(SamplingData[[#This Row],[Candidate 6]]))),(SamplingData[[#This Row],[Total]]+SamplingData[[#This Row],[Losing Candidate]]-SamplingData[[#This Row],[Candidate 6]])/(SamplingData[[#Totals],[Winning Candidate]]-SamplingData[[#Totals],[Candidate 6]]), 0)</f>
        <v>0</v>
      </c>
      <c r="V892" s="100">
        <f>IF(AND(SamplingData[[#This Row],[Total]]&lt;&gt; 0, NOT(ISBLANK(SamplingData[[#This Row],[Candidate 7]]))),(SamplingData[[#This Row],[Total]]+SamplingData[[#This Row],[Winning Candidate]]-SamplingData[[#This Row],[Candidate 7]])/(SamplingData[[#Totals],[Winning Candidate]]-SamplingData[[#Totals],[Candidate 7]]), 0)</f>
        <v>0</v>
      </c>
      <c r="W892" s="100">
        <f>IF(AND(SamplingData[[#This Row],[Total]]&lt;&gt; 0, NOT(ISBLANK(SamplingData[[#This Row],[Candidate 8]]))),(SamplingData[[#This Row],[Total]]+SamplingData[[#This Row],[Winning Candidate]]-SamplingData[[#This Row],[Candidate 8]])/(SamplingData[[#Totals],[Winning Candidate]]-SamplingData[[#Totals],[Candidate 8]]), 0)</f>
        <v>0</v>
      </c>
      <c r="X8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00">
        <f>MAX(SamplingData[[#This Row],[Error Bound (up) - Max. possible relative overstatement - Losing Candidate]:[Error Bound (up) - Max. possible relative overstatement - Candidate 12]])</f>
        <v>6.4076389107013852E-3</v>
      </c>
      <c r="AC892" s="100">
        <f>IF(SamplingData[[#This Row],[Max Error Bound (up)]] = 0,0,SamplingData[[#This Row],[Max Error Bound (up)]]/SamplingData[[#Totals],[Max Error Bound (up)]])</f>
        <v>2.7459214989500897E-3</v>
      </c>
      <c r="AD892" s="104">
        <f>SUM($AC$5:AC892)</f>
        <v>0.4802132127281542</v>
      </c>
      <c r="AE892" s="100" t="str" cm="1">
        <f t="array" ref="AE892">IF(SamplingData[[#This Row],[up/U Selection Probability]] = 0, "Zero", TEXT(SamplingData[[#This Row],[Lower Range]], REPT("0",LEN('General Info'!$B$42))) &amp; " - " &amp; TEXT(SamplingData[[#This Row],[Upper Range]], REPT("0",LEN('General Info'!$B$42))))</f>
        <v>47747 - 48020</v>
      </c>
      <c r="AF892" s="100">
        <f>SamplingData[[#This Row],[Upper Range]]-SamplingData[[#This Row],[Span]]</f>
        <v>47746.729122920406</v>
      </c>
      <c r="AG892" s="100">
        <f>IF(ISNUMBER('General Info'!$B$42), ((SamplingData[[#This Row],[up/U Selection Probability]]) * 'General Info'!$B$44) - 1, 0)</f>
        <v>273.59214989500896</v>
      </c>
      <c r="AH892" s="100">
        <f>IF(ISNUMBER('General Info'!$B$42), (SamplingData[[#This Row],[Running (cumulative) sum]] * ('General Info'!$B$42 -'General Info'!$B$43 + 1)) + 'General Info'!$B$43 - 1, 0)</f>
        <v>48020.321272815418</v>
      </c>
      <c r="AI892" s="100" t="str">
        <f>IF(ISERROR(MATCH(SamplingData[[#This Row],[Batch by Type (p)]],SelectedPrecincts[Batch Name], 0)), "", INDEX(SelectedPrecincts[Draw], MATCH(SamplingData[[#This Row],[Batch by Type (p)]],SelectedPrecincts[Batch Name], 0)))</f>
        <v/>
      </c>
      <c r="AJ892" s="101">
        <f>IF(COUNTIF(SelectedPrecincts[Batch Name],SamplingData[[#This Row],[Batch by Type (p)]]) &lt;&gt; 0, COUNTIF(SelectedPrecincts[Batch Name],SamplingData[[#This Row],[Batch by Type (p)]]), 0)</f>
        <v>0</v>
      </c>
    </row>
    <row r="893" spans="1:36" ht="15" customHeight="1" x14ac:dyDescent="0.35">
      <c r="A893" s="98" t="s">
        <v>1104</v>
      </c>
      <c r="B893" s="98">
        <v>101</v>
      </c>
      <c r="C893" s="98">
        <v>8</v>
      </c>
      <c r="D893" s="93"/>
      <c r="E893" s="93"/>
      <c r="F893" s="93"/>
      <c r="G893" s="97"/>
      <c r="H893" s="97"/>
      <c r="I893" s="93"/>
      <c r="J893" s="93"/>
      <c r="K893" s="93"/>
      <c r="L893" s="93"/>
      <c r="M893" s="93"/>
      <c r="N893" s="98">
        <v>0</v>
      </c>
      <c r="O893" s="98">
        <v>2</v>
      </c>
      <c r="P893" s="99">
        <f>SUM(SamplingData[[#This Row],[Winning Candidate]:[Under Votes]])</f>
        <v>111</v>
      </c>
      <c r="Q893" s="100">
        <f>IF(AND(SamplingData[[#This Row],[Total]]&lt;&gt; 0, NOT(ISBLANK(SamplingData[[#This Row],[Losing Candidate]]))),(SamplingData[[#This Row],[Total]]+SamplingData[[#This Row],[Winning Candidate]]-SamplingData[[#This Row],[Losing Candidate]])/(SamplingData[[#Totals],[Winning Candidate]]-SamplingData[[#Totals],[Losing Candidate]]), 0)</f>
        <v>6.4076389107013852E-3</v>
      </c>
      <c r="R893" s="100">
        <f>IF(AND(SamplingData[[#This Row],[Total]]&lt;&gt; 0, NOT(ISBLANK(SamplingData[[#This Row],[Candidate 3]]))),(SamplingData[[#This Row],[Total]]+SamplingData[[#This Row],[Winning Candidate]]-SamplingData[[#This Row],[Candidate 3]])/(SamplingData[[#Totals],[Winning Candidate]]-SamplingData[[#Totals],[Candidate 3]]), 0)</f>
        <v>0</v>
      </c>
      <c r="S893" s="100">
        <f>IF(AND(SamplingData[[#This Row],[Total]]&lt;&gt; 0, NOT(ISBLANK(SamplingData[[#This Row],[Candidate 4]]))),(SamplingData[[#This Row],[Total]]+SamplingData[[#This Row],[Winning Candidate]]-SamplingData[[#This Row],[Candidate 4]])/(SamplingData[[#Totals],[Winning Candidate]]-SamplingData[[#Totals],[Candidate 4]]), 0)</f>
        <v>0</v>
      </c>
      <c r="T893" s="100">
        <f>IF(AND(SamplingData[[#This Row],[Total]]&lt;&gt; 0, NOT(ISBLANK(SamplingData[[#This Row],[Candidate 5]]))),(SamplingData[[#This Row],[Total]]+SamplingData[[#This Row],[Winning Candidate]]-SamplingData[[#This Row],[Candidate 5]])/(SamplingData[[#Totals],[Winning Candidate]]-SamplingData[[#Totals],[Candidate 5]]), 0)</f>
        <v>0</v>
      </c>
      <c r="U893" s="100">
        <f>IF(AND(SamplingData[[#This Row],[Total]]&lt;&gt; 0, NOT(ISBLANK(SamplingData[[#This Row],[Candidate 6]]))),(SamplingData[[#This Row],[Total]]+SamplingData[[#This Row],[Losing Candidate]]-SamplingData[[#This Row],[Candidate 6]])/(SamplingData[[#Totals],[Winning Candidate]]-SamplingData[[#Totals],[Candidate 6]]), 0)</f>
        <v>0</v>
      </c>
      <c r="V893" s="100">
        <f>IF(AND(SamplingData[[#This Row],[Total]]&lt;&gt; 0, NOT(ISBLANK(SamplingData[[#This Row],[Candidate 7]]))),(SamplingData[[#This Row],[Total]]+SamplingData[[#This Row],[Winning Candidate]]-SamplingData[[#This Row],[Candidate 7]])/(SamplingData[[#Totals],[Winning Candidate]]-SamplingData[[#Totals],[Candidate 7]]), 0)</f>
        <v>0</v>
      </c>
      <c r="W893" s="100">
        <f>IF(AND(SamplingData[[#This Row],[Total]]&lt;&gt; 0, NOT(ISBLANK(SamplingData[[#This Row],[Candidate 8]]))),(SamplingData[[#This Row],[Total]]+SamplingData[[#This Row],[Winning Candidate]]-SamplingData[[#This Row],[Candidate 8]])/(SamplingData[[#Totals],[Winning Candidate]]-SamplingData[[#Totals],[Candidate 8]]), 0)</f>
        <v>0</v>
      </c>
      <c r="X8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00">
        <f>MAX(SamplingData[[#This Row],[Error Bound (up) - Max. possible relative overstatement - Losing Candidate]:[Error Bound (up) - Max. possible relative overstatement - Candidate 12]])</f>
        <v>6.4076389107013852E-3</v>
      </c>
      <c r="AC893" s="100">
        <f>IF(SamplingData[[#This Row],[Max Error Bound (up)]] = 0,0,SamplingData[[#This Row],[Max Error Bound (up)]]/SamplingData[[#Totals],[Max Error Bound (up)]])</f>
        <v>2.7459214989500897E-3</v>
      </c>
      <c r="AD893" s="104">
        <f>SUM($AC$5:AC893)</f>
        <v>0.48295913422710429</v>
      </c>
      <c r="AE893" s="100" t="str" cm="1">
        <f t="array" ref="AE893">IF(SamplingData[[#This Row],[up/U Selection Probability]] = 0, "Zero", TEXT(SamplingData[[#This Row],[Lower Range]], REPT("0",LEN('General Info'!$B$42))) &amp; " - " &amp; TEXT(SamplingData[[#This Row],[Upper Range]], REPT("0",LEN('General Info'!$B$42))))</f>
        <v>48021 - 48295</v>
      </c>
      <c r="AF893" s="100">
        <f>SamplingData[[#This Row],[Upper Range]]-SamplingData[[#This Row],[Span]]</f>
        <v>48021.321272815418</v>
      </c>
      <c r="AG893" s="100">
        <f>IF(ISNUMBER('General Info'!$B$42), ((SamplingData[[#This Row],[up/U Selection Probability]]) * 'General Info'!$B$44) - 1, 0)</f>
        <v>273.59214989500896</v>
      </c>
      <c r="AH893" s="100">
        <f>IF(ISNUMBER('General Info'!$B$42), (SamplingData[[#This Row],[Running (cumulative) sum]] * ('General Info'!$B$42 -'General Info'!$B$43 + 1)) + 'General Info'!$B$43 - 1, 0)</f>
        <v>48294.91342271043</v>
      </c>
      <c r="AI893" s="100" t="str">
        <f>IF(ISERROR(MATCH(SamplingData[[#This Row],[Batch by Type (p)]],SelectedPrecincts[Batch Name], 0)), "", INDEX(SelectedPrecincts[Draw], MATCH(SamplingData[[#This Row],[Batch by Type (p)]],SelectedPrecincts[Batch Name], 0)))</f>
        <v/>
      </c>
      <c r="AJ893" s="101">
        <f>IF(COUNTIF(SelectedPrecincts[Batch Name],SamplingData[[#This Row],[Batch by Type (p)]]) &lt;&gt; 0, COUNTIF(SelectedPrecincts[Batch Name],SamplingData[[#This Row],[Batch by Type (p)]]), 0)</f>
        <v>0</v>
      </c>
    </row>
    <row r="894" spans="1:36" ht="15" customHeight="1" x14ac:dyDescent="0.35">
      <c r="A894" s="98" t="s">
        <v>1105</v>
      </c>
      <c r="B894" s="98">
        <v>125</v>
      </c>
      <c r="C894" s="98">
        <v>10</v>
      </c>
      <c r="D894" s="93"/>
      <c r="E894" s="93"/>
      <c r="F894" s="93"/>
      <c r="G894" s="97"/>
      <c r="H894" s="97"/>
      <c r="I894" s="93"/>
      <c r="J894" s="93"/>
      <c r="K894" s="93"/>
      <c r="L894" s="93"/>
      <c r="M894" s="93"/>
      <c r="N894" s="98">
        <v>0</v>
      </c>
      <c r="O894" s="98">
        <v>1</v>
      </c>
      <c r="P894" s="99">
        <f>SUM(SamplingData[[#This Row],[Winning Candidate]:[Under Votes]])</f>
        <v>136</v>
      </c>
      <c r="Q894" s="100">
        <f>IF(AND(SamplingData[[#This Row],[Total]]&lt;&gt; 0, NOT(ISBLANK(SamplingData[[#This Row],[Losing Candidate]]))),(SamplingData[[#This Row],[Total]]+SamplingData[[#This Row],[Winning Candidate]]-SamplingData[[#This Row],[Losing Candidate]])/(SamplingData[[#Totals],[Winning Candidate]]-SamplingData[[#Totals],[Losing Candidate]]), 0)</f>
        <v>7.8839086597355286E-3</v>
      </c>
      <c r="R894" s="100">
        <f>IF(AND(SamplingData[[#This Row],[Total]]&lt;&gt; 0, NOT(ISBLANK(SamplingData[[#This Row],[Candidate 3]]))),(SamplingData[[#This Row],[Total]]+SamplingData[[#This Row],[Winning Candidate]]-SamplingData[[#This Row],[Candidate 3]])/(SamplingData[[#Totals],[Winning Candidate]]-SamplingData[[#Totals],[Candidate 3]]), 0)</f>
        <v>0</v>
      </c>
      <c r="S894" s="100">
        <f>IF(AND(SamplingData[[#This Row],[Total]]&lt;&gt; 0, NOT(ISBLANK(SamplingData[[#This Row],[Candidate 4]]))),(SamplingData[[#This Row],[Total]]+SamplingData[[#This Row],[Winning Candidate]]-SamplingData[[#This Row],[Candidate 4]])/(SamplingData[[#Totals],[Winning Candidate]]-SamplingData[[#Totals],[Candidate 4]]), 0)</f>
        <v>0</v>
      </c>
      <c r="T894" s="100">
        <f>IF(AND(SamplingData[[#This Row],[Total]]&lt;&gt; 0, NOT(ISBLANK(SamplingData[[#This Row],[Candidate 5]]))),(SamplingData[[#This Row],[Total]]+SamplingData[[#This Row],[Winning Candidate]]-SamplingData[[#This Row],[Candidate 5]])/(SamplingData[[#Totals],[Winning Candidate]]-SamplingData[[#Totals],[Candidate 5]]), 0)</f>
        <v>0</v>
      </c>
      <c r="U894" s="100">
        <f>IF(AND(SamplingData[[#This Row],[Total]]&lt;&gt; 0, NOT(ISBLANK(SamplingData[[#This Row],[Candidate 6]]))),(SamplingData[[#This Row],[Total]]+SamplingData[[#This Row],[Losing Candidate]]-SamplingData[[#This Row],[Candidate 6]])/(SamplingData[[#Totals],[Winning Candidate]]-SamplingData[[#Totals],[Candidate 6]]), 0)</f>
        <v>0</v>
      </c>
      <c r="V894" s="100">
        <f>IF(AND(SamplingData[[#This Row],[Total]]&lt;&gt; 0, NOT(ISBLANK(SamplingData[[#This Row],[Candidate 7]]))),(SamplingData[[#This Row],[Total]]+SamplingData[[#This Row],[Winning Candidate]]-SamplingData[[#This Row],[Candidate 7]])/(SamplingData[[#Totals],[Winning Candidate]]-SamplingData[[#Totals],[Candidate 7]]), 0)</f>
        <v>0</v>
      </c>
      <c r="W894" s="100">
        <f>IF(AND(SamplingData[[#This Row],[Total]]&lt;&gt; 0, NOT(ISBLANK(SamplingData[[#This Row],[Candidate 8]]))),(SamplingData[[#This Row],[Total]]+SamplingData[[#This Row],[Winning Candidate]]-SamplingData[[#This Row],[Candidate 8]])/(SamplingData[[#Totals],[Winning Candidate]]-SamplingData[[#Totals],[Candidate 8]]), 0)</f>
        <v>0</v>
      </c>
      <c r="X8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00">
        <f>MAX(SamplingData[[#This Row],[Error Bound (up) - Max. possible relative overstatement - Losing Candidate]:[Error Bound (up) - Max. possible relative overstatement - Candidate 12]])</f>
        <v>7.8839086597355286E-3</v>
      </c>
      <c r="AC894" s="100">
        <f>IF(SamplingData[[#This Row],[Max Error Bound (up)]] = 0,0,SamplingData[[#This Row],[Max Error Bound (up)]]/SamplingData[[#Totals],[Max Error Bound (up)]])</f>
        <v>3.3785602756689834E-3</v>
      </c>
      <c r="AD894" s="104">
        <f>SUM($AC$5:AC894)</f>
        <v>0.48633769450277325</v>
      </c>
      <c r="AE894" s="100" t="str" cm="1">
        <f t="array" ref="AE894">IF(SamplingData[[#This Row],[up/U Selection Probability]] = 0, "Zero", TEXT(SamplingData[[#This Row],[Lower Range]], REPT("0",LEN('General Info'!$B$42))) &amp; " - " &amp; TEXT(SamplingData[[#This Row],[Upper Range]], REPT("0",LEN('General Info'!$B$42))))</f>
        <v>48296 - 48633</v>
      </c>
      <c r="AF894" s="100">
        <f>SamplingData[[#This Row],[Upper Range]]-SamplingData[[#This Row],[Span]]</f>
        <v>48295.913422710422</v>
      </c>
      <c r="AG894" s="100">
        <f>IF(ISNUMBER('General Info'!$B$42), ((SamplingData[[#This Row],[up/U Selection Probability]]) * 'General Info'!$B$44) - 1, 0)</f>
        <v>336.85602756689832</v>
      </c>
      <c r="AH894" s="100">
        <f>IF(ISNUMBER('General Info'!$B$42), (SamplingData[[#This Row],[Running (cumulative) sum]] * ('General Info'!$B$42 -'General Info'!$B$43 + 1)) + 'General Info'!$B$43 - 1, 0)</f>
        <v>48632.769450277323</v>
      </c>
      <c r="AI894" s="100" t="str">
        <f>IF(ISERROR(MATCH(SamplingData[[#This Row],[Batch by Type (p)]],SelectedPrecincts[Batch Name], 0)), "", INDEX(SelectedPrecincts[Draw], MATCH(SamplingData[[#This Row],[Batch by Type (p)]],SelectedPrecincts[Batch Name], 0)))</f>
        <v/>
      </c>
      <c r="AJ894" s="101">
        <f>IF(COUNTIF(SelectedPrecincts[Batch Name],SamplingData[[#This Row],[Batch by Type (p)]]) &lt;&gt; 0, COUNTIF(SelectedPrecincts[Batch Name],SamplingData[[#This Row],[Batch by Type (p)]]), 0)</f>
        <v>0</v>
      </c>
    </row>
    <row r="895" spans="1:36" ht="15" customHeight="1" x14ac:dyDescent="0.35">
      <c r="A895" s="98" t="s">
        <v>1106</v>
      </c>
      <c r="B895" s="98">
        <v>47</v>
      </c>
      <c r="C895" s="98">
        <v>6</v>
      </c>
      <c r="D895" s="93"/>
      <c r="E895" s="93"/>
      <c r="F895" s="93"/>
      <c r="G895" s="97"/>
      <c r="H895" s="97"/>
      <c r="I895" s="93"/>
      <c r="J895" s="93"/>
      <c r="K895" s="93"/>
      <c r="L895" s="93"/>
      <c r="M895" s="93"/>
      <c r="N895" s="98">
        <v>0</v>
      </c>
      <c r="O895" s="98">
        <v>1</v>
      </c>
      <c r="P895" s="99">
        <f>SUM(SamplingData[[#This Row],[Winning Candidate]:[Under Votes]])</f>
        <v>54</v>
      </c>
      <c r="Q895" s="100">
        <f>IF(AND(SamplingData[[#This Row],[Total]]&lt;&gt; 0, NOT(ISBLANK(SamplingData[[#This Row],[Losing Candidate]]))),(SamplingData[[#This Row],[Total]]+SamplingData[[#This Row],[Winning Candidate]]-SamplingData[[#This Row],[Losing Candidate]])/(SamplingData[[#Totals],[Winning Candidate]]-SamplingData[[#Totals],[Losing Candidate]]), 0)</f>
        <v>2.9839494927285863E-3</v>
      </c>
      <c r="R895" s="100">
        <f>IF(AND(SamplingData[[#This Row],[Total]]&lt;&gt; 0, NOT(ISBLANK(SamplingData[[#This Row],[Candidate 3]]))),(SamplingData[[#This Row],[Total]]+SamplingData[[#This Row],[Winning Candidate]]-SamplingData[[#This Row],[Candidate 3]])/(SamplingData[[#Totals],[Winning Candidate]]-SamplingData[[#Totals],[Candidate 3]]), 0)</f>
        <v>0</v>
      </c>
      <c r="S895" s="100">
        <f>IF(AND(SamplingData[[#This Row],[Total]]&lt;&gt; 0, NOT(ISBLANK(SamplingData[[#This Row],[Candidate 4]]))),(SamplingData[[#This Row],[Total]]+SamplingData[[#This Row],[Winning Candidate]]-SamplingData[[#This Row],[Candidate 4]])/(SamplingData[[#Totals],[Winning Candidate]]-SamplingData[[#Totals],[Candidate 4]]), 0)</f>
        <v>0</v>
      </c>
      <c r="T895" s="100">
        <f>IF(AND(SamplingData[[#This Row],[Total]]&lt;&gt; 0, NOT(ISBLANK(SamplingData[[#This Row],[Candidate 5]]))),(SamplingData[[#This Row],[Total]]+SamplingData[[#This Row],[Winning Candidate]]-SamplingData[[#This Row],[Candidate 5]])/(SamplingData[[#Totals],[Winning Candidate]]-SamplingData[[#Totals],[Candidate 5]]), 0)</f>
        <v>0</v>
      </c>
      <c r="U895" s="100">
        <f>IF(AND(SamplingData[[#This Row],[Total]]&lt;&gt; 0, NOT(ISBLANK(SamplingData[[#This Row],[Candidate 6]]))),(SamplingData[[#This Row],[Total]]+SamplingData[[#This Row],[Losing Candidate]]-SamplingData[[#This Row],[Candidate 6]])/(SamplingData[[#Totals],[Winning Candidate]]-SamplingData[[#Totals],[Candidate 6]]), 0)</f>
        <v>0</v>
      </c>
      <c r="V895" s="100">
        <f>IF(AND(SamplingData[[#This Row],[Total]]&lt;&gt; 0, NOT(ISBLANK(SamplingData[[#This Row],[Candidate 7]]))),(SamplingData[[#This Row],[Total]]+SamplingData[[#This Row],[Winning Candidate]]-SamplingData[[#This Row],[Candidate 7]])/(SamplingData[[#Totals],[Winning Candidate]]-SamplingData[[#Totals],[Candidate 7]]), 0)</f>
        <v>0</v>
      </c>
      <c r="W895" s="100">
        <f>IF(AND(SamplingData[[#This Row],[Total]]&lt;&gt; 0, NOT(ISBLANK(SamplingData[[#This Row],[Candidate 8]]))),(SamplingData[[#This Row],[Total]]+SamplingData[[#This Row],[Winning Candidate]]-SamplingData[[#This Row],[Candidate 8]])/(SamplingData[[#Totals],[Winning Candidate]]-SamplingData[[#Totals],[Candidate 8]]), 0)</f>
        <v>0</v>
      </c>
      <c r="X8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00">
        <f>MAX(SamplingData[[#This Row],[Error Bound (up) - Max. possible relative overstatement - Losing Candidate]:[Error Bound (up) - Max. possible relative overstatement - Candidate 12]])</f>
        <v>2.9839494927285863E-3</v>
      </c>
      <c r="AC895" s="100">
        <f>IF(SamplingData[[#This Row],[Max Error Bound (up)]] = 0,0,SamplingData[[#This Row],[Max Error Bound (up)]]/SamplingData[[#Totals],[Max Error Bound (up)]])</f>
        <v>1.2787379529424438E-3</v>
      </c>
      <c r="AD895" s="104">
        <f>SUM($AC$5:AC895)</f>
        <v>0.48761643245571568</v>
      </c>
      <c r="AE895" s="100" t="str" cm="1">
        <f t="array" ref="AE895">IF(SamplingData[[#This Row],[up/U Selection Probability]] = 0, "Zero", TEXT(SamplingData[[#This Row],[Lower Range]], REPT("0",LEN('General Info'!$B$42))) &amp; " - " &amp; TEXT(SamplingData[[#This Row],[Upper Range]], REPT("0",LEN('General Info'!$B$42))))</f>
        <v>48634 - 48761</v>
      </c>
      <c r="AF895" s="100">
        <f>SamplingData[[#This Row],[Upper Range]]-SamplingData[[#This Row],[Span]]</f>
        <v>48633.769450277323</v>
      </c>
      <c r="AG895" s="100">
        <f>IF(ISNUMBER('General Info'!$B$42), ((SamplingData[[#This Row],[up/U Selection Probability]]) * 'General Info'!$B$44) - 1, 0)</f>
        <v>126.87379529424437</v>
      </c>
      <c r="AH895" s="100">
        <f>IF(ISNUMBER('General Info'!$B$42), (SamplingData[[#This Row],[Running (cumulative) sum]] * ('General Info'!$B$42 -'General Info'!$B$43 + 1)) + 'General Info'!$B$43 - 1, 0)</f>
        <v>48760.643245571569</v>
      </c>
      <c r="AI895" s="100" t="str">
        <f>IF(ISERROR(MATCH(SamplingData[[#This Row],[Batch by Type (p)]],SelectedPrecincts[Batch Name], 0)), "", INDEX(SelectedPrecincts[Draw], MATCH(SamplingData[[#This Row],[Batch by Type (p)]],SelectedPrecincts[Batch Name], 0)))</f>
        <v/>
      </c>
      <c r="AJ895" s="101">
        <f>IF(COUNTIF(SelectedPrecincts[Batch Name],SamplingData[[#This Row],[Batch by Type (p)]]) &lt;&gt; 0, COUNTIF(SelectedPrecincts[Batch Name],SamplingData[[#This Row],[Batch by Type (p)]]), 0)</f>
        <v>0</v>
      </c>
    </row>
    <row r="896" spans="1:36" ht="15" customHeight="1" x14ac:dyDescent="0.35">
      <c r="A896" s="98" t="s">
        <v>1107</v>
      </c>
      <c r="B896" s="98">
        <v>81</v>
      </c>
      <c r="C896" s="98">
        <v>1</v>
      </c>
      <c r="D896" s="93"/>
      <c r="E896" s="93"/>
      <c r="F896" s="93"/>
      <c r="G896" s="97"/>
      <c r="H896" s="97"/>
      <c r="I896" s="93"/>
      <c r="J896" s="93"/>
      <c r="K896" s="93"/>
      <c r="L896" s="93"/>
      <c r="M896" s="93"/>
      <c r="N896" s="98">
        <v>0</v>
      </c>
      <c r="O896" s="98">
        <v>1</v>
      </c>
      <c r="P896" s="99">
        <f>SUM(SamplingData[[#This Row],[Winning Candidate]:[Under Votes]])</f>
        <v>83</v>
      </c>
      <c r="Q896" s="100">
        <f>IF(AND(SamplingData[[#This Row],[Total]]&lt;&gt; 0, NOT(ISBLANK(SamplingData[[#This Row],[Losing Candidate]]))),(SamplingData[[#This Row],[Total]]+SamplingData[[#This Row],[Winning Candidate]]-SamplingData[[#This Row],[Losing Candidate]])/(SamplingData[[#Totals],[Winning Candidate]]-SamplingData[[#Totals],[Losing Candidate]]), 0)</f>
        <v>5.1198291296290482E-3</v>
      </c>
      <c r="R896" s="100">
        <f>IF(AND(SamplingData[[#This Row],[Total]]&lt;&gt; 0, NOT(ISBLANK(SamplingData[[#This Row],[Candidate 3]]))),(SamplingData[[#This Row],[Total]]+SamplingData[[#This Row],[Winning Candidate]]-SamplingData[[#This Row],[Candidate 3]])/(SamplingData[[#Totals],[Winning Candidate]]-SamplingData[[#Totals],[Candidate 3]]), 0)</f>
        <v>0</v>
      </c>
      <c r="S896" s="100">
        <f>IF(AND(SamplingData[[#This Row],[Total]]&lt;&gt; 0, NOT(ISBLANK(SamplingData[[#This Row],[Candidate 4]]))),(SamplingData[[#This Row],[Total]]+SamplingData[[#This Row],[Winning Candidate]]-SamplingData[[#This Row],[Candidate 4]])/(SamplingData[[#Totals],[Winning Candidate]]-SamplingData[[#Totals],[Candidate 4]]), 0)</f>
        <v>0</v>
      </c>
      <c r="T896" s="100">
        <f>IF(AND(SamplingData[[#This Row],[Total]]&lt;&gt; 0, NOT(ISBLANK(SamplingData[[#This Row],[Candidate 5]]))),(SamplingData[[#This Row],[Total]]+SamplingData[[#This Row],[Winning Candidate]]-SamplingData[[#This Row],[Candidate 5]])/(SamplingData[[#Totals],[Winning Candidate]]-SamplingData[[#Totals],[Candidate 5]]), 0)</f>
        <v>0</v>
      </c>
      <c r="U896" s="100">
        <f>IF(AND(SamplingData[[#This Row],[Total]]&lt;&gt; 0, NOT(ISBLANK(SamplingData[[#This Row],[Candidate 6]]))),(SamplingData[[#This Row],[Total]]+SamplingData[[#This Row],[Losing Candidate]]-SamplingData[[#This Row],[Candidate 6]])/(SamplingData[[#Totals],[Winning Candidate]]-SamplingData[[#Totals],[Candidate 6]]), 0)</f>
        <v>0</v>
      </c>
      <c r="V896" s="100">
        <f>IF(AND(SamplingData[[#This Row],[Total]]&lt;&gt; 0, NOT(ISBLANK(SamplingData[[#This Row],[Candidate 7]]))),(SamplingData[[#This Row],[Total]]+SamplingData[[#This Row],[Winning Candidate]]-SamplingData[[#This Row],[Candidate 7]])/(SamplingData[[#Totals],[Winning Candidate]]-SamplingData[[#Totals],[Candidate 7]]), 0)</f>
        <v>0</v>
      </c>
      <c r="W896" s="100">
        <f>IF(AND(SamplingData[[#This Row],[Total]]&lt;&gt; 0, NOT(ISBLANK(SamplingData[[#This Row],[Candidate 8]]))),(SamplingData[[#This Row],[Total]]+SamplingData[[#This Row],[Winning Candidate]]-SamplingData[[#This Row],[Candidate 8]])/(SamplingData[[#Totals],[Winning Candidate]]-SamplingData[[#Totals],[Candidate 8]]), 0)</f>
        <v>0</v>
      </c>
      <c r="X8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00">
        <f>MAX(SamplingData[[#This Row],[Error Bound (up) - Max. possible relative overstatement - Losing Candidate]:[Error Bound (up) - Max. possible relative overstatement - Candidate 12]])</f>
        <v>5.1198291296290482E-3</v>
      </c>
      <c r="AC896" s="100">
        <f>IF(SamplingData[[#This Row],[Max Error Bound (up)]] = 0,0,SamplingData[[#This Row],[Max Error Bound (up)]]/SamplingData[[#Totals],[Max Error Bound (up)]])</f>
        <v>2.1940451192591407E-3</v>
      </c>
      <c r="AD896" s="104">
        <f>SUM($AC$5:AC896)</f>
        <v>0.48981047757497481</v>
      </c>
      <c r="AE896" s="100" t="str" cm="1">
        <f t="array" ref="AE896">IF(SamplingData[[#This Row],[up/U Selection Probability]] = 0, "Zero", TEXT(SamplingData[[#This Row],[Lower Range]], REPT("0",LEN('General Info'!$B$42))) &amp; " - " &amp; TEXT(SamplingData[[#This Row],[Upper Range]], REPT("0",LEN('General Info'!$B$42))))</f>
        <v>48762 - 48980</v>
      </c>
      <c r="AF896" s="100">
        <f>SamplingData[[#This Row],[Upper Range]]-SamplingData[[#This Row],[Span]]</f>
        <v>48761.643245571562</v>
      </c>
      <c r="AG896" s="100">
        <f>IF(ISNUMBER('General Info'!$B$42), ((SamplingData[[#This Row],[up/U Selection Probability]]) * 'General Info'!$B$44) - 1, 0)</f>
        <v>218.40451192591408</v>
      </c>
      <c r="AH896" s="100">
        <f>IF(ISNUMBER('General Info'!$B$42), (SamplingData[[#This Row],[Running (cumulative) sum]] * ('General Info'!$B$42 -'General Info'!$B$43 + 1)) + 'General Info'!$B$43 - 1, 0)</f>
        <v>48980.047757497479</v>
      </c>
      <c r="AI896" s="100" t="str">
        <f>IF(ISERROR(MATCH(SamplingData[[#This Row],[Batch by Type (p)]],SelectedPrecincts[Batch Name], 0)), "", INDEX(SelectedPrecincts[Draw], MATCH(SamplingData[[#This Row],[Batch by Type (p)]],SelectedPrecincts[Batch Name], 0)))</f>
        <v/>
      </c>
      <c r="AJ896" s="101">
        <f>IF(COUNTIF(SelectedPrecincts[Batch Name],SamplingData[[#This Row],[Batch by Type (p)]]) &lt;&gt; 0, COUNTIF(SelectedPrecincts[Batch Name],SamplingData[[#This Row],[Batch by Type (p)]]), 0)</f>
        <v>0</v>
      </c>
    </row>
    <row r="897" spans="1:36" ht="15" customHeight="1" x14ac:dyDescent="0.35">
      <c r="A897" s="98" t="s">
        <v>1108</v>
      </c>
      <c r="B897" s="98">
        <v>97</v>
      </c>
      <c r="C897" s="98">
        <v>12</v>
      </c>
      <c r="D897" s="93"/>
      <c r="E897" s="93"/>
      <c r="F897" s="93"/>
      <c r="G897" s="97"/>
      <c r="H897" s="97"/>
      <c r="I897" s="93"/>
      <c r="J897" s="93"/>
      <c r="K897" s="93"/>
      <c r="L897" s="93"/>
      <c r="M897" s="93"/>
      <c r="N897" s="98">
        <v>1</v>
      </c>
      <c r="O897" s="98">
        <v>2</v>
      </c>
      <c r="P897" s="99">
        <f>SUM(SamplingData[[#This Row],[Winning Candidate]:[Under Votes]])</f>
        <v>112</v>
      </c>
      <c r="Q897" s="100">
        <f>IF(AND(SamplingData[[#This Row],[Total]]&lt;&gt; 0, NOT(ISBLANK(SamplingData[[#This Row],[Losing Candidate]]))),(SamplingData[[#This Row],[Total]]+SamplingData[[#This Row],[Winning Candidate]]-SamplingData[[#This Row],[Losing Candidate]])/(SamplingData[[#Totals],[Winning Candidate]]-SamplingData[[#Totals],[Losing Candidate]]), 0)</f>
        <v>6.1877689480792789E-3</v>
      </c>
      <c r="R897" s="100">
        <f>IF(AND(SamplingData[[#This Row],[Total]]&lt;&gt; 0, NOT(ISBLANK(SamplingData[[#This Row],[Candidate 3]]))),(SamplingData[[#This Row],[Total]]+SamplingData[[#This Row],[Winning Candidate]]-SamplingData[[#This Row],[Candidate 3]])/(SamplingData[[#Totals],[Winning Candidate]]-SamplingData[[#Totals],[Candidate 3]]), 0)</f>
        <v>0</v>
      </c>
      <c r="S897" s="100">
        <f>IF(AND(SamplingData[[#This Row],[Total]]&lt;&gt; 0, NOT(ISBLANK(SamplingData[[#This Row],[Candidate 4]]))),(SamplingData[[#This Row],[Total]]+SamplingData[[#This Row],[Winning Candidate]]-SamplingData[[#This Row],[Candidate 4]])/(SamplingData[[#Totals],[Winning Candidate]]-SamplingData[[#Totals],[Candidate 4]]), 0)</f>
        <v>0</v>
      </c>
      <c r="T897" s="100">
        <f>IF(AND(SamplingData[[#This Row],[Total]]&lt;&gt; 0, NOT(ISBLANK(SamplingData[[#This Row],[Candidate 5]]))),(SamplingData[[#This Row],[Total]]+SamplingData[[#This Row],[Winning Candidate]]-SamplingData[[#This Row],[Candidate 5]])/(SamplingData[[#Totals],[Winning Candidate]]-SamplingData[[#Totals],[Candidate 5]]), 0)</f>
        <v>0</v>
      </c>
      <c r="U897" s="100">
        <f>IF(AND(SamplingData[[#This Row],[Total]]&lt;&gt; 0, NOT(ISBLANK(SamplingData[[#This Row],[Candidate 6]]))),(SamplingData[[#This Row],[Total]]+SamplingData[[#This Row],[Losing Candidate]]-SamplingData[[#This Row],[Candidate 6]])/(SamplingData[[#Totals],[Winning Candidate]]-SamplingData[[#Totals],[Candidate 6]]), 0)</f>
        <v>0</v>
      </c>
      <c r="V897" s="100">
        <f>IF(AND(SamplingData[[#This Row],[Total]]&lt;&gt; 0, NOT(ISBLANK(SamplingData[[#This Row],[Candidate 7]]))),(SamplingData[[#This Row],[Total]]+SamplingData[[#This Row],[Winning Candidate]]-SamplingData[[#This Row],[Candidate 7]])/(SamplingData[[#Totals],[Winning Candidate]]-SamplingData[[#Totals],[Candidate 7]]), 0)</f>
        <v>0</v>
      </c>
      <c r="W897" s="100">
        <f>IF(AND(SamplingData[[#This Row],[Total]]&lt;&gt; 0, NOT(ISBLANK(SamplingData[[#This Row],[Candidate 8]]))),(SamplingData[[#This Row],[Total]]+SamplingData[[#This Row],[Winning Candidate]]-SamplingData[[#This Row],[Candidate 8]])/(SamplingData[[#Totals],[Winning Candidate]]-SamplingData[[#Totals],[Candidate 8]]), 0)</f>
        <v>0</v>
      </c>
      <c r="X8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00">
        <f>MAX(SamplingData[[#This Row],[Error Bound (up) - Max. possible relative overstatement - Losing Candidate]:[Error Bound (up) - Max. possible relative overstatement - Candidate 12]])</f>
        <v>6.1877689480792789E-3</v>
      </c>
      <c r="AC897" s="100">
        <f>IF(SamplingData[[#This Row],[Max Error Bound (up)]] = 0,0,SamplingData[[#This Row],[Max Error Bound (up)]]/SamplingData[[#Totals],[Max Error Bound (up)]])</f>
        <v>2.6516987024174888E-3</v>
      </c>
      <c r="AD897" s="104">
        <f>SUM($AC$5:AC897)</f>
        <v>0.49246217627739231</v>
      </c>
      <c r="AE897" s="100" t="str" cm="1">
        <f t="array" ref="AE897">IF(SamplingData[[#This Row],[up/U Selection Probability]] = 0, "Zero", TEXT(SamplingData[[#This Row],[Lower Range]], REPT("0",LEN('General Info'!$B$42))) &amp; " - " &amp; TEXT(SamplingData[[#This Row],[Upper Range]], REPT("0",LEN('General Info'!$B$42))))</f>
        <v>48981 - 49245</v>
      </c>
      <c r="AF897" s="100">
        <f>SamplingData[[#This Row],[Upper Range]]-SamplingData[[#This Row],[Span]]</f>
        <v>48981.047757497479</v>
      </c>
      <c r="AG897" s="100">
        <f>IF(ISNUMBER('General Info'!$B$42), ((SamplingData[[#This Row],[up/U Selection Probability]]) * 'General Info'!$B$44) - 1, 0)</f>
        <v>264.16987024174887</v>
      </c>
      <c r="AH897" s="100">
        <f>IF(ISNUMBER('General Info'!$B$42), (SamplingData[[#This Row],[Running (cumulative) sum]] * ('General Info'!$B$42 -'General Info'!$B$43 + 1)) + 'General Info'!$B$43 - 1, 0)</f>
        <v>49245.217627739228</v>
      </c>
      <c r="AI897" s="100" t="str">
        <f>IF(ISERROR(MATCH(SamplingData[[#This Row],[Batch by Type (p)]],SelectedPrecincts[Batch Name], 0)), "", INDEX(SelectedPrecincts[Draw], MATCH(SamplingData[[#This Row],[Batch by Type (p)]],SelectedPrecincts[Batch Name], 0)))</f>
        <v/>
      </c>
      <c r="AJ897" s="101">
        <f>IF(COUNTIF(SelectedPrecincts[Batch Name],SamplingData[[#This Row],[Batch by Type (p)]]) &lt;&gt; 0, COUNTIF(SelectedPrecincts[Batch Name],SamplingData[[#This Row],[Batch by Type (p)]]), 0)</f>
        <v>0</v>
      </c>
    </row>
    <row r="898" spans="1:36" ht="15" customHeight="1" x14ac:dyDescent="0.35">
      <c r="A898" s="98" t="s">
        <v>1109</v>
      </c>
      <c r="B898" s="98">
        <v>49</v>
      </c>
      <c r="C898" s="98">
        <v>4</v>
      </c>
      <c r="D898" s="93"/>
      <c r="E898" s="93"/>
      <c r="F898" s="93"/>
      <c r="G898" s="97"/>
      <c r="H898" s="97"/>
      <c r="I898" s="93"/>
      <c r="J898" s="93"/>
      <c r="K898" s="93"/>
      <c r="L898" s="93"/>
      <c r="M898" s="93"/>
      <c r="N898" s="98">
        <v>0</v>
      </c>
      <c r="O898" s="98">
        <v>2</v>
      </c>
      <c r="P898" s="99">
        <f>SUM(SamplingData[[#This Row],[Winning Candidate]:[Under Votes]])</f>
        <v>55</v>
      </c>
      <c r="Q898" s="100">
        <f>IF(AND(SamplingData[[#This Row],[Total]]&lt;&gt; 0, NOT(ISBLANK(SamplingData[[#This Row],[Losing Candidate]]))),(SamplingData[[#This Row],[Total]]+SamplingData[[#This Row],[Winning Candidate]]-SamplingData[[#This Row],[Losing Candidate]])/(SamplingData[[#Totals],[Winning Candidate]]-SamplingData[[#Totals],[Losing Candidate]]), 0)</f>
        <v>3.1409994660300906E-3</v>
      </c>
      <c r="R898" s="100">
        <f>IF(AND(SamplingData[[#This Row],[Total]]&lt;&gt; 0, NOT(ISBLANK(SamplingData[[#This Row],[Candidate 3]]))),(SamplingData[[#This Row],[Total]]+SamplingData[[#This Row],[Winning Candidate]]-SamplingData[[#This Row],[Candidate 3]])/(SamplingData[[#Totals],[Winning Candidate]]-SamplingData[[#Totals],[Candidate 3]]), 0)</f>
        <v>0</v>
      </c>
      <c r="S898" s="100">
        <f>IF(AND(SamplingData[[#This Row],[Total]]&lt;&gt; 0, NOT(ISBLANK(SamplingData[[#This Row],[Candidate 4]]))),(SamplingData[[#This Row],[Total]]+SamplingData[[#This Row],[Winning Candidate]]-SamplingData[[#This Row],[Candidate 4]])/(SamplingData[[#Totals],[Winning Candidate]]-SamplingData[[#Totals],[Candidate 4]]), 0)</f>
        <v>0</v>
      </c>
      <c r="T898" s="100">
        <f>IF(AND(SamplingData[[#This Row],[Total]]&lt;&gt; 0, NOT(ISBLANK(SamplingData[[#This Row],[Candidate 5]]))),(SamplingData[[#This Row],[Total]]+SamplingData[[#This Row],[Winning Candidate]]-SamplingData[[#This Row],[Candidate 5]])/(SamplingData[[#Totals],[Winning Candidate]]-SamplingData[[#Totals],[Candidate 5]]), 0)</f>
        <v>0</v>
      </c>
      <c r="U898" s="100">
        <f>IF(AND(SamplingData[[#This Row],[Total]]&lt;&gt; 0, NOT(ISBLANK(SamplingData[[#This Row],[Candidate 6]]))),(SamplingData[[#This Row],[Total]]+SamplingData[[#This Row],[Losing Candidate]]-SamplingData[[#This Row],[Candidate 6]])/(SamplingData[[#Totals],[Winning Candidate]]-SamplingData[[#Totals],[Candidate 6]]), 0)</f>
        <v>0</v>
      </c>
      <c r="V898" s="100">
        <f>IF(AND(SamplingData[[#This Row],[Total]]&lt;&gt; 0, NOT(ISBLANK(SamplingData[[#This Row],[Candidate 7]]))),(SamplingData[[#This Row],[Total]]+SamplingData[[#This Row],[Winning Candidate]]-SamplingData[[#This Row],[Candidate 7]])/(SamplingData[[#Totals],[Winning Candidate]]-SamplingData[[#Totals],[Candidate 7]]), 0)</f>
        <v>0</v>
      </c>
      <c r="W898" s="100">
        <f>IF(AND(SamplingData[[#This Row],[Total]]&lt;&gt; 0, NOT(ISBLANK(SamplingData[[#This Row],[Candidate 8]]))),(SamplingData[[#This Row],[Total]]+SamplingData[[#This Row],[Winning Candidate]]-SamplingData[[#This Row],[Candidate 8]])/(SamplingData[[#Totals],[Winning Candidate]]-SamplingData[[#Totals],[Candidate 8]]), 0)</f>
        <v>0</v>
      </c>
      <c r="X8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00">
        <f>MAX(SamplingData[[#This Row],[Error Bound (up) - Max. possible relative overstatement - Losing Candidate]:[Error Bound (up) - Max. possible relative overstatement - Candidate 12]])</f>
        <v>3.1409994660300906E-3</v>
      </c>
      <c r="AC898" s="100">
        <f>IF(SamplingData[[#This Row],[Max Error Bound (up)]] = 0,0,SamplingData[[#This Row],[Max Error Bound (up)]]/SamplingData[[#Totals],[Max Error Bound (up)]])</f>
        <v>1.3460399504657303E-3</v>
      </c>
      <c r="AD898" s="104">
        <f>SUM($AC$5:AC898)</f>
        <v>0.49380821622785803</v>
      </c>
      <c r="AE898" s="100" t="str" cm="1">
        <f t="array" ref="AE898">IF(SamplingData[[#This Row],[up/U Selection Probability]] = 0, "Zero", TEXT(SamplingData[[#This Row],[Lower Range]], REPT("0",LEN('General Info'!$B$42))) &amp; " - " &amp; TEXT(SamplingData[[#This Row],[Upper Range]], REPT("0",LEN('General Info'!$B$42))))</f>
        <v>49246 - 49380</v>
      </c>
      <c r="AF898" s="100">
        <f>SamplingData[[#This Row],[Upper Range]]-SamplingData[[#This Row],[Span]]</f>
        <v>49246.217627739235</v>
      </c>
      <c r="AG898" s="100">
        <f>IF(ISNUMBER('General Info'!$B$42), ((SamplingData[[#This Row],[up/U Selection Probability]]) * 'General Info'!$B$44) - 1, 0)</f>
        <v>133.60399504657303</v>
      </c>
      <c r="AH898" s="100">
        <f>IF(ISNUMBER('General Info'!$B$42), (SamplingData[[#This Row],[Running (cumulative) sum]] * ('General Info'!$B$42 -'General Info'!$B$43 + 1)) + 'General Info'!$B$43 - 1, 0)</f>
        <v>49379.821622785807</v>
      </c>
      <c r="AI898" s="100" t="str">
        <f>IF(ISERROR(MATCH(SamplingData[[#This Row],[Batch by Type (p)]],SelectedPrecincts[Batch Name], 0)), "", INDEX(SelectedPrecincts[Draw], MATCH(SamplingData[[#This Row],[Batch by Type (p)]],SelectedPrecincts[Batch Name], 0)))</f>
        <v/>
      </c>
      <c r="AJ898" s="101">
        <f>IF(COUNTIF(SelectedPrecincts[Batch Name],SamplingData[[#This Row],[Batch by Type (p)]]) &lt;&gt; 0, COUNTIF(SelectedPrecincts[Batch Name],SamplingData[[#This Row],[Batch by Type (p)]]), 0)</f>
        <v>0</v>
      </c>
    </row>
    <row r="899" spans="1:36" ht="15" customHeight="1" x14ac:dyDescent="0.35">
      <c r="A899" s="98" t="s">
        <v>1110</v>
      </c>
      <c r="B899" s="98">
        <v>121</v>
      </c>
      <c r="C899" s="98">
        <v>20</v>
      </c>
      <c r="D899" s="93"/>
      <c r="E899" s="93"/>
      <c r="F899" s="93"/>
      <c r="G899" s="97"/>
      <c r="H899" s="97"/>
      <c r="I899" s="93"/>
      <c r="J899" s="93"/>
      <c r="K899" s="93"/>
      <c r="L899" s="93"/>
      <c r="M899" s="93"/>
      <c r="N899" s="98">
        <v>0</v>
      </c>
      <c r="O899" s="98">
        <v>1</v>
      </c>
      <c r="P899" s="99">
        <f>SUM(SamplingData[[#This Row],[Winning Candidate]:[Under Votes]])</f>
        <v>142</v>
      </c>
      <c r="Q899" s="100">
        <f>IF(AND(SamplingData[[#This Row],[Total]]&lt;&gt; 0, NOT(ISBLANK(SamplingData[[#This Row],[Losing Candidate]]))),(SamplingData[[#This Row],[Total]]+SamplingData[[#This Row],[Winning Candidate]]-SamplingData[[#This Row],[Losing Candidate]])/(SamplingData[[#Totals],[Winning Candidate]]-SamplingData[[#Totals],[Losing Candidate]]), 0)</f>
        <v>7.6326287024531207E-3</v>
      </c>
      <c r="R899" s="100">
        <f>IF(AND(SamplingData[[#This Row],[Total]]&lt;&gt; 0, NOT(ISBLANK(SamplingData[[#This Row],[Candidate 3]]))),(SamplingData[[#This Row],[Total]]+SamplingData[[#This Row],[Winning Candidate]]-SamplingData[[#This Row],[Candidate 3]])/(SamplingData[[#Totals],[Winning Candidate]]-SamplingData[[#Totals],[Candidate 3]]), 0)</f>
        <v>0</v>
      </c>
      <c r="S899" s="100">
        <f>IF(AND(SamplingData[[#This Row],[Total]]&lt;&gt; 0, NOT(ISBLANK(SamplingData[[#This Row],[Candidate 4]]))),(SamplingData[[#This Row],[Total]]+SamplingData[[#This Row],[Winning Candidate]]-SamplingData[[#This Row],[Candidate 4]])/(SamplingData[[#Totals],[Winning Candidate]]-SamplingData[[#Totals],[Candidate 4]]), 0)</f>
        <v>0</v>
      </c>
      <c r="T899" s="100">
        <f>IF(AND(SamplingData[[#This Row],[Total]]&lt;&gt; 0, NOT(ISBLANK(SamplingData[[#This Row],[Candidate 5]]))),(SamplingData[[#This Row],[Total]]+SamplingData[[#This Row],[Winning Candidate]]-SamplingData[[#This Row],[Candidate 5]])/(SamplingData[[#Totals],[Winning Candidate]]-SamplingData[[#Totals],[Candidate 5]]), 0)</f>
        <v>0</v>
      </c>
      <c r="U899" s="100">
        <f>IF(AND(SamplingData[[#This Row],[Total]]&lt;&gt; 0, NOT(ISBLANK(SamplingData[[#This Row],[Candidate 6]]))),(SamplingData[[#This Row],[Total]]+SamplingData[[#This Row],[Losing Candidate]]-SamplingData[[#This Row],[Candidate 6]])/(SamplingData[[#Totals],[Winning Candidate]]-SamplingData[[#Totals],[Candidate 6]]), 0)</f>
        <v>0</v>
      </c>
      <c r="V899" s="100">
        <f>IF(AND(SamplingData[[#This Row],[Total]]&lt;&gt; 0, NOT(ISBLANK(SamplingData[[#This Row],[Candidate 7]]))),(SamplingData[[#This Row],[Total]]+SamplingData[[#This Row],[Winning Candidate]]-SamplingData[[#This Row],[Candidate 7]])/(SamplingData[[#Totals],[Winning Candidate]]-SamplingData[[#Totals],[Candidate 7]]), 0)</f>
        <v>0</v>
      </c>
      <c r="W899" s="100">
        <f>IF(AND(SamplingData[[#This Row],[Total]]&lt;&gt; 0, NOT(ISBLANK(SamplingData[[#This Row],[Candidate 8]]))),(SamplingData[[#This Row],[Total]]+SamplingData[[#This Row],[Winning Candidate]]-SamplingData[[#This Row],[Candidate 8]])/(SamplingData[[#Totals],[Winning Candidate]]-SamplingData[[#Totals],[Candidate 8]]), 0)</f>
        <v>0</v>
      </c>
      <c r="X8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00">
        <f>MAX(SamplingData[[#This Row],[Error Bound (up) - Max. possible relative overstatement - Losing Candidate]:[Error Bound (up) - Max. possible relative overstatement - Candidate 12]])</f>
        <v>7.6326287024531207E-3</v>
      </c>
      <c r="AC899" s="100">
        <f>IF(SamplingData[[#This Row],[Max Error Bound (up)]] = 0,0,SamplingData[[#This Row],[Max Error Bound (up)]]/SamplingData[[#Totals],[Max Error Bound (up)]])</f>
        <v>3.2708770796317246E-3</v>
      </c>
      <c r="AD899" s="104">
        <f>SUM($AC$5:AC899)</f>
        <v>0.49707909330748978</v>
      </c>
      <c r="AE899" s="100" t="str" cm="1">
        <f t="array" ref="AE899">IF(SamplingData[[#This Row],[up/U Selection Probability]] = 0, "Zero", TEXT(SamplingData[[#This Row],[Lower Range]], REPT("0",LEN('General Info'!$B$42))) &amp; " - " &amp; TEXT(SamplingData[[#This Row],[Upper Range]], REPT("0",LEN('General Info'!$B$42))))</f>
        <v>49381 - 49707</v>
      </c>
      <c r="AF899" s="100">
        <f>SamplingData[[#This Row],[Upper Range]]-SamplingData[[#This Row],[Span]]</f>
        <v>49380.821622785799</v>
      </c>
      <c r="AG899" s="100">
        <f>IF(ISNUMBER('General Info'!$B$42), ((SamplingData[[#This Row],[up/U Selection Probability]]) * 'General Info'!$B$44) - 1, 0)</f>
        <v>326.08770796317248</v>
      </c>
      <c r="AH899" s="100">
        <f>IF(ISNUMBER('General Info'!$B$42), (SamplingData[[#This Row],[Running (cumulative) sum]] * ('General Info'!$B$42 -'General Info'!$B$43 + 1)) + 'General Info'!$B$43 - 1, 0)</f>
        <v>49706.909330748975</v>
      </c>
      <c r="AI899" s="100" t="str">
        <f>IF(ISERROR(MATCH(SamplingData[[#This Row],[Batch by Type (p)]],SelectedPrecincts[Batch Name], 0)), "", INDEX(SelectedPrecincts[Draw], MATCH(SamplingData[[#This Row],[Batch by Type (p)]],SelectedPrecincts[Batch Name], 0)))</f>
        <v/>
      </c>
      <c r="AJ899" s="101">
        <f>IF(COUNTIF(SelectedPrecincts[Batch Name],SamplingData[[#This Row],[Batch by Type (p)]]) &lt;&gt; 0, COUNTIF(SelectedPrecincts[Batch Name],SamplingData[[#This Row],[Batch by Type (p)]]), 0)</f>
        <v>0</v>
      </c>
    </row>
    <row r="900" spans="1:36" ht="15" customHeight="1" x14ac:dyDescent="0.35">
      <c r="A900" s="98" t="s">
        <v>1111</v>
      </c>
      <c r="B900" s="98">
        <v>81</v>
      </c>
      <c r="C900" s="98">
        <v>15</v>
      </c>
      <c r="D900" s="93"/>
      <c r="E900" s="93"/>
      <c r="F900" s="93"/>
      <c r="G900" s="97"/>
      <c r="H900" s="97"/>
      <c r="I900" s="93"/>
      <c r="J900" s="93"/>
      <c r="K900" s="93"/>
      <c r="L900" s="93"/>
      <c r="M900" s="93"/>
      <c r="N900" s="98">
        <v>0</v>
      </c>
      <c r="O900" s="98">
        <v>1</v>
      </c>
      <c r="P900" s="99">
        <f>SUM(SamplingData[[#This Row],[Winning Candidate]:[Under Votes]])</f>
        <v>97</v>
      </c>
      <c r="Q900" s="100">
        <f>IF(AND(SamplingData[[#This Row],[Total]]&lt;&gt; 0, NOT(ISBLANK(SamplingData[[#This Row],[Losing Candidate]]))),(SamplingData[[#This Row],[Total]]+SamplingData[[#This Row],[Winning Candidate]]-SamplingData[[#This Row],[Losing Candidate]])/(SamplingData[[#Totals],[Winning Candidate]]-SamplingData[[#Totals],[Losing Candidate]]), 0)</f>
        <v>5.1198291296290482E-3</v>
      </c>
      <c r="R900" s="100">
        <f>IF(AND(SamplingData[[#This Row],[Total]]&lt;&gt; 0, NOT(ISBLANK(SamplingData[[#This Row],[Candidate 3]]))),(SamplingData[[#This Row],[Total]]+SamplingData[[#This Row],[Winning Candidate]]-SamplingData[[#This Row],[Candidate 3]])/(SamplingData[[#Totals],[Winning Candidate]]-SamplingData[[#Totals],[Candidate 3]]), 0)</f>
        <v>0</v>
      </c>
      <c r="S900" s="100">
        <f>IF(AND(SamplingData[[#This Row],[Total]]&lt;&gt; 0, NOT(ISBLANK(SamplingData[[#This Row],[Candidate 4]]))),(SamplingData[[#This Row],[Total]]+SamplingData[[#This Row],[Winning Candidate]]-SamplingData[[#This Row],[Candidate 4]])/(SamplingData[[#Totals],[Winning Candidate]]-SamplingData[[#Totals],[Candidate 4]]), 0)</f>
        <v>0</v>
      </c>
      <c r="T900" s="100">
        <f>IF(AND(SamplingData[[#This Row],[Total]]&lt;&gt; 0, NOT(ISBLANK(SamplingData[[#This Row],[Candidate 5]]))),(SamplingData[[#This Row],[Total]]+SamplingData[[#This Row],[Winning Candidate]]-SamplingData[[#This Row],[Candidate 5]])/(SamplingData[[#Totals],[Winning Candidate]]-SamplingData[[#Totals],[Candidate 5]]), 0)</f>
        <v>0</v>
      </c>
      <c r="U900" s="100">
        <f>IF(AND(SamplingData[[#This Row],[Total]]&lt;&gt; 0, NOT(ISBLANK(SamplingData[[#This Row],[Candidate 6]]))),(SamplingData[[#This Row],[Total]]+SamplingData[[#This Row],[Losing Candidate]]-SamplingData[[#This Row],[Candidate 6]])/(SamplingData[[#Totals],[Winning Candidate]]-SamplingData[[#Totals],[Candidate 6]]), 0)</f>
        <v>0</v>
      </c>
      <c r="V900" s="100">
        <f>IF(AND(SamplingData[[#This Row],[Total]]&lt;&gt; 0, NOT(ISBLANK(SamplingData[[#This Row],[Candidate 7]]))),(SamplingData[[#This Row],[Total]]+SamplingData[[#This Row],[Winning Candidate]]-SamplingData[[#This Row],[Candidate 7]])/(SamplingData[[#Totals],[Winning Candidate]]-SamplingData[[#Totals],[Candidate 7]]), 0)</f>
        <v>0</v>
      </c>
      <c r="W900" s="100">
        <f>IF(AND(SamplingData[[#This Row],[Total]]&lt;&gt; 0, NOT(ISBLANK(SamplingData[[#This Row],[Candidate 8]]))),(SamplingData[[#This Row],[Total]]+SamplingData[[#This Row],[Winning Candidate]]-SamplingData[[#This Row],[Candidate 8]])/(SamplingData[[#Totals],[Winning Candidate]]-SamplingData[[#Totals],[Candidate 8]]), 0)</f>
        <v>0</v>
      </c>
      <c r="X9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00">
        <f>MAX(SamplingData[[#This Row],[Error Bound (up) - Max. possible relative overstatement - Losing Candidate]:[Error Bound (up) - Max. possible relative overstatement - Candidate 12]])</f>
        <v>5.1198291296290482E-3</v>
      </c>
      <c r="AC900" s="100">
        <f>IF(SamplingData[[#This Row],[Max Error Bound (up)]] = 0,0,SamplingData[[#This Row],[Max Error Bound (up)]]/SamplingData[[#Totals],[Max Error Bound (up)]])</f>
        <v>2.1940451192591407E-3</v>
      </c>
      <c r="AD900" s="104">
        <f>SUM($AC$5:AC900)</f>
        <v>0.49927313842674892</v>
      </c>
      <c r="AE900" s="100" t="str" cm="1">
        <f t="array" ref="AE900">IF(SamplingData[[#This Row],[up/U Selection Probability]] = 0, "Zero", TEXT(SamplingData[[#This Row],[Lower Range]], REPT("0",LEN('General Info'!$B$42))) &amp; " - " &amp; TEXT(SamplingData[[#This Row],[Upper Range]], REPT("0",LEN('General Info'!$B$42))))</f>
        <v>49708 - 49926</v>
      </c>
      <c r="AF900" s="100">
        <f>SamplingData[[#This Row],[Upper Range]]-SamplingData[[#This Row],[Span]]</f>
        <v>49707.909330748975</v>
      </c>
      <c r="AG900" s="100">
        <f>IF(ISNUMBER('General Info'!$B$42), ((SamplingData[[#This Row],[up/U Selection Probability]]) * 'General Info'!$B$44) - 1, 0)</f>
        <v>218.40451192591408</v>
      </c>
      <c r="AH900" s="100">
        <f>IF(ISNUMBER('General Info'!$B$42), (SamplingData[[#This Row],[Running (cumulative) sum]] * ('General Info'!$B$42 -'General Info'!$B$43 + 1)) + 'General Info'!$B$43 - 1, 0)</f>
        <v>49926.313842674892</v>
      </c>
      <c r="AI900" s="100" t="str">
        <f>IF(ISERROR(MATCH(SamplingData[[#This Row],[Batch by Type (p)]],SelectedPrecincts[Batch Name], 0)), "", INDEX(SelectedPrecincts[Draw], MATCH(SamplingData[[#This Row],[Batch by Type (p)]],SelectedPrecincts[Batch Name], 0)))</f>
        <v/>
      </c>
      <c r="AJ900" s="101">
        <f>IF(COUNTIF(SelectedPrecincts[Batch Name],SamplingData[[#This Row],[Batch by Type (p)]]) &lt;&gt; 0, COUNTIF(SelectedPrecincts[Batch Name],SamplingData[[#This Row],[Batch by Type (p)]]), 0)</f>
        <v>0</v>
      </c>
    </row>
    <row r="901" spans="1:36" ht="15" customHeight="1" x14ac:dyDescent="0.35">
      <c r="A901" s="98" t="s">
        <v>1112</v>
      </c>
      <c r="B901" s="98">
        <v>70</v>
      </c>
      <c r="C901" s="98">
        <v>6</v>
      </c>
      <c r="D901" s="93"/>
      <c r="E901" s="93"/>
      <c r="F901" s="93"/>
      <c r="G901" s="97"/>
      <c r="H901" s="97"/>
      <c r="I901" s="93"/>
      <c r="J901" s="93"/>
      <c r="K901" s="93"/>
      <c r="L901" s="93"/>
      <c r="M901" s="93"/>
      <c r="N901" s="98">
        <v>0</v>
      </c>
      <c r="O901" s="98">
        <v>1</v>
      </c>
      <c r="P901" s="99">
        <f>SUM(SamplingData[[#This Row],[Winning Candidate]:[Under Votes]])</f>
        <v>77</v>
      </c>
      <c r="Q901" s="100">
        <f>IF(AND(SamplingData[[#This Row],[Total]]&lt;&gt; 0, NOT(ISBLANK(SamplingData[[#This Row],[Losing Candidate]]))),(SamplingData[[#This Row],[Total]]+SamplingData[[#This Row],[Winning Candidate]]-SamplingData[[#This Row],[Losing Candidate]])/(SamplingData[[#Totals],[Winning Candidate]]-SamplingData[[#Totals],[Losing Candidate]]), 0)</f>
        <v>4.4288092471024276E-3</v>
      </c>
      <c r="R901" s="100">
        <f>IF(AND(SamplingData[[#This Row],[Total]]&lt;&gt; 0, NOT(ISBLANK(SamplingData[[#This Row],[Candidate 3]]))),(SamplingData[[#This Row],[Total]]+SamplingData[[#This Row],[Winning Candidate]]-SamplingData[[#This Row],[Candidate 3]])/(SamplingData[[#Totals],[Winning Candidate]]-SamplingData[[#Totals],[Candidate 3]]), 0)</f>
        <v>0</v>
      </c>
      <c r="S901" s="100">
        <f>IF(AND(SamplingData[[#This Row],[Total]]&lt;&gt; 0, NOT(ISBLANK(SamplingData[[#This Row],[Candidate 4]]))),(SamplingData[[#This Row],[Total]]+SamplingData[[#This Row],[Winning Candidate]]-SamplingData[[#This Row],[Candidate 4]])/(SamplingData[[#Totals],[Winning Candidate]]-SamplingData[[#Totals],[Candidate 4]]), 0)</f>
        <v>0</v>
      </c>
      <c r="T901" s="100">
        <f>IF(AND(SamplingData[[#This Row],[Total]]&lt;&gt; 0, NOT(ISBLANK(SamplingData[[#This Row],[Candidate 5]]))),(SamplingData[[#This Row],[Total]]+SamplingData[[#This Row],[Winning Candidate]]-SamplingData[[#This Row],[Candidate 5]])/(SamplingData[[#Totals],[Winning Candidate]]-SamplingData[[#Totals],[Candidate 5]]), 0)</f>
        <v>0</v>
      </c>
      <c r="U901" s="100">
        <f>IF(AND(SamplingData[[#This Row],[Total]]&lt;&gt; 0, NOT(ISBLANK(SamplingData[[#This Row],[Candidate 6]]))),(SamplingData[[#This Row],[Total]]+SamplingData[[#This Row],[Losing Candidate]]-SamplingData[[#This Row],[Candidate 6]])/(SamplingData[[#Totals],[Winning Candidate]]-SamplingData[[#Totals],[Candidate 6]]), 0)</f>
        <v>0</v>
      </c>
      <c r="V901" s="100">
        <f>IF(AND(SamplingData[[#This Row],[Total]]&lt;&gt; 0, NOT(ISBLANK(SamplingData[[#This Row],[Candidate 7]]))),(SamplingData[[#This Row],[Total]]+SamplingData[[#This Row],[Winning Candidate]]-SamplingData[[#This Row],[Candidate 7]])/(SamplingData[[#Totals],[Winning Candidate]]-SamplingData[[#Totals],[Candidate 7]]), 0)</f>
        <v>0</v>
      </c>
      <c r="W901" s="100">
        <f>IF(AND(SamplingData[[#This Row],[Total]]&lt;&gt; 0, NOT(ISBLANK(SamplingData[[#This Row],[Candidate 8]]))),(SamplingData[[#This Row],[Total]]+SamplingData[[#This Row],[Winning Candidate]]-SamplingData[[#This Row],[Candidate 8]])/(SamplingData[[#Totals],[Winning Candidate]]-SamplingData[[#Totals],[Candidate 8]]), 0)</f>
        <v>0</v>
      </c>
      <c r="X9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00">
        <f>MAX(SamplingData[[#This Row],[Error Bound (up) - Max. possible relative overstatement - Losing Candidate]:[Error Bound (up) - Max. possible relative overstatement - Candidate 12]])</f>
        <v>4.4288092471024276E-3</v>
      </c>
      <c r="AC901" s="100">
        <f>IF(SamplingData[[#This Row],[Max Error Bound (up)]] = 0,0,SamplingData[[#This Row],[Max Error Bound (up)]]/SamplingData[[#Totals],[Max Error Bound (up)]])</f>
        <v>1.8979163301566795E-3</v>
      </c>
      <c r="AD901" s="104">
        <f>SUM($AC$5:AC901)</f>
        <v>0.5011710547569056</v>
      </c>
      <c r="AE901" s="100" t="str" cm="1">
        <f t="array" ref="AE901">IF(SamplingData[[#This Row],[up/U Selection Probability]] = 0, "Zero", TEXT(SamplingData[[#This Row],[Lower Range]], REPT("0",LEN('General Info'!$B$42))) &amp; " - " &amp; TEXT(SamplingData[[#This Row],[Upper Range]], REPT("0",LEN('General Info'!$B$42))))</f>
        <v>49927 - 50116</v>
      </c>
      <c r="AF901" s="100">
        <f>SamplingData[[#This Row],[Upper Range]]-SamplingData[[#This Row],[Span]]</f>
        <v>49927.313842674892</v>
      </c>
      <c r="AG901" s="100">
        <f>IF(ISNUMBER('General Info'!$B$42), ((SamplingData[[#This Row],[up/U Selection Probability]]) * 'General Info'!$B$44) - 1, 0)</f>
        <v>188.79163301566794</v>
      </c>
      <c r="AH901" s="100">
        <f>IF(ISNUMBER('General Info'!$B$42), (SamplingData[[#This Row],[Running (cumulative) sum]] * ('General Info'!$B$42 -'General Info'!$B$43 + 1)) + 'General Info'!$B$43 - 1, 0)</f>
        <v>50116.105475690558</v>
      </c>
      <c r="AI901" s="100" t="str">
        <f>IF(ISERROR(MATCH(SamplingData[[#This Row],[Batch by Type (p)]],SelectedPrecincts[Batch Name], 0)), "", INDEX(SelectedPrecincts[Draw], MATCH(SamplingData[[#This Row],[Batch by Type (p)]],SelectedPrecincts[Batch Name], 0)))</f>
        <v/>
      </c>
      <c r="AJ901" s="101">
        <f>IF(COUNTIF(SelectedPrecincts[Batch Name],SamplingData[[#This Row],[Batch by Type (p)]]) &lt;&gt; 0, COUNTIF(SelectedPrecincts[Batch Name],SamplingData[[#This Row],[Batch by Type (p)]]), 0)</f>
        <v>0</v>
      </c>
    </row>
    <row r="902" spans="1:36" ht="15" customHeight="1" x14ac:dyDescent="0.35">
      <c r="A902" s="98" t="s">
        <v>1113</v>
      </c>
      <c r="B902" s="98">
        <v>62</v>
      </c>
      <c r="C902" s="98">
        <v>11</v>
      </c>
      <c r="D902" s="93"/>
      <c r="E902" s="93"/>
      <c r="F902" s="93"/>
      <c r="G902" s="97"/>
      <c r="H902" s="97"/>
      <c r="I902" s="93"/>
      <c r="J902" s="93"/>
      <c r="K902" s="93"/>
      <c r="L902" s="93"/>
      <c r="M902" s="93"/>
      <c r="N902" s="98">
        <v>0</v>
      </c>
      <c r="O902" s="98">
        <v>0</v>
      </c>
      <c r="P902" s="99">
        <f>SUM(SamplingData[[#This Row],[Winning Candidate]:[Under Votes]])</f>
        <v>73</v>
      </c>
      <c r="Q902" s="100">
        <f>IF(AND(SamplingData[[#This Row],[Total]]&lt;&gt; 0, NOT(ISBLANK(SamplingData[[#This Row],[Losing Candidate]]))),(SamplingData[[#This Row],[Total]]+SamplingData[[#This Row],[Winning Candidate]]-SamplingData[[#This Row],[Losing Candidate]])/(SamplingData[[#Totals],[Winning Candidate]]-SamplingData[[#Totals],[Losing Candidate]]), 0)</f>
        <v>3.8948393378773127E-3</v>
      </c>
      <c r="R902" s="100">
        <f>IF(AND(SamplingData[[#This Row],[Total]]&lt;&gt; 0, NOT(ISBLANK(SamplingData[[#This Row],[Candidate 3]]))),(SamplingData[[#This Row],[Total]]+SamplingData[[#This Row],[Winning Candidate]]-SamplingData[[#This Row],[Candidate 3]])/(SamplingData[[#Totals],[Winning Candidate]]-SamplingData[[#Totals],[Candidate 3]]), 0)</f>
        <v>0</v>
      </c>
      <c r="S902" s="100">
        <f>IF(AND(SamplingData[[#This Row],[Total]]&lt;&gt; 0, NOT(ISBLANK(SamplingData[[#This Row],[Candidate 4]]))),(SamplingData[[#This Row],[Total]]+SamplingData[[#This Row],[Winning Candidate]]-SamplingData[[#This Row],[Candidate 4]])/(SamplingData[[#Totals],[Winning Candidate]]-SamplingData[[#Totals],[Candidate 4]]), 0)</f>
        <v>0</v>
      </c>
      <c r="T902" s="100">
        <f>IF(AND(SamplingData[[#This Row],[Total]]&lt;&gt; 0, NOT(ISBLANK(SamplingData[[#This Row],[Candidate 5]]))),(SamplingData[[#This Row],[Total]]+SamplingData[[#This Row],[Winning Candidate]]-SamplingData[[#This Row],[Candidate 5]])/(SamplingData[[#Totals],[Winning Candidate]]-SamplingData[[#Totals],[Candidate 5]]), 0)</f>
        <v>0</v>
      </c>
      <c r="U902" s="100">
        <f>IF(AND(SamplingData[[#This Row],[Total]]&lt;&gt; 0, NOT(ISBLANK(SamplingData[[#This Row],[Candidate 6]]))),(SamplingData[[#This Row],[Total]]+SamplingData[[#This Row],[Losing Candidate]]-SamplingData[[#This Row],[Candidate 6]])/(SamplingData[[#Totals],[Winning Candidate]]-SamplingData[[#Totals],[Candidate 6]]), 0)</f>
        <v>0</v>
      </c>
      <c r="V902" s="100">
        <f>IF(AND(SamplingData[[#This Row],[Total]]&lt;&gt; 0, NOT(ISBLANK(SamplingData[[#This Row],[Candidate 7]]))),(SamplingData[[#This Row],[Total]]+SamplingData[[#This Row],[Winning Candidate]]-SamplingData[[#This Row],[Candidate 7]])/(SamplingData[[#Totals],[Winning Candidate]]-SamplingData[[#Totals],[Candidate 7]]), 0)</f>
        <v>0</v>
      </c>
      <c r="W902" s="100">
        <f>IF(AND(SamplingData[[#This Row],[Total]]&lt;&gt; 0, NOT(ISBLANK(SamplingData[[#This Row],[Candidate 8]]))),(SamplingData[[#This Row],[Total]]+SamplingData[[#This Row],[Winning Candidate]]-SamplingData[[#This Row],[Candidate 8]])/(SamplingData[[#Totals],[Winning Candidate]]-SamplingData[[#Totals],[Candidate 8]]), 0)</f>
        <v>0</v>
      </c>
      <c r="X9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00">
        <f>MAX(SamplingData[[#This Row],[Error Bound (up) - Max. possible relative overstatement - Losing Candidate]:[Error Bound (up) - Max. possible relative overstatement - Candidate 12]])</f>
        <v>3.8948393378773127E-3</v>
      </c>
      <c r="AC902" s="100">
        <f>IF(SamplingData[[#This Row],[Max Error Bound (up)]] = 0,0,SamplingData[[#This Row],[Max Error Bound (up)]]/SamplingData[[#Totals],[Max Error Bound (up)]])</f>
        <v>1.6690895385775056E-3</v>
      </c>
      <c r="AD902" s="104">
        <f>SUM($AC$5:AC902)</f>
        <v>0.50284014429548307</v>
      </c>
      <c r="AE902" s="100" t="str" cm="1">
        <f t="array" ref="AE902">IF(SamplingData[[#This Row],[up/U Selection Probability]] = 0, "Zero", TEXT(SamplingData[[#This Row],[Lower Range]], REPT("0",LEN('General Info'!$B$42))) &amp; " - " &amp; TEXT(SamplingData[[#This Row],[Upper Range]], REPT("0",LEN('General Info'!$B$42))))</f>
        <v>50117 - 50283</v>
      </c>
      <c r="AF902" s="100">
        <f>SamplingData[[#This Row],[Upper Range]]-SamplingData[[#This Row],[Span]]</f>
        <v>50117.105475690551</v>
      </c>
      <c r="AG902" s="100">
        <f>IF(ISNUMBER('General Info'!$B$42), ((SamplingData[[#This Row],[up/U Selection Probability]]) * 'General Info'!$B$44) - 1, 0)</f>
        <v>165.90895385775056</v>
      </c>
      <c r="AH902" s="100">
        <f>IF(ISNUMBER('General Info'!$B$42), (SamplingData[[#This Row],[Running (cumulative) sum]] * ('General Info'!$B$42 -'General Info'!$B$43 + 1)) + 'General Info'!$B$43 - 1, 0)</f>
        <v>50283.014429548304</v>
      </c>
      <c r="AI902" s="100" t="str">
        <f>IF(ISERROR(MATCH(SamplingData[[#This Row],[Batch by Type (p)]],SelectedPrecincts[Batch Name], 0)), "", INDEX(SelectedPrecincts[Draw], MATCH(SamplingData[[#This Row],[Batch by Type (p)]],SelectedPrecincts[Batch Name], 0)))</f>
        <v/>
      </c>
      <c r="AJ902" s="101">
        <f>IF(COUNTIF(SelectedPrecincts[Batch Name],SamplingData[[#This Row],[Batch by Type (p)]]) &lt;&gt; 0, COUNTIF(SelectedPrecincts[Batch Name],SamplingData[[#This Row],[Batch by Type (p)]]), 0)</f>
        <v>0</v>
      </c>
    </row>
    <row r="903" spans="1:36" ht="15" customHeight="1" x14ac:dyDescent="0.35">
      <c r="A903" s="98" t="s">
        <v>1114</v>
      </c>
      <c r="B903" s="98">
        <v>110</v>
      </c>
      <c r="C903" s="98">
        <v>12</v>
      </c>
      <c r="D903" s="93"/>
      <c r="E903" s="93"/>
      <c r="F903" s="93"/>
      <c r="G903" s="97"/>
      <c r="H903" s="97"/>
      <c r="I903" s="93"/>
      <c r="J903" s="93"/>
      <c r="K903" s="93"/>
      <c r="L903" s="93"/>
      <c r="M903" s="93"/>
      <c r="N903" s="98">
        <v>0</v>
      </c>
      <c r="O903" s="98">
        <v>3</v>
      </c>
      <c r="P903" s="99">
        <f>SUM(SamplingData[[#This Row],[Winning Candidate]:[Under Votes]])</f>
        <v>125</v>
      </c>
      <c r="Q903" s="100">
        <f>IF(AND(SamplingData[[#This Row],[Total]]&lt;&gt; 0, NOT(ISBLANK(SamplingData[[#This Row],[Losing Candidate]]))),(SamplingData[[#This Row],[Total]]+SamplingData[[#This Row],[Winning Candidate]]-SamplingData[[#This Row],[Losing Candidate]])/(SamplingData[[#Totals],[Winning Candidate]]-SamplingData[[#Totals],[Losing Candidate]]), 0)</f>
        <v>7.0044288092471025E-3</v>
      </c>
      <c r="R903" s="100">
        <f>IF(AND(SamplingData[[#This Row],[Total]]&lt;&gt; 0, NOT(ISBLANK(SamplingData[[#This Row],[Candidate 3]]))),(SamplingData[[#This Row],[Total]]+SamplingData[[#This Row],[Winning Candidate]]-SamplingData[[#This Row],[Candidate 3]])/(SamplingData[[#Totals],[Winning Candidate]]-SamplingData[[#Totals],[Candidate 3]]), 0)</f>
        <v>0</v>
      </c>
      <c r="S903" s="100">
        <f>IF(AND(SamplingData[[#This Row],[Total]]&lt;&gt; 0, NOT(ISBLANK(SamplingData[[#This Row],[Candidate 4]]))),(SamplingData[[#This Row],[Total]]+SamplingData[[#This Row],[Winning Candidate]]-SamplingData[[#This Row],[Candidate 4]])/(SamplingData[[#Totals],[Winning Candidate]]-SamplingData[[#Totals],[Candidate 4]]), 0)</f>
        <v>0</v>
      </c>
      <c r="T903" s="100">
        <f>IF(AND(SamplingData[[#This Row],[Total]]&lt;&gt; 0, NOT(ISBLANK(SamplingData[[#This Row],[Candidate 5]]))),(SamplingData[[#This Row],[Total]]+SamplingData[[#This Row],[Winning Candidate]]-SamplingData[[#This Row],[Candidate 5]])/(SamplingData[[#Totals],[Winning Candidate]]-SamplingData[[#Totals],[Candidate 5]]), 0)</f>
        <v>0</v>
      </c>
      <c r="U903" s="100">
        <f>IF(AND(SamplingData[[#This Row],[Total]]&lt;&gt; 0, NOT(ISBLANK(SamplingData[[#This Row],[Candidate 6]]))),(SamplingData[[#This Row],[Total]]+SamplingData[[#This Row],[Losing Candidate]]-SamplingData[[#This Row],[Candidate 6]])/(SamplingData[[#Totals],[Winning Candidate]]-SamplingData[[#Totals],[Candidate 6]]), 0)</f>
        <v>0</v>
      </c>
      <c r="V903" s="100">
        <f>IF(AND(SamplingData[[#This Row],[Total]]&lt;&gt; 0, NOT(ISBLANK(SamplingData[[#This Row],[Candidate 7]]))),(SamplingData[[#This Row],[Total]]+SamplingData[[#This Row],[Winning Candidate]]-SamplingData[[#This Row],[Candidate 7]])/(SamplingData[[#Totals],[Winning Candidate]]-SamplingData[[#Totals],[Candidate 7]]), 0)</f>
        <v>0</v>
      </c>
      <c r="W903" s="100">
        <f>IF(AND(SamplingData[[#This Row],[Total]]&lt;&gt; 0, NOT(ISBLANK(SamplingData[[#This Row],[Candidate 8]]))),(SamplingData[[#This Row],[Total]]+SamplingData[[#This Row],[Winning Candidate]]-SamplingData[[#This Row],[Candidate 8]])/(SamplingData[[#Totals],[Winning Candidate]]-SamplingData[[#Totals],[Candidate 8]]), 0)</f>
        <v>0</v>
      </c>
      <c r="X9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00">
        <f>MAX(SamplingData[[#This Row],[Error Bound (up) - Max. possible relative overstatement - Losing Candidate]:[Error Bound (up) - Max. possible relative overstatement - Candidate 12]])</f>
        <v>7.0044288092471025E-3</v>
      </c>
      <c r="AC903" s="100">
        <f>IF(SamplingData[[#This Row],[Max Error Bound (up)]] = 0,0,SamplingData[[#This Row],[Max Error Bound (up)]]/SamplingData[[#Totals],[Max Error Bound (up)]])</f>
        <v>3.0016690895385786E-3</v>
      </c>
      <c r="AD903" s="104">
        <f>SUM($AC$5:AC903)</f>
        <v>0.50584181338502165</v>
      </c>
      <c r="AE903" s="100" t="str" cm="1">
        <f t="array" ref="AE903">IF(SamplingData[[#This Row],[up/U Selection Probability]] = 0, "Zero", TEXT(SamplingData[[#This Row],[Lower Range]], REPT("0",LEN('General Info'!$B$42))) &amp; " - " &amp; TEXT(SamplingData[[#This Row],[Upper Range]], REPT("0",LEN('General Info'!$B$42))))</f>
        <v>50284 - 50583</v>
      </c>
      <c r="AF903" s="100">
        <f>SamplingData[[#This Row],[Upper Range]]-SamplingData[[#This Row],[Span]]</f>
        <v>50284.014429548311</v>
      </c>
      <c r="AG903" s="100">
        <f>IF(ISNUMBER('General Info'!$B$42), ((SamplingData[[#This Row],[up/U Selection Probability]]) * 'General Info'!$B$44) - 1, 0)</f>
        <v>299.16690895385784</v>
      </c>
      <c r="AH903" s="100">
        <f>IF(ISNUMBER('General Info'!$B$42), (SamplingData[[#This Row],[Running (cumulative) sum]] * ('General Info'!$B$42 -'General Info'!$B$43 + 1)) + 'General Info'!$B$43 - 1, 0)</f>
        <v>50583.181338502167</v>
      </c>
      <c r="AI903" s="100" t="str">
        <f>IF(ISERROR(MATCH(SamplingData[[#This Row],[Batch by Type (p)]],SelectedPrecincts[Batch Name], 0)), "", INDEX(SelectedPrecincts[Draw], MATCH(SamplingData[[#This Row],[Batch by Type (p)]],SelectedPrecincts[Batch Name], 0)))</f>
        <v/>
      </c>
      <c r="AJ903" s="101">
        <f>IF(COUNTIF(SelectedPrecincts[Batch Name],SamplingData[[#This Row],[Batch by Type (p)]]) &lt;&gt; 0, COUNTIF(SelectedPrecincts[Batch Name],SamplingData[[#This Row],[Batch by Type (p)]]), 0)</f>
        <v>0</v>
      </c>
    </row>
    <row r="904" spans="1:36" ht="15" customHeight="1" x14ac:dyDescent="0.35">
      <c r="A904" s="98" t="s">
        <v>1115</v>
      </c>
      <c r="B904" s="98">
        <v>53</v>
      </c>
      <c r="C904" s="98">
        <v>6</v>
      </c>
      <c r="D904" s="93"/>
      <c r="E904" s="93"/>
      <c r="F904" s="93"/>
      <c r="G904" s="97"/>
      <c r="H904" s="97"/>
      <c r="I904" s="93"/>
      <c r="J904" s="93"/>
      <c r="K904" s="93"/>
      <c r="L904" s="93"/>
      <c r="M904" s="93"/>
      <c r="N904" s="98">
        <v>0</v>
      </c>
      <c r="O904" s="98">
        <v>1</v>
      </c>
      <c r="P904" s="99">
        <f>SUM(SamplingData[[#This Row],[Winning Candidate]:[Under Votes]])</f>
        <v>60</v>
      </c>
      <c r="Q904" s="100">
        <f>IF(AND(SamplingData[[#This Row],[Total]]&lt;&gt; 0, NOT(ISBLANK(SamplingData[[#This Row],[Losing Candidate]]))),(SamplingData[[#This Row],[Total]]+SamplingData[[#This Row],[Winning Candidate]]-SamplingData[[#This Row],[Losing Candidate]])/(SamplingData[[#Totals],[Winning Candidate]]-SamplingData[[#Totals],[Losing Candidate]]), 0)</f>
        <v>3.3608694286521973E-3</v>
      </c>
      <c r="R904" s="100">
        <f>IF(AND(SamplingData[[#This Row],[Total]]&lt;&gt; 0, NOT(ISBLANK(SamplingData[[#This Row],[Candidate 3]]))),(SamplingData[[#This Row],[Total]]+SamplingData[[#This Row],[Winning Candidate]]-SamplingData[[#This Row],[Candidate 3]])/(SamplingData[[#Totals],[Winning Candidate]]-SamplingData[[#Totals],[Candidate 3]]), 0)</f>
        <v>0</v>
      </c>
      <c r="S904" s="100">
        <f>IF(AND(SamplingData[[#This Row],[Total]]&lt;&gt; 0, NOT(ISBLANK(SamplingData[[#This Row],[Candidate 4]]))),(SamplingData[[#This Row],[Total]]+SamplingData[[#This Row],[Winning Candidate]]-SamplingData[[#This Row],[Candidate 4]])/(SamplingData[[#Totals],[Winning Candidate]]-SamplingData[[#Totals],[Candidate 4]]), 0)</f>
        <v>0</v>
      </c>
      <c r="T904" s="100">
        <f>IF(AND(SamplingData[[#This Row],[Total]]&lt;&gt; 0, NOT(ISBLANK(SamplingData[[#This Row],[Candidate 5]]))),(SamplingData[[#This Row],[Total]]+SamplingData[[#This Row],[Winning Candidate]]-SamplingData[[#This Row],[Candidate 5]])/(SamplingData[[#Totals],[Winning Candidate]]-SamplingData[[#Totals],[Candidate 5]]), 0)</f>
        <v>0</v>
      </c>
      <c r="U904" s="100">
        <f>IF(AND(SamplingData[[#This Row],[Total]]&lt;&gt; 0, NOT(ISBLANK(SamplingData[[#This Row],[Candidate 6]]))),(SamplingData[[#This Row],[Total]]+SamplingData[[#This Row],[Losing Candidate]]-SamplingData[[#This Row],[Candidate 6]])/(SamplingData[[#Totals],[Winning Candidate]]-SamplingData[[#Totals],[Candidate 6]]), 0)</f>
        <v>0</v>
      </c>
      <c r="V904" s="100">
        <f>IF(AND(SamplingData[[#This Row],[Total]]&lt;&gt; 0, NOT(ISBLANK(SamplingData[[#This Row],[Candidate 7]]))),(SamplingData[[#This Row],[Total]]+SamplingData[[#This Row],[Winning Candidate]]-SamplingData[[#This Row],[Candidate 7]])/(SamplingData[[#Totals],[Winning Candidate]]-SamplingData[[#Totals],[Candidate 7]]), 0)</f>
        <v>0</v>
      </c>
      <c r="W904" s="100">
        <f>IF(AND(SamplingData[[#This Row],[Total]]&lt;&gt; 0, NOT(ISBLANK(SamplingData[[#This Row],[Candidate 8]]))),(SamplingData[[#This Row],[Total]]+SamplingData[[#This Row],[Winning Candidate]]-SamplingData[[#This Row],[Candidate 8]])/(SamplingData[[#Totals],[Winning Candidate]]-SamplingData[[#Totals],[Candidate 8]]), 0)</f>
        <v>0</v>
      </c>
      <c r="X9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00">
        <f>MAX(SamplingData[[#This Row],[Error Bound (up) - Max. possible relative overstatement - Losing Candidate]:[Error Bound (up) - Max. possible relative overstatement - Candidate 12]])</f>
        <v>3.3608694286521973E-3</v>
      </c>
      <c r="AC904" s="100">
        <f>IF(SamplingData[[#This Row],[Max Error Bound (up)]] = 0,0,SamplingData[[#This Row],[Max Error Bound (up)]]/SamplingData[[#Totals],[Max Error Bound (up)]])</f>
        <v>1.4402627469983316E-3</v>
      </c>
      <c r="AD904" s="104">
        <f>SUM($AC$5:AC904)</f>
        <v>0.50728207613202003</v>
      </c>
      <c r="AE904" s="100" t="str" cm="1">
        <f t="array" ref="AE904">IF(SamplingData[[#This Row],[up/U Selection Probability]] = 0, "Zero", TEXT(SamplingData[[#This Row],[Lower Range]], REPT("0",LEN('General Info'!$B$42))) &amp; " - " &amp; TEXT(SamplingData[[#This Row],[Upper Range]], REPT("0",LEN('General Info'!$B$42))))</f>
        <v>50584 - 50727</v>
      </c>
      <c r="AF904" s="100">
        <f>SamplingData[[#This Row],[Upper Range]]-SamplingData[[#This Row],[Span]]</f>
        <v>50584.181338502167</v>
      </c>
      <c r="AG904" s="100">
        <f>IF(ISNUMBER('General Info'!$B$42), ((SamplingData[[#This Row],[up/U Selection Probability]]) * 'General Info'!$B$44) - 1, 0)</f>
        <v>143.02627469983315</v>
      </c>
      <c r="AH904" s="100">
        <f>IF(ISNUMBER('General Info'!$B$42), (SamplingData[[#This Row],[Running (cumulative) sum]] * ('General Info'!$B$42 -'General Info'!$B$43 + 1)) + 'General Info'!$B$43 - 1, 0)</f>
        <v>50727.207613202001</v>
      </c>
      <c r="AI904" s="100" t="str">
        <f>IF(ISERROR(MATCH(SamplingData[[#This Row],[Batch by Type (p)]],SelectedPrecincts[Batch Name], 0)), "", INDEX(SelectedPrecincts[Draw], MATCH(SamplingData[[#This Row],[Batch by Type (p)]],SelectedPrecincts[Batch Name], 0)))</f>
        <v/>
      </c>
      <c r="AJ904" s="101">
        <f>IF(COUNTIF(SelectedPrecincts[Batch Name],SamplingData[[#This Row],[Batch by Type (p)]]) &lt;&gt; 0, COUNTIF(SelectedPrecincts[Batch Name],SamplingData[[#This Row],[Batch by Type (p)]]), 0)</f>
        <v>0</v>
      </c>
    </row>
    <row r="905" spans="1:36" ht="15" customHeight="1" x14ac:dyDescent="0.35">
      <c r="A905" s="98" t="s">
        <v>1116</v>
      </c>
      <c r="B905" s="98">
        <v>60</v>
      </c>
      <c r="C905" s="98">
        <v>5</v>
      </c>
      <c r="D905" s="93"/>
      <c r="E905" s="93"/>
      <c r="F905" s="93"/>
      <c r="G905" s="97"/>
      <c r="H905" s="97"/>
      <c r="I905" s="93"/>
      <c r="J905" s="93"/>
      <c r="K905" s="93"/>
      <c r="L905" s="93"/>
      <c r="M905" s="93"/>
      <c r="N905" s="98">
        <v>0</v>
      </c>
      <c r="O905" s="98">
        <v>2</v>
      </c>
      <c r="P905" s="99">
        <f>SUM(SamplingData[[#This Row],[Winning Candidate]:[Under Votes]])</f>
        <v>67</v>
      </c>
      <c r="Q905" s="100">
        <f>IF(AND(SamplingData[[#This Row],[Total]]&lt;&gt; 0, NOT(ISBLANK(SamplingData[[#This Row],[Losing Candidate]]))),(SamplingData[[#This Row],[Total]]+SamplingData[[#This Row],[Winning Candidate]]-SamplingData[[#This Row],[Losing Candidate]])/(SamplingData[[#Totals],[Winning Candidate]]-SamplingData[[#Totals],[Losing Candidate]]), 0)</f>
        <v>3.8320193485567107E-3</v>
      </c>
      <c r="R905" s="100">
        <f>IF(AND(SamplingData[[#This Row],[Total]]&lt;&gt; 0, NOT(ISBLANK(SamplingData[[#This Row],[Candidate 3]]))),(SamplingData[[#This Row],[Total]]+SamplingData[[#This Row],[Winning Candidate]]-SamplingData[[#This Row],[Candidate 3]])/(SamplingData[[#Totals],[Winning Candidate]]-SamplingData[[#Totals],[Candidate 3]]), 0)</f>
        <v>0</v>
      </c>
      <c r="S905" s="100">
        <f>IF(AND(SamplingData[[#This Row],[Total]]&lt;&gt; 0, NOT(ISBLANK(SamplingData[[#This Row],[Candidate 4]]))),(SamplingData[[#This Row],[Total]]+SamplingData[[#This Row],[Winning Candidate]]-SamplingData[[#This Row],[Candidate 4]])/(SamplingData[[#Totals],[Winning Candidate]]-SamplingData[[#Totals],[Candidate 4]]), 0)</f>
        <v>0</v>
      </c>
      <c r="T905" s="100">
        <f>IF(AND(SamplingData[[#This Row],[Total]]&lt;&gt; 0, NOT(ISBLANK(SamplingData[[#This Row],[Candidate 5]]))),(SamplingData[[#This Row],[Total]]+SamplingData[[#This Row],[Winning Candidate]]-SamplingData[[#This Row],[Candidate 5]])/(SamplingData[[#Totals],[Winning Candidate]]-SamplingData[[#Totals],[Candidate 5]]), 0)</f>
        <v>0</v>
      </c>
      <c r="U905" s="100">
        <f>IF(AND(SamplingData[[#This Row],[Total]]&lt;&gt; 0, NOT(ISBLANK(SamplingData[[#This Row],[Candidate 6]]))),(SamplingData[[#This Row],[Total]]+SamplingData[[#This Row],[Losing Candidate]]-SamplingData[[#This Row],[Candidate 6]])/(SamplingData[[#Totals],[Winning Candidate]]-SamplingData[[#Totals],[Candidate 6]]), 0)</f>
        <v>0</v>
      </c>
      <c r="V905" s="100">
        <f>IF(AND(SamplingData[[#This Row],[Total]]&lt;&gt; 0, NOT(ISBLANK(SamplingData[[#This Row],[Candidate 7]]))),(SamplingData[[#This Row],[Total]]+SamplingData[[#This Row],[Winning Candidate]]-SamplingData[[#This Row],[Candidate 7]])/(SamplingData[[#Totals],[Winning Candidate]]-SamplingData[[#Totals],[Candidate 7]]), 0)</f>
        <v>0</v>
      </c>
      <c r="W905" s="100">
        <f>IF(AND(SamplingData[[#This Row],[Total]]&lt;&gt; 0, NOT(ISBLANK(SamplingData[[#This Row],[Candidate 8]]))),(SamplingData[[#This Row],[Total]]+SamplingData[[#This Row],[Winning Candidate]]-SamplingData[[#This Row],[Candidate 8]])/(SamplingData[[#Totals],[Winning Candidate]]-SamplingData[[#Totals],[Candidate 8]]), 0)</f>
        <v>0</v>
      </c>
      <c r="X9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00">
        <f>MAX(SamplingData[[#This Row],[Error Bound (up) - Max. possible relative overstatement - Losing Candidate]:[Error Bound (up) - Max. possible relative overstatement - Candidate 12]])</f>
        <v>3.8320193485567107E-3</v>
      </c>
      <c r="AC905" s="100">
        <f>IF(SamplingData[[#This Row],[Max Error Bound (up)]] = 0,0,SamplingData[[#This Row],[Max Error Bound (up)]]/SamplingData[[#Totals],[Max Error Bound (up)]])</f>
        <v>1.642168739568191E-3</v>
      </c>
      <c r="AD905" s="104">
        <f>SUM($AC$5:AC905)</f>
        <v>0.50892424487158827</v>
      </c>
      <c r="AE905" s="100" t="str" cm="1">
        <f t="array" ref="AE905">IF(SamplingData[[#This Row],[up/U Selection Probability]] = 0, "Zero", TEXT(SamplingData[[#This Row],[Lower Range]], REPT("0",LEN('General Info'!$B$42))) &amp; " - " &amp; TEXT(SamplingData[[#This Row],[Upper Range]], REPT("0",LEN('General Info'!$B$42))))</f>
        <v>50728 - 50891</v>
      </c>
      <c r="AF905" s="100">
        <f>SamplingData[[#This Row],[Upper Range]]-SamplingData[[#This Row],[Span]]</f>
        <v>50728.207613202008</v>
      </c>
      <c r="AG905" s="100">
        <f>IF(ISNUMBER('General Info'!$B$42), ((SamplingData[[#This Row],[up/U Selection Probability]]) * 'General Info'!$B$44) - 1, 0)</f>
        <v>163.21687395681911</v>
      </c>
      <c r="AH905" s="100">
        <f>IF(ISNUMBER('General Info'!$B$42), (SamplingData[[#This Row],[Running (cumulative) sum]] * ('General Info'!$B$42 -'General Info'!$B$43 + 1)) + 'General Info'!$B$43 - 1, 0)</f>
        <v>50891.424487158831</v>
      </c>
      <c r="AI905" s="100" t="str">
        <f>IF(ISERROR(MATCH(SamplingData[[#This Row],[Batch by Type (p)]],SelectedPrecincts[Batch Name], 0)), "", INDEX(SelectedPrecincts[Draw], MATCH(SamplingData[[#This Row],[Batch by Type (p)]],SelectedPrecincts[Batch Name], 0)))</f>
        <v/>
      </c>
      <c r="AJ905" s="101">
        <f>IF(COUNTIF(SelectedPrecincts[Batch Name],SamplingData[[#This Row],[Batch by Type (p)]]) &lt;&gt; 0, COUNTIF(SelectedPrecincts[Batch Name],SamplingData[[#This Row],[Batch by Type (p)]]), 0)</f>
        <v>0</v>
      </c>
    </row>
    <row r="906" spans="1:36" ht="15" customHeight="1" x14ac:dyDescent="0.35">
      <c r="A906" s="98" t="s">
        <v>1117</v>
      </c>
      <c r="B906" s="98">
        <v>62</v>
      </c>
      <c r="C906" s="98">
        <v>9</v>
      </c>
      <c r="D906" s="93"/>
      <c r="E906" s="93"/>
      <c r="F906" s="93"/>
      <c r="G906" s="97"/>
      <c r="H906" s="97"/>
      <c r="I906" s="93"/>
      <c r="J906" s="93"/>
      <c r="K906" s="93"/>
      <c r="L906" s="93"/>
      <c r="M906" s="93"/>
      <c r="N906" s="98">
        <v>0</v>
      </c>
      <c r="O906" s="98">
        <v>2</v>
      </c>
      <c r="P906" s="99">
        <f>SUM(SamplingData[[#This Row],[Winning Candidate]:[Under Votes]])</f>
        <v>73</v>
      </c>
      <c r="Q906" s="100">
        <f>IF(AND(SamplingData[[#This Row],[Total]]&lt;&gt; 0, NOT(ISBLANK(SamplingData[[#This Row],[Losing Candidate]]))),(SamplingData[[#This Row],[Total]]+SamplingData[[#This Row],[Winning Candidate]]-SamplingData[[#This Row],[Losing Candidate]])/(SamplingData[[#Totals],[Winning Candidate]]-SamplingData[[#Totals],[Losing Candidate]]), 0)</f>
        <v>3.9576593271979143E-3</v>
      </c>
      <c r="R906" s="100">
        <f>IF(AND(SamplingData[[#This Row],[Total]]&lt;&gt; 0, NOT(ISBLANK(SamplingData[[#This Row],[Candidate 3]]))),(SamplingData[[#This Row],[Total]]+SamplingData[[#This Row],[Winning Candidate]]-SamplingData[[#This Row],[Candidate 3]])/(SamplingData[[#Totals],[Winning Candidate]]-SamplingData[[#Totals],[Candidate 3]]), 0)</f>
        <v>0</v>
      </c>
      <c r="S906" s="100">
        <f>IF(AND(SamplingData[[#This Row],[Total]]&lt;&gt; 0, NOT(ISBLANK(SamplingData[[#This Row],[Candidate 4]]))),(SamplingData[[#This Row],[Total]]+SamplingData[[#This Row],[Winning Candidate]]-SamplingData[[#This Row],[Candidate 4]])/(SamplingData[[#Totals],[Winning Candidate]]-SamplingData[[#Totals],[Candidate 4]]), 0)</f>
        <v>0</v>
      </c>
      <c r="T906" s="100">
        <f>IF(AND(SamplingData[[#This Row],[Total]]&lt;&gt; 0, NOT(ISBLANK(SamplingData[[#This Row],[Candidate 5]]))),(SamplingData[[#This Row],[Total]]+SamplingData[[#This Row],[Winning Candidate]]-SamplingData[[#This Row],[Candidate 5]])/(SamplingData[[#Totals],[Winning Candidate]]-SamplingData[[#Totals],[Candidate 5]]), 0)</f>
        <v>0</v>
      </c>
      <c r="U906" s="100">
        <f>IF(AND(SamplingData[[#This Row],[Total]]&lt;&gt; 0, NOT(ISBLANK(SamplingData[[#This Row],[Candidate 6]]))),(SamplingData[[#This Row],[Total]]+SamplingData[[#This Row],[Losing Candidate]]-SamplingData[[#This Row],[Candidate 6]])/(SamplingData[[#Totals],[Winning Candidate]]-SamplingData[[#Totals],[Candidate 6]]), 0)</f>
        <v>0</v>
      </c>
      <c r="V906" s="100">
        <f>IF(AND(SamplingData[[#This Row],[Total]]&lt;&gt; 0, NOT(ISBLANK(SamplingData[[#This Row],[Candidate 7]]))),(SamplingData[[#This Row],[Total]]+SamplingData[[#This Row],[Winning Candidate]]-SamplingData[[#This Row],[Candidate 7]])/(SamplingData[[#Totals],[Winning Candidate]]-SamplingData[[#Totals],[Candidate 7]]), 0)</f>
        <v>0</v>
      </c>
      <c r="W906" s="100">
        <f>IF(AND(SamplingData[[#This Row],[Total]]&lt;&gt; 0, NOT(ISBLANK(SamplingData[[#This Row],[Candidate 8]]))),(SamplingData[[#This Row],[Total]]+SamplingData[[#This Row],[Winning Candidate]]-SamplingData[[#This Row],[Candidate 8]])/(SamplingData[[#Totals],[Winning Candidate]]-SamplingData[[#Totals],[Candidate 8]]), 0)</f>
        <v>0</v>
      </c>
      <c r="X9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00">
        <f>MAX(SamplingData[[#This Row],[Error Bound (up) - Max. possible relative overstatement - Losing Candidate]:[Error Bound (up) - Max. possible relative overstatement - Candidate 12]])</f>
        <v>3.9576593271979143E-3</v>
      </c>
      <c r="AC906" s="100">
        <f>IF(SamplingData[[#This Row],[Max Error Bound (up)]] = 0,0,SamplingData[[#This Row],[Max Error Bound (up)]]/SamplingData[[#Totals],[Max Error Bound (up)]])</f>
        <v>1.6960103375868202E-3</v>
      </c>
      <c r="AD906" s="104">
        <f>SUM($AC$5:AC906)</f>
        <v>0.51062025520917509</v>
      </c>
      <c r="AE906" s="100" t="str" cm="1">
        <f t="array" ref="AE906">IF(SamplingData[[#This Row],[up/U Selection Probability]] = 0, "Zero", TEXT(SamplingData[[#This Row],[Lower Range]], REPT("0",LEN('General Info'!$B$42))) &amp; " - " &amp; TEXT(SamplingData[[#This Row],[Upper Range]], REPT("0",LEN('General Info'!$B$42))))</f>
        <v>50892 - 51061</v>
      </c>
      <c r="AF906" s="100">
        <f>SamplingData[[#This Row],[Upper Range]]-SamplingData[[#This Row],[Span]]</f>
        <v>50892.424487158823</v>
      </c>
      <c r="AG906" s="100">
        <f>IF(ISNUMBER('General Info'!$B$42), ((SamplingData[[#This Row],[up/U Selection Probability]]) * 'General Info'!$B$44) - 1, 0)</f>
        <v>168.60103375868204</v>
      </c>
      <c r="AH906" s="100">
        <f>IF(ISNUMBER('General Info'!$B$42), (SamplingData[[#This Row],[Running (cumulative) sum]] * ('General Info'!$B$42 -'General Info'!$B$43 + 1)) + 'General Info'!$B$43 - 1, 0)</f>
        <v>51061.025520917508</v>
      </c>
      <c r="AI906" s="100" t="str">
        <f>IF(ISERROR(MATCH(SamplingData[[#This Row],[Batch by Type (p)]],SelectedPrecincts[Batch Name], 0)), "", INDEX(SelectedPrecincts[Draw], MATCH(SamplingData[[#This Row],[Batch by Type (p)]],SelectedPrecincts[Batch Name], 0)))</f>
        <v/>
      </c>
      <c r="AJ906" s="101">
        <f>IF(COUNTIF(SelectedPrecincts[Batch Name],SamplingData[[#This Row],[Batch by Type (p)]]) &lt;&gt; 0, COUNTIF(SelectedPrecincts[Batch Name],SamplingData[[#This Row],[Batch by Type (p)]]), 0)</f>
        <v>0</v>
      </c>
    </row>
    <row r="907" spans="1:36" ht="15" customHeight="1" x14ac:dyDescent="0.35">
      <c r="A907" s="98" t="s">
        <v>1118</v>
      </c>
      <c r="B907" s="98">
        <v>52</v>
      </c>
      <c r="C907" s="98">
        <v>10</v>
      </c>
      <c r="D907" s="93"/>
      <c r="E907" s="93"/>
      <c r="F907" s="93"/>
      <c r="G907" s="97"/>
      <c r="H907" s="97"/>
      <c r="I907" s="93"/>
      <c r="J907" s="93"/>
      <c r="K907" s="93"/>
      <c r="L907" s="93"/>
      <c r="M907" s="93"/>
      <c r="N907" s="98">
        <v>0</v>
      </c>
      <c r="O907" s="98">
        <v>0</v>
      </c>
      <c r="P907" s="99">
        <f>SUM(SamplingData[[#This Row],[Winning Candidate]:[Under Votes]])</f>
        <v>62</v>
      </c>
      <c r="Q907" s="100">
        <f>IF(AND(SamplingData[[#This Row],[Total]]&lt;&gt; 0, NOT(ISBLANK(SamplingData[[#This Row],[Losing Candidate]]))),(SamplingData[[#This Row],[Total]]+SamplingData[[#This Row],[Winning Candidate]]-SamplingData[[#This Row],[Losing Candidate]])/(SamplingData[[#Totals],[Winning Candidate]]-SamplingData[[#Totals],[Losing Candidate]]), 0)</f>
        <v>3.2666394446712946E-3</v>
      </c>
      <c r="R907" s="100">
        <f>IF(AND(SamplingData[[#This Row],[Total]]&lt;&gt; 0, NOT(ISBLANK(SamplingData[[#This Row],[Candidate 3]]))),(SamplingData[[#This Row],[Total]]+SamplingData[[#This Row],[Winning Candidate]]-SamplingData[[#This Row],[Candidate 3]])/(SamplingData[[#Totals],[Winning Candidate]]-SamplingData[[#Totals],[Candidate 3]]), 0)</f>
        <v>0</v>
      </c>
      <c r="S907" s="100">
        <f>IF(AND(SamplingData[[#This Row],[Total]]&lt;&gt; 0, NOT(ISBLANK(SamplingData[[#This Row],[Candidate 4]]))),(SamplingData[[#This Row],[Total]]+SamplingData[[#This Row],[Winning Candidate]]-SamplingData[[#This Row],[Candidate 4]])/(SamplingData[[#Totals],[Winning Candidate]]-SamplingData[[#Totals],[Candidate 4]]), 0)</f>
        <v>0</v>
      </c>
      <c r="T907" s="100">
        <f>IF(AND(SamplingData[[#This Row],[Total]]&lt;&gt; 0, NOT(ISBLANK(SamplingData[[#This Row],[Candidate 5]]))),(SamplingData[[#This Row],[Total]]+SamplingData[[#This Row],[Winning Candidate]]-SamplingData[[#This Row],[Candidate 5]])/(SamplingData[[#Totals],[Winning Candidate]]-SamplingData[[#Totals],[Candidate 5]]), 0)</f>
        <v>0</v>
      </c>
      <c r="U907" s="100">
        <f>IF(AND(SamplingData[[#This Row],[Total]]&lt;&gt; 0, NOT(ISBLANK(SamplingData[[#This Row],[Candidate 6]]))),(SamplingData[[#This Row],[Total]]+SamplingData[[#This Row],[Losing Candidate]]-SamplingData[[#This Row],[Candidate 6]])/(SamplingData[[#Totals],[Winning Candidate]]-SamplingData[[#Totals],[Candidate 6]]), 0)</f>
        <v>0</v>
      </c>
      <c r="V907" s="100">
        <f>IF(AND(SamplingData[[#This Row],[Total]]&lt;&gt; 0, NOT(ISBLANK(SamplingData[[#This Row],[Candidate 7]]))),(SamplingData[[#This Row],[Total]]+SamplingData[[#This Row],[Winning Candidate]]-SamplingData[[#This Row],[Candidate 7]])/(SamplingData[[#Totals],[Winning Candidate]]-SamplingData[[#Totals],[Candidate 7]]), 0)</f>
        <v>0</v>
      </c>
      <c r="W907" s="100">
        <f>IF(AND(SamplingData[[#This Row],[Total]]&lt;&gt; 0, NOT(ISBLANK(SamplingData[[#This Row],[Candidate 8]]))),(SamplingData[[#This Row],[Total]]+SamplingData[[#This Row],[Winning Candidate]]-SamplingData[[#This Row],[Candidate 8]])/(SamplingData[[#Totals],[Winning Candidate]]-SamplingData[[#Totals],[Candidate 8]]), 0)</f>
        <v>0</v>
      </c>
      <c r="X9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00">
        <f>MAX(SamplingData[[#This Row],[Error Bound (up) - Max. possible relative overstatement - Losing Candidate]:[Error Bound (up) - Max. possible relative overstatement - Candidate 12]])</f>
        <v>3.2666394446712946E-3</v>
      </c>
      <c r="AC907" s="100">
        <f>IF(SamplingData[[#This Row],[Max Error Bound (up)]] = 0,0,SamplingData[[#This Row],[Max Error Bound (up)]]/SamplingData[[#Totals],[Max Error Bound (up)]])</f>
        <v>1.3998815484843597E-3</v>
      </c>
      <c r="AD907" s="104">
        <f>SUM($AC$5:AC907)</f>
        <v>0.51202013675765945</v>
      </c>
      <c r="AE907" s="100" t="str" cm="1">
        <f t="array" ref="AE907">IF(SamplingData[[#This Row],[up/U Selection Probability]] = 0, "Zero", TEXT(SamplingData[[#This Row],[Lower Range]], REPT("0",LEN('General Info'!$B$42))) &amp; " - " &amp; TEXT(SamplingData[[#This Row],[Upper Range]], REPT("0",LEN('General Info'!$B$42))))</f>
        <v>51062 - 51201</v>
      </c>
      <c r="AF907" s="100">
        <f>SamplingData[[#This Row],[Upper Range]]-SamplingData[[#This Row],[Span]]</f>
        <v>51062.025520917508</v>
      </c>
      <c r="AG907" s="100">
        <f>IF(ISNUMBER('General Info'!$B$42), ((SamplingData[[#This Row],[up/U Selection Probability]]) * 'General Info'!$B$44) - 1, 0)</f>
        <v>138.98815484843595</v>
      </c>
      <c r="AH907" s="100">
        <f>IF(ISNUMBER('General Info'!$B$42), (SamplingData[[#This Row],[Running (cumulative) sum]] * ('General Info'!$B$42 -'General Info'!$B$43 + 1)) + 'General Info'!$B$43 - 1, 0)</f>
        <v>51201.013675765942</v>
      </c>
      <c r="AI907" s="100" t="str">
        <f>IF(ISERROR(MATCH(SamplingData[[#This Row],[Batch by Type (p)]],SelectedPrecincts[Batch Name], 0)), "", INDEX(SelectedPrecincts[Draw], MATCH(SamplingData[[#This Row],[Batch by Type (p)]],SelectedPrecincts[Batch Name], 0)))</f>
        <v/>
      </c>
      <c r="AJ907" s="101">
        <f>IF(COUNTIF(SelectedPrecincts[Batch Name],SamplingData[[#This Row],[Batch by Type (p)]]) &lt;&gt; 0, COUNTIF(SelectedPrecincts[Batch Name],SamplingData[[#This Row],[Batch by Type (p)]]), 0)</f>
        <v>0</v>
      </c>
    </row>
    <row r="908" spans="1:36" ht="15" customHeight="1" x14ac:dyDescent="0.35">
      <c r="A908" s="98" t="s">
        <v>1119</v>
      </c>
      <c r="B908" s="98">
        <v>90</v>
      </c>
      <c r="C908" s="98">
        <v>9</v>
      </c>
      <c r="D908" s="93"/>
      <c r="E908" s="93"/>
      <c r="F908" s="93"/>
      <c r="G908" s="97"/>
      <c r="H908" s="97"/>
      <c r="I908" s="93"/>
      <c r="J908" s="93"/>
      <c r="K908" s="93"/>
      <c r="L908" s="93"/>
      <c r="M908" s="93"/>
      <c r="N908" s="98">
        <v>0</v>
      </c>
      <c r="O908" s="98">
        <v>0</v>
      </c>
      <c r="P908" s="99">
        <f>SUM(SamplingData[[#This Row],[Winning Candidate]:[Under Votes]])</f>
        <v>99</v>
      </c>
      <c r="Q908" s="100">
        <f>IF(AND(SamplingData[[#This Row],[Total]]&lt;&gt; 0, NOT(ISBLANK(SamplingData[[#This Row],[Losing Candidate]]))),(SamplingData[[#This Row],[Total]]+SamplingData[[#This Row],[Winning Candidate]]-SamplingData[[#This Row],[Losing Candidate]])/(SamplingData[[#Totals],[Winning Candidate]]-SamplingData[[#Totals],[Losing Candidate]]), 0)</f>
        <v>5.6537990388541631E-3</v>
      </c>
      <c r="R908" s="100">
        <f>IF(AND(SamplingData[[#This Row],[Total]]&lt;&gt; 0, NOT(ISBLANK(SamplingData[[#This Row],[Candidate 3]]))),(SamplingData[[#This Row],[Total]]+SamplingData[[#This Row],[Winning Candidate]]-SamplingData[[#This Row],[Candidate 3]])/(SamplingData[[#Totals],[Winning Candidate]]-SamplingData[[#Totals],[Candidate 3]]), 0)</f>
        <v>0</v>
      </c>
      <c r="S908" s="100">
        <f>IF(AND(SamplingData[[#This Row],[Total]]&lt;&gt; 0, NOT(ISBLANK(SamplingData[[#This Row],[Candidate 4]]))),(SamplingData[[#This Row],[Total]]+SamplingData[[#This Row],[Winning Candidate]]-SamplingData[[#This Row],[Candidate 4]])/(SamplingData[[#Totals],[Winning Candidate]]-SamplingData[[#Totals],[Candidate 4]]), 0)</f>
        <v>0</v>
      </c>
      <c r="T908" s="100">
        <f>IF(AND(SamplingData[[#This Row],[Total]]&lt;&gt; 0, NOT(ISBLANK(SamplingData[[#This Row],[Candidate 5]]))),(SamplingData[[#This Row],[Total]]+SamplingData[[#This Row],[Winning Candidate]]-SamplingData[[#This Row],[Candidate 5]])/(SamplingData[[#Totals],[Winning Candidate]]-SamplingData[[#Totals],[Candidate 5]]), 0)</f>
        <v>0</v>
      </c>
      <c r="U908" s="100">
        <f>IF(AND(SamplingData[[#This Row],[Total]]&lt;&gt; 0, NOT(ISBLANK(SamplingData[[#This Row],[Candidate 6]]))),(SamplingData[[#This Row],[Total]]+SamplingData[[#This Row],[Losing Candidate]]-SamplingData[[#This Row],[Candidate 6]])/(SamplingData[[#Totals],[Winning Candidate]]-SamplingData[[#Totals],[Candidate 6]]), 0)</f>
        <v>0</v>
      </c>
      <c r="V908" s="100">
        <f>IF(AND(SamplingData[[#This Row],[Total]]&lt;&gt; 0, NOT(ISBLANK(SamplingData[[#This Row],[Candidate 7]]))),(SamplingData[[#This Row],[Total]]+SamplingData[[#This Row],[Winning Candidate]]-SamplingData[[#This Row],[Candidate 7]])/(SamplingData[[#Totals],[Winning Candidate]]-SamplingData[[#Totals],[Candidate 7]]), 0)</f>
        <v>0</v>
      </c>
      <c r="W908" s="100">
        <f>IF(AND(SamplingData[[#This Row],[Total]]&lt;&gt; 0, NOT(ISBLANK(SamplingData[[#This Row],[Candidate 8]]))),(SamplingData[[#This Row],[Total]]+SamplingData[[#This Row],[Winning Candidate]]-SamplingData[[#This Row],[Candidate 8]])/(SamplingData[[#Totals],[Winning Candidate]]-SamplingData[[#Totals],[Candidate 8]]), 0)</f>
        <v>0</v>
      </c>
      <c r="X9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00">
        <f>MAX(SamplingData[[#This Row],[Error Bound (up) - Max. possible relative overstatement - Losing Candidate]:[Error Bound (up) - Max. possible relative overstatement - Candidate 12]])</f>
        <v>5.6537990388541631E-3</v>
      </c>
      <c r="AC908" s="100">
        <f>IF(SamplingData[[#This Row],[Max Error Bound (up)]] = 0,0,SamplingData[[#This Row],[Max Error Bound (up)]]/SamplingData[[#Totals],[Max Error Bound (up)]])</f>
        <v>2.4228719108383145E-3</v>
      </c>
      <c r="AD908" s="104">
        <f>SUM($AC$5:AC908)</f>
        <v>0.51444300866849779</v>
      </c>
      <c r="AE908" s="100" t="str" cm="1">
        <f t="array" ref="AE908">IF(SamplingData[[#This Row],[up/U Selection Probability]] = 0, "Zero", TEXT(SamplingData[[#This Row],[Lower Range]], REPT("0",LEN('General Info'!$B$42))) &amp; " - " &amp; TEXT(SamplingData[[#This Row],[Upper Range]], REPT("0",LEN('General Info'!$B$42))))</f>
        <v>51202 - 51443</v>
      </c>
      <c r="AF908" s="100">
        <f>SamplingData[[#This Row],[Upper Range]]-SamplingData[[#This Row],[Span]]</f>
        <v>51202.013675765949</v>
      </c>
      <c r="AG908" s="100">
        <f>IF(ISNUMBER('General Info'!$B$42), ((SamplingData[[#This Row],[up/U Selection Probability]]) * 'General Info'!$B$44) - 1, 0)</f>
        <v>241.28719108383146</v>
      </c>
      <c r="AH908" s="100">
        <f>IF(ISNUMBER('General Info'!$B$42), (SamplingData[[#This Row],[Running (cumulative) sum]] * ('General Info'!$B$42 -'General Info'!$B$43 + 1)) + 'General Info'!$B$43 - 1, 0)</f>
        <v>51443.300866849779</v>
      </c>
      <c r="AI908" s="100" t="str">
        <f>IF(ISERROR(MATCH(SamplingData[[#This Row],[Batch by Type (p)]],SelectedPrecincts[Batch Name], 0)), "", INDEX(SelectedPrecincts[Draw], MATCH(SamplingData[[#This Row],[Batch by Type (p)]],SelectedPrecincts[Batch Name], 0)))</f>
        <v/>
      </c>
      <c r="AJ908" s="101">
        <f>IF(COUNTIF(SelectedPrecincts[Batch Name],SamplingData[[#This Row],[Batch by Type (p)]]) &lt;&gt; 0, COUNTIF(SelectedPrecincts[Batch Name],SamplingData[[#This Row],[Batch by Type (p)]]), 0)</f>
        <v>0</v>
      </c>
    </row>
    <row r="909" spans="1:36" ht="15" customHeight="1" x14ac:dyDescent="0.35">
      <c r="A909" s="98" t="s">
        <v>1120</v>
      </c>
      <c r="B909" s="98">
        <v>104</v>
      </c>
      <c r="C909" s="98">
        <v>10</v>
      </c>
      <c r="D909" s="93"/>
      <c r="E909" s="93"/>
      <c r="F909" s="93"/>
      <c r="G909" s="97"/>
      <c r="H909" s="97"/>
      <c r="I909" s="93"/>
      <c r="J909" s="93"/>
      <c r="K909" s="93"/>
      <c r="L909" s="93"/>
      <c r="M909" s="93"/>
      <c r="N909" s="98">
        <v>0</v>
      </c>
      <c r="O909" s="98">
        <v>0</v>
      </c>
      <c r="P909" s="99">
        <f>SUM(SamplingData[[#This Row],[Winning Candidate]:[Under Votes]])</f>
        <v>114</v>
      </c>
      <c r="Q909" s="100">
        <f>IF(AND(SamplingData[[#This Row],[Total]]&lt;&gt; 0, NOT(ISBLANK(SamplingData[[#This Row],[Losing Candidate]]))),(SamplingData[[#This Row],[Total]]+SamplingData[[#This Row],[Winning Candidate]]-SamplingData[[#This Row],[Losing Candidate]])/(SamplingData[[#Totals],[Winning Candidate]]-SamplingData[[#Totals],[Losing Candidate]]), 0)</f>
        <v>6.5332788893425892E-3</v>
      </c>
      <c r="R909" s="100">
        <f>IF(AND(SamplingData[[#This Row],[Total]]&lt;&gt; 0, NOT(ISBLANK(SamplingData[[#This Row],[Candidate 3]]))),(SamplingData[[#This Row],[Total]]+SamplingData[[#This Row],[Winning Candidate]]-SamplingData[[#This Row],[Candidate 3]])/(SamplingData[[#Totals],[Winning Candidate]]-SamplingData[[#Totals],[Candidate 3]]), 0)</f>
        <v>0</v>
      </c>
      <c r="S909" s="100">
        <f>IF(AND(SamplingData[[#This Row],[Total]]&lt;&gt; 0, NOT(ISBLANK(SamplingData[[#This Row],[Candidate 4]]))),(SamplingData[[#This Row],[Total]]+SamplingData[[#This Row],[Winning Candidate]]-SamplingData[[#This Row],[Candidate 4]])/(SamplingData[[#Totals],[Winning Candidate]]-SamplingData[[#Totals],[Candidate 4]]), 0)</f>
        <v>0</v>
      </c>
      <c r="T909" s="100">
        <f>IF(AND(SamplingData[[#This Row],[Total]]&lt;&gt; 0, NOT(ISBLANK(SamplingData[[#This Row],[Candidate 5]]))),(SamplingData[[#This Row],[Total]]+SamplingData[[#This Row],[Winning Candidate]]-SamplingData[[#This Row],[Candidate 5]])/(SamplingData[[#Totals],[Winning Candidate]]-SamplingData[[#Totals],[Candidate 5]]), 0)</f>
        <v>0</v>
      </c>
      <c r="U909" s="100">
        <f>IF(AND(SamplingData[[#This Row],[Total]]&lt;&gt; 0, NOT(ISBLANK(SamplingData[[#This Row],[Candidate 6]]))),(SamplingData[[#This Row],[Total]]+SamplingData[[#This Row],[Losing Candidate]]-SamplingData[[#This Row],[Candidate 6]])/(SamplingData[[#Totals],[Winning Candidate]]-SamplingData[[#Totals],[Candidate 6]]), 0)</f>
        <v>0</v>
      </c>
      <c r="V909" s="100">
        <f>IF(AND(SamplingData[[#This Row],[Total]]&lt;&gt; 0, NOT(ISBLANK(SamplingData[[#This Row],[Candidate 7]]))),(SamplingData[[#This Row],[Total]]+SamplingData[[#This Row],[Winning Candidate]]-SamplingData[[#This Row],[Candidate 7]])/(SamplingData[[#Totals],[Winning Candidate]]-SamplingData[[#Totals],[Candidate 7]]), 0)</f>
        <v>0</v>
      </c>
      <c r="W909" s="100">
        <f>IF(AND(SamplingData[[#This Row],[Total]]&lt;&gt; 0, NOT(ISBLANK(SamplingData[[#This Row],[Candidate 8]]))),(SamplingData[[#This Row],[Total]]+SamplingData[[#This Row],[Winning Candidate]]-SamplingData[[#This Row],[Candidate 8]])/(SamplingData[[#Totals],[Winning Candidate]]-SamplingData[[#Totals],[Candidate 8]]), 0)</f>
        <v>0</v>
      </c>
      <c r="X9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00">
        <f>MAX(SamplingData[[#This Row],[Error Bound (up) - Max. possible relative overstatement - Losing Candidate]:[Error Bound (up) - Max. possible relative overstatement - Candidate 12]])</f>
        <v>6.5332788893425892E-3</v>
      </c>
      <c r="AC909" s="100">
        <f>IF(SamplingData[[#This Row],[Max Error Bound (up)]] = 0,0,SamplingData[[#This Row],[Max Error Bound (up)]]/SamplingData[[#Totals],[Max Error Bound (up)]])</f>
        <v>2.7997630969687193E-3</v>
      </c>
      <c r="AD909" s="104">
        <f>SUM($AC$5:AC909)</f>
        <v>0.51724277176546651</v>
      </c>
      <c r="AE909" s="100" t="str" cm="1">
        <f t="array" ref="AE909">IF(SamplingData[[#This Row],[up/U Selection Probability]] = 0, "Zero", TEXT(SamplingData[[#This Row],[Lower Range]], REPT("0",LEN('General Info'!$B$42))) &amp; " - " &amp; TEXT(SamplingData[[#This Row],[Upper Range]], REPT("0",LEN('General Info'!$B$42))))</f>
        <v>51444 - 51723</v>
      </c>
      <c r="AF909" s="100">
        <f>SamplingData[[#This Row],[Upper Range]]-SamplingData[[#This Row],[Span]]</f>
        <v>51444.300866849779</v>
      </c>
      <c r="AG909" s="100">
        <f>IF(ISNUMBER('General Info'!$B$42), ((SamplingData[[#This Row],[up/U Selection Probability]]) * 'General Info'!$B$44) - 1, 0)</f>
        <v>278.97630969687191</v>
      </c>
      <c r="AH909" s="100">
        <f>IF(ISNUMBER('General Info'!$B$42), (SamplingData[[#This Row],[Running (cumulative) sum]] * ('General Info'!$B$42 -'General Info'!$B$43 + 1)) + 'General Info'!$B$43 - 1, 0)</f>
        <v>51723.277176546653</v>
      </c>
      <c r="AI909" s="100" t="str">
        <f>IF(ISERROR(MATCH(SamplingData[[#This Row],[Batch by Type (p)]],SelectedPrecincts[Batch Name], 0)), "", INDEX(SelectedPrecincts[Draw], MATCH(SamplingData[[#This Row],[Batch by Type (p)]],SelectedPrecincts[Batch Name], 0)))</f>
        <v/>
      </c>
      <c r="AJ909" s="101">
        <f>IF(COUNTIF(SelectedPrecincts[Batch Name],SamplingData[[#This Row],[Batch by Type (p)]]) &lt;&gt; 0, COUNTIF(SelectedPrecincts[Batch Name],SamplingData[[#This Row],[Batch by Type (p)]]), 0)</f>
        <v>0</v>
      </c>
    </row>
    <row r="910" spans="1:36" ht="15" customHeight="1" x14ac:dyDescent="0.35">
      <c r="A910" s="98" t="s">
        <v>1121</v>
      </c>
      <c r="B910" s="98">
        <v>93</v>
      </c>
      <c r="C910" s="98">
        <v>10</v>
      </c>
      <c r="D910" s="93"/>
      <c r="E910" s="93"/>
      <c r="F910" s="93"/>
      <c r="G910" s="97"/>
      <c r="H910" s="97"/>
      <c r="I910" s="93"/>
      <c r="J910" s="93"/>
      <c r="K910" s="93"/>
      <c r="L910" s="93"/>
      <c r="M910" s="93"/>
      <c r="N910" s="98">
        <v>0</v>
      </c>
      <c r="O910" s="98">
        <v>2</v>
      </c>
      <c r="P910" s="99">
        <f>SUM(SamplingData[[#This Row],[Winning Candidate]:[Under Votes]])</f>
        <v>105</v>
      </c>
      <c r="Q910" s="100">
        <f>IF(AND(SamplingData[[#This Row],[Total]]&lt;&gt; 0, NOT(ISBLANK(SamplingData[[#This Row],[Losing Candidate]]))),(SamplingData[[#This Row],[Total]]+SamplingData[[#This Row],[Winning Candidate]]-SamplingData[[#This Row],[Losing Candidate]])/(SamplingData[[#Totals],[Winning Candidate]]-SamplingData[[#Totals],[Losing Candidate]]), 0)</f>
        <v>5.905078996136571E-3</v>
      </c>
      <c r="R910" s="100">
        <f>IF(AND(SamplingData[[#This Row],[Total]]&lt;&gt; 0, NOT(ISBLANK(SamplingData[[#This Row],[Candidate 3]]))),(SamplingData[[#This Row],[Total]]+SamplingData[[#This Row],[Winning Candidate]]-SamplingData[[#This Row],[Candidate 3]])/(SamplingData[[#Totals],[Winning Candidate]]-SamplingData[[#Totals],[Candidate 3]]), 0)</f>
        <v>0</v>
      </c>
      <c r="S910" s="100">
        <f>IF(AND(SamplingData[[#This Row],[Total]]&lt;&gt; 0, NOT(ISBLANK(SamplingData[[#This Row],[Candidate 4]]))),(SamplingData[[#This Row],[Total]]+SamplingData[[#This Row],[Winning Candidate]]-SamplingData[[#This Row],[Candidate 4]])/(SamplingData[[#Totals],[Winning Candidate]]-SamplingData[[#Totals],[Candidate 4]]), 0)</f>
        <v>0</v>
      </c>
      <c r="T910" s="100">
        <f>IF(AND(SamplingData[[#This Row],[Total]]&lt;&gt; 0, NOT(ISBLANK(SamplingData[[#This Row],[Candidate 5]]))),(SamplingData[[#This Row],[Total]]+SamplingData[[#This Row],[Winning Candidate]]-SamplingData[[#This Row],[Candidate 5]])/(SamplingData[[#Totals],[Winning Candidate]]-SamplingData[[#Totals],[Candidate 5]]), 0)</f>
        <v>0</v>
      </c>
      <c r="U910" s="100">
        <f>IF(AND(SamplingData[[#This Row],[Total]]&lt;&gt; 0, NOT(ISBLANK(SamplingData[[#This Row],[Candidate 6]]))),(SamplingData[[#This Row],[Total]]+SamplingData[[#This Row],[Losing Candidate]]-SamplingData[[#This Row],[Candidate 6]])/(SamplingData[[#Totals],[Winning Candidate]]-SamplingData[[#Totals],[Candidate 6]]), 0)</f>
        <v>0</v>
      </c>
      <c r="V910" s="100">
        <f>IF(AND(SamplingData[[#This Row],[Total]]&lt;&gt; 0, NOT(ISBLANK(SamplingData[[#This Row],[Candidate 7]]))),(SamplingData[[#This Row],[Total]]+SamplingData[[#This Row],[Winning Candidate]]-SamplingData[[#This Row],[Candidate 7]])/(SamplingData[[#Totals],[Winning Candidate]]-SamplingData[[#Totals],[Candidate 7]]), 0)</f>
        <v>0</v>
      </c>
      <c r="W910" s="100">
        <f>IF(AND(SamplingData[[#This Row],[Total]]&lt;&gt; 0, NOT(ISBLANK(SamplingData[[#This Row],[Candidate 8]]))),(SamplingData[[#This Row],[Total]]+SamplingData[[#This Row],[Winning Candidate]]-SamplingData[[#This Row],[Candidate 8]])/(SamplingData[[#Totals],[Winning Candidate]]-SamplingData[[#Totals],[Candidate 8]]), 0)</f>
        <v>0</v>
      </c>
      <c r="X9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00">
        <f>MAX(SamplingData[[#This Row],[Error Bound (up) - Max. possible relative overstatement - Losing Candidate]:[Error Bound (up) - Max. possible relative overstatement - Candidate 12]])</f>
        <v>5.905078996136571E-3</v>
      </c>
      <c r="AC910" s="100">
        <f>IF(SamplingData[[#This Row],[Max Error Bound (up)]] = 0,0,SamplingData[[#This Row],[Max Error Bound (up)]]/SamplingData[[#Totals],[Max Error Bound (up)]])</f>
        <v>2.5305551068755729E-3</v>
      </c>
      <c r="AD910" s="104">
        <f>SUM($AC$5:AC910)</f>
        <v>0.51977332687234212</v>
      </c>
      <c r="AE910" s="100" t="str" cm="1">
        <f t="array" ref="AE910">IF(SamplingData[[#This Row],[up/U Selection Probability]] = 0, "Zero", TEXT(SamplingData[[#This Row],[Lower Range]], REPT("0",LEN('General Info'!$B$42))) &amp; " - " &amp; TEXT(SamplingData[[#This Row],[Upper Range]], REPT("0",LEN('General Info'!$B$42))))</f>
        <v>51724 - 51976</v>
      </c>
      <c r="AF910" s="100">
        <f>SamplingData[[#This Row],[Upper Range]]-SamplingData[[#This Row],[Span]]</f>
        <v>51724.27717654666</v>
      </c>
      <c r="AG910" s="100">
        <f>IF(ISNUMBER('General Info'!$B$42), ((SamplingData[[#This Row],[up/U Selection Probability]]) * 'General Info'!$B$44) - 1, 0)</f>
        <v>252.0555106875573</v>
      </c>
      <c r="AH910" s="100">
        <f>IF(ISNUMBER('General Info'!$B$42), (SamplingData[[#This Row],[Running (cumulative) sum]] * ('General Info'!$B$42 -'General Info'!$B$43 + 1)) + 'General Info'!$B$43 - 1, 0)</f>
        <v>51976.332687234215</v>
      </c>
      <c r="AI910" s="100" t="str">
        <f>IF(ISERROR(MATCH(SamplingData[[#This Row],[Batch by Type (p)]],SelectedPrecincts[Batch Name], 0)), "", INDEX(SelectedPrecincts[Draw], MATCH(SamplingData[[#This Row],[Batch by Type (p)]],SelectedPrecincts[Batch Name], 0)))</f>
        <v/>
      </c>
      <c r="AJ910" s="101">
        <f>IF(COUNTIF(SelectedPrecincts[Batch Name],SamplingData[[#This Row],[Batch by Type (p)]]) &lt;&gt; 0, COUNTIF(SelectedPrecincts[Batch Name],SamplingData[[#This Row],[Batch by Type (p)]]), 0)</f>
        <v>0</v>
      </c>
    </row>
    <row r="911" spans="1:36" ht="15" customHeight="1" x14ac:dyDescent="0.35">
      <c r="A911" s="98" t="s">
        <v>1122</v>
      </c>
      <c r="B911" s="98">
        <v>68</v>
      </c>
      <c r="C911" s="98">
        <v>9</v>
      </c>
      <c r="D911" s="93"/>
      <c r="E911" s="93"/>
      <c r="F911" s="93"/>
      <c r="G911" s="97"/>
      <c r="H911" s="97"/>
      <c r="I911" s="93"/>
      <c r="J911" s="93"/>
      <c r="K911" s="93"/>
      <c r="L911" s="93"/>
      <c r="M911" s="93"/>
      <c r="N911" s="98">
        <v>0</v>
      </c>
      <c r="O911" s="98">
        <v>1</v>
      </c>
      <c r="P911" s="99">
        <f>SUM(SamplingData[[#This Row],[Winning Candidate]:[Under Votes]])</f>
        <v>78</v>
      </c>
      <c r="Q911" s="100">
        <f>IF(AND(SamplingData[[#This Row],[Total]]&lt;&gt; 0, NOT(ISBLANK(SamplingData[[#This Row],[Losing Candidate]]))),(SamplingData[[#This Row],[Total]]+SamplingData[[#This Row],[Winning Candidate]]-SamplingData[[#This Row],[Losing Candidate]])/(SamplingData[[#Totals],[Winning Candidate]]-SamplingData[[#Totals],[Losing Candidate]]), 0)</f>
        <v>4.3031692684612245E-3</v>
      </c>
      <c r="R911" s="100">
        <f>IF(AND(SamplingData[[#This Row],[Total]]&lt;&gt; 0, NOT(ISBLANK(SamplingData[[#This Row],[Candidate 3]]))),(SamplingData[[#This Row],[Total]]+SamplingData[[#This Row],[Winning Candidate]]-SamplingData[[#This Row],[Candidate 3]])/(SamplingData[[#Totals],[Winning Candidate]]-SamplingData[[#Totals],[Candidate 3]]), 0)</f>
        <v>0</v>
      </c>
      <c r="S911" s="100">
        <f>IF(AND(SamplingData[[#This Row],[Total]]&lt;&gt; 0, NOT(ISBLANK(SamplingData[[#This Row],[Candidate 4]]))),(SamplingData[[#This Row],[Total]]+SamplingData[[#This Row],[Winning Candidate]]-SamplingData[[#This Row],[Candidate 4]])/(SamplingData[[#Totals],[Winning Candidate]]-SamplingData[[#Totals],[Candidate 4]]), 0)</f>
        <v>0</v>
      </c>
      <c r="T911" s="100">
        <f>IF(AND(SamplingData[[#This Row],[Total]]&lt;&gt; 0, NOT(ISBLANK(SamplingData[[#This Row],[Candidate 5]]))),(SamplingData[[#This Row],[Total]]+SamplingData[[#This Row],[Winning Candidate]]-SamplingData[[#This Row],[Candidate 5]])/(SamplingData[[#Totals],[Winning Candidate]]-SamplingData[[#Totals],[Candidate 5]]), 0)</f>
        <v>0</v>
      </c>
      <c r="U911" s="100">
        <f>IF(AND(SamplingData[[#This Row],[Total]]&lt;&gt; 0, NOT(ISBLANK(SamplingData[[#This Row],[Candidate 6]]))),(SamplingData[[#This Row],[Total]]+SamplingData[[#This Row],[Losing Candidate]]-SamplingData[[#This Row],[Candidate 6]])/(SamplingData[[#Totals],[Winning Candidate]]-SamplingData[[#Totals],[Candidate 6]]), 0)</f>
        <v>0</v>
      </c>
      <c r="V911" s="100">
        <f>IF(AND(SamplingData[[#This Row],[Total]]&lt;&gt; 0, NOT(ISBLANK(SamplingData[[#This Row],[Candidate 7]]))),(SamplingData[[#This Row],[Total]]+SamplingData[[#This Row],[Winning Candidate]]-SamplingData[[#This Row],[Candidate 7]])/(SamplingData[[#Totals],[Winning Candidate]]-SamplingData[[#Totals],[Candidate 7]]), 0)</f>
        <v>0</v>
      </c>
      <c r="W911" s="100">
        <f>IF(AND(SamplingData[[#This Row],[Total]]&lt;&gt; 0, NOT(ISBLANK(SamplingData[[#This Row],[Candidate 8]]))),(SamplingData[[#This Row],[Total]]+SamplingData[[#This Row],[Winning Candidate]]-SamplingData[[#This Row],[Candidate 8]])/(SamplingData[[#Totals],[Winning Candidate]]-SamplingData[[#Totals],[Candidate 8]]), 0)</f>
        <v>0</v>
      </c>
      <c r="X9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00">
        <f>MAX(SamplingData[[#This Row],[Error Bound (up) - Max. possible relative overstatement - Losing Candidate]:[Error Bound (up) - Max. possible relative overstatement - Candidate 12]])</f>
        <v>4.3031692684612245E-3</v>
      </c>
      <c r="AC911" s="100">
        <f>IF(SamplingData[[#This Row],[Max Error Bound (up)]] = 0,0,SamplingData[[#This Row],[Max Error Bound (up)]]/SamplingData[[#Totals],[Max Error Bound (up)]])</f>
        <v>1.8440747321380505E-3</v>
      </c>
      <c r="AD911" s="104">
        <f>SUM($AC$5:AC911)</f>
        <v>0.52161740160448022</v>
      </c>
      <c r="AE911" s="100" t="str" cm="1">
        <f t="array" ref="AE911">IF(SamplingData[[#This Row],[up/U Selection Probability]] = 0, "Zero", TEXT(SamplingData[[#This Row],[Lower Range]], REPT("0",LEN('General Info'!$B$42))) &amp; " - " &amp; TEXT(SamplingData[[#This Row],[Upper Range]], REPT("0",LEN('General Info'!$B$42))))</f>
        <v>51977 - 52161</v>
      </c>
      <c r="AF911" s="100">
        <f>SamplingData[[#This Row],[Upper Range]]-SamplingData[[#This Row],[Span]]</f>
        <v>51977.332687234222</v>
      </c>
      <c r="AG911" s="100">
        <f>IF(ISNUMBER('General Info'!$B$42), ((SamplingData[[#This Row],[up/U Selection Probability]]) * 'General Info'!$B$44) - 1, 0)</f>
        <v>183.40747321380505</v>
      </c>
      <c r="AH911" s="100">
        <f>IF(ISNUMBER('General Info'!$B$42), (SamplingData[[#This Row],[Running (cumulative) sum]] * ('General Info'!$B$42 -'General Info'!$B$43 + 1)) + 'General Info'!$B$43 - 1, 0)</f>
        <v>52160.740160448026</v>
      </c>
      <c r="AI911" s="100" t="str">
        <f>IF(ISERROR(MATCH(SamplingData[[#This Row],[Batch by Type (p)]],SelectedPrecincts[Batch Name], 0)), "", INDEX(SelectedPrecincts[Draw], MATCH(SamplingData[[#This Row],[Batch by Type (p)]],SelectedPrecincts[Batch Name], 0)))</f>
        <v/>
      </c>
      <c r="AJ911" s="101">
        <f>IF(COUNTIF(SelectedPrecincts[Batch Name],SamplingData[[#This Row],[Batch by Type (p)]]) &lt;&gt; 0, COUNTIF(SelectedPrecincts[Batch Name],SamplingData[[#This Row],[Batch by Type (p)]]), 0)</f>
        <v>0</v>
      </c>
    </row>
    <row r="912" spans="1:36" ht="15" customHeight="1" x14ac:dyDescent="0.35">
      <c r="A912" s="98" t="s">
        <v>1123</v>
      </c>
      <c r="B912" s="98">
        <v>110</v>
      </c>
      <c r="C912" s="98">
        <v>15</v>
      </c>
      <c r="D912" s="93"/>
      <c r="E912" s="93"/>
      <c r="F912" s="93"/>
      <c r="G912" s="97"/>
      <c r="H912" s="97"/>
      <c r="I912" s="93"/>
      <c r="J912" s="93"/>
      <c r="K912" s="93"/>
      <c r="L912" s="93"/>
      <c r="M912" s="93"/>
      <c r="N912" s="98">
        <v>0</v>
      </c>
      <c r="O912" s="98">
        <v>3</v>
      </c>
      <c r="P912" s="99">
        <f>SUM(SamplingData[[#This Row],[Winning Candidate]:[Under Votes]])</f>
        <v>128</v>
      </c>
      <c r="Q912" s="100">
        <f>IF(AND(SamplingData[[#This Row],[Total]]&lt;&gt; 0, NOT(ISBLANK(SamplingData[[#This Row],[Losing Candidate]]))),(SamplingData[[#This Row],[Total]]+SamplingData[[#This Row],[Winning Candidate]]-SamplingData[[#This Row],[Losing Candidate]])/(SamplingData[[#Totals],[Winning Candidate]]-SamplingData[[#Totals],[Losing Candidate]]), 0)</f>
        <v>7.0044288092471025E-3</v>
      </c>
      <c r="R912" s="100">
        <f>IF(AND(SamplingData[[#This Row],[Total]]&lt;&gt; 0, NOT(ISBLANK(SamplingData[[#This Row],[Candidate 3]]))),(SamplingData[[#This Row],[Total]]+SamplingData[[#This Row],[Winning Candidate]]-SamplingData[[#This Row],[Candidate 3]])/(SamplingData[[#Totals],[Winning Candidate]]-SamplingData[[#Totals],[Candidate 3]]), 0)</f>
        <v>0</v>
      </c>
      <c r="S912" s="100">
        <f>IF(AND(SamplingData[[#This Row],[Total]]&lt;&gt; 0, NOT(ISBLANK(SamplingData[[#This Row],[Candidate 4]]))),(SamplingData[[#This Row],[Total]]+SamplingData[[#This Row],[Winning Candidate]]-SamplingData[[#This Row],[Candidate 4]])/(SamplingData[[#Totals],[Winning Candidate]]-SamplingData[[#Totals],[Candidate 4]]), 0)</f>
        <v>0</v>
      </c>
      <c r="T912" s="100">
        <f>IF(AND(SamplingData[[#This Row],[Total]]&lt;&gt; 0, NOT(ISBLANK(SamplingData[[#This Row],[Candidate 5]]))),(SamplingData[[#This Row],[Total]]+SamplingData[[#This Row],[Winning Candidate]]-SamplingData[[#This Row],[Candidate 5]])/(SamplingData[[#Totals],[Winning Candidate]]-SamplingData[[#Totals],[Candidate 5]]), 0)</f>
        <v>0</v>
      </c>
      <c r="U912" s="100">
        <f>IF(AND(SamplingData[[#This Row],[Total]]&lt;&gt; 0, NOT(ISBLANK(SamplingData[[#This Row],[Candidate 6]]))),(SamplingData[[#This Row],[Total]]+SamplingData[[#This Row],[Losing Candidate]]-SamplingData[[#This Row],[Candidate 6]])/(SamplingData[[#Totals],[Winning Candidate]]-SamplingData[[#Totals],[Candidate 6]]), 0)</f>
        <v>0</v>
      </c>
      <c r="V912" s="100">
        <f>IF(AND(SamplingData[[#This Row],[Total]]&lt;&gt; 0, NOT(ISBLANK(SamplingData[[#This Row],[Candidate 7]]))),(SamplingData[[#This Row],[Total]]+SamplingData[[#This Row],[Winning Candidate]]-SamplingData[[#This Row],[Candidate 7]])/(SamplingData[[#Totals],[Winning Candidate]]-SamplingData[[#Totals],[Candidate 7]]), 0)</f>
        <v>0</v>
      </c>
      <c r="W912" s="100">
        <f>IF(AND(SamplingData[[#This Row],[Total]]&lt;&gt; 0, NOT(ISBLANK(SamplingData[[#This Row],[Candidate 8]]))),(SamplingData[[#This Row],[Total]]+SamplingData[[#This Row],[Winning Candidate]]-SamplingData[[#This Row],[Candidate 8]])/(SamplingData[[#Totals],[Winning Candidate]]-SamplingData[[#Totals],[Candidate 8]]), 0)</f>
        <v>0</v>
      </c>
      <c r="X9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00">
        <f>MAX(SamplingData[[#This Row],[Error Bound (up) - Max. possible relative overstatement - Losing Candidate]:[Error Bound (up) - Max. possible relative overstatement - Candidate 12]])</f>
        <v>7.0044288092471025E-3</v>
      </c>
      <c r="AC912" s="100">
        <f>IF(SamplingData[[#This Row],[Max Error Bound (up)]] = 0,0,SamplingData[[#This Row],[Max Error Bound (up)]]/SamplingData[[#Totals],[Max Error Bound (up)]])</f>
        <v>3.0016690895385786E-3</v>
      </c>
      <c r="AD912" s="104">
        <f>SUM($AC$5:AC912)</f>
        <v>0.52461907069401881</v>
      </c>
      <c r="AE912" s="100" t="str" cm="1">
        <f t="array" ref="AE912">IF(SamplingData[[#This Row],[up/U Selection Probability]] = 0, "Zero", TEXT(SamplingData[[#This Row],[Lower Range]], REPT("0",LEN('General Info'!$B$42))) &amp; " - " &amp; TEXT(SamplingData[[#This Row],[Upper Range]], REPT("0",LEN('General Info'!$B$42))))</f>
        <v>52162 - 52461</v>
      </c>
      <c r="AF912" s="100">
        <f>SamplingData[[#This Row],[Upper Range]]-SamplingData[[#This Row],[Span]]</f>
        <v>52161.740160448026</v>
      </c>
      <c r="AG912" s="100">
        <f>IF(ISNUMBER('General Info'!$B$42), ((SamplingData[[#This Row],[up/U Selection Probability]]) * 'General Info'!$B$44) - 1, 0)</f>
        <v>299.16690895385784</v>
      </c>
      <c r="AH912" s="100">
        <f>IF(ISNUMBER('General Info'!$B$42), (SamplingData[[#This Row],[Running (cumulative) sum]] * ('General Info'!$B$42 -'General Info'!$B$43 + 1)) + 'General Info'!$B$43 - 1, 0)</f>
        <v>52460.907069401881</v>
      </c>
      <c r="AI912" s="100" t="str">
        <f>IF(ISERROR(MATCH(SamplingData[[#This Row],[Batch by Type (p)]],SelectedPrecincts[Batch Name], 0)), "", INDEX(SelectedPrecincts[Draw], MATCH(SamplingData[[#This Row],[Batch by Type (p)]],SelectedPrecincts[Batch Name], 0)))</f>
        <v/>
      </c>
      <c r="AJ912" s="101">
        <f>IF(COUNTIF(SelectedPrecincts[Batch Name],SamplingData[[#This Row],[Batch by Type (p)]]) &lt;&gt; 0, COUNTIF(SelectedPrecincts[Batch Name],SamplingData[[#This Row],[Batch by Type (p)]]), 0)</f>
        <v>0</v>
      </c>
    </row>
    <row r="913" spans="1:36" ht="15" customHeight="1" x14ac:dyDescent="0.35">
      <c r="A913" s="98" t="s">
        <v>1124</v>
      </c>
      <c r="B913" s="98">
        <v>68</v>
      </c>
      <c r="C913" s="98">
        <v>7</v>
      </c>
      <c r="D913" s="93"/>
      <c r="E913" s="93"/>
      <c r="F913" s="93"/>
      <c r="G913" s="97"/>
      <c r="H913" s="97"/>
      <c r="I913" s="93"/>
      <c r="J913" s="93"/>
      <c r="K913" s="93"/>
      <c r="L913" s="93"/>
      <c r="M913" s="93"/>
      <c r="N913" s="98">
        <v>0</v>
      </c>
      <c r="O913" s="98">
        <v>1</v>
      </c>
      <c r="P913" s="99">
        <f>SUM(SamplingData[[#This Row],[Winning Candidate]:[Under Votes]])</f>
        <v>76</v>
      </c>
      <c r="Q913" s="100">
        <f>IF(AND(SamplingData[[#This Row],[Total]]&lt;&gt; 0, NOT(ISBLANK(SamplingData[[#This Row],[Losing Candidate]]))),(SamplingData[[#This Row],[Total]]+SamplingData[[#This Row],[Winning Candidate]]-SamplingData[[#This Row],[Losing Candidate]])/(SamplingData[[#Totals],[Winning Candidate]]-SamplingData[[#Totals],[Losing Candidate]]), 0)</f>
        <v>4.3031692684612245E-3</v>
      </c>
      <c r="R913" s="100">
        <f>IF(AND(SamplingData[[#This Row],[Total]]&lt;&gt; 0, NOT(ISBLANK(SamplingData[[#This Row],[Candidate 3]]))),(SamplingData[[#This Row],[Total]]+SamplingData[[#This Row],[Winning Candidate]]-SamplingData[[#This Row],[Candidate 3]])/(SamplingData[[#Totals],[Winning Candidate]]-SamplingData[[#Totals],[Candidate 3]]), 0)</f>
        <v>0</v>
      </c>
      <c r="S913" s="100">
        <f>IF(AND(SamplingData[[#This Row],[Total]]&lt;&gt; 0, NOT(ISBLANK(SamplingData[[#This Row],[Candidate 4]]))),(SamplingData[[#This Row],[Total]]+SamplingData[[#This Row],[Winning Candidate]]-SamplingData[[#This Row],[Candidate 4]])/(SamplingData[[#Totals],[Winning Candidate]]-SamplingData[[#Totals],[Candidate 4]]), 0)</f>
        <v>0</v>
      </c>
      <c r="T913" s="100">
        <f>IF(AND(SamplingData[[#This Row],[Total]]&lt;&gt; 0, NOT(ISBLANK(SamplingData[[#This Row],[Candidate 5]]))),(SamplingData[[#This Row],[Total]]+SamplingData[[#This Row],[Winning Candidate]]-SamplingData[[#This Row],[Candidate 5]])/(SamplingData[[#Totals],[Winning Candidate]]-SamplingData[[#Totals],[Candidate 5]]), 0)</f>
        <v>0</v>
      </c>
      <c r="U913" s="100">
        <f>IF(AND(SamplingData[[#This Row],[Total]]&lt;&gt; 0, NOT(ISBLANK(SamplingData[[#This Row],[Candidate 6]]))),(SamplingData[[#This Row],[Total]]+SamplingData[[#This Row],[Losing Candidate]]-SamplingData[[#This Row],[Candidate 6]])/(SamplingData[[#Totals],[Winning Candidate]]-SamplingData[[#Totals],[Candidate 6]]), 0)</f>
        <v>0</v>
      </c>
      <c r="V913" s="100">
        <f>IF(AND(SamplingData[[#This Row],[Total]]&lt;&gt; 0, NOT(ISBLANK(SamplingData[[#This Row],[Candidate 7]]))),(SamplingData[[#This Row],[Total]]+SamplingData[[#This Row],[Winning Candidate]]-SamplingData[[#This Row],[Candidate 7]])/(SamplingData[[#Totals],[Winning Candidate]]-SamplingData[[#Totals],[Candidate 7]]), 0)</f>
        <v>0</v>
      </c>
      <c r="W913" s="100">
        <f>IF(AND(SamplingData[[#This Row],[Total]]&lt;&gt; 0, NOT(ISBLANK(SamplingData[[#This Row],[Candidate 8]]))),(SamplingData[[#This Row],[Total]]+SamplingData[[#This Row],[Winning Candidate]]-SamplingData[[#This Row],[Candidate 8]])/(SamplingData[[#Totals],[Winning Candidate]]-SamplingData[[#Totals],[Candidate 8]]), 0)</f>
        <v>0</v>
      </c>
      <c r="X9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00">
        <f>MAX(SamplingData[[#This Row],[Error Bound (up) - Max. possible relative overstatement - Losing Candidate]:[Error Bound (up) - Max. possible relative overstatement - Candidate 12]])</f>
        <v>4.3031692684612245E-3</v>
      </c>
      <c r="AC913" s="100">
        <f>IF(SamplingData[[#This Row],[Max Error Bound (up)]] = 0,0,SamplingData[[#This Row],[Max Error Bound (up)]]/SamplingData[[#Totals],[Max Error Bound (up)]])</f>
        <v>1.8440747321380505E-3</v>
      </c>
      <c r="AD913" s="104">
        <f>SUM($AC$5:AC913)</f>
        <v>0.52646314542615691</v>
      </c>
      <c r="AE913" s="100" t="str" cm="1">
        <f t="array" ref="AE913">IF(SamplingData[[#This Row],[up/U Selection Probability]] = 0, "Zero", TEXT(SamplingData[[#This Row],[Lower Range]], REPT("0",LEN('General Info'!$B$42))) &amp; " - " &amp; TEXT(SamplingData[[#This Row],[Upper Range]], REPT("0",LEN('General Info'!$B$42))))</f>
        <v>52462 - 52645</v>
      </c>
      <c r="AF913" s="100">
        <f>SamplingData[[#This Row],[Upper Range]]-SamplingData[[#This Row],[Span]]</f>
        <v>52461.907069401888</v>
      </c>
      <c r="AG913" s="100">
        <f>IF(ISNUMBER('General Info'!$B$42), ((SamplingData[[#This Row],[up/U Selection Probability]]) * 'General Info'!$B$44) - 1, 0)</f>
        <v>183.40747321380505</v>
      </c>
      <c r="AH913" s="100">
        <f>IF(ISNUMBER('General Info'!$B$42), (SamplingData[[#This Row],[Running (cumulative) sum]] * ('General Info'!$B$42 -'General Info'!$B$43 + 1)) + 'General Info'!$B$43 - 1, 0)</f>
        <v>52645.314542615692</v>
      </c>
      <c r="AI913" s="100" t="str">
        <f>IF(ISERROR(MATCH(SamplingData[[#This Row],[Batch by Type (p)]],SelectedPrecincts[Batch Name], 0)), "", INDEX(SelectedPrecincts[Draw], MATCH(SamplingData[[#This Row],[Batch by Type (p)]],SelectedPrecincts[Batch Name], 0)))</f>
        <v/>
      </c>
      <c r="AJ913" s="101">
        <f>IF(COUNTIF(SelectedPrecincts[Batch Name],SamplingData[[#This Row],[Batch by Type (p)]]) &lt;&gt; 0, COUNTIF(SelectedPrecincts[Batch Name],SamplingData[[#This Row],[Batch by Type (p)]]), 0)</f>
        <v>0</v>
      </c>
    </row>
    <row r="914" spans="1:36" ht="15" customHeight="1" x14ac:dyDescent="0.35">
      <c r="A914" s="98" t="s">
        <v>1125</v>
      </c>
      <c r="B914" s="98">
        <v>89</v>
      </c>
      <c r="C914" s="98">
        <v>15</v>
      </c>
      <c r="D914" s="93"/>
      <c r="E914" s="93"/>
      <c r="F914" s="93"/>
      <c r="G914" s="97"/>
      <c r="H914" s="97"/>
      <c r="I914" s="93"/>
      <c r="J914" s="93"/>
      <c r="K914" s="93"/>
      <c r="L914" s="93"/>
      <c r="M914" s="93"/>
      <c r="N914" s="98">
        <v>0</v>
      </c>
      <c r="O914" s="98">
        <v>2</v>
      </c>
      <c r="P914" s="99">
        <f>SUM(SamplingData[[#This Row],[Winning Candidate]:[Under Votes]])</f>
        <v>106</v>
      </c>
      <c r="Q914" s="100">
        <f>IF(AND(SamplingData[[#This Row],[Total]]&lt;&gt; 0, NOT(ISBLANK(SamplingData[[#This Row],[Losing Candidate]]))),(SamplingData[[#This Row],[Total]]+SamplingData[[#This Row],[Winning Candidate]]-SamplingData[[#This Row],[Losing Candidate]])/(SamplingData[[#Totals],[Winning Candidate]]-SamplingData[[#Totals],[Losing Candidate]]), 0)</f>
        <v>5.6537990388541631E-3</v>
      </c>
      <c r="R914" s="100">
        <f>IF(AND(SamplingData[[#This Row],[Total]]&lt;&gt; 0, NOT(ISBLANK(SamplingData[[#This Row],[Candidate 3]]))),(SamplingData[[#This Row],[Total]]+SamplingData[[#This Row],[Winning Candidate]]-SamplingData[[#This Row],[Candidate 3]])/(SamplingData[[#Totals],[Winning Candidate]]-SamplingData[[#Totals],[Candidate 3]]), 0)</f>
        <v>0</v>
      </c>
      <c r="S914" s="100">
        <f>IF(AND(SamplingData[[#This Row],[Total]]&lt;&gt; 0, NOT(ISBLANK(SamplingData[[#This Row],[Candidate 4]]))),(SamplingData[[#This Row],[Total]]+SamplingData[[#This Row],[Winning Candidate]]-SamplingData[[#This Row],[Candidate 4]])/(SamplingData[[#Totals],[Winning Candidate]]-SamplingData[[#Totals],[Candidate 4]]), 0)</f>
        <v>0</v>
      </c>
      <c r="T914" s="100">
        <f>IF(AND(SamplingData[[#This Row],[Total]]&lt;&gt; 0, NOT(ISBLANK(SamplingData[[#This Row],[Candidate 5]]))),(SamplingData[[#This Row],[Total]]+SamplingData[[#This Row],[Winning Candidate]]-SamplingData[[#This Row],[Candidate 5]])/(SamplingData[[#Totals],[Winning Candidate]]-SamplingData[[#Totals],[Candidate 5]]), 0)</f>
        <v>0</v>
      </c>
      <c r="U914" s="100">
        <f>IF(AND(SamplingData[[#This Row],[Total]]&lt;&gt; 0, NOT(ISBLANK(SamplingData[[#This Row],[Candidate 6]]))),(SamplingData[[#This Row],[Total]]+SamplingData[[#This Row],[Losing Candidate]]-SamplingData[[#This Row],[Candidate 6]])/(SamplingData[[#Totals],[Winning Candidate]]-SamplingData[[#Totals],[Candidate 6]]), 0)</f>
        <v>0</v>
      </c>
      <c r="V914" s="100">
        <f>IF(AND(SamplingData[[#This Row],[Total]]&lt;&gt; 0, NOT(ISBLANK(SamplingData[[#This Row],[Candidate 7]]))),(SamplingData[[#This Row],[Total]]+SamplingData[[#This Row],[Winning Candidate]]-SamplingData[[#This Row],[Candidate 7]])/(SamplingData[[#Totals],[Winning Candidate]]-SamplingData[[#Totals],[Candidate 7]]), 0)</f>
        <v>0</v>
      </c>
      <c r="W914" s="100">
        <f>IF(AND(SamplingData[[#This Row],[Total]]&lt;&gt; 0, NOT(ISBLANK(SamplingData[[#This Row],[Candidate 8]]))),(SamplingData[[#This Row],[Total]]+SamplingData[[#This Row],[Winning Candidate]]-SamplingData[[#This Row],[Candidate 8]])/(SamplingData[[#Totals],[Winning Candidate]]-SamplingData[[#Totals],[Candidate 8]]), 0)</f>
        <v>0</v>
      </c>
      <c r="X9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00">
        <f>MAX(SamplingData[[#This Row],[Error Bound (up) - Max. possible relative overstatement - Losing Candidate]:[Error Bound (up) - Max. possible relative overstatement - Candidate 12]])</f>
        <v>5.6537990388541631E-3</v>
      </c>
      <c r="AC914" s="100">
        <f>IF(SamplingData[[#This Row],[Max Error Bound (up)]] = 0,0,SamplingData[[#This Row],[Max Error Bound (up)]]/SamplingData[[#Totals],[Max Error Bound (up)]])</f>
        <v>2.4228719108383145E-3</v>
      </c>
      <c r="AD914" s="104">
        <f>SUM($AC$5:AC914)</f>
        <v>0.52888601733699525</v>
      </c>
      <c r="AE914" s="100" t="str" cm="1">
        <f t="array" ref="AE914">IF(SamplingData[[#This Row],[up/U Selection Probability]] = 0, "Zero", TEXT(SamplingData[[#This Row],[Lower Range]], REPT("0",LEN('General Info'!$B$42))) &amp; " - " &amp; TEXT(SamplingData[[#This Row],[Upper Range]], REPT("0",LEN('General Info'!$B$42))))</f>
        <v>52646 - 52888</v>
      </c>
      <c r="AF914" s="100">
        <f>SamplingData[[#This Row],[Upper Range]]-SamplingData[[#This Row],[Span]]</f>
        <v>52646.314542615699</v>
      </c>
      <c r="AG914" s="100">
        <f>IF(ISNUMBER('General Info'!$B$42), ((SamplingData[[#This Row],[up/U Selection Probability]]) * 'General Info'!$B$44) - 1, 0)</f>
        <v>241.28719108383146</v>
      </c>
      <c r="AH914" s="100">
        <f>IF(ISNUMBER('General Info'!$B$42), (SamplingData[[#This Row],[Running (cumulative) sum]] * ('General Info'!$B$42 -'General Info'!$B$43 + 1)) + 'General Info'!$B$43 - 1, 0)</f>
        <v>52887.601733699528</v>
      </c>
      <c r="AI914" s="100" t="str">
        <f>IF(ISERROR(MATCH(SamplingData[[#This Row],[Batch by Type (p)]],SelectedPrecincts[Batch Name], 0)), "", INDEX(SelectedPrecincts[Draw], MATCH(SamplingData[[#This Row],[Batch by Type (p)]],SelectedPrecincts[Batch Name], 0)))</f>
        <v/>
      </c>
      <c r="AJ914" s="101">
        <f>IF(COUNTIF(SelectedPrecincts[Batch Name],SamplingData[[#This Row],[Batch by Type (p)]]) &lt;&gt; 0, COUNTIF(SelectedPrecincts[Batch Name],SamplingData[[#This Row],[Batch by Type (p)]]), 0)</f>
        <v>0</v>
      </c>
    </row>
    <row r="915" spans="1:36" ht="15" customHeight="1" x14ac:dyDescent="0.35">
      <c r="A915" s="98" t="s">
        <v>1126</v>
      </c>
      <c r="B915" s="98">
        <v>17</v>
      </c>
      <c r="C915" s="98">
        <v>0</v>
      </c>
      <c r="D915" s="93"/>
      <c r="E915" s="93"/>
      <c r="F915" s="93"/>
      <c r="G915" s="97"/>
      <c r="H915" s="97"/>
      <c r="I915" s="93"/>
      <c r="J915" s="93"/>
      <c r="K915" s="93"/>
      <c r="L915" s="93"/>
      <c r="M915" s="93"/>
      <c r="N915" s="98">
        <v>0</v>
      </c>
      <c r="O915" s="98">
        <v>1</v>
      </c>
      <c r="P915" s="99">
        <f>SUM(SamplingData[[#This Row],[Winning Candidate]:[Under Votes]])</f>
        <v>18</v>
      </c>
      <c r="Q915" s="100">
        <f>IF(AND(SamplingData[[#This Row],[Total]]&lt;&gt; 0, NOT(ISBLANK(SamplingData[[#This Row],[Losing Candidate]]))),(SamplingData[[#This Row],[Total]]+SamplingData[[#This Row],[Winning Candidate]]-SamplingData[[#This Row],[Losing Candidate]])/(SamplingData[[#Totals],[Winning Candidate]]-SamplingData[[#Totals],[Losing Candidate]]), 0)</f>
        <v>1.0993498131105317E-3</v>
      </c>
      <c r="R915" s="100">
        <f>IF(AND(SamplingData[[#This Row],[Total]]&lt;&gt; 0, NOT(ISBLANK(SamplingData[[#This Row],[Candidate 3]]))),(SamplingData[[#This Row],[Total]]+SamplingData[[#This Row],[Winning Candidate]]-SamplingData[[#This Row],[Candidate 3]])/(SamplingData[[#Totals],[Winning Candidate]]-SamplingData[[#Totals],[Candidate 3]]), 0)</f>
        <v>0</v>
      </c>
      <c r="S915" s="100">
        <f>IF(AND(SamplingData[[#This Row],[Total]]&lt;&gt; 0, NOT(ISBLANK(SamplingData[[#This Row],[Candidate 4]]))),(SamplingData[[#This Row],[Total]]+SamplingData[[#This Row],[Winning Candidate]]-SamplingData[[#This Row],[Candidate 4]])/(SamplingData[[#Totals],[Winning Candidate]]-SamplingData[[#Totals],[Candidate 4]]), 0)</f>
        <v>0</v>
      </c>
      <c r="T915" s="100">
        <f>IF(AND(SamplingData[[#This Row],[Total]]&lt;&gt; 0, NOT(ISBLANK(SamplingData[[#This Row],[Candidate 5]]))),(SamplingData[[#This Row],[Total]]+SamplingData[[#This Row],[Winning Candidate]]-SamplingData[[#This Row],[Candidate 5]])/(SamplingData[[#Totals],[Winning Candidate]]-SamplingData[[#Totals],[Candidate 5]]), 0)</f>
        <v>0</v>
      </c>
      <c r="U915" s="100">
        <f>IF(AND(SamplingData[[#This Row],[Total]]&lt;&gt; 0, NOT(ISBLANK(SamplingData[[#This Row],[Candidate 6]]))),(SamplingData[[#This Row],[Total]]+SamplingData[[#This Row],[Losing Candidate]]-SamplingData[[#This Row],[Candidate 6]])/(SamplingData[[#Totals],[Winning Candidate]]-SamplingData[[#Totals],[Candidate 6]]), 0)</f>
        <v>0</v>
      </c>
      <c r="V915" s="100">
        <f>IF(AND(SamplingData[[#This Row],[Total]]&lt;&gt; 0, NOT(ISBLANK(SamplingData[[#This Row],[Candidate 7]]))),(SamplingData[[#This Row],[Total]]+SamplingData[[#This Row],[Winning Candidate]]-SamplingData[[#This Row],[Candidate 7]])/(SamplingData[[#Totals],[Winning Candidate]]-SamplingData[[#Totals],[Candidate 7]]), 0)</f>
        <v>0</v>
      </c>
      <c r="W915" s="100">
        <f>IF(AND(SamplingData[[#This Row],[Total]]&lt;&gt; 0, NOT(ISBLANK(SamplingData[[#This Row],[Candidate 8]]))),(SamplingData[[#This Row],[Total]]+SamplingData[[#This Row],[Winning Candidate]]-SamplingData[[#This Row],[Candidate 8]])/(SamplingData[[#Totals],[Winning Candidate]]-SamplingData[[#Totals],[Candidate 8]]), 0)</f>
        <v>0</v>
      </c>
      <c r="X9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00">
        <f>MAX(SamplingData[[#This Row],[Error Bound (up) - Max. possible relative overstatement - Losing Candidate]:[Error Bound (up) - Max. possible relative overstatement - Candidate 12]])</f>
        <v>1.0993498131105317E-3</v>
      </c>
      <c r="AC915" s="100">
        <f>IF(SamplingData[[#This Row],[Max Error Bound (up)]] = 0,0,SamplingData[[#This Row],[Max Error Bound (up)]]/SamplingData[[#Totals],[Max Error Bound (up)]])</f>
        <v>4.711139826630056E-4</v>
      </c>
      <c r="AD915" s="104">
        <f>SUM($AC$5:AC915)</f>
        <v>0.52935713131965823</v>
      </c>
      <c r="AE915" s="100" t="str" cm="1">
        <f t="array" ref="AE915">IF(SamplingData[[#This Row],[up/U Selection Probability]] = 0, "Zero", TEXT(SamplingData[[#This Row],[Lower Range]], REPT("0",LEN('General Info'!$B$42))) &amp; " - " &amp; TEXT(SamplingData[[#This Row],[Upper Range]], REPT("0",LEN('General Info'!$B$42))))</f>
        <v>52889 - 52935</v>
      </c>
      <c r="AF915" s="100">
        <f>SamplingData[[#This Row],[Upper Range]]-SamplingData[[#This Row],[Span]]</f>
        <v>52888.601733699521</v>
      </c>
      <c r="AG915" s="100">
        <f>IF(ISNUMBER('General Info'!$B$42), ((SamplingData[[#This Row],[up/U Selection Probability]]) * 'General Info'!$B$44) - 1, 0)</f>
        <v>46.111398266300561</v>
      </c>
      <c r="AH915" s="100">
        <f>IF(ISNUMBER('General Info'!$B$42), (SamplingData[[#This Row],[Running (cumulative) sum]] * ('General Info'!$B$42 -'General Info'!$B$43 + 1)) + 'General Info'!$B$43 - 1, 0)</f>
        <v>52934.713131965822</v>
      </c>
      <c r="AI915" s="100" t="str">
        <f>IF(ISERROR(MATCH(SamplingData[[#This Row],[Batch by Type (p)]],SelectedPrecincts[Batch Name], 0)), "", INDEX(SelectedPrecincts[Draw], MATCH(SamplingData[[#This Row],[Batch by Type (p)]],SelectedPrecincts[Batch Name], 0)))</f>
        <v/>
      </c>
      <c r="AJ915" s="101">
        <f>IF(COUNTIF(SelectedPrecincts[Batch Name],SamplingData[[#This Row],[Batch by Type (p)]]) &lt;&gt; 0, COUNTIF(SelectedPrecincts[Batch Name],SamplingData[[#This Row],[Batch by Type (p)]]), 0)</f>
        <v>0</v>
      </c>
    </row>
    <row r="916" spans="1:36" ht="15" customHeight="1" x14ac:dyDescent="0.35">
      <c r="A916" s="98" t="s">
        <v>1127</v>
      </c>
      <c r="B916" s="98">
        <v>172</v>
      </c>
      <c r="C916" s="98">
        <v>34</v>
      </c>
      <c r="D916" s="93"/>
      <c r="E916" s="93"/>
      <c r="F916" s="93"/>
      <c r="G916" s="97"/>
      <c r="H916" s="97"/>
      <c r="I916" s="93"/>
      <c r="J916" s="93"/>
      <c r="K916" s="93"/>
      <c r="L916" s="93"/>
      <c r="M916" s="93"/>
      <c r="N916" s="98">
        <v>0</v>
      </c>
      <c r="O916" s="98">
        <v>5</v>
      </c>
      <c r="P916" s="99">
        <f>SUM(SamplingData[[#This Row],[Winning Candidate]:[Under Votes]])</f>
        <v>211</v>
      </c>
      <c r="Q916" s="100">
        <f>IF(AND(SamplingData[[#This Row],[Total]]&lt;&gt; 0, NOT(ISBLANK(SamplingData[[#This Row],[Losing Candidate]]))),(SamplingData[[#This Row],[Total]]+SamplingData[[#This Row],[Winning Candidate]]-SamplingData[[#This Row],[Losing Candidate]])/(SamplingData[[#Totals],[Winning Candidate]]-SamplingData[[#Totals],[Losing Candidate]]), 0)</f>
        <v>1.0962088136445017E-2</v>
      </c>
      <c r="R916" s="100">
        <f>IF(AND(SamplingData[[#This Row],[Total]]&lt;&gt; 0, NOT(ISBLANK(SamplingData[[#This Row],[Candidate 3]]))),(SamplingData[[#This Row],[Total]]+SamplingData[[#This Row],[Winning Candidate]]-SamplingData[[#This Row],[Candidate 3]])/(SamplingData[[#Totals],[Winning Candidate]]-SamplingData[[#Totals],[Candidate 3]]), 0)</f>
        <v>0</v>
      </c>
      <c r="S916" s="100">
        <f>IF(AND(SamplingData[[#This Row],[Total]]&lt;&gt; 0, NOT(ISBLANK(SamplingData[[#This Row],[Candidate 4]]))),(SamplingData[[#This Row],[Total]]+SamplingData[[#This Row],[Winning Candidate]]-SamplingData[[#This Row],[Candidate 4]])/(SamplingData[[#Totals],[Winning Candidate]]-SamplingData[[#Totals],[Candidate 4]]), 0)</f>
        <v>0</v>
      </c>
      <c r="T916" s="100">
        <f>IF(AND(SamplingData[[#This Row],[Total]]&lt;&gt; 0, NOT(ISBLANK(SamplingData[[#This Row],[Candidate 5]]))),(SamplingData[[#This Row],[Total]]+SamplingData[[#This Row],[Winning Candidate]]-SamplingData[[#This Row],[Candidate 5]])/(SamplingData[[#Totals],[Winning Candidate]]-SamplingData[[#Totals],[Candidate 5]]), 0)</f>
        <v>0</v>
      </c>
      <c r="U916" s="100">
        <f>IF(AND(SamplingData[[#This Row],[Total]]&lt;&gt; 0, NOT(ISBLANK(SamplingData[[#This Row],[Candidate 6]]))),(SamplingData[[#This Row],[Total]]+SamplingData[[#This Row],[Losing Candidate]]-SamplingData[[#This Row],[Candidate 6]])/(SamplingData[[#Totals],[Winning Candidate]]-SamplingData[[#Totals],[Candidate 6]]), 0)</f>
        <v>0</v>
      </c>
      <c r="V916" s="100">
        <f>IF(AND(SamplingData[[#This Row],[Total]]&lt;&gt; 0, NOT(ISBLANK(SamplingData[[#This Row],[Candidate 7]]))),(SamplingData[[#This Row],[Total]]+SamplingData[[#This Row],[Winning Candidate]]-SamplingData[[#This Row],[Candidate 7]])/(SamplingData[[#Totals],[Winning Candidate]]-SamplingData[[#Totals],[Candidate 7]]), 0)</f>
        <v>0</v>
      </c>
      <c r="W916" s="100">
        <f>IF(AND(SamplingData[[#This Row],[Total]]&lt;&gt; 0, NOT(ISBLANK(SamplingData[[#This Row],[Candidate 8]]))),(SamplingData[[#This Row],[Total]]+SamplingData[[#This Row],[Winning Candidate]]-SamplingData[[#This Row],[Candidate 8]])/(SamplingData[[#Totals],[Winning Candidate]]-SamplingData[[#Totals],[Candidate 8]]), 0)</f>
        <v>0</v>
      </c>
      <c r="X9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00">
        <f>MAX(SamplingData[[#This Row],[Error Bound (up) - Max. possible relative overstatement - Losing Candidate]:[Error Bound (up) - Max. possible relative overstatement - Candidate 12]])</f>
        <v>1.0962088136445017E-2</v>
      </c>
      <c r="AC916" s="100">
        <f>IF(SamplingData[[#This Row],[Max Error Bound (up)]] = 0,0,SamplingData[[#This Row],[Max Error Bound (up)]]/SamplingData[[#Totals],[Max Error Bound (up)]])</f>
        <v>4.697679427125399E-3</v>
      </c>
      <c r="AD916" s="104">
        <f>SUM($AC$5:AC916)</f>
        <v>0.53405481074678363</v>
      </c>
      <c r="AE916" s="100" t="str" cm="1">
        <f t="array" ref="AE916">IF(SamplingData[[#This Row],[up/U Selection Probability]] = 0, "Zero", TEXT(SamplingData[[#This Row],[Lower Range]], REPT("0",LEN('General Info'!$B$42))) &amp; " - " &amp; TEXT(SamplingData[[#This Row],[Upper Range]], REPT("0",LEN('General Info'!$B$42))))</f>
        <v>52936 - 53404</v>
      </c>
      <c r="AF916" s="100">
        <f>SamplingData[[#This Row],[Upper Range]]-SamplingData[[#This Row],[Span]]</f>
        <v>52935.713131965822</v>
      </c>
      <c r="AG916" s="100">
        <f>IF(ISNUMBER('General Info'!$B$42), ((SamplingData[[#This Row],[up/U Selection Probability]]) * 'General Info'!$B$44) - 1, 0)</f>
        <v>468.76794271253988</v>
      </c>
      <c r="AH916" s="100">
        <f>IF(ISNUMBER('General Info'!$B$42), (SamplingData[[#This Row],[Running (cumulative) sum]] * ('General Info'!$B$42 -'General Info'!$B$43 + 1)) + 'General Info'!$B$43 - 1, 0)</f>
        <v>53404.481074678362</v>
      </c>
      <c r="AI916" s="100" t="str">
        <f>IF(ISERROR(MATCH(SamplingData[[#This Row],[Batch by Type (p)]],SelectedPrecincts[Batch Name], 0)), "", INDEX(SelectedPrecincts[Draw], MATCH(SamplingData[[#This Row],[Batch by Type (p)]],SelectedPrecincts[Batch Name], 0)))</f>
        <v/>
      </c>
      <c r="AJ916" s="101">
        <f>IF(COUNTIF(SelectedPrecincts[Batch Name],SamplingData[[#This Row],[Batch by Type (p)]]) &lt;&gt; 0, COUNTIF(SelectedPrecincts[Batch Name],SamplingData[[#This Row],[Batch by Type (p)]]), 0)</f>
        <v>0</v>
      </c>
    </row>
    <row r="917" spans="1:36" ht="15" customHeight="1" x14ac:dyDescent="0.35">
      <c r="A917" s="98" t="s">
        <v>1128</v>
      </c>
      <c r="B917" s="98">
        <v>52</v>
      </c>
      <c r="C917" s="98">
        <v>13</v>
      </c>
      <c r="D917" s="93"/>
      <c r="E917" s="93"/>
      <c r="F917" s="93"/>
      <c r="G917" s="97"/>
      <c r="H917" s="97"/>
      <c r="I917" s="93"/>
      <c r="J917" s="93"/>
      <c r="K917" s="93"/>
      <c r="L917" s="93"/>
      <c r="M917" s="93"/>
      <c r="N917" s="98">
        <v>0</v>
      </c>
      <c r="O917" s="98">
        <v>0</v>
      </c>
      <c r="P917" s="99">
        <f>SUM(SamplingData[[#This Row],[Winning Candidate]:[Under Votes]])</f>
        <v>65</v>
      </c>
      <c r="Q917" s="100">
        <f>IF(AND(SamplingData[[#This Row],[Total]]&lt;&gt; 0, NOT(ISBLANK(SamplingData[[#This Row],[Losing Candidate]]))),(SamplingData[[#This Row],[Total]]+SamplingData[[#This Row],[Winning Candidate]]-SamplingData[[#This Row],[Losing Candidate]])/(SamplingData[[#Totals],[Winning Candidate]]-SamplingData[[#Totals],[Losing Candidate]]), 0)</f>
        <v>3.2666394446712946E-3</v>
      </c>
      <c r="R917" s="100">
        <f>IF(AND(SamplingData[[#This Row],[Total]]&lt;&gt; 0, NOT(ISBLANK(SamplingData[[#This Row],[Candidate 3]]))),(SamplingData[[#This Row],[Total]]+SamplingData[[#This Row],[Winning Candidate]]-SamplingData[[#This Row],[Candidate 3]])/(SamplingData[[#Totals],[Winning Candidate]]-SamplingData[[#Totals],[Candidate 3]]), 0)</f>
        <v>0</v>
      </c>
      <c r="S917" s="100">
        <f>IF(AND(SamplingData[[#This Row],[Total]]&lt;&gt; 0, NOT(ISBLANK(SamplingData[[#This Row],[Candidate 4]]))),(SamplingData[[#This Row],[Total]]+SamplingData[[#This Row],[Winning Candidate]]-SamplingData[[#This Row],[Candidate 4]])/(SamplingData[[#Totals],[Winning Candidate]]-SamplingData[[#Totals],[Candidate 4]]), 0)</f>
        <v>0</v>
      </c>
      <c r="T917" s="100">
        <f>IF(AND(SamplingData[[#This Row],[Total]]&lt;&gt; 0, NOT(ISBLANK(SamplingData[[#This Row],[Candidate 5]]))),(SamplingData[[#This Row],[Total]]+SamplingData[[#This Row],[Winning Candidate]]-SamplingData[[#This Row],[Candidate 5]])/(SamplingData[[#Totals],[Winning Candidate]]-SamplingData[[#Totals],[Candidate 5]]), 0)</f>
        <v>0</v>
      </c>
      <c r="U917" s="100">
        <f>IF(AND(SamplingData[[#This Row],[Total]]&lt;&gt; 0, NOT(ISBLANK(SamplingData[[#This Row],[Candidate 6]]))),(SamplingData[[#This Row],[Total]]+SamplingData[[#This Row],[Losing Candidate]]-SamplingData[[#This Row],[Candidate 6]])/(SamplingData[[#Totals],[Winning Candidate]]-SamplingData[[#Totals],[Candidate 6]]), 0)</f>
        <v>0</v>
      </c>
      <c r="V917" s="100">
        <f>IF(AND(SamplingData[[#This Row],[Total]]&lt;&gt; 0, NOT(ISBLANK(SamplingData[[#This Row],[Candidate 7]]))),(SamplingData[[#This Row],[Total]]+SamplingData[[#This Row],[Winning Candidate]]-SamplingData[[#This Row],[Candidate 7]])/(SamplingData[[#Totals],[Winning Candidate]]-SamplingData[[#Totals],[Candidate 7]]), 0)</f>
        <v>0</v>
      </c>
      <c r="W917" s="100">
        <f>IF(AND(SamplingData[[#This Row],[Total]]&lt;&gt; 0, NOT(ISBLANK(SamplingData[[#This Row],[Candidate 8]]))),(SamplingData[[#This Row],[Total]]+SamplingData[[#This Row],[Winning Candidate]]-SamplingData[[#This Row],[Candidate 8]])/(SamplingData[[#Totals],[Winning Candidate]]-SamplingData[[#Totals],[Candidate 8]]), 0)</f>
        <v>0</v>
      </c>
      <c r="X9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00">
        <f>MAX(SamplingData[[#This Row],[Error Bound (up) - Max. possible relative overstatement - Losing Candidate]:[Error Bound (up) - Max. possible relative overstatement - Candidate 12]])</f>
        <v>3.2666394446712946E-3</v>
      </c>
      <c r="AC917" s="100">
        <f>IF(SamplingData[[#This Row],[Max Error Bound (up)]] = 0,0,SamplingData[[#This Row],[Max Error Bound (up)]]/SamplingData[[#Totals],[Max Error Bound (up)]])</f>
        <v>1.3998815484843597E-3</v>
      </c>
      <c r="AD917" s="104">
        <f>SUM($AC$5:AC917)</f>
        <v>0.53545469229526799</v>
      </c>
      <c r="AE917" s="100" t="str" cm="1">
        <f t="array" ref="AE917">IF(SamplingData[[#This Row],[up/U Selection Probability]] = 0, "Zero", TEXT(SamplingData[[#This Row],[Lower Range]], REPT("0",LEN('General Info'!$B$42))) &amp; " - " &amp; TEXT(SamplingData[[#This Row],[Upper Range]], REPT("0",LEN('General Info'!$B$42))))</f>
        <v>53405 - 53544</v>
      </c>
      <c r="AF917" s="100">
        <f>SamplingData[[#This Row],[Upper Range]]-SamplingData[[#This Row],[Span]]</f>
        <v>53405.481074678362</v>
      </c>
      <c r="AG917" s="100">
        <f>IF(ISNUMBER('General Info'!$B$42), ((SamplingData[[#This Row],[up/U Selection Probability]]) * 'General Info'!$B$44) - 1, 0)</f>
        <v>138.98815484843595</v>
      </c>
      <c r="AH917" s="100">
        <f>IF(ISNUMBER('General Info'!$B$42), (SamplingData[[#This Row],[Running (cumulative) sum]] * ('General Info'!$B$42 -'General Info'!$B$43 + 1)) + 'General Info'!$B$43 - 1, 0)</f>
        <v>53544.469229526796</v>
      </c>
      <c r="AI917" s="100" t="str">
        <f>IF(ISERROR(MATCH(SamplingData[[#This Row],[Batch by Type (p)]],SelectedPrecincts[Batch Name], 0)), "", INDEX(SelectedPrecincts[Draw], MATCH(SamplingData[[#This Row],[Batch by Type (p)]],SelectedPrecincts[Batch Name], 0)))</f>
        <v/>
      </c>
      <c r="AJ917" s="101">
        <f>IF(COUNTIF(SelectedPrecincts[Batch Name],SamplingData[[#This Row],[Batch by Type (p)]]) &lt;&gt; 0, COUNTIF(SelectedPrecincts[Batch Name],SamplingData[[#This Row],[Batch by Type (p)]]), 0)</f>
        <v>0</v>
      </c>
    </row>
    <row r="918" spans="1:36" ht="15" customHeight="1" x14ac:dyDescent="0.35">
      <c r="A918" s="98" t="s">
        <v>1129</v>
      </c>
      <c r="B918" s="98">
        <v>54</v>
      </c>
      <c r="C918" s="98">
        <v>4</v>
      </c>
      <c r="D918" s="93"/>
      <c r="E918" s="93"/>
      <c r="F918" s="93"/>
      <c r="G918" s="97"/>
      <c r="H918" s="97"/>
      <c r="I918" s="93"/>
      <c r="J918" s="93"/>
      <c r="K918" s="93"/>
      <c r="L918" s="93"/>
      <c r="M918" s="93"/>
      <c r="N918" s="98">
        <v>0</v>
      </c>
      <c r="O918" s="98">
        <v>0</v>
      </c>
      <c r="P918" s="99">
        <f>SUM(SamplingData[[#This Row],[Winning Candidate]:[Under Votes]])</f>
        <v>58</v>
      </c>
      <c r="Q918" s="100">
        <f>IF(AND(SamplingData[[#This Row],[Total]]&lt;&gt; 0, NOT(ISBLANK(SamplingData[[#This Row],[Losing Candidate]]))),(SamplingData[[#This Row],[Total]]+SamplingData[[#This Row],[Winning Candidate]]-SamplingData[[#This Row],[Losing Candidate]])/(SamplingData[[#Totals],[Winning Candidate]]-SamplingData[[#Totals],[Losing Candidate]]), 0)</f>
        <v>3.3922794233124981E-3</v>
      </c>
      <c r="R918" s="100">
        <f>IF(AND(SamplingData[[#This Row],[Total]]&lt;&gt; 0, NOT(ISBLANK(SamplingData[[#This Row],[Candidate 3]]))),(SamplingData[[#This Row],[Total]]+SamplingData[[#This Row],[Winning Candidate]]-SamplingData[[#This Row],[Candidate 3]])/(SamplingData[[#Totals],[Winning Candidate]]-SamplingData[[#Totals],[Candidate 3]]), 0)</f>
        <v>0</v>
      </c>
      <c r="S918" s="100">
        <f>IF(AND(SamplingData[[#This Row],[Total]]&lt;&gt; 0, NOT(ISBLANK(SamplingData[[#This Row],[Candidate 4]]))),(SamplingData[[#This Row],[Total]]+SamplingData[[#This Row],[Winning Candidate]]-SamplingData[[#This Row],[Candidate 4]])/(SamplingData[[#Totals],[Winning Candidate]]-SamplingData[[#Totals],[Candidate 4]]), 0)</f>
        <v>0</v>
      </c>
      <c r="T918" s="100">
        <f>IF(AND(SamplingData[[#This Row],[Total]]&lt;&gt; 0, NOT(ISBLANK(SamplingData[[#This Row],[Candidate 5]]))),(SamplingData[[#This Row],[Total]]+SamplingData[[#This Row],[Winning Candidate]]-SamplingData[[#This Row],[Candidate 5]])/(SamplingData[[#Totals],[Winning Candidate]]-SamplingData[[#Totals],[Candidate 5]]), 0)</f>
        <v>0</v>
      </c>
      <c r="U918" s="100">
        <f>IF(AND(SamplingData[[#This Row],[Total]]&lt;&gt; 0, NOT(ISBLANK(SamplingData[[#This Row],[Candidate 6]]))),(SamplingData[[#This Row],[Total]]+SamplingData[[#This Row],[Losing Candidate]]-SamplingData[[#This Row],[Candidate 6]])/(SamplingData[[#Totals],[Winning Candidate]]-SamplingData[[#Totals],[Candidate 6]]), 0)</f>
        <v>0</v>
      </c>
      <c r="V918" s="100">
        <f>IF(AND(SamplingData[[#This Row],[Total]]&lt;&gt; 0, NOT(ISBLANK(SamplingData[[#This Row],[Candidate 7]]))),(SamplingData[[#This Row],[Total]]+SamplingData[[#This Row],[Winning Candidate]]-SamplingData[[#This Row],[Candidate 7]])/(SamplingData[[#Totals],[Winning Candidate]]-SamplingData[[#Totals],[Candidate 7]]), 0)</f>
        <v>0</v>
      </c>
      <c r="W918" s="100">
        <f>IF(AND(SamplingData[[#This Row],[Total]]&lt;&gt; 0, NOT(ISBLANK(SamplingData[[#This Row],[Candidate 8]]))),(SamplingData[[#This Row],[Total]]+SamplingData[[#This Row],[Winning Candidate]]-SamplingData[[#This Row],[Candidate 8]])/(SamplingData[[#Totals],[Winning Candidate]]-SamplingData[[#Totals],[Candidate 8]]), 0)</f>
        <v>0</v>
      </c>
      <c r="X9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00">
        <f>MAX(SamplingData[[#This Row],[Error Bound (up) - Max. possible relative overstatement - Losing Candidate]:[Error Bound (up) - Max. possible relative overstatement - Candidate 12]])</f>
        <v>3.3922794233124981E-3</v>
      </c>
      <c r="AC918" s="100">
        <f>IF(SamplingData[[#This Row],[Max Error Bound (up)]] = 0,0,SamplingData[[#This Row],[Max Error Bound (up)]]/SamplingData[[#Totals],[Max Error Bound (up)]])</f>
        <v>1.4537231465029889E-3</v>
      </c>
      <c r="AD918" s="104">
        <f>SUM($AC$5:AC918)</f>
        <v>0.53690841544177093</v>
      </c>
      <c r="AE918" s="100" t="str" cm="1">
        <f t="array" ref="AE918">IF(SamplingData[[#This Row],[up/U Selection Probability]] = 0, "Zero", TEXT(SamplingData[[#This Row],[Lower Range]], REPT("0",LEN('General Info'!$B$42))) &amp; " - " &amp; TEXT(SamplingData[[#This Row],[Upper Range]], REPT("0",LEN('General Info'!$B$42))))</f>
        <v>53545 - 53690</v>
      </c>
      <c r="AF918" s="100">
        <f>SamplingData[[#This Row],[Upper Range]]-SamplingData[[#This Row],[Span]]</f>
        <v>53545.469229526796</v>
      </c>
      <c r="AG918" s="100">
        <f>IF(ISNUMBER('General Info'!$B$42), ((SamplingData[[#This Row],[up/U Selection Probability]]) * 'General Info'!$B$44) - 1, 0)</f>
        <v>144.37231465029888</v>
      </c>
      <c r="AH918" s="100">
        <f>IF(ISNUMBER('General Info'!$B$42), (SamplingData[[#This Row],[Running (cumulative) sum]] * ('General Info'!$B$42 -'General Info'!$B$43 + 1)) + 'General Info'!$B$43 - 1, 0)</f>
        <v>53689.841544177092</v>
      </c>
      <c r="AI918" s="100" t="str">
        <f>IF(ISERROR(MATCH(SamplingData[[#This Row],[Batch by Type (p)]],SelectedPrecincts[Batch Name], 0)), "", INDEX(SelectedPrecincts[Draw], MATCH(SamplingData[[#This Row],[Batch by Type (p)]],SelectedPrecincts[Batch Name], 0)))</f>
        <v/>
      </c>
      <c r="AJ918" s="101">
        <f>IF(COUNTIF(SelectedPrecincts[Batch Name],SamplingData[[#This Row],[Batch by Type (p)]]) &lt;&gt; 0, COUNTIF(SelectedPrecincts[Batch Name],SamplingData[[#This Row],[Batch by Type (p)]]), 0)</f>
        <v>0</v>
      </c>
    </row>
    <row r="919" spans="1:36" ht="15" customHeight="1" x14ac:dyDescent="0.35">
      <c r="A919" s="98" t="s">
        <v>1130</v>
      </c>
      <c r="B919" s="98">
        <v>43</v>
      </c>
      <c r="C919" s="98">
        <v>13</v>
      </c>
      <c r="D919" s="93"/>
      <c r="E919" s="93"/>
      <c r="F919" s="93"/>
      <c r="G919" s="97"/>
      <c r="H919" s="97"/>
      <c r="I919" s="93"/>
      <c r="J919" s="93"/>
      <c r="K919" s="93"/>
      <c r="L919" s="93"/>
      <c r="M919" s="93"/>
      <c r="N919" s="98">
        <v>0</v>
      </c>
      <c r="O919" s="98">
        <v>2</v>
      </c>
      <c r="P919" s="99">
        <f>SUM(SamplingData[[#This Row],[Winning Candidate]:[Under Votes]])</f>
        <v>58</v>
      </c>
      <c r="Q919" s="100">
        <f>IF(AND(SamplingData[[#This Row],[Total]]&lt;&gt; 0, NOT(ISBLANK(SamplingData[[#This Row],[Losing Candidate]]))),(SamplingData[[#This Row],[Total]]+SamplingData[[#This Row],[Winning Candidate]]-SamplingData[[#This Row],[Losing Candidate]])/(SamplingData[[#Totals],[Winning Candidate]]-SamplingData[[#Totals],[Losing Candidate]]), 0)</f>
        <v>2.76407953010648E-3</v>
      </c>
      <c r="R919" s="100">
        <f>IF(AND(SamplingData[[#This Row],[Total]]&lt;&gt; 0, NOT(ISBLANK(SamplingData[[#This Row],[Candidate 3]]))),(SamplingData[[#This Row],[Total]]+SamplingData[[#This Row],[Winning Candidate]]-SamplingData[[#This Row],[Candidate 3]])/(SamplingData[[#Totals],[Winning Candidate]]-SamplingData[[#Totals],[Candidate 3]]), 0)</f>
        <v>0</v>
      </c>
      <c r="S919" s="100">
        <f>IF(AND(SamplingData[[#This Row],[Total]]&lt;&gt; 0, NOT(ISBLANK(SamplingData[[#This Row],[Candidate 4]]))),(SamplingData[[#This Row],[Total]]+SamplingData[[#This Row],[Winning Candidate]]-SamplingData[[#This Row],[Candidate 4]])/(SamplingData[[#Totals],[Winning Candidate]]-SamplingData[[#Totals],[Candidate 4]]), 0)</f>
        <v>0</v>
      </c>
      <c r="T919" s="100">
        <f>IF(AND(SamplingData[[#This Row],[Total]]&lt;&gt; 0, NOT(ISBLANK(SamplingData[[#This Row],[Candidate 5]]))),(SamplingData[[#This Row],[Total]]+SamplingData[[#This Row],[Winning Candidate]]-SamplingData[[#This Row],[Candidate 5]])/(SamplingData[[#Totals],[Winning Candidate]]-SamplingData[[#Totals],[Candidate 5]]), 0)</f>
        <v>0</v>
      </c>
      <c r="U919" s="100">
        <f>IF(AND(SamplingData[[#This Row],[Total]]&lt;&gt; 0, NOT(ISBLANK(SamplingData[[#This Row],[Candidate 6]]))),(SamplingData[[#This Row],[Total]]+SamplingData[[#This Row],[Losing Candidate]]-SamplingData[[#This Row],[Candidate 6]])/(SamplingData[[#Totals],[Winning Candidate]]-SamplingData[[#Totals],[Candidate 6]]), 0)</f>
        <v>0</v>
      </c>
      <c r="V919" s="100">
        <f>IF(AND(SamplingData[[#This Row],[Total]]&lt;&gt; 0, NOT(ISBLANK(SamplingData[[#This Row],[Candidate 7]]))),(SamplingData[[#This Row],[Total]]+SamplingData[[#This Row],[Winning Candidate]]-SamplingData[[#This Row],[Candidate 7]])/(SamplingData[[#Totals],[Winning Candidate]]-SamplingData[[#Totals],[Candidate 7]]), 0)</f>
        <v>0</v>
      </c>
      <c r="W919" s="100">
        <f>IF(AND(SamplingData[[#This Row],[Total]]&lt;&gt; 0, NOT(ISBLANK(SamplingData[[#This Row],[Candidate 8]]))),(SamplingData[[#This Row],[Total]]+SamplingData[[#This Row],[Winning Candidate]]-SamplingData[[#This Row],[Candidate 8]])/(SamplingData[[#Totals],[Winning Candidate]]-SamplingData[[#Totals],[Candidate 8]]), 0)</f>
        <v>0</v>
      </c>
      <c r="X9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00">
        <f>MAX(SamplingData[[#This Row],[Error Bound (up) - Max. possible relative overstatement - Losing Candidate]:[Error Bound (up) - Max. possible relative overstatement - Candidate 12]])</f>
        <v>2.76407953010648E-3</v>
      </c>
      <c r="AC919" s="100">
        <f>IF(SamplingData[[#This Row],[Max Error Bound (up)]] = 0,0,SamplingData[[#This Row],[Max Error Bound (up)]]/SamplingData[[#Totals],[Max Error Bound (up)]])</f>
        <v>1.1845151564098427E-3</v>
      </c>
      <c r="AD919" s="104">
        <f>SUM($AC$5:AC919)</f>
        <v>0.53809293059818075</v>
      </c>
      <c r="AE919" s="100" t="str" cm="1">
        <f t="array" ref="AE919">IF(SamplingData[[#This Row],[up/U Selection Probability]] = 0, "Zero", TEXT(SamplingData[[#This Row],[Lower Range]], REPT("0",LEN('General Info'!$B$42))) &amp; " - " &amp; TEXT(SamplingData[[#This Row],[Upper Range]], REPT("0",LEN('General Info'!$B$42))))</f>
        <v>53691 - 53808</v>
      </c>
      <c r="AF919" s="100">
        <f>SamplingData[[#This Row],[Upper Range]]-SamplingData[[#This Row],[Span]]</f>
        <v>53690.841544177092</v>
      </c>
      <c r="AG919" s="100">
        <f>IF(ISNUMBER('General Info'!$B$42), ((SamplingData[[#This Row],[up/U Selection Probability]]) * 'General Info'!$B$44) - 1, 0)</f>
        <v>117.45151564098427</v>
      </c>
      <c r="AH919" s="100">
        <f>IF(ISNUMBER('General Info'!$B$42), (SamplingData[[#This Row],[Running (cumulative) sum]] * ('General Info'!$B$42 -'General Info'!$B$43 + 1)) + 'General Info'!$B$43 - 1, 0)</f>
        <v>53808.293059818076</v>
      </c>
      <c r="AI919" s="100" t="str">
        <f>IF(ISERROR(MATCH(SamplingData[[#This Row],[Batch by Type (p)]],SelectedPrecincts[Batch Name], 0)), "", INDEX(SelectedPrecincts[Draw], MATCH(SamplingData[[#This Row],[Batch by Type (p)]],SelectedPrecincts[Batch Name], 0)))</f>
        <v/>
      </c>
      <c r="AJ919" s="101">
        <f>IF(COUNTIF(SelectedPrecincts[Batch Name],SamplingData[[#This Row],[Batch by Type (p)]]) &lt;&gt; 0, COUNTIF(SelectedPrecincts[Batch Name],SamplingData[[#This Row],[Batch by Type (p)]]), 0)</f>
        <v>0</v>
      </c>
    </row>
    <row r="920" spans="1:36" ht="15" customHeight="1" x14ac:dyDescent="0.35">
      <c r="A920" s="98" t="s">
        <v>1131</v>
      </c>
      <c r="B920" s="98">
        <v>127</v>
      </c>
      <c r="C920" s="98">
        <v>10</v>
      </c>
      <c r="D920" s="93"/>
      <c r="E920" s="93"/>
      <c r="F920" s="93"/>
      <c r="G920" s="97"/>
      <c r="H920" s="97"/>
      <c r="I920" s="93"/>
      <c r="J920" s="93"/>
      <c r="K920" s="93"/>
      <c r="L920" s="93"/>
      <c r="M920" s="93"/>
      <c r="N920" s="98">
        <v>0</v>
      </c>
      <c r="O920" s="98">
        <v>1</v>
      </c>
      <c r="P920" s="99">
        <f>SUM(SamplingData[[#This Row],[Winning Candidate]:[Under Votes]])</f>
        <v>138</v>
      </c>
      <c r="Q920" s="100">
        <f>IF(AND(SamplingData[[#This Row],[Total]]&lt;&gt; 0, NOT(ISBLANK(SamplingData[[#This Row],[Losing Candidate]]))),(SamplingData[[#This Row],[Total]]+SamplingData[[#This Row],[Winning Candidate]]-SamplingData[[#This Row],[Losing Candidate]])/(SamplingData[[#Totals],[Winning Candidate]]-SamplingData[[#Totals],[Losing Candidate]]), 0)</f>
        <v>8.0095486383767317E-3</v>
      </c>
      <c r="R920" s="100">
        <f>IF(AND(SamplingData[[#This Row],[Total]]&lt;&gt; 0, NOT(ISBLANK(SamplingData[[#This Row],[Candidate 3]]))),(SamplingData[[#This Row],[Total]]+SamplingData[[#This Row],[Winning Candidate]]-SamplingData[[#This Row],[Candidate 3]])/(SamplingData[[#Totals],[Winning Candidate]]-SamplingData[[#Totals],[Candidate 3]]), 0)</f>
        <v>0</v>
      </c>
      <c r="S920" s="100">
        <f>IF(AND(SamplingData[[#This Row],[Total]]&lt;&gt; 0, NOT(ISBLANK(SamplingData[[#This Row],[Candidate 4]]))),(SamplingData[[#This Row],[Total]]+SamplingData[[#This Row],[Winning Candidate]]-SamplingData[[#This Row],[Candidate 4]])/(SamplingData[[#Totals],[Winning Candidate]]-SamplingData[[#Totals],[Candidate 4]]), 0)</f>
        <v>0</v>
      </c>
      <c r="T920" s="100">
        <f>IF(AND(SamplingData[[#This Row],[Total]]&lt;&gt; 0, NOT(ISBLANK(SamplingData[[#This Row],[Candidate 5]]))),(SamplingData[[#This Row],[Total]]+SamplingData[[#This Row],[Winning Candidate]]-SamplingData[[#This Row],[Candidate 5]])/(SamplingData[[#Totals],[Winning Candidate]]-SamplingData[[#Totals],[Candidate 5]]), 0)</f>
        <v>0</v>
      </c>
      <c r="U920" s="100">
        <f>IF(AND(SamplingData[[#This Row],[Total]]&lt;&gt; 0, NOT(ISBLANK(SamplingData[[#This Row],[Candidate 6]]))),(SamplingData[[#This Row],[Total]]+SamplingData[[#This Row],[Losing Candidate]]-SamplingData[[#This Row],[Candidate 6]])/(SamplingData[[#Totals],[Winning Candidate]]-SamplingData[[#Totals],[Candidate 6]]), 0)</f>
        <v>0</v>
      </c>
      <c r="V920" s="100">
        <f>IF(AND(SamplingData[[#This Row],[Total]]&lt;&gt; 0, NOT(ISBLANK(SamplingData[[#This Row],[Candidate 7]]))),(SamplingData[[#This Row],[Total]]+SamplingData[[#This Row],[Winning Candidate]]-SamplingData[[#This Row],[Candidate 7]])/(SamplingData[[#Totals],[Winning Candidate]]-SamplingData[[#Totals],[Candidate 7]]), 0)</f>
        <v>0</v>
      </c>
      <c r="W920" s="100">
        <f>IF(AND(SamplingData[[#This Row],[Total]]&lt;&gt; 0, NOT(ISBLANK(SamplingData[[#This Row],[Candidate 8]]))),(SamplingData[[#This Row],[Total]]+SamplingData[[#This Row],[Winning Candidate]]-SamplingData[[#This Row],[Candidate 8]])/(SamplingData[[#Totals],[Winning Candidate]]-SamplingData[[#Totals],[Candidate 8]]), 0)</f>
        <v>0</v>
      </c>
      <c r="X9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00">
        <f>MAX(SamplingData[[#This Row],[Error Bound (up) - Max. possible relative overstatement - Losing Candidate]:[Error Bound (up) - Max. possible relative overstatement - Candidate 12]])</f>
        <v>8.0095486383767317E-3</v>
      </c>
      <c r="AC920" s="100">
        <f>IF(SamplingData[[#This Row],[Max Error Bound (up)]] = 0,0,SamplingData[[#This Row],[Max Error Bound (up)]]/SamplingData[[#Totals],[Max Error Bound (up)]])</f>
        <v>3.4324018736876126E-3</v>
      </c>
      <c r="AD920" s="104">
        <f>SUM($AC$5:AC920)</f>
        <v>0.5415253324718684</v>
      </c>
      <c r="AE920" s="100" t="str" cm="1">
        <f t="array" ref="AE920">IF(SamplingData[[#This Row],[up/U Selection Probability]] = 0, "Zero", TEXT(SamplingData[[#This Row],[Lower Range]], REPT("0",LEN('General Info'!$B$42))) &amp; " - " &amp; TEXT(SamplingData[[#This Row],[Upper Range]], REPT("0",LEN('General Info'!$B$42))))</f>
        <v>53809 - 54152</v>
      </c>
      <c r="AF920" s="100">
        <f>SamplingData[[#This Row],[Upper Range]]-SamplingData[[#This Row],[Span]]</f>
        <v>53809.293059818076</v>
      </c>
      <c r="AG920" s="100">
        <f>IF(ISNUMBER('General Info'!$B$42), ((SamplingData[[#This Row],[up/U Selection Probability]]) * 'General Info'!$B$44) - 1, 0)</f>
        <v>342.24018736876127</v>
      </c>
      <c r="AH920" s="100">
        <f>IF(ISNUMBER('General Info'!$B$42), (SamplingData[[#This Row],[Running (cumulative) sum]] * ('General Info'!$B$42 -'General Info'!$B$43 + 1)) + 'General Info'!$B$43 - 1, 0)</f>
        <v>54151.533247186839</v>
      </c>
      <c r="AI920" s="100" t="str">
        <f>IF(ISERROR(MATCH(SamplingData[[#This Row],[Batch by Type (p)]],SelectedPrecincts[Batch Name], 0)), "", INDEX(SelectedPrecincts[Draw], MATCH(SamplingData[[#This Row],[Batch by Type (p)]],SelectedPrecincts[Batch Name], 0)))</f>
        <v/>
      </c>
      <c r="AJ920" s="101">
        <f>IF(COUNTIF(SelectedPrecincts[Batch Name],SamplingData[[#This Row],[Batch by Type (p)]]) &lt;&gt; 0, COUNTIF(SelectedPrecincts[Batch Name],SamplingData[[#This Row],[Batch by Type (p)]]), 0)</f>
        <v>0</v>
      </c>
    </row>
    <row r="921" spans="1:36" ht="15" customHeight="1" x14ac:dyDescent="0.35">
      <c r="A921" s="98" t="s">
        <v>1132</v>
      </c>
      <c r="B921" s="98">
        <v>163</v>
      </c>
      <c r="C921" s="98">
        <v>15</v>
      </c>
      <c r="D921" s="93"/>
      <c r="E921" s="93"/>
      <c r="F921" s="93"/>
      <c r="G921" s="97"/>
      <c r="H921" s="97"/>
      <c r="I921" s="93"/>
      <c r="J921" s="93"/>
      <c r="K921" s="93"/>
      <c r="L921" s="93"/>
      <c r="M921" s="93"/>
      <c r="N921" s="98">
        <v>0</v>
      </c>
      <c r="O921" s="98">
        <v>4</v>
      </c>
      <c r="P921" s="99">
        <f>SUM(SamplingData[[#This Row],[Winning Candidate]:[Under Votes]])</f>
        <v>182</v>
      </c>
      <c r="Q921" s="100">
        <f>IF(AND(SamplingData[[#This Row],[Total]]&lt;&gt; 0, NOT(ISBLANK(SamplingData[[#This Row],[Losing Candidate]]))),(SamplingData[[#This Row],[Total]]+SamplingData[[#This Row],[Winning Candidate]]-SamplingData[[#This Row],[Losing Candidate]])/(SamplingData[[#Totals],[Winning Candidate]]-SamplingData[[#Totals],[Losing Candidate]]), 0)</f>
        <v>1.0365298237899299E-2</v>
      </c>
      <c r="R921" s="100">
        <f>IF(AND(SamplingData[[#This Row],[Total]]&lt;&gt; 0, NOT(ISBLANK(SamplingData[[#This Row],[Candidate 3]]))),(SamplingData[[#This Row],[Total]]+SamplingData[[#This Row],[Winning Candidate]]-SamplingData[[#This Row],[Candidate 3]])/(SamplingData[[#Totals],[Winning Candidate]]-SamplingData[[#Totals],[Candidate 3]]), 0)</f>
        <v>0</v>
      </c>
      <c r="S921" s="100">
        <f>IF(AND(SamplingData[[#This Row],[Total]]&lt;&gt; 0, NOT(ISBLANK(SamplingData[[#This Row],[Candidate 4]]))),(SamplingData[[#This Row],[Total]]+SamplingData[[#This Row],[Winning Candidate]]-SamplingData[[#This Row],[Candidate 4]])/(SamplingData[[#Totals],[Winning Candidate]]-SamplingData[[#Totals],[Candidate 4]]), 0)</f>
        <v>0</v>
      </c>
      <c r="T921" s="100">
        <f>IF(AND(SamplingData[[#This Row],[Total]]&lt;&gt; 0, NOT(ISBLANK(SamplingData[[#This Row],[Candidate 5]]))),(SamplingData[[#This Row],[Total]]+SamplingData[[#This Row],[Winning Candidate]]-SamplingData[[#This Row],[Candidate 5]])/(SamplingData[[#Totals],[Winning Candidate]]-SamplingData[[#Totals],[Candidate 5]]), 0)</f>
        <v>0</v>
      </c>
      <c r="U921" s="100">
        <f>IF(AND(SamplingData[[#This Row],[Total]]&lt;&gt; 0, NOT(ISBLANK(SamplingData[[#This Row],[Candidate 6]]))),(SamplingData[[#This Row],[Total]]+SamplingData[[#This Row],[Losing Candidate]]-SamplingData[[#This Row],[Candidate 6]])/(SamplingData[[#Totals],[Winning Candidate]]-SamplingData[[#Totals],[Candidate 6]]), 0)</f>
        <v>0</v>
      </c>
      <c r="V921" s="100">
        <f>IF(AND(SamplingData[[#This Row],[Total]]&lt;&gt; 0, NOT(ISBLANK(SamplingData[[#This Row],[Candidate 7]]))),(SamplingData[[#This Row],[Total]]+SamplingData[[#This Row],[Winning Candidate]]-SamplingData[[#This Row],[Candidate 7]])/(SamplingData[[#Totals],[Winning Candidate]]-SamplingData[[#Totals],[Candidate 7]]), 0)</f>
        <v>0</v>
      </c>
      <c r="W921" s="100">
        <f>IF(AND(SamplingData[[#This Row],[Total]]&lt;&gt; 0, NOT(ISBLANK(SamplingData[[#This Row],[Candidate 8]]))),(SamplingData[[#This Row],[Total]]+SamplingData[[#This Row],[Winning Candidate]]-SamplingData[[#This Row],[Candidate 8]])/(SamplingData[[#Totals],[Winning Candidate]]-SamplingData[[#Totals],[Candidate 8]]), 0)</f>
        <v>0</v>
      </c>
      <c r="X9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00">
        <f>MAX(SamplingData[[#This Row],[Error Bound (up) - Max. possible relative overstatement - Losing Candidate]:[Error Bound (up) - Max. possible relative overstatement - Candidate 12]])</f>
        <v>1.0365298237899299E-2</v>
      </c>
      <c r="AC921" s="100">
        <f>IF(SamplingData[[#This Row],[Max Error Bound (up)]] = 0,0,SamplingData[[#This Row],[Max Error Bound (up)]]/SamplingData[[#Totals],[Max Error Bound (up)]])</f>
        <v>4.4419318365369097E-3</v>
      </c>
      <c r="AD921" s="104">
        <f>SUM($AC$5:AC921)</f>
        <v>0.54596726430840536</v>
      </c>
      <c r="AE921" s="100" t="str" cm="1">
        <f t="array" ref="AE921">IF(SamplingData[[#This Row],[up/U Selection Probability]] = 0, "Zero", TEXT(SamplingData[[#This Row],[Lower Range]], REPT("0",LEN('General Info'!$B$42))) &amp; " - " &amp; TEXT(SamplingData[[#This Row],[Upper Range]], REPT("0",LEN('General Info'!$B$42))))</f>
        <v>54153 - 54596</v>
      </c>
      <c r="AF921" s="100">
        <f>SamplingData[[#This Row],[Upper Range]]-SamplingData[[#This Row],[Span]]</f>
        <v>54152.533247186846</v>
      </c>
      <c r="AG921" s="100">
        <f>IF(ISNUMBER('General Info'!$B$42), ((SamplingData[[#This Row],[up/U Selection Probability]]) * 'General Info'!$B$44) - 1, 0)</f>
        <v>443.19318365369099</v>
      </c>
      <c r="AH921" s="100">
        <f>IF(ISNUMBER('General Info'!$B$42), (SamplingData[[#This Row],[Running (cumulative) sum]] * ('General Info'!$B$42 -'General Info'!$B$43 + 1)) + 'General Info'!$B$43 - 1, 0)</f>
        <v>54595.726430840536</v>
      </c>
      <c r="AI921" s="100" t="str">
        <f>IF(ISERROR(MATCH(SamplingData[[#This Row],[Batch by Type (p)]],SelectedPrecincts[Batch Name], 0)), "", INDEX(SelectedPrecincts[Draw], MATCH(SamplingData[[#This Row],[Batch by Type (p)]],SelectedPrecincts[Batch Name], 0)))</f>
        <v/>
      </c>
      <c r="AJ921" s="101">
        <f>IF(COUNTIF(SelectedPrecincts[Batch Name],SamplingData[[#This Row],[Batch by Type (p)]]) &lt;&gt; 0, COUNTIF(SelectedPrecincts[Batch Name],SamplingData[[#This Row],[Batch by Type (p)]]), 0)</f>
        <v>0</v>
      </c>
    </row>
    <row r="922" spans="1:36" ht="15" customHeight="1" x14ac:dyDescent="0.35">
      <c r="A922" s="98" t="s">
        <v>1133</v>
      </c>
      <c r="B922" s="98">
        <v>146</v>
      </c>
      <c r="C922" s="98">
        <v>13</v>
      </c>
      <c r="D922" s="93"/>
      <c r="E922" s="93"/>
      <c r="F922" s="93"/>
      <c r="G922" s="97"/>
      <c r="H922" s="97"/>
      <c r="I922" s="93"/>
      <c r="J922" s="93"/>
      <c r="K922" s="93"/>
      <c r="L922" s="93"/>
      <c r="M922" s="93"/>
      <c r="N922" s="98">
        <v>0</v>
      </c>
      <c r="O922" s="98">
        <v>0</v>
      </c>
      <c r="P922" s="99">
        <f>SUM(SamplingData[[#This Row],[Winning Candidate]:[Under Votes]])</f>
        <v>159</v>
      </c>
      <c r="Q922" s="100">
        <f>IF(AND(SamplingData[[#This Row],[Total]]&lt;&gt; 0, NOT(ISBLANK(SamplingData[[#This Row],[Losing Candidate]]))),(SamplingData[[#This Row],[Total]]+SamplingData[[#This Row],[Winning Candidate]]-SamplingData[[#This Row],[Losing Candidate]])/(SamplingData[[#Totals],[Winning Candidate]]-SamplingData[[#Totals],[Losing Candidate]]), 0)</f>
        <v>9.1717184408078647E-3</v>
      </c>
      <c r="R922" s="100">
        <f>IF(AND(SamplingData[[#This Row],[Total]]&lt;&gt; 0, NOT(ISBLANK(SamplingData[[#This Row],[Candidate 3]]))),(SamplingData[[#This Row],[Total]]+SamplingData[[#This Row],[Winning Candidate]]-SamplingData[[#This Row],[Candidate 3]])/(SamplingData[[#Totals],[Winning Candidate]]-SamplingData[[#Totals],[Candidate 3]]), 0)</f>
        <v>0</v>
      </c>
      <c r="S922" s="100">
        <f>IF(AND(SamplingData[[#This Row],[Total]]&lt;&gt; 0, NOT(ISBLANK(SamplingData[[#This Row],[Candidate 4]]))),(SamplingData[[#This Row],[Total]]+SamplingData[[#This Row],[Winning Candidate]]-SamplingData[[#This Row],[Candidate 4]])/(SamplingData[[#Totals],[Winning Candidate]]-SamplingData[[#Totals],[Candidate 4]]), 0)</f>
        <v>0</v>
      </c>
      <c r="T922" s="100">
        <f>IF(AND(SamplingData[[#This Row],[Total]]&lt;&gt; 0, NOT(ISBLANK(SamplingData[[#This Row],[Candidate 5]]))),(SamplingData[[#This Row],[Total]]+SamplingData[[#This Row],[Winning Candidate]]-SamplingData[[#This Row],[Candidate 5]])/(SamplingData[[#Totals],[Winning Candidate]]-SamplingData[[#Totals],[Candidate 5]]), 0)</f>
        <v>0</v>
      </c>
      <c r="U922" s="100">
        <f>IF(AND(SamplingData[[#This Row],[Total]]&lt;&gt; 0, NOT(ISBLANK(SamplingData[[#This Row],[Candidate 6]]))),(SamplingData[[#This Row],[Total]]+SamplingData[[#This Row],[Losing Candidate]]-SamplingData[[#This Row],[Candidate 6]])/(SamplingData[[#Totals],[Winning Candidate]]-SamplingData[[#Totals],[Candidate 6]]), 0)</f>
        <v>0</v>
      </c>
      <c r="V922" s="100">
        <f>IF(AND(SamplingData[[#This Row],[Total]]&lt;&gt; 0, NOT(ISBLANK(SamplingData[[#This Row],[Candidate 7]]))),(SamplingData[[#This Row],[Total]]+SamplingData[[#This Row],[Winning Candidate]]-SamplingData[[#This Row],[Candidate 7]])/(SamplingData[[#Totals],[Winning Candidate]]-SamplingData[[#Totals],[Candidate 7]]), 0)</f>
        <v>0</v>
      </c>
      <c r="W922" s="100">
        <f>IF(AND(SamplingData[[#This Row],[Total]]&lt;&gt; 0, NOT(ISBLANK(SamplingData[[#This Row],[Candidate 8]]))),(SamplingData[[#This Row],[Total]]+SamplingData[[#This Row],[Winning Candidate]]-SamplingData[[#This Row],[Candidate 8]])/(SamplingData[[#Totals],[Winning Candidate]]-SamplingData[[#Totals],[Candidate 8]]), 0)</f>
        <v>0</v>
      </c>
      <c r="X9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00">
        <f>MAX(SamplingData[[#This Row],[Error Bound (up) - Max. possible relative overstatement - Losing Candidate]:[Error Bound (up) - Max. possible relative overstatement - Candidate 12]])</f>
        <v>9.1717184408078647E-3</v>
      </c>
      <c r="AC922" s="100">
        <f>IF(SamplingData[[#This Row],[Max Error Bound (up)]] = 0,0,SamplingData[[#This Row],[Max Error Bound (up)]]/SamplingData[[#Totals],[Max Error Bound (up)]])</f>
        <v>3.9304366553599319E-3</v>
      </c>
      <c r="AD922" s="104">
        <f>SUM($AC$5:AC922)</f>
        <v>0.54989770096376533</v>
      </c>
      <c r="AE922" s="100" t="str" cm="1">
        <f t="array" ref="AE922">IF(SamplingData[[#This Row],[up/U Selection Probability]] = 0, "Zero", TEXT(SamplingData[[#This Row],[Lower Range]], REPT("0",LEN('General Info'!$B$42))) &amp; " - " &amp; TEXT(SamplingData[[#This Row],[Upper Range]], REPT("0",LEN('General Info'!$B$42))))</f>
        <v>54597 - 54989</v>
      </c>
      <c r="AF922" s="100">
        <f>SamplingData[[#This Row],[Upper Range]]-SamplingData[[#This Row],[Span]]</f>
        <v>54596.726430840536</v>
      </c>
      <c r="AG922" s="100">
        <f>IF(ISNUMBER('General Info'!$B$42), ((SamplingData[[#This Row],[up/U Selection Probability]]) * 'General Info'!$B$44) - 1, 0)</f>
        <v>392.04366553599317</v>
      </c>
      <c r="AH922" s="100">
        <f>IF(ISNUMBER('General Info'!$B$42), (SamplingData[[#This Row],[Running (cumulative) sum]] * ('General Info'!$B$42 -'General Info'!$B$43 + 1)) + 'General Info'!$B$43 - 1, 0)</f>
        <v>54988.770096376531</v>
      </c>
      <c r="AI922" s="100" t="str">
        <f>IF(ISERROR(MATCH(SamplingData[[#This Row],[Batch by Type (p)]],SelectedPrecincts[Batch Name], 0)), "", INDEX(SelectedPrecincts[Draw], MATCH(SamplingData[[#This Row],[Batch by Type (p)]],SelectedPrecincts[Batch Name], 0)))</f>
        <v/>
      </c>
      <c r="AJ922" s="101">
        <f>IF(COUNTIF(SelectedPrecincts[Batch Name],SamplingData[[#This Row],[Batch by Type (p)]]) &lt;&gt; 0, COUNTIF(SelectedPrecincts[Batch Name],SamplingData[[#This Row],[Batch by Type (p)]]), 0)</f>
        <v>0</v>
      </c>
    </row>
    <row r="923" spans="1:36" ht="15" customHeight="1" x14ac:dyDescent="0.35">
      <c r="A923" s="98" t="s">
        <v>1134</v>
      </c>
      <c r="B923" s="98">
        <v>82</v>
      </c>
      <c r="C923" s="98">
        <v>11</v>
      </c>
      <c r="D923" s="93"/>
      <c r="E923" s="93"/>
      <c r="F923" s="93"/>
      <c r="G923" s="97"/>
      <c r="H923" s="97"/>
      <c r="I923" s="93"/>
      <c r="J923" s="93"/>
      <c r="K923" s="93"/>
      <c r="L923" s="93"/>
      <c r="M923" s="93"/>
      <c r="N923" s="98">
        <v>0</v>
      </c>
      <c r="O923" s="98">
        <v>1</v>
      </c>
      <c r="P923" s="99">
        <f>SUM(SamplingData[[#This Row],[Winning Candidate]:[Under Votes]])</f>
        <v>94</v>
      </c>
      <c r="Q923" s="100">
        <f>IF(AND(SamplingData[[#This Row],[Total]]&lt;&gt; 0, NOT(ISBLANK(SamplingData[[#This Row],[Losing Candidate]]))),(SamplingData[[#This Row],[Total]]+SamplingData[[#This Row],[Winning Candidate]]-SamplingData[[#This Row],[Losing Candidate]])/(SamplingData[[#Totals],[Winning Candidate]]-SamplingData[[#Totals],[Losing Candidate]]), 0)</f>
        <v>5.1826491189496497E-3</v>
      </c>
      <c r="R923" s="100">
        <f>IF(AND(SamplingData[[#This Row],[Total]]&lt;&gt; 0, NOT(ISBLANK(SamplingData[[#This Row],[Candidate 3]]))),(SamplingData[[#This Row],[Total]]+SamplingData[[#This Row],[Winning Candidate]]-SamplingData[[#This Row],[Candidate 3]])/(SamplingData[[#Totals],[Winning Candidate]]-SamplingData[[#Totals],[Candidate 3]]), 0)</f>
        <v>0</v>
      </c>
      <c r="S923" s="100">
        <f>IF(AND(SamplingData[[#This Row],[Total]]&lt;&gt; 0, NOT(ISBLANK(SamplingData[[#This Row],[Candidate 4]]))),(SamplingData[[#This Row],[Total]]+SamplingData[[#This Row],[Winning Candidate]]-SamplingData[[#This Row],[Candidate 4]])/(SamplingData[[#Totals],[Winning Candidate]]-SamplingData[[#Totals],[Candidate 4]]), 0)</f>
        <v>0</v>
      </c>
      <c r="T923" s="100">
        <f>IF(AND(SamplingData[[#This Row],[Total]]&lt;&gt; 0, NOT(ISBLANK(SamplingData[[#This Row],[Candidate 5]]))),(SamplingData[[#This Row],[Total]]+SamplingData[[#This Row],[Winning Candidate]]-SamplingData[[#This Row],[Candidate 5]])/(SamplingData[[#Totals],[Winning Candidate]]-SamplingData[[#Totals],[Candidate 5]]), 0)</f>
        <v>0</v>
      </c>
      <c r="U923" s="100">
        <f>IF(AND(SamplingData[[#This Row],[Total]]&lt;&gt; 0, NOT(ISBLANK(SamplingData[[#This Row],[Candidate 6]]))),(SamplingData[[#This Row],[Total]]+SamplingData[[#This Row],[Losing Candidate]]-SamplingData[[#This Row],[Candidate 6]])/(SamplingData[[#Totals],[Winning Candidate]]-SamplingData[[#Totals],[Candidate 6]]), 0)</f>
        <v>0</v>
      </c>
      <c r="V923" s="100">
        <f>IF(AND(SamplingData[[#This Row],[Total]]&lt;&gt; 0, NOT(ISBLANK(SamplingData[[#This Row],[Candidate 7]]))),(SamplingData[[#This Row],[Total]]+SamplingData[[#This Row],[Winning Candidate]]-SamplingData[[#This Row],[Candidate 7]])/(SamplingData[[#Totals],[Winning Candidate]]-SamplingData[[#Totals],[Candidate 7]]), 0)</f>
        <v>0</v>
      </c>
      <c r="W923" s="100">
        <f>IF(AND(SamplingData[[#This Row],[Total]]&lt;&gt; 0, NOT(ISBLANK(SamplingData[[#This Row],[Candidate 8]]))),(SamplingData[[#This Row],[Total]]+SamplingData[[#This Row],[Winning Candidate]]-SamplingData[[#This Row],[Candidate 8]])/(SamplingData[[#Totals],[Winning Candidate]]-SamplingData[[#Totals],[Candidate 8]]), 0)</f>
        <v>0</v>
      </c>
      <c r="X9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00">
        <f>MAX(SamplingData[[#This Row],[Error Bound (up) - Max. possible relative overstatement - Losing Candidate]:[Error Bound (up) - Max. possible relative overstatement - Candidate 12]])</f>
        <v>5.1826491189496497E-3</v>
      </c>
      <c r="AC923" s="100">
        <f>IF(SamplingData[[#This Row],[Max Error Bound (up)]] = 0,0,SamplingData[[#This Row],[Max Error Bound (up)]]/SamplingData[[#Totals],[Max Error Bound (up)]])</f>
        <v>2.2209659182684549E-3</v>
      </c>
      <c r="AD923" s="104">
        <f>SUM($AC$5:AC923)</f>
        <v>0.55211866688203382</v>
      </c>
      <c r="AE923" s="100" t="str" cm="1">
        <f t="array" ref="AE923">IF(SamplingData[[#This Row],[up/U Selection Probability]] = 0, "Zero", TEXT(SamplingData[[#This Row],[Lower Range]], REPT("0",LEN('General Info'!$B$42))) &amp; " - " &amp; TEXT(SamplingData[[#This Row],[Upper Range]], REPT("0",LEN('General Info'!$B$42))))</f>
        <v>54990 - 55211</v>
      </c>
      <c r="AF923" s="100">
        <f>SamplingData[[#This Row],[Upper Range]]-SamplingData[[#This Row],[Span]]</f>
        <v>54989.770096376531</v>
      </c>
      <c r="AG923" s="100">
        <f>IF(ISNUMBER('General Info'!$B$42), ((SamplingData[[#This Row],[up/U Selection Probability]]) * 'General Info'!$B$44) - 1, 0)</f>
        <v>221.0965918268455</v>
      </c>
      <c r="AH923" s="100">
        <f>IF(ISNUMBER('General Info'!$B$42), (SamplingData[[#This Row],[Running (cumulative) sum]] * ('General Info'!$B$42 -'General Info'!$B$43 + 1)) + 'General Info'!$B$43 - 1, 0)</f>
        <v>55210.866688203379</v>
      </c>
      <c r="AI923" s="100" t="str">
        <f>IF(ISERROR(MATCH(SamplingData[[#This Row],[Batch by Type (p)]],SelectedPrecincts[Batch Name], 0)), "", INDEX(SelectedPrecincts[Draw], MATCH(SamplingData[[#This Row],[Batch by Type (p)]],SelectedPrecincts[Batch Name], 0)))</f>
        <v/>
      </c>
      <c r="AJ923" s="101">
        <f>IF(COUNTIF(SelectedPrecincts[Batch Name],SamplingData[[#This Row],[Batch by Type (p)]]) &lt;&gt; 0, COUNTIF(SelectedPrecincts[Batch Name],SamplingData[[#This Row],[Batch by Type (p)]]), 0)</f>
        <v>0</v>
      </c>
    </row>
    <row r="924" spans="1:36" ht="15" customHeight="1" x14ac:dyDescent="0.35">
      <c r="A924" s="98" t="s">
        <v>1135</v>
      </c>
      <c r="B924" s="98">
        <v>122</v>
      </c>
      <c r="C924" s="98">
        <v>15</v>
      </c>
      <c r="D924" s="93"/>
      <c r="E924" s="93"/>
      <c r="F924" s="93"/>
      <c r="G924" s="97"/>
      <c r="H924" s="97"/>
      <c r="I924" s="93"/>
      <c r="J924" s="93"/>
      <c r="K924" s="93"/>
      <c r="L924" s="93"/>
      <c r="M924" s="93"/>
      <c r="N924" s="98">
        <v>0</v>
      </c>
      <c r="O924" s="98">
        <v>3</v>
      </c>
      <c r="P924" s="99">
        <f>SUM(SamplingData[[#This Row],[Winning Candidate]:[Under Votes]])</f>
        <v>140</v>
      </c>
      <c r="Q924" s="100">
        <f>IF(AND(SamplingData[[#This Row],[Total]]&lt;&gt; 0, NOT(ISBLANK(SamplingData[[#This Row],[Losing Candidate]]))),(SamplingData[[#This Row],[Total]]+SamplingData[[#This Row],[Winning Candidate]]-SamplingData[[#This Row],[Losing Candidate]])/(SamplingData[[#Totals],[Winning Candidate]]-SamplingData[[#Totals],[Losing Candidate]]), 0)</f>
        <v>7.7582686810943246E-3</v>
      </c>
      <c r="R924" s="100">
        <f>IF(AND(SamplingData[[#This Row],[Total]]&lt;&gt; 0, NOT(ISBLANK(SamplingData[[#This Row],[Candidate 3]]))),(SamplingData[[#This Row],[Total]]+SamplingData[[#This Row],[Winning Candidate]]-SamplingData[[#This Row],[Candidate 3]])/(SamplingData[[#Totals],[Winning Candidate]]-SamplingData[[#Totals],[Candidate 3]]), 0)</f>
        <v>0</v>
      </c>
      <c r="S924" s="100">
        <f>IF(AND(SamplingData[[#This Row],[Total]]&lt;&gt; 0, NOT(ISBLANK(SamplingData[[#This Row],[Candidate 4]]))),(SamplingData[[#This Row],[Total]]+SamplingData[[#This Row],[Winning Candidate]]-SamplingData[[#This Row],[Candidate 4]])/(SamplingData[[#Totals],[Winning Candidate]]-SamplingData[[#Totals],[Candidate 4]]), 0)</f>
        <v>0</v>
      </c>
      <c r="T924" s="100">
        <f>IF(AND(SamplingData[[#This Row],[Total]]&lt;&gt; 0, NOT(ISBLANK(SamplingData[[#This Row],[Candidate 5]]))),(SamplingData[[#This Row],[Total]]+SamplingData[[#This Row],[Winning Candidate]]-SamplingData[[#This Row],[Candidate 5]])/(SamplingData[[#Totals],[Winning Candidate]]-SamplingData[[#Totals],[Candidate 5]]), 0)</f>
        <v>0</v>
      </c>
      <c r="U924" s="100">
        <f>IF(AND(SamplingData[[#This Row],[Total]]&lt;&gt; 0, NOT(ISBLANK(SamplingData[[#This Row],[Candidate 6]]))),(SamplingData[[#This Row],[Total]]+SamplingData[[#This Row],[Losing Candidate]]-SamplingData[[#This Row],[Candidate 6]])/(SamplingData[[#Totals],[Winning Candidate]]-SamplingData[[#Totals],[Candidate 6]]), 0)</f>
        <v>0</v>
      </c>
      <c r="V924" s="100">
        <f>IF(AND(SamplingData[[#This Row],[Total]]&lt;&gt; 0, NOT(ISBLANK(SamplingData[[#This Row],[Candidate 7]]))),(SamplingData[[#This Row],[Total]]+SamplingData[[#This Row],[Winning Candidate]]-SamplingData[[#This Row],[Candidate 7]])/(SamplingData[[#Totals],[Winning Candidate]]-SamplingData[[#Totals],[Candidate 7]]), 0)</f>
        <v>0</v>
      </c>
      <c r="W924" s="100">
        <f>IF(AND(SamplingData[[#This Row],[Total]]&lt;&gt; 0, NOT(ISBLANK(SamplingData[[#This Row],[Candidate 8]]))),(SamplingData[[#This Row],[Total]]+SamplingData[[#This Row],[Winning Candidate]]-SamplingData[[#This Row],[Candidate 8]])/(SamplingData[[#Totals],[Winning Candidate]]-SamplingData[[#Totals],[Candidate 8]]), 0)</f>
        <v>0</v>
      </c>
      <c r="X9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00">
        <f>MAX(SamplingData[[#This Row],[Error Bound (up) - Max. possible relative overstatement - Losing Candidate]:[Error Bound (up) - Max. possible relative overstatement - Candidate 12]])</f>
        <v>7.7582686810943246E-3</v>
      </c>
      <c r="AC924" s="100">
        <f>IF(SamplingData[[#This Row],[Max Error Bound (up)]] = 0,0,SamplingData[[#This Row],[Max Error Bound (up)]]/SamplingData[[#Totals],[Max Error Bound (up)]])</f>
        <v>3.3247186776503542E-3</v>
      </c>
      <c r="AD924" s="104">
        <f>SUM($AC$5:AC924)</f>
        <v>0.5554433855596842</v>
      </c>
      <c r="AE924" s="100" t="str" cm="1">
        <f t="array" ref="AE924">IF(SamplingData[[#This Row],[up/U Selection Probability]] = 0, "Zero", TEXT(SamplingData[[#This Row],[Lower Range]], REPT("0",LEN('General Info'!$B$42))) &amp; " - " &amp; TEXT(SamplingData[[#This Row],[Upper Range]], REPT("0",LEN('General Info'!$B$42))))</f>
        <v>55212 - 55543</v>
      </c>
      <c r="AF924" s="100">
        <f>SamplingData[[#This Row],[Upper Range]]-SamplingData[[#This Row],[Span]]</f>
        <v>55211.866688203379</v>
      </c>
      <c r="AG924" s="100">
        <f>IF(ISNUMBER('General Info'!$B$42), ((SamplingData[[#This Row],[up/U Selection Probability]]) * 'General Info'!$B$44) - 1, 0)</f>
        <v>331.47186776503543</v>
      </c>
      <c r="AH924" s="100">
        <f>IF(ISNUMBER('General Info'!$B$42), (SamplingData[[#This Row],[Running (cumulative) sum]] * ('General Info'!$B$42 -'General Info'!$B$43 + 1)) + 'General Info'!$B$43 - 1, 0)</f>
        <v>55543.338555968417</v>
      </c>
      <c r="AI924" s="100" t="str">
        <f>IF(ISERROR(MATCH(SamplingData[[#This Row],[Batch by Type (p)]],SelectedPrecincts[Batch Name], 0)), "", INDEX(SelectedPrecincts[Draw], MATCH(SamplingData[[#This Row],[Batch by Type (p)]],SelectedPrecincts[Batch Name], 0)))</f>
        <v/>
      </c>
      <c r="AJ924" s="101">
        <f>IF(COUNTIF(SelectedPrecincts[Batch Name],SamplingData[[#This Row],[Batch by Type (p)]]) &lt;&gt; 0, COUNTIF(SelectedPrecincts[Batch Name],SamplingData[[#This Row],[Batch by Type (p)]]), 0)</f>
        <v>0</v>
      </c>
    </row>
    <row r="925" spans="1:36" ht="15" customHeight="1" x14ac:dyDescent="0.35">
      <c r="A925" s="98" t="s">
        <v>1136</v>
      </c>
      <c r="B925" s="98">
        <v>68</v>
      </c>
      <c r="C925" s="98">
        <v>9</v>
      </c>
      <c r="D925" s="93"/>
      <c r="E925" s="93"/>
      <c r="F925" s="93"/>
      <c r="G925" s="97"/>
      <c r="H925" s="97"/>
      <c r="I925" s="93"/>
      <c r="J925" s="93"/>
      <c r="K925" s="93"/>
      <c r="L925" s="93"/>
      <c r="M925" s="93"/>
      <c r="N925" s="98">
        <v>0</v>
      </c>
      <c r="O925" s="98">
        <v>1</v>
      </c>
      <c r="P925" s="99">
        <f>SUM(SamplingData[[#This Row],[Winning Candidate]:[Under Votes]])</f>
        <v>78</v>
      </c>
      <c r="Q925" s="100">
        <f>IF(AND(SamplingData[[#This Row],[Total]]&lt;&gt; 0, NOT(ISBLANK(SamplingData[[#This Row],[Losing Candidate]]))),(SamplingData[[#This Row],[Total]]+SamplingData[[#This Row],[Winning Candidate]]-SamplingData[[#This Row],[Losing Candidate]])/(SamplingData[[#Totals],[Winning Candidate]]-SamplingData[[#Totals],[Losing Candidate]]), 0)</f>
        <v>4.3031692684612245E-3</v>
      </c>
      <c r="R925" s="100">
        <f>IF(AND(SamplingData[[#This Row],[Total]]&lt;&gt; 0, NOT(ISBLANK(SamplingData[[#This Row],[Candidate 3]]))),(SamplingData[[#This Row],[Total]]+SamplingData[[#This Row],[Winning Candidate]]-SamplingData[[#This Row],[Candidate 3]])/(SamplingData[[#Totals],[Winning Candidate]]-SamplingData[[#Totals],[Candidate 3]]), 0)</f>
        <v>0</v>
      </c>
      <c r="S925" s="100">
        <f>IF(AND(SamplingData[[#This Row],[Total]]&lt;&gt; 0, NOT(ISBLANK(SamplingData[[#This Row],[Candidate 4]]))),(SamplingData[[#This Row],[Total]]+SamplingData[[#This Row],[Winning Candidate]]-SamplingData[[#This Row],[Candidate 4]])/(SamplingData[[#Totals],[Winning Candidate]]-SamplingData[[#Totals],[Candidate 4]]), 0)</f>
        <v>0</v>
      </c>
      <c r="T925" s="100">
        <f>IF(AND(SamplingData[[#This Row],[Total]]&lt;&gt; 0, NOT(ISBLANK(SamplingData[[#This Row],[Candidate 5]]))),(SamplingData[[#This Row],[Total]]+SamplingData[[#This Row],[Winning Candidate]]-SamplingData[[#This Row],[Candidate 5]])/(SamplingData[[#Totals],[Winning Candidate]]-SamplingData[[#Totals],[Candidate 5]]), 0)</f>
        <v>0</v>
      </c>
      <c r="U925" s="100">
        <f>IF(AND(SamplingData[[#This Row],[Total]]&lt;&gt; 0, NOT(ISBLANK(SamplingData[[#This Row],[Candidate 6]]))),(SamplingData[[#This Row],[Total]]+SamplingData[[#This Row],[Losing Candidate]]-SamplingData[[#This Row],[Candidate 6]])/(SamplingData[[#Totals],[Winning Candidate]]-SamplingData[[#Totals],[Candidate 6]]), 0)</f>
        <v>0</v>
      </c>
      <c r="V925" s="100">
        <f>IF(AND(SamplingData[[#This Row],[Total]]&lt;&gt; 0, NOT(ISBLANK(SamplingData[[#This Row],[Candidate 7]]))),(SamplingData[[#This Row],[Total]]+SamplingData[[#This Row],[Winning Candidate]]-SamplingData[[#This Row],[Candidate 7]])/(SamplingData[[#Totals],[Winning Candidate]]-SamplingData[[#Totals],[Candidate 7]]), 0)</f>
        <v>0</v>
      </c>
      <c r="W925" s="100">
        <f>IF(AND(SamplingData[[#This Row],[Total]]&lt;&gt; 0, NOT(ISBLANK(SamplingData[[#This Row],[Candidate 8]]))),(SamplingData[[#This Row],[Total]]+SamplingData[[#This Row],[Winning Candidate]]-SamplingData[[#This Row],[Candidate 8]])/(SamplingData[[#Totals],[Winning Candidate]]-SamplingData[[#Totals],[Candidate 8]]), 0)</f>
        <v>0</v>
      </c>
      <c r="X9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00">
        <f>MAX(SamplingData[[#This Row],[Error Bound (up) - Max. possible relative overstatement - Losing Candidate]:[Error Bound (up) - Max. possible relative overstatement - Candidate 12]])</f>
        <v>4.3031692684612245E-3</v>
      </c>
      <c r="AC925" s="100">
        <f>IF(SamplingData[[#This Row],[Max Error Bound (up)]] = 0,0,SamplingData[[#This Row],[Max Error Bound (up)]]/SamplingData[[#Totals],[Max Error Bound (up)]])</f>
        <v>1.8440747321380505E-3</v>
      </c>
      <c r="AD925" s="104">
        <f>SUM($AC$5:AC925)</f>
        <v>0.5572874602918223</v>
      </c>
      <c r="AE925" s="100" t="str" cm="1">
        <f t="array" ref="AE925">IF(SamplingData[[#This Row],[up/U Selection Probability]] = 0, "Zero", TEXT(SamplingData[[#This Row],[Lower Range]], REPT("0",LEN('General Info'!$B$42))) &amp; " - " &amp; TEXT(SamplingData[[#This Row],[Upper Range]], REPT("0",LEN('General Info'!$B$42))))</f>
        <v>55544 - 55728</v>
      </c>
      <c r="AF925" s="100">
        <f>SamplingData[[#This Row],[Upper Range]]-SamplingData[[#This Row],[Span]]</f>
        <v>55544.338555968425</v>
      </c>
      <c r="AG925" s="100">
        <f>IF(ISNUMBER('General Info'!$B$42), ((SamplingData[[#This Row],[up/U Selection Probability]]) * 'General Info'!$B$44) - 1, 0)</f>
        <v>183.40747321380505</v>
      </c>
      <c r="AH925" s="100">
        <f>IF(ISNUMBER('General Info'!$B$42), (SamplingData[[#This Row],[Running (cumulative) sum]] * ('General Info'!$B$42 -'General Info'!$B$43 + 1)) + 'General Info'!$B$43 - 1, 0)</f>
        <v>55727.746029182228</v>
      </c>
      <c r="AI925" s="100" t="str">
        <f>IF(ISERROR(MATCH(SamplingData[[#This Row],[Batch by Type (p)]],SelectedPrecincts[Batch Name], 0)), "", INDEX(SelectedPrecincts[Draw], MATCH(SamplingData[[#This Row],[Batch by Type (p)]],SelectedPrecincts[Batch Name], 0)))</f>
        <v/>
      </c>
      <c r="AJ925" s="101">
        <f>IF(COUNTIF(SelectedPrecincts[Batch Name],SamplingData[[#This Row],[Batch by Type (p)]]) &lt;&gt; 0, COUNTIF(SelectedPrecincts[Batch Name],SamplingData[[#This Row],[Batch by Type (p)]]), 0)</f>
        <v>0</v>
      </c>
    </row>
    <row r="926" spans="1:36" ht="15" customHeight="1" x14ac:dyDescent="0.35">
      <c r="A926" s="98" t="s">
        <v>1137</v>
      </c>
      <c r="B926" s="98">
        <v>52</v>
      </c>
      <c r="C926" s="98">
        <v>8</v>
      </c>
      <c r="D926" s="93"/>
      <c r="E926" s="93"/>
      <c r="F926" s="93"/>
      <c r="G926" s="97"/>
      <c r="H926" s="97"/>
      <c r="I926" s="93"/>
      <c r="J926" s="93"/>
      <c r="K926" s="93"/>
      <c r="L926" s="93"/>
      <c r="M926" s="93"/>
      <c r="N926" s="98">
        <v>0</v>
      </c>
      <c r="O926" s="98">
        <v>0</v>
      </c>
      <c r="P926" s="99">
        <f>SUM(SamplingData[[#This Row],[Winning Candidate]:[Under Votes]])</f>
        <v>60</v>
      </c>
      <c r="Q926" s="100">
        <f>IF(AND(SamplingData[[#This Row],[Total]]&lt;&gt; 0, NOT(ISBLANK(SamplingData[[#This Row],[Losing Candidate]]))),(SamplingData[[#This Row],[Total]]+SamplingData[[#This Row],[Winning Candidate]]-SamplingData[[#This Row],[Losing Candidate]])/(SamplingData[[#Totals],[Winning Candidate]]-SamplingData[[#Totals],[Losing Candidate]]), 0)</f>
        <v>3.2666394446712946E-3</v>
      </c>
      <c r="R926" s="100">
        <f>IF(AND(SamplingData[[#This Row],[Total]]&lt;&gt; 0, NOT(ISBLANK(SamplingData[[#This Row],[Candidate 3]]))),(SamplingData[[#This Row],[Total]]+SamplingData[[#This Row],[Winning Candidate]]-SamplingData[[#This Row],[Candidate 3]])/(SamplingData[[#Totals],[Winning Candidate]]-SamplingData[[#Totals],[Candidate 3]]), 0)</f>
        <v>0</v>
      </c>
      <c r="S926" s="100">
        <f>IF(AND(SamplingData[[#This Row],[Total]]&lt;&gt; 0, NOT(ISBLANK(SamplingData[[#This Row],[Candidate 4]]))),(SamplingData[[#This Row],[Total]]+SamplingData[[#This Row],[Winning Candidate]]-SamplingData[[#This Row],[Candidate 4]])/(SamplingData[[#Totals],[Winning Candidate]]-SamplingData[[#Totals],[Candidate 4]]), 0)</f>
        <v>0</v>
      </c>
      <c r="T926" s="100">
        <f>IF(AND(SamplingData[[#This Row],[Total]]&lt;&gt; 0, NOT(ISBLANK(SamplingData[[#This Row],[Candidate 5]]))),(SamplingData[[#This Row],[Total]]+SamplingData[[#This Row],[Winning Candidate]]-SamplingData[[#This Row],[Candidate 5]])/(SamplingData[[#Totals],[Winning Candidate]]-SamplingData[[#Totals],[Candidate 5]]), 0)</f>
        <v>0</v>
      </c>
      <c r="U926" s="100">
        <f>IF(AND(SamplingData[[#This Row],[Total]]&lt;&gt; 0, NOT(ISBLANK(SamplingData[[#This Row],[Candidate 6]]))),(SamplingData[[#This Row],[Total]]+SamplingData[[#This Row],[Losing Candidate]]-SamplingData[[#This Row],[Candidate 6]])/(SamplingData[[#Totals],[Winning Candidate]]-SamplingData[[#Totals],[Candidate 6]]), 0)</f>
        <v>0</v>
      </c>
      <c r="V926" s="100">
        <f>IF(AND(SamplingData[[#This Row],[Total]]&lt;&gt; 0, NOT(ISBLANK(SamplingData[[#This Row],[Candidate 7]]))),(SamplingData[[#This Row],[Total]]+SamplingData[[#This Row],[Winning Candidate]]-SamplingData[[#This Row],[Candidate 7]])/(SamplingData[[#Totals],[Winning Candidate]]-SamplingData[[#Totals],[Candidate 7]]), 0)</f>
        <v>0</v>
      </c>
      <c r="W926" s="100">
        <f>IF(AND(SamplingData[[#This Row],[Total]]&lt;&gt; 0, NOT(ISBLANK(SamplingData[[#This Row],[Candidate 8]]))),(SamplingData[[#This Row],[Total]]+SamplingData[[#This Row],[Winning Candidate]]-SamplingData[[#This Row],[Candidate 8]])/(SamplingData[[#Totals],[Winning Candidate]]-SamplingData[[#Totals],[Candidate 8]]), 0)</f>
        <v>0</v>
      </c>
      <c r="X9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00">
        <f>MAX(SamplingData[[#This Row],[Error Bound (up) - Max. possible relative overstatement - Losing Candidate]:[Error Bound (up) - Max. possible relative overstatement - Candidate 12]])</f>
        <v>3.2666394446712946E-3</v>
      </c>
      <c r="AC926" s="100">
        <f>IF(SamplingData[[#This Row],[Max Error Bound (up)]] = 0,0,SamplingData[[#This Row],[Max Error Bound (up)]]/SamplingData[[#Totals],[Max Error Bound (up)]])</f>
        <v>1.3998815484843597E-3</v>
      </c>
      <c r="AD926" s="104">
        <f>SUM($AC$5:AC926)</f>
        <v>0.55868734184030666</v>
      </c>
      <c r="AE926" s="100" t="str" cm="1">
        <f t="array" ref="AE926">IF(SamplingData[[#This Row],[up/U Selection Probability]] = 0, "Zero", TEXT(SamplingData[[#This Row],[Lower Range]], REPT("0",LEN('General Info'!$B$42))) &amp; " - " &amp; TEXT(SamplingData[[#This Row],[Upper Range]], REPT("0",LEN('General Info'!$B$42))))</f>
        <v>55729 - 55868</v>
      </c>
      <c r="AF926" s="100">
        <f>SamplingData[[#This Row],[Upper Range]]-SamplingData[[#This Row],[Span]]</f>
        <v>55728.746029182235</v>
      </c>
      <c r="AG926" s="100">
        <f>IF(ISNUMBER('General Info'!$B$42), ((SamplingData[[#This Row],[up/U Selection Probability]]) * 'General Info'!$B$44) - 1, 0)</f>
        <v>138.98815484843595</v>
      </c>
      <c r="AH926" s="100">
        <f>IF(ISNUMBER('General Info'!$B$42), (SamplingData[[#This Row],[Running (cumulative) sum]] * ('General Info'!$B$42 -'General Info'!$B$43 + 1)) + 'General Info'!$B$43 - 1, 0)</f>
        <v>55867.734184030669</v>
      </c>
      <c r="AI926" s="100" t="str">
        <f>IF(ISERROR(MATCH(SamplingData[[#This Row],[Batch by Type (p)]],SelectedPrecincts[Batch Name], 0)), "", INDEX(SelectedPrecincts[Draw], MATCH(SamplingData[[#This Row],[Batch by Type (p)]],SelectedPrecincts[Batch Name], 0)))</f>
        <v/>
      </c>
      <c r="AJ926" s="101">
        <f>IF(COUNTIF(SelectedPrecincts[Batch Name],SamplingData[[#This Row],[Batch by Type (p)]]) &lt;&gt; 0, COUNTIF(SelectedPrecincts[Batch Name],SamplingData[[#This Row],[Batch by Type (p)]]), 0)</f>
        <v>0</v>
      </c>
    </row>
    <row r="927" spans="1:36" ht="15" customHeight="1" x14ac:dyDescent="0.35">
      <c r="A927" s="98" t="s">
        <v>1138</v>
      </c>
      <c r="B927" s="98">
        <v>142</v>
      </c>
      <c r="C927" s="98">
        <v>7</v>
      </c>
      <c r="D927" s="93"/>
      <c r="E927" s="93"/>
      <c r="F927" s="93"/>
      <c r="G927" s="97"/>
      <c r="H927" s="97"/>
      <c r="I927" s="93"/>
      <c r="J927" s="93"/>
      <c r="K927" s="93"/>
      <c r="L927" s="93"/>
      <c r="M927" s="93"/>
      <c r="N927" s="98">
        <v>0</v>
      </c>
      <c r="O927" s="98">
        <v>2</v>
      </c>
      <c r="P927" s="99">
        <f>SUM(SamplingData[[#This Row],[Winning Candidate]:[Under Votes]])</f>
        <v>151</v>
      </c>
      <c r="Q927" s="100">
        <f>IF(AND(SamplingData[[#This Row],[Total]]&lt;&gt; 0, NOT(ISBLANK(SamplingData[[#This Row],[Losing Candidate]]))),(SamplingData[[#This Row],[Total]]+SamplingData[[#This Row],[Winning Candidate]]-SamplingData[[#This Row],[Losing Candidate]])/(SamplingData[[#Totals],[Winning Candidate]]-SamplingData[[#Totals],[Losing Candidate]]), 0)</f>
        <v>8.9832584728460601E-3</v>
      </c>
      <c r="R927" s="100">
        <f>IF(AND(SamplingData[[#This Row],[Total]]&lt;&gt; 0, NOT(ISBLANK(SamplingData[[#This Row],[Candidate 3]]))),(SamplingData[[#This Row],[Total]]+SamplingData[[#This Row],[Winning Candidate]]-SamplingData[[#This Row],[Candidate 3]])/(SamplingData[[#Totals],[Winning Candidate]]-SamplingData[[#Totals],[Candidate 3]]), 0)</f>
        <v>0</v>
      </c>
      <c r="S927" s="100">
        <f>IF(AND(SamplingData[[#This Row],[Total]]&lt;&gt; 0, NOT(ISBLANK(SamplingData[[#This Row],[Candidate 4]]))),(SamplingData[[#This Row],[Total]]+SamplingData[[#This Row],[Winning Candidate]]-SamplingData[[#This Row],[Candidate 4]])/(SamplingData[[#Totals],[Winning Candidate]]-SamplingData[[#Totals],[Candidate 4]]), 0)</f>
        <v>0</v>
      </c>
      <c r="T927" s="100">
        <f>IF(AND(SamplingData[[#This Row],[Total]]&lt;&gt; 0, NOT(ISBLANK(SamplingData[[#This Row],[Candidate 5]]))),(SamplingData[[#This Row],[Total]]+SamplingData[[#This Row],[Winning Candidate]]-SamplingData[[#This Row],[Candidate 5]])/(SamplingData[[#Totals],[Winning Candidate]]-SamplingData[[#Totals],[Candidate 5]]), 0)</f>
        <v>0</v>
      </c>
      <c r="U927" s="100">
        <f>IF(AND(SamplingData[[#This Row],[Total]]&lt;&gt; 0, NOT(ISBLANK(SamplingData[[#This Row],[Candidate 6]]))),(SamplingData[[#This Row],[Total]]+SamplingData[[#This Row],[Losing Candidate]]-SamplingData[[#This Row],[Candidate 6]])/(SamplingData[[#Totals],[Winning Candidate]]-SamplingData[[#Totals],[Candidate 6]]), 0)</f>
        <v>0</v>
      </c>
      <c r="V927" s="100">
        <f>IF(AND(SamplingData[[#This Row],[Total]]&lt;&gt; 0, NOT(ISBLANK(SamplingData[[#This Row],[Candidate 7]]))),(SamplingData[[#This Row],[Total]]+SamplingData[[#This Row],[Winning Candidate]]-SamplingData[[#This Row],[Candidate 7]])/(SamplingData[[#Totals],[Winning Candidate]]-SamplingData[[#Totals],[Candidate 7]]), 0)</f>
        <v>0</v>
      </c>
      <c r="W927" s="100">
        <f>IF(AND(SamplingData[[#This Row],[Total]]&lt;&gt; 0, NOT(ISBLANK(SamplingData[[#This Row],[Candidate 8]]))),(SamplingData[[#This Row],[Total]]+SamplingData[[#This Row],[Winning Candidate]]-SamplingData[[#This Row],[Candidate 8]])/(SamplingData[[#Totals],[Winning Candidate]]-SamplingData[[#Totals],[Candidate 8]]), 0)</f>
        <v>0</v>
      </c>
      <c r="X9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00">
        <f>MAX(SamplingData[[#This Row],[Error Bound (up) - Max. possible relative overstatement - Losing Candidate]:[Error Bound (up) - Max. possible relative overstatement - Candidate 12]])</f>
        <v>8.9832584728460601E-3</v>
      </c>
      <c r="AC927" s="100">
        <f>IF(SamplingData[[#This Row],[Max Error Bound (up)]] = 0,0,SamplingData[[#This Row],[Max Error Bound (up)]]/SamplingData[[#Totals],[Max Error Bound (up)]])</f>
        <v>3.849674258331989E-3</v>
      </c>
      <c r="AD927" s="104">
        <f>SUM($AC$5:AC927)</f>
        <v>0.5625370160986386</v>
      </c>
      <c r="AE927" s="100" t="str" cm="1">
        <f t="array" ref="AE927">IF(SamplingData[[#This Row],[up/U Selection Probability]] = 0, "Zero", TEXT(SamplingData[[#This Row],[Lower Range]], REPT("0",LEN('General Info'!$B$42))) &amp; " - " &amp; TEXT(SamplingData[[#This Row],[Upper Range]], REPT("0",LEN('General Info'!$B$42))))</f>
        <v>55869 - 56253</v>
      </c>
      <c r="AF927" s="100">
        <f>SamplingData[[#This Row],[Upper Range]]-SamplingData[[#This Row],[Span]]</f>
        <v>55868.734184030662</v>
      </c>
      <c r="AG927" s="100">
        <f>IF(ISNUMBER('General Info'!$B$42), ((SamplingData[[#This Row],[up/U Selection Probability]]) * 'General Info'!$B$44) - 1, 0)</f>
        <v>383.96742583319889</v>
      </c>
      <c r="AH927" s="100">
        <f>IF(ISNUMBER('General Info'!$B$42), (SamplingData[[#This Row],[Running (cumulative) sum]] * ('General Info'!$B$42 -'General Info'!$B$43 + 1)) + 'General Info'!$B$43 - 1, 0)</f>
        <v>56252.701609863863</v>
      </c>
      <c r="AI927" s="100" t="str">
        <f>IF(ISERROR(MATCH(SamplingData[[#This Row],[Batch by Type (p)]],SelectedPrecincts[Batch Name], 0)), "", INDEX(SelectedPrecincts[Draw], MATCH(SamplingData[[#This Row],[Batch by Type (p)]],SelectedPrecincts[Batch Name], 0)))</f>
        <v/>
      </c>
      <c r="AJ927" s="101">
        <f>IF(COUNTIF(SelectedPrecincts[Batch Name],SamplingData[[#This Row],[Batch by Type (p)]]) &lt;&gt; 0, COUNTIF(SelectedPrecincts[Batch Name],SamplingData[[#This Row],[Batch by Type (p)]]), 0)</f>
        <v>0</v>
      </c>
    </row>
    <row r="928" spans="1:36" ht="15" customHeight="1" x14ac:dyDescent="0.35">
      <c r="A928" s="98" t="s">
        <v>1139</v>
      </c>
      <c r="B928" s="98">
        <v>56</v>
      </c>
      <c r="C928" s="98">
        <v>10</v>
      </c>
      <c r="D928" s="93"/>
      <c r="E928" s="93"/>
      <c r="F928" s="93"/>
      <c r="G928" s="97"/>
      <c r="H928" s="97"/>
      <c r="I928" s="93"/>
      <c r="J928" s="93"/>
      <c r="K928" s="93"/>
      <c r="L928" s="93"/>
      <c r="M928" s="93"/>
      <c r="N928" s="98">
        <v>0</v>
      </c>
      <c r="O928" s="98">
        <v>1</v>
      </c>
      <c r="P928" s="99">
        <f>SUM(SamplingData[[#This Row],[Winning Candidate]:[Under Votes]])</f>
        <v>67</v>
      </c>
      <c r="Q928" s="100">
        <f>IF(AND(SamplingData[[#This Row],[Total]]&lt;&gt; 0, NOT(ISBLANK(SamplingData[[#This Row],[Losing Candidate]]))),(SamplingData[[#This Row],[Total]]+SamplingData[[#This Row],[Winning Candidate]]-SamplingData[[#This Row],[Losing Candidate]])/(SamplingData[[#Totals],[Winning Candidate]]-SamplingData[[#Totals],[Losing Candidate]]), 0)</f>
        <v>3.5493293966140024E-3</v>
      </c>
      <c r="R928" s="100">
        <f>IF(AND(SamplingData[[#This Row],[Total]]&lt;&gt; 0, NOT(ISBLANK(SamplingData[[#This Row],[Candidate 3]]))),(SamplingData[[#This Row],[Total]]+SamplingData[[#This Row],[Winning Candidate]]-SamplingData[[#This Row],[Candidate 3]])/(SamplingData[[#Totals],[Winning Candidate]]-SamplingData[[#Totals],[Candidate 3]]), 0)</f>
        <v>0</v>
      </c>
      <c r="S928" s="100">
        <f>IF(AND(SamplingData[[#This Row],[Total]]&lt;&gt; 0, NOT(ISBLANK(SamplingData[[#This Row],[Candidate 4]]))),(SamplingData[[#This Row],[Total]]+SamplingData[[#This Row],[Winning Candidate]]-SamplingData[[#This Row],[Candidate 4]])/(SamplingData[[#Totals],[Winning Candidate]]-SamplingData[[#Totals],[Candidate 4]]), 0)</f>
        <v>0</v>
      </c>
      <c r="T928" s="100">
        <f>IF(AND(SamplingData[[#This Row],[Total]]&lt;&gt; 0, NOT(ISBLANK(SamplingData[[#This Row],[Candidate 5]]))),(SamplingData[[#This Row],[Total]]+SamplingData[[#This Row],[Winning Candidate]]-SamplingData[[#This Row],[Candidate 5]])/(SamplingData[[#Totals],[Winning Candidate]]-SamplingData[[#Totals],[Candidate 5]]), 0)</f>
        <v>0</v>
      </c>
      <c r="U928" s="100">
        <f>IF(AND(SamplingData[[#This Row],[Total]]&lt;&gt; 0, NOT(ISBLANK(SamplingData[[#This Row],[Candidate 6]]))),(SamplingData[[#This Row],[Total]]+SamplingData[[#This Row],[Losing Candidate]]-SamplingData[[#This Row],[Candidate 6]])/(SamplingData[[#Totals],[Winning Candidate]]-SamplingData[[#Totals],[Candidate 6]]), 0)</f>
        <v>0</v>
      </c>
      <c r="V928" s="100">
        <f>IF(AND(SamplingData[[#This Row],[Total]]&lt;&gt; 0, NOT(ISBLANK(SamplingData[[#This Row],[Candidate 7]]))),(SamplingData[[#This Row],[Total]]+SamplingData[[#This Row],[Winning Candidate]]-SamplingData[[#This Row],[Candidate 7]])/(SamplingData[[#Totals],[Winning Candidate]]-SamplingData[[#Totals],[Candidate 7]]), 0)</f>
        <v>0</v>
      </c>
      <c r="W928" s="100">
        <f>IF(AND(SamplingData[[#This Row],[Total]]&lt;&gt; 0, NOT(ISBLANK(SamplingData[[#This Row],[Candidate 8]]))),(SamplingData[[#This Row],[Total]]+SamplingData[[#This Row],[Winning Candidate]]-SamplingData[[#This Row],[Candidate 8]])/(SamplingData[[#Totals],[Winning Candidate]]-SamplingData[[#Totals],[Candidate 8]]), 0)</f>
        <v>0</v>
      </c>
      <c r="X9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00">
        <f>MAX(SamplingData[[#This Row],[Error Bound (up) - Max. possible relative overstatement - Losing Candidate]:[Error Bound (up) - Max. possible relative overstatement - Candidate 12]])</f>
        <v>3.5493293966140024E-3</v>
      </c>
      <c r="AC928" s="100">
        <f>IF(SamplingData[[#This Row],[Max Error Bound (up)]] = 0,0,SamplingData[[#This Row],[Max Error Bound (up)]]/SamplingData[[#Totals],[Max Error Bound (up)]])</f>
        <v>1.5210251440262751E-3</v>
      </c>
      <c r="AD928" s="104">
        <f>SUM($AC$5:AC928)</f>
        <v>0.5640580412426649</v>
      </c>
      <c r="AE928" s="100" t="str" cm="1">
        <f t="array" ref="AE928">IF(SamplingData[[#This Row],[up/U Selection Probability]] = 0, "Zero", TEXT(SamplingData[[#This Row],[Lower Range]], REPT("0",LEN('General Info'!$B$42))) &amp; " - " &amp; TEXT(SamplingData[[#This Row],[Upper Range]], REPT("0",LEN('General Info'!$B$42))))</f>
        <v>56254 - 56405</v>
      </c>
      <c r="AF928" s="100">
        <f>SamplingData[[#This Row],[Upper Range]]-SamplingData[[#This Row],[Span]]</f>
        <v>56253.701609863863</v>
      </c>
      <c r="AG928" s="100">
        <f>IF(ISNUMBER('General Info'!$B$42), ((SamplingData[[#This Row],[up/U Selection Probability]]) * 'General Info'!$B$44) - 1, 0)</f>
        <v>151.10251440262752</v>
      </c>
      <c r="AH928" s="100">
        <f>IF(ISNUMBER('General Info'!$B$42), (SamplingData[[#This Row],[Running (cumulative) sum]] * ('General Info'!$B$42 -'General Info'!$B$43 + 1)) + 'General Info'!$B$43 - 1, 0)</f>
        <v>56404.804124266491</v>
      </c>
      <c r="AI928" s="100" t="str">
        <f>IF(ISERROR(MATCH(SamplingData[[#This Row],[Batch by Type (p)]],SelectedPrecincts[Batch Name], 0)), "", INDEX(SelectedPrecincts[Draw], MATCH(SamplingData[[#This Row],[Batch by Type (p)]],SelectedPrecincts[Batch Name], 0)))</f>
        <v/>
      </c>
      <c r="AJ928" s="101">
        <f>IF(COUNTIF(SelectedPrecincts[Batch Name],SamplingData[[#This Row],[Batch by Type (p)]]) &lt;&gt; 0, COUNTIF(SelectedPrecincts[Batch Name],SamplingData[[#This Row],[Batch by Type (p)]]), 0)</f>
        <v>0</v>
      </c>
    </row>
    <row r="929" spans="1:36" ht="15" customHeight="1" x14ac:dyDescent="0.35">
      <c r="A929" s="98" t="s">
        <v>1140</v>
      </c>
      <c r="B929" s="98">
        <v>94</v>
      </c>
      <c r="C929" s="98">
        <v>20</v>
      </c>
      <c r="D929" s="93"/>
      <c r="E929" s="93"/>
      <c r="F929" s="93"/>
      <c r="G929" s="97"/>
      <c r="H929" s="97"/>
      <c r="I929" s="93"/>
      <c r="J929" s="93"/>
      <c r="K929" s="93"/>
      <c r="L929" s="93"/>
      <c r="M929" s="93"/>
      <c r="N929" s="98">
        <v>0</v>
      </c>
      <c r="O929" s="98">
        <v>3</v>
      </c>
      <c r="P929" s="99">
        <f>SUM(SamplingData[[#This Row],[Winning Candidate]:[Under Votes]])</f>
        <v>117</v>
      </c>
      <c r="Q929" s="100">
        <f>IF(AND(SamplingData[[#This Row],[Total]]&lt;&gt; 0, NOT(ISBLANK(SamplingData[[#This Row],[Losing Candidate]]))),(SamplingData[[#This Row],[Total]]+SamplingData[[#This Row],[Winning Candidate]]-SamplingData[[#This Row],[Losing Candidate]])/(SamplingData[[#Totals],[Winning Candidate]]-SamplingData[[#Totals],[Losing Candidate]]), 0)</f>
        <v>5.9993089801174734E-3</v>
      </c>
      <c r="R929" s="100">
        <f>IF(AND(SamplingData[[#This Row],[Total]]&lt;&gt; 0, NOT(ISBLANK(SamplingData[[#This Row],[Candidate 3]]))),(SamplingData[[#This Row],[Total]]+SamplingData[[#This Row],[Winning Candidate]]-SamplingData[[#This Row],[Candidate 3]])/(SamplingData[[#Totals],[Winning Candidate]]-SamplingData[[#Totals],[Candidate 3]]), 0)</f>
        <v>0</v>
      </c>
      <c r="S929" s="100">
        <f>IF(AND(SamplingData[[#This Row],[Total]]&lt;&gt; 0, NOT(ISBLANK(SamplingData[[#This Row],[Candidate 4]]))),(SamplingData[[#This Row],[Total]]+SamplingData[[#This Row],[Winning Candidate]]-SamplingData[[#This Row],[Candidate 4]])/(SamplingData[[#Totals],[Winning Candidate]]-SamplingData[[#Totals],[Candidate 4]]), 0)</f>
        <v>0</v>
      </c>
      <c r="T929" s="100">
        <f>IF(AND(SamplingData[[#This Row],[Total]]&lt;&gt; 0, NOT(ISBLANK(SamplingData[[#This Row],[Candidate 5]]))),(SamplingData[[#This Row],[Total]]+SamplingData[[#This Row],[Winning Candidate]]-SamplingData[[#This Row],[Candidate 5]])/(SamplingData[[#Totals],[Winning Candidate]]-SamplingData[[#Totals],[Candidate 5]]), 0)</f>
        <v>0</v>
      </c>
      <c r="U929" s="100">
        <f>IF(AND(SamplingData[[#This Row],[Total]]&lt;&gt; 0, NOT(ISBLANK(SamplingData[[#This Row],[Candidate 6]]))),(SamplingData[[#This Row],[Total]]+SamplingData[[#This Row],[Losing Candidate]]-SamplingData[[#This Row],[Candidate 6]])/(SamplingData[[#Totals],[Winning Candidate]]-SamplingData[[#Totals],[Candidate 6]]), 0)</f>
        <v>0</v>
      </c>
      <c r="V929" s="100">
        <f>IF(AND(SamplingData[[#This Row],[Total]]&lt;&gt; 0, NOT(ISBLANK(SamplingData[[#This Row],[Candidate 7]]))),(SamplingData[[#This Row],[Total]]+SamplingData[[#This Row],[Winning Candidate]]-SamplingData[[#This Row],[Candidate 7]])/(SamplingData[[#Totals],[Winning Candidate]]-SamplingData[[#Totals],[Candidate 7]]), 0)</f>
        <v>0</v>
      </c>
      <c r="W929" s="100">
        <f>IF(AND(SamplingData[[#This Row],[Total]]&lt;&gt; 0, NOT(ISBLANK(SamplingData[[#This Row],[Candidate 8]]))),(SamplingData[[#This Row],[Total]]+SamplingData[[#This Row],[Winning Candidate]]-SamplingData[[#This Row],[Candidate 8]])/(SamplingData[[#Totals],[Winning Candidate]]-SamplingData[[#Totals],[Candidate 8]]), 0)</f>
        <v>0</v>
      </c>
      <c r="X9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00">
        <f>MAX(SamplingData[[#This Row],[Error Bound (up) - Max. possible relative overstatement - Losing Candidate]:[Error Bound (up) - Max. possible relative overstatement - Candidate 12]])</f>
        <v>5.9993089801174734E-3</v>
      </c>
      <c r="AC929" s="100">
        <f>IF(SamplingData[[#This Row],[Max Error Bound (up)]] = 0,0,SamplingData[[#This Row],[Max Error Bound (up)]]/SamplingData[[#Totals],[Max Error Bound (up)]])</f>
        <v>2.570936305389545E-3</v>
      </c>
      <c r="AD929" s="104">
        <f>SUM($AC$5:AC929)</f>
        <v>0.56662897754805441</v>
      </c>
      <c r="AE929" s="100" t="str" cm="1">
        <f t="array" ref="AE929">IF(SamplingData[[#This Row],[up/U Selection Probability]] = 0, "Zero", TEXT(SamplingData[[#This Row],[Lower Range]], REPT("0",LEN('General Info'!$B$42))) &amp; " - " &amp; TEXT(SamplingData[[#This Row],[Upper Range]], REPT("0",LEN('General Info'!$B$42))))</f>
        <v>56406 - 56662</v>
      </c>
      <c r="AF929" s="100">
        <f>SamplingData[[#This Row],[Upper Range]]-SamplingData[[#This Row],[Span]]</f>
        <v>56405.804124266484</v>
      </c>
      <c r="AG929" s="100">
        <f>IF(ISNUMBER('General Info'!$B$42), ((SamplingData[[#This Row],[up/U Selection Probability]]) * 'General Info'!$B$44) - 1, 0)</f>
        <v>256.09363053895453</v>
      </c>
      <c r="AH929" s="100">
        <f>IF(ISNUMBER('General Info'!$B$42), (SamplingData[[#This Row],[Running (cumulative) sum]] * ('General Info'!$B$42 -'General Info'!$B$43 + 1)) + 'General Info'!$B$43 - 1, 0)</f>
        <v>56661.897754805439</v>
      </c>
      <c r="AI929" s="100" t="str">
        <f>IF(ISERROR(MATCH(SamplingData[[#This Row],[Batch by Type (p)]],SelectedPrecincts[Batch Name], 0)), "", INDEX(SelectedPrecincts[Draw], MATCH(SamplingData[[#This Row],[Batch by Type (p)]],SelectedPrecincts[Batch Name], 0)))</f>
        <v/>
      </c>
      <c r="AJ929" s="101">
        <f>IF(COUNTIF(SelectedPrecincts[Batch Name],SamplingData[[#This Row],[Batch by Type (p)]]) &lt;&gt; 0, COUNTIF(SelectedPrecincts[Batch Name],SamplingData[[#This Row],[Batch by Type (p)]]), 0)</f>
        <v>0</v>
      </c>
    </row>
    <row r="930" spans="1:36" ht="15" customHeight="1" x14ac:dyDescent="0.35">
      <c r="A930" s="98" t="s">
        <v>1141</v>
      </c>
      <c r="B930" s="98">
        <v>32</v>
      </c>
      <c r="C930" s="98">
        <v>5</v>
      </c>
      <c r="D930" s="93"/>
      <c r="E930" s="93"/>
      <c r="F930" s="93"/>
      <c r="G930" s="97"/>
      <c r="H930" s="97"/>
      <c r="I930" s="93"/>
      <c r="J930" s="93"/>
      <c r="K930" s="93"/>
      <c r="L930" s="93"/>
      <c r="M930" s="93"/>
      <c r="N930" s="98">
        <v>0</v>
      </c>
      <c r="O930" s="98">
        <v>1</v>
      </c>
      <c r="P930" s="99">
        <f>SUM(SamplingData[[#This Row],[Winning Candidate]:[Under Votes]])</f>
        <v>38</v>
      </c>
      <c r="Q930" s="100">
        <f>IF(AND(SamplingData[[#This Row],[Total]]&lt;&gt; 0, NOT(ISBLANK(SamplingData[[#This Row],[Losing Candidate]]))),(SamplingData[[#This Row],[Total]]+SamplingData[[#This Row],[Winning Candidate]]-SamplingData[[#This Row],[Losing Candidate]])/(SamplingData[[#Totals],[Winning Candidate]]-SamplingData[[#Totals],[Losing Candidate]]), 0)</f>
        <v>2.0416496529195591E-3</v>
      </c>
      <c r="R930" s="100">
        <f>IF(AND(SamplingData[[#This Row],[Total]]&lt;&gt; 0, NOT(ISBLANK(SamplingData[[#This Row],[Candidate 3]]))),(SamplingData[[#This Row],[Total]]+SamplingData[[#This Row],[Winning Candidate]]-SamplingData[[#This Row],[Candidate 3]])/(SamplingData[[#Totals],[Winning Candidate]]-SamplingData[[#Totals],[Candidate 3]]), 0)</f>
        <v>0</v>
      </c>
      <c r="S930" s="100">
        <f>IF(AND(SamplingData[[#This Row],[Total]]&lt;&gt; 0, NOT(ISBLANK(SamplingData[[#This Row],[Candidate 4]]))),(SamplingData[[#This Row],[Total]]+SamplingData[[#This Row],[Winning Candidate]]-SamplingData[[#This Row],[Candidate 4]])/(SamplingData[[#Totals],[Winning Candidate]]-SamplingData[[#Totals],[Candidate 4]]), 0)</f>
        <v>0</v>
      </c>
      <c r="T930" s="100">
        <f>IF(AND(SamplingData[[#This Row],[Total]]&lt;&gt; 0, NOT(ISBLANK(SamplingData[[#This Row],[Candidate 5]]))),(SamplingData[[#This Row],[Total]]+SamplingData[[#This Row],[Winning Candidate]]-SamplingData[[#This Row],[Candidate 5]])/(SamplingData[[#Totals],[Winning Candidate]]-SamplingData[[#Totals],[Candidate 5]]), 0)</f>
        <v>0</v>
      </c>
      <c r="U930" s="100">
        <f>IF(AND(SamplingData[[#This Row],[Total]]&lt;&gt; 0, NOT(ISBLANK(SamplingData[[#This Row],[Candidate 6]]))),(SamplingData[[#This Row],[Total]]+SamplingData[[#This Row],[Losing Candidate]]-SamplingData[[#This Row],[Candidate 6]])/(SamplingData[[#Totals],[Winning Candidate]]-SamplingData[[#Totals],[Candidate 6]]), 0)</f>
        <v>0</v>
      </c>
      <c r="V930" s="100">
        <f>IF(AND(SamplingData[[#This Row],[Total]]&lt;&gt; 0, NOT(ISBLANK(SamplingData[[#This Row],[Candidate 7]]))),(SamplingData[[#This Row],[Total]]+SamplingData[[#This Row],[Winning Candidate]]-SamplingData[[#This Row],[Candidate 7]])/(SamplingData[[#Totals],[Winning Candidate]]-SamplingData[[#Totals],[Candidate 7]]), 0)</f>
        <v>0</v>
      </c>
      <c r="W930" s="100">
        <f>IF(AND(SamplingData[[#This Row],[Total]]&lt;&gt; 0, NOT(ISBLANK(SamplingData[[#This Row],[Candidate 8]]))),(SamplingData[[#This Row],[Total]]+SamplingData[[#This Row],[Winning Candidate]]-SamplingData[[#This Row],[Candidate 8]])/(SamplingData[[#Totals],[Winning Candidate]]-SamplingData[[#Totals],[Candidate 8]]), 0)</f>
        <v>0</v>
      </c>
      <c r="X9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00">
        <f>MAX(SamplingData[[#This Row],[Error Bound (up) - Max. possible relative overstatement - Losing Candidate]:[Error Bound (up) - Max. possible relative overstatement - Candidate 12]])</f>
        <v>2.0416496529195591E-3</v>
      </c>
      <c r="AC930" s="100">
        <f>IF(SamplingData[[#This Row],[Max Error Bound (up)]] = 0,0,SamplingData[[#This Row],[Max Error Bound (up)]]/SamplingData[[#Totals],[Max Error Bound (up)]])</f>
        <v>8.7492596780272471E-4</v>
      </c>
      <c r="AD930" s="104">
        <f>SUM($AC$5:AC930)</f>
        <v>0.56750390351585711</v>
      </c>
      <c r="AE930" s="100" t="str" cm="1">
        <f t="array" ref="AE930">IF(SamplingData[[#This Row],[up/U Selection Probability]] = 0, "Zero", TEXT(SamplingData[[#This Row],[Lower Range]], REPT("0",LEN('General Info'!$B$42))) &amp; " - " &amp; TEXT(SamplingData[[#This Row],[Upper Range]], REPT("0",LEN('General Info'!$B$42))))</f>
        <v>56663 - 56749</v>
      </c>
      <c r="AF930" s="100">
        <f>SamplingData[[#This Row],[Upper Range]]-SamplingData[[#This Row],[Span]]</f>
        <v>56662.897754805439</v>
      </c>
      <c r="AG930" s="100">
        <f>IF(ISNUMBER('General Info'!$B$42), ((SamplingData[[#This Row],[up/U Selection Probability]]) * 'General Info'!$B$44) - 1, 0)</f>
        <v>86.492596780272464</v>
      </c>
      <c r="AH930" s="100">
        <f>IF(ISNUMBER('General Info'!$B$42), (SamplingData[[#This Row],[Running (cumulative) sum]] * ('General Info'!$B$42 -'General Info'!$B$43 + 1)) + 'General Info'!$B$43 - 1, 0)</f>
        <v>56749.390351585709</v>
      </c>
      <c r="AI930" s="100" t="str">
        <f>IF(ISERROR(MATCH(SamplingData[[#This Row],[Batch by Type (p)]],SelectedPrecincts[Batch Name], 0)), "", INDEX(SelectedPrecincts[Draw], MATCH(SamplingData[[#This Row],[Batch by Type (p)]],SelectedPrecincts[Batch Name], 0)))</f>
        <v/>
      </c>
      <c r="AJ930" s="101">
        <f>IF(COUNTIF(SelectedPrecincts[Batch Name],SamplingData[[#This Row],[Batch by Type (p)]]) &lt;&gt; 0, COUNTIF(SelectedPrecincts[Batch Name],SamplingData[[#This Row],[Batch by Type (p)]]), 0)</f>
        <v>0</v>
      </c>
    </row>
    <row r="931" spans="1:36" ht="15" customHeight="1" x14ac:dyDescent="0.35">
      <c r="A931" s="98" t="s">
        <v>1142</v>
      </c>
      <c r="B931" s="98">
        <v>26</v>
      </c>
      <c r="C931" s="98">
        <v>3</v>
      </c>
      <c r="D931" s="93"/>
      <c r="E931" s="93"/>
      <c r="F931" s="93"/>
      <c r="G931" s="97"/>
      <c r="H931" s="97"/>
      <c r="I931" s="93"/>
      <c r="J931" s="93"/>
      <c r="K931" s="93"/>
      <c r="L931" s="93"/>
      <c r="M931" s="93"/>
      <c r="N931" s="98">
        <v>0</v>
      </c>
      <c r="O931" s="98">
        <v>0</v>
      </c>
      <c r="P931" s="99">
        <f>SUM(SamplingData[[#This Row],[Winning Candidate]:[Under Votes]])</f>
        <v>29</v>
      </c>
      <c r="Q931" s="100">
        <f>IF(AND(SamplingData[[#This Row],[Total]]&lt;&gt; 0, NOT(ISBLANK(SamplingData[[#This Row],[Losing Candidate]]))),(SamplingData[[#This Row],[Total]]+SamplingData[[#This Row],[Winning Candidate]]-SamplingData[[#This Row],[Losing Candidate]])/(SamplingData[[#Totals],[Winning Candidate]]-SamplingData[[#Totals],[Losing Candidate]]), 0)</f>
        <v>1.6333197223356473E-3</v>
      </c>
      <c r="R931" s="100">
        <f>IF(AND(SamplingData[[#This Row],[Total]]&lt;&gt; 0, NOT(ISBLANK(SamplingData[[#This Row],[Candidate 3]]))),(SamplingData[[#This Row],[Total]]+SamplingData[[#This Row],[Winning Candidate]]-SamplingData[[#This Row],[Candidate 3]])/(SamplingData[[#Totals],[Winning Candidate]]-SamplingData[[#Totals],[Candidate 3]]), 0)</f>
        <v>0</v>
      </c>
      <c r="S931" s="100">
        <f>IF(AND(SamplingData[[#This Row],[Total]]&lt;&gt; 0, NOT(ISBLANK(SamplingData[[#This Row],[Candidate 4]]))),(SamplingData[[#This Row],[Total]]+SamplingData[[#This Row],[Winning Candidate]]-SamplingData[[#This Row],[Candidate 4]])/(SamplingData[[#Totals],[Winning Candidate]]-SamplingData[[#Totals],[Candidate 4]]), 0)</f>
        <v>0</v>
      </c>
      <c r="T931" s="100">
        <f>IF(AND(SamplingData[[#This Row],[Total]]&lt;&gt; 0, NOT(ISBLANK(SamplingData[[#This Row],[Candidate 5]]))),(SamplingData[[#This Row],[Total]]+SamplingData[[#This Row],[Winning Candidate]]-SamplingData[[#This Row],[Candidate 5]])/(SamplingData[[#Totals],[Winning Candidate]]-SamplingData[[#Totals],[Candidate 5]]), 0)</f>
        <v>0</v>
      </c>
      <c r="U931" s="100">
        <f>IF(AND(SamplingData[[#This Row],[Total]]&lt;&gt; 0, NOT(ISBLANK(SamplingData[[#This Row],[Candidate 6]]))),(SamplingData[[#This Row],[Total]]+SamplingData[[#This Row],[Losing Candidate]]-SamplingData[[#This Row],[Candidate 6]])/(SamplingData[[#Totals],[Winning Candidate]]-SamplingData[[#Totals],[Candidate 6]]), 0)</f>
        <v>0</v>
      </c>
      <c r="V931" s="100">
        <f>IF(AND(SamplingData[[#This Row],[Total]]&lt;&gt; 0, NOT(ISBLANK(SamplingData[[#This Row],[Candidate 7]]))),(SamplingData[[#This Row],[Total]]+SamplingData[[#This Row],[Winning Candidate]]-SamplingData[[#This Row],[Candidate 7]])/(SamplingData[[#Totals],[Winning Candidate]]-SamplingData[[#Totals],[Candidate 7]]), 0)</f>
        <v>0</v>
      </c>
      <c r="W931" s="100">
        <f>IF(AND(SamplingData[[#This Row],[Total]]&lt;&gt; 0, NOT(ISBLANK(SamplingData[[#This Row],[Candidate 8]]))),(SamplingData[[#This Row],[Total]]+SamplingData[[#This Row],[Winning Candidate]]-SamplingData[[#This Row],[Candidate 8]])/(SamplingData[[#Totals],[Winning Candidate]]-SamplingData[[#Totals],[Candidate 8]]), 0)</f>
        <v>0</v>
      </c>
      <c r="X9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00">
        <f>MAX(SamplingData[[#This Row],[Error Bound (up) - Max. possible relative overstatement - Losing Candidate]:[Error Bound (up) - Max. possible relative overstatement - Candidate 12]])</f>
        <v>1.6333197223356473E-3</v>
      </c>
      <c r="AC931" s="100">
        <f>IF(SamplingData[[#This Row],[Max Error Bound (up)]] = 0,0,SamplingData[[#This Row],[Max Error Bound (up)]]/SamplingData[[#Totals],[Max Error Bound (up)]])</f>
        <v>6.9994077424217983E-4</v>
      </c>
      <c r="AD931" s="104">
        <f>SUM($AC$5:AC931)</f>
        <v>0.56820384429009929</v>
      </c>
      <c r="AE931" s="100" t="str" cm="1">
        <f t="array" ref="AE931">IF(SamplingData[[#This Row],[up/U Selection Probability]] = 0, "Zero", TEXT(SamplingData[[#This Row],[Lower Range]], REPT("0",LEN('General Info'!$B$42))) &amp; " - " &amp; TEXT(SamplingData[[#This Row],[Upper Range]], REPT("0",LEN('General Info'!$B$42))))</f>
        <v>56750 - 56819</v>
      </c>
      <c r="AF931" s="100">
        <f>SamplingData[[#This Row],[Upper Range]]-SamplingData[[#This Row],[Span]]</f>
        <v>56750.390351585709</v>
      </c>
      <c r="AG931" s="100">
        <f>IF(ISNUMBER('General Info'!$B$42), ((SamplingData[[#This Row],[up/U Selection Probability]]) * 'General Info'!$B$44) - 1, 0)</f>
        <v>68.994077424217977</v>
      </c>
      <c r="AH931" s="100">
        <f>IF(ISNUMBER('General Info'!$B$42), (SamplingData[[#This Row],[Running (cumulative) sum]] * ('General Info'!$B$42 -'General Info'!$B$43 + 1)) + 'General Info'!$B$43 - 1, 0)</f>
        <v>56819.38442900993</v>
      </c>
      <c r="AI931" s="100" t="str">
        <f>IF(ISERROR(MATCH(SamplingData[[#This Row],[Batch by Type (p)]],SelectedPrecincts[Batch Name], 0)), "", INDEX(SelectedPrecincts[Draw], MATCH(SamplingData[[#This Row],[Batch by Type (p)]],SelectedPrecincts[Batch Name], 0)))</f>
        <v/>
      </c>
      <c r="AJ931" s="101">
        <f>IF(COUNTIF(SelectedPrecincts[Batch Name],SamplingData[[#This Row],[Batch by Type (p)]]) &lt;&gt; 0, COUNTIF(SelectedPrecincts[Batch Name],SamplingData[[#This Row],[Batch by Type (p)]]), 0)</f>
        <v>0</v>
      </c>
    </row>
    <row r="932" spans="1:36" ht="15" customHeight="1" x14ac:dyDescent="0.35">
      <c r="A932" s="98" t="s">
        <v>1143</v>
      </c>
      <c r="B932" s="98">
        <v>144</v>
      </c>
      <c r="C932" s="98">
        <v>12</v>
      </c>
      <c r="D932" s="93"/>
      <c r="E932" s="93"/>
      <c r="F932" s="93"/>
      <c r="G932" s="97"/>
      <c r="H932" s="97"/>
      <c r="I932" s="93"/>
      <c r="J932" s="93"/>
      <c r="K932" s="93"/>
      <c r="L932" s="93"/>
      <c r="M932" s="93"/>
      <c r="N932" s="98">
        <v>1</v>
      </c>
      <c r="O932" s="98">
        <v>0</v>
      </c>
      <c r="P932" s="99">
        <f>SUM(SamplingData[[#This Row],[Winning Candidate]:[Under Votes]])</f>
        <v>157</v>
      </c>
      <c r="Q932" s="100">
        <f>IF(AND(SamplingData[[#This Row],[Total]]&lt;&gt; 0, NOT(ISBLANK(SamplingData[[#This Row],[Losing Candidate]]))),(SamplingData[[#This Row],[Total]]+SamplingData[[#This Row],[Winning Candidate]]-SamplingData[[#This Row],[Losing Candidate]])/(SamplingData[[#Totals],[Winning Candidate]]-SamplingData[[#Totals],[Losing Candidate]]), 0)</f>
        <v>9.0774884568269616E-3</v>
      </c>
      <c r="R932" s="100">
        <f>IF(AND(SamplingData[[#This Row],[Total]]&lt;&gt; 0, NOT(ISBLANK(SamplingData[[#This Row],[Candidate 3]]))),(SamplingData[[#This Row],[Total]]+SamplingData[[#This Row],[Winning Candidate]]-SamplingData[[#This Row],[Candidate 3]])/(SamplingData[[#Totals],[Winning Candidate]]-SamplingData[[#Totals],[Candidate 3]]), 0)</f>
        <v>0</v>
      </c>
      <c r="S932" s="100">
        <f>IF(AND(SamplingData[[#This Row],[Total]]&lt;&gt; 0, NOT(ISBLANK(SamplingData[[#This Row],[Candidate 4]]))),(SamplingData[[#This Row],[Total]]+SamplingData[[#This Row],[Winning Candidate]]-SamplingData[[#This Row],[Candidate 4]])/(SamplingData[[#Totals],[Winning Candidate]]-SamplingData[[#Totals],[Candidate 4]]), 0)</f>
        <v>0</v>
      </c>
      <c r="T932" s="100">
        <f>IF(AND(SamplingData[[#This Row],[Total]]&lt;&gt; 0, NOT(ISBLANK(SamplingData[[#This Row],[Candidate 5]]))),(SamplingData[[#This Row],[Total]]+SamplingData[[#This Row],[Winning Candidate]]-SamplingData[[#This Row],[Candidate 5]])/(SamplingData[[#Totals],[Winning Candidate]]-SamplingData[[#Totals],[Candidate 5]]), 0)</f>
        <v>0</v>
      </c>
      <c r="U932" s="100">
        <f>IF(AND(SamplingData[[#This Row],[Total]]&lt;&gt; 0, NOT(ISBLANK(SamplingData[[#This Row],[Candidate 6]]))),(SamplingData[[#This Row],[Total]]+SamplingData[[#This Row],[Losing Candidate]]-SamplingData[[#This Row],[Candidate 6]])/(SamplingData[[#Totals],[Winning Candidate]]-SamplingData[[#Totals],[Candidate 6]]), 0)</f>
        <v>0</v>
      </c>
      <c r="V932" s="100">
        <f>IF(AND(SamplingData[[#This Row],[Total]]&lt;&gt; 0, NOT(ISBLANK(SamplingData[[#This Row],[Candidate 7]]))),(SamplingData[[#This Row],[Total]]+SamplingData[[#This Row],[Winning Candidate]]-SamplingData[[#This Row],[Candidate 7]])/(SamplingData[[#Totals],[Winning Candidate]]-SamplingData[[#Totals],[Candidate 7]]), 0)</f>
        <v>0</v>
      </c>
      <c r="W932" s="100">
        <f>IF(AND(SamplingData[[#This Row],[Total]]&lt;&gt; 0, NOT(ISBLANK(SamplingData[[#This Row],[Candidate 8]]))),(SamplingData[[#This Row],[Total]]+SamplingData[[#This Row],[Winning Candidate]]-SamplingData[[#This Row],[Candidate 8]])/(SamplingData[[#Totals],[Winning Candidate]]-SamplingData[[#Totals],[Candidate 8]]), 0)</f>
        <v>0</v>
      </c>
      <c r="X9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00">
        <f>MAX(SamplingData[[#This Row],[Error Bound (up) - Max. possible relative overstatement - Losing Candidate]:[Error Bound (up) - Max. possible relative overstatement - Candidate 12]])</f>
        <v>9.0774884568269616E-3</v>
      </c>
      <c r="AC932" s="100">
        <f>IF(SamplingData[[#This Row],[Max Error Bound (up)]] = 0,0,SamplingData[[#This Row],[Max Error Bound (up)]]/SamplingData[[#Totals],[Max Error Bound (up)]])</f>
        <v>3.8900554568459603E-3</v>
      </c>
      <c r="AD932" s="104">
        <f>SUM($AC$5:AC932)</f>
        <v>0.57209389974694524</v>
      </c>
      <c r="AE932" s="100" t="str" cm="1">
        <f t="array" ref="AE932">IF(SamplingData[[#This Row],[up/U Selection Probability]] = 0, "Zero", TEXT(SamplingData[[#This Row],[Lower Range]], REPT("0",LEN('General Info'!$B$42))) &amp; " - " &amp; TEXT(SamplingData[[#This Row],[Upper Range]], REPT("0",LEN('General Info'!$B$42))))</f>
        <v>56820 - 57208</v>
      </c>
      <c r="AF932" s="100">
        <f>SamplingData[[#This Row],[Upper Range]]-SamplingData[[#This Row],[Span]]</f>
        <v>56820.38442900993</v>
      </c>
      <c r="AG932" s="100">
        <f>IF(ISNUMBER('General Info'!$B$42), ((SamplingData[[#This Row],[up/U Selection Probability]]) * 'General Info'!$B$44) - 1, 0)</f>
        <v>388.00554568459603</v>
      </c>
      <c r="AH932" s="100">
        <f>IF(ISNUMBER('General Info'!$B$42), (SamplingData[[#This Row],[Running (cumulative) sum]] * ('General Info'!$B$42 -'General Info'!$B$43 + 1)) + 'General Info'!$B$43 - 1, 0)</f>
        <v>57208.389974694524</v>
      </c>
      <c r="AI932" s="100" t="str">
        <f>IF(ISERROR(MATCH(SamplingData[[#This Row],[Batch by Type (p)]],SelectedPrecincts[Batch Name], 0)), "", INDEX(SelectedPrecincts[Draw], MATCH(SamplingData[[#This Row],[Batch by Type (p)]],SelectedPrecincts[Batch Name], 0)))</f>
        <v/>
      </c>
      <c r="AJ932" s="101">
        <f>IF(COUNTIF(SelectedPrecincts[Batch Name],SamplingData[[#This Row],[Batch by Type (p)]]) &lt;&gt; 0, COUNTIF(SelectedPrecincts[Batch Name],SamplingData[[#This Row],[Batch by Type (p)]]), 0)</f>
        <v>0</v>
      </c>
    </row>
    <row r="933" spans="1:36" ht="15" customHeight="1" x14ac:dyDescent="0.35">
      <c r="A933" s="98" t="s">
        <v>1144</v>
      </c>
      <c r="B933" s="98">
        <v>62</v>
      </c>
      <c r="C933" s="98">
        <v>9</v>
      </c>
      <c r="D933" s="93"/>
      <c r="E933" s="93"/>
      <c r="F933" s="93"/>
      <c r="G933" s="97"/>
      <c r="H933" s="97"/>
      <c r="I933" s="93"/>
      <c r="J933" s="93"/>
      <c r="K933" s="93"/>
      <c r="L933" s="93"/>
      <c r="M933" s="93"/>
      <c r="N933" s="98">
        <v>0</v>
      </c>
      <c r="O933" s="98">
        <v>0</v>
      </c>
      <c r="P933" s="99">
        <f>SUM(SamplingData[[#This Row],[Winning Candidate]:[Under Votes]])</f>
        <v>71</v>
      </c>
      <c r="Q933" s="100">
        <f>IF(AND(SamplingData[[#This Row],[Total]]&lt;&gt; 0, NOT(ISBLANK(SamplingData[[#This Row],[Losing Candidate]]))),(SamplingData[[#This Row],[Total]]+SamplingData[[#This Row],[Winning Candidate]]-SamplingData[[#This Row],[Losing Candidate]])/(SamplingData[[#Totals],[Winning Candidate]]-SamplingData[[#Totals],[Losing Candidate]]), 0)</f>
        <v>3.8948393378773127E-3</v>
      </c>
      <c r="R933" s="100">
        <f>IF(AND(SamplingData[[#This Row],[Total]]&lt;&gt; 0, NOT(ISBLANK(SamplingData[[#This Row],[Candidate 3]]))),(SamplingData[[#This Row],[Total]]+SamplingData[[#This Row],[Winning Candidate]]-SamplingData[[#This Row],[Candidate 3]])/(SamplingData[[#Totals],[Winning Candidate]]-SamplingData[[#Totals],[Candidate 3]]), 0)</f>
        <v>0</v>
      </c>
      <c r="S933" s="100">
        <f>IF(AND(SamplingData[[#This Row],[Total]]&lt;&gt; 0, NOT(ISBLANK(SamplingData[[#This Row],[Candidate 4]]))),(SamplingData[[#This Row],[Total]]+SamplingData[[#This Row],[Winning Candidate]]-SamplingData[[#This Row],[Candidate 4]])/(SamplingData[[#Totals],[Winning Candidate]]-SamplingData[[#Totals],[Candidate 4]]), 0)</f>
        <v>0</v>
      </c>
      <c r="T933" s="100">
        <f>IF(AND(SamplingData[[#This Row],[Total]]&lt;&gt; 0, NOT(ISBLANK(SamplingData[[#This Row],[Candidate 5]]))),(SamplingData[[#This Row],[Total]]+SamplingData[[#This Row],[Winning Candidate]]-SamplingData[[#This Row],[Candidate 5]])/(SamplingData[[#Totals],[Winning Candidate]]-SamplingData[[#Totals],[Candidate 5]]), 0)</f>
        <v>0</v>
      </c>
      <c r="U933" s="100">
        <f>IF(AND(SamplingData[[#This Row],[Total]]&lt;&gt; 0, NOT(ISBLANK(SamplingData[[#This Row],[Candidate 6]]))),(SamplingData[[#This Row],[Total]]+SamplingData[[#This Row],[Losing Candidate]]-SamplingData[[#This Row],[Candidate 6]])/(SamplingData[[#Totals],[Winning Candidate]]-SamplingData[[#Totals],[Candidate 6]]), 0)</f>
        <v>0</v>
      </c>
      <c r="V933" s="100">
        <f>IF(AND(SamplingData[[#This Row],[Total]]&lt;&gt; 0, NOT(ISBLANK(SamplingData[[#This Row],[Candidate 7]]))),(SamplingData[[#This Row],[Total]]+SamplingData[[#This Row],[Winning Candidate]]-SamplingData[[#This Row],[Candidate 7]])/(SamplingData[[#Totals],[Winning Candidate]]-SamplingData[[#Totals],[Candidate 7]]), 0)</f>
        <v>0</v>
      </c>
      <c r="W933" s="100">
        <f>IF(AND(SamplingData[[#This Row],[Total]]&lt;&gt; 0, NOT(ISBLANK(SamplingData[[#This Row],[Candidate 8]]))),(SamplingData[[#This Row],[Total]]+SamplingData[[#This Row],[Winning Candidate]]-SamplingData[[#This Row],[Candidate 8]])/(SamplingData[[#Totals],[Winning Candidate]]-SamplingData[[#Totals],[Candidate 8]]), 0)</f>
        <v>0</v>
      </c>
      <c r="X9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00">
        <f>MAX(SamplingData[[#This Row],[Error Bound (up) - Max. possible relative overstatement - Losing Candidate]:[Error Bound (up) - Max. possible relative overstatement - Candidate 12]])</f>
        <v>3.8948393378773127E-3</v>
      </c>
      <c r="AC933" s="100">
        <f>IF(SamplingData[[#This Row],[Max Error Bound (up)]] = 0,0,SamplingData[[#This Row],[Max Error Bound (up)]]/SamplingData[[#Totals],[Max Error Bound (up)]])</f>
        <v>1.6690895385775056E-3</v>
      </c>
      <c r="AD933" s="104">
        <f>SUM($AC$5:AC933)</f>
        <v>0.57376298928552272</v>
      </c>
      <c r="AE933" s="100" t="str" cm="1">
        <f t="array" ref="AE933">IF(SamplingData[[#This Row],[up/U Selection Probability]] = 0, "Zero", TEXT(SamplingData[[#This Row],[Lower Range]], REPT("0",LEN('General Info'!$B$42))) &amp; " - " &amp; TEXT(SamplingData[[#This Row],[Upper Range]], REPT("0",LEN('General Info'!$B$42))))</f>
        <v>57209 - 57375</v>
      </c>
      <c r="AF933" s="100">
        <f>SamplingData[[#This Row],[Upper Range]]-SamplingData[[#This Row],[Span]]</f>
        <v>57209.389974694517</v>
      </c>
      <c r="AG933" s="100">
        <f>IF(ISNUMBER('General Info'!$B$42), ((SamplingData[[#This Row],[up/U Selection Probability]]) * 'General Info'!$B$44) - 1, 0)</f>
        <v>165.90895385775056</v>
      </c>
      <c r="AH933" s="100">
        <f>IF(ISNUMBER('General Info'!$B$42), (SamplingData[[#This Row],[Running (cumulative) sum]] * ('General Info'!$B$42 -'General Info'!$B$43 + 1)) + 'General Info'!$B$43 - 1, 0)</f>
        <v>57375.298928552271</v>
      </c>
      <c r="AI933" s="100" t="str">
        <f>IF(ISERROR(MATCH(SamplingData[[#This Row],[Batch by Type (p)]],SelectedPrecincts[Batch Name], 0)), "", INDEX(SelectedPrecincts[Draw], MATCH(SamplingData[[#This Row],[Batch by Type (p)]],SelectedPrecincts[Batch Name], 0)))</f>
        <v/>
      </c>
      <c r="AJ933" s="101">
        <f>IF(COUNTIF(SelectedPrecincts[Batch Name],SamplingData[[#This Row],[Batch by Type (p)]]) &lt;&gt; 0, COUNTIF(SelectedPrecincts[Batch Name],SamplingData[[#This Row],[Batch by Type (p)]]), 0)</f>
        <v>0</v>
      </c>
    </row>
    <row r="934" spans="1:36" ht="15" customHeight="1" x14ac:dyDescent="0.35">
      <c r="A934" s="98" t="s">
        <v>1145</v>
      </c>
      <c r="B934" s="98">
        <v>123</v>
      </c>
      <c r="C934" s="98">
        <v>9</v>
      </c>
      <c r="D934" s="93"/>
      <c r="E934" s="93"/>
      <c r="F934" s="93"/>
      <c r="G934" s="97"/>
      <c r="H934" s="97"/>
      <c r="I934" s="93"/>
      <c r="J934" s="93"/>
      <c r="K934" s="93"/>
      <c r="L934" s="93"/>
      <c r="M934" s="93"/>
      <c r="N934" s="98">
        <v>0</v>
      </c>
      <c r="O934" s="98">
        <v>3</v>
      </c>
      <c r="P934" s="99">
        <f>SUM(SamplingData[[#This Row],[Winning Candidate]:[Under Votes]])</f>
        <v>135</v>
      </c>
      <c r="Q934" s="100">
        <f>IF(AND(SamplingData[[#This Row],[Total]]&lt;&gt; 0, NOT(ISBLANK(SamplingData[[#This Row],[Losing Candidate]]))),(SamplingData[[#This Row],[Total]]+SamplingData[[#This Row],[Winning Candidate]]-SamplingData[[#This Row],[Losing Candidate]])/(SamplingData[[#Totals],[Winning Candidate]]-SamplingData[[#Totals],[Losing Candidate]]), 0)</f>
        <v>7.8210886704149253E-3</v>
      </c>
      <c r="R934" s="100">
        <f>IF(AND(SamplingData[[#This Row],[Total]]&lt;&gt; 0, NOT(ISBLANK(SamplingData[[#This Row],[Candidate 3]]))),(SamplingData[[#This Row],[Total]]+SamplingData[[#This Row],[Winning Candidate]]-SamplingData[[#This Row],[Candidate 3]])/(SamplingData[[#Totals],[Winning Candidate]]-SamplingData[[#Totals],[Candidate 3]]), 0)</f>
        <v>0</v>
      </c>
      <c r="S934" s="100">
        <f>IF(AND(SamplingData[[#This Row],[Total]]&lt;&gt; 0, NOT(ISBLANK(SamplingData[[#This Row],[Candidate 4]]))),(SamplingData[[#This Row],[Total]]+SamplingData[[#This Row],[Winning Candidate]]-SamplingData[[#This Row],[Candidate 4]])/(SamplingData[[#Totals],[Winning Candidate]]-SamplingData[[#Totals],[Candidate 4]]), 0)</f>
        <v>0</v>
      </c>
      <c r="T934" s="100">
        <f>IF(AND(SamplingData[[#This Row],[Total]]&lt;&gt; 0, NOT(ISBLANK(SamplingData[[#This Row],[Candidate 5]]))),(SamplingData[[#This Row],[Total]]+SamplingData[[#This Row],[Winning Candidate]]-SamplingData[[#This Row],[Candidate 5]])/(SamplingData[[#Totals],[Winning Candidate]]-SamplingData[[#Totals],[Candidate 5]]), 0)</f>
        <v>0</v>
      </c>
      <c r="U934" s="100">
        <f>IF(AND(SamplingData[[#This Row],[Total]]&lt;&gt; 0, NOT(ISBLANK(SamplingData[[#This Row],[Candidate 6]]))),(SamplingData[[#This Row],[Total]]+SamplingData[[#This Row],[Losing Candidate]]-SamplingData[[#This Row],[Candidate 6]])/(SamplingData[[#Totals],[Winning Candidate]]-SamplingData[[#Totals],[Candidate 6]]), 0)</f>
        <v>0</v>
      </c>
      <c r="V934" s="100">
        <f>IF(AND(SamplingData[[#This Row],[Total]]&lt;&gt; 0, NOT(ISBLANK(SamplingData[[#This Row],[Candidate 7]]))),(SamplingData[[#This Row],[Total]]+SamplingData[[#This Row],[Winning Candidate]]-SamplingData[[#This Row],[Candidate 7]])/(SamplingData[[#Totals],[Winning Candidate]]-SamplingData[[#Totals],[Candidate 7]]), 0)</f>
        <v>0</v>
      </c>
      <c r="W934" s="100">
        <f>IF(AND(SamplingData[[#This Row],[Total]]&lt;&gt; 0, NOT(ISBLANK(SamplingData[[#This Row],[Candidate 8]]))),(SamplingData[[#This Row],[Total]]+SamplingData[[#This Row],[Winning Candidate]]-SamplingData[[#This Row],[Candidate 8]])/(SamplingData[[#Totals],[Winning Candidate]]-SamplingData[[#Totals],[Candidate 8]]), 0)</f>
        <v>0</v>
      </c>
      <c r="X9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00">
        <f>MAX(SamplingData[[#This Row],[Error Bound (up) - Max. possible relative overstatement - Losing Candidate]:[Error Bound (up) - Max. possible relative overstatement - Candidate 12]])</f>
        <v>7.8210886704149253E-3</v>
      </c>
      <c r="AC934" s="100">
        <f>IF(SamplingData[[#This Row],[Max Error Bound (up)]] = 0,0,SamplingData[[#This Row],[Max Error Bound (up)]]/SamplingData[[#Totals],[Max Error Bound (up)]])</f>
        <v>3.3516394766596683E-3</v>
      </c>
      <c r="AD934" s="104">
        <f>SUM($AC$5:AC934)</f>
        <v>0.57711462876218234</v>
      </c>
      <c r="AE934" s="100" t="str" cm="1">
        <f t="array" ref="AE934">IF(SamplingData[[#This Row],[up/U Selection Probability]] = 0, "Zero", TEXT(SamplingData[[#This Row],[Lower Range]], REPT("0",LEN('General Info'!$B$42))) &amp; " - " &amp; TEXT(SamplingData[[#This Row],[Upper Range]], REPT("0",LEN('General Info'!$B$42))))</f>
        <v>57376 - 57710</v>
      </c>
      <c r="AF934" s="100">
        <f>SamplingData[[#This Row],[Upper Range]]-SamplingData[[#This Row],[Span]]</f>
        <v>57376.298928552264</v>
      </c>
      <c r="AG934" s="100">
        <f>IF(ISNUMBER('General Info'!$B$42), ((SamplingData[[#This Row],[up/U Selection Probability]]) * 'General Info'!$B$44) - 1, 0)</f>
        <v>334.16394766596682</v>
      </c>
      <c r="AH934" s="100">
        <f>IF(ISNUMBER('General Info'!$B$42), (SamplingData[[#This Row],[Running (cumulative) sum]] * ('General Info'!$B$42 -'General Info'!$B$43 + 1)) + 'General Info'!$B$43 - 1, 0)</f>
        <v>57710.462876218233</v>
      </c>
      <c r="AI934" s="100" t="str">
        <f>IF(ISERROR(MATCH(SamplingData[[#This Row],[Batch by Type (p)]],SelectedPrecincts[Batch Name], 0)), "", INDEX(SelectedPrecincts[Draw], MATCH(SamplingData[[#This Row],[Batch by Type (p)]],SelectedPrecincts[Batch Name], 0)))</f>
        <v/>
      </c>
      <c r="AJ934" s="101">
        <f>IF(COUNTIF(SelectedPrecincts[Batch Name],SamplingData[[#This Row],[Batch by Type (p)]]) &lt;&gt; 0, COUNTIF(SelectedPrecincts[Batch Name],SamplingData[[#This Row],[Batch by Type (p)]]), 0)</f>
        <v>0</v>
      </c>
    </row>
    <row r="935" spans="1:36" ht="15" customHeight="1" x14ac:dyDescent="0.35">
      <c r="A935" s="98" t="s">
        <v>1146</v>
      </c>
      <c r="B935" s="98">
        <v>57</v>
      </c>
      <c r="C935" s="98">
        <v>11</v>
      </c>
      <c r="D935" s="93"/>
      <c r="E935" s="93"/>
      <c r="F935" s="93"/>
      <c r="G935" s="97"/>
      <c r="H935" s="97"/>
      <c r="I935" s="93"/>
      <c r="J935" s="93"/>
      <c r="K935" s="93"/>
      <c r="L935" s="93"/>
      <c r="M935" s="93"/>
      <c r="N935" s="98">
        <v>0</v>
      </c>
      <c r="O935" s="98">
        <v>3</v>
      </c>
      <c r="P935" s="99">
        <f>SUM(SamplingData[[#This Row],[Winning Candidate]:[Under Votes]])</f>
        <v>71</v>
      </c>
      <c r="Q935" s="100">
        <f>IF(AND(SamplingData[[#This Row],[Total]]&lt;&gt; 0, NOT(ISBLANK(SamplingData[[#This Row],[Losing Candidate]]))),(SamplingData[[#This Row],[Total]]+SamplingData[[#This Row],[Winning Candidate]]-SamplingData[[#This Row],[Losing Candidate]])/(SamplingData[[#Totals],[Winning Candidate]]-SamplingData[[#Totals],[Losing Candidate]]), 0)</f>
        <v>3.6749693752552064E-3</v>
      </c>
      <c r="R935" s="100">
        <f>IF(AND(SamplingData[[#This Row],[Total]]&lt;&gt; 0, NOT(ISBLANK(SamplingData[[#This Row],[Candidate 3]]))),(SamplingData[[#This Row],[Total]]+SamplingData[[#This Row],[Winning Candidate]]-SamplingData[[#This Row],[Candidate 3]])/(SamplingData[[#Totals],[Winning Candidate]]-SamplingData[[#Totals],[Candidate 3]]), 0)</f>
        <v>0</v>
      </c>
      <c r="S935" s="100">
        <f>IF(AND(SamplingData[[#This Row],[Total]]&lt;&gt; 0, NOT(ISBLANK(SamplingData[[#This Row],[Candidate 4]]))),(SamplingData[[#This Row],[Total]]+SamplingData[[#This Row],[Winning Candidate]]-SamplingData[[#This Row],[Candidate 4]])/(SamplingData[[#Totals],[Winning Candidate]]-SamplingData[[#Totals],[Candidate 4]]), 0)</f>
        <v>0</v>
      </c>
      <c r="T935" s="100">
        <f>IF(AND(SamplingData[[#This Row],[Total]]&lt;&gt; 0, NOT(ISBLANK(SamplingData[[#This Row],[Candidate 5]]))),(SamplingData[[#This Row],[Total]]+SamplingData[[#This Row],[Winning Candidate]]-SamplingData[[#This Row],[Candidate 5]])/(SamplingData[[#Totals],[Winning Candidate]]-SamplingData[[#Totals],[Candidate 5]]), 0)</f>
        <v>0</v>
      </c>
      <c r="U935" s="100">
        <f>IF(AND(SamplingData[[#This Row],[Total]]&lt;&gt; 0, NOT(ISBLANK(SamplingData[[#This Row],[Candidate 6]]))),(SamplingData[[#This Row],[Total]]+SamplingData[[#This Row],[Losing Candidate]]-SamplingData[[#This Row],[Candidate 6]])/(SamplingData[[#Totals],[Winning Candidate]]-SamplingData[[#Totals],[Candidate 6]]), 0)</f>
        <v>0</v>
      </c>
      <c r="V935" s="100">
        <f>IF(AND(SamplingData[[#This Row],[Total]]&lt;&gt; 0, NOT(ISBLANK(SamplingData[[#This Row],[Candidate 7]]))),(SamplingData[[#This Row],[Total]]+SamplingData[[#This Row],[Winning Candidate]]-SamplingData[[#This Row],[Candidate 7]])/(SamplingData[[#Totals],[Winning Candidate]]-SamplingData[[#Totals],[Candidate 7]]), 0)</f>
        <v>0</v>
      </c>
      <c r="W935" s="100">
        <f>IF(AND(SamplingData[[#This Row],[Total]]&lt;&gt; 0, NOT(ISBLANK(SamplingData[[#This Row],[Candidate 8]]))),(SamplingData[[#This Row],[Total]]+SamplingData[[#This Row],[Winning Candidate]]-SamplingData[[#This Row],[Candidate 8]])/(SamplingData[[#Totals],[Winning Candidate]]-SamplingData[[#Totals],[Candidate 8]]), 0)</f>
        <v>0</v>
      </c>
      <c r="X9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00">
        <f>MAX(SamplingData[[#This Row],[Error Bound (up) - Max. possible relative overstatement - Losing Candidate]:[Error Bound (up) - Max. possible relative overstatement - Candidate 12]])</f>
        <v>3.6749693752552064E-3</v>
      </c>
      <c r="AC935" s="100">
        <f>IF(SamplingData[[#This Row],[Max Error Bound (up)]] = 0,0,SamplingData[[#This Row],[Max Error Bound (up)]]/SamplingData[[#Totals],[Max Error Bound (up)]])</f>
        <v>1.5748667420449045E-3</v>
      </c>
      <c r="AD935" s="104">
        <f>SUM($AC$5:AC935)</f>
        <v>0.57868949550422721</v>
      </c>
      <c r="AE935" s="100" t="str" cm="1">
        <f t="array" ref="AE935">IF(SamplingData[[#This Row],[up/U Selection Probability]] = 0, "Zero", TEXT(SamplingData[[#This Row],[Lower Range]], REPT("0",LEN('General Info'!$B$42))) &amp; " - " &amp; TEXT(SamplingData[[#This Row],[Upper Range]], REPT("0",LEN('General Info'!$B$42))))</f>
        <v>57711 - 57868</v>
      </c>
      <c r="AF935" s="100">
        <f>SamplingData[[#This Row],[Upper Range]]-SamplingData[[#This Row],[Span]]</f>
        <v>57711.462876218233</v>
      </c>
      <c r="AG935" s="100">
        <f>IF(ISNUMBER('General Info'!$B$42), ((SamplingData[[#This Row],[up/U Selection Probability]]) * 'General Info'!$B$44) - 1, 0)</f>
        <v>156.48667420449044</v>
      </c>
      <c r="AH935" s="100">
        <f>IF(ISNUMBER('General Info'!$B$42), (SamplingData[[#This Row],[Running (cumulative) sum]] * ('General Info'!$B$42 -'General Info'!$B$43 + 1)) + 'General Info'!$B$43 - 1, 0)</f>
        <v>57867.949550422723</v>
      </c>
      <c r="AI935" s="100" t="str">
        <f>IF(ISERROR(MATCH(SamplingData[[#This Row],[Batch by Type (p)]],SelectedPrecincts[Batch Name], 0)), "", INDEX(SelectedPrecincts[Draw], MATCH(SamplingData[[#This Row],[Batch by Type (p)]],SelectedPrecincts[Batch Name], 0)))</f>
        <v/>
      </c>
      <c r="AJ935" s="101">
        <f>IF(COUNTIF(SelectedPrecincts[Batch Name],SamplingData[[#This Row],[Batch by Type (p)]]) &lt;&gt; 0, COUNTIF(SelectedPrecincts[Batch Name],SamplingData[[#This Row],[Batch by Type (p)]]), 0)</f>
        <v>0</v>
      </c>
    </row>
    <row r="936" spans="1:36" ht="15" customHeight="1" x14ac:dyDescent="0.35">
      <c r="A936" s="98" t="s">
        <v>1147</v>
      </c>
      <c r="B936" s="98">
        <v>53</v>
      </c>
      <c r="C936" s="98">
        <v>4</v>
      </c>
      <c r="D936" s="93"/>
      <c r="E936" s="93"/>
      <c r="F936" s="93"/>
      <c r="G936" s="97"/>
      <c r="H936" s="97"/>
      <c r="I936" s="93"/>
      <c r="J936" s="93"/>
      <c r="K936" s="93"/>
      <c r="L936" s="93"/>
      <c r="M936" s="93"/>
      <c r="N936" s="98">
        <v>0</v>
      </c>
      <c r="O936" s="98">
        <v>0</v>
      </c>
      <c r="P936" s="99">
        <f>SUM(SamplingData[[#This Row],[Winning Candidate]:[Under Votes]])</f>
        <v>57</v>
      </c>
      <c r="Q936" s="100">
        <f>IF(AND(SamplingData[[#This Row],[Total]]&lt;&gt; 0, NOT(ISBLANK(SamplingData[[#This Row],[Losing Candidate]]))),(SamplingData[[#This Row],[Total]]+SamplingData[[#This Row],[Winning Candidate]]-SamplingData[[#This Row],[Losing Candidate]])/(SamplingData[[#Totals],[Winning Candidate]]-SamplingData[[#Totals],[Losing Candidate]]), 0)</f>
        <v>3.3294594339918961E-3</v>
      </c>
      <c r="R936" s="100">
        <f>IF(AND(SamplingData[[#This Row],[Total]]&lt;&gt; 0, NOT(ISBLANK(SamplingData[[#This Row],[Candidate 3]]))),(SamplingData[[#This Row],[Total]]+SamplingData[[#This Row],[Winning Candidate]]-SamplingData[[#This Row],[Candidate 3]])/(SamplingData[[#Totals],[Winning Candidate]]-SamplingData[[#Totals],[Candidate 3]]), 0)</f>
        <v>0</v>
      </c>
      <c r="S936" s="100">
        <f>IF(AND(SamplingData[[#This Row],[Total]]&lt;&gt; 0, NOT(ISBLANK(SamplingData[[#This Row],[Candidate 4]]))),(SamplingData[[#This Row],[Total]]+SamplingData[[#This Row],[Winning Candidate]]-SamplingData[[#This Row],[Candidate 4]])/(SamplingData[[#Totals],[Winning Candidate]]-SamplingData[[#Totals],[Candidate 4]]), 0)</f>
        <v>0</v>
      </c>
      <c r="T936" s="100">
        <f>IF(AND(SamplingData[[#This Row],[Total]]&lt;&gt; 0, NOT(ISBLANK(SamplingData[[#This Row],[Candidate 5]]))),(SamplingData[[#This Row],[Total]]+SamplingData[[#This Row],[Winning Candidate]]-SamplingData[[#This Row],[Candidate 5]])/(SamplingData[[#Totals],[Winning Candidate]]-SamplingData[[#Totals],[Candidate 5]]), 0)</f>
        <v>0</v>
      </c>
      <c r="U936" s="100">
        <f>IF(AND(SamplingData[[#This Row],[Total]]&lt;&gt; 0, NOT(ISBLANK(SamplingData[[#This Row],[Candidate 6]]))),(SamplingData[[#This Row],[Total]]+SamplingData[[#This Row],[Losing Candidate]]-SamplingData[[#This Row],[Candidate 6]])/(SamplingData[[#Totals],[Winning Candidate]]-SamplingData[[#Totals],[Candidate 6]]), 0)</f>
        <v>0</v>
      </c>
      <c r="V936" s="100">
        <f>IF(AND(SamplingData[[#This Row],[Total]]&lt;&gt; 0, NOT(ISBLANK(SamplingData[[#This Row],[Candidate 7]]))),(SamplingData[[#This Row],[Total]]+SamplingData[[#This Row],[Winning Candidate]]-SamplingData[[#This Row],[Candidate 7]])/(SamplingData[[#Totals],[Winning Candidate]]-SamplingData[[#Totals],[Candidate 7]]), 0)</f>
        <v>0</v>
      </c>
      <c r="W936" s="100">
        <f>IF(AND(SamplingData[[#This Row],[Total]]&lt;&gt; 0, NOT(ISBLANK(SamplingData[[#This Row],[Candidate 8]]))),(SamplingData[[#This Row],[Total]]+SamplingData[[#This Row],[Winning Candidate]]-SamplingData[[#This Row],[Candidate 8]])/(SamplingData[[#Totals],[Winning Candidate]]-SamplingData[[#Totals],[Candidate 8]]), 0)</f>
        <v>0</v>
      </c>
      <c r="X9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00">
        <f>MAX(SamplingData[[#This Row],[Error Bound (up) - Max. possible relative overstatement - Losing Candidate]:[Error Bound (up) - Max. possible relative overstatement - Candidate 12]])</f>
        <v>3.3294594339918961E-3</v>
      </c>
      <c r="AC936" s="100">
        <f>IF(SamplingData[[#This Row],[Max Error Bound (up)]] = 0,0,SamplingData[[#This Row],[Max Error Bound (up)]]/SamplingData[[#Totals],[Max Error Bound (up)]])</f>
        <v>1.426802347493674E-3</v>
      </c>
      <c r="AD936" s="104">
        <f>SUM($AC$5:AC936)</f>
        <v>0.58011629785172092</v>
      </c>
      <c r="AE936" s="100" t="str" cm="1">
        <f t="array" ref="AE936">IF(SamplingData[[#This Row],[up/U Selection Probability]] = 0, "Zero", TEXT(SamplingData[[#This Row],[Lower Range]], REPT("0",LEN('General Info'!$B$42))) &amp; " - " &amp; TEXT(SamplingData[[#This Row],[Upper Range]], REPT("0",LEN('General Info'!$B$42))))</f>
        <v>57869 - 58011</v>
      </c>
      <c r="AF936" s="100">
        <f>SamplingData[[#This Row],[Upper Range]]-SamplingData[[#This Row],[Span]]</f>
        <v>57868.949550422723</v>
      </c>
      <c r="AG936" s="100">
        <f>IF(ISNUMBER('General Info'!$B$42), ((SamplingData[[#This Row],[up/U Selection Probability]]) * 'General Info'!$B$44) - 1, 0)</f>
        <v>141.6802347493674</v>
      </c>
      <c r="AH936" s="100">
        <f>IF(ISNUMBER('General Info'!$B$42), (SamplingData[[#This Row],[Running (cumulative) sum]] * ('General Info'!$B$42 -'General Info'!$B$43 + 1)) + 'General Info'!$B$43 - 1, 0)</f>
        <v>58010.629785172088</v>
      </c>
      <c r="AI936" s="100" t="str">
        <f>IF(ISERROR(MATCH(SamplingData[[#This Row],[Batch by Type (p)]],SelectedPrecincts[Batch Name], 0)), "", INDEX(SelectedPrecincts[Draw], MATCH(SamplingData[[#This Row],[Batch by Type (p)]],SelectedPrecincts[Batch Name], 0)))</f>
        <v/>
      </c>
      <c r="AJ936" s="101">
        <f>IF(COUNTIF(SelectedPrecincts[Batch Name],SamplingData[[#This Row],[Batch by Type (p)]]) &lt;&gt; 0, COUNTIF(SelectedPrecincts[Batch Name],SamplingData[[#This Row],[Batch by Type (p)]]), 0)</f>
        <v>0</v>
      </c>
    </row>
    <row r="937" spans="1:36" ht="15" customHeight="1" x14ac:dyDescent="0.35">
      <c r="A937" s="98" t="s">
        <v>1148</v>
      </c>
      <c r="B937" s="98">
        <v>55</v>
      </c>
      <c r="C937" s="98">
        <v>7</v>
      </c>
      <c r="D937" s="93"/>
      <c r="E937" s="93"/>
      <c r="F937" s="93"/>
      <c r="G937" s="97"/>
      <c r="H937" s="97"/>
      <c r="I937" s="93"/>
      <c r="J937" s="93"/>
      <c r="K937" s="93"/>
      <c r="L937" s="93"/>
      <c r="M937" s="93"/>
      <c r="N937" s="98">
        <v>0</v>
      </c>
      <c r="O937" s="98">
        <v>1</v>
      </c>
      <c r="P937" s="99">
        <f>SUM(SamplingData[[#This Row],[Winning Candidate]:[Under Votes]])</f>
        <v>63</v>
      </c>
      <c r="Q937" s="100">
        <f>IF(AND(SamplingData[[#This Row],[Total]]&lt;&gt; 0, NOT(ISBLANK(SamplingData[[#This Row],[Losing Candidate]]))),(SamplingData[[#This Row],[Total]]+SamplingData[[#This Row],[Winning Candidate]]-SamplingData[[#This Row],[Losing Candidate]])/(SamplingData[[#Totals],[Winning Candidate]]-SamplingData[[#Totals],[Losing Candidate]]), 0)</f>
        <v>3.4865094072934009E-3</v>
      </c>
      <c r="R937" s="100">
        <f>IF(AND(SamplingData[[#This Row],[Total]]&lt;&gt; 0, NOT(ISBLANK(SamplingData[[#This Row],[Candidate 3]]))),(SamplingData[[#This Row],[Total]]+SamplingData[[#This Row],[Winning Candidate]]-SamplingData[[#This Row],[Candidate 3]])/(SamplingData[[#Totals],[Winning Candidate]]-SamplingData[[#Totals],[Candidate 3]]), 0)</f>
        <v>0</v>
      </c>
      <c r="S937" s="100">
        <f>IF(AND(SamplingData[[#This Row],[Total]]&lt;&gt; 0, NOT(ISBLANK(SamplingData[[#This Row],[Candidate 4]]))),(SamplingData[[#This Row],[Total]]+SamplingData[[#This Row],[Winning Candidate]]-SamplingData[[#This Row],[Candidate 4]])/(SamplingData[[#Totals],[Winning Candidate]]-SamplingData[[#Totals],[Candidate 4]]), 0)</f>
        <v>0</v>
      </c>
      <c r="T937" s="100">
        <f>IF(AND(SamplingData[[#This Row],[Total]]&lt;&gt; 0, NOT(ISBLANK(SamplingData[[#This Row],[Candidate 5]]))),(SamplingData[[#This Row],[Total]]+SamplingData[[#This Row],[Winning Candidate]]-SamplingData[[#This Row],[Candidate 5]])/(SamplingData[[#Totals],[Winning Candidate]]-SamplingData[[#Totals],[Candidate 5]]), 0)</f>
        <v>0</v>
      </c>
      <c r="U937" s="100">
        <f>IF(AND(SamplingData[[#This Row],[Total]]&lt;&gt; 0, NOT(ISBLANK(SamplingData[[#This Row],[Candidate 6]]))),(SamplingData[[#This Row],[Total]]+SamplingData[[#This Row],[Losing Candidate]]-SamplingData[[#This Row],[Candidate 6]])/(SamplingData[[#Totals],[Winning Candidate]]-SamplingData[[#Totals],[Candidate 6]]), 0)</f>
        <v>0</v>
      </c>
      <c r="V937" s="100">
        <f>IF(AND(SamplingData[[#This Row],[Total]]&lt;&gt; 0, NOT(ISBLANK(SamplingData[[#This Row],[Candidate 7]]))),(SamplingData[[#This Row],[Total]]+SamplingData[[#This Row],[Winning Candidate]]-SamplingData[[#This Row],[Candidate 7]])/(SamplingData[[#Totals],[Winning Candidate]]-SamplingData[[#Totals],[Candidate 7]]), 0)</f>
        <v>0</v>
      </c>
      <c r="W937" s="100">
        <f>IF(AND(SamplingData[[#This Row],[Total]]&lt;&gt; 0, NOT(ISBLANK(SamplingData[[#This Row],[Candidate 8]]))),(SamplingData[[#This Row],[Total]]+SamplingData[[#This Row],[Winning Candidate]]-SamplingData[[#This Row],[Candidate 8]])/(SamplingData[[#Totals],[Winning Candidate]]-SamplingData[[#Totals],[Candidate 8]]), 0)</f>
        <v>0</v>
      </c>
      <c r="X9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00">
        <f>MAX(SamplingData[[#This Row],[Error Bound (up) - Max. possible relative overstatement - Losing Candidate]:[Error Bound (up) - Max. possible relative overstatement - Candidate 12]])</f>
        <v>3.4865094072934009E-3</v>
      </c>
      <c r="AC937" s="100">
        <f>IF(SamplingData[[#This Row],[Max Error Bound (up)]] = 0,0,SamplingData[[#This Row],[Max Error Bound (up)]]/SamplingData[[#Totals],[Max Error Bound (up)]])</f>
        <v>1.4941043450169608E-3</v>
      </c>
      <c r="AD937" s="104">
        <f>SUM($AC$5:AC937)</f>
        <v>0.58161040219673787</v>
      </c>
      <c r="AE937" s="100" t="str" cm="1">
        <f t="array" ref="AE937">IF(SamplingData[[#This Row],[up/U Selection Probability]] = 0, "Zero", TEXT(SamplingData[[#This Row],[Lower Range]], REPT("0",LEN('General Info'!$B$42))) &amp; " - " &amp; TEXT(SamplingData[[#This Row],[Upper Range]], REPT("0",LEN('General Info'!$B$42))))</f>
        <v>58012 - 58160</v>
      </c>
      <c r="AF937" s="100">
        <f>SamplingData[[#This Row],[Upper Range]]-SamplingData[[#This Row],[Span]]</f>
        <v>58011.629785172088</v>
      </c>
      <c r="AG937" s="100">
        <f>IF(ISNUMBER('General Info'!$B$42), ((SamplingData[[#This Row],[up/U Selection Probability]]) * 'General Info'!$B$44) - 1, 0)</f>
        <v>148.41043450169607</v>
      </c>
      <c r="AH937" s="100">
        <f>IF(ISNUMBER('General Info'!$B$42), (SamplingData[[#This Row],[Running (cumulative) sum]] * ('General Info'!$B$42 -'General Info'!$B$43 + 1)) + 'General Info'!$B$43 - 1, 0)</f>
        <v>58160.040219673785</v>
      </c>
      <c r="AI937" s="100" t="str">
        <f>IF(ISERROR(MATCH(SamplingData[[#This Row],[Batch by Type (p)]],SelectedPrecincts[Batch Name], 0)), "", INDEX(SelectedPrecincts[Draw], MATCH(SamplingData[[#This Row],[Batch by Type (p)]],SelectedPrecincts[Batch Name], 0)))</f>
        <v/>
      </c>
      <c r="AJ937" s="101">
        <f>IF(COUNTIF(SelectedPrecincts[Batch Name],SamplingData[[#This Row],[Batch by Type (p)]]) &lt;&gt; 0, COUNTIF(SelectedPrecincts[Batch Name],SamplingData[[#This Row],[Batch by Type (p)]]), 0)</f>
        <v>0</v>
      </c>
    </row>
    <row r="938" spans="1:36" ht="15" customHeight="1" x14ac:dyDescent="0.35">
      <c r="A938" s="98" t="s">
        <v>1149</v>
      </c>
      <c r="B938" s="98">
        <v>17</v>
      </c>
      <c r="C938" s="98">
        <v>6</v>
      </c>
      <c r="D938" s="93"/>
      <c r="E938" s="93"/>
      <c r="F938" s="93"/>
      <c r="G938" s="97"/>
      <c r="H938" s="97"/>
      <c r="I938" s="93"/>
      <c r="J938" s="93"/>
      <c r="K938" s="93"/>
      <c r="L938" s="93"/>
      <c r="M938" s="93"/>
      <c r="N938" s="98">
        <v>0</v>
      </c>
      <c r="O938" s="98">
        <v>0</v>
      </c>
      <c r="P938" s="99">
        <f>SUM(SamplingData[[#This Row],[Winning Candidate]:[Under Votes]])</f>
        <v>23</v>
      </c>
      <c r="Q938"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938" s="100">
        <f>IF(AND(SamplingData[[#This Row],[Total]]&lt;&gt; 0, NOT(ISBLANK(SamplingData[[#This Row],[Candidate 3]]))),(SamplingData[[#This Row],[Total]]+SamplingData[[#This Row],[Winning Candidate]]-SamplingData[[#This Row],[Candidate 3]])/(SamplingData[[#Totals],[Winning Candidate]]-SamplingData[[#Totals],[Candidate 3]]), 0)</f>
        <v>0</v>
      </c>
      <c r="S938" s="100">
        <f>IF(AND(SamplingData[[#This Row],[Total]]&lt;&gt; 0, NOT(ISBLANK(SamplingData[[#This Row],[Candidate 4]]))),(SamplingData[[#This Row],[Total]]+SamplingData[[#This Row],[Winning Candidate]]-SamplingData[[#This Row],[Candidate 4]])/(SamplingData[[#Totals],[Winning Candidate]]-SamplingData[[#Totals],[Candidate 4]]), 0)</f>
        <v>0</v>
      </c>
      <c r="T938" s="100">
        <f>IF(AND(SamplingData[[#This Row],[Total]]&lt;&gt; 0, NOT(ISBLANK(SamplingData[[#This Row],[Candidate 5]]))),(SamplingData[[#This Row],[Total]]+SamplingData[[#This Row],[Winning Candidate]]-SamplingData[[#This Row],[Candidate 5]])/(SamplingData[[#Totals],[Winning Candidate]]-SamplingData[[#Totals],[Candidate 5]]), 0)</f>
        <v>0</v>
      </c>
      <c r="U938" s="100">
        <f>IF(AND(SamplingData[[#This Row],[Total]]&lt;&gt; 0, NOT(ISBLANK(SamplingData[[#This Row],[Candidate 6]]))),(SamplingData[[#This Row],[Total]]+SamplingData[[#This Row],[Losing Candidate]]-SamplingData[[#This Row],[Candidate 6]])/(SamplingData[[#Totals],[Winning Candidate]]-SamplingData[[#Totals],[Candidate 6]]), 0)</f>
        <v>0</v>
      </c>
      <c r="V938" s="100">
        <f>IF(AND(SamplingData[[#This Row],[Total]]&lt;&gt; 0, NOT(ISBLANK(SamplingData[[#This Row],[Candidate 7]]))),(SamplingData[[#This Row],[Total]]+SamplingData[[#This Row],[Winning Candidate]]-SamplingData[[#This Row],[Candidate 7]])/(SamplingData[[#Totals],[Winning Candidate]]-SamplingData[[#Totals],[Candidate 7]]), 0)</f>
        <v>0</v>
      </c>
      <c r="W938" s="100">
        <f>IF(AND(SamplingData[[#This Row],[Total]]&lt;&gt; 0, NOT(ISBLANK(SamplingData[[#This Row],[Candidate 8]]))),(SamplingData[[#This Row],[Total]]+SamplingData[[#This Row],[Winning Candidate]]-SamplingData[[#This Row],[Candidate 8]])/(SamplingData[[#Totals],[Winning Candidate]]-SamplingData[[#Totals],[Candidate 8]]), 0)</f>
        <v>0</v>
      </c>
      <c r="X9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00">
        <f>MAX(SamplingData[[#This Row],[Error Bound (up) - Max. possible relative overstatement - Losing Candidate]:[Error Bound (up) - Max. possible relative overstatement - Candidate 12]])</f>
        <v>1.0679398184502309E-3</v>
      </c>
      <c r="AC938" s="100">
        <f>IF(SamplingData[[#This Row],[Max Error Bound (up)]] = 0,0,SamplingData[[#This Row],[Max Error Bound (up)]]/SamplingData[[#Totals],[Max Error Bound (up)]])</f>
        <v>4.5765358315834836E-4</v>
      </c>
      <c r="AD938" s="104">
        <f>SUM($AC$5:AC938)</f>
        <v>0.58206805577989618</v>
      </c>
      <c r="AE938" s="100" t="str" cm="1">
        <f t="array" ref="AE938">IF(SamplingData[[#This Row],[up/U Selection Probability]] = 0, "Zero", TEXT(SamplingData[[#This Row],[Lower Range]], REPT("0",LEN('General Info'!$B$42))) &amp; " - " &amp; TEXT(SamplingData[[#This Row],[Upper Range]], REPT("0",LEN('General Info'!$B$42))))</f>
        <v>58161 - 58206</v>
      </c>
      <c r="AF938" s="100">
        <f>SamplingData[[#This Row],[Upper Range]]-SamplingData[[#This Row],[Span]]</f>
        <v>58161.040219673785</v>
      </c>
      <c r="AG938" s="100">
        <f>IF(ISNUMBER('General Info'!$B$42), ((SamplingData[[#This Row],[up/U Selection Probability]]) * 'General Info'!$B$44) - 1, 0)</f>
        <v>44.765358315834838</v>
      </c>
      <c r="AH938" s="100">
        <f>IF(ISNUMBER('General Info'!$B$42), (SamplingData[[#This Row],[Running (cumulative) sum]] * ('General Info'!$B$42 -'General Info'!$B$43 + 1)) + 'General Info'!$B$43 - 1, 0)</f>
        <v>58205.805577989617</v>
      </c>
      <c r="AI938" s="100" t="str">
        <f>IF(ISERROR(MATCH(SamplingData[[#This Row],[Batch by Type (p)]],SelectedPrecincts[Batch Name], 0)), "", INDEX(SelectedPrecincts[Draw], MATCH(SamplingData[[#This Row],[Batch by Type (p)]],SelectedPrecincts[Batch Name], 0)))</f>
        <v/>
      </c>
      <c r="AJ938" s="101">
        <f>IF(COUNTIF(SelectedPrecincts[Batch Name],SamplingData[[#This Row],[Batch by Type (p)]]) &lt;&gt; 0, COUNTIF(SelectedPrecincts[Batch Name],SamplingData[[#This Row],[Batch by Type (p)]]), 0)</f>
        <v>0</v>
      </c>
    </row>
    <row r="939" spans="1:36" ht="15" customHeight="1" x14ac:dyDescent="0.35">
      <c r="A939" s="98" t="s">
        <v>1150</v>
      </c>
      <c r="B939" s="98">
        <v>55</v>
      </c>
      <c r="C939" s="98">
        <v>7</v>
      </c>
      <c r="D939" s="93"/>
      <c r="E939" s="93"/>
      <c r="F939" s="93"/>
      <c r="G939" s="97"/>
      <c r="H939" s="97"/>
      <c r="I939" s="93"/>
      <c r="J939" s="93"/>
      <c r="K939" s="93"/>
      <c r="L939" s="93"/>
      <c r="M939" s="93"/>
      <c r="N939" s="98">
        <v>0</v>
      </c>
      <c r="O939" s="98">
        <v>1</v>
      </c>
      <c r="P939" s="99">
        <f>SUM(SamplingData[[#This Row],[Winning Candidate]:[Under Votes]])</f>
        <v>63</v>
      </c>
      <c r="Q939" s="100">
        <f>IF(AND(SamplingData[[#This Row],[Total]]&lt;&gt; 0, NOT(ISBLANK(SamplingData[[#This Row],[Losing Candidate]]))),(SamplingData[[#This Row],[Total]]+SamplingData[[#This Row],[Winning Candidate]]-SamplingData[[#This Row],[Losing Candidate]])/(SamplingData[[#Totals],[Winning Candidate]]-SamplingData[[#Totals],[Losing Candidate]]), 0)</f>
        <v>3.4865094072934009E-3</v>
      </c>
      <c r="R939" s="100">
        <f>IF(AND(SamplingData[[#This Row],[Total]]&lt;&gt; 0, NOT(ISBLANK(SamplingData[[#This Row],[Candidate 3]]))),(SamplingData[[#This Row],[Total]]+SamplingData[[#This Row],[Winning Candidate]]-SamplingData[[#This Row],[Candidate 3]])/(SamplingData[[#Totals],[Winning Candidate]]-SamplingData[[#Totals],[Candidate 3]]), 0)</f>
        <v>0</v>
      </c>
      <c r="S939" s="100">
        <f>IF(AND(SamplingData[[#This Row],[Total]]&lt;&gt; 0, NOT(ISBLANK(SamplingData[[#This Row],[Candidate 4]]))),(SamplingData[[#This Row],[Total]]+SamplingData[[#This Row],[Winning Candidate]]-SamplingData[[#This Row],[Candidate 4]])/(SamplingData[[#Totals],[Winning Candidate]]-SamplingData[[#Totals],[Candidate 4]]), 0)</f>
        <v>0</v>
      </c>
      <c r="T939" s="100">
        <f>IF(AND(SamplingData[[#This Row],[Total]]&lt;&gt; 0, NOT(ISBLANK(SamplingData[[#This Row],[Candidate 5]]))),(SamplingData[[#This Row],[Total]]+SamplingData[[#This Row],[Winning Candidate]]-SamplingData[[#This Row],[Candidate 5]])/(SamplingData[[#Totals],[Winning Candidate]]-SamplingData[[#Totals],[Candidate 5]]), 0)</f>
        <v>0</v>
      </c>
      <c r="U939" s="100">
        <f>IF(AND(SamplingData[[#This Row],[Total]]&lt;&gt; 0, NOT(ISBLANK(SamplingData[[#This Row],[Candidate 6]]))),(SamplingData[[#This Row],[Total]]+SamplingData[[#This Row],[Losing Candidate]]-SamplingData[[#This Row],[Candidate 6]])/(SamplingData[[#Totals],[Winning Candidate]]-SamplingData[[#Totals],[Candidate 6]]), 0)</f>
        <v>0</v>
      </c>
      <c r="V939" s="100">
        <f>IF(AND(SamplingData[[#This Row],[Total]]&lt;&gt; 0, NOT(ISBLANK(SamplingData[[#This Row],[Candidate 7]]))),(SamplingData[[#This Row],[Total]]+SamplingData[[#This Row],[Winning Candidate]]-SamplingData[[#This Row],[Candidate 7]])/(SamplingData[[#Totals],[Winning Candidate]]-SamplingData[[#Totals],[Candidate 7]]), 0)</f>
        <v>0</v>
      </c>
      <c r="W939" s="100">
        <f>IF(AND(SamplingData[[#This Row],[Total]]&lt;&gt; 0, NOT(ISBLANK(SamplingData[[#This Row],[Candidate 8]]))),(SamplingData[[#This Row],[Total]]+SamplingData[[#This Row],[Winning Candidate]]-SamplingData[[#This Row],[Candidate 8]])/(SamplingData[[#Totals],[Winning Candidate]]-SamplingData[[#Totals],[Candidate 8]]), 0)</f>
        <v>0</v>
      </c>
      <c r="X9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00">
        <f>MAX(SamplingData[[#This Row],[Error Bound (up) - Max. possible relative overstatement - Losing Candidate]:[Error Bound (up) - Max. possible relative overstatement - Candidate 12]])</f>
        <v>3.4865094072934009E-3</v>
      </c>
      <c r="AC939" s="100">
        <f>IF(SamplingData[[#This Row],[Max Error Bound (up)]] = 0,0,SamplingData[[#This Row],[Max Error Bound (up)]]/SamplingData[[#Totals],[Max Error Bound (up)]])</f>
        <v>1.4941043450169608E-3</v>
      </c>
      <c r="AD939" s="104">
        <f>SUM($AC$5:AC939)</f>
        <v>0.58356216012491313</v>
      </c>
      <c r="AE939" s="100" t="str" cm="1">
        <f t="array" ref="AE939">IF(SamplingData[[#This Row],[up/U Selection Probability]] = 0, "Zero", TEXT(SamplingData[[#This Row],[Lower Range]], REPT("0",LEN('General Info'!$B$42))) &amp; " - " &amp; TEXT(SamplingData[[#This Row],[Upper Range]], REPT("0",LEN('General Info'!$B$42))))</f>
        <v>58207 - 58355</v>
      </c>
      <c r="AF939" s="100">
        <f>SamplingData[[#This Row],[Upper Range]]-SamplingData[[#This Row],[Span]]</f>
        <v>58206.805577989617</v>
      </c>
      <c r="AG939" s="100">
        <f>IF(ISNUMBER('General Info'!$B$42), ((SamplingData[[#This Row],[up/U Selection Probability]]) * 'General Info'!$B$44) - 1, 0)</f>
        <v>148.41043450169607</v>
      </c>
      <c r="AH939" s="100">
        <f>IF(ISNUMBER('General Info'!$B$42), (SamplingData[[#This Row],[Running (cumulative) sum]] * ('General Info'!$B$42 -'General Info'!$B$43 + 1)) + 'General Info'!$B$43 - 1, 0)</f>
        <v>58355.216012491313</v>
      </c>
      <c r="AI939" s="100" t="str">
        <f>IF(ISERROR(MATCH(SamplingData[[#This Row],[Batch by Type (p)]],SelectedPrecincts[Batch Name], 0)), "", INDEX(SelectedPrecincts[Draw], MATCH(SamplingData[[#This Row],[Batch by Type (p)]],SelectedPrecincts[Batch Name], 0)))</f>
        <v/>
      </c>
      <c r="AJ939" s="101">
        <f>IF(COUNTIF(SelectedPrecincts[Batch Name],SamplingData[[#This Row],[Batch by Type (p)]]) &lt;&gt; 0, COUNTIF(SelectedPrecincts[Batch Name],SamplingData[[#This Row],[Batch by Type (p)]]), 0)</f>
        <v>0</v>
      </c>
    </row>
    <row r="940" spans="1:36" ht="15" customHeight="1" x14ac:dyDescent="0.35">
      <c r="A940" s="98" t="s">
        <v>1151</v>
      </c>
      <c r="B940" s="98">
        <v>56</v>
      </c>
      <c r="C940" s="98">
        <v>7</v>
      </c>
      <c r="D940" s="93"/>
      <c r="E940" s="93"/>
      <c r="F940" s="93"/>
      <c r="G940" s="97"/>
      <c r="H940" s="97"/>
      <c r="I940" s="93"/>
      <c r="J940" s="93"/>
      <c r="K940" s="93"/>
      <c r="L940" s="93"/>
      <c r="M940" s="93"/>
      <c r="N940" s="98">
        <v>0</v>
      </c>
      <c r="O940" s="98">
        <v>2</v>
      </c>
      <c r="P940" s="99">
        <f>SUM(SamplingData[[#This Row],[Winning Candidate]:[Under Votes]])</f>
        <v>65</v>
      </c>
      <c r="Q940" s="100">
        <f>IF(AND(SamplingData[[#This Row],[Total]]&lt;&gt; 0, NOT(ISBLANK(SamplingData[[#This Row],[Losing Candidate]]))),(SamplingData[[#This Row],[Total]]+SamplingData[[#This Row],[Winning Candidate]]-SamplingData[[#This Row],[Losing Candidate]])/(SamplingData[[#Totals],[Winning Candidate]]-SamplingData[[#Totals],[Losing Candidate]]), 0)</f>
        <v>3.5807393912743036E-3</v>
      </c>
      <c r="R940" s="100">
        <f>IF(AND(SamplingData[[#This Row],[Total]]&lt;&gt; 0, NOT(ISBLANK(SamplingData[[#This Row],[Candidate 3]]))),(SamplingData[[#This Row],[Total]]+SamplingData[[#This Row],[Winning Candidate]]-SamplingData[[#This Row],[Candidate 3]])/(SamplingData[[#Totals],[Winning Candidate]]-SamplingData[[#Totals],[Candidate 3]]), 0)</f>
        <v>0</v>
      </c>
      <c r="S940" s="100">
        <f>IF(AND(SamplingData[[#This Row],[Total]]&lt;&gt; 0, NOT(ISBLANK(SamplingData[[#This Row],[Candidate 4]]))),(SamplingData[[#This Row],[Total]]+SamplingData[[#This Row],[Winning Candidate]]-SamplingData[[#This Row],[Candidate 4]])/(SamplingData[[#Totals],[Winning Candidate]]-SamplingData[[#Totals],[Candidate 4]]), 0)</f>
        <v>0</v>
      </c>
      <c r="T940" s="100">
        <f>IF(AND(SamplingData[[#This Row],[Total]]&lt;&gt; 0, NOT(ISBLANK(SamplingData[[#This Row],[Candidate 5]]))),(SamplingData[[#This Row],[Total]]+SamplingData[[#This Row],[Winning Candidate]]-SamplingData[[#This Row],[Candidate 5]])/(SamplingData[[#Totals],[Winning Candidate]]-SamplingData[[#Totals],[Candidate 5]]), 0)</f>
        <v>0</v>
      </c>
      <c r="U940" s="100">
        <f>IF(AND(SamplingData[[#This Row],[Total]]&lt;&gt; 0, NOT(ISBLANK(SamplingData[[#This Row],[Candidate 6]]))),(SamplingData[[#This Row],[Total]]+SamplingData[[#This Row],[Losing Candidate]]-SamplingData[[#This Row],[Candidate 6]])/(SamplingData[[#Totals],[Winning Candidate]]-SamplingData[[#Totals],[Candidate 6]]), 0)</f>
        <v>0</v>
      </c>
      <c r="V940" s="100">
        <f>IF(AND(SamplingData[[#This Row],[Total]]&lt;&gt; 0, NOT(ISBLANK(SamplingData[[#This Row],[Candidate 7]]))),(SamplingData[[#This Row],[Total]]+SamplingData[[#This Row],[Winning Candidate]]-SamplingData[[#This Row],[Candidate 7]])/(SamplingData[[#Totals],[Winning Candidate]]-SamplingData[[#Totals],[Candidate 7]]), 0)</f>
        <v>0</v>
      </c>
      <c r="W940" s="100">
        <f>IF(AND(SamplingData[[#This Row],[Total]]&lt;&gt; 0, NOT(ISBLANK(SamplingData[[#This Row],[Candidate 8]]))),(SamplingData[[#This Row],[Total]]+SamplingData[[#This Row],[Winning Candidate]]-SamplingData[[#This Row],[Candidate 8]])/(SamplingData[[#Totals],[Winning Candidate]]-SamplingData[[#Totals],[Candidate 8]]), 0)</f>
        <v>0</v>
      </c>
      <c r="X9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00">
        <f>MAX(SamplingData[[#This Row],[Error Bound (up) - Max. possible relative overstatement - Losing Candidate]:[Error Bound (up) - Max. possible relative overstatement - Candidate 12]])</f>
        <v>3.5807393912743036E-3</v>
      </c>
      <c r="AC940" s="100">
        <f>IF(SamplingData[[#This Row],[Max Error Bound (up)]] = 0,0,SamplingData[[#This Row],[Max Error Bound (up)]]/SamplingData[[#Totals],[Max Error Bound (up)]])</f>
        <v>1.5344855435309326E-3</v>
      </c>
      <c r="AD940" s="104">
        <f>SUM($AC$5:AC940)</f>
        <v>0.5850966456684441</v>
      </c>
      <c r="AE940" s="100" t="str" cm="1">
        <f t="array" ref="AE940">IF(SamplingData[[#This Row],[up/U Selection Probability]] = 0, "Zero", TEXT(SamplingData[[#This Row],[Lower Range]], REPT("0",LEN('General Info'!$B$42))) &amp; " - " &amp; TEXT(SamplingData[[#This Row],[Upper Range]], REPT("0",LEN('General Info'!$B$42))))</f>
        <v>58356 - 58509</v>
      </c>
      <c r="AF940" s="100">
        <f>SamplingData[[#This Row],[Upper Range]]-SamplingData[[#This Row],[Span]]</f>
        <v>58356.216012491321</v>
      </c>
      <c r="AG940" s="100">
        <f>IF(ISNUMBER('General Info'!$B$42), ((SamplingData[[#This Row],[up/U Selection Probability]]) * 'General Info'!$B$44) - 1, 0)</f>
        <v>152.44855435309327</v>
      </c>
      <c r="AH940" s="100">
        <f>IF(ISNUMBER('General Info'!$B$42), (SamplingData[[#This Row],[Running (cumulative) sum]] * ('General Info'!$B$42 -'General Info'!$B$43 + 1)) + 'General Info'!$B$43 - 1, 0)</f>
        <v>58508.664566844411</v>
      </c>
      <c r="AI940" s="100" t="str">
        <f>IF(ISERROR(MATCH(SamplingData[[#This Row],[Batch by Type (p)]],SelectedPrecincts[Batch Name], 0)), "", INDEX(SelectedPrecincts[Draw], MATCH(SamplingData[[#This Row],[Batch by Type (p)]],SelectedPrecincts[Batch Name], 0)))</f>
        <v/>
      </c>
      <c r="AJ940" s="101">
        <f>IF(COUNTIF(SelectedPrecincts[Batch Name],SamplingData[[#This Row],[Batch by Type (p)]]) &lt;&gt; 0, COUNTIF(SelectedPrecincts[Batch Name],SamplingData[[#This Row],[Batch by Type (p)]]), 0)</f>
        <v>0</v>
      </c>
    </row>
    <row r="941" spans="1:36" ht="15" customHeight="1" x14ac:dyDescent="0.35">
      <c r="A941" s="98" t="s">
        <v>1152</v>
      </c>
      <c r="B941" s="98">
        <v>59</v>
      </c>
      <c r="C941" s="98">
        <v>14</v>
      </c>
      <c r="D941" s="93"/>
      <c r="E941" s="93"/>
      <c r="F941" s="93"/>
      <c r="G941" s="97"/>
      <c r="H941" s="97"/>
      <c r="I941" s="93"/>
      <c r="J941" s="93"/>
      <c r="K941" s="93"/>
      <c r="L941" s="93"/>
      <c r="M941" s="93"/>
      <c r="N941" s="98">
        <v>0</v>
      </c>
      <c r="O941" s="98">
        <v>0</v>
      </c>
      <c r="P941" s="99">
        <f>SUM(SamplingData[[#This Row],[Winning Candidate]:[Under Votes]])</f>
        <v>73</v>
      </c>
      <c r="Q941" s="100">
        <f>IF(AND(SamplingData[[#This Row],[Total]]&lt;&gt; 0, NOT(ISBLANK(SamplingData[[#This Row],[Losing Candidate]]))),(SamplingData[[#This Row],[Total]]+SamplingData[[#This Row],[Winning Candidate]]-SamplingData[[#This Row],[Losing Candidate]])/(SamplingData[[#Totals],[Winning Candidate]]-SamplingData[[#Totals],[Losing Candidate]]), 0)</f>
        <v>3.7063793699155072E-3</v>
      </c>
      <c r="R941" s="100">
        <f>IF(AND(SamplingData[[#This Row],[Total]]&lt;&gt; 0, NOT(ISBLANK(SamplingData[[#This Row],[Candidate 3]]))),(SamplingData[[#This Row],[Total]]+SamplingData[[#This Row],[Winning Candidate]]-SamplingData[[#This Row],[Candidate 3]])/(SamplingData[[#Totals],[Winning Candidate]]-SamplingData[[#Totals],[Candidate 3]]), 0)</f>
        <v>0</v>
      </c>
      <c r="S941" s="100">
        <f>IF(AND(SamplingData[[#This Row],[Total]]&lt;&gt; 0, NOT(ISBLANK(SamplingData[[#This Row],[Candidate 4]]))),(SamplingData[[#This Row],[Total]]+SamplingData[[#This Row],[Winning Candidate]]-SamplingData[[#This Row],[Candidate 4]])/(SamplingData[[#Totals],[Winning Candidate]]-SamplingData[[#Totals],[Candidate 4]]), 0)</f>
        <v>0</v>
      </c>
      <c r="T941" s="100">
        <f>IF(AND(SamplingData[[#This Row],[Total]]&lt;&gt; 0, NOT(ISBLANK(SamplingData[[#This Row],[Candidate 5]]))),(SamplingData[[#This Row],[Total]]+SamplingData[[#This Row],[Winning Candidate]]-SamplingData[[#This Row],[Candidate 5]])/(SamplingData[[#Totals],[Winning Candidate]]-SamplingData[[#Totals],[Candidate 5]]), 0)</f>
        <v>0</v>
      </c>
      <c r="U941" s="100">
        <f>IF(AND(SamplingData[[#This Row],[Total]]&lt;&gt; 0, NOT(ISBLANK(SamplingData[[#This Row],[Candidate 6]]))),(SamplingData[[#This Row],[Total]]+SamplingData[[#This Row],[Losing Candidate]]-SamplingData[[#This Row],[Candidate 6]])/(SamplingData[[#Totals],[Winning Candidate]]-SamplingData[[#Totals],[Candidate 6]]), 0)</f>
        <v>0</v>
      </c>
      <c r="V941" s="100">
        <f>IF(AND(SamplingData[[#This Row],[Total]]&lt;&gt; 0, NOT(ISBLANK(SamplingData[[#This Row],[Candidate 7]]))),(SamplingData[[#This Row],[Total]]+SamplingData[[#This Row],[Winning Candidate]]-SamplingData[[#This Row],[Candidate 7]])/(SamplingData[[#Totals],[Winning Candidate]]-SamplingData[[#Totals],[Candidate 7]]), 0)</f>
        <v>0</v>
      </c>
      <c r="W941" s="100">
        <f>IF(AND(SamplingData[[#This Row],[Total]]&lt;&gt; 0, NOT(ISBLANK(SamplingData[[#This Row],[Candidate 8]]))),(SamplingData[[#This Row],[Total]]+SamplingData[[#This Row],[Winning Candidate]]-SamplingData[[#This Row],[Candidate 8]])/(SamplingData[[#Totals],[Winning Candidate]]-SamplingData[[#Totals],[Candidate 8]]), 0)</f>
        <v>0</v>
      </c>
      <c r="X9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00">
        <f>MAX(SamplingData[[#This Row],[Error Bound (up) - Max. possible relative overstatement - Losing Candidate]:[Error Bound (up) - Max. possible relative overstatement - Candidate 12]])</f>
        <v>3.7063793699155072E-3</v>
      </c>
      <c r="AC941" s="100">
        <f>IF(SamplingData[[#This Row],[Max Error Bound (up)]] = 0,0,SamplingData[[#This Row],[Max Error Bound (up)]]/SamplingData[[#Totals],[Max Error Bound (up)]])</f>
        <v>1.5883271415495618E-3</v>
      </c>
      <c r="AD941" s="104">
        <f>SUM($AC$5:AC941)</f>
        <v>0.58668497280999365</v>
      </c>
      <c r="AE941" s="100" t="str" cm="1">
        <f t="array" ref="AE941">IF(SamplingData[[#This Row],[up/U Selection Probability]] = 0, "Zero", TEXT(SamplingData[[#This Row],[Lower Range]], REPT("0",LEN('General Info'!$B$42))) &amp; " - " &amp; TEXT(SamplingData[[#This Row],[Upper Range]], REPT("0",LEN('General Info'!$B$42))))</f>
        <v>58510 - 58667</v>
      </c>
      <c r="AF941" s="100">
        <f>SamplingData[[#This Row],[Upper Range]]-SamplingData[[#This Row],[Span]]</f>
        <v>58509.664566844411</v>
      </c>
      <c r="AG941" s="100">
        <f>IF(ISNUMBER('General Info'!$B$42), ((SamplingData[[#This Row],[up/U Selection Probability]]) * 'General Info'!$B$44) - 1, 0)</f>
        <v>157.83271415495619</v>
      </c>
      <c r="AH941" s="100">
        <f>IF(ISNUMBER('General Info'!$B$42), (SamplingData[[#This Row],[Running (cumulative) sum]] * ('General Info'!$B$42 -'General Info'!$B$43 + 1)) + 'General Info'!$B$43 - 1, 0)</f>
        <v>58667.497280999363</v>
      </c>
      <c r="AI941" s="100" t="str">
        <f>IF(ISERROR(MATCH(SamplingData[[#This Row],[Batch by Type (p)]],SelectedPrecincts[Batch Name], 0)), "", INDEX(SelectedPrecincts[Draw], MATCH(SamplingData[[#This Row],[Batch by Type (p)]],SelectedPrecincts[Batch Name], 0)))</f>
        <v/>
      </c>
      <c r="AJ941" s="101">
        <f>IF(COUNTIF(SelectedPrecincts[Batch Name],SamplingData[[#This Row],[Batch by Type (p)]]) &lt;&gt; 0, COUNTIF(SelectedPrecincts[Batch Name],SamplingData[[#This Row],[Batch by Type (p)]]), 0)</f>
        <v>0</v>
      </c>
    </row>
    <row r="942" spans="1:36" ht="15" customHeight="1" x14ac:dyDescent="0.35">
      <c r="A942" s="98" t="s">
        <v>1153</v>
      </c>
      <c r="B942" s="98">
        <v>130</v>
      </c>
      <c r="C942" s="98">
        <v>4</v>
      </c>
      <c r="D942" s="93"/>
      <c r="E942" s="93"/>
      <c r="F942" s="93"/>
      <c r="G942" s="97"/>
      <c r="H942" s="97"/>
      <c r="I942" s="93"/>
      <c r="J942" s="93"/>
      <c r="K942" s="93"/>
      <c r="L942" s="93"/>
      <c r="M942" s="93"/>
      <c r="N942" s="98">
        <v>0</v>
      </c>
      <c r="O942" s="98">
        <v>3</v>
      </c>
      <c r="P942" s="99">
        <f>SUM(SamplingData[[#This Row],[Winning Candidate]:[Under Votes]])</f>
        <v>137</v>
      </c>
      <c r="Q942" s="100">
        <f>IF(AND(SamplingData[[#This Row],[Total]]&lt;&gt; 0, NOT(ISBLANK(SamplingData[[#This Row],[Losing Candidate]]))),(SamplingData[[#This Row],[Total]]+SamplingData[[#This Row],[Winning Candidate]]-SamplingData[[#This Row],[Losing Candidate]])/(SamplingData[[#Totals],[Winning Candidate]]-SamplingData[[#Totals],[Losing Candidate]]), 0)</f>
        <v>8.2608285956591379E-3</v>
      </c>
      <c r="R942" s="100">
        <f>IF(AND(SamplingData[[#This Row],[Total]]&lt;&gt; 0, NOT(ISBLANK(SamplingData[[#This Row],[Candidate 3]]))),(SamplingData[[#This Row],[Total]]+SamplingData[[#This Row],[Winning Candidate]]-SamplingData[[#This Row],[Candidate 3]])/(SamplingData[[#Totals],[Winning Candidate]]-SamplingData[[#Totals],[Candidate 3]]), 0)</f>
        <v>0</v>
      </c>
      <c r="S942" s="100">
        <f>IF(AND(SamplingData[[#This Row],[Total]]&lt;&gt; 0, NOT(ISBLANK(SamplingData[[#This Row],[Candidate 4]]))),(SamplingData[[#This Row],[Total]]+SamplingData[[#This Row],[Winning Candidate]]-SamplingData[[#This Row],[Candidate 4]])/(SamplingData[[#Totals],[Winning Candidate]]-SamplingData[[#Totals],[Candidate 4]]), 0)</f>
        <v>0</v>
      </c>
      <c r="T942" s="100">
        <f>IF(AND(SamplingData[[#This Row],[Total]]&lt;&gt; 0, NOT(ISBLANK(SamplingData[[#This Row],[Candidate 5]]))),(SamplingData[[#This Row],[Total]]+SamplingData[[#This Row],[Winning Candidate]]-SamplingData[[#This Row],[Candidate 5]])/(SamplingData[[#Totals],[Winning Candidate]]-SamplingData[[#Totals],[Candidate 5]]), 0)</f>
        <v>0</v>
      </c>
      <c r="U942" s="100">
        <f>IF(AND(SamplingData[[#This Row],[Total]]&lt;&gt; 0, NOT(ISBLANK(SamplingData[[#This Row],[Candidate 6]]))),(SamplingData[[#This Row],[Total]]+SamplingData[[#This Row],[Losing Candidate]]-SamplingData[[#This Row],[Candidate 6]])/(SamplingData[[#Totals],[Winning Candidate]]-SamplingData[[#Totals],[Candidate 6]]), 0)</f>
        <v>0</v>
      </c>
      <c r="V942" s="100">
        <f>IF(AND(SamplingData[[#This Row],[Total]]&lt;&gt; 0, NOT(ISBLANK(SamplingData[[#This Row],[Candidate 7]]))),(SamplingData[[#This Row],[Total]]+SamplingData[[#This Row],[Winning Candidate]]-SamplingData[[#This Row],[Candidate 7]])/(SamplingData[[#Totals],[Winning Candidate]]-SamplingData[[#Totals],[Candidate 7]]), 0)</f>
        <v>0</v>
      </c>
      <c r="W942" s="100">
        <f>IF(AND(SamplingData[[#This Row],[Total]]&lt;&gt; 0, NOT(ISBLANK(SamplingData[[#This Row],[Candidate 8]]))),(SamplingData[[#This Row],[Total]]+SamplingData[[#This Row],[Winning Candidate]]-SamplingData[[#This Row],[Candidate 8]])/(SamplingData[[#Totals],[Winning Candidate]]-SamplingData[[#Totals],[Candidate 8]]), 0)</f>
        <v>0</v>
      </c>
      <c r="X9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00">
        <f>MAX(SamplingData[[#This Row],[Error Bound (up) - Max. possible relative overstatement - Losing Candidate]:[Error Bound (up) - Max. possible relative overstatement - Candidate 12]])</f>
        <v>8.2608285956591379E-3</v>
      </c>
      <c r="AC942" s="100">
        <f>IF(SamplingData[[#This Row],[Max Error Bound (up)]] = 0,0,SamplingData[[#This Row],[Max Error Bound (up)]]/SamplingData[[#Totals],[Max Error Bound (up)]])</f>
        <v>3.5400850697248705E-3</v>
      </c>
      <c r="AD942" s="104">
        <f>SUM($AC$5:AC942)</f>
        <v>0.59022505787971857</v>
      </c>
      <c r="AE942" s="100" t="str" cm="1">
        <f t="array" ref="AE942">IF(SamplingData[[#This Row],[up/U Selection Probability]] = 0, "Zero", TEXT(SamplingData[[#This Row],[Lower Range]], REPT("0",LEN('General Info'!$B$42))) &amp; " - " &amp; TEXT(SamplingData[[#This Row],[Upper Range]], REPT("0",LEN('General Info'!$B$42))))</f>
        <v>58668 - 59022</v>
      </c>
      <c r="AF942" s="100">
        <f>SamplingData[[#This Row],[Upper Range]]-SamplingData[[#This Row],[Span]]</f>
        <v>58668.497280999371</v>
      </c>
      <c r="AG942" s="100">
        <f>IF(ISNUMBER('General Info'!$B$42), ((SamplingData[[#This Row],[up/U Selection Probability]]) * 'General Info'!$B$44) - 1, 0)</f>
        <v>353.00850697248706</v>
      </c>
      <c r="AH942" s="100">
        <f>IF(ISNUMBER('General Info'!$B$42), (SamplingData[[#This Row],[Running (cumulative) sum]] * ('General Info'!$B$42 -'General Info'!$B$43 + 1)) + 'General Info'!$B$43 - 1, 0)</f>
        <v>59021.505787971859</v>
      </c>
      <c r="AI942" s="100" t="str">
        <f>IF(ISERROR(MATCH(SamplingData[[#This Row],[Batch by Type (p)]],SelectedPrecincts[Batch Name], 0)), "", INDEX(SelectedPrecincts[Draw], MATCH(SamplingData[[#This Row],[Batch by Type (p)]],SelectedPrecincts[Batch Name], 0)))</f>
        <v/>
      </c>
      <c r="AJ942" s="101">
        <f>IF(COUNTIF(SelectedPrecincts[Batch Name],SamplingData[[#This Row],[Batch by Type (p)]]) &lt;&gt; 0, COUNTIF(SelectedPrecincts[Batch Name],SamplingData[[#This Row],[Batch by Type (p)]]), 0)</f>
        <v>0</v>
      </c>
    </row>
    <row r="943" spans="1:36" ht="15" customHeight="1" x14ac:dyDescent="0.35">
      <c r="A943" s="98" t="s">
        <v>1154</v>
      </c>
      <c r="B943" s="98">
        <v>121</v>
      </c>
      <c r="C943" s="98">
        <v>12</v>
      </c>
      <c r="D943" s="93"/>
      <c r="E943" s="93"/>
      <c r="F943" s="93"/>
      <c r="G943" s="97"/>
      <c r="H943" s="97"/>
      <c r="I943" s="93"/>
      <c r="J943" s="93"/>
      <c r="K943" s="93"/>
      <c r="L943" s="93"/>
      <c r="M943" s="93"/>
      <c r="N943" s="98">
        <v>0</v>
      </c>
      <c r="O943" s="98">
        <v>1</v>
      </c>
      <c r="P943" s="99">
        <f>SUM(SamplingData[[#This Row],[Winning Candidate]:[Under Votes]])</f>
        <v>134</v>
      </c>
      <c r="Q943" s="100">
        <f>IF(AND(SamplingData[[#This Row],[Total]]&lt;&gt; 0, NOT(ISBLANK(SamplingData[[#This Row],[Losing Candidate]]))),(SamplingData[[#This Row],[Total]]+SamplingData[[#This Row],[Winning Candidate]]-SamplingData[[#This Row],[Losing Candidate]])/(SamplingData[[#Totals],[Winning Candidate]]-SamplingData[[#Totals],[Losing Candidate]]), 0)</f>
        <v>7.6326287024531207E-3</v>
      </c>
      <c r="R943" s="100">
        <f>IF(AND(SamplingData[[#This Row],[Total]]&lt;&gt; 0, NOT(ISBLANK(SamplingData[[#This Row],[Candidate 3]]))),(SamplingData[[#This Row],[Total]]+SamplingData[[#This Row],[Winning Candidate]]-SamplingData[[#This Row],[Candidate 3]])/(SamplingData[[#Totals],[Winning Candidate]]-SamplingData[[#Totals],[Candidate 3]]), 0)</f>
        <v>0</v>
      </c>
      <c r="S943" s="100">
        <f>IF(AND(SamplingData[[#This Row],[Total]]&lt;&gt; 0, NOT(ISBLANK(SamplingData[[#This Row],[Candidate 4]]))),(SamplingData[[#This Row],[Total]]+SamplingData[[#This Row],[Winning Candidate]]-SamplingData[[#This Row],[Candidate 4]])/(SamplingData[[#Totals],[Winning Candidate]]-SamplingData[[#Totals],[Candidate 4]]), 0)</f>
        <v>0</v>
      </c>
      <c r="T943" s="100">
        <f>IF(AND(SamplingData[[#This Row],[Total]]&lt;&gt; 0, NOT(ISBLANK(SamplingData[[#This Row],[Candidate 5]]))),(SamplingData[[#This Row],[Total]]+SamplingData[[#This Row],[Winning Candidate]]-SamplingData[[#This Row],[Candidate 5]])/(SamplingData[[#Totals],[Winning Candidate]]-SamplingData[[#Totals],[Candidate 5]]), 0)</f>
        <v>0</v>
      </c>
      <c r="U943" s="100">
        <f>IF(AND(SamplingData[[#This Row],[Total]]&lt;&gt; 0, NOT(ISBLANK(SamplingData[[#This Row],[Candidate 6]]))),(SamplingData[[#This Row],[Total]]+SamplingData[[#This Row],[Losing Candidate]]-SamplingData[[#This Row],[Candidate 6]])/(SamplingData[[#Totals],[Winning Candidate]]-SamplingData[[#Totals],[Candidate 6]]), 0)</f>
        <v>0</v>
      </c>
      <c r="V943" s="100">
        <f>IF(AND(SamplingData[[#This Row],[Total]]&lt;&gt; 0, NOT(ISBLANK(SamplingData[[#This Row],[Candidate 7]]))),(SamplingData[[#This Row],[Total]]+SamplingData[[#This Row],[Winning Candidate]]-SamplingData[[#This Row],[Candidate 7]])/(SamplingData[[#Totals],[Winning Candidate]]-SamplingData[[#Totals],[Candidate 7]]), 0)</f>
        <v>0</v>
      </c>
      <c r="W943" s="100">
        <f>IF(AND(SamplingData[[#This Row],[Total]]&lt;&gt; 0, NOT(ISBLANK(SamplingData[[#This Row],[Candidate 8]]))),(SamplingData[[#This Row],[Total]]+SamplingData[[#This Row],[Winning Candidate]]-SamplingData[[#This Row],[Candidate 8]])/(SamplingData[[#Totals],[Winning Candidate]]-SamplingData[[#Totals],[Candidate 8]]), 0)</f>
        <v>0</v>
      </c>
      <c r="X9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00">
        <f>MAX(SamplingData[[#This Row],[Error Bound (up) - Max. possible relative overstatement - Losing Candidate]:[Error Bound (up) - Max. possible relative overstatement - Candidate 12]])</f>
        <v>7.6326287024531207E-3</v>
      </c>
      <c r="AC943" s="100">
        <f>IF(SamplingData[[#This Row],[Max Error Bound (up)]] = 0,0,SamplingData[[#This Row],[Max Error Bound (up)]]/SamplingData[[#Totals],[Max Error Bound (up)]])</f>
        <v>3.2708770796317246E-3</v>
      </c>
      <c r="AD943" s="104">
        <f>SUM($AC$5:AC943)</f>
        <v>0.59349593495935027</v>
      </c>
      <c r="AE943" s="100" t="str" cm="1">
        <f t="array" ref="AE943">IF(SamplingData[[#This Row],[up/U Selection Probability]] = 0, "Zero", TEXT(SamplingData[[#This Row],[Lower Range]], REPT("0",LEN('General Info'!$B$42))) &amp; " - " &amp; TEXT(SamplingData[[#This Row],[Upper Range]], REPT("0",LEN('General Info'!$B$42))))</f>
        <v>59023 - 59349</v>
      </c>
      <c r="AF943" s="100">
        <f>SamplingData[[#This Row],[Upper Range]]-SamplingData[[#This Row],[Span]]</f>
        <v>59022.505787971852</v>
      </c>
      <c r="AG943" s="100">
        <f>IF(ISNUMBER('General Info'!$B$42), ((SamplingData[[#This Row],[up/U Selection Probability]]) * 'General Info'!$B$44) - 1, 0)</f>
        <v>326.08770796317248</v>
      </c>
      <c r="AH943" s="100">
        <f>IF(ISNUMBER('General Info'!$B$42), (SamplingData[[#This Row],[Running (cumulative) sum]] * ('General Info'!$B$42 -'General Info'!$B$43 + 1)) + 'General Info'!$B$43 - 1, 0)</f>
        <v>59348.593495935027</v>
      </c>
      <c r="AI943" s="100" t="str">
        <f>IF(ISERROR(MATCH(SamplingData[[#This Row],[Batch by Type (p)]],SelectedPrecincts[Batch Name], 0)), "", INDEX(SelectedPrecincts[Draw], MATCH(SamplingData[[#This Row],[Batch by Type (p)]],SelectedPrecincts[Batch Name], 0)))</f>
        <v/>
      </c>
      <c r="AJ943" s="101">
        <f>IF(COUNTIF(SelectedPrecincts[Batch Name],SamplingData[[#This Row],[Batch by Type (p)]]) &lt;&gt; 0, COUNTIF(SelectedPrecincts[Batch Name],SamplingData[[#This Row],[Batch by Type (p)]]), 0)</f>
        <v>0</v>
      </c>
    </row>
    <row r="944" spans="1:36" ht="15" customHeight="1" x14ac:dyDescent="0.35">
      <c r="A944" s="98" t="s">
        <v>1155</v>
      </c>
      <c r="B944" s="98">
        <v>44</v>
      </c>
      <c r="C944" s="98">
        <v>5</v>
      </c>
      <c r="D944" s="93"/>
      <c r="E944" s="93"/>
      <c r="F944" s="93"/>
      <c r="G944" s="97"/>
      <c r="H944" s="97"/>
      <c r="I944" s="93"/>
      <c r="J944" s="93"/>
      <c r="K944" s="93"/>
      <c r="L944" s="93"/>
      <c r="M944" s="93"/>
      <c r="N944" s="98">
        <v>0</v>
      </c>
      <c r="O944" s="98">
        <v>1</v>
      </c>
      <c r="P944" s="99">
        <f>SUM(SamplingData[[#This Row],[Winning Candidate]:[Under Votes]])</f>
        <v>50</v>
      </c>
      <c r="Q944" s="100">
        <f>IF(AND(SamplingData[[#This Row],[Total]]&lt;&gt; 0, NOT(ISBLANK(SamplingData[[#This Row],[Losing Candidate]]))),(SamplingData[[#This Row],[Total]]+SamplingData[[#This Row],[Winning Candidate]]-SamplingData[[#This Row],[Losing Candidate]])/(SamplingData[[#Totals],[Winning Candidate]]-SamplingData[[#Totals],[Losing Candidate]]), 0)</f>
        <v>2.7954895247667808E-3</v>
      </c>
      <c r="R944" s="100">
        <f>IF(AND(SamplingData[[#This Row],[Total]]&lt;&gt; 0, NOT(ISBLANK(SamplingData[[#This Row],[Candidate 3]]))),(SamplingData[[#This Row],[Total]]+SamplingData[[#This Row],[Winning Candidate]]-SamplingData[[#This Row],[Candidate 3]])/(SamplingData[[#Totals],[Winning Candidate]]-SamplingData[[#Totals],[Candidate 3]]), 0)</f>
        <v>0</v>
      </c>
      <c r="S944" s="100">
        <f>IF(AND(SamplingData[[#This Row],[Total]]&lt;&gt; 0, NOT(ISBLANK(SamplingData[[#This Row],[Candidate 4]]))),(SamplingData[[#This Row],[Total]]+SamplingData[[#This Row],[Winning Candidate]]-SamplingData[[#This Row],[Candidate 4]])/(SamplingData[[#Totals],[Winning Candidate]]-SamplingData[[#Totals],[Candidate 4]]), 0)</f>
        <v>0</v>
      </c>
      <c r="T944" s="100">
        <f>IF(AND(SamplingData[[#This Row],[Total]]&lt;&gt; 0, NOT(ISBLANK(SamplingData[[#This Row],[Candidate 5]]))),(SamplingData[[#This Row],[Total]]+SamplingData[[#This Row],[Winning Candidate]]-SamplingData[[#This Row],[Candidate 5]])/(SamplingData[[#Totals],[Winning Candidate]]-SamplingData[[#Totals],[Candidate 5]]), 0)</f>
        <v>0</v>
      </c>
      <c r="U944" s="100">
        <f>IF(AND(SamplingData[[#This Row],[Total]]&lt;&gt; 0, NOT(ISBLANK(SamplingData[[#This Row],[Candidate 6]]))),(SamplingData[[#This Row],[Total]]+SamplingData[[#This Row],[Losing Candidate]]-SamplingData[[#This Row],[Candidate 6]])/(SamplingData[[#Totals],[Winning Candidate]]-SamplingData[[#Totals],[Candidate 6]]), 0)</f>
        <v>0</v>
      </c>
      <c r="V944" s="100">
        <f>IF(AND(SamplingData[[#This Row],[Total]]&lt;&gt; 0, NOT(ISBLANK(SamplingData[[#This Row],[Candidate 7]]))),(SamplingData[[#This Row],[Total]]+SamplingData[[#This Row],[Winning Candidate]]-SamplingData[[#This Row],[Candidate 7]])/(SamplingData[[#Totals],[Winning Candidate]]-SamplingData[[#Totals],[Candidate 7]]), 0)</f>
        <v>0</v>
      </c>
      <c r="W944" s="100">
        <f>IF(AND(SamplingData[[#This Row],[Total]]&lt;&gt; 0, NOT(ISBLANK(SamplingData[[#This Row],[Candidate 8]]))),(SamplingData[[#This Row],[Total]]+SamplingData[[#This Row],[Winning Candidate]]-SamplingData[[#This Row],[Candidate 8]])/(SamplingData[[#Totals],[Winning Candidate]]-SamplingData[[#Totals],[Candidate 8]]), 0)</f>
        <v>0</v>
      </c>
      <c r="X9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00">
        <f>MAX(SamplingData[[#This Row],[Error Bound (up) - Max. possible relative overstatement - Losing Candidate]:[Error Bound (up) - Max. possible relative overstatement - Candidate 12]])</f>
        <v>2.7954895247667808E-3</v>
      </c>
      <c r="AC944" s="100">
        <f>IF(SamplingData[[#This Row],[Max Error Bound (up)]] = 0,0,SamplingData[[#This Row],[Max Error Bound (up)]]/SamplingData[[#Totals],[Max Error Bound (up)]])</f>
        <v>1.1979755559145E-3</v>
      </c>
      <c r="AD944" s="104">
        <f>SUM($AC$5:AC944)</f>
        <v>0.59469391051526477</v>
      </c>
      <c r="AE944" s="100" t="str" cm="1">
        <f t="array" ref="AE944">IF(SamplingData[[#This Row],[up/U Selection Probability]] = 0, "Zero", TEXT(SamplingData[[#This Row],[Lower Range]], REPT("0",LEN('General Info'!$B$42))) &amp; " - " &amp; TEXT(SamplingData[[#This Row],[Upper Range]], REPT("0",LEN('General Info'!$B$42))))</f>
        <v>59350 - 59468</v>
      </c>
      <c r="AF944" s="100">
        <f>SamplingData[[#This Row],[Upper Range]]-SamplingData[[#This Row],[Span]]</f>
        <v>59349.593495935027</v>
      </c>
      <c r="AG944" s="100">
        <f>IF(ISNUMBER('General Info'!$B$42), ((SamplingData[[#This Row],[up/U Selection Probability]]) * 'General Info'!$B$44) - 1, 0)</f>
        <v>118.79755559144999</v>
      </c>
      <c r="AH944" s="100">
        <f>IF(ISNUMBER('General Info'!$B$42), (SamplingData[[#This Row],[Running (cumulative) sum]] * ('General Info'!$B$42 -'General Info'!$B$43 + 1)) + 'General Info'!$B$43 - 1, 0)</f>
        <v>59468.39105152648</v>
      </c>
      <c r="AI944" s="100" t="str">
        <f>IF(ISERROR(MATCH(SamplingData[[#This Row],[Batch by Type (p)]],SelectedPrecincts[Batch Name], 0)), "", INDEX(SelectedPrecincts[Draw], MATCH(SamplingData[[#This Row],[Batch by Type (p)]],SelectedPrecincts[Batch Name], 0)))</f>
        <v/>
      </c>
      <c r="AJ944" s="101">
        <f>IF(COUNTIF(SelectedPrecincts[Batch Name],SamplingData[[#This Row],[Batch by Type (p)]]) &lt;&gt; 0, COUNTIF(SelectedPrecincts[Batch Name],SamplingData[[#This Row],[Batch by Type (p)]]), 0)</f>
        <v>0</v>
      </c>
    </row>
    <row r="945" spans="1:36" ht="15" customHeight="1" x14ac:dyDescent="0.35">
      <c r="A945" s="98" t="s">
        <v>1156</v>
      </c>
      <c r="B945" s="98">
        <v>13</v>
      </c>
      <c r="C945" s="98">
        <v>0</v>
      </c>
      <c r="D945" s="93"/>
      <c r="E945" s="93"/>
      <c r="F945" s="93"/>
      <c r="G945" s="97"/>
      <c r="H945" s="97"/>
      <c r="I945" s="93"/>
      <c r="J945" s="93"/>
      <c r="K945" s="93"/>
      <c r="L945" s="93"/>
      <c r="M945" s="93"/>
      <c r="N945" s="98">
        <v>0</v>
      </c>
      <c r="O945" s="98">
        <v>0</v>
      </c>
      <c r="P945" s="99">
        <f>SUM(SamplingData[[#This Row],[Winning Candidate]:[Under Votes]])</f>
        <v>13</v>
      </c>
      <c r="Q945" s="100">
        <f>IF(AND(SamplingData[[#This Row],[Total]]&lt;&gt; 0, NOT(ISBLANK(SamplingData[[#This Row],[Losing Candidate]]))),(SamplingData[[#This Row],[Total]]+SamplingData[[#This Row],[Winning Candidate]]-SamplingData[[#This Row],[Losing Candidate]])/(SamplingData[[#Totals],[Winning Candidate]]-SamplingData[[#Totals],[Losing Candidate]]), 0)</f>
        <v>8.1665986116782364E-4</v>
      </c>
      <c r="R945" s="100">
        <f>IF(AND(SamplingData[[#This Row],[Total]]&lt;&gt; 0, NOT(ISBLANK(SamplingData[[#This Row],[Candidate 3]]))),(SamplingData[[#This Row],[Total]]+SamplingData[[#This Row],[Winning Candidate]]-SamplingData[[#This Row],[Candidate 3]])/(SamplingData[[#Totals],[Winning Candidate]]-SamplingData[[#Totals],[Candidate 3]]), 0)</f>
        <v>0</v>
      </c>
      <c r="S945" s="100">
        <f>IF(AND(SamplingData[[#This Row],[Total]]&lt;&gt; 0, NOT(ISBLANK(SamplingData[[#This Row],[Candidate 4]]))),(SamplingData[[#This Row],[Total]]+SamplingData[[#This Row],[Winning Candidate]]-SamplingData[[#This Row],[Candidate 4]])/(SamplingData[[#Totals],[Winning Candidate]]-SamplingData[[#Totals],[Candidate 4]]), 0)</f>
        <v>0</v>
      </c>
      <c r="T945" s="100">
        <f>IF(AND(SamplingData[[#This Row],[Total]]&lt;&gt; 0, NOT(ISBLANK(SamplingData[[#This Row],[Candidate 5]]))),(SamplingData[[#This Row],[Total]]+SamplingData[[#This Row],[Winning Candidate]]-SamplingData[[#This Row],[Candidate 5]])/(SamplingData[[#Totals],[Winning Candidate]]-SamplingData[[#Totals],[Candidate 5]]), 0)</f>
        <v>0</v>
      </c>
      <c r="U945" s="100">
        <f>IF(AND(SamplingData[[#This Row],[Total]]&lt;&gt; 0, NOT(ISBLANK(SamplingData[[#This Row],[Candidate 6]]))),(SamplingData[[#This Row],[Total]]+SamplingData[[#This Row],[Losing Candidate]]-SamplingData[[#This Row],[Candidate 6]])/(SamplingData[[#Totals],[Winning Candidate]]-SamplingData[[#Totals],[Candidate 6]]), 0)</f>
        <v>0</v>
      </c>
      <c r="V945" s="100">
        <f>IF(AND(SamplingData[[#This Row],[Total]]&lt;&gt; 0, NOT(ISBLANK(SamplingData[[#This Row],[Candidate 7]]))),(SamplingData[[#This Row],[Total]]+SamplingData[[#This Row],[Winning Candidate]]-SamplingData[[#This Row],[Candidate 7]])/(SamplingData[[#Totals],[Winning Candidate]]-SamplingData[[#Totals],[Candidate 7]]), 0)</f>
        <v>0</v>
      </c>
      <c r="W945" s="100">
        <f>IF(AND(SamplingData[[#This Row],[Total]]&lt;&gt; 0, NOT(ISBLANK(SamplingData[[#This Row],[Candidate 8]]))),(SamplingData[[#This Row],[Total]]+SamplingData[[#This Row],[Winning Candidate]]-SamplingData[[#This Row],[Candidate 8]])/(SamplingData[[#Totals],[Winning Candidate]]-SamplingData[[#Totals],[Candidate 8]]), 0)</f>
        <v>0</v>
      </c>
      <c r="X9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00">
        <f>MAX(SamplingData[[#This Row],[Error Bound (up) - Max. possible relative overstatement - Losing Candidate]:[Error Bound (up) - Max. possible relative overstatement - Candidate 12]])</f>
        <v>8.1665986116782364E-4</v>
      </c>
      <c r="AC945" s="100">
        <f>IF(SamplingData[[#This Row],[Max Error Bound (up)]] = 0,0,SamplingData[[#This Row],[Max Error Bound (up)]]/SamplingData[[#Totals],[Max Error Bound (up)]])</f>
        <v>3.4997038712108992E-4</v>
      </c>
      <c r="AD945" s="104">
        <f>SUM($AC$5:AC945)</f>
        <v>0.5950438809023858</v>
      </c>
      <c r="AE945" s="100" t="str" cm="1">
        <f t="array" ref="AE945">IF(SamplingData[[#This Row],[up/U Selection Probability]] = 0, "Zero", TEXT(SamplingData[[#This Row],[Lower Range]], REPT("0",LEN('General Info'!$B$42))) &amp; " - " &amp; TEXT(SamplingData[[#This Row],[Upper Range]], REPT("0",LEN('General Info'!$B$42))))</f>
        <v>59469 - 59503</v>
      </c>
      <c r="AF945" s="100">
        <f>SamplingData[[#This Row],[Upper Range]]-SamplingData[[#This Row],[Span]]</f>
        <v>59469.391051526472</v>
      </c>
      <c r="AG945" s="100">
        <f>IF(ISNUMBER('General Info'!$B$42), ((SamplingData[[#This Row],[up/U Selection Probability]]) * 'General Info'!$B$44) - 1, 0)</f>
        <v>33.997038712108989</v>
      </c>
      <c r="AH945" s="100">
        <f>IF(ISNUMBER('General Info'!$B$42), (SamplingData[[#This Row],[Running (cumulative) sum]] * ('General Info'!$B$42 -'General Info'!$B$43 + 1)) + 'General Info'!$B$43 - 1, 0)</f>
        <v>59503.388090238579</v>
      </c>
      <c r="AI945" s="100" t="str">
        <f>IF(ISERROR(MATCH(SamplingData[[#This Row],[Batch by Type (p)]],SelectedPrecincts[Batch Name], 0)), "", INDEX(SelectedPrecincts[Draw], MATCH(SamplingData[[#This Row],[Batch by Type (p)]],SelectedPrecincts[Batch Name], 0)))</f>
        <v/>
      </c>
      <c r="AJ945" s="101">
        <f>IF(COUNTIF(SelectedPrecincts[Batch Name],SamplingData[[#This Row],[Batch by Type (p)]]) &lt;&gt; 0, COUNTIF(SelectedPrecincts[Batch Name],SamplingData[[#This Row],[Batch by Type (p)]]), 0)</f>
        <v>0</v>
      </c>
    </row>
    <row r="946" spans="1:36" ht="15" customHeight="1" x14ac:dyDescent="0.35">
      <c r="A946" s="98" t="s">
        <v>1157</v>
      </c>
      <c r="B946" s="98">
        <v>78</v>
      </c>
      <c r="C946" s="98">
        <v>8</v>
      </c>
      <c r="D946" s="93"/>
      <c r="E946" s="93"/>
      <c r="F946" s="93"/>
      <c r="G946" s="97"/>
      <c r="H946" s="97"/>
      <c r="I946" s="93"/>
      <c r="J946" s="93"/>
      <c r="K946" s="93"/>
      <c r="L946" s="93"/>
      <c r="M946" s="93"/>
      <c r="N946" s="98">
        <v>0</v>
      </c>
      <c r="O946" s="98">
        <v>0</v>
      </c>
      <c r="P946" s="99">
        <f>SUM(SamplingData[[#This Row],[Winning Candidate]:[Under Votes]])</f>
        <v>86</v>
      </c>
      <c r="Q946" s="100">
        <f>IF(AND(SamplingData[[#This Row],[Total]]&lt;&gt; 0, NOT(ISBLANK(SamplingData[[#This Row],[Losing Candidate]]))),(SamplingData[[#This Row],[Total]]+SamplingData[[#This Row],[Winning Candidate]]-SamplingData[[#This Row],[Losing Candidate]])/(SamplingData[[#Totals],[Winning Candidate]]-SamplingData[[#Totals],[Losing Candidate]]), 0)</f>
        <v>4.8999591670069419E-3</v>
      </c>
      <c r="R946" s="100">
        <f>IF(AND(SamplingData[[#This Row],[Total]]&lt;&gt; 0, NOT(ISBLANK(SamplingData[[#This Row],[Candidate 3]]))),(SamplingData[[#This Row],[Total]]+SamplingData[[#This Row],[Winning Candidate]]-SamplingData[[#This Row],[Candidate 3]])/(SamplingData[[#Totals],[Winning Candidate]]-SamplingData[[#Totals],[Candidate 3]]), 0)</f>
        <v>0</v>
      </c>
      <c r="S946" s="100">
        <f>IF(AND(SamplingData[[#This Row],[Total]]&lt;&gt; 0, NOT(ISBLANK(SamplingData[[#This Row],[Candidate 4]]))),(SamplingData[[#This Row],[Total]]+SamplingData[[#This Row],[Winning Candidate]]-SamplingData[[#This Row],[Candidate 4]])/(SamplingData[[#Totals],[Winning Candidate]]-SamplingData[[#Totals],[Candidate 4]]), 0)</f>
        <v>0</v>
      </c>
      <c r="T946" s="100">
        <f>IF(AND(SamplingData[[#This Row],[Total]]&lt;&gt; 0, NOT(ISBLANK(SamplingData[[#This Row],[Candidate 5]]))),(SamplingData[[#This Row],[Total]]+SamplingData[[#This Row],[Winning Candidate]]-SamplingData[[#This Row],[Candidate 5]])/(SamplingData[[#Totals],[Winning Candidate]]-SamplingData[[#Totals],[Candidate 5]]), 0)</f>
        <v>0</v>
      </c>
      <c r="U946" s="100">
        <f>IF(AND(SamplingData[[#This Row],[Total]]&lt;&gt; 0, NOT(ISBLANK(SamplingData[[#This Row],[Candidate 6]]))),(SamplingData[[#This Row],[Total]]+SamplingData[[#This Row],[Losing Candidate]]-SamplingData[[#This Row],[Candidate 6]])/(SamplingData[[#Totals],[Winning Candidate]]-SamplingData[[#Totals],[Candidate 6]]), 0)</f>
        <v>0</v>
      </c>
      <c r="V946" s="100">
        <f>IF(AND(SamplingData[[#This Row],[Total]]&lt;&gt; 0, NOT(ISBLANK(SamplingData[[#This Row],[Candidate 7]]))),(SamplingData[[#This Row],[Total]]+SamplingData[[#This Row],[Winning Candidate]]-SamplingData[[#This Row],[Candidate 7]])/(SamplingData[[#Totals],[Winning Candidate]]-SamplingData[[#Totals],[Candidate 7]]), 0)</f>
        <v>0</v>
      </c>
      <c r="W946" s="100">
        <f>IF(AND(SamplingData[[#This Row],[Total]]&lt;&gt; 0, NOT(ISBLANK(SamplingData[[#This Row],[Candidate 8]]))),(SamplingData[[#This Row],[Total]]+SamplingData[[#This Row],[Winning Candidate]]-SamplingData[[#This Row],[Candidate 8]])/(SamplingData[[#Totals],[Winning Candidate]]-SamplingData[[#Totals],[Candidate 8]]), 0)</f>
        <v>0</v>
      </c>
      <c r="X9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00">
        <f>MAX(SamplingData[[#This Row],[Error Bound (up) - Max. possible relative overstatement - Losing Candidate]:[Error Bound (up) - Max. possible relative overstatement - Candidate 12]])</f>
        <v>4.8999591670069419E-3</v>
      </c>
      <c r="AC946" s="100">
        <f>IF(SamplingData[[#This Row],[Max Error Bound (up)]] = 0,0,SamplingData[[#This Row],[Max Error Bound (up)]]/SamplingData[[#Totals],[Max Error Bound (up)]])</f>
        <v>2.0998223227265394E-3</v>
      </c>
      <c r="AD946" s="104">
        <f>SUM($AC$5:AC946)</f>
        <v>0.59714370322511234</v>
      </c>
      <c r="AE946" s="100" t="str" cm="1">
        <f t="array" ref="AE946">IF(SamplingData[[#This Row],[up/U Selection Probability]] = 0, "Zero", TEXT(SamplingData[[#This Row],[Lower Range]], REPT("0",LEN('General Info'!$B$42))) &amp; " - " &amp; TEXT(SamplingData[[#This Row],[Upper Range]], REPT("0",LEN('General Info'!$B$42))))</f>
        <v>59504 - 59713</v>
      </c>
      <c r="AF946" s="100">
        <f>SamplingData[[#This Row],[Upper Range]]-SamplingData[[#This Row],[Span]]</f>
        <v>59504.388090238579</v>
      </c>
      <c r="AG946" s="100">
        <f>IF(ISNUMBER('General Info'!$B$42), ((SamplingData[[#This Row],[up/U Selection Probability]]) * 'General Info'!$B$44) - 1, 0)</f>
        <v>208.98223227265393</v>
      </c>
      <c r="AH946" s="100">
        <f>IF(ISNUMBER('General Info'!$B$42), (SamplingData[[#This Row],[Running (cumulative) sum]] * ('General Info'!$B$42 -'General Info'!$B$43 + 1)) + 'General Info'!$B$43 - 1, 0)</f>
        <v>59713.370322511233</v>
      </c>
      <c r="AI946" s="100" t="str">
        <f>IF(ISERROR(MATCH(SamplingData[[#This Row],[Batch by Type (p)]],SelectedPrecincts[Batch Name], 0)), "", INDEX(SelectedPrecincts[Draw], MATCH(SamplingData[[#This Row],[Batch by Type (p)]],SelectedPrecincts[Batch Name], 0)))</f>
        <v/>
      </c>
      <c r="AJ946" s="101">
        <f>IF(COUNTIF(SelectedPrecincts[Batch Name],SamplingData[[#This Row],[Batch by Type (p)]]) &lt;&gt; 0, COUNTIF(SelectedPrecincts[Batch Name],SamplingData[[#This Row],[Batch by Type (p)]]), 0)</f>
        <v>0</v>
      </c>
    </row>
    <row r="947" spans="1:36" ht="15" customHeight="1" x14ac:dyDescent="0.35">
      <c r="A947" s="98" t="s">
        <v>1158</v>
      </c>
      <c r="B947" s="98">
        <v>24</v>
      </c>
      <c r="C947" s="98">
        <v>3</v>
      </c>
      <c r="D947" s="93"/>
      <c r="E947" s="93"/>
      <c r="F947" s="93"/>
      <c r="G947" s="97"/>
      <c r="H947" s="97"/>
      <c r="I947" s="93"/>
      <c r="J947" s="93"/>
      <c r="K947" s="93"/>
      <c r="L947" s="93"/>
      <c r="M947" s="93"/>
      <c r="N947" s="98">
        <v>0</v>
      </c>
      <c r="O947" s="98">
        <v>0</v>
      </c>
      <c r="P947" s="99">
        <f>SUM(SamplingData[[#This Row],[Winning Candidate]:[Under Votes]])</f>
        <v>27</v>
      </c>
      <c r="Q947" s="100">
        <f>IF(AND(SamplingData[[#This Row],[Total]]&lt;&gt; 0, NOT(ISBLANK(SamplingData[[#This Row],[Losing Candidate]]))),(SamplingData[[#This Row],[Total]]+SamplingData[[#This Row],[Winning Candidate]]-SamplingData[[#This Row],[Losing Candidate]])/(SamplingData[[#Totals],[Winning Candidate]]-SamplingData[[#Totals],[Losing Candidate]]), 0)</f>
        <v>1.5076797436944435E-3</v>
      </c>
      <c r="R947" s="100">
        <f>IF(AND(SamplingData[[#This Row],[Total]]&lt;&gt; 0, NOT(ISBLANK(SamplingData[[#This Row],[Candidate 3]]))),(SamplingData[[#This Row],[Total]]+SamplingData[[#This Row],[Winning Candidate]]-SamplingData[[#This Row],[Candidate 3]])/(SamplingData[[#Totals],[Winning Candidate]]-SamplingData[[#Totals],[Candidate 3]]), 0)</f>
        <v>0</v>
      </c>
      <c r="S947" s="100">
        <f>IF(AND(SamplingData[[#This Row],[Total]]&lt;&gt; 0, NOT(ISBLANK(SamplingData[[#This Row],[Candidate 4]]))),(SamplingData[[#This Row],[Total]]+SamplingData[[#This Row],[Winning Candidate]]-SamplingData[[#This Row],[Candidate 4]])/(SamplingData[[#Totals],[Winning Candidate]]-SamplingData[[#Totals],[Candidate 4]]), 0)</f>
        <v>0</v>
      </c>
      <c r="T947" s="100">
        <f>IF(AND(SamplingData[[#This Row],[Total]]&lt;&gt; 0, NOT(ISBLANK(SamplingData[[#This Row],[Candidate 5]]))),(SamplingData[[#This Row],[Total]]+SamplingData[[#This Row],[Winning Candidate]]-SamplingData[[#This Row],[Candidate 5]])/(SamplingData[[#Totals],[Winning Candidate]]-SamplingData[[#Totals],[Candidate 5]]), 0)</f>
        <v>0</v>
      </c>
      <c r="U947" s="100">
        <f>IF(AND(SamplingData[[#This Row],[Total]]&lt;&gt; 0, NOT(ISBLANK(SamplingData[[#This Row],[Candidate 6]]))),(SamplingData[[#This Row],[Total]]+SamplingData[[#This Row],[Losing Candidate]]-SamplingData[[#This Row],[Candidate 6]])/(SamplingData[[#Totals],[Winning Candidate]]-SamplingData[[#Totals],[Candidate 6]]), 0)</f>
        <v>0</v>
      </c>
      <c r="V947" s="100">
        <f>IF(AND(SamplingData[[#This Row],[Total]]&lt;&gt; 0, NOT(ISBLANK(SamplingData[[#This Row],[Candidate 7]]))),(SamplingData[[#This Row],[Total]]+SamplingData[[#This Row],[Winning Candidate]]-SamplingData[[#This Row],[Candidate 7]])/(SamplingData[[#Totals],[Winning Candidate]]-SamplingData[[#Totals],[Candidate 7]]), 0)</f>
        <v>0</v>
      </c>
      <c r="W947" s="100">
        <f>IF(AND(SamplingData[[#This Row],[Total]]&lt;&gt; 0, NOT(ISBLANK(SamplingData[[#This Row],[Candidate 8]]))),(SamplingData[[#This Row],[Total]]+SamplingData[[#This Row],[Winning Candidate]]-SamplingData[[#This Row],[Candidate 8]])/(SamplingData[[#Totals],[Winning Candidate]]-SamplingData[[#Totals],[Candidate 8]]), 0)</f>
        <v>0</v>
      </c>
      <c r="X9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00">
        <f>MAX(SamplingData[[#This Row],[Error Bound (up) - Max. possible relative overstatement - Losing Candidate]:[Error Bound (up) - Max. possible relative overstatement - Candidate 12]])</f>
        <v>1.5076797436944435E-3</v>
      </c>
      <c r="AC947" s="100">
        <f>IF(SamplingData[[#This Row],[Max Error Bound (up)]] = 0,0,SamplingData[[#This Row],[Max Error Bound (up)]]/SamplingData[[#Totals],[Max Error Bound (up)]])</f>
        <v>6.4609917622355053E-4</v>
      </c>
      <c r="AD947" s="104">
        <f>SUM($AC$5:AC947)</f>
        <v>0.59778980240133595</v>
      </c>
      <c r="AE947" s="100" t="str" cm="1">
        <f t="array" ref="AE947">IF(SamplingData[[#This Row],[up/U Selection Probability]] = 0, "Zero", TEXT(SamplingData[[#This Row],[Lower Range]], REPT("0",LEN('General Info'!$B$42))) &amp; " - " &amp; TEXT(SamplingData[[#This Row],[Upper Range]], REPT("0",LEN('General Info'!$B$42))))</f>
        <v>59714 - 59778</v>
      </c>
      <c r="AF947" s="100">
        <f>SamplingData[[#This Row],[Upper Range]]-SamplingData[[#This Row],[Span]]</f>
        <v>59714.370322511233</v>
      </c>
      <c r="AG947" s="100">
        <f>IF(ISNUMBER('General Info'!$B$42), ((SamplingData[[#This Row],[up/U Selection Probability]]) * 'General Info'!$B$44) - 1, 0)</f>
        <v>63.609917622355056</v>
      </c>
      <c r="AH947" s="100">
        <f>IF(ISNUMBER('General Info'!$B$42), (SamplingData[[#This Row],[Running (cumulative) sum]] * ('General Info'!$B$42 -'General Info'!$B$43 + 1)) + 'General Info'!$B$43 - 1, 0)</f>
        <v>59777.980240133591</v>
      </c>
      <c r="AI947" s="100" t="str">
        <f>IF(ISERROR(MATCH(SamplingData[[#This Row],[Batch by Type (p)]],SelectedPrecincts[Batch Name], 0)), "", INDEX(SelectedPrecincts[Draw], MATCH(SamplingData[[#This Row],[Batch by Type (p)]],SelectedPrecincts[Batch Name], 0)))</f>
        <v/>
      </c>
      <c r="AJ947" s="101">
        <f>IF(COUNTIF(SelectedPrecincts[Batch Name],SamplingData[[#This Row],[Batch by Type (p)]]) &lt;&gt; 0, COUNTIF(SelectedPrecincts[Batch Name],SamplingData[[#This Row],[Batch by Type (p)]]), 0)</f>
        <v>0</v>
      </c>
    </row>
    <row r="948" spans="1:36" ht="15" customHeight="1" x14ac:dyDescent="0.35">
      <c r="A948" s="98" t="s">
        <v>1159</v>
      </c>
      <c r="B948" s="98">
        <v>77</v>
      </c>
      <c r="C948" s="98">
        <v>7</v>
      </c>
      <c r="D948" s="93"/>
      <c r="E948" s="93"/>
      <c r="F948" s="93"/>
      <c r="G948" s="97"/>
      <c r="H948" s="97"/>
      <c r="I948" s="93"/>
      <c r="J948" s="93"/>
      <c r="K948" s="93"/>
      <c r="L948" s="93"/>
      <c r="M948" s="93"/>
      <c r="N948" s="98">
        <v>0</v>
      </c>
      <c r="O948" s="98">
        <v>2</v>
      </c>
      <c r="P948" s="99">
        <f>SUM(SamplingData[[#This Row],[Winning Candidate]:[Under Votes]])</f>
        <v>86</v>
      </c>
      <c r="Q948" s="100">
        <f>IF(AND(SamplingData[[#This Row],[Total]]&lt;&gt; 0, NOT(ISBLANK(SamplingData[[#This Row],[Losing Candidate]]))),(SamplingData[[#This Row],[Total]]+SamplingData[[#This Row],[Winning Candidate]]-SamplingData[[#This Row],[Losing Candidate]])/(SamplingData[[#Totals],[Winning Candidate]]-SamplingData[[#Totals],[Losing Candidate]]), 0)</f>
        <v>4.8999591670069419E-3</v>
      </c>
      <c r="R948" s="100">
        <f>IF(AND(SamplingData[[#This Row],[Total]]&lt;&gt; 0, NOT(ISBLANK(SamplingData[[#This Row],[Candidate 3]]))),(SamplingData[[#This Row],[Total]]+SamplingData[[#This Row],[Winning Candidate]]-SamplingData[[#This Row],[Candidate 3]])/(SamplingData[[#Totals],[Winning Candidate]]-SamplingData[[#Totals],[Candidate 3]]), 0)</f>
        <v>0</v>
      </c>
      <c r="S948" s="100">
        <f>IF(AND(SamplingData[[#This Row],[Total]]&lt;&gt; 0, NOT(ISBLANK(SamplingData[[#This Row],[Candidate 4]]))),(SamplingData[[#This Row],[Total]]+SamplingData[[#This Row],[Winning Candidate]]-SamplingData[[#This Row],[Candidate 4]])/(SamplingData[[#Totals],[Winning Candidate]]-SamplingData[[#Totals],[Candidate 4]]), 0)</f>
        <v>0</v>
      </c>
      <c r="T948" s="100">
        <f>IF(AND(SamplingData[[#This Row],[Total]]&lt;&gt; 0, NOT(ISBLANK(SamplingData[[#This Row],[Candidate 5]]))),(SamplingData[[#This Row],[Total]]+SamplingData[[#This Row],[Winning Candidate]]-SamplingData[[#This Row],[Candidate 5]])/(SamplingData[[#Totals],[Winning Candidate]]-SamplingData[[#Totals],[Candidate 5]]), 0)</f>
        <v>0</v>
      </c>
      <c r="U948" s="100">
        <f>IF(AND(SamplingData[[#This Row],[Total]]&lt;&gt; 0, NOT(ISBLANK(SamplingData[[#This Row],[Candidate 6]]))),(SamplingData[[#This Row],[Total]]+SamplingData[[#This Row],[Losing Candidate]]-SamplingData[[#This Row],[Candidate 6]])/(SamplingData[[#Totals],[Winning Candidate]]-SamplingData[[#Totals],[Candidate 6]]), 0)</f>
        <v>0</v>
      </c>
      <c r="V948" s="100">
        <f>IF(AND(SamplingData[[#This Row],[Total]]&lt;&gt; 0, NOT(ISBLANK(SamplingData[[#This Row],[Candidate 7]]))),(SamplingData[[#This Row],[Total]]+SamplingData[[#This Row],[Winning Candidate]]-SamplingData[[#This Row],[Candidate 7]])/(SamplingData[[#Totals],[Winning Candidate]]-SamplingData[[#Totals],[Candidate 7]]), 0)</f>
        <v>0</v>
      </c>
      <c r="W948" s="100">
        <f>IF(AND(SamplingData[[#This Row],[Total]]&lt;&gt; 0, NOT(ISBLANK(SamplingData[[#This Row],[Candidate 8]]))),(SamplingData[[#This Row],[Total]]+SamplingData[[#This Row],[Winning Candidate]]-SamplingData[[#This Row],[Candidate 8]])/(SamplingData[[#Totals],[Winning Candidate]]-SamplingData[[#Totals],[Candidate 8]]), 0)</f>
        <v>0</v>
      </c>
      <c r="X9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00">
        <f>MAX(SamplingData[[#This Row],[Error Bound (up) - Max. possible relative overstatement - Losing Candidate]:[Error Bound (up) - Max. possible relative overstatement - Candidate 12]])</f>
        <v>4.8999591670069419E-3</v>
      </c>
      <c r="AC948" s="100">
        <f>IF(SamplingData[[#This Row],[Max Error Bound (up)]] = 0,0,SamplingData[[#This Row],[Max Error Bound (up)]]/SamplingData[[#Totals],[Max Error Bound (up)]])</f>
        <v>2.0998223227265394E-3</v>
      </c>
      <c r="AD948" s="104">
        <f>SUM($AC$5:AC948)</f>
        <v>0.59988962472406249</v>
      </c>
      <c r="AE948" s="100" t="str" cm="1">
        <f t="array" ref="AE948">IF(SamplingData[[#This Row],[up/U Selection Probability]] = 0, "Zero", TEXT(SamplingData[[#This Row],[Lower Range]], REPT("0",LEN('General Info'!$B$42))) &amp; " - " &amp; TEXT(SamplingData[[#This Row],[Upper Range]], REPT("0",LEN('General Info'!$B$42))))</f>
        <v>59779 - 59988</v>
      </c>
      <c r="AF948" s="100">
        <f>SamplingData[[#This Row],[Upper Range]]-SamplingData[[#This Row],[Span]]</f>
        <v>59778.980240133591</v>
      </c>
      <c r="AG948" s="100">
        <f>IF(ISNUMBER('General Info'!$B$42), ((SamplingData[[#This Row],[up/U Selection Probability]]) * 'General Info'!$B$44) - 1, 0)</f>
        <v>208.98223227265393</v>
      </c>
      <c r="AH948" s="100">
        <f>IF(ISNUMBER('General Info'!$B$42), (SamplingData[[#This Row],[Running (cumulative) sum]] * ('General Info'!$B$42 -'General Info'!$B$43 + 1)) + 'General Info'!$B$43 - 1, 0)</f>
        <v>59987.962472406245</v>
      </c>
      <c r="AI948" s="100" t="str">
        <f>IF(ISERROR(MATCH(SamplingData[[#This Row],[Batch by Type (p)]],SelectedPrecincts[Batch Name], 0)), "", INDEX(SelectedPrecincts[Draw], MATCH(SamplingData[[#This Row],[Batch by Type (p)]],SelectedPrecincts[Batch Name], 0)))</f>
        <v/>
      </c>
      <c r="AJ948" s="101">
        <f>IF(COUNTIF(SelectedPrecincts[Batch Name],SamplingData[[#This Row],[Batch by Type (p)]]) &lt;&gt; 0, COUNTIF(SelectedPrecincts[Batch Name],SamplingData[[#This Row],[Batch by Type (p)]]), 0)</f>
        <v>0</v>
      </c>
    </row>
    <row r="949" spans="1:36" ht="15" customHeight="1" x14ac:dyDescent="0.35">
      <c r="A949" s="98" t="s">
        <v>1160</v>
      </c>
      <c r="B949" s="98">
        <v>37</v>
      </c>
      <c r="C949" s="98">
        <v>9</v>
      </c>
      <c r="D949" s="93"/>
      <c r="E949" s="93"/>
      <c r="F949" s="93"/>
      <c r="G949" s="97"/>
      <c r="H949" s="97"/>
      <c r="I949" s="93"/>
      <c r="J949" s="93"/>
      <c r="K949" s="93"/>
      <c r="L949" s="93"/>
      <c r="M949" s="93"/>
      <c r="N949" s="98">
        <v>0</v>
      </c>
      <c r="O949" s="98">
        <v>2</v>
      </c>
      <c r="P949" s="99">
        <f>SUM(SamplingData[[#This Row],[Winning Candidate]:[Under Votes]])</f>
        <v>48</v>
      </c>
      <c r="Q949" s="100">
        <f>IF(AND(SamplingData[[#This Row],[Total]]&lt;&gt; 0, NOT(ISBLANK(SamplingData[[#This Row],[Losing Candidate]]))),(SamplingData[[#This Row],[Total]]+SamplingData[[#This Row],[Winning Candidate]]-SamplingData[[#This Row],[Losing Candidate]])/(SamplingData[[#Totals],[Winning Candidate]]-SamplingData[[#Totals],[Losing Candidate]]), 0)</f>
        <v>2.3871595941828689E-3</v>
      </c>
      <c r="R949" s="100">
        <f>IF(AND(SamplingData[[#This Row],[Total]]&lt;&gt; 0, NOT(ISBLANK(SamplingData[[#This Row],[Candidate 3]]))),(SamplingData[[#This Row],[Total]]+SamplingData[[#This Row],[Winning Candidate]]-SamplingData[[#This Row],[Candidate 3]])/(SamplingData[[#Totals],[Winning Candidate]]-SamplingData[[#Totals],[Candidate 3]]), 0)</f>
        <v>0</v>
      </c>
      <c r="S949" s="100">
        <f>IF(AND(SamplingData[[#This Row],[Total]]&lt;&gt; 0, NOT(ISBLANK(SamplingData[[#This Row],[Candidate 4]]))),(SamplingData[[#This Row],[Total]]+SamplingData[[#This Row],[Winning Candidate]]-SamplingData[[#This Row],[Candidate 4]])/(SamplingData[[#Totals],[Winning Candidate]]-SamplingData[[#Totals],[Candidate 4]]), 0)</f>
        <v>0</v>
      </c>
      <c r="T949" s="100">
        <f>IF(AND(SamplingData[[#This Row],[Total]]&lt;&gt; 0, NOT(ISBLANK(SamplingData[[#This Row],[Candidate 5]]))),(SamplingData[[#This Row],[Total]]+SamplingData[[#This Row],[Winning Candidate]]-SamplingData[[#This Row],[Candidate 5]])/(SamplingData[[#Totals],[Winning Candidate]]-SamplingData[[#Totals],[Candidate 5]]), 0)</f>
        <v>0</v>
      </c>
      <c r="U949" s="100">
        <f>IF(AND(SamplingData[[#This Row],[Total]]&lt;&gt; 0, NOT(ISBLANK(SamplingData[[#This Row],[Candidate 6]]))),(SamplingData[[#This Row],[Total]]+SamplingData[[#This Row],[Losing Candidate]]-SamplingData[[#This Row],[Candidate 6]])/(SamplingData[[#Totals],[Winning Candidate]]-SamplingData[[#Totals],[Candidate 6]]), 0)</f>
        <v>0</v>
      </c>
      <c r="V949" s="100">
        <f>IF(AND(SamplingData[[#This Row],[Total]]&lt;&gt; 0, NOT(ISBLANK(SamplingData[[#This Row],[Candidate 7]]))),(SamplingData[[#This Row],[Total]]+SamplingData[[#This Row],[Winning Candidate]]-SamplingData[[#This Row],[Candidate 7]])/(SamplingData[[#Totals],[Winning Candidate]]-SamplingData[[#Totals],[Candidate 7]]), 0)</f>
        <v>0</v>
      </c>
      <c r="W949" s="100">
        <f>IF(AND(SamplingData[[#This Row],[Total]]&lt;&gt; 0, NOT(ISBLANK(SamplingData[[#This Row],[Candidate 8]]))),(SamplingData[[#This Row],[Total]]+SamplingData[[#This Row],[Winning Candidate]]-SamplingData[[#This Row],[Candidate 8]])/(SamplingData[[#Totals],[Winning Candidate]]-SamplingData[[#Totals],[Candidate 8]]), 0)</f>
        <v>0</v>
      </c>
      <c r="X9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00">
        <f>MAX(SamplingData[[#This Row],[Error Bound (up) - Max. possible relative overstatement - Losing Candidate]:[Error Bound (up) - Max. possible relative overstatement - Candidate 12]])</f>
        <v>2.3871595941828689E-3</v>
      </c>
      <c r="AC949" s="100">
        <f>IF(SamplingData[[#This Row],[Max Error Bound (up)]] = 0,0,SamplingData[[#This Row],[Max Error Bound (up)]]/SamplingData[[#Totals],[Max Error Bound (up)]])</f>
        <v>1.0229903623539551E-3</v>
      </c>
      <c r="AD949" s="104">
        <f>SUM($AC$5:AC949)</f>
        <v>0.60091261508641647</v>
      </c>
      <c r="AE949" s="100" t="str" cm="1">
        <f t="array" ref="AE949">IF(SamplingData[[#This Row],[up/U Selection Probability]] = 0, "Zero", TEXT(SamplingData[[#This Row],[Lower Range]], REPT("0",LEN('General Info'!$B$42))) &amp; " - " &amp; TEXT(SamplingData[[#This Row],[Upper Range]], REPT("0",LEN('General Info'!$B$42))))</f>
        <v>59989 - 60090</v>
      </c>
      <c r="AF949" s="100">
        <f>SamplingData[[#This Row],[Upper Range]]-SamplingData[[#This Row],[Span]]</f>
        <v>59988.962472406252</v>
      </c>
      <c r="AG949" s="100">
        <f>IF(ISNUMBER('General Info'!$B$42), ((SamplingData[[#This Row],[up/U Selection Probability]]) * 'General Info'!$B$44) - 1, 0)</f>
        <v>101.2990362353955</v>
      </c>
      <c r="AH949" s="100">
        <f>IF(ISNUMBER('General Info'!$B$42), (SamplingData[[#This Row],[Running (cumulative) sum]] * ('General Info'!$B$42 -'General Info'!$B$43 + 1)) + 'General Info'!$B$43 - 1, 0)</f>
        <v>60090.261508641648</v>
      </c>
      <c r="AI949" s="100" t="str">
        <f>IF(ISERROR(MATCH(SamplingData[[#This Row],[Batch by Type (p)]],SelectedPrecincts[Batch Name], 0)), "", INDEX(SelectedPrecincts[Draw], MATCH(SamplingData[[#This Row],[Batch by Type (p)]],SelectedPrecincts[Batch Name], 0)))</f>
        <v/>
      </c>
      <c r="AJ949" s="101">
        <f>IF(COUNTIF(SelectedPrecincts[Batch Name],SamplingData[[#This Row],[Batch by Type (p)]]) &lt;&gt; 0, COUNTIF(SelectedPrecincts[Batch Name],SamplingData[[#This Row],[Batch by Type (p)]]), 0)</f>
        <v>0</v>
      </c>
    </row>
    <row r="950" spans="1:36" ht="15" customHeight="1" x14ac:dyDescent="0.35">
      <c r="A950" s="98" t="s">
        <v>1161</v>
      </c>
      <c r="B950" s="98">
        <v>46</v>
      </c>
      <c r="C950" s="98">
        <v>7</v>
      </c>
      <c r="D950" s="93"/>
      <c r="E950" s="93"/>
      <c r="F950" s="93"/>
      <c r="G950" s="97"/>
      <c r="H950" s="97"/>
      <c r="I950" s="93"/>
      <c r="J950" s="93"/>
      <c r="K950" s="93"/>
      <c r="L950" s="93"/>
      <c r="M950" s="93"/>
      <c r="N950" s="98">
        <v>0</v>
      </c>
      <c r="O950" s="98">
        <v>0</v>
      </c>
      <c r="P950" s="99">
        <f>SUM(SamplingData[[#This Row],[Winning Candidate]:[Under Votes]])</f>
        <v>53</v>
      </c>
      <c r="Q950" s="100">
        <f>IF(AND(SamplingData[[#This Row],[Total]]&lt;&gt; 0, NOT(ISBLANK(SamplingData[[#This Row],[Losing Candidate]]))),(SamplingData[[#This Row],[Total]]+SamplingData[[#This Row],[Winning Candidate]]-SamplingData[[#This Row],[Losing Candidate]])/(SamplingData[[#Totals],[Winning Candidate]]-SamplingData[[#Totals],[Losing Candidate]]), 0)</f>
        <v>2.8897195087476835E-3</v>
      </c>
      <c r="R950" s="100">
        <f>IF(AND(SamplingData[[#This Row],[Total]]&lt;&gt; 0, NOT(ISBLANK(SamplingData[[#This Row],[Candidate 3]]))),(SamplingData[[#This Row],[Total]]+SamplingData[[#This Row],[Winning Candidate]]-SamplingData[[#This Row],[Candidate 3]])/(SamplingData[[#Totals],[Winning Candidate]]-SamplingData[[#Totals],[Candidate 3]]), 0)</f>
        <v>0</v>
      </c>
      <c r="S950" s="100">
        <f>IF(AND(SamplingData[[#This Row],[Total]]&lt;&gt; 0, NOT(ISBLANK(SamplingData[[#This Row],[Candidate 4]]))),(SamplingData[[#This Row],[Total]]+SamplingData[[#This Row],[Winning Candidate]]-SamplingData[[#This Row],[Candidate 4]])/(SamplingData[[#Totals],[Winning Candidate]]-SamplingData[[#Totals],[Candidate 4]]), 0)</f>
        <v>0</v>
      </c>
      <c r="T950" s="100">
        <f>IF(AND(SamplingData[[#This Row],[Total]]&lt;&gt; 0, NOT(ISBLANK(SamplingData[[#This Row],[Candidate 5]]))),(SamplingData[[#This Row],[Total]]+SamplingData[[#This Row],[Winning Candidate]]-SamplingData[[#This Row],[Candidate 5]])/(SamplingData[[#Totals],[Winning Candidate]]-SamplingData[[#Totals],[Candidate 5]]), 0)</f>
        <v>0</v>
      </c>
      <c r="U950" s="100">
        <f>IF(AND(SamplingData[[#This Row],[Total]]&lt;&gt; 0, NOT(ISBLANK(SamplingData[[#This Row],[Candidate 6]]))),(SamplingData[[#This Row],[Total]]+SamplingData[[#This Row],[Losing Candidate]]-SamplingData[[#This Row],[Candidate 6]])/(SamplingData[[#Totals],[Winning Candidate]]-SamplingData[[#Totals],[Candidate 6]]), 0)</f>
        <v>0</v>
      </c>
      <c r="V950" s="100">
        <f>IF(AND(SamplingData[[#This Row],[Total]]&lt;&gt; 0, NOT(ISBLANK(SamplingData[[#This Row],[Candidate 7]]))),(SamplingData[[#This Row],[Total]]+SamplingData[[#This Row],[Winning Candidate]]-SamplingData[[#This Row],[Candidate 7]])/(SamplingData[[#Totals],[Winning Candidate]]-SamplingData[[#Totals],[Candidate 7]]), 0)</f>
        <v>0</v>
      </c>
      <c r="W950" s="100">
        <f>IF(AND(SamplingData[[#This Row],[Total]]&lt;&gt; 0, NOT(ISBLANK(SamplingData[[#This Row],[Candidate 8]]))),(SamplingData[[#This Row],[Total]]+SamplingData[[#This Row],[Winning Candidate]]-SamplingData[[#This Row],[Candidate 8]])/(SamplingData[[#Totals],[Winning Candidate]]-SamplingData[[#Totals],[Candidate 8]]), 0)</f>
        <v>0</v>
      </c>
      <c r="X9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00">
        <f>MAX(SamplingData[[#This Row],[Error Bound (up) - Max. possible relative overstatement - Losing Candidate]:[Error Bound (up) - Max. possible relative overstatement - Candidate 12]])</f>
        <v>2.8897195087476835E-3</v>
      </c>
      <c r="AC950" s="100">
        <f>IF(SamplingData[[#This Row],[Max Error Bound (up)]] = 0,0,SamplingData[[#This Row],[Max Error Bound (up)]]/SamplingData[[#Totals],[Max Error Bound (up)]])</f>
        <v>1.2383567544284719E-3</v>
      </c>
      <c r="AD950" s="104">
        <f>SUM($AC$5:AC950)</f>
        <v>0.60215097184084498</v>
      </c>
      <c r="AE950" s="100" t="str" cm="1">
        <f t="array" ref="AE950">IF(SamplingData[[#This Row],[up/U Selection Probability]] = 0, "Zero", TEXT(SamplingData[[#This Row],[Lower Range]], REPT("0",LEN('General Info'!$B$42))) &amp; " - " &amp; TEXT(SamplingData[[#This Row],[Upper Range]], REPT("0",LEN('General Info'!$B$42))))</f>
        <v>60091 - 60214</v>
      </c>
      <c r="AF950" s="100">
        <f>SamplingData[[#This Row],[Upper Range]]-SamplingData[[#This Row],[Span]]</f>
        <v>60091.261508641655</v>
      </c>
      <c r="AG950" s="100">
        <f>IF(ISNUMBER('General Info'!$B$42), ((SamplingData[[#This Row],[up/U Selection Probability]]) * 'General Info'!$B$44) - 1, 0)</f>
        <v>122.83567544284719</v>
      </c>
      <c r="AH950" s="100">
        <f>IF(ISNUMBER('General Info'!$B$42), (SamplingData[[#This Row],[Running (cumulative) sum]] * ('General Info'!$B$42 -'General Info'!$B$43 + 1)) + 'General Info'!$B$43 - 1, 0)</f>
        <v>60214.097184084501</v>
      </c>
      <c r="AI950" s="100" t="str">
        <f>IF(ISERROR(MATCH(SamplingData[[#This Row],[Batch by Type (p)]],SelectedPrecincts[Batch Name], 0)), "", INDEX(SelectedPrecincts[Draw], MATCH(SamplingData[[#This Row],[Batch by Type (p)]],SelectedPrecincts[Batch Name], 0)))</f>
        <v/>
      </c>
      <c r="AJ950" s="101">
        <f>IF(COUNTIF(SelectedPrecincts[Batch Name],SamplingData[[#This Row],[Batch by Type (p)]]) &lt;&gt; 0, COUNTIF(SelectedPrecincts[Batch Name],SamplingData[[#This Row],[Batch by Type (p)]]), 0)</f>
        <v>0</v>
      </c>
    </row>
    <row r="951" spans="1:36" ht="15" customHeight="1" x14ac:dyDescent="0.35">
      <c r="A951" s="98" t="s">
        <v>1162</v>
      </c>
      <c r="B951" s="98">
        <v>69</v>
      </c>
      <c r="C951" s="98">
        <v>7</v>
      </c>
      <c r="D951" s="93"/>
      <c r="E951" s="93"/>
      <c r="F951" s="93"/>
      <c r="G951" s="97"/>
      <c r="H951" s="97"/>
      <c r="I951" s="93"/>
      <c r="J951" s="93"/>
      <c r="K951" s="93"/>
      <c r="L951" s="93"/>
      <c r="M951" s="93"/>
      <c r="N951" s="98">
        <v>0</v>
      </c>
      <c r="O951" s="98">
        <v>2</v>
      </c>
      <c r="P951" s="99">
        <f>SUM(SamplingData[[#This Row],[Winning Candidate]:[Under Votes]])</f>
        <v>78</v>
      </c>
      <c r="Q951" s="100">
        <f>IF(AND(SamplingData[[#This Row],[Total]]&lt;&gt; 0, NOT(ISBLANK(SamplingData[[#This Row],[Losing Candidate]]))),(SamplingData[[#This Row],[Total]]+SamplingData[[#This Row],[Winning Candidate]]-SamplingData[[#This Row],[Losing Candidate]])/(SamplingData[[#Totals],[Winning Candidate]]-SamplingData[[#Totals],[Losing Candidate]]), 0)</f>
        <v>4.3973992524421269E-3</v>
      </c>
      <c r="R951" s="100">
        <f>IF(AND(SamplingData[[#This Row],[Total]]&lt;&gt; 0, NOT(ISBLANK(SamplingData[[#This Row],[Candidate 3]]))),(SamplingData[[#This Row],[Total]]+SamplingData[[#This Row],[Winning Candidate]]-SamplingData[[#This Row],[Candidate 3]])/(SamplingData[[#Totals],[Winning Candidate]]-SamplingData[[#Totals],[Candidate 3]]), 0)</f>
        <v>0</v>
      </c>
      <c r="S951" s="100">
        <f>IF(AND(SamplingData[[#This Row],[Total]]&lt;&gt; 0, NOT(ISBLANK(SamplingData[[#This Row],[Candidate 4]]))),(SamplingData[[#This Row],[Total]]+SamplingData[[#This Row],[Winning Candidate]]-SamplingData[[#This Row],[Candidate 4]])/(SamplingData[[#Totals],[Winning Candidate]]-SamplingData[[#Totals],[Candidate 4]]), 0)</f>
        <v>0</v>
      </c>
      <c r="T951" s="100">
        <f>IF(AND(SamplingData[[#This Row],[Total]]&lt;&gt; 0, NOT(ISBLANK(SamplingData[[#This Row],[Candidate 5]]))),(SamplingData[[#This Row],[Total]]+SamplingData[[#This Row],[Winning Candidate]]-SamplingData[[#This Row],[Candidate 5]])/(SamplingData[[#Totals],[Winning Candidate]]-SamplingData[[#Totals],[Candidate 5]]), 0)</f>
        <v>0</v>
      </c>
      <c r="U951" s="100">
        <f>IF(AND(SamplingData[[#This Row],[Total]]&lt;&gt; 0, NOT(ISBLANK(SamplingData[[#This Row],[Candidate 6]]))),(SamplingData[[#This Row],[Total]]+SamplingData[[#This Row],[Losing Candidate]]-SamplingData[[#This Row],[Candidate 6]])/(SamplingData[[#Totals],[Winning Candidate]]-SamplingData[[#Totals],[Candidate 6]]), 0)</f>
        <v>0</v>
      </c>
      <c r="V951" s="100">
        <f>IF(AND(SamplingData[[#This Row],[Total]]&lt;&gt; 0, NOT(ISBLANK(SamplingData[[#This Row],[Candidate 7]]))),(SamplingData[[#This Row],[Total]]+SamplingData[[#This Row],[Winning Candidate]]-SamplingData[[#This Row],[Candidate 7]])/(SamplingData[[#Totals],[Winning Candidate]]-SamplingData[[#Totals],[Candidate 7]]), 0)</f>
        <v>0</v>
      </c>
      <c r="W951" s="100">
        <f>IF(AND(SamplingData[[#This Row],[Total]]&lt;&gt; 0, NOT(ISBLANK(SamplingData[[#This Row],[Candidate 8]]))),(SamplingData[[#This Row],[Total]]+SamplingData[[#This Row],[Winning Candidate]]-SamplingData[[#This Row],[Candidate 8]])/(SamplingData[[#Totals],[Winning Candidate]]-SamplingData[[#Totals],[Candidate 8]]), 0)</f>
        <v>0</v>
      </c>
      <c r="X9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00">
        <f>MAX(SamplingData[[#This Row],[Error Bound (up) - Max. possible relative overstatement - Losing Candidate]:[Error Bound (up) - Max. possible relative overstatement - Candidate 12]])</f>
        <v>4.3973992524421269E-3</v>
      </c>
      <c r="AC951" s="100">
        <f>IF(SamplingData[[#This Row],[Max Error Bound (up)]] = 0,0,SamplingData[[#This Row],[Max Error Bound (up)]]/SamplingData[[#Totals],[Max Error Bound (up)]])</f>
        <v>1.8844559306520224E-3</v>
      </c>
      <c r="AD951" s="104">
        <f>SUM($AC$5:AC951)</f>
        <v>0.60403542777149699</v>
      </c>
      <c r="AE951" s="100" t="str" cm="1">
        <f t="array" ref="AE951">IF(SamplingData[[#This Row],[up/U Selection Probability]] = 0, "Zero", TEXT(SamplingData[[#This Row],[Lower Range]], REPT("0",LEN('General Info'!$B$42))) &amp; " - " &amp; TEXT(SamplingData[[#This Row],[Upper Range]], REPT("0",LEN('General Info'!$B$42))))</f>
        <v>60215 - 60403</v>
      </c>
      <c r="AF951" s="100">
        <f>SamplingData[[#This Row],[Upper Range]]-SamplingData[[#This Row],[Span]]</f>
        <v>60215.097184084494</v>
      </c>
      <c r="AG951" s="100">
        <f>IF(ISNUMBER('General Info'!$B$42), ((SamplingData[[#This Row],[up/U Selection Probability]]) * 'General Info'!$B$44) - 1, 0)</f>
        <v>187.44559306520225</v>
      </c>
      <c r="AH951" s="100">
        <f>IF(ISNUMBER('General Info'!$B$42), (SamplingData[[#This Row],[Running (cumulative) sum]] * ('General Info'!$B$42 -'General Info'!$B$43 + 1)) + 'General Info'!$B$43 - 1, 0)</f>
        <v>60402.542777149698</v>
      </c>
      <c r="AI951" s="100" t="str">
        <f>IF(ISERROR(MATCH(SamplingData[[#This Row],[Batch by Type (p)]],SelectedPrecincts[Batch Name], 0)), "", INDEX(SelectedPrecincts[Draw], MATCH(SamplingData[[#This Row],[Batch by Type (p)]],SelectedPrecincts[Batch Name], 0)))</f>
        <v/>
      </c>
      <c r="AJ951" s="101">
        <f>IF(COUNTIF(SelectedPrecincts[Batch Name],SamplingData[[#This Row],[Batch by Type (p)]]) &lt;&gt; 0, COUNTIF(SelectedPrecincts[Batch Name],SamplingData[[#This Row],[Batch by Type (p)]]), 0)</f>
        <v>0</v>
      </c>
    </row>
    <row r="952" spans="1:36" ht="15" customHeight="1" x14ac:dyDescent="0.35">
      <c r="A952" s="98" t="s">
        <v>1163</v>
      </c>
      <c r="B952" s="98">
        <v>44</v>
      </c>
      <c r="C952" s="98">
        <v>6</v>
      </c>
      <c r="D952" s="93"/>
      <c r="E952" s="93"/>
      <c r="F952" s="93"/>
      <c r="G952" s="97"/>
      <c r="H952" s="97"/>
      <c r="I952" s="93"/>
      <c r="J952" s="93"/>
      <c r="K952" s="93"/>
      <c r="L952" s="93"/>
      <c r="M952" s="93"/>
      <c r="N952" s="98">
        <v>0</v>
      </c>
      <c r="O952" s="98">
        <v>0</v>
      </c>
      <c r="P952" s="99">
        <f>SUM(SamplingData[[#This Row],[Winning Candidate]:[Under Votes]])</f>
        <v>50</v>
      </c>
      <c r="Q952" s="100">
        <f>IF(AND(SamplingData[[#This Row],[Total]]&lt;&gt; 0, NOT(ISBLANK(SamplingData[[#This Row],[Losing Candidate]]))),(SamplingData[[#This Row],[Total]]+SamplingData[[#This Row],[Winning Candidate]]-SamplingData[[#This Row],[Losing Candidate]])/(SamplingData[[#Totals],[Winning Candidate]]-SamplingData[[#Totals],[Losing Candidate]]), 0)</f>
        <v>2.76407953010648E-3</v>
      </c>
      <c r="R952" s="100">
        <f>IF(AND(SamplingData[[#This Row],[Total]]&lt;&gt; 0, NOT(ISBLANK(SamplingData[[#This Row],[Candidate 3]]))),(SamplingData[[#This Row],[Total]]+SamplingData[[#This Row],[Winning Candidate]]-SamplingData[[#This Row],[Candidate 3]])/(SamplingData[[#Totals],[Winning Candidate]]-SamplingData[[#Totals],[Candidate 3]]), 0)</f>
        <v>0</v>
      </c>
      <c r="S952" s="100">
        <f>IF(AND(SamplingData[[#This Row],[Total]]&lt;&gt; 0, NOT(ISBLANK(SamplingData[[#This Row],[Candidate 4]]))),(SamplingData[[#This Row],[Total]]+SamplingData[[#This Row],[Winning Candidate]]-SamplingData[[#This Row],[Candidate 4]])/(SamplingData[[#Totals],[Winning Candidate]]-SamplingData[[#Totals],[Candidate 4]]), 0)</f>
        <v>0</v>
      </c>
      <c r="T952" s="100">
        <f>IF(AND(SamplingData[[#This Row],[Total]]&lt;&gt; 0, NOT(ISBLANK(SamplingData[[#This Row],[Candidate 5]]))),(SamplingData[[#This Row],[Total]]+SamplingData[[#This Row],[Winning Candidate]]-SamplingData[[#This Row],[Candidate 5]])/(SamplingData[[#Totals],[Winning Candidate]]-SamplingData[[#Totals],[Candidate 5]]), 0)</f>
        <v>0</v>
      </c>
      <c r="U952" s="100">
        <f>IF(AND(SamplingData[[#This Row],[Total]]&lt;&gt; 0, NOT(ISBLANK(SamplingData[[#This Row],[Candidate 6]]))),(SamplingData[[#This Row],[Total]]+SamplingData[[#This Row],[Losing Candidate]]-SamplingData[[#This Row],[Candidate 6]])/(SamplingData[[#Totals],[Winning Candidate]]-SamplingData[[#Totals],[Candidate 6]]), 0)</f>
        <v>0</v>
      </c>
      <c r="V952" s="100">
        <f>IF(AND(SamplingData[[#This Row],[Total]]&lt;&gt; 0, NOT(ISBLANK(SamplingData[[#This Row],[Candidate 7]]))),(SamplingData[[#This Row],[Total]]+SamplingData[[#This Row],[Winning Candidate]]-SamplingData[[#This Row],[Candidate 7]])/(SamplingData[[#Totals],[Winning Candidate]]-SamplingData[[#Totals],[Candidate 7]]), 0)</f>
        <v>0</v>
      </c>
      <c r="W952" s="100">
        <f>IF(AND(SamplingData[[#This Row],[Total]]&lt;&gt; 0, NOT(ISBLANK(SamplingData[[#This Row],[Candidate 8]]))),(SamplingData[[#This Row],[Total]]+SamplingData[[#This Row],[Winning Candidate]]-SamplingData[[#This Row],[Candidate 8]])/(SamplingData[[#Totals],[Winning Candidate]]-SamplingData[[#Totals],[Candidate 8]]), 0)</f>
        <v>0</v>
      </c>
      <c r="X9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00">
        <f>MAX(SamplingData[[#This Row],[Error Bound (up) - Max. possible relative overstatement - Losing Candidate]:[Error Bound (up) - Max. possible relative overstatement - Candidate 12]])</f>
        <v>2.76407953010648E-3</v>
      </c>
      <c r="AC952" s="100">
        <f>IF(SamplingData[[#This Row],[Max Error Bound (up)]] = 0,0,SamplingData[[#This Row],[Max Error Bound (up)]]/SamplingData[[#Totals],[Max Error Bound (up)]])</f>
        <v>1.1845151564098427E-3</v>
      </c>
      <c r="AD952" s="104">
        <f>SUM($AC$5:AC952)</f>
        <v>0.60521994292790682</v>
      </c>
      <c r="AE952" s="100" t="str" cm="1">
        <f t="array" ref="AE952">IF(SamplingData[[#This Row],[up/U Selection Probability]] = 0, "Zero", TEXT(SamplingData[[#This Row],[Lower Range]], REPT("0",LEN('General Info'!$B$42))) &amp; " - " &amp; TEXT(SamplingData[[#This Row],[Upper Range]], REPT("0",LEN('General Info'!$B$42))))</f>
        <v>60404 - 60521</v>
      </c>
      <c r="AF952" s="100">
        <f>SamplingData[[#This Row],[Upper Range]]-SamplingData[[#This Row],[Span]]</f>
        <v>60403.542777149698</v>
      </c>
      <c r="AG952" s="100">
        <f>IF(ISNUMBER('General Info'!$B$42), ((SamplingData[[#This Row],[up/U Selection Probability]]) * 'General Info'!$B$44) - 1, 0)</f>
        <v>117.45151564098427</v>
      </c>
      <c r="AH952" s="100">
        <f>IF(ISNUMBER('General Info'!$B$42), (SamplingData[[#This Row],[Running (cumulative) sum]] * ('General Info'!$B$42 -'General Info'!$B$43 + 1)) + 'General Info'!$B$43 - 1, 0)</f>
        <v>60520.994292790681</v>
      </c>
      <c r="AI952" s="100" t="str">
        <f>IF(ISERROR(MATCH(SamplingData[[#This Row],[Batch by Type (p)]],SelectedPrecincts[Batch Name], 0)), "", INDEX(SelectedPrecincts[Draw], MATCH(SamplingData[[#This Row],[Batch by Type (p)]],SelectedPrecincts[Batch Name], 0)))</f>
        <v/>
      </c>
      <c r="AJ952" s="101">
        <f>IF(COUNTIF(SelectedPrecincts[Batch Name],SamplingData[[#This Row],[Batch by Type (p)]]) &lt;&gt; 0, COUNTIF(SelectedPrecincts[Batch Name],SamplingData[[#This Row],[Batch by Type (p)]]), 0)</f>
        <v>0</v>
      </c>
    </row>
    <row r="953" spans="1:36" ht="15" customHeight="1" x14ac:dyDescent="0.35">
      <c r="A953" s="98" t="s">
        <v>1164</v>
      </c>
      <c r="B953" s="98">
        <v>41</v>
      </c>
      <c r="C953" s="98">
        <v>5</v>
      </c>
      <c r="D953" s="93"/>
      <c r="E953" s="93"/>
      <c r="F953" s="93"/>
      <c r="G953" s="97"/>
      <c r="H953" s="97"/>
      <c r="I953" s="93"/>
      <c r="J953" s="93"/>
      <c r="K953" s="93"/>
      <c r="L953" s="93"/>
      <c r="M953" s="93"/>
      <c r="N953" s="98">
        <v>0</v>
      </c>
      <c r="O953" s="98">
        <v>0</v>
      </c>
      <c r="P953" s="99">
        <f>SUM(SamplingData[[#This Row],[Winning Candidate]:[Under Votes]])</f>
        <v>46</v>
      </c>
      <c r="Q953" s="100">
        <f>IF(AND(SamplingData[[#This Row],[Total]]&lt;&gt; 0, NOT(ISBLANK(SamplingData[[#This Row],[Losing Candidate]]))),(SamplingData[[#This Row],[Total]]+SamplingData[[#This Row],[Winning Candidate]]-SamplingData[[#This Row],[Losing Candidate]])/(SamplingData[[#Totals],[Winning Candidate]]-SamplingData[[#Totals],[Losing Candidate]]), 0)</f>
        <v>2.5756195621446745E-3</v>
      </c>
      <c r="R953" s="100">
        <f>IF(AND(SamplingData[[#This Row],[Total]]&lt;&gt; 0, NOT(ISBLANK(SamplingData[[#This Row],[Candidate 3]]))),(SamplingData[[#This Row],[Total]]+SamplingData[[#This Row],[Winning Candidate]]-SamplingData[[#This Row],[Candidate 3]])/(SamplingData[[#Totals],[Winning Candidate]]-SamplingData[[#Totals],[Candidate 3]]), 0)</f>
        <v>0</v>
      </c>
      <c r="S953" s="100">
        <f>IF(AND(SamplingData[[#This Row],[Total]]&lt;&gt; 0, NOT(ISBLANK(SamplingData[[#This Row],[Candidate 4]]))),(SamplingData[[#This Row],[Total]]+SamplingData[[#This Row],[Winning Candidate]]-SamplingData[[#This Row],[Candidate 4]])/(SamplingData[[#Totals],[Winning Candidate]]-SamplingData[[#Totals],[Candidate 4]]), 0)</f>
        <v>0</v>
      </c>
      <c r="T953" s="100">
        <f>IF(AND(SamplingData[[#This Row],[Total]]&lt;&gt; 0, NOT(ISBLANK(SamplingData[[#This Row],[Candidate 5]]))),(SamplingData[[#This Row],[Total]]+SamplingData[[#This Row],[Winning Candidate]]-SamplingData[[#This Row],[Candidate 5]])/(SamplingData[[#Totals],[Winning Candidate]]-SamplingData[[#Totals],[Candidate 5]]), 0)</f>
        <v>0</v>
      </c>
      <c r="U953" s="100">
        <f>IF(AND(SamplingData[[#This Row],[Total]]&lt;&gt; 0, NOT(ISBLANK(SamplingData[[#This Row],[Candidate 6]]))),(SamplingData[[#This Row],[Total]]+SamplingData[[#This Row],[Losing Candidate]]-SamplingData[[#This Row],[Candidate 6]])/(SamplingData[[#Totals],[Winning Candidate]]-SamplingData[[#Totals],[Candidate 6]]), 0)</f>
        <v>0</v>
      </c>
      <c r="V953" s="100">
        <f>IF(AND(SamplingData[[#This Row],[Total]]&lt;&gt; 0, NOT(ISBLANK(SamplingData[[#This Row],[Candidate 7]]))),(SamplingData[[#This Row],[Total]]+SamplingData[[#This Row],[Winning Candidate]]-SamplingData[[#This Row],[Candidate 7]])/(SamplingData[[#Totals],[Winning Candidate]]-SamplingData[[#Totals],[Candidate 7]]), 0)</f>
        <v>0</v>
      </c>
      <c r="W953" s="100">
        <f>IF(AND(SamplingData[[#This Row],[Total]]&lt;&gt; 0, NOT(ISBLANK(SamplingData[[#This Row],[Candidate 8]]))),(SamplingData[[#This Row],[Total]]+SamplingData[[#This Row],[Winning Candidate]]-SamplingData[[#This Row],[Candidate 8]])/(SamplingData[[#Totals],[Winning Candidate]]-SamplingData[[#Totals],[Candidate 8]]), 0)</f>
        <v>0</v>
      </c>
      <c r="X9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00">
        <f>MAX(SamplingData[[#This Row],[Error Bound (up) - Max. possible relative overstatement - Losing Candidate]:[Error Bound (up) - Max. possible relative overstatement - Candidate 12]])</f>
        <v>2.5756195621446745E-3</v>
      </c>
      <c r="AC953" s="100">
        <f>IF(SamplingData[[#This Row],[Max Error Bound (up)]] = 0,0,SamplingData[[#This Row],[Max Error Bound (up)]]/SamplingData[[#Totals],[Max Error Bound (up)]])</f>
        <v>1.1037527593818989E-3</v>
      </c>
      <c r="AD953" s="104">
        <f>SUM($AC$5:AC953)</f>
        <v>0.60632369568728872</v>
      </c>
      <c r="AE953" s="100" t="str" cm="1">
        <f t="array" ref="AE953">IF(SamplingData[[#This Row],[up/U Selection Probability]] = 0, "Zero", TEXT(SamplingData[[#This Row],[Lower Range]], REPT("0",LEN('General Info'!$B$42))) &amp; " - " &amp; TEXT(SamplingData[[#This Row],[Upper Range]], REPT("0",LEN('General Info'!$B$42))))</f>
        <v>60522 - 60631</v>
      </c>
      <c r="AF953" s="100">
        <f>SamplingData[[#This Row],[Upper Range]]-SamplingData[[#This Row],[Span]]</f>
        <v>60521.994292790681</v>
      </c>
      <c r="AG953" s="100">
        <f>IF(ISNUMBER('General Info'!$B$42), ((SamplingData[[#This Row],[up/U Selection Probability]]) * 'General Info'!$B$44) - 1, 0)</f>
        <v>109.37527593818989</v>
      </c>
      <c r="AH953" s="100">
        <f>IF(ISNUMBER('General Info'!$B$42), (SamplingData[[#This Row],[Running (cumulative) sum]] * ('General Info'!$B$42 -'General Info'!$B$43 + 1)) + 'General Info'!$B$43 - 1, 0)</f>
        <v>60631.369568728871</v>
      </c>
      <c r="AI953" s="100" t="str">
        <f>IF(ISERROR(MATCH(SamplingData[[#This Row],[Batch by Type (p)]],SelectedPrecincts[Batch Name], 0)), "", INDEX(SelectedPrecincts[Draw], MATCH(SamplingData[[#This Row],[Batch by Type (p)]],SelectedPrecincts[Batch Name], 0)))</f>
        <v/>
      </c>
      <c r="AJ953" s="101">
        <f>IF(COUNTIF(SelectedPrecincts[Batch Name],SamplingData[[#This Row],[Batch by Type (p)]]) &lt;&gt; 0, COUNTIF(SelectedPrecincts[Batch Name],SamplingData[[#This Row],[Batch by Type (p)]]), 0)</f>
        <v>0</v>
      </c>
    </row>
    <row r="954" spans="1:36" ht="15" customHeight="1" x14ac:dyDescent="0.35">
      <c r="A954" s="98" t="s">
        <v>1165</v>
      </c>
      <c r="B954" s="98">
        <v>9</v>
      </c>
      <c r="C954" s="98">
        <v>1</v>
      </c>
      <c r="D954" s="93"/>
      <c r="E954" s="93"/>
      <c r="F954" s="93"/>
      <c r="G954" s="97"/>
      <c r="H954" s="97"/>
      <c r="I954" s="93"/>
      <c r="J954" s="93"/>
      <c r="K954" s="93"/>
      <c r="L954" s="93"/>
      <c r="M954" s="93"/>
      <c r="N954" s="98">
        <v>0</v>
      </c>
      <c r="O954" s="98">
        <v>0</v>
      </c>
      <c r="P954" s="99">
        <f>SUM(SamplingData[[#This Row],[Winning Candidate]:[Under Votes]])</f>
        <v>10</v>
      </c>
      <c r="Q954" s="100">
        <f>IF(AND(SamplingData[[#This Row],[Total]]&lt;&gt; 0, NOT(ISBLANK(SamplingData[[#This Row],[Losing Candidate]]))),(SamplingData[[#This Row],[Total]]+SamplingData[[#This Row],[Winning Candidate]]-SamplingData[[#This Row],[Losing Candidate]])/(SamplingData[[#Totals],[Winning Candidate]]-SamplingData[[#Totals],[Losing Candidate]]), 0)</f>
        <v>5.6537990388541635E-4</v>
      </c>
      <c r="R954" s="100">
        <f>IF(AND(SamplingData[[#This Row],[Total]]&lt;&gt; 0, NOT(ISBLANK(SamplingData[[#This Row],[Candidate 3]]))),(SamplingData[[#This Row],[Total]]+SamplingData[[#This Row],[Winning Candidate]]-SamplingData[[#This Row],[Candidate 3]])/(SamplingData[[#Totals],[Winning Candidate]]-SamplingData[[#Totals],[Candidate 3]]), 0)</f>
        <v>0</v>
      </c>
      <c r="S954" s="100">
        <f>IF(AND(SamplingData[[#This Row],[Total]]&lt;&gt; 0, NOT(ISBLANK(SamplingData[[#This Row],[Candidate 4]]))),(SamplingData[[#This Row],[Total]]+SamplingData[[#This Row],[Winning Candidate]]-SamplingData[[#This Row],[Candidate 4]])/(SamplingData[[#Totals],[Winning Candidate]]-SamplingData[[#Totals],[Candidate 4]]), 0)</f>
        <v>0</v>
      </c>
      <c r="T954" s="100">
        <f>IF(AND(SamplingData[[#This Row],[Total]]&lt;&gt; 0, NOT(ISBLANK(SamplingData[[#This Row],[Candidate 5]]))),(SamplingData[[#This Row],[Total]]+SamplingData[[#This Row],[Winning Candidate]]-SamplingData[[#This Row],[Candidate 5]])/(SamplingData[[#Totals],[Winning Candidate]]-SamplingData[[#Totals],[Candidate 5]]), 0)</f>
        <v>0</v>
      </c>
      <c r="U954" s="100">
        <f>IF(AND(SamplingData[[#This Row],[Total]]&lt;&gt; 0, NOT(ISBLANK(SamplingData[[#This Row],[Candidate 6]]))),(SamplingData[[#This Row],[Total]]+SamplingData[[#This Row],[Losing Candidate]]-SamplingData[[#This Row],[Candidate 6]])/(SamplingData[[#Totals],[Winning Candidate]]-SamplingData[[#Totals],[Candidate 6]]), 0)</f>
        <v>0</v>
      </c>
      <c r="V954" s="100">
        <f>IF(AND(SamplingData[[#This Row],[Total]]&lt;&gt; 0, NOT(ISBLANK(SamplingData[[#This Row],[Candidate 7]]))),(SamplingData[[#This Row],[Total]]+SamplingData[[#This Row],[Winning Candidate]]-SamplingData[[#This Row],[Candidate 7]])/(SamplingData[[#Totals],[Winning Candidate]]-SamplingData[[#Totals],[Candidate 7]]), 0)</f>
        <v>0</v>
      </c>
      <c r="W954" s="100">
        <f>IF(AND(SamplingData[[#This Row],[Total]]&lt;&gt; 0, NOT(ISBLANK(SamplingData[[#This Row],[Candidate 8]]))),(SamplingData[[#This Row],[Total]]+SamplingData[[#This Row],[Winning Candidate]]-SamplingData[[#This Row],[Candidate 8]])/(SamplingData[[#Totals],[Winning Candidate]]-SamplingData[[#Totals],[Candidate 8]]), 0)</f>
        <v>0</v>
      </c>
      <c r="X9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00">
        <f>MAX(SamplingData[[#This Row],[Error Bound (up) - Max. possible relative overstatement - Losing Candidate]:[Error Bound (up) - Max. possible relative overstatement - Candidate 12]])</f>
        <v>5.6537990388541635E-4</v>
      </c>
      <c r="AC954" s="100">
        <f>IF(SamplingData[[#This Row],[Max Error Bound (up)]] = 0,0,SamplingData[[#This Row],[Max Error Bound (up)]]/SamplingData[[#Totals],[Max Error Bound (up)]])</f>
        <v>2.4228719108383145E-4</v>
      </c>
      <c r="AD954" s="104">
        <f>SUM($AC$5:AC954)</f>
        <v>0.6065659828783726</v>
      </c>
      <c r="AE954" s="100" t="str" cm="1">
        <f t="array" ref="AE954">IF(SamplingData[[#This Row],[up/U Selection Probability]] = 0, "Zero", TEXT(SamplingData[[#This Row],[Lower Range]], REPT("0",LEN('General Info'!$B$42))) &amp; " - " &amp; TEXT(SamplingData[[#This Row],[Upper Range]], REPT("0",LEN('General Info'!$B$42))))</f>
        <v>60632 - 60656</v>
      </c>
      <c r="AF954" s="100">
        <f>SamplingData[[#This Row],[Upper Range]]-SamplingData[[#This Row],[Span]]</f>
        <v>60632.369568728878</v>
      </c>
      <c r="AG954" s="100">
        <f>IF(ISNUMBER('General Info'!$B$42), ((SamplingData[[#This Row],[up/U Selection Probability]]) * 'General Info'!$B$44) - 1, 0)</f>
        <v>23.228719108383146</v>
      </c>
      <c r="AH954" s="100">
        <f>IF(ISNUMBER('General Info'!$B$42), (SamplingData[[#This Row],[Running (cumulative) sum]] * ('General Info'!$B$42 -'General Info'!$B$43 + 1)) + 'General Info'!$B$43 - 1, 0)</f>
        <v>60655.59828783726</v>
      </c>
      <c r="AI954" s="100" t="str">
        <f>IF(ISERROR(MATCH(SamplingData[[#This Row],[Batch by Type (p)]],SelectedPrecincts[Batch Name], 0)), "", INDEX(SelectedPrecincts[Draw], MATCH(SamplingData[[#This Row],[Batch by Type (p)]],SelectedPrecincts[Batch Name], 0)))</f>
        <v/>
      </c>
      <c r="AJ954" s="101">
        <f>IF(COUNTIF(SelectedPrecincts[Batch Name],SamplingData[[#This Row],[Batch by Type (p)]]) &lt;&gt; 0, COUNTIF(SelectedPrecincts[Batch Name],SamplingData[[#This Row],[Batch by Type (p)]]), 0)</f>
        <v>0</v>
      </c>
    </row>
    <row r="955" spans="1:36" ht="15" customHeight="1" x14ac:dyDescent="0.35">
      <c r="A955" s="98" t="s">
        <v>1166</v>
      </c>
      <c r="B955" s="98">
        <v>24</v>
      </c>
      <c r="C955" s="98">
        <v>0</v>
      </c>
      <c r="D955" s="93"/>
      <c r="E955" s="93"/>
      <c r="F955" s="93"/>
      <c r="G955" s="97"/>
      <c r="H955" s="97"/>
      <c r="I955" s="93"/>
      <c r="J955" s="93"/>
      <c r="K955" s="93"/>
      <c r="L955" s="93"/>
      <c r="M955" s="93"/>
      <c r="N955" s="98">
        <v>0</v>
      </c>
      <c r="O955" s="98">
        <v>0</v>
      </c>
      <c r="P955" s="99">
        <f>SUM(SamplingData[[#This Row],[Winning Candidate]:[Under Votes]])</f>
        <v>24</v>
      </c>
      <c r="Q955" s="100">
        <f>IF(AND(SamplingData[[#This Row],[Total]]&lt;&gt; 0, NOT(ISBLANK(SamplingData[[#This Row],[Losing Candidate]]))),(SamplingData[[#This Row],[Total]]+SamplingData[[#This Row],[Winning Candidate]]-SamplingData[[#This Row],[Losing Candidate]])/(SamplingData[[#Totals],[Winning Candidate]]-SamplingData[[#Totals],[Losing Candidate]]), 0)</f>
        <v>1.5076797436944435E-3</v>
      </c>
      <c r="R955" s="100">
        <f>IF(AND(SamplingData[[#This Row],[Total]]&lt;&gt; 0, NOT(ISBLANK(SamplingData[[#This Row],[Candidate 3]]))),(SamplingData[[#This Row],[Total]]+SamplingData[[#This Row],[Winning Candidate]]-SamplingData[[#This Row],[Candidate 3]])/(SamplingData[[#Totals],[Winning Candidate]]-SamplingData[[#Totals],[Candidate 3]]), 0)</f>
        <v>0</v>
      </c>
      <c r="S955" s="100">
        <f>IF(AND(SamplingData[[#This Row],[Total]]&lt;&gt; 0, NOT(ISBLANK(SamplingData[[#This Row],[Candidate 4]]))),(SamplingData[[#This Row],[Total]]+SamplingData[[#This Row],[Winning Candidate]]-SamplingData[[#This Row],[Candidate 4]])/(SamplingData[[#Totals],[Winning Candidate]]-SamplingData[[#Totals],[Candidate 4]]), 0)</f>
        <v>0</v>
      </c>
      <c r="T955" s="100">
        <f>IF(AND(SamplingData[[#This Row],[Total]]&lt;&gt; 0, NOT(ISBLANK(SamplingData[[#This Row],[Candidate 5]]))),(SamplingData[[#This Row],[Total]]+SamplingData[[#This Row],[Winning Candidate]]-SamplingData[[#This Row],[Candidate 5]])/(SamplingData[[#Totals],[Winning Candidate]]-SamplingData[[#Totals],[Candidate 5]]), 0)</f>
        <v>0</v>
      </c>
      <c r="U955" s="100">
        <f>IF(AND(SamplingData[[#This Row],[Total]]&lt;&gt; 0, NOT(ISBLANK(SamplingData[[#This Row],[Candidate 6]]))),(SamplingData[[#This Row],[Total]]+SamplingData[[#This Row],[Losing Candidate]]-SamplingData[[#This Row],[Candidate 6]])/(SamplingData[[#Totals],[Winning Candidate]]-SamplingData[[#Totals],[Candidate 6]]), 0)</f>
        <v>0</v>
      </c>
      <c r="V955" s="100">
        <f>IF(AND(SamplingData[[#This Row],[Total]]&lt;&gt; 0, NOT(ISBLANK(SamplingData[[#This Row],[Candidate 7]]))),(SamplingData[[#This Row],[Total]]+SamplingData[[#This Row],[Winning Candidate]]-SamplingData[[#This Row],[Candidate 7]])/(SamplingData[[#Totals],[Winning Candidate]]-SamplingData[[#Totals],[Candidate 7]]), 0)</f>
        <v>0</v>
      </c>
      <c r="W955" s="100">
        <f>IF(AND(SamplingData[[#This Row],[Total]]&lt;&gt; 0, NOT(ISBLANK(SamplingData[[#This Row],[Candidate 8]]))),(SamplingData[[#This Row],[Total]]+SamplingData[[#This Row],[Winning Candidate]]-SamplingData[[#This Row],[Candidate 8]])/(SamplingData[[#Totals],[Winning Candidate]]-SamplingData[[#Totals],[Candidate 8]]), 0)</f>
        <v>0</v>
      </c>
      <c r="X9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00">
        <f>MAX(SamplingData[[#This Row],[Error Bound (up) - Max. possible relative overstatement - Losing Candidate]:[Error Bound (up) - Max. possible relative overstatement - Candidate 12]])</f>
        <v>1.5076797436944435E-3</v>
      </c>
      <c r="AC955" s="100">
        <f>IF(SamplingData[[#This Row],[Max Error Bound (up)]] = 0,0,SamplingData[[#This Row],[Max Error Bound (up)]]/SamplingData[[#Totals],[Max Error Bound (up)]])</f>
        <v>6.4609917622355053E-4</v>
      </c>
      <c r="AD955" s="104">
        <f>SUM($AC$5:AC955)</f>
        <v>0.6072120820545962</v>
      </c>
      <c r="AE955" s="100" t="str" cm="1">
        <f t="array" ref="AE955">IF(SamplingData[[#This Row],[up/U Selection Probability]] = 0, "Zero", TEXT(SamplingData[[#This Row],[Lower Range]], REPT("0",LEN('General Info'!$B$42))) &amp; " - " &amp; TEXT(SamplingData[[#This Row],[Upper Range]], REPT("0",LEN('General Info'!$B$42))))</f>
        <v>60657 - 60720</v>
      </c>
      <c r="AF955" s="100">
        <f>SamplingData[[#This Row],[Upper Range]]-SamplingData[[#This Row],[Span]]</f>
        <v>60656.59828783726</v>
      </c>
      <c r="AG955" s="100">
        <f>IF(ISNUMBER('General Info'!$B$42), ((SamplingData[[#This Row],[up/U Selection Probability]]) * 'General Info'!$B$44) - 1, 0)</f>
        <v>63.609917622355056</v>
      </c>
      <c r="AH955" s="100">
        <f>IF(ISNUMBER('General Info'!$B$42), (SamplingData[[#This Row],[Running (cumulative) sum]] * ('General Info'!$B$42 -'General Info'!$B$43 + 1)) + 'General Info'!$B$43 - 1, 0)</f>
        <v>60720.208205459618</v>
      </c>
      <c r="AI955" s="100" t="str">
        <f>IF(ISERROR(MATCH(SamplingData[[#This Row],[Batch by Type (p)]],SelectedPrecincts[Batch Name], 0)), "", INDEX(SelectedPrecincts[Draw], MATCH(SamplingData[[#This Row],[Batch by Type (p)]],SelectedPrecincts[Batch Name], 0)))</f>
        <v/>
      </c>
      <c r="AJ955" s="101">
        <f>IF(COUNTIF(SelectedPrecincts[Batch Name],SamplingData[[#This Row],[Batch by Type (p)]]) &lt;&gt; 0, COUNTIF(SelectedPrecincts[Batch Name],SamplingData[[#This Row],[Batch by Type (p)]]), 0)</f>
        <v>0</v>
      </c>
    </row>
    <row r="956" spans="1:36" ht="15" customHeight="1" x14ac:dyDescent="0.35">
      <c r="A956" s="98" t="s">
        <v>1167</v>
      </c>
      <c r="B956" s="98">
        <v>17</v>
      </c>
      <c r="C956" s="98">
        <v>2</v>
      </c>
      <c r="D956" s="93"/>
      <c r="E956" s="93"/>
      <c r="F956" s="93"/>
      <c r="G956" s="97"/>
      <c r="H956" s="97"/>
      <c r="I956" s="93"/>
      <c r="J956" s="93"/>
      <c r="K956" s="93"/>
      <c r="L956" s="93"/>
      <c r="M956" s="93"/>
      <c r="N956" s="98">
        <v>0</v>
      </c>
      <c r="O956" s="98">
        <v>0</v>
      </c>
      <c r="P956" s="99">
        <f>SUM(SamplingData[[#This Row],[Winning Candidate]:[Under Votes]])</f>
        <v>19</v>
      </c>
      <c r="Q956" s="100">
        <f>IF(AND(SamplingData[[#This Row],[Total]]&lt;&gt; 0, NOT(ISBLANK(SamplingData[[#This Row],[Losing Candidate]]))),(SamplingData[[#This Row],[Total]]+SamplingData[[#This Row],[Winning Candidate]]-SamplingData[[#This Row],[Losing Candidate]])/(SamplingData[[#Totals],[Winning Candidate]]-SamplingData[[#Totals],[Losing Candidate]]), 0)</f>
        <v>1.0679398184502309E-3</v>
      </c>
      <c r="R956" s="100">
        <f>IF(AND(SamplingData[[#This Row],[Total]]&lt;&gt; 0, NOT(ISBLANK(SamplingData[[#This Row],[Candidate 3]]))),(SamplingData[[#This Row],[Total]]+SamplingData[[#This Row],[Winning Candidate]]-SamplingData[[#This Row],[Candidate 3]])/(SamplingData[[#Totals],[Winning Candidate]]-SamplingData[[#Totals],[Candidate 3]]), 0)</f>
        <v>0</v>
      </c>
      <c r="S956" s="100">
        <f>IF(AND(SamplingData[[#This Row],[Total]]&lt;&gt; 0, NOT(ISBLANK(SamplingData[[#This Row],[Candidate 4]]))),(SamplingData[[#This Row],[Total]]+SamplingData[[#This Row],[Winning Candidate]]-SamplingData[[#This Row],[Candidate 4]])/(SamplingData[[#Totals],[Winning Candidate]]-SamplingData[[#Totals],[Candidate 4]]), 0)</f>
        <v>0</v>
      </c>
      <c r="T956" s="100">
        <f>IF(AND(SamplingData[[#This Row],[Total]]&lt;&gt; 0, NOT(ISBLANK(SamplingData[[#This Row],[Candidate 5]]))),(SamplingData[[#This Row],[Total]]+SamplingData[[#This Row],[Winning Candidate]]-SamplingData[[#This Row],[Candidate 5]])/(SamplingData[[#Totals],[Winning Candidate]]-SamplingData[[#Totals],[Candidate 5]]), 0)</f>
        <v>0</v>
      </c>
      <c r="U956" s="100">
        <f>IF(AND(SamplingData[[#This Row],[Total]]&lt;&gt; 0, NOT(ISBLANK(SamplingData[[#This Row],[Candidate 6]]))),(SamplingData[[#This Row],[Total]]+SamplingData[[#This Row],[Losing Candidate]]-SamplingData[[#This Row],[Candidate 6]])/(SamplingData[[#Totals],[Winning Candidate]]-SamplingData[[#Totals],[Candidate 6]]), 0)</f>
        <v>0</v>
      </c>
      <c r="V956" s="100">
        <f>IF(AND(SamplingData[[#This Row],[Total]]&lt;&gt; 0, NOT(ISBLANK(SamplingData[[#This Row],[Candidate 7]]))),(SamplingData[[#This Row],[Total]]+SamplingData[[#This Row],[Winning Candidate]]-SamplingData[[#This Row],[Candidate 7]])/(SamplingData[[#Totals],[Winning Candidate]]-SamplingData[[#Totals],[Candidate 7]]), 0)</f>
        <v>0</v>
      </c>
      <c r="W956" s="100">
        <f>IF(AND(SamplingData[[#This Row],[Total]]&lt;&gt; 0, NOT(ISBLANK(SamplingData[[#This Row],[Candidate 8]]))),(SamplingData[[#This Row],[Total]]+SamplingData[[#This Row],[Winning Candidate]]-SamplingData[[#This Row],[Candidate 8]])/(SamplingData[[#Totals],[Winning Candidate]]-SamplingData[[#Totals],[Candidate 8]]), 0)</f>
        <v>0</v>
      </c>
      <c r="X9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00">
        <f>MAX(SamplingData[[#This Row],[Error Bound (up) - Max. possible relative overstatement - Losing Candidate]:[Error Bound (up) - Max. possible relative overstatement - Candidate 12]])</f>
        <v>1.0679398184502309E-3</v>
      </c>
      <c r="AC956" s="100">
        <f>IF(SamplingData[[#This Row],[Max Error Bound (up)]] = 0,0,SamplingData[[#This Row],[Max Error Bound (up)]]/SamplingData[[#Totals],[Max Error Bound (up)]])</f>
        <v>4.5765358315834836E-4</v>
      </c>
      <c r="AD956" s="104">
        <f>SUM($AC$5:AC956)</f>
        <v>0.6076697356377545</v>
      </c>
      <c r="AE956" s="100" t="str" cm="1">
        <f t="array" ref="AE956">IF(SamplingData[[#This Row],[up/U Selection Probability]] = 0, "Zero", TEXT(SamplingData[[#This Row],[Lower Range]], REPT("0",LEN('General Info'!$B$42))) &amp; " - " &amp; TEXT(SamplingData[[#This Row],[Upper Range]], REPT("0",LEN('General Info'!$B$42))))</f>
        <v>60721 - 60766</v>
      </c>
      <c r="AF956" s="100">
        <f>SamplingData[[#This Row],[Upper Range]]-SamplingData[[#This Row],[Span]]</f>
        <v>60721.208205459618</v>
      </c>
      <c r="AG956" s="100">
        <f>IF(ISNUMBER('General Info'!$B$42), ((SamplingData[[#This Row],[up/U Selection Probability]]) * 'General Info'!$B$44) - 1, 0)</f>
        <v>44.765358315834838</v>
      </c>
      <c r="AH956" s="100">
        <f>IF(ISNUMBER('General Info'!$B$42), (SamplingData[[#This Row],[Running (cumulative) sum]] * ('General Info'!$B$42 -'General Info'!$B$43 + 1)) + 'General Info'!$B$43 - 1, 0)</f>
        <v>60765.973563775449</v>
      </c>
      <c r="AI956" s="100" t="str">
        <f>IF(ISERROR(MATCH(SamplingData[[#This Row],[Batch by Type (p)]],SelectedPrecincts[Batch Name], 0)), "", INDEX(SelectedPrecincts[Draw], MATCH(SamplingData[[#This Row],[Batch by Type (p)]],SelectedPrecincts[Batch Name], 0)))</f>
        <v/>
      </c>
      <c r="AJ956" s="101">
        <f>IF(COUNTIF(SelectedPrecincts[Batch Name],SamplingData[[#This Row],[Batch by Type (p)]]) &lt;&gt; 0, COUNTIF(SelectedPrecincts[Batch Name],SamplingData[[#This Row],[Batch by Type (p)]]), 0)</f>
        <v>0</v>
      </c>
    </row>
    <row r="957" spans="1:36" ht="15" customHeight="1" x14ac:dyDescent="0.35">
      <c r="A957" s="98" t="s">
        <v>1168</v>
      </c>
      <c r="B957" s="98">
        <v>3</v>
      </c>
      <c r="C957" s="98">
        <v>2</v>
      </c>
      <c r="D957" s="93"/>
      <c r="E957" s="93"/>
      <c r="F957" s="93"/>
      <c r="G957" s="97"/>
      <c r="H957" s="97"/>
      <c r="I957" s="93"/>
      <c r="J957" s="93"/>
      <c r="K957" s="93"/>
      <c r="L957" s="93"/>
      <c r="M957" s="93"/>
      <c r="N957" s="98">
        <v>0</v>
      </c>
      <c r="O957" s="98">
        <v>0</v>
      </c>
      <c r="P957" s="99">
        <f>SUM(SamplingData[[#This Row],[Winning Candidate]:[Under Votes]])</f>
        <v>5</v>
      </c>
      <c r="Q957"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957" s="100">
        <f>IF(AND(SamplingData[[#This Row],[Total]]&lt;&gt; 0, NOT(ISBLANK(SamplingData[[#This Row],[Candidate 3]]))),(SamplingData[[#This Row],[Total]]+SamplingData[[#This Row],[Winning Candidate]]-SamplingData[[#This Row],[Candidate 3]])/(SamplingData[[#Totals],[Winning Candidate]]-SamplingData[[#Totals],[Candidate 3]]), 0)</f>
        <v>0</v>
      </c>
      <c r="S957" s="100">
        <f>IF(AND(SamplingData[[#This Row],[Total]]&lt;&gt; 0, NOT(ISBLANK(SamplingData[[#This Row],[Candidate 4]]))),(SamplingData[[#This Row],[Total]]+SamplingData[[#This Row],[Winning Candidate]]-SamplingData[[#This Row],[Candidate 4]])/(SamplingData[[#Totals],[Winning Candidate]]-SamplingData[[#Totals],[Candidate 4]]), 0)</f>
        <v>0</v>
      </c>
      <c r="T957" s="100">
        <f>IF(AND(SamplingData[[#This Row],[Total]]&lt;&gt; 0, NOT(ISBLANK(SamplingData[[#This Row],[Candidate 5]]))),(SamplingData[[#This Row],[Total]]+SamplingData[[#This Row],[Winning Candidate]]-SamplingData[[#This Row],[Candidate 5]])/(SamplingData[[#Totals],[Winning Candidate]]-SamplingData[[#Totals],[Candidate 5]]), 0)</f>
        <v>0</v>
      </c>
      <c r="U957" s="100">
        <f>IF(AND(SamplingData[[#This Row],[Total]]&lt;&gt; 0, NOT(ISBLANK(SamplingData[[#This Row],[Candidate 6]]))),(SamplingData[[#This Row],[Total]]+SamplingData[[#This Row],[Losing Candidate]]-SamplingData[[#This Row],[Candidate 6]])/(SamplingData[[#Totals],[Winning Candidate]]-SamplingData[[#Totals],[Candidate 6]]), 0)</f>
        <v>0</v>
      </c>
      <c r="V957" s="100">
        <f>IF(AND(SamplingData[[#This Row],[Total]]&lt;&gt; 0, NOT(ISBLANK(SamplingData[[#This Row],[Candidate 7]]))),(SamplingData[[#This Row],[Total]]+SamplingData[[#This Row],[Winning Candidate]]-SamplingData[[#This Row],[Candidate 7]])/(SamplingData[[#Totals],[Winning Candidate]]-SamplingData[[#Totals],[Candidate 7]]), 0)</f>
        <v>0</v>
      </c>
      <c r="W957" s="100">
        <f>IF(AND(SamplingData[[#This Row],[Total]]&lt;&gt; 0, NOT(ISBLANK(SamplingData[[#This Row],[Candidate 8]]))),(SamplingData[[#This Row],[Total]]+SamplingData[[#This Row],[Winning Candidate]]-SamplingData[[#This Row],[Candidate 8]])/(SamplingData[[#Totals],[Winning Candidate]]-SamplingData[[#Totals],[Candidate 8]]), 0)</f>
        <v>0</v>
      </c>
      <c r="X9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00">
        <f>MAX(SamplingData[[#This Row],[Error Bound (up) - Max. possible relative overstatement - Losing Candidate]:[Error Bound (up) - Max. possible relative overstatement - Candidate 12]])</f>
        <v>1.8845996796180544E-4</v>
      </c>
      <c r="AC957" s="100">
        <f>IF(SamplingData[[#This Row],[Max Error Bound (up)]] = 0,0,SamplingData[[#This Row],[Max Error Bound (up)]]/SamplingData[[#Totals],[Max Error Bound (up)]])</f>
        <v>8.0762397027943816E-5</v>
      </c>
      <c r="AD957" s="104">
        <f>SUM($AC$5:AC957)</f>
        <v>0.60775049803478243</v>
      </c>
      <c r="AE957" s="100" t="str" cm="1">
        <f t="array" ref="AE957">IF(SamplingData[[#This Row],[up/U Selection Probability]] = 0, "Zero", TEXT(SamplingData[[#This Row],[Lower Range]], REPT("0",LEN('General Info'!$B$42))) &amp; " - " &amp; TEXT(SamplingData[[#This Row],[Upper Range]], REPT("0",LEN('General Info'!$B$42))))</f>
        <v>60767 - 60774</v>
      </c>
      <c r="AF957" s="100">
        <f>SamplingData[[#This Row],[Upper Range]]-SamplingData[[#This Row],[Span]]</f>
        <v>60766.973563775449</v>
      </c>
      <c r="AG957" s="100">
        <f>IF(ISNUMBER('General Info'!$B$42), ((SamplingData[[#This Row],[up/U Selection Probability]]) * 'General Info'!$B$44) - 1, 0)</f>
        <v>7.076239702794382</v>
      </c>
      <c r="AH957" s="100">
        <f>IF(ISNUMBER('General Info'!$B$42), (SamplingData[[#This Row],[Running (cumulative) sum]] * ('General Info'!$B$42 -'General Info'!$B$43 + 1)) + 'General Info'!$B$43 - 1, 0)</f>
        <v>60774.049803478243</v>
      </c>
      <c r="AI957" s="100" t="str">
        <f>IF(ISERROR(MATCH(SamplingData[[#This Row],[Batch by Type (p)]],SelectedPrecincts[Batch Name], 0)), "", INDEX(SelectedPrecincts[Draw], MATCH(SamplingData[[#This Row],[Batch by Type (p)]],SelectedPrecincts[Batch Name], 0)))</f>
        <v/>
      </c>
      <c r="AJ957" s="101">
        <f>IF(COUNTIF(SelectedPrecincts[Batch Name],SamplingData[[#This Row],[Batch by Type (p)]]) &lt;&gt; 0, COUNTIF(SelectedPrecincts[Batch Name],SamplingData[[#This Row],[Batch by Type (p)]]), 0)</f>
        <v>0</v>
      </c>
    </row>
    <row r="958" spans="1:36" ht="15" customHeight="1" x14ac:dyDescent="0.35">
      <c r="A958" s="98" t="s">
        <v>1169</v>
      </c>
      <c r="B958" s="98">
        <v>14</v>
      </c>
      <c r="C958" s="98">
        <v>0</v>
      </c>
      <c r="D958" s="93"/>
      <c r="E958" s="93"/>
      <c r="F958" s="93"/>
      <c r="G958" s="97"/>
      <c r="H958" s="97"/>
      <c r="I958" s="93"/>
      <c r="J958" s="93"/>
      <c r="K958" s="93"/>
      <c r="L958" s="93"/>
      <c r="M958" s="93"/>
      <c r="N958" s="98">
        <v>0</v>
      </c>
      <c r="O958" s="98">
        <v>0</v>
      </c>
      <c r="P958" s="99">
        <f>SUM(SamplingData[[#This Row],[Winning Candidate]:[Under Votes]])</f>
        <v>14</v>
      </c>
      <c r="Q958" s="100">
        <f>IF(AND(SamplingData[[#This Row],[Total]]&lt;&gt; 0, NOT(ISBLANK(SamplingData[[#This Row],[Losing Candidate]]))),(SamplingData[[#This Row],[Total]]+SamplingData[[#This Row],[Winning Candidate]]-SamplingData[[#This Row],[Losing Candidate]])/(SamplingData[[#Totals],[Winning Candidate]]-SamplingData[[#Totals],[Losing Candidate]]), 0)</f>
        <v>8.7947985048842541E-4</v>
      </c>
      <c r="R958" s="100">
        <f>IF(AND(SamplingData[[#This Row],[Total]]&lt;&gt; 0, NOT(ISBLANK(SamplingData[[#This Row],[Candidate 3]]))),(SamplingData[[#This Row],[Total]]+SamplingData[[#This Row],[Winning Candidate]]-SamplingData[[#This Row],[Candidate 3]])/(SamplingData[[#Totals],[Winning Candidate]]-SamplingData[[#Totals],[Candidate 3]]), 0)</f>
        <v>0</v>
      </c>
      <c r="S958" s="100">
        <f>IF(AND(SamplingData[[#This Row],[Total]]&lt;&gt; 0, NOT(ISBLANK(SamplingData[[#This Row],[Candidate 4]]))),(SamplingData[[#This Row],[Total]]+SamplingData[[#This Row],[Winning Candidate]]-SamplingData[[#This Row],[Candidate 4]])/(SamplingData[[#Totals],[Winning Candidate]]-SamplingData[[#Totals],[Candidate 4]]), 0)</f>
        <v>0</v>
      </c>
      <c r="T958" s="100">
        <f>IF(AND(SamplingData[[#This Row],[Total]]&lt;&gt; 0, NOT(ISBLANK(SamplingData[[#This Row],[Candidate 5]]))),(SamplingData[[#This Row],[Total]]+SamplingData[[#This Row],[Winning Candidate]]-SamplingData[[#This Row],[Candidate 5]])/(SamplingData[[#Totals],[Winning Candidate]]-SamplingData[[#Totals],[Candidate 5]]), 0)</f>
        <v>0</v>
      </c>
      <c r="U958" s="100">
        <f>IF(AND(SamplingData[[#This Row],[Total]]&lt;&gt; 0, NOT(ISBLANK(SamplingData[[#This Row],[Candidate 6]]))),(SamplingData[[#This Row],[Total]]+SamplingData[[#This Row],[Losing Candidate]]-SamplingData[[#This Row],[Candidate 6]])/(SamplingData[[#Totals],[Winning Candidate]]-SamplingData[[#Totals],[Candidate 6]]), 0)</f>
        <v>0</v>
      </c>
      <c r="V958" s="100">
        <f>IF(AND(SamplingData[[#This Row],[Total]]&lt;&gt; 0, NOT(ISBLANK(SamplingData[[#This Row],[Candidate 7]]))),(SamplingData[[#This Row],[Total]]+SamplingData[[#This Row],[Winning Candidate]]-SamplingData[[#This Row],[Candidate 7]])/(SamplingData[[#Totals],[Winning Candidate]]-SamplingData[[#Totals],[Candidate 7]]), 0)</f>
        <v>0</v>
      </c>
      <c r="W958" s="100">
        <f>IF(AND(SamplingData[[#This Row],[Total]]&lt;&gt; 0, NOT(ISBLANK(SamplingData[[#This Row],[Candidate 8]]))),(SamplingData[[#This Row],[Total]]+SamplingData[[#This Row],[Winning Candidate]]-SamplingData[[#This Row],[Candidate 8]])/(SamplingData[[#Totals],[Winning Candidate]]-SamplingData[[#Totals],[Candidate 8]]), 0)</f>
        <v>0</v>
      </c>
      <c r="X9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00">
        <f>MAX(SamplingData[[#This Row],[Error Bound (up) - Max. possible relative overstatement - Losing Candidate]:[Error Bound (up) - Max. possible relative overstatement - Candidate 12]])</f>
        <v>8.7947985048842541E-4</v>
      </c>
      <c r="AC958" s="100">
        <f>IF(SamplingData[[#This Row],[Max Error Bound (up)]] = 0,0,SamplingData[[#This Row],[Max Error Bound (up)]]/SamplingData[[#Totals],[Max Error Bound (up)]])</f>
        <v>3.7689118613040446E-4</v>
      </c>
      <c r="AD958" s="104">
        <f>SUM($AC$5:AC958)</f>
        <v>0.60812738922091281</v>
      </c>
      <c r="AE958" s="100" t="str" cm="1">
        <f t="array" ref="AE958">IF(SamplingData[[#This Row],[up/U Selection Probability]] = 0, "Zero", TEXT(SamplingData[[#This Row],[Lower Range]], REPT("0",LEN('General Info'!$B$42))) &amp; " - " &amp; TEXT(SamplingData[[#This Row],[Upper Range]], REPT("0",LEN('General Info'!$B$42))))</f>
        <v>60775 - 60812</v>
      </c>
      <c r="AF958" s="100">
        <f>SamplingData[[#This Row],[Upper Range]]-SamplingData[[#This Row],[Span]]</f>
        <v>60775.049803478243</v>
      </c>
      <c r="AG958" s="100">
        <f>IF(ISNUMBER('General Info'!$B$42), ((SamplingData[[#This Row],[up/U Selection Probability]]) * 'General Info'!$B$44) - 1, 0)</f>
        <v>36.689118613040449</v>
      </c>
      <c r="AH958" s="100">
        <f>IF(ISNUMBER('General Info'!$B$42), (SamplingData[[#This Row],[Running (cumulative) sum]] * ('General Info'!$B$42 -'General Info'!$B$43 + 1)) + 'General Info'!$B$43 - 1, 0)</f>
        <v>60811.738922091281</v>
      </c>
      <c r="AI958" s="100" t="str">
        <f>IF(ISERROR(MATCH(SamplingData[[#This Row],[Batch by Type (p)]],SelectedPrecincts[Batch Name], 0)), "", INDEX(SelectedPrecincts[Draw], MATCH(SamplingData[[#This Row],[Batch by Type (p)]],SelectedPrecincts[Batch Name], 0)))</f>
        <v/>
      </c>
      <c r="AJ958" s="101">
        <f>IF(COUNTIF(SelectedPrecincts[Batch Name],SamplingData[[#This Row],[Batch by Type (p)]]) &lt;&gt; 0, COUNTIF(SelectedPrecincts[Batch Name],SamplingData[[#This Row],[Batch by Type (p)]]), 0)</f>
        <v>0</v>
      </c>
    </row>
    <row r="959" spans="1:36" ht="15" customHeight="1" x14ac:dyDescent="0.35">
      <c r="A959" s="98" t="s">
        <v>1170</v>
      </c>
      <c r="B959" s="98">
        <v>16</v>
      </c>
      <c r="C959" s="98">
        <v>1</v>
      </c>
      <c r="D959" s="93"/>
      <c r="E959" s="93"/>
      <c r="F959" s="93"/>
      <c r="G959" s="97"/>
      <c r="H959" s="97"/>
      <c r="I959" s="93"/>
      <c r="J959" s="93"/>
      <c r="K959" s="93"/>
      <c r="L959" s="93"/>
      <c r="M959" s="93"/>
      <c r="N959" s="98">
        <v>0</v>
      </c>
      <c r="O959" s="98">
        <v>0</v>
      </c>
      <c r="P959" s="99">
        <f>SUM(SamplingData[[#This Row],[Winning Candidate]:[Under Votes]])</f>
        <v>17</v>
      </c>
      <c r="Q959"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959" s="100">
        <f>IF(AND(SamplingData[[#This Row],[Total]]&lt;&gt; 0, NOT(ISBLANK(SamplingData[[#This Row],[Candidate 3]]))),(SamplingData[[#This Row],[Total]]+SamplingData[[#This Row],[Winning Candidate]]-SamplingData[[#This Row],[Candidate 3]])/(SamplingData[[#Totals],[Winning Candidate]]-SamplingData[[#Totals],[Candidate 3]]), 0)</f>
        <v>0</v>
      </c>
      <c r="S959" s="100">
        <f>IF(AND(SamplingData[[#This Row],[Total]]&lt;&gt; 0, NOT(ISBLANK(SamplingData[[#This Row],[Candidate 4]]))),(SamplingData[[#This Row],[Total]]+SamplingData[[#This Row],[Winning Candidate]]-SamplingData[[#This Row],[Candidate 4]])/(SamplingData[[#Totals],[Winning Candidate]]-SamplingData[[#Totals],[Candidate 4]]), 0)</f>
        <v>0</v>
      </c>
      <c r="T959" s="100">
        <f>IF(AND(SamplingData[[#This Row],[Total]]&lt;&gt; 0, NOT(ISBLANK(SamplingData[[#This Row],[Candidate 5]]))),(SamplingData[[#This Row],[Total]]+SamplingData[[#This Row],[Winning Candidate]]-SamplingData[[#This Row],[Candidate 5]])/(SamplingData[[#Totals],[Winning Candidate]]-SamplingData[[#Totals],[Candidate 5]]), 0)</f>
        <v>0</v>
      </c>
      <c r="U959" s="100">
        <f>IF(AND(SamplingData[[#This Row],[Total]]&lt;&gt; 0, NOT(ISBLANK(SamplingData[[#This Row],[Candidate 6]]))),(SamplingData[[#This Row],[Total]]+SamplingData[[#This Row],[Losing Candidate]]-SamplingData[[#This Row],[Candidate 6]])/(SamplingData[[#Totals],[Winning Candidate]]-SamplingData[[#Totals],[Candidate 6]]), 0)</f>
        <v>0</v>
      </c>
      <c r="V959" s="100">
        <f>IF(AND(SamplingData[[#This Row],[Total]]&lt;&gt; 0, NOT(ISBLANK(SamplingData[[#This Row],[Candidate 7]]))),(SamplingData[[#This Row],[Total]]+SamplingData[[#This Row],[Winning Candidate]]-SamplingData[[#This Row],[Candidate 7]])/(SamplingData[[#Totals],[Winning Candidate]]-SamplingData[[#Totals],[Candidate 7]]), 0)</f>
        <v>0</v>
      </c>
      <c r="W959" s="100">
        <f>IF(AND(SamplingData[[#This Row],[Total]]&lt;&gt; 0, NOT(ISBLANK(SamplingData[[#This Row],[Candidate 8]]))),(SamplingData[[#This Row],[Total]]+SamplingData[[#This Row],[Winning Candidate]]-SamplingData[[#This Row],[Candidate 8]])/(SamplingData[[#Totals],[Winning Candidate]]-SamplingData[[#Totals],[Candidate 8]]), 0)</f>
        <v>0</v>
      </c>
      <c r="X9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00">
        <f>MAX(SamplingData[[#This Row],[Error Bound (up) - Max. possible relative overstatement - Losing Candidate]:[Error Bound (up) - Max. possible relative overstatement - Candidate 12]])</f>
        <v>1.005119829129629E-3</v>
      </c>
      <c r="AC959" s="100">
        <f>IF(SamplingData[[#This Row],[Max Error Bound (up)]] = 0,0,SamplingData[[#This Row],[Max Error Bound (up)]]/SamplingData[[#Totals],[Max Error Bound (up)]])</f>
        <v>4.3073278414903365E-4</v>
      </c>
      <c r="AD959" s="104">
        <f>SUM($AC$5:AC959)</f>
        <v>0.60855812200506187</v>
      </c>
      <c r="AE959" s="100" t="str" cm="1">
        <f t="array" ref="AE959">IF(SamplingData[[#This Row],[up/U Selection Probability]] = 0, "Zero", TEXT(SamplingData[[#This Row],[Lower Range]], REPT("0",LEN('General Info'!$B$42))) &amp; " - " &amp; TEXT(SamplingData[[#This Row],[Upper Range]], REPT("0",LEN('General Info'!$B$42))))</f>
        <v>60813 - 60855</v>
      </c>
      <c r="AF959" s="100">
        <f>SamplingData[[#This Row],[Upper Range]]-SamplingData[[#This Row],[Span]]</f>
        <v>60812.738922091288</v>
      </c>
      <c r="AG959" s="100">
        <f>IF(ISNUMBER('General Info'!$B$42), ((SamplingData[[#This Row],[up/U Selection Probability]]) * 'General Info'!$B$44) - 1, 0)</f>
        <v>42.073278414903363</v>
      </c>
      <c r="AH959" s="100">
        <f>IF(ISNUMBER('General Info'!$B$42), (SamplingData[[#This Row],[Running (cumulative) sum]] * ('General Info'!$B$42 -'General Info'!$B$43 + 1)) + 'General Info'!$B$43 - 1, 0)</f>
        <v>60854.812200506189</v>
      </c>
      <c r="AI959" s="100" t="str">
        <f>IF(ISERROR(MATCH(SamplingData[[#This Row],[Batch by Type (p)]],SelectedPrecincts[Batch Name], 0)), "", INDEX(SelectedPrecincts[Draw], MATCH(SamplingData[[#This Row],[Batch by Type (p)]],SelectedPrecincts[Batch Name], 0)))</f>
        <v/>
      </c>
      <c r="AJ959" s="101">
        <f>IF(COUNTIF(SelectedPrecincts[Batch Name],SamplingData[[#This Row],[Batch by Type (p)]]) &lt;&gt; 0, COUNTIF(SelectedPrecincts[Batch Name],SamplingData[[#This Row],[Batch by Type (p)]]), 0)</f>
        <v>0</v>
      </c>
    </row>
    <row r="960" spans="1:36" ht="15" customHeight="1" x14ac:dyDescent="0.35">
      <c r="A960" s="98" t="s">
        <v>1171</v>
      </c>
      <c r="B960" s="98">
        <v>33</v>
      </c>
      <c r="C960" s="98">
        <v>4</v>
      </c>
      <c r="D960" s="93"/>
      <c r="E960" s="93"/>
      <c r="F960" s="93"/>
      <c r="G960" s="97"/>
      <c r="H960" s="97"/>
      <c r="I960" s="93"/>
      <c r="J960" s="93"/>
      <c r="K960" s="93"/>
      <c r="L960" s="93"/>
      <c r="M960" s="93"/>
      <c r="N960" s="98">
        <v>0</v>
      </c>
      <c r="O960" s="98">
        <v>0</v>
      </c>
      <c r="P960" s="99">
        <f>SUM(SamplingData[[#This Row],[Winning Candidate]:[Under Votes]])</f>
        <v>37</v>
      </c>
      <c r="Q960"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960" s="100">
        <f>IF(AND(SamplingData[[#This Row],[Total]]&lt;&gt; 0, NOT(ISBLANK(SamplingData[[#This Row],[Candidate 3]]))),(SamplingData[[#This Row],[Total]]+SamplingData[[#This Row],[Winning Candidate]]-SamplingData[[#This Row],[Candidate 3]])/(SamplingData[[#Totals],[Winning Candidate]]-SamplingData[[#Totals],[Candidate 3]]), 0)</f>
        <v>0</v>
      </c>
      <c r="S960" s="100">
        <f>IF(AND(SamplingData[[#This Row],[Total]]&lt;&gt; 0, NOT(ISBLANK(SamplingData[[#This Row],[Candidate 4]]))),(SamplingData[[#This Row],[Total]]+SamplingData[[#This Row],[Winning Candidate]]-SamplingData[[#This Row],[Candidate 4]])/(SamplingData[[#Totals],[Winning Candidate]]-SamplingData[[#Totals],[Candidate 4]]), 0)</f>
        <v>0</v>
      </c>
      <c r="T960" s="100">
        <f>IF(AND(SamplingData[[#This Row],[Total]]&lt;&gt; 0, NOT(ISBLANK(SamplingData[[#This Row],[Candidate 5]]))),(SamplingData[[#This Row],[Total]]+SamplingData[[#This Row],[Winning Candidate]]-SamplingData[[#This Row],[Candidate 5]])/(SamplingData[[#Totals],[Winning Candidate]]-SamplingData[[#Totals],[Candidate 5]]), 0)</f>
        <v>0</v>
      </c>
      <c r="U960" s="100">
        <f>IF(AND(SamplingData[[#This Row],[Total]]&lt;&gt; 0, NOT(ISBLANK(SamplingData[[#This Row],[Candidate 6]]))),(SamplingData[[#This Row],[Total]]+SamplingData[[#This Row],[Losing Candidate]]-SamplingData[[#This Row],[Candidate 6]])/(SamplingData[[#Totals],[Winning Candidate]]-SamplingData[[#Totals],[Candidate 6]]), 0)</f>
        <v>0</v>
      </c>
      <c r="V960" s="100">
        <f>IF(AND(SamplingData[[#This Row],[Total]]&lt;&gt; 0, NOT(ISBLANK(SamplingData[[#This Row],[Candidate 7]]))),(SamplingData[[#This Row],[Total]]+SamplingData[[#This Row],[Winning Candidate]]-SamplingData[[#This Row],[Candidate 7]])/(SamplingData[[#Totals],[Winning Candidate]]-SamplingData[[#Totals],[Candidate 7]]), 0)</f>
        <v>0</v>
      </c>
      <c r="W960" s="100">
        <f>IF(AND(SamplingData[[#This Row],[Total]]&lt;&gt; 0, NOT(ISBLANK(SamplingData[[#This Row],[Candidate 8]]))),(SamplingData[[#This Row],[Total]]+SamplingData[[#This Row],[Winning Candidate]]-SamplingData[[#This Row],[Candidate 8]])/(SamplingData[[#Totals],[Winning Candidate]]-SamplingData[[#Totals],[Candidate 8]]), 0)</f>
        <v>0</v>
      </c>
      <c r="X9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00">
        <f>MAX(SamplingData[[#This Row],[Error Bound (up) - Max. possible relative overstatement - Losing Candidate]:[Error Bound (up) - Max. possible relative overstatement - Candidate 12]])</f>
        <v>2.0730596475798599E-3</v>
      </c>
      <c r="AC960" s="100">
        <f>IF(SamplingData[[#This Row],[Max Error Bound (up)]] = 0,0,SamplingData[[#This Row],[Max Error Bound (up)]]/SamplingData[[#Totals],[Max Error Bound (up)]])</f>
        <v>8.8838636730738201E-4</v>
      </c>
      <c r="AD960" s="104">
        <f>SUM($AC$5:AC960)</f>
        <v>0.60944650837236924</v>
      </c>
      <c r="AE960" s="100" t="str" cm="1">
        <f t="array" ref="AE960">IF(SamplingData[[#This Row],[up/U Selection Probability]] = 0, "Zero", TEXT(SamplingData[[#This Row],[Lower Range]], REPT("0",LEN('General Info'!$B$42))) &amp; " - " &amp; TEXT(SamplingData[[#This Row],[Upper Range]], REPT("0",LEN('General Info'!$B$42))))</f>
        <v>60856 - 60944</v>
      </c>
      <c r="AF960" s="100">
        <f>SamplingData[[#This Row],[Upper Range]]-SamplingData[[#This Row],[Span]]</f>
        <v>60855.812200506189</v>
      </c>
      <c r="AG960" s="100">
        <f>IF(ISNUMBER('General Info'!$B$42), ((SamplingData[[#This Row],[up/U Selection Probability]]) * 'General Info'!$B$44) - 1, 0)</f>
        <v>87.838636730738202</v>
      </c>
      <c r="AH960" s="100">
        <f>IF(ISNUMBER('General Info'!$B$42), (SamplingData[[#This Row],[Running (cumulative) sum]] * ('General Info'!$B$42 -'General Info'!$B$43 + 1)) + 'General Info'!$B$43 - 1, 0)</f>
        <v>60943.650837236928</v>
      </c>
      <c r="AI960" s="100" t="str">
        <f>IF(ISERROR(MATCH(SamplingData[[#This Row],[Batch by Type (p)]],SelectedPrecincts[Batch Name], 0)), "", INDEX(SelectedPrecincts[Draw], MATCH(SamplingData[[#This Row],[Batch by Type (p)]],SelectedPrecincts[Batch Name], 0)))</f>
        <v/>
      </c>
      <c r="AJ960" s="101">
        <f>IF(COUNTIF(SelectedPrecincts[Batch Name],SamplingData[[#This Row],[Batch by Type (p)]]) &lt;&gt; 0, COUNTIF(SelectedPrecincts[Batch Name],SamplingData[[#This Row],[Batch by Type (p)]]), 0)</f>
        <v>0</v>
      </c>
    </row>
    <row r="961" spans="1:36" ht="15" customHeight="1" x14ac:dyDescent="0.35">
      <c r="A961" s="98" t="s">
        <v>1172</v>
      </c>
      <c r="B961" s="98">
        <v>0</v>
      </c>
      <c r="C961" s="98">
        <v>0</v>
      </c>
      <c r="D961" s="93"/>
      <c r="E961" s="93"/>
      <c r="F961" s="93"/>
      <c r="G961" s="97"/>
      <c r="H961" s="97"/>
      <c r="I961" s="93"/>
      <c r="J961" s="93"/>
      <c r="K961" s="93"/>
      <c r="L961" s="93"/>
      <c r="M961" s="93"/>
      <c r="N961" s="98">
        <v>0</v>
      </c>
      <c r="O961" s="98">
        <v>0</v>
      </c>
      <c r="P961" s="99">
        <f>SUM(SamplingData[[#This Row],[Winning Candidate]:[Under Votes]])</f>
        <v>0</v>
      </c>
      <c r="Q961" s="100">
        <f>IF(AND(SamplingData[[#This Row],[Total]]&lt;&gt; 0, NOT(ISBLANK(SamplingData[[#This Row],[Losing Candidate]]))),(SamplingData[[#This Row],[Total]]+SamplingData[[#This Row],[Winning Candidate]]-SamplingData[[#This Row],[Losing Candidate]])/(SamplingData[[#Totals],[Winning Candidate]]-SamplingData[[#Totals],[Losing Candidate]]), 0)</f>
        <v>0</v>
      </c>
      <c r="R961" s="100">
        <f>IF(AND(SamplingData[[#This Row],[Total]]&lt;&gt; 0, NOT(ISBLANK(SamplingData[[#This Row],[Candidate 3]]))),(SamplingData[[#This Row],[Total]]+SamplingData[[#This Row],[Winning Candidate]]-SamplingData[[#This Row],[Candidate 3]])/(SamplingData[[#Totals],[Winning Candidate]]-SamplingData[[#Totals],[Candidate 3]]), 0)</f>
        <v>0</v>
      </c>
      <c r="S961" s="100">
        <f>IF(AND(SamplingData[[#This Row],[Total]]&lt;&gt; 0, NOT(ISBLANK(SamplingData[[#This Row],[Candidate 4]]))),(SamplingData[[#This Row],[Total]]+SamplingData[[#This Row],[Winning Candidate]]-SamplingData[[#This Row],[Candidate 4]])/(SamplingData[[#Totals],[Winning Candidate]]-SamplingData[[#Totals],[Candidate 4]]), 0)</f>
        <v>0</v>
      </c>
      <c r="T961" s="100">
        <f>IF(AND(SamplingData[[#This Row],[Total]]&lt;&gt; 0, NOT(ISBLANK(SamplingData[[#This Row],[Candidate 5]]))),(SamplingData[[#This Row],[Total]]+SamplingData[[#This Row],[Winning Candidate]]-SamplingData[[#This Row],[Candidate 5]])/(SamplingData[[#Totals],[Winning Candidate]]-SamplingData[[#Totals],[Candidate 5]]), 0)</f>
        <v>0</v>
      </c>
      <c r="U961" s="100">
        <f>IF(AND(SamplingData[[#This Row],[Total]]&lt;&gt; 0, NOT(ISBLANK(SamplingData[[#This Row],[Candidate 6]]))),(SamplingData[[#This Row],[Total]]+SamplingData[[#This Row],[Losing Candidate]]-SamplingData[[#This Row],[Candidate 6]])/(SamplingData[[#Totals],[Winning Candidate]]-SamplingData[[#Totals],[Candidate 6]]), 0)</f>
        <v>0</v>
      </c>
      <c r="V961" s="100">
        <f>IF(AND(SamplingData[[#This Row],[Total]]&lt;&gt; 0, NOT(ISBLANK(SamplingData[[#This Row],[Candidate 7]]))),(SamplingData[[#This Row],[Total]]+SamplingData[[#This Row],[Winning Candidate]]-SamplingData[[#This Row],[Candidate 7]])/(SamplingData[[#Totals],[Winning Candidate]]-SamplingData[[#Totals],[Candidate 7]]), 0)</f>
        <v>0</v>
      </c>
      <c r="W961" s="100">
        <f>IF(AND(SamplingData[[#This Row],[Total]]&lt;&gt; 0, NOT(ISBLANK(SamplingData[[#This Row],[Candidate 8]]))),(SamplingData[[#This Row],[Total]]+SamplingData[[#This Row],[Winning Candidate]]-SamplingData[[#This Row],[Candidate 8]])/(SamplingData[[#Totals],[Winning Candidate]]-SamplingData[[#Totals],[Candidate 8]]), 0)</f>
        <v>0</v>
      </c>
      <c r="X9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00">
        <f>MAX(SamplingData[[#This Row],[Error Bound (up) - Max. possible relative overstatement - Losing Candidate]:[Error Bound (up) - Max. possible relative overstatement - Candidate 12]])</f>
        <v>0</v>
      </c>
      <c r="AC961" s="100">
        <f>IF(SamplingData[[#This Row],[Max Error Bound (up)]] = 0,0,SamplingData[[#This Row],[Max Error Bound (up)]]/SamplingData[[#Totals],[Max Error Bound (up)]])</f>
        <v>0</v>
      </c>
      <c r="AD961" s="104">
        <f>SUM($AC$5:AC961)</f>
        <v>0.60944650837236924</v>
      </c>
      <c r="AE961" s="100" t="str" cm="1">
        <f t="array" ref="AE961">IF(SamplingData[[#This Row],[up/U Selection Probability]] = 0, "Zero", TEXT(SamplingData[[#This Row],[Lower Range]], REPT("0",LEN('General Info'!$B$42))) &amp; " - " &amp; TEXT(SamplingData[[#This Row],[Upper Range]], REPT("0",LEN('General Info'!$B$42))))</f>
        <v>Zero</v>
      </c>
      <c r="AF961" s="100">
        <f>SamplingData[[#This Row],[Upper Range]]-SamplingData[[#This Row],[Span]]</f>
        <v>60944.650837236928</v>
      </c>
      <c r="AG961" s="100">
        <f>IF(ISNUMBER('General Info'!$B$42), ((SamplingData[[#This Row],[up/U Selection Probability]]) * 'General Info'!$B$44) - 1, 0)</f>
        <v>-1</v>
      </c>
      <c r="AH961" s="100">
        <f>IF(ISNUMBER('General Info'!$B$42), (SamplingData[[#This Row],[Running (cumulative) sum]] * ('General Info'!$B$42 -'General Info'!$B$43 + 1)) + 'General Info'!$B$43 - 1, 0)</f>
        <v>60943.650837236928</v>
      </c>
      <c r="AI961" s="100" t="str">
        <f>IF(ISERROR(MATCH(SamplingData[[#This Row],[Batch by Type (p)]],SelectedPrecincts[Batch Name], 0)), "", INDEX(SelectedPrecincts[Draw], MATCH(SamplingData[[#This Row],[Batch by Type (p)]],SelectedPrecincts[Batch Name], 0)))</f>
        <v/>
      </c>
      <c r="AJ961" s="101">
        <f>IF(COUNTIF(SelectedPrecincts[Batch Name],SamplingData[[#This Row],[Batch by Type (p)]]) &lt;&gt; 0, COUNTIF(SelectedPrecincts[Batch Name],SamplingData[[#This Row],[Batch by Type (p)]]), 0)</f>
        <v>0</v>
      </c>
    </row>
    <row r="962" spans="1:36" ht="15" customHeight="1" x14ac:dyDescent="0.35">
      <c r="A962" s="98" t="s">
        <v>1173</v>
      </c>
      <c r="B962" s="98">
        <v>4</v>
      </c>
      <c r="C962" s="98">
        <v>3</v>
      </c>
      <c r="D962" s="93"/>
      <c r="E962" s="93"/>
      <c r="F962" s="93"/>
      <c r="G962" s="97"/>
      <c r="H962" s="97"/>
      <c r="I962" s="93"/>
      <c r="J962" s="93"/>
      <c r="K962" s="93"/>
      <c r="L962" s="93"/>
      <c r="M962" s="93"/>
      <c r="N962" s="98">
        <v>0</v>
      </c>
      <c r="O962" s="98">
        <v>0</v>
      </c>
      <c r="P962" s="99">
        <f>SUM(SamplingData[[#This Row],[Winning Candidate]:[Under Votes]])</f>
        <v>7</v>
      </c>
      <c r="Q962"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962" s="100">
        <f>IF(AND(SamplingData[[#This Row],[Total]]&lt;&gt; 0, NOT(ISBLANK(SamplingData[[#This Row],[Candidate 3]]))),(SamplingData[[#This Row],[Total]]+SamplingData[[#This Row],[Winning Candidate]]-SamplingData[[#This Row],[Candidate 3]])/(SamplingData[[#Totals],[Winning Candidate]]-SamplingData[[#Totals],[Candidate 3]]), 0)</f>
        <v>0</v>
      </c>
      <c r="S962" s="100">
        <f>IF(AND(SamplingData[[#This Row],[Total]]&lt;&gt; 0, NOT(ISBLANK(SamplingData[[#This Row],[Candidate 4]]))),(SamplingData[[#This Row],[Total]]+SamplingData[[#This Row],[Winning Candidate]]-SamplingData[[#This Row],[Candidate 4]])/(SamplingData[[#Totals],[Winning Candidate]]-SamplingData[[#Totals],[Candidate 4]]), 0)</f>
        <v>0</v>
      </c>
      <c r="T962" s="100">
        <f>IF(AND(SamplingData[[#This Row],[Total]]&lt;&gt; 0, NOT(ISBLANK(SamplingData[[#This Row],[Candidate 5]]))),(SamplingData[[#This Row],[Total]]+SamplingData[[#This Row],[Winning Candidate]]-SamplingData[[#This Row],[Candidate 5]])/(SamplingData[[#Totals],[Winning Candidate]]-SamplingData[[#Totals],[Candidate 5]]), 0)</f>
        <v>0</v>
      </c>
      <c r="U962" s="100">
        <f>IF(AND(SamplingData[[#This Row],[Total]]&lt;&gt; 0, NOT(ISBLANK(SamplingData[[#This Row],[Candidate 6]]))),(SamplingData[[#This Row],[Total]]+SamplingData[[#This Row],[Losing Candidate]]-SamplingData[[#This Row],[Candidate 6]])/(SamplingData[[#Totals],[Winning Candidate]]-SamplingData[[#Totals],[Candidate 6]]), 0)</f>
        <v>0</v>
      </c>
      <c r="V962" s="100">
        <f>IF(AND(SamplingData[[#This Row],[Total]]&lt;&gt; 0, NOT(ISBLANK(SamplingData[[#This Row],[Candidate 7]]))),(SamplingData[[#This Row],[Total]]+SamplingData[[#This Row],[Winning Candidate]]-SamplingData[[#This Row],[Candidate 7]])/(SamplingData[[#Totals],[Winning Candidate]]-SamplingData[[#Totals],[Candidate 7]]), 0)</f>
        <v>0</v>
      </c>
      <c r="W962" s="100">
        <f>IF(AND(SamplingData[[#This Row],[Total]]&lt;&gt; 0, NOT(ISBLANK(SamplingData[[#This Row],[Candidate 8]]))),(SamplingData[[#This Row],[Total]]+SamplingData[[#This Row],[Winning Candidate]]-SamplingData[[#This Row],[Candidate 8]])/(SamplingData[[#Totals],[Winning Candidate]]-SamplingData[[#Totals],[Candidate 8]]), 0)</f>
        <v>0</v>
      </c>
      <c r="X9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00">
        <f>MAX(SamplingData[[#This Row],[Error Bound (up) - Max. possible relative overstatement - Losing Candidate]:[Error Bound (up) - Max. possible relative overstatement - Candidate 12]])</f>
        <v>2.5127995728240724E-4</v>
      </c>
      <c r="AC962" s="100">
        <f>IF(SamplingData[[#This Row],[Max Error Bound (up)]] = 0,0,SamplingData[[#This Row],[Max Error Bound (up)]]/SamplingData[[#Totals],[Max Error Bound (up)]])</f>
        <v>1.0768319603725841E-4</v>
      </c>
      <c r="AD962" s="104">
        <f>SUM($AC$5:AC962)</f>
        <v>0.60955419156840651</v>
      </c>
      <c r="AE962" s="100" t="str" cm="1">
        <f t="array" ref="AE962">IF(SamplingData[[#This Row],[up/U Selection Probability]] = 0, "Zero", TEXT(SamplingData[[#This Row],[Lower Range]], REPT("0",LEN('General Info'!$B$42))) &amp; " - " &amp; TEXT(SamplingData[[#This Row],[Upper Range]], REPT("0",LEN('General Info'!$B$42))))</f>
        <v>60945 - 60954</v>
      </c>
      <c r="AF962" s="100">
        <f>SamplingData[[#This Row],[Upper Range]]-SamplingData[[#This Row],[Span]]</f>
        <v>60944.650837236928</v>
      </c>
      <c r="AG962" s="100">
        <f>IF(ISNUMBER('General Info'!$B$42), ((SamplingData[[#This Row],[up/U Selection Probability]]) * 'General Info'!$B$44) - 1, 0)</f>
        <v>9.7683196037258408</v>
      </c>
      <c r="AH962" s="100">
        <f>IF(ISNUMBER('General Info'!$B$42), (SamplingData[[#This Row],[Running (cumulative) sum]] * ('General Info'!$B$42 -'General Info'!$B$43 + 1)) + 'General Info'!$B$43 - 1, 0)</f>
        <v>60954.419156840653</v>
      </c>
      <c r="AI962" s="100" t="str">
        <f>IF(ISERROR(MATCH(SamplingData[[#This Row],[Batch by Type (p)]],SelectedPrecincts[Batch Name], 0)), "", INDEX(SelectedPrecincts[Draw], MATCH(SamplingData[[#This Row],[Batch by Type (p)]],SelectedPrecincts[Batch Name], 0)))</f>
        <v/>
      </c>
      <c r="AJ962" s="101">
        <f>IF(COUNTIF(SelectedPrecincts[Batch Name],SamplingData[[#This Row],[Batch by Type (p)]]) &lt;&gt; 0, COUNTIF(SelectedPrecincts[Batch Name],SamplingData[[#This Row],[Batch by Type (p)]]), 0)</f>
        <v>0</v>
      </c>
    </row>
    <row r="963" spans="1:36" ht="15" customHeight="1" x14ac:dyDescent="0.35">
      <c r="A963" s="98" t="s">
        <v>1174</v>
      </c>
      <c r="B963" s="98">
        <v>227</v>
      </c>
      <c r="C963" s="98">
        <v>19</v>
      </c>
      <c r="D963" s="93"/>
      <c r="E963" s="93"/>
      <c r="F963" s="93"/>
      <c r="G963" s="97"/>
      <c r="H963" s="97"/>
      <c r="I963" s="93"/>
      <c r="J963" s="93"/>
      <c r="K963" s="93"/>
      <c r="L963" s="93"/>
      <c r="M963" s="93"/>
      <c r="N963" s="98">
        <v>1</v>
      </c>
      <c r="O963" s="98">
        <v>13</v>
      </c>
      <c r="P963" s="99">
        <f>SUM(SamplingData[[#This Row],[Winning Candidate]:[Under Votes]])</f>
        <v>260</v>
      </c>
      <c r="Q963" s="100">
        <f>IF(AND(SamplingData[[#This Row],[Total]]&lt;&gt; 0, NOT(ISBLANK(SamplingData[[#This Row],[Losing Candidate]]))),(SamplingData[[#This Row],[Total]]+SamplingData[[#This Row],[Winning Candidate]]-SamplingData[[#This Row],[Losing Candidate]])/(SamplingData[[#Totals],[Winning Candidate]]-SamplingData[[#Totals],[Losing Candidate]]), 0)</f>
        <v>1.4699877501020826E-2</v>
      </c>
      <c r="R963" s="100">
        <f>IF(AND(SamplingData[[#This Row],[Total]]&lt;&gt; 0, NOT(ISBLANK(SamplingData[[#This Row],[Candidate 3]]))),(SamplingData[[#This Row],[Total]]+SamplingData[[#This Row],[Winning Candidate]]-SamplingData[[#This Row],[Candidate 3]])/(SamplingData[[#Totals],[Winning Candidate]]-SamplingData[[#Totals],[Candidate 3]]), 0)</f>
        <v>0</v>
      </c>
      <c r="S963" s="100">
        <f>IF(AND(SamplingData[[#This Row],[Total]]&lt;&gt; 0, NOT(ISBLANK(SamplingData[[#This Row],[Candidate 4]]))),(SamplingData[[#This Row],[Total]]+SamplingData[[#This Row],[Winning Candidate]]-SamplingData[[#This Row],[Candidate 4]])/(SamplingData[[#Totals],[Winning Candidate]]-SamplingData[[#Totals],[Candidate 4]]), 0)</f>
        <v>0</v>
      </c>
      <c r="T963" s="100">
        <f>IF(AND(SamplingData[[#This Row],[Total]]&lt;&gt; 0, NOT(ISBLANK(SamplingData[[#This Row],[Candidate 5]]))),(SamplingData[[#This Row],[Total]]+SamplingData[[#This Row],[Winning Candidate]]-SamplingData[[#This Row],[Candidate 5]])/(SamplingData[[#Totals],[Winning Candidate]]-SamplingData[[#Totals],[Candidate 5]]), 0)</f>
        <v>0</v>
      </c>
      <c r="U963" s="100">
        <f>IF(AND(SamplingData[[#This Row],[Total]]&lt;&gt; 0, NOT(ISBLANK(SamplingData[[#This Row],[Candidate 6]]))),(SamplingData[[#This Row],[Total]]+SamplingData[[#This Row],[Losing Candidate]]-SamplingData[[#This Row],[Candidate 6]])/(SamplingData[[#Totals],[Winning Candidate]]-SamplingData[[#Totals],[Candidate 6]]), 0)</f>
        <v>0</v>
      </c>
      <c r="V963" s="100">
        <f>IF(AND(SamplingData[[#This Row],[Total]]&lt;&gt; 0, NOT(ISBLANK(SamplingData[[#This Row],[Candidate 7]]))),(SamplingData[[#This Row],[Total]]+SamplingData[[#This Row],[Winning Candidate]]-SamplingData[[#This Row],[Candidate 7]])/(SamplingData[[#Totals],[Winning Candidate]]-SamplingData[[#Totals],[Candidate 7]]), 0)</f>
        <v>0</v>
      </c>
      <c r="W963" s="100">
        <f>IF(AND(SamplingData[[#This Row],[Total]]&lt;&gt; 0, NOT(ISBLANK(SamplingData[[#This Row],[Candidate 8]]))),(SamplingData[[#This Row],[Total]]+SamplingData[[#This Row],[Winning Candidate]]-SamplingData[[#This Row],[Candidate 8]])/(SamplingData[[#Totals],[Winning Candidate]]-SamplingData[[#Totals],[Candidate 8]]), 0)</f>
        <v>0</v>
      </c>
      <c r="X9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00">
        <f>MAX(SamplingData[[#This Row],[Error Bound (up) - Max. possible relative overstatement - Losing Candidate]:[Error Bound (up) - Max. possible relative overstatement - Candidate 12]])</f>
        <v>1.4699877501020826E-2</v>
      </c>
      <c r="AC963" s="100">
        <f>IF(SamplingData[[#This Row],[Max Error Bound (up)]] = 0,0,SamplingData[[#This Row],[Max Error Bound (up)]]/SamplingData[[#Totals],[Max Error Bound (up)]])</f>
        <v>6.2994669681796182E-3</v>
      </c>
      <c r="AD963" s="104">
        <f>SUM($AC$5:AC963)</f>
        <v>0.61585365853658613</v>
      </c>
      <c r="AE963" s="100" t="str" cm="1">
        <f t="array" ref="AE963">IF(SamplingData[[#This Row],[up/U Selection Probability]] = 0, "Zero", TEXT(SamplingData[[#This Row],[Lower Range]], REPT("0",LEN('General Info'!$B$42))) &amp; " - " &amp; TEXT(SamplingData[[#This Row],[Upper Range]], REPT("0",LEN('General Info'!$B$42))))</f>
        <v>60955 - 61584</v>
      </c>
      <c r="AF963" s="100">
        <f>SamplingData[[#This Row],[Upper Range]]-SamplingData[[#This Row],[Span]]</f>
        <v>60955.419156840653</v>
      </c>
      <c r="AG963" s="100">
        <f>IF(ISNUMBER('General Info'!$B$42), ((SamplingData[[#This Row],[up/U Selection Probability]]) * 'General Info'!$B$44) - 1, 0)</f>
        <v>628.94669681796177</v>
      </c>
      <c r="AH963" s="100">
        <f>IF(ISNUMBER('General Info'!$B$42), (SamplingData[[#This Row],[Running (cumulative) sum]] * ('General Info'!$B$42 -'General Info'!$B$43 + 1)) + 'General Info'!$B$43 - 1, 0)</f>
        <v>61584.365853658615</v>
      </c>
      <c r="AI963" s="100" t="str">
        <f>IF(ISERROR(MATCH(SamplingData[[#This Row],[Batch by Type (p)]],SelectedPrecincts[Batch Name], 0)), "", INDEX(SelectedPrecincts[Draw], MATCH(SamplingData[[#This Row],[Batch by Type (p)]],SelectedPrecincts[Batch Name], 0)))</f>
        <v/>
      </c>
      <c r="AJ963" s="101">
        <f>IF(COUNTIF(SelectedPrecincts[Batch Name],SamplingData[[#This Row],[Batch by Type (p)]]) &lt;&gt; 0, COUNTIF(SelectedPrecincts[Batch Name],SamplingData[[#This Row],[Batch by Type (p)]]), 0)</f>
        <v>0</v>
      </c>
    </row>
    <row r="964" spans="1:36" ht="15" customHeight="1" x14ac:dyDescent="0.35">
      <c r="A964" s="98" t="s">
        <v>1175</v>
      </c>
      <c r="B964" s="98">
        <v>324</v>
      </c>
      <c r="C964" s="98">
        <v>41</v>
      </c>
      <c r="D964" s="93"/>
      <c r="E964" s="93"/>
      <c r="F964" s="93"/>
      <c r="G964" s="97"/>
      <c r="H964" s="97"/>
      <c r="I964" s="93"/>
      <c r="J964" s="93"/>
      <c r="K964" s="93"/>
      <c r="L964" s="93"/>
      <c r="M964" s="93"/>
      <c r="N964" s="98">
        <v>0</v>
      </c>
      <c r="O964" s="98">
        <v>18</v>
      </c>
      <c r="P964" s="99">
        <f>SUM(SamplingData[[#This Row],[Winning Candidate]:[Under Votes]])</f>
        <v>383</v>
      </c>
      <c r="Q964" s="100">
        <f>IF(AND(SamplingData[[#This Row],[Total]]&lt;&gt; 0, NOT(ISBLANK(SamplingData[[#This Row],[Losing Candidate]]))),(SamplingData[[#This Row],[Total]]+SamplingData[[#This Row],[Winning Candidate]]-SamplingData[[#This Row],[Losing Candidate]])/(SamplingData[[#Totals],[Winning Candidate]]-SamplingData[[#Totals],[Losing Candidate]]), 0)</f>
        <v>2.0919056443760405E-2</v>
      </c>
      <c r="R964" s="100">
        <f>IF(AND(SamplingData[[#This Row],[Total]]&lt;&gt; 0, NOT(ISBLANK(SamplingData[[#This Row],[Candidate 3]]))),(SamplingData[[#This Row],[Total]]+SamplingData[[#This Row],[Winning Candidate]]-SamplingData[[#This Row],[Candidate 3]])/(SamplingData[[#Totals],[Winning Candidate]]-SamplingData[[#Totals],[Candidate 3]]), 0)</f>
        <v>0</v>
      </c>
      <c r="S964" s="100">
        <f>IF(AND(SamplingData[[#This Row],[Total]]&lt;&gt; 0, NOT(ISBLANK(SamplingData[[#This Row],[Candidate 4]]))),(SamplingData[[#This Row],[Total]]+SamplingData[[#This Row],[Winning Candidate]]-SamplingData[[#This Row],[Candidate 4]])/(SamplingData[[#Totals],[Winning Candidate]]-SamplingData[[#Totals],[Candidate 4]]), 0)</f>
        <v>0</v>
      </c>
      <c r="T964" s="100">
        <f>IF(AND(SamplingData[[#This Row],[Total]]&lt;&gt; 0, NOT(ISBLANK(SamplingData[[#This Row],[Candidate 5]]))),(SamplingData[[#This Row],[Total]]+SamplingData[[#This Row],[Winning Candidate]]-SamplingData[[#This Row],[Candidate 5]])/(SamplingData[[#Totals],[Winning Candidate]]-SamplingData[[#Totals],[Candidate 5]]), 0)</f>
        <v>0</v>
      </c>
      <c r="U964" s="100">
        <f>IF(AND(SamplingData[[#This Row],[Total]]&lt;&gt; 0, NOT(ISBLANK(SamplingData[[#This Row],[Candidate 6]]))),(SamplingData[[#This Row],[Total]]+SamplingData[[#This Row],[Losing Candidate]]-SamplingData[[#This Row],[Candidate 6]])/(SamplingData[[#Totals],[Winning Candidate]]-SamplingData[[#Totals],[Candidate 6]]), 0)</f>
        <v>0</v>
      </c>
      <c r="V964" s="100">
        <f>IF(AND(SamplingData[[#This Row],[Total]]&lt;&gt; 0, NOT(ISBLANK(SamplingData[[#This Row],[Candidate 7]]))),(SamplingData[[#This Row],[Total]]+SamplingData[[#This Row],[Winning Candidate]]-SamplingData[[#This Row],[Candidate 7]])/(SamplingData[[#Totals],[Winning Candidate]]-SamplingData[[#Totals],[Candidate 7]]), 0)</f>
        <v>0</v>
      </c>
      <c r="W964" s="100">
        <f>IF(AND(SamplingData[[#This Row],[Total]]&lt;&gt; 0, NOT(ISBLANK(SamplingData[[#This Row],[Candidate 8]]))),(SamplingData[[#This Row],[Total]]+SamplingData[[#This Row],[Winning Candidate]]-SamplingData[[#This Row],[Candidate 8]])/(SamplingData[[#Totals],[Winning Candidate]]-SamplingData[[#Totals],[Candidate 8]]), 0)</f>
        <v>0</v>
      </c>
      <c r="X9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00">
        <f>MAX(SamplingData[[#This Row],[Error Bound (up) - Max. possible relative overstatement - Losing Candidate]:[Error Bound (up) - Max. possible relative overstatement - Candidate 12]])</f>
        <v>2.0919056443760405E-2</v>
      </c>
      <c r="AC964" s="100">
        <f>IF(SamplingData[[#This Row],[Max Error Bound (up)]] = 0,0,SamplingData[[#This Row],[Max Error Bound (up)]]/SamplingData[[#Totals],[Max Error Bound (up)]])</f>
        <v>8.9646260701017645E-3</v>
      </c>
      <c r="AD964" s="104">
        <f>SUM($AC$5:AC964)</f>
        <v>0.62481828460668787</v>
      </c>
      <c r="AE964" s="100" t="str" cm="1">
        <f t="array" ref="AE964">IF(SamplingData[[#This Row],[up/U Selection Probability]] = 0, "Zero", TEXT(SamplingData[[#This Row],[Lower Range]], REPT("0",LEN('General Info'!$B$42))) &amp; " - " &amp; TEXT(SamplingData[[#This Row],[Upper Range]], REPT("0",LEN('General Info'!$B$42))))</f>
        <v>61585 - 62481</v>
      </c>
      <c r="AF964" s="100">
        <f>SamplingData[[#This Row],[Upper Range]]-SamplingData[[#This Row],[Span]]</f>
        <v>61585.365853658615</v>
      </c>
      <c r="AG964" s="100">
        <f>IF(ISNUMBER('General Info'!$B$42), ((SamplingData[[#This Row],[up/U Selection Probability]]) * 'General Info'!$B$44) - 1, 0)</f>
        <v>895.4626070101765</v>
      </c>
      <c r="AH964" s="100">
        <f>IF(ISNUMBER('General Info'!$B$42), (SamplingData[[#This Row],[Running (cumulative) sum]] * ('General Info'!$B$42 -'General Info'!$B$43 + 1)) + 'General Info'!$B$43 - 1, 0)</f>
        <v>62480.828460668788</v>
      </c>
      <c r="AI964" s="100">
        <f>IF(ISERROR(MATCH(SamplingData[[#This Row],[Batch by Type (p)]],SelectedPrecincts[Batch Name], 0)), "", INDEX(SelectedPrecincts[Draw], MATCH(SamplingData[[#This Row],[Batch by Type (p)]],SelectedPrecincts[Batch Name], 0)))</f>
        <v>4</v>
      </c>
      <c r="AJ964" s="101">
        <f>IF(COUNTIF(SelectedPrecincts[Batch Name],SamplingData[[#This Row],[Batch by Type (p)]]) &lt;&gt; 0, COUNTIF(SelectedPrecincts[Batch Name],SamplingData[[#This Row],[Batch by Type (p)]]), 0)</f>
        <v>1</v>
      </c>
    </row>
    <row r="965" spans="1:36" ht="15" customHeight="1" x14ac:dyDescent="0.35">
      <c r="A965" s="98" t="s">
        <v>1176</v>
      </c>
      <c r="B965" s="98">
        <v>83</v>
      </c>
      <c r="C965" s="98">
        <v>20</v>
      </c>
      <c r="D965" s="93"/>
      <c r="E965" s="93"/>
      <c r="F965" s="93"/>
      <c r="G965" s="97"/>
      <c r="H965" s="97"/>
      <c r="I965" s="93"/>
      <c r="J965" s="93"/>
      <c r="K965" s="93"/>
      <c r="L965" s="93"/>
      <c r="M965" s="93"/>
      <c r="N965" s="98">
        <v>0</v>
      </c>
      <c r="O965" s="98">
        <v>0</v>
      </c>
      <c r="P965" s="99">
        <f>SUM(SamplingData[[#This Row],[Winning Candidate]:[Under Votes]])</f>
        <v>103</v>
      </c>
      <c r="Q965" s="100">
        <f>IF(AND(SamplingData[[#This Row],[Total]]&lt;&gt; 0, NOT(ISBLANK(SamplingData[[#This Row],[Losing Candidate]]))),(SamplingData[[#This Row],[Total]]+SamplingData[[#This Row],[Winning Candidate]]-SamplingData[[#This Row],[Losing Candidate]])/(SamplingData[[#Totals],[Winning Candidate]]-SamplingData[[#Totals],[Losing Candidate]]), 0)</f>
        <v>5.2140591136099505E-3</v>
      </c>
      <c r="R965" s="100">
        <f>IF(AND(SamplingData[[#This Row],[Total]]&lt;&gt; 0, NOT(ISBLANK(SamplingData[[#This Row],[Candidate 3]]))),(SamplingData[[#This Row],[Total]]+SamplingData[[#This Row],[Winning Candidate]]-SamplingData[[#This Row],[Candidate 3]])/(SamplingData[[#Totals],[Winning Candidate]]-SamplingData[[#Totals],[Candidate 3]]), 0)</f>
        <v>0</v>
      </c>
      <c r="S965" s="100">
        <f>IF(AND(SamplingData[[#This Row],[Total]]&lt;&gt; 0, NOT(ISBLANK(SamplingData[[#This Row],[Candidate 4]]))),(SamplingData[[#This Row],[Total]]+SamplingData[[#This Row],[Winning Candidate]]-SamplingData[[#This Row],[Candidate 4]])/(SamplingData[[#Totals],[Winning Candidate]]-SamplingData[[#Totals],[Candidate 4]]), 0)</f>
        <v>0</v>
      </c>
      <c r="T965" s="100">
        <f>IF(AND(SamplingData[[#This Row],[Total]]&lt;&gt; 0, NOT(ISBLANK(SamplingData[[#This Row],[Candidate 5]]))),(SamplingData[[#This Row],[Total]]+SamplingData[[#This Row],[Winning Candidate]]-SamplingData[[#This Row],[Candidate 5]])/(SamplingData[[#Totals],[Winning Candidate]]-SamplingData[[#Totals],[Candidate 5]]), 0)</f>
        <v>0</v>
      </c>
      <c r="U965" s="100">
        <f>IF(AND(SamplingData[[#This Row],[Total]]&lt;&gt; 0, NOT(ISBLANK(SamplingData[[#This Row],[Candidate 6]]))),(SamplingData[[#This Row],[Total]]+SamplingData[[#This Row],[Losing Candidate]]-SamplingData[[#This Row],[Candidate 6]])/(SamplingData[[#Totals],[Winning Candidate]]-SamplingData[[#Totals],[Candidate 6]]), 0)</f>
        <v>0</v>
      </c>
      <c r="V965" s="100">
        <f>IF(AND(SamplingData[[#This Row],[Total]]&lt;&gt; 0, NOT(ISBLANK(SamplingData[[#This Row],[Candidate 7]]))),(SamplingData[[#This Row],[Total]]+SamplingData[[#This Row],[Winning Candidate]]-SamplingData[[#This Row],[Candidate 7]])/(SamplingData[[#Totals],[Winning Candidate]]-SamplingData[[#Totals],[Candidate 7]]), 0)</f>
        <v>0</v>
      </c>
      <c r="W965" s="100">
        <f>IF(AND(SamplingData[[#This Row],[Total]]&lt;&gt; 0, NOT(ISBLANK(SamplingData[[#This Row],[Candidate 8]]))),(SamplingData[[#This Row],[Total]]+SamplingData[[#This Row],[Winning Candidate]]-SamplingData[[#This Row],[Candidate 8]])/(SamplingData[[#Totals],[Winning Candidate]]-SamplingData[[#Totals],[Candidate 8]]), 0)</f>
        <v>0</v>
      </c>
      <c r="X9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00">
        <f>MAX(SamplingData[[#This Row],[Error Bound (up) - Max. possible relative overstatement - Losing Candidate]:[Error Bound (up) - Max. possible relative overstatement - Candidate 12]])</f>
        <v>5.2140591136099505E-3</v>
      </c>
      <c r="AC965" s="100">
        <f>IF(SamplingData[[#This Row],[Max Error Bound (up)]] = 0,0,SamplingData[[#This Row],[Max Error Bound (up)]]/SamplingData[[#Totals],[Max Error Bound (up)]])</f>
        <v>2.2344263177731124E-3</v>
      </c>
      <c r="AD965" s="104">
        <f>SUM($AC$5:AC965)</f>
        <v>0.62705271092446102</v>
      </c>
      <c r="AE965" s="100" t="str" cm="1">
        <f t="array" ref="AE965">IF(SamplingData[[#This Row],[up/U Selection Probability]] = 0, "Zero", TEXT(SamplingData[[#This Row],[Lower Range]], REPT("0",LEN('General Info'!$B$42))) &amp; " - " &amp; TEXT(SamplingData[[#This Row],[Upper Range]], REPT("0",LEN('General Info'!$B$42))))</f>
        <v>62482 - 62704</v>
      </c>
      <c r="AF965" s="100">
        <f>SamplingData[[#This Row],[Upper Range]]-SamplingData[[#This Row],[Span]]</f>
        <v>62481.828460668788</v>
      </c>
      <c r="AG965" s="100">
        <f>IF(ISNUMBER('General Info'!$B$42), ((SamplingData[[#This Row],[up/U Selection Probability]]) * 'General Info'!$B$44) - 1, 0)</f>
        <v>222.44263177731125</v>
      </c>
      <c r="AH965" s="100">
        <f>IF(ISNUMBER('General Info'!$B$42), (SamplingData[[#This Row],[Running (cumulative) sum]] * ('General Info'!$B$42 -'General Info'!$B$43 + 1)) + 'General Info'!$B$43 - 1, 0)</f>
        <v>62704.271092446099</v>
      </c>
      <c r="AI965" s="100" t="str">
        <f>IF(ISERROR(MATCH(SamplingData[[#This Row],[Batch by Type (p)]],SelectedPrecincts[Batch Name], 0)), "", INDEX(SelectedPrecincts[Draw], MATCH(SamplingData[[#This Row],[Batch by Type (p)]],SelectedPrecincts[Batch Name], 0)))</f>
        <v/>
      </c>
      <c r="AJ965" s="101">
        <f>IF(COUNTIF(SelectedPrecincts[Batch Name],SamplingData[[#This Row],[Batch by Type (p)]]) &lt;&gt; 0, COUNTIF(SelectedPrecincts[Batch Name],SamplingData[[#This Row],[Batch by Type (p)]]), 0)</f>
        <v>0</v>
      </c>
    </row>
    <row r="966" spans="1:36" ht="15" customHeight="1" x14ac:dyDescent="0.35">
      <c r="A966" s="98" t="s">
        <v>1177</v>
      </c>
      <c r="B966" s="98">
        <v>74</v>
      </c>
      <c r="C966" s="98">
        <v>7</v>
      </c>
      <c r="D966" s="93"/>
      <c r="E966" s="93"/>
      <c r="F966" s="93"/>
      <c r="G966" s="97"/>
      <c r="H966" s="97"/>
      <c r="I966" s="93"/>
      <c r="J966" s="93"/>
      <c r="K966" s="93"/>
      <c r="L966" s="93"/>
      <c r="M966" s="93"/>
      <c r="N966" s="98">
        <v>0</v>
      </c>
      <c r="O966" s="98">
        <v>7</v>
      </c>
      <c r="P966" s="99">
        <f>SUM(SamplingData[[#This Row],[Winning Candidate]:[Under Votes]])</f>
        <v>88</v>
      </c>
      <c r="Q966" s="100">
        <f>IF(AND(SamplingData[[#This Row],[Total]]&lt;&gt; 0, NOT(ISBLANK(SamplingData[[#This Row],[Losing Candidate]]))),(SamplingData[[#This Row],[Total]]+SamplingData[[#This Row],[Winning Candidate]]-SamplingData[[#This Row],[Losing Candidate]])/(SamplingData[[#Totals],[Winning Candidate]]-SamplingData[[#Totals],[Losing Candidate]]), 0)</f>
        <v>4.8685491723466411E-3</v>
      </c>
      <c r="R966" s="100">
        <f>IF(AND(SamplingData[[#This Row],[Total]]&lt;&gt; 0, NOT(ISBLANK(SamplingData[[#This Row],[Candidate 3]]))),(SamplingData[[#This Row],[Total]]+SamplingData[[#This Row],[Winning Candidate]]-SamplingData[[#This Row],[Candidate 3]])/(SamplingData[[#Totals],[Winning Candidate]]-SamplingData[[#Totals],[Candidate 3]]), 0)</f>
        <v>0</v>
      </c>
      <c r="S966" s="100">
        <f>IF(AND(SamplingData[[#This Row],[Total]]&lt;&gt; 0, NOT(ISBLANK(SamplingData[[#This Row],[Candidate 4]]))),(SamplingData[[#This Row],[Total]]+SamplingData[[#This Row],[Winning Candidate]]-SamplingData[[#This Row],[Candidate 4]])/(SamplingData[[#Totals],[Winning Candidate]]-SamplingData[[#Totals],[Candidate 4]]), 0)</f>
        <v>0</v>
      </c>
      <c r="T966" s="100">
        <f>IF(AND(SamplingData[[#This Row],[Total]]&lt;&gt; 0, NOT(ISBLANK(SamplingData[[#This Row],[Candidate 5]]))),(SamplingData[[#This Row],[Total]]+SamplingData[[#This Row],[Winning Candidate]]-SamplingData[[#This Row],[Candidate 5]])/(SamplingData[[#Totals],[Winning Candidate]]-SamplingData[[#Totals],[Candidate 5]]), 0)</f>
        <v>0</v>
      </c>
      <c r="U966" s="100">
        <f>IF(AND(SamplingData[[#This Row],[Total]]&lt;&gt; 0, NOT(ISBLANK(SamplingData[[#This Row],[Candidate 6]]))),(SamplingData[[#This Row],[Total]]+SamplingData[[#This Row],[Losing Candidate]]-SamplingData[[#This Row],[Candidate 6]])/(SamplingData[[#Totals],[Winning Candidate]]-SamplingData[[#Totals],[Candidate 6]]), 0)</f>
        <v>0</v>
      </c>
      <c r="V966" s="100">
        <f>IF(AND(SamplingData[[#This Row],[Total]]&lt;&gt; 0, NOT(ISBLANK(SamplingData[[#This Row],[Candidate 7]]))),(SamplingData[[#This Row],[Total]]+SamplingData[[#This Row],[Winning Candidate]]-SamplingData[[#This Row],[Candidate 7]])/(SamplingData[[#Totals],[Winning Candidate]]-SamplingData[[#Totals],[Candidate 7]]), 0)</f>
        <v>0</v>
      </c>
      <c r="W966" s="100">
        <f>IF(AND(SamplingData[[#This Row],[Total]]&lt;&gt; 0, NOT(ISBLANK(SamplingData[[#This Row],[Candidate 8]]))),(SamplingData[[#This Row],[Total]]+SamplingData[[#This Row],[Winning Candidate]]-SamplingData[[#This Row],[Candidate 8]])/(SamplingData[[#Totals],[Winning Candidate]]-SamplingData[[#Totals],[Candidate 8]]), 0)</f>
        <v>0</v>
      </c>
      <c r="X9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00">
        <f>MAX(SamplingData[[#This Row],[Error Bound (up) - Max. possible relative overstatement - Losing Candidate]:[Error Bound (up) - Max. possible relative overstatement - Candidate 12]])</f>
        <v>4.8685491723466411E-3</v>
      </c>
      <c r="AC966" s="100">
        <f>IF(SamplingData[[#This Row],[Max Error Bound (up)]] = 0,0,SamplingData[[#This Row],[Max Error Bound (up)]]/SamplingData[[#Totals],[Max Error Bound (up)]])</f>
        <v>2.0863619232218823E-3</v>
      </c>
      <c r="AD966" s="104">
        <f>SUM($AC$5:AC966)</f>
        <v>0.62913907284768289</v>
      </c>
      <c r="AE966" s="100" t="str" cm="1">
        <f t="array" ref="AE966">IF(SamplingData[[#This Row],[up/U Selection Probability]] = 0, "Zero", TEXT(SamplingData[[#This Row],[Lower Range]], REPT("0",LEN('General Info'!$B$42))) &amp; " - " &amp; TEXT(SamplingData[[#This Row],[Upper Range]], REPT("0",LEN('General Info'!$B$42))))</f>
        <v>62705 - 62913</v>
      </c>
      <c r="AF966" s="100">
        <f>SamplingData[[#This Row],[Upper Range]]-SamplingData[[#This Row],[Span]]</f>
        <v>62705.271092446106</v>
      </c>
      <c r="AG966" s="100">
        <f>IF(ISNUMBER('General Info'!$B$42), ((SamplingData[[#This Row],[up/U Selection Probability]]) * 'General Info'!$B$44) - 1, 0)</f>
        <v>207.63619232218824</v>
      </c>
      <c r="AH966" s="100">
        <f>IF(ISNUMBER('General Info'!$B$42), (SamplingData[[#This Row],[Running (cumulative) sum]] * ('General Info'!$B$42 -'General Info'!$B$43 + 1)) + 'General Info'!$B$43 - 1, 0)</f>
        <v>62912.907284768291</v>
      </c>
      <c r="AI966" s="100" t="str">
        <f>IF(ISERROR(MATCH(SamplingData[[#This Row],[Batch by Type (p)]],SelectedPrecincts[Batch Name], 0)), "", INDEX(SelectedPrecincts[Draw], MATCH(SamplingData[[#This Row],[Batch by Type (p)]],SelectedPrecincts[Batch Name], 0)))</f>
        <v/>
      </c>
      <c r="AJ966" s="101">
        <f>IF(COUNTIF(SelectedPrecincts[Batch Name],SamplingData[[#This Row],[Batch by Type (p)]]) &lt;&gt; 0, COUNTIF(SelectedPrecincts[Batch Name],SamplingData[[#This Row],[Batch by Type (p)]]), 0)</f>
        <v>0</v>
      </c>
    </row>
    <row r="967" spans="1:36" ht="15" customHeight="1" x14ac:dyDescent="0.35">
      <c r="A967" s="98" t="s">
        <v>1178</v>
      </c>
      <c r="B967" s="98">
        <v>149</v>
      </c>
      <c r="C967" s="98">
        <v>24</v>
      </c>
      <c r="D967" s="93"/>
      <c r="E967" s="93"/>
      <c r="F967" s="93"/>
      <c r="G967" s="97"/>
      <c r="H967" s="97"/>
      <c r="I967" s="93"/>
      <c r="J967" s="93"/>
      <c r="K967" s="93"/>
      <c r="L967" s="93"/>
      <c r="M967" s="93"/>
      <c r="N967" s="98">
        <v>0</v>
      </c>
      <c r="O967" s="98">
        <v>5</v>
      </c>
      <c r="P967" s="99">
        <f>SUM(SamplingData[[#This Row],[Winning Candidate]:[Under Votes]])</f>
        <v>178</v>
      </c>
      <c r="Q967" s="100">
        <f>IF(AND(SamplingData[[#This Row],[Total]]&lt;&gt; 0, NOT(ISBLANK(SamplingData[[#This Row],[Losing Candidate]]))),(SamplingData[[#This Row],[Total]]+SamplingData[[#This Row],[Winning Candidate]]-SamplingData[[#This Row],[Losing Candidate]])/(SamplingData[[#Totals],[Winning Candidate]]-SamplingData[[#Totals],[Losing Candidate]]), 0)</f>
        <v>9.5172283820711759E-3</v>
      </c>
      <c r="R967" s="100">
        <f>IF(AND(SamplingData[[#This Row],[Total]]&lt;&gt; 0, NOT(ISBLANK(SamplingData[[#This Row],[Candidate 3]]))),(SamplingData[[#This Row],[Total]]+SamplingData[[#This Row],[Winning Candidate]]-SamplingData[[#This Row],[Candidate 3]])/(SamplingData[[#Totals],[Winning Candidate]]-SamplingData[[#Totals],[Candidate 3]]), 0)</f>
        <v>0</v>
      </c>
      <c r="S967" s="100">
        <f>IF(AND(SamplingData[[#This Row],[Total]]&lt;&gt; 0, NOT(ISBLANK(SamplingData[[#This Row],[Candidate 4]]))),(SamplingData[[#This Row],[Total]]+SamplingData[[#This Row],[Winning Candidate]]-SamplingData[[#This Row],[Candidate 4]])/(SamplingData[[#Totals],[Winning Candidate]]-SamplingData[[#Totals],[Candidate 4]]), 0)</f>
        <v>0</v>
      </c>
      <c r="T967" s="100">
        <f>IF(AND(SamplingData[[#This Row],[Total]]&lt;&gt; 0, NOT(ISBLANK(SamplingData[[#This Row],[Candidate 5]]))),(SamplingData[[#This Row],[Total]]+SamplingData[[#This Row],[Winning Candidate]]-SamplingData[[#This Row],[Candidate 5]])/(SamplingData[[#Totals],[Winning Candidate]]-SamplingData[[#Totals],[Candidate 5]]), 0)</f>
        <v>0</v>
      </c>
      <c r="U967" s="100">
        <f>IF(AND(SamplingData[[#This Row],[Total]]&lt;&gt; 0, NOT(ISBLANK(SamplingData[[#This Row],[Candidate 6]]))),(SamplingData[[#This Row],[Total]]+SamplingData[[#This Row],[Losing Candidate]]-SamplingData[[#This Row],[Candidate 6]])/(SamplingData[[#Totals],[Winning Candidate]]-SamplingData[[#Totals],[Candidate 6]]), 0)</f>
        <v>0</v>
      </c>
      <c r="V967" s="100">
        <f>IF(AND(SamplingData[[#This Row],[Total]]&lt;&gt; 0, NOT(ISBLANK(SamplingData[[#This Row],[Candidate 7]]))),(SamplingData[[#This Row],[Total]]+SamplingData[[#This Row],[Winning Candidate]]-SamplingData[[#This Row],[Candidate 7]])/(SamplingData[[#Totals],[Winning Candidate]]-SamplingData[[#Totals],[Candidate 7]]), 0)</f>
        <v>0</v>
      </c>
      <c r="W967" s="100">
        <f>IF(AND(SamplingData[[#This Row],[Total]]&lt;&gt; 0, NOT(ISBLANK(SamplingData[[#This Row],[Candidate 8]]))),(SamplingData[[#This Row],[Total]]+SamplingData[[#This Row],[Winning Candidate]]-SamplingData[[#This Row],[Candidate 8]])/(SamplingData[[#Totals],[Winning Candidate]]-SamplingData[[#Totals],[Candidate 8]]), 0)</f>
        <v>0</v>
      </c>
      <c r="X9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00">
        <f>MAX(SamplingData[[#This Row],[Error Bound (up) - Max. possible relative overstatement - Losing Candidate]:[Error Bound (up) - Max. possible relative overstatement - Candidate 12]])</f>
        <v>9.5172283820711759E-3</v>
      </c>
      <c r="AC967" s="100">
        <f>IF(SamplingData[[#This Row],[Max Error Bound (up)]] = 0,0,SamplingData[[#This Row],[Max Error Bound (up)]]/SamplingData[[#Totals],[Max Error Bound (up)]])</f>
        <v>4.0785010499111629E-3</v>
      </c>
      <c r="AD967" s="104">
        <f>SUM($AC$5:AC967)</f>
        <v>0.63321757389759403</v>
      </c>
      <c r="AE967" s="100" t="str" cm="1">
        <f t="array" ref="AE967">IF(SamplingData[[#This Row],[up/U Selection Probability]] = 0, "Zero", TEXT(SamplingData[[#This Row],[Lower Range]], REPT("0",LEN('General Info'!$B$42))) &amp; " - " &amp; TEXT(SamplingData[[#This Row],[Upper Range]], REPT("0",LEN('General Info'!$B$42))))</f>
        <v>62914 - 63321</v>
      </c>
      <c r="AF967" s="100">
        <f>SamplingData[[#This Row],[Upper Range]]-SamplingData[[#This Row],[Span]]</f>
        <v>62913.907284768291</v>
      </c>
      <c r="AG967" s="100">
        <f>IF(ISNUMBER('General Info'!$B$42), ((SamplingData[[#This Row],[up/U Selection Probability]]) * 'General Info'!$B$44) - 1, 0)</f>
        <v>406.85010499111627</v>
      </c>
      <c r="AH967" s="100">
        <f>IF(ISNUMBER('General Info'!$B$42), (SamplingData[[#This Row],[Running (cumulative) sum]] * ('General Info'!$B$42 -'General Info'!$B$43 + 1)) + 'General Info'!$B$43 - 1, 0)</f>
        <v>63320.757389759405</v>
      </c>
      <c r="AI967" s="100" t="str">
        <f>IF(ISERROR(MATCH(SamplingData[[#This Row],[Batch by Type (p)]],SelectedPrecincts[Batch Name], 0)), "", INDEX(SelectedPrecincts[Draw], MATCH(SamplingData[[#This Row],[Batch by Type (p)]],SelectedPrecincts[Batch Name], 0)))</f>
        <v/>
      </c>
      <c r="AJ967" s="101">
        <f>IF(COUNTIF(SelectedPrecincts[Batch Name],SamplingData[[#This Row],[Batch by Type (p)]]) &lt;&gt; 0, COUNTIF(SelectedPrecincts[Batch Name],SamplingData[[#This Row],[Batch by Type (p)]]), 0)</f>
        <v>0</v>
      </c>
    </row>
    <row r="968" spans="1:36" ht="15" customHeight="1" x14ac:dyDescent="0.35">
      <c r="A968" s="98" t="s">
        <v>1179</v>
      </c>
      <c r="B968" s="98">
        <v>85</v>
      </c>
      <c r="C968" s="98">
        <v>6</v>
      </c>
      <c r="D968" s="93"/>
      <c r="E968" s="93"/>
      <c r="F968" s="93"/>
      <c r="G968" s="97"/>
      <c r="H968" s="97"/>
      <c r="I968" s="93"/>
      <c r="J968" s="93"/>
      <c r="K968" s="93"/>
      <c r="L968" s="93"/>
      <c r="M968" s="93"/>
      <c r="N968" s="98">
        <v>0</v>
      </c>
      <c r="O968" s="98">
        <v>0</v>
      </c>
      <c r="P968" s="99">
        <f>SUM(SamplingData[[#This Row],[Winning Candidate]:[Under Votes]])</f>
        <v>91</v>
      </c>
      <c r="Q968" s="100">
        <f>IF(AND(SamplingData[[#This Row],[Total]]&lt;&gt; 0, NOT(ISBLANK(SamplingData[[#This Row],[Losing Candidate]]))),(SamplingData[[#This Row],[Total]]+SamplingData[[#This Row],[Winning Candidate]]-SamplingData[[#This Row],[Losing Candidate]])/(SamplingData[[#Totals],[Winning Candidate]]-SamplingData[[#Totals],[Losing Candidate]]), 0)</f>
        <v>5.3396990922511545E-3</v>
      </c>
      <c r="R968" s="100">
        <f>IF(AND(SamplingData[[#This Row],[Total]]&lt;&gt; 0, NOT(ISBLANK(SamplingData[[#This Row],[Candidate 3]]))),(SamplingData[[#This Row],[Total]]+SamplingData[[#This Row],[Winning Candidate]]-SamplingData[[#This Row],[Candidate 3]])/(SamplingData[[#Totals],[Winning Candidate]]-SamplingData[[#Totals],[Candidate 3]]), 0)</f>
        <v>0</v>
      </c>
      <c r="S968" s="100">
        <f>IF(AND(SamplingData[[#This Row],[Total]]&lt;&gt; 0, NOT(ISBLANK(SamplingData[[#This Row],[Candidate 4]]))),(SamplingData[[#This Row],[Total]]+SamplingData[[#This Row],[Winning Candidate]]-SamplingData[[#This Row],[Candidate 4]])/(SamplingData[[#Totals],[Winning Candidate]]-SamplingData[[#Totals],[Candidate 4]]), 0)</f>
        <v>0</v>
      </c>
      <c r="T968" s="100">
        <f>IF(AND(SamplingData[[#This Row],[Total]]&lt;&gt; 0, NOT(ISBLANK(SamplingData[[#This Row],[Candidate 5]]))),(SamplingData[[#This Row],[Total]]+SamplingData[[#This Row],[Winning Candidate]]-SamplingData[[#This Row],[Candidate 5]])/(SamplingData[[#Totals],[Winning Candidate]]-SamplingData[[#Totals],[Candidate 5]]), 0)</f>
        <v>0</v>
      </c>
      <c r="U968" s="100">
        <f>IF(AND(SamplingData[[#This Row],[Total]]&lt;&gt; 0, NOT(ISBLANK(SamplingData[[#This Row],[Candidate 6]]))),(SamplingData[[#This Row],[Total]]+SamplingData[[#This Row],[Losing Candidate]]-SamplingData[[#This Row],[Candidate 6]])/(SamplingData[[#Totals],[Winning Candidate]]-SamplingData[[#Totals],[Candidate 6]]), 0)</f>
        <v>0</v>
      </c>
      <c r="V968" s="100">
        <f>IF(AND(SamplingData[[#This Row],[Total]]&lt;&gt; 0, NOT(ISBLANK(SamplingData[[#This Row],[Candidate 7]]))),(SamplingData[[#This Row],[Total]]+SamplingData[[#This Row],[Winning Candidate]]-SamplingData[[#This Row],[Candidate 7]])/(SamplingData[[#Totals],[Winning Candidate]]-SamplingData[[#Totals],[Candidate 7]]), 0)</f>
        <v>0</v>
      </c>
      <c r="W968" s="100">
        <f>IF(AND(SamplingData[[#This Row],[Total]]&lt;&gt; 0, NOT(ISBLANK(SamplingData[[#This Row],[Candidate 8]]))),(SamplingData[[#This Row],[Total]]+SamplingData[[#This Row],[Winning Candidate]]-SamplingData[[#This Row],[Candidate 8]])/(SamplingData[[#Totals],[Winning Candidate]]-SamplingData[[#Totals],[Candidate 8]]), 0)</f>
        <v>0</v>
      </c>
      <c r="X9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00">
        <f>MAX(SamplingData[[#This Row],[Error Bound (up) - Max. possible relative overstatement - Losing Candidate]:[Error Bound (up) - Max. possible relative overstatement - Candidate 12]])</f>
        <v>5.3396990922511545E-3</v>
      </c>
      <c r="AC968" s="100">
        <f>IF(SamplingData[[#This Row],[Max Error Bound (up)]] = 0,0,SamplingData[[#This Row],[Max Error Bound (up)]]/SamplingData[[#Totals],[Max Error Bound (up)]])</f>
        <v>2.2882679157917416E-3</v>
      </c>
      <c r="AD968" s="104">
        <f>SUM($AC$5:AC968)</f>
        <v>0.63550584181338576</v>
      </c>
      <c r="AE968" s="100" t="str" cm="1">
        <f t="array" ref="AE968">IF(SamplingData[[#This Row],[up/U Selection Probability]] = 0, "Zero", TEXT(SamplingData[[#This Row],[Lower Range]], REPT("0",LEN('General Info'!$B$42))) &amp; " - " &amp; TEXT(SamplingData[[#This Row],[Upper Range]], REPT("0",LEN('General Info'!$B$42))))</f>
        <v>63322 - 63550</v>
      </c>
      <c r="AF968" s="100">
        <f>SamplingData[[#This Row],[Upper Range]]-SamplingData[[#This Row],[Span]]</f>
        <v>63321.757389759405</v>
      </c>
      <c r="AG968" s="100">
        <f>IF(ISNUMBER('General Info'!$B$42), ((SamplingData[[#This Row],[up/U Selection Probability]]) * 'General Info'!$B$44) - 1, 0)</f>
        <v>227.82679157917417</v>
      </c>
      <c r="AH968" s="100">
        <f>IF(ISNUMBER('General Info'!$B$42), (SamplingData[[#This Row],[Running (cumulative) sum]] * ('General Info'!$B$42 -'General Info'!$B$43 + 1)) + 'General Info'!$B$43 - 1, 0)</f>
        <v>63549.584181338578</v>
      </c>
      <c r="AI968" s="100" t="str">
        <f>IF(ISERROR(MATCH(SamplingData[[#This Row],[Batch by Type (p)]],SelectedPrecincts[Batch Name], 0)), "", INDEX(SelectedPrecincts[Draw], MATCH(SamplingData[[#This Row],[Batch by Type (p)]],SelectedPrecincts[Batch Name], 0)))</f>
        <v/>
      </c>
      <c r="AJ968" s="101">
        <f>IF(COUNTIF(SelectedPrecincts[Batch Name],SamplingData[[#This Row],[Batch by Type (p)]]) &lt;&gt; 0, COUNTIF(SelectedPrecincts[Batch Name],SamplingData[[#This Row],[Batch by Type (p)]]), 0)</f>
        <v>0</v>
      </c>
    </row>
    <row r="969" spans="1:36" ht="15" customHeight="1" x14ac:dyDescent="0.35">
      <c r="A969" s="98" t="s">
        <v>1180</v>
      </c>
      <c r="B969" s="98">
        <v>168</v>
      </c>
      <c r="C969" s="98">
        <v>9</v>
      </c>
      <c r="D969" s="93"/>
      <c r="E969" s="93"/>
      <c r="F969" s="93"/>
      <c r="G969" s="97"/>
      <c r="H969" s="97"/>
      <c r="I969" s="93"/>
      <c r="J969" s="93"/>
      <c r="K969" s="93"/>
      <c r="L969" s="93"/>
      <c r="M969" s="93"/>
      <c r="N969" s="98">
        <v>1</v>
      </c>
      <c r="O969" s="98">
        <v>6</v>
      </c>
      <c r="P969" s="99">
        <f>SUM(SamplingData[[#This Row],[Winning Candidate]:[Under Votes]])</f>
        <v>184</v>
      </c>
      <c r="Q969" s="100">
        <f>IF(AND(SamplingData[[#This Row],[Total]]&lt;&gt; 0, NOT(ISBLANK(SamplingData[[#This Row],[Losing Candidate]]))),(SamplingData[[#This Row],[Total]]+SamplingData[[#This Row],[Winning Candidate]]-SamplingData[[#This Row],[Losing Candidate]])/(SamplingData[[#Totals],[Winning Candidate]]-SamplingData[[#Totals],[Losing Candidate]]), 0)</f>
        <v>1.0773628168483212E-2</v>
      </c>
      <c r="R969" s="100">
        <f>IF(AND(SamplingData[[#This Row],[Total]]&lt;&gt; 0, NOT(ISBLANK(SamplingData[[#This Row],[Candidate 3]]))),(SamplingData[[#This Row],[Total]]+SamplingData[[#This Row],[Winning Candidate]]-SamplingData[[#This Row],[Candidate 3]])/(SamplingData[[#Totals],[Winning Candidate]]-SamplingData[[#Totals],[Candidate 3]]), 0)</f>
        <v>0</v>
      </c>
      <c r="S969" s="100">
        <f>IF(AND(SamplingData[[#This Row],[Total]]&lt;&gt; 0, NOT(ISBLANK(SamplingData[[#This Row],[Candidate 4]]))),(SamplingData[[#This Row],[Total]]+SamplingData[[#This Row],[Winning Candidate]]-SamplingData[[#This Row],[Candidate 4]])/(SamplingData[[#Totals],[Winning Candidate]]-SamplingData[[#Totals],[Candidate 4]]), 0)</f>
        <v>0</v>
      </c>
      <c r="T969" s="100">
        <f>IF(AND(SamplingData[[#This Row],[Total]]&lt;&gt; 0, NOT(ISBLANK(SamplingData[[#This Row],[Candidate 5]]))),(SamplingData[[#This Row],[Total]]+SamplingData[[#This Row],[Winning Candidate]]-SamplingData[[#This Row],[Candidate 5]])/(SamplingData[[#Totals],[Winning Candidate]]-SamplingData[[#Totals],[Candidate 5]]), 0)</f>
        <v>0</v>
      </c>
      <c r="U969" s="100">
        <f>IF(AND(SamplingData[[#This Row],[Total]]&lt;&gt; 0, NOT(ISBLANK(SamplingData[[#This Row],[Candidate 6]]))),(SamplingData[[#This Row],[Total]]+SamplingData[[#This Row],[Losing Candidate]]-SamplingData[[#This Row],[Candidate 6]])/(SamplingData[[#Totals],[Winning Candidate]]-SamplingData[[#Totals],[Candidate 6]]), 0)</f>
        <v>0</v>
      </c>
      <c r="V969" s="100">
        <f>IF(AND(SamplingData[[#This Row],[Total]]&lt;&gt; 0, NOT(ISBLANK(SamplingData[[#This Row],[Candidate 7]]))),(SamplingData[[#This Row],[Total]]+SamplingData[[#This Row],[Winning Candidate]]-SamplingData[[#This Row],[Candidate 7]])/(SamplingData[[#Totals],[Winning Candidate]]-SamplingData[[#Totals],[Candidate 7]]), 0)</f>
        <v>0</v>
      </c>
      <c r="W969" s="100">
        <f>IF(AND(SamplingData[[#This Row],[Total]]&lt;&gt; 0, NOT(ISBLANK(SamplingData[[#This Row],[Candidate 8]]))),(SamplingData[[#This Row],[Total]]+SamplingData[[#This Row],[Winning Candidate]]-SamplingData[[#This Row],[Candidate 8]])/(SamplingData[[#Totals],[Winning Candidate]]-SamplingData[[#Totals],[Candidate 8]]), 0)</f>
        <v>0</v>
      </c>
      <c r="X9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00">
        <f>MAX(SamplingData[[#This Row],[Error Bound (up) - Max. possible relative overstatement - Losing Candidate]:[Error Bound (up) - Max. possible relative overstatement - Candidate 12]])</f>
        <v>1.0773628168483212E-2</v>
      </c>
      <c r="AC969" s="100">
        <f>IF(SamplingData[[#This Row],[Max Error Bound (up)]] = 0,0,SamplingData[[#This Row],[Max Error Bound (up)]]/SamplingData[[#Totals],[Max Error Bound (up)]])</f>
        <v>4.6169170300974557E-3</v>
      </c>
      <c r="AD969" s="104">
        <f>SUM($AC$5:AC969)</f>
        <v>0.64012275884348324</v>
      </c>
      <c r="AE969" s="100" t="str" cm="1">
        <f t="array" ref="AE969">IF(SamplingData[[#This Row],[up/U Selection Probability]] = 0, "Zero", TEXT(SamplingData[[#This Row],[Lower Range]], REPT("0",LEN('General Info'!$B$42))) &amp; " - " &amp; TEXT(SamplingData[[#This Row],[Upper Range]], REPT("0",LEN('General Info'!$B$42))))</f>
        <v>63551 - 64011</v>
      </c>
      <c r="AF969" s="100">
        <f>SamplingData[[#This Row],[Upper Range]]-SamplingData[[#This Row],[Span]]</f>
        <v>63550.584181338578</v>
      </c>
      <c r="AG969" s="100">
        <f>IF(ISNUMBER('General Info'!$B$42), ((SamplingData[[#This Row],[up/U Selection Probability]]) * 'General Info'!$B$44) - 1, 0)</f>
        <v>460.69170300974559</v>
      </c>
      <c r="AH969" s="100">
        <f>IF(ISNUMBER('General Info'!$B$42), (SamplingData[[#This Row],[Running (cumulative) sum]] * ('General Info'!$B$42 -'General Info'!$B$43 + 1)) + 'General Info'!$B$43 - 1, 0)</f>
        <v>64011.275884348324</v>
      </c>
      <c r="AI969" s="100" t="str">
        <f>IF(ISERROR(MATCH(SamplingData[[#This Row],[Batch by Type (p)]],SelectedPrecincts[Batch Name], 0)), "", INDEX(SelectedPrecincts[Draw], MATCH(SamplingData[[#This Row],[Batch by Type (p)]],SelectedPrecincts[Batch Name], 0)))</f>
        <v/>
      </c>
      <c r="AJ969" s="101">
        <f>IF(COUNTIF(SelectedPrecincts[Batch Name],SamplingData[[#This Row],[Batch by Type (p)]]) &lt;&gt; 0, COUNTIF(SelectedPrecincts[Batch Name],SamplingData[[#This Row],[Batch by Type (p)]]), 0)</f>
        <v>0</v>
      </c>
    </row>
    <row r="970" spans="1:36" ht="15" customHeight="1" x14ac:dyDescent="0.35">
      <c r="A970" s="98" t="s">
        <v>1181</v>
      </c>
      <c r="B970" s="98">
        <v>96</v>
      </c>
      <c r="C970" s="98">
        <v>16</v>
      </c>
      <c r="D970" s="93"/>
      <c r="E970" s="93"/>
      <c r="F970" s="93"/>
      <c r="G970" s="97"/>
      <c r="H970" s="97"/>
      <c r="I970" s="93"/>
      <c r="J970" s="93"/>
      <c r="K970" s="93"/>
      <c r="L970" s="93"/>
      <c r="M970" s="93"/>
      <c r="N970" s="98">
        <v>0</v>
      </c>
      <c r="O970" s="98">
        <v>3</v>
      </c>
      <c r="P970" s="99">
        <f>SUM(SamplingData[[#This Row],[Winning Candidate]:[Under Votes]])</f>
        <v>115</v>
      </c>
      <c r="Q970" s="100">
        <f>IF(AND(SamplingData[[#This Row],[Total]]&lt;&gt; 0, NOT(ISBLANK(SamplingData[[#This Row],[Losing Candidate]]))),(SamplingData[[#This Row],[Total]]+SamplingData[[#This Row],[Winning Candidate]]-SamplingData[[#This Row],[Losing Candidate]])/(SamplingData[[#Totals],[Winning Candidate]]-SamplingData[[#Totals],[Losing Candidate]]), 0)</f>
        <v>6.1249489587586773E-3</v>
      </c>
      <c r="R970" s="100">
        <f>IF(AND(SamplingData[[#This Row],[Total]]&lt;&gt; 0, NOT(ISBLANK(SamplingData[[#This Row],[Candidate 3]]))),(SamplingData[[#This Row],[Total]]+SamplingData[[#This Row],[Winning Candidate]]-SamplingData[[#This Row],[Candidate 3]])/(SamplingData[[#Totals],[Winning Candidate]]-SamplingData[[#Totals],[Candidate 3]]), 0)</f>
        <v>0</v>
      </c>
      <c r="S970" s="100">
        <f>IF(AND(SamplingData[[#This Row],[Total]]&lt;&gt; 0, NOT(ISBLANK(SamplingData[[#This Row],[Candidate 4]]))),(SamplingData[[#This Row],[Total]]+SamplingData[[#This Row],[Winning Candidate]]-SamplingData[[#This Row],[Candidate 4]])/(SamplingData[[#Totals],[Winning Candidate]]-SamplingData[[#Totals],[Candidate 4]]), 0)</f>
        <v>0</v>
      </c>
      <c r="T970" s="100">
        <f>IF(AND(SamplingData[[#This Row],[Total]]&lt;&gt; 0, NOT(ISBLANK(SamplingData[[#This Row],[Candidate 5]]))),(SamplingData[[#This Row],[Total]]+SamplingData[[#This Row],[Winning Candidate]]-SamplingData[[#This Row],[Candidate 5]])/(SamplingData[[#Totals],[Winning Candidate]]-SamplingData[[#Totals],[Candidate 5]]), 0)</f>
        <v>0</v>
      </c>
      <c r="U970" s="100">
        <f>IF(AND(SamplingData[[#This Row],[Total]]&lt;&gt; 0, NOT(ISBLANK(SamplingData[[#This Row],[Candidate 6]]))),(SamplingData[[#This Row],[Total]]+SamplingData[[#This Row],[Losing Candidate]]-SamplingData[[#This Row],[Candidate 6]])/(SamplingData[[#Totals],[Winning Candidate]]-SamplingData[[#Totals],[Candidate 6]]), 0)</f>
        <v>0</v>
      </c>
      <c r="V970" s="100">
        <f>IF(AND(SamplingData[[#This Row],[Total]]&lt;&gt; 0, NOT(ISBLANK(SamplingData[[#This Row],[Candidate 7]]))),(SamplingData[[#This Row],[Total]]+SamplingData[[#This Row],[Winning Candidate]]-SamplingData[[#This Row],[Candidate 7]])/(SamplingData[[#Totals],[Winning Candidate]]-SamplingData[[#Totals],[Candidate 7]]), 0)</f>
        <v>0</v>
      </c>
      <c r="W970" s="100">
        <f>IF(AND(SamplingData[[#This Row],[Total]]&lt;&gt; 0, NOT(ISBLANK(SamplingData[[#This Row],[Candidate 8]]))),(SamplingData[[#This Row],[Total]]+SamplingData[[#This Row],[Winning Candidate]]-SamplingData[[#This Row],[Candidate 8]])/(SamplingData[[#Totals],[Winning Candidate]]-SamplingData[[#Totals],[Candidate 8]]), 0)</f>
        <v>0</v>
      </c>
      <c r="X9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00">
        <f>MAX(SamplingData[[#This Row],[Error Bound (up) - Max. possible relative overstatement - Losing Candidate]:[Error Bound (up) - Max. possible relative overstatement - Candidate 12]])</f>
        <v>6.1249489587586773E-3</v>
      </c>
      <c r="AC970" s="100">
        <f>IF(SamplingData[[#This Row],[Max Error Bound (up)]] = 0,0,SamplingData[[#This Row],[Max Error Bound (up)]]/SamplingData[[#Totals],[Max Error Bound (up)]])</f>
        <v>2.6247779034081742E-3</v>
      </c>
      <c r="AD970" s="104">
        <f>SUM($AC$5:AC970)</f>
        <v>0.64274753674689145</v>
      </c>
      <c r="AE970" s="100" t="str" cm="1">
        <f t="array" ref="AE970">IF(SamplingData[[#This Row],[up/U Selection Probability]] = 0, "Zero", TEXT(SamplingData[[#This Row],[Lower Range]], REPT("0",LEN('General Info'!$B$42))) &amp; " - " &amp; TEXT(SamplingData[[#This Row],[Upper Range]], REPT("0",LEN('General Info'!$B$42))))</f>
        <v>64012 - 64274</v>
      </c>
      <c r="AF970" s="100">
        <f>SamplingData[[#This Row],[Upper Range]]-SamplingData[[#This Row],[Span]]</f>
        <v>64012.275884348324</v>
      </c>
      <c r="AG970" s="100">
        <f>IF(ISNUMBER('General Info'!$B$42), ((SamplingData[[#This Row],[up/U Selection Probability]]) * 'General Info'!$B$44) - 1, 0)</f>
        <v>261.47779034081742</v>
      </c>
      <c r="AH970" s="100">
        <f>IF(ISNUMBER('General Info'!$B$42), (SamplingData[[#This Row],[Running (cumulative) sum]] * ('General Info'!$B$42 -'General Info'!$B$43 + 1)) + 'General Info'!$B$43 - 1, 0)</f>
        <v>64273.753674689142</v>
      </c>
      <c r="AI970" s="100" t="str">
        <f>IF(ISERROR(MATCH(SamplingData[[#This Row],[Batch by Type (p)]],SelectedPrecincts[Batch Name], 0)), "", INDEX(SelectedPrecincts[Draw], MATCH(SamplingData[[#This Row],[Batch by Type (p)]],SelectedPrecincts[Batch Name], 0)))</f>
        <v/>
      </c>
      <c r="AJ970" s="101">
        <f>IF(COUNTIF(SelectedPrecincts[Batch Name],SamplingData[[#This Row],[Batch by Type (p)]]) &lt;&gt; 0, COUNTIF(SelectedPrecincts[Batch Name],SamplingData[[#This Row],[Batch by Type (p)]]), 0)</f>
        <v>0</v>
      </c>
    </row>
    <row r="971" spans="1:36" ht="15" customHeight="1" x14ac:dyDescent="0.35">
      <c r="A971" s="98" t="s">
        <v>1182</v>
      </c>
      <c r="B971" s="98">
        <v>177</v>
      </c>
      <c r="C971" s="98">
        <v>11</v>
      </c>
      <c r="D971" s="93"/>
      <c r="E971" s="93"/>
      <c r="F971" s="93"/>
      <c r="G971" s="97"/>
      <c r="H971" s="97"/>
      <c r="I971" s="93"/>
      <c r="J971" s="93"/>
      <c r="K971" s="93"/>
      <c r="L971" s="93"/>
      <c r="M971" s="93"/>
      <c r="N971" s="98">
        <v>0</v>
      </c>
      <c r="O971" s="98">
        <v>11</v>
      </c>
      <c r="P971" s="99">
        <f>SUM(SamplingData[[#This Row],[Winning Candidate]:[Under Votes]])</f>
        <v>199</v>
      </c>
      <c r="Q971" s="100">
        <f>IF(AND(SamplingData[[#This Row],[Total]]&lt;&gt; 0, NOT(ISBLANK(SamplingData[[#This Row],[Losing Candidate]]))),(SamplingData[[#This Row],[Total]]+SamplingData[[#This Row],[Winning Candidate]]-SamplingData[[#This Row],[Losing Candidate]])/(SamplingData[[#Totals],[Winning Candidate]]-SamplingData[[#Totals],[Losing Candidate]]), 0)</f>
        <v>1.1464648051009831E-2</v>
      </c>
      <c r="R971" s="100">
        <f>IF(AND(SamplingData[[#This Row],[Total]]&lt;&gt; 0, NOT(ISBLANK(SamplingData[[#This Row],[Candidate 3]]))),(SamplingData[[#This Row],[Total]]+SamplingData[[#This Row],[Winning Candidate]]-SamplingData[[#This Row],[Candidate 3]])/(SamplingData[[#Totals],[Winning Candidate]]-SamplingData[[#Totals],[Candidate 3]]), 0)</f>
        <v>0</v>
      </c>
      <c r="S971" s="100">
        <f>IF(AND(SamplingData[[#This Row],[Total]]&lt;&gt; 0, NOT(ISBLANK(SamplingData[[#This Row],[Candidate 4]]))),(SamplingData[[#This Row],[Total]]+SamplingData[[#This Row],[Winning Candidate]]-SamplingData[[#This Row],[Candidate 4]])/(SamplingData[[#Totals],[Winning Candidate]]-SamplingData[[#Totals],[Candidate 4]]), 0)</f>
        <v>0</v>
      </c>
      <c r="T971" s="100">
        <f>IF(AND(SamplingData[[#This Row],[Total]]&lt;&gt; 0, NOT(ISBLANK(SamplingData[[#This Row],[Candidate 5]]))),(SamplingData[[#This Row],[Total]]+SamplingData[[#This Row],[Winning Candidate]]-SamplingData[[#This Row],[Candidate 5]])/(SamplingData[[#Totals],[Winning Candidate]]-SamplingData[[#Totals],[Candidate 5]]), 0)</f>
        <v>0</v>
      </c>
      <c r="U971" s="100">
        <f>IF(AND(SamplingData[[#This Row],[Total]]&lt;&gt; 0, NOT(ISBLANK(SamplingData[[#This Row],[Candidate 6]]))),(SamplingData[[#This Row],[Total]]+SamplingData[[#This Row],[Losing Candidate]]-SamplingData[[#This Row],[Candidate 6]])/(SamplingData[[#Totals],[Winning Candidate]]-SamplingData[[#Totals],[Candidate 6]]), 0)</f>
        <v>0</v>
      </c>
      <c r="V971" s="100">
        <f>IF(AND(SamplingData[[#This Row],[Total]]&lt;&gt; 0, NOT(ISBLANK(SamplingData[[#This Row],[Candidate 7]]))),(SamplingData[[#This Row],[Total]]+SamplingData[[#This Row],[Winning Candidate]]-SamplingData[[#This Row],[Candidate 7]])/(SamplingData[[#Totals],[Winning Candidate]]-SamplingData[[#Totals],[Candidate 7]]), 0)</f>
        <v>0</v>
      </c>
      <c r="W971" s="100">
        <f>IF(AND(SamplingData[[#This Row],[Total]]&lt;&gt; 0, NOT(ISBLANK(SamplingData[[#This Row],[Candidate 8]]))),(SamplingData[[#This Row],[Total]]+SamplingData[[#This Row],[Winning Candidate]]-SamplingData[[#This Row],[Candidate 8]])/(SamplingData[[#Totals],[Winning Candidate]]-SamplingData[[#Totals],[Candidate 8]]), 0)</f>
        <v>0</v>
      </c>
      <c r="X9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00">
        <f>MAX(SamplingData[[#This Row],[Error Bound (up) - Max. possible relative overstatement - Losing Candidate]:[Error Bound (up) - Max. possible relative overstatement - Candidate 12]])</f>
        <v>1.1464648051009831E-2</v>
      </c>
      <c r="AC971" s="100">
        <f>IF(SamplingData[[#This Row],[Max Error Bound (up)]] = 0,0,SamplingData[[#This Row],[Max Error Bound (up)]]/SamplingData[[#Totals],[Max Error Bound (up)]])</f>
        <v>4.9130458191999158E-3</v>
      </c>
      <c r="AD971" s="104">
        <f>SUM($AC$5:AC971)</f>
        <v>0.64766058256609138</v>
      </c>
      <c r="AE971" s="100" t="str" cm="1">
        <f t="array" ref="AE971">IF(SamplingData[[#This Row],[up/U Selection Probability]] = 0, "Zero", TEXT(SamplingData[[#This Row],[Lower Range]], REPT("0",LEN('General Info'!$B$42))) &amp; " - " &amp; TEXT(SamplingData[[#This Row],[Upper Range]], REPT("0",LEN('General Info'!$B$42))))</f>
        <v>64275 - 64765</v>
      </c>
      <c r="AF971" s="100">
        <f>SamplingData[[#This Row],[Upper Range]]-SamplingData[[#This Row],[Span]]</f>
        <v>64274.753674689149</v>
      </c>
      <c r="AG971" s="100">
        <f>IF(ISNUMBER('General Info'!$B$42), ((SamplingData[[#This Row],[up/U Selection Probability]]) * 'General Info'!$B$44) - 1, 0)</f>
        <v>490.30458191999156</v>
      </c>
      <c r="AH971" s="100">
        <f>IF(ISNUMBER('General Info'!$B$42), (SamplingData[[#This Row],[Running (cumulative) sum]] * ('General Info'!$B$42 -'General Info'!$B$43 + 1)) + 'General Info'!$B$43 - 1, 0)</f>
        <v>64765.05825660914</v>
      </c>
      <c r="AI971" s="100" t="str">
        <f>IF(ISERROR(MATCH(SamplingData[[#This Row],[Batch by Type (p)]],SelectedPrecincts[Batch Name], 0)), "", INDEX(SelectedPrecincts[Draw], MATCH(SamplingData[[#This Row],[Batch by Type (p)]],SelectedPrecincts[Batch Name], 0)))</f>
        <v/>
      </c>
      <c r="AJ971" s="101">
        <f>IF(COUNTIF(SelectedPrecincts[Batch Name],SamplingData[[#This Row],[Batch by Type (p)]]) &lt;&gt; 0, COUNTIF(SelectedPrecincts[Batch Name],SamplingData[[#This Row],[Batch by Type (p)]]), 0)</f>
        <v>0</v>
      </c>
    </row>
    <row r="972" spans="1:36" ht="15" customHeight="1" x14ac:dyDescent="0.35">
      <c r="A972" s="98" t="s">
        <v>1183</v>
      </c>
      <c r="B972" s="98">
        <v>162</v>
      </c>
      <c r="C972" s="98">
        <v>14</v>
      </c>
      <c r="D972" s="93"/>
      <c r="E972" s="93"/>
      <c r="F972" s="93"/>
      <c r="G972" s="97"/>
      <c r="H972" s="97"/>
      <c r="I972" s="93"/>
      <c r="J972" s="93"/>
      <c r="K972" s="93"/>
      <c r="L972" s="93"/>
      <c r="M972" s="93"/>
      <c r="N972" s="98">
        <v>0</v>
      </c>
      <c r="O972" s="98">
        <v>6</v>
      </c>
      <c r="P972" s="99">
        <f>SUM(SamplingData[[#This Row],[Winning Candidate]:[Under Votes]])</f>
        <v>182</v>
      </c>
      <c r="Q972" s="100">
        <f>IF(AND(SamplingData[[#This Row],[Total]]&lt;&gt; 0, NOT(ISBLANK(SamplingData[[#This Row],[Losing Candidate]]))),(SamplingData[[#This Row],[Total]]+SamplingData[[#This Row],[Winning Candidate]]-SamplingData[[#This Row],[Losing Candidate]])/(SamplingData[[#Totals],[Winning Candidate]]-SamplingData[[#Totals],[Losing Candidate]]), 0)</f>
        <v>1.0365298237899299E-2</v>
      </c>
      <c r="R972" s="100">
        <f>IF(AND(SamplingData[[#This Row],[Total]]&lt;&gt; 0, NOT(ISBLANK(SamplingData[[#This Row],[Candidate 3]]))),(SamplingData[[#This Row],[Total]]+SamplingData[[#This Row],[Winning Candidate]]-SamplingData[[#This Row],[Candidate 3]])/(SamplingData[[#Totals],[Winning Candidate]]-SamplingData[[#Totals],[Candidate 3]]), 0)</f>
        <v>0</v>
      </c>
      <c r="S972" s="100">
        <f>IF(AND(SamplingData[[#This Row],[Total]]&lt;&gt; 0, NOT(ISBLANK(SamplingData[[#This Row],[Candidate 4]]))),(SamplingData[[#This Row],[Total]]+SamplingData[[#This Row],[Winning Candidate]]-SamplingData[[#This Row],[Candidate 4]])/(SamplingData[[#Totals],[Winning Candidate]]-SamplingData[[#Totals],[Candidate 4]]), 0)</f>
        <v>0</v>
      </c>
      <c r="T972" s="100">
        <f>IF(AND(SamplingData[[#This Row],[Total]]&lt;&gt; 0, NOT(ISBLANK(SamplingData[[#This Row],[Candidate 5]]))),(SamplingData[[#This Row],[Total]]+SamplingData[[#This Row],[Winning Candidate]]-SamplingData[[#This Row],[Candidate 5]])/(SamplingData[[#Totals],[Winning Candidate]]-SamplingData[[#Totals],[Candidate 5]]), 0)</f>
        <v>0</v>
      </c>
      <c r="U972" s="100">
        <f>IF(AND(SamplingData[[#This Row],[Total]]&lt;&gt; 0, NOT(ISBLANK(SamplingData[[#This Row],[Candidate 6]]))),(SamplingData[[#This Row],[Total]]+SamplingData[[#This Row],[Losing Candidate]]-SamplingData[[#This Row],[Candidate 6]])/(SamplingData[[#Totals],[Winning Candidate]]-SamplingData[[#Totals],[Candidate 6]]), 0)</f>
        <v>0</v>
      </c>
      <c r="V972" s="100">
        <f>IF(AND(SamplingData[[#This Row],[Total]]&lt;&gt; 0, NOT(ISBLANK(SamplingData[[#This Row],[Candidate 7]]))),(SamplingData[[#This Row],[Total]]+SamplingData[[#This Row],[Winning Candidate]]-SamplingData[[#This Row],[Candidate 7]])/(SamplingData[[#Totals],[Winning Candidate]]-SamplingData[[#Totals],[Candidate 7]]), 0)</f>
        <v>0</v>
      </c>
      <c r="W972" s="100">
        <f>IF(AND(SamplingData[[#This Row],[Total]]&lt;&gt; 0, NOT(ISBLANK(SamplingData[[#This Row],[Candidate 8]]))),(SamplingData[[#This Row],[Total]]+SamplingData[[#This Row],[Winning Candidate]]-SamplingData[[#This Row],[Candidate 8]])/(SamplingData[[#Totals],[Winning Candidate]]-SamplingData[[#Totals],[Candidate 8]]), 0)</f>
        <v>0</v>
      </c>
      <c r="X9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00">
        <f>MAX(SamplingData[[#This Row],[Error Bound (up) - Max. possible relative overstatement - Losing Candidate]:[Error Bound (up) - Max. possible relative overstatement - Candidate 12]])</f>
        <v>1.0365298237899299E-2</v>
      </c>
      <c r="AC972" s="100">
        <f>IF(SamplingData[[#This Row],[Max Error Bound (up)]] = 0,0,SamplingData[[#This Row],[Max Error Bound (up)]]/SamplingData[[#Totals],[Max Error Bound (up)]])</f>
        <v>4.4419318365369097E-3</v>
      </c>
      <c r="AD972" s="104">
        <f>SUM($AC$5:AC972)</f>
        <v>0.65210251440262834</v>
      </c>
      <c r="AE972" s="100" t="str" cm="1">
        <f t="array" ref="AE972">IF(SamplingData[[#This Row],[up/U Selection Probability]] = 0, "Zero", TEXT(SamplingData[[#This Row],[Lower Range]], REPT("0",LEN('General Info'!$B$42))) &amp; " - " &amp; TEXT(SamplingData[[#This Row],[Upper Range]], REPT("0",LEN('General Info'!$B$42))))</f>
        <v>64766 - 65209</v>
      </c>
      <c r="AF972" s="100">
        <f>SamplingData[[#This Row],[Upper Range]]-SamplingData[[#This Row],[Span]]</f>
        <v>64766.058256609147</v>
      </c>
      <c r="AG972" s="100">
        <f>IF(ISNUMBER('General Info'!$B$42), ((SamplingData[[#This Row],[up/U Selection Probability]]) * 'General Info'!$B$44) - 1, 0)</f>
        <v>443.19318365369099</v>
      </c>
      <c r="AH972" s="100">
        <f>IF(ISNUMBER('General Info'!$B$42), (SamplingData[[#This Row],[Running (cumulative) sum]] * ('General Info'!$B$42 -'General Info'!$B$43 + 1)) + 'General Info'!$B$43 - 1, 0)</f>
        <v>65209.251440262837</v>
      </c>
      <c r="AI972" s="100">
        <f>IF(ISERROR(MATCH(SamplingData[[#This Row],[Batch by Type (p)]],SelectedPrecincts[Batch Name], 0)), "", INDEX(SelectedPrecincts[Draw], MATCH(SamplingData[[#This Row],[Batch by Type (p)]],SelectedPrecincts[Batch Name], 0)))</f>
        <v>1</v>
      </c>
      <c r="AJ972" s="101">
        <f>IF(COUNTIF(SelectedPrecincts[Batch Name],SamplingData[[#This Row],[Batch by Type (p)]]) &lt;&gt; 0, COUNTIF(SelectedPrecincts[Batch Name],SamplingData[[#This Row],[Batch by Type (p)]]), 0)</f>
        <v>1</v>
      </c>
    </row>
    <row r="973" spans="1:36" ht="15" customHeight="1" x14ac:dyDescent="0.35">
      <c r="A973" s="98" t="s">
        <v>1184</v>
      </c>
      <c r="B973" s="98">
        <v>82</v>
      </c>
      <c r="C973" s="98">
        <v>14</v>
      </c>
      <c r="D973" s="93"/>
      <c r="E973" s="93"/>
      <c r="F973" s="93"/>
      <c r="G973" s="97"/>
      <c r="H973" s="97"/>
      <c r="I973" s="93"/>
      <c r="J973" s="93"/>
      <c r="K973" s="93"/>
      <c r="L973" s="93"/>
      <c r="M973" s="93"/>
      <c r="N973" s="98">
        <v>0</v>
      </c>
      <c r="O973" s="98">
        <v>4</v>
      </c>
      <c r="P973" s="99">
        <f>SUM(SamplingData[[#This Row],[Winning Candidate]:[Under Votes]])</f>
        <v>100</v>
      </c>
      <c r="Q973" s="100">
        <f>IF(AND(SamplingData[[#This Row],[Total]]&lt;&gt; 0, NOT(ISBLANK(SamplingData[[#This Row],[Losing Candidate]]))),(SamplingData[[#This Row],[Total]]+SamplingData[[#This Row],[Winning Candidate]]-SamplingData[[#This Row],[Losing Candidate]])/(SamplingData[[#Totals],[Winning Candidate]]-SamplingData[[#Totals],[Losing Candidate]]), 0)</f>
        <v>5.2768791029305529E-3</v>
      </c>
      <c r="R973" s="100">
        <f>IF(AND(SamplingData[[#This Row],[Total]]&lt;&gt; 0, NOT(ISBLANK(SamplingData[[#This Row],[Candidate 3]]))),(SamplingData[[#This Row],[Total]]+SamplingData[[#This Row],[Winning Candidate]]-SamplingData[[#This Row],[Candidate 3]])/(SamplingData[[#Totals],[Winning Candidate]]-SamplingData[[#Totals],[Candidate 3]]), 0)</f>
        <v>0</v>
      </c>
      <c r="S973" s="100">
        <f>IF(AND(SamplingData[[#This Row],[Total]]&lt;&gt; 0, NOT(ISBLANK(SamplingData[[#This Row],[Candidate 4]]))),(SamplingData[[#This Row],[Total]]+SamplingData[[#This Row],[Winning Candidate]]-SamplingData[[#This Row],[Candidate 4]])/(SamplingData[[#Totals],[Winning Candidate]]-SamplingData[[#Totals],[Candidate 4]]), 0)</f>
        <v>0</v>
      </c>
      <c r="T973" s="100">
        <f>IF(AND(SamplingData[[#This Row],[Total]]&lt;&gt; 0, NOT(ISBLANK(SamplingData[[#This Row],[Candidate 5]]))),(SamplingData[[#This Row],[Total]]+SamplingData[[#This Row],[Winning Candidate]]-SamplingData[[#This Row],[Candidate 5]])/(SamplingData[[#Totals],[Winning Candidate]]-SamplingData[[#Totals],[Candidate 5]]), 0)</f>
        <v>0</v>
      </c>
      <c r="U973" s="100">
        <f>IF(AND(SamplingData[[#This Row],[Total]]&lt;&gt; 0, NOT(ISBLANK(SamplingData[[#This Row],[Candidate 6]]))),(SamplingData[[#This Row],[Total]]+SamplingData[[#This Row],[Losing Candidate]]-SamplingData[[#This Row],[Candidate 6]])/(SamplingData[[#Totals],[Winning Candidate]]-SamplingData[[#Totals],[Candidate 6]]), 0)</f>
        <v>0</v>
      </c>
      <c r="V973" s="100">
        <f>IF(AND(SamplingData[[#This Row],[Total]]&lt;&gt; 0, NOT(ISBLANK(SamplingData[[#This Row],[Candidate 7]]))),(SamplingData[[#This Row],[Total]]+SamplingData[[#This Row],[Winning Candidate]]-SamplingData[[#This Row],[Candidate 7]])/(SamplingData[[#Totals],[Winning Candidate]]-SamplingData[[#Totals],[Candidate 7]]), 0)</f>
        <v>0</v>
      </c>
      <c r="W973" s="100">
        <f>IF(AND(SamplingData[[#This Row],[Total]]&lt;&gt; 0, NOT(ISBLANK(SamplingData[[#This Row],[Candidate 8]]))),(SamplingData[[#This Row],[Total]]+SamplingData[[#This Row],[Winning Candidate]]-SamplingData[[#This Row],[Candidate 8]])/(SamplingData[[#Totals],[Winning Candidate]]-SamplingData[[#Totals],[Candidate 8]]), 0)</f>
        <v>0</v>
      </c>
      <c r="X9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00">
        <f>MAX(SamplingData[[#This Row],[Error Bound (up) - Max. possible relative overstatement - Losing Candidate]:[Error Bound (up) - Max. possible relative overstatement - Candidate 12]])</f>
        <v>5.2768791029305529E-3</v>
      </c>
      <c r="AC973" s="100">
        <f>IF(SamplingData[[#This Row],[Max Error Bound (up)]] = 0,0,SamplingData[[#This Row],[Max Error Bound (up)]]/SamplingData[[#Totals],[Max Error Bound (up)]])</f>
        <v>2.261347116782427E-3</v>
      </c>
      <c r="AD973" s="104">
        <f>SUM($AC$5:AC973)</f>
        <v>0.65436386151941073</v>
      </c>
      <c r="AE973" s="100" t="str" cm="1">
        <f t="array" ref="AE973">IF(SamplingData[[#This Row],[up/U Selection Probability]] = 0, "Zero", TEXT(SamplingData[[#This Row],[Lower Range]], REPT("0",LEN('General Info'!$B$42))) &amp; " - " &amp; TEXT(SamplingData[[#This Row],[Upper Range]], REPT("0",LEN('General Info'!$B$42))))</f>
        <v>65210 - 65435</v>
      </c>
      <c r="AF973" s="100">
        <f>SamplingData[[#This Row],[Upper Range]]-SamplingData[[#This Row],[Span]]</f>
        <v>65210.251440262829</v>
      </c>
      <c r="AG973" s="100">
        <f>IF(ISNUMBER('General Info'!$B$42), ((SamplingData[[#This Row],[up/U Selection Probability]]) * 'General Info'!$B$44) - 1, 0)</f>
        <v>225.1347116782427</v>
      </c>
      <c r="AH973" s="100">
        <f>IF(ISNUMBER('General Info'!$B$42), (SamplingData[[#This Row],[Running (cumulative) sum]] * ('General Info'!$B$42 -'General Info'!$B$43 + 1)) + 'General Info'!$B$43 - 1, 0)</f>
        <v>65435.386151941071</v>
      </c>
      <c r="AI973" s="100" t="str">
        <f>IF(ISERROR(MATCH(SamplingData[[#This Row],[Batch by Type (p)]],SelectedPrecincts[Batch Name], 0)), "", INDEX(SelectedPrecincts[Draw], MATCH(SamplingData[[#This Row],[Batch by Type (p)]],SelectedPrecincts[Batch Name], 0)))</f>
        <v/>
      </c>
      <c r="AJ973" s="101">
        <f>IF(COUNTIF(SelectedPrecincts[Batch Name],SamplingData[[#This Row],[Batch by Type (p)]]) &lt;&gt; 0, COUNTIF(SelectedPrecincts[Batch Name],SamplingData[[#This Row],[Batch by Type (p)]]), 0)</f>
        <v>0</v>
      </c>
    </row>
    <row r="974" spans="1:36" ht="15" customHeight="1" x14ac:dyDescent="0.35">
      <c r="A974" s="98" t="s">
        <v>1185</v>
      </c>
      <c r="B974" s="98">
        <v>105</v>
      </c>
      <c r="C974" s="98">
        <v>11</v>
      </c>
      <c r="D974" s="93"/>
      <c r="E974" s="93"/>
      <c r="F974" s="93"/>
      <c r="G974" s="97"/>
      <c r="H974" s="97"/>
      <c r="I974" s="93"/>
      <c r="J974" s="93"/>
      <c r="K974" s="93"/>
      <c r="L974" s="93"/>
      <c r="M974" s="93"/>
      <c r="N974" s="98">
        <v>0</v>
      </c>
      <c r="O974" s="98">
        <v>8</v>
      </c>
      <c r="P974" s="99">
        <f>SUM(SamplingData[[#This Row],[Winning Candidate]:[Under Votes]])</f>
        <v>124</v>
      </c>
      <c r="Q974" s="100">
        <f>IF(AND(SamplingData[[#This Row],[Total]]&lt;&gt; 0, NOT(ISBLANK(SamplingData[[#This Row],[Losing Candidate]]))),(SamplingData[[#This Row],[Total]]+SamplingData[[#This Row],[Winning Candidate]]-SamplingData[[#This Row],[Losing Candidate]])/(SamplingData[[#Totals],[Winning Candidate]]-SamplingData[[#Totals],[Losing Candidate]]), 0)</f>
        <v>6.8473788359455978E-3</v>
      </c>
      <c r="R974" s="100">
        <f>IF(AND(SamplingData[[#This Row],[Total]]&lt;&gt; 0, NOT(ISBLANK(SamplingData[[#This Row],[Candidate 3]]))),(SamplingData[[#This Row],[Total]]+SamplingData[[#This Row],[Winning Candidate]]-SamplingData[[#This Row],[Candidate 3]])/(SamplingData[[#Totals],[Winning Candidate]]-SamplingData[[#Totals],[Candidate 3]]), 0)</f>
        <v>0</v>
      </c>
      <c r="S974" s="100">
        <f>IF(AND(SamplingData[[#This Row],[Total]]&lt;&gt; 0, NOT(ISBLANK(SamplingData[[#This Row],[Candidate 4]]))),(SamplingData[[#This Row],[Total]]+SamplingData[[#This Row],[Winning Candidate]]-SamplingData[[#This Row],[Candidate 4]])/(SamplingData[[#Totals],[Winning Candidate]]-SamplingData[[#Totals],[Candidate 4]]), 0)</f>
        <v>0</v>
      </c>
      <c r="T974" s="100">
        <f>IF(AND(SamplingData[[#This Row],[Total]]&lt;&gt; 0, NOT(ISBLANK(SamplingData[[#This Row],[Candidate 5]]))),(SamplingData[[#This Row],[Total]]+SamplingData[[#This Row],[Winning Candidate]]-SamplingData[[#This Row],[Candidate 5]])/(SamplingData[[#Totals],[Winning Candidate]]-SamplingData[[#Totals],[Candidate 5]]), 0)</f>
        <v>0</v>
      </c>
      <c r="U974" s="100">
        <f>IF(AND(SamplingData[[#This Row],[Total]]&lt;&gt; 0, NOT(ISBLANK(SamplingData[[#This Row],[Candidate 6]]))),(SamplingData[[#This Row],[Total]]+SamplingData[[#This Row],[Losing Candidate]]-SamplingData[[#This Row],[Candidate 6]])/(SamplingData[[#Totals],[Winning Candidate]]-SamplingData[[#Totals],[Candidate 6]]), 0)</f>
        <v>0</v>
      </c>
      <c r="V974" s="100">
        <f>IF(AND(SamplingData[[#This Row],[Total]]&lt;&gt; 0, NOT(ISBLANK(SamplingData[[#This Row],[Candidate 7]]))),(SamplingData[[#This Row],[Total]]+SamplingData[[#This Row],[Winning Candidate]]-SamplingData[[#This Row],[Candidate 7]])/(SamplingData[[#Totals],[Winning Candidate]]-SamplingData[[#Totals],[Candidate 7]]), 0)</f>
        <v>0</v>
      </c>
      <c r="W974" s="100">
        <f>IF(AND(SamplingData[[#This Row],[Total]]&lt;&gt; 0, NOT(ISBLANK(SamplingData[[#This Row],[Candidate 8]]))),(SamplingData[[#This Row],[Total]]+SamplingData[[#This Row],[Winning Candidate]]-SamplingData[[#This Row],[Candidate 8]])/(SamplingData[[#Totals],[Winning Candidate]]-SamplingData[[#Totals],[Candidate 8]]), 0)</f>
        <v>0</v>
      </c>
      <c r="X9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00">
        <f>MAX(SamplingData[[#This Row],[Error Bound (up) - Max. possible relative overstatement - Losing Candidate]:[Error Bound (up) - Max. possible relative overstatement - Candidate 12]])</f>
        <v>6.8473788359455978E-3</v>
      </c>
      <c r="AC974" s="100">
        <f>IF(SamplingData[[#This Row],[Max Error Bound (up)]] = 0,0,SamplingData[[#This Row],[Max Error Bound (up)]]/SamplingData[[#Totals],[Max Error Bound (up)]])</f>
        <v>2.9343670920152919E-3</v>
      </c>
      <c r="AD974" s="104">
        <f>SUM($AC$5:AC974)</f>
        <v>0.65729822861142606</v>
      </c>
      <c r="AE974" s="100" t="str" cm="1">
        <f t="array" ref="AE974">IF(SamplingData[[#This Row],[up/U Selection Probability]] = 0, "Zero", TEXT(SamplingData[[#This Row],[Lower Range]], REPT("0",LEN('General Info'!$B$42))) &amp; " - " &amp; TEXT(SamplingData[[#This Row],[Upper Range]], REPT("0",LEN('General Info'!$B$42))))</f>
        <v>65436 - 65729</v>
      </c>
      <c r="AF974" s="100">
        <f>SamplingData[[#This Row],[Upper Range]]-SamplingData[[#This Row],[Span]]</f>
        <v>65436.386151941071</v>
      </c>
      <c r="AG974" s="100">
        <f>IF(ISNUMBER('General Info'!$B$42), ((SamplingData[[#This Row],[up/U Selection Probability]]) * 'General Info'!$B$44) - 1, 0)</f>
        <v>292.4367092015292</v>
      </c>
      <c r="AH974" s="100">
        <f>IF(ISNUMBER('General Info'!$B$42), (SamplingData[[#This Row],[Running (cumulative) sum]] * ('General Info'!$B$42 -'General Info'!$B$43 + 1)) + 'General Info'!$B$43 - 1, 0)</f>
        <v>65728.822861142602</v>
      </c>
      <c r="AI974" s="100" t="str">
        <f>IF(ISERROR(MATCH(SamplingData[[#This Row],[Batch by Type (p)]],SelectedPrecincts[Batch Name], 0)), "", INDEX(SelectedPrecincts[Draw], MATCH(SamplingData[[#This Row],[Batch by Type (p)]],SelectedPrecincts[Batch Name], 0)))</f>
        <v/>
      </c>
      <c r="AJ974" s="101">
        <f>IF(COUNTIF(SelectedPrecincts[Batch Name],SamplingData[[#This Row],[Batch by Type (p)]]) &lt;&gt; 0, COUNTIF(SelectedPrecincts[Batch Name],SamplingData[[#This Row],[Batch by Type (p)]]), 0)</f>
        <v>0</v>
      </c>
    </row>
    <row r="975" spans="1:36" ht="15" customHeight="1" x14ac:dyDescent="0.35">
      <c r="A975" s="98" t="s">
        <v>1186</v>
      </c>
      <c r="B975" s="98">
        <v>135</v>
      </c>
      <c r="C975" s="98">
        <v>14</v>
      </c>
      <c r="D975" s="93"/>
      <c r="E975" s="93"/>
      <c r="F975" s="93"/>
      <c r="G975" s="97"/>
      <c r="H975" s="97"/>
      <c r="I975" s="93"/>
      <c r="J975" s="93"/>
      <c r="K975" s="93"/>
      <c r="L975" s="93"/>
      <c r="M975" s="93"/>
      <c r="N975" s="98">
        <v>0</v>
      </c>
      <c r="O975" s="98">
        <v>3</v>
      </c>
      <c r="P975" s="99">
        <f>SUM(SamplingData[[#This Row],[Winning Candidate]:[Under Votes]])</f>
        <v>152</v>
      </c>
      <c r="Q975" s="100">
        <f>IF(AND(SamplingData[[#This Row],[Total]]&lt;&gt; 0, NOT(ISBLANK(SamplingData[[#This Row],[Losing Candidate]]))),(SamplingData[[#This Row],[Total]]+SamplingData[[#This Row],[Winning Candidate]]-SamplingData[[#This Row],[Losing Candidate]])/(SamplingData[[#Totals],[Winning Candidate]]-SamplingData[[#Totals],[Losing Candidate]]), 0)</f>
        <v>8.5749285422621474E-3</v>
      </c>
      <c r="R975" s="100">
        <f>IF(AND(SamplingData[[#This Row],[Total]]&lt;&gt; 0, NOT(ISBLANK(SamplingData[[#This Row],[Candidate 3]]))),(SamplingData[[#This Row],[Total]]+SamplingData[[#This Row],[Winning Candidate]]-SamplingData[[#This Row],[Candidate 3]])/(SamplingData[[#Totals],[Winning Candidate]]-SamplingData[[#Totals],[Candidate 3]]), 0)</f>
        <v>0</v>
      </c>
      <c r="S975" s="100">
        <f>IF(AND(SamplingData[[#This Row],[Total]]&lt;&gt; 0, NOT(ISBLANK(SamplingData[[#This Row],[Candidate 4]]))),(SamplingData[[#This Row],[Total]]+SamplingData[[#This Row],[Winning Candidate]]-SamplingData[[#This Row],[Candidate 4]])/(SamplingData[[#Totals],[Winning Candidate]]-SamplingData[[#Totals],[Candidate 4]]), 0)</f>
        <v>0</v>
      </c>
      <c r="T975" s="100">
        <f>IF(AND(SamplingData[[#This Row],[Total]]&lt;&gt; 0, NOT(ISBLANK(SamplingData[[#This Row],[Candidate 5]]))),(SamplingData[[#This Row],[Total]]+SamplingData[[#This Row],[Winning Candidate]]-SamplingData[[#This Row],[Candidate 5]])/(SamplingData[[#Totals],[Winning Candidate]]-SamplingData[[#Totals],[Candidate 5]]), 0)</f>
        <v>0</v>
      </c>
      <c r="U975" s="100">
        <f>IF(AND(SamplingData[[#This Row],[Total]]&lt;&gt; 0, NOT(ISBLANK(SamplingData[[#This Row],[Candidate 6]]))),(SamplingData[[#This Row],[Total]]+SamplingData[[#This Row],[Losing Candidate]]-SamplingData[[#This Row],[Candidate 6]])/(SamplingData[[#Totals],[Winning Candidate]]-SamplingData[[#Totals],[Candidate 6]]), 0)</f>
        <v>0</v>
      </c>
      <c r="V975" s="100">
        <f>IF(AND(SamplingData[[#This Row],[Total]]&lt;&gt; 0, NOT(ISBLANK(SamplingData[[#This Row],[Candidate 7]]))),(SamplingData[[#This Row],[Total]]+SamplingData[[#This Row],[Winning Candidate]]-SamplingData[[#This Row],[Candidate 7]])/(SamplingData[[#Totals],[Winning Candidate]]-SamplingData[[#Totals],[Candidate 7]]), 0)</f>
        <v>0</v>
      </c>
      <c r="W975" s="100">
        <f>IF(AND(SamplingData[[#This Row],[Total]]&lt;&gt; 0, NOT(ISBLANK(SamplingData[[#This Row],[Candidate 8]]))),(SamplingData[[#This Row],[Total]]+SamplingData[[#This Row],[Winning Candidate]]-SamplingData[[#This Row],[Candidate 8]])/(SamplingData[[#Totals],[Winning Candidate]]-SamplingData[[#Totals],[Candidate 8]]), 0)</f>
        <v>0</v>
      </c>
      <c r="X9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00">
        <f>MAX(SamplingData[[#This Row],[Error Bound (up) - Max. possible relative overstatement - Losing Candidate]:[Error Bound (up) - Max. possible relative overstatement - Candidate 12]])</f>
        <v>8.5749285422621474E-3</v>
      </c>
      <c r="AC975" s="100">
        <f>IF(SamplingData[[#This Row],[Max Error Bound (up)]] = 0,0,SamplingData[[#This Row],[Max Error Bound (up)]]/SamplingData[[#Totals],[Max Error Bound (up)]])</f>
        <v>3.6746890647714435E-3</v>
      </c>
      <c r="AD975" s="104">
        <f>SUM($AC$5:AC975)</f>
        <v>0.66097291767619748</v>
      </c>
      <c r="AE975" s="100" t="str" cm="1">
        <f t="array" ref="AE975">IF(SamplingData[[#This Row],[up/U Selection Probability]] = 0, "Zero", TEXT(SamplingData[[#This Row],[Lower Range]], REPT("0",LEN('General Info'!$B$42))) &amp; " - " &amp; TEXT(SamplingData[[#This Row],[Upper Range]], REPT("0",LEN('General Info'!$B$42))))</f>
        <v>65730 - 66096</v>
      </c>
      <c r="AF975" s="100">
        <f>SamplingData[[#This Row],[Upper Range]]-SamplingData[[#This Row],[Span]]</f>
        <v>65729.822861142617</v>
      </c>
      <c r="AG975" s="100">
        <f>IF(ISNUMBER('General Info'!$B$42), ((SamplingData[[#This Row],[up/U Selection Probability]]) * 'General Info'!$B$44) - 1, 0)</f>
        <v>366.46890647714434</v>
      </c>
      <c r="AH975" s="100">
        <f>IF(ISNUMBER('General Info'!$B$42), (SamplingData[[#This Row],[Running (cumulative) sum]] * ('General Info'!$B$42 -'General Info'!$B$43 + 1)) + 'General Info'!$B$43 - 1, 0)</f>
        <v>66096.291767619754</v>
      </c>
      <c r="AI975" s="100" t="str">
        <f>IF(ISERROR(MATCH(SamplingData[[#This Row],[Batch by Type (p)]],SelectedPrecincts[Batch Name], 0)), "", INDEX(SelectedPrecincts[Draw], MATCH(SamplingData[[#This Row],[Batch by Type (p)]],SelectedPrecincts[Batch Name], 0)))</f>
        <v/>
      </c>
      <c r="AJ975" s="101">
        <f>IF(COUNTIF(SelectedPrecincts[Batch Name],SamplingData[[#This Row],[Batch by Type (p)]]) &lt;&gt; 0, COUNTIF(SelectedPrecincts[Batch Name],SamplingData[[#This Row],[Batch by Type (p)]]), 0)</f>
        <v>0</v>
      </c>
    </row>
    <row r="976" spans="1:36" ht="15" customHeight="1" x14ac:dyDescent="0.35">
      <c r="A976" s="98" t="s">
        <v>1187</v>
      </c>
      <c r="B976" s="98">
        <v>146</v>
      </c>
      <c r="C976" s="98">
        <v>21</v>
      </c>
      <c r="D976" s="93"/>
      <c r="E976" s="93"/>
      <c r="F976" s="93"/>
      <c r="G976" s="97"/>
      <c r="H976" s="97"/>
      <c r="I976" s="93"/>
      <c r="J976" s="93"/>
      <c r="K976" s="93"/>
      <c r="L976" s="93"/>
      <c r="M976" s="93"/>
      <c r="N976" s="98">
        <v>0</v>
      </c>
      <c r="O976" s="98">
        <v>6</v>
      </c>
      <c r="P976" s="99">
        <f>SUM(SamplingData[[#This Row],[Winning Candidate]:[Under Votes]])</f>
        <v>173</v>
      </c>
      <c r="Q976" s="100">
        <f>IF(AND(SamplingData[[#This Row],[Total]]&lt;&gt; 0, NOT(ISBLANK(SamplingData[[#This Row],[Losing Candidate]]))),(SamplingData[[#This Row],[Total]]+SamplingData[[#This Row],[Winning Candidate]]-SamplingData[[#This Row],[Losing Candidate]])/(SamplingData[[#Totals],[Winning Candidate]]-SamplingData[[#Totals],[Losing Candidate]]), 0)</f>
        <v>9.3601784087696711E-3</v>
      </c>
      <c r="R976" s="100">
        <f>IF(AND(SamplingData[[#This Row],[Total]]&lt;&gt; 0, NOT(ISBLANK(SamplingData[[#This Row],[Candidate 3]]))),(SamplingData[[#This Row],[Total]]+SamplingData[[#This Row],[Winning Candidate]]-SamplingData[[#This Row],[Candidate 3]])/(SamplingData[[#Totals],[Winning Candidate]]-SamplingData[[#Totals],[Candidate 3]]), 0)</f>
        <v>0</v>
      </c>
      <c r="S976" s="100">
        <f>IF(AND(SamplingData[[#This Row],[Total]]&lt;&gt; 0, NOT(ISBLANK(SamplingData[[#This Row],[Candidate 4]]))),(SamplingData[[#This Row],[Total]]+SamplingData[[#This Row],[Winning Candidate]]-SamplingData[[#This Row],[Candidate 4]])/(SamplingData[[#Totals],[Winning Candidate]]-SamplingData[[#Totals],[Candidate 4]]), 0)</f>
        <v>0</v>
      </c>
      <c r="T976" s="100">
        <f>IF(AND(SamplingData[[#This Row],[Total]]&lt;&gt; 0, NOT(ISBLANK(SamplingData[[#This Row],[Candidate 5]]))),(SamplingData[[#This Row],[Total]]+SamplingData[[#This Row],[Winning Candidate]]-SamplingData[[#This Row],[Candidate 5]])/(SamplingData[[#Totals],[Winning Candidate]]-SamplingData[[#Totals],[Candidate 5]]), 0)</f>
        <v>0</v>
      </c>
      <c r="U976" s="100">
        <f>IF(AND(SamplingData[[#This Row],[Total]]&lt;&gt; 0, NOT(ISBLANK(SamplingData[[#This Row],[Candidate 6]]))),(SamplingData[[#This Row],[Total]]+SamplingData[[#This Row],[Losing Candidate]]-SamplingData[[#This Row],[Candidate 6]])/(SamplingData[[#Totals],[Winning Candidate]]-SamplingData[[#Totals],[Candidate 6]]), 0)</f>
        <v>0</v>
      </c>
      <c r="V976" s="100">
        <f>IF(AND(SamplingData[[#This Row],[Total]]&lt;&gt; 0, NOT(ISBLANK(SamplingData[[#This Row],[Candidate 7]]))),(SamplingData[[#This Row],[Total]]+SamplingData[[#This Row],[Winning Candidate]]-SamplingData[[#This Row],[Candidate 7]])/(SamplingData[[#Totals],[Winning Candidate]]-SamplingData[[#Totals],[Candidate 7]]), 0)</f>
        <v>0</v>
      </c>
      <c r="W976" s="100">
        <f>IF(AND(SamplingData[[#This Row],[Total]]&lt;&gt; 0, NOT(ISBLANK(SamplingData[[#This Row],[Candidate 8]]))),(SamplingData[[#This Row],[Total]]+SamplingData[[#This Row],[Winning Candidate]]-SamplingData[[#This Row],[Candidate 8]])/(SamplingData[[#Totals],[Winning Candidate]]-SamplingData[[#Totals],[Candidate 8]]), 0)</f>
        <v>0</v>
      </c>
      <c r="X9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00">
        <f>MAX(SamplingData[[#This Row],[Error Bound (up) - Max. possible relative overstatement - Losing Candidate]:[Error Bound (up) - Max. possible relative overstatement - Candidate 12]])</f>
        <v>9.3601784087696711E-3</v>
      </c>
      <c r="AC976" s="100">
        <f>IF(SamplingData[[#This Row],[Max Error Bound (up)]] = 0,0,SamplingData[[#This Row],[Max Error Bound (up)]]/SamplingData[[#Totals],[Max Error Bound (up)]])</f>
        <v>4.0111990523878762E-3</v>
      </c>
      <c r="AD976" s="104">
        <f>SUM($AC$5:AC976)</f>
        <v>0.66498411672858537</v>
      </c>
      <c r="AE976" s="100" t="str" cm="1">
        <f t="array" ref="AE976">IF(SamplingData[[#This Row],[up/U Selection Probability]] = 0, "Zero", TEXT(SamplingData[[#This Row],[Lower Range]], REPT("0",LEN('General Info'!$B$42))) &amp; " - " &amp; TEXT(SamplingData[[#This Row],[Upper Range]], REPT("0",LEN('General Info'!$B$42))))</f>
        <v>66097 - 66497</v>
      </c>
      <c r="AF976" s="100">
        <f>SamplingData[[#This Row],[Upper Range]]-SamplingData[[#This Row],[Span]]</f>
        <v>66097.291767619754</v>
      </c>
      <c r="AG976" s="100">
        <f>IF(ISNUMBER('General Info'!$B$42), ((SamplingData[[#This Row],[up/U Selection Probability]]) * 'General Info'!$B$44) - 1, 0)</f>
        <v>400.11990523878762</v>
      </c>
      <c r="AH976" s="100">
        <f>IF(ISNUMBER('General Info'!$B$42), (SamplingData[[#This Row],[Running (cumulative) sum]] * ('General Info'!$B$42 -'General Info'!$B$43 + 1)) + 'General Info'!$B$43 - 1, 0)</f>
        <v>66497.411672858536</v>
      </c>
      <c r="AI976" s="100" t="str">
        <f>IF(ISERROR(MATCH(SamplingData[[#This Row],[Batch by Type (p)]],SelectedPrecincts[Batch Name], 0)), "", INDEX(SelectedPrecincts[Draw], MATCH(SamplingData[[#This Row],[Batch by Type (p)]],SelectedPrecincts[Batch Name], 0)))</f>
        <v/>
      </c>
      <c r="AJ976" s="101">
        <f>IF(COUNTIF(SelectedPrecincts[Batch Name],SamplingData[[#This Row],[Batch by Type (p)]]) &lt;&gt; 0, COUNTIF(SelectedPrecincts[Batch Name],SamplingData[[#This Row],[Batch by Type (p)]]), 0)</f>
        <v>0</v>
      </c>
    </row>
    <row r="977" spans="1:36" ht="15" customHeight="1" x14ac:dyDescent="0.35">
      <c r="A977" s="98" t="s">
        <v>1188</v>
      </c>
      <c r="B977" s="98">
        <v>109</v>
      </c>
      <c r="C977" s="98">
        <v>9</v>
      </c>
      <c r="D977" s="93"/>
      <c r="E977" s="93"/>
      <c r="F977" s="93"/>
      <c r="G977" s="97"/>
      <c r="H977" s="97"/>
      <c r="I977" s="93"/>
      <c r="J977" s="93"/>
      <c r="K977" s="93"/>
      <c r="L977" s="93"/>
      <c r="M977" s="93"/>
      <c r="N977" s="98">
        <v>0</v>
      </c>
      <c r="O977" s="98">
        <v>5</v>
      </c>
      <c r="P977" s="99">
        <f>SUM(SamplingData[[#This Row],[Winning Candidate]:[Under Votes]])</f>
        <v>123</v>
      </c>
      <c r="Q977" s="100">
        <f>IF(AND(SamplingData[[#This Row],[Total]]&lt;&gt; 0, NOT(ISBLANK(SamplingData[[#This Row],[Losing Candidate]]))),(SamplingData[[#This Row],[Total]]+SamplingData[[#This Row],[Winning Candidate]]-SamplingData[[#This Row],[Losing Candidate]])/(SamplingData[[#Totals],[Winning Candidate]]-SamplingData[[#Totals],[Losing Candidate]]), 0)</f>
        <v>7.0044288092471025E-3</v>
      </c>
      <c r="R977" s="100">
        <f>IF(AND(SamplingData[[#This Row],[Total]]&lt;&gt; 0, NOT(ISBLANK(SamplingData[[#This Row],[Candidate 3]]))),(SamplingData[[#This Row],[Total]]+SamplingData[[#This Row],[Winning Candidate]]-SamplingData[[#This Row],[Candidate 3]])/(SamplingData[[#Totals],[Winning Candidate]]-SamplingData[[#Totals],[Candidate 3]]), 0)</f>
        <v>0</v>
      </c>
      <c r="S977" s="100">
        <f>IF(AND(SamplingData[[#This Row],[Total]]&lt;&gt; 0, NOT(ISBLANK(SamplingData[[#This Row],[Candidate 4]]))),(SamplingData[[#This Row],[Total]]+SamplingData[[#This Row],[Winning Candidate]]-SamplingData[[#This Row],[Candidate 4]])/(SamplingData[[#Totals],[Winning Candidate]]-SamplingData[[#Totals],[Candidate 4]]), 0)</f>
        <v>0</v>
      </c>
      <c r="T977" s="100">
        <f>IF(AND(SamplingData[[#This Row],[Total]]&lt;&gt; 0, NOT(ISBLANK(SamplingData[[#This Row],[Candidate 5]]))),(SamplingData[[#This Row],[Total]]+SamplingData[[#This Row],[Winning Candidate]]-SamplingData[[#This Row],[Candidate 5]])/(SamplingData[[#Totals],[Winning Candidate]]-SamplingData[[#Totals],[Candidate 5]]), 0)</f>
        <v>0</v>
      </c>
      <c r="U977" s="100">
        <f>IF(AND(SamplingData[[#This Row],[Total]]&lt;&gt; 0, NOT(ISBLANK(SamplingData[[#This Row],[Candidate 6]]))),(SamplingData[[#This Row],[Total]]+SamplingData[[#This Row],[Losing Candidate]]-SamplingData[[#This Row],[Candidate 6]])/(SamplingData[[#Totals],[Winning Candidate]]-SamplingData[[#Totals],[Candidate 6]]), 0)</f>
        <v>0</v>
      </c>
      <c r="V977" s="100">
        <f>IF(AND(SamplingData[[#This Row],[Total]]&lt;&gt; 0, NOT(ISBLANK(SamplingData[[#This Row],[Candidate 7]]))),(SamplingData[[#This Row],[Total]]+SamplingData[[#This Row],[Winning Candidate]]-SamplingData[[#This Row],[Candidate 7]])/(SamplingData[[#Totals],[Winning Candidate]]-SamplingData[[#Totals],[Candidate 7]]), 0)</f>
        <v>0</v>
      </c>
      <c r="W977" s="100">
        <f>IF(AND(SamplingData[[#This Row],[Total]]&lt;&gt; 0, NOT(ISBLANK(SamplingData[[#This Row],[Candidate 8]]))),(SamplingData[[#This Row],[Total]]+SamplingData[[#This Row],[Winning Candidate]]-SamplingData[[#This Row],[Candidate 8]])/(SamplingData[[#Totals],[Winning Candidate]]-SamplingData[[#Totals],[Candidate 8]]), 0)</f>
        <v>0</v>
      </c>
      <c r="X9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00">
        <f>MAX(SamplingData[[#This Row],[Error Bound (up) - Max. possible relative overstatement - Losing Candidate]:[Error Bound (up) - Max. possible relative overstatement - Candidate 12]])</f>
        <v>7.0044288092471025E-3</v>
      </c>
      <c r="AC977" s="100">
        <f>IF(SamplingData[[#This Row],[Max Error Bound (up)]] = 0,0,SamplingData[[#This Row],[Max Error Bound (up)]]/SamplingData[[#Totals],[Max Error Bound (up)]])</f>
        <v>3.0016690895385786E-3</v>
      </c>
      <c r="AD977" s="104">
        <f>SUM($AC$5:AC977)</f>
        <v>0.66798578581812396</v>
      </c>
      <c r="AE977" s="100" t="str" cm="1">
        <f t="array" ref="AE977">IF(SamplingData[[#This Row],[up/U Selection Probability]] = 0, "Zero", TEXT(SamplingData[[#This Row],[Lower Range]], REPT("0",LEN('General Info'!$B$42))) &amp; " - " &amp; TEXT(SamplingData[[#This Row],[Upper Range]], REPT("0",LEN('General Info'!$B$42))))</f>
        <v>66498 - 66798</v>
      </c>
      <c r="AF977" s="100">
        <f>SamplingData[[#This Row],[Upper Range]]-SamplingData[[#This Row],[Span]]</f>
        <v>66498.411672858536</v>
      </c>
      <c r="AG977" s="100">
        <f>IF(ISNUMBER('General Info'!$B$42), ((SamplingData[[#This Row],[up/U Selection Probability]]) * 'General Info'!$B$44) - 1, 0)</f>
        <v>299.16690895385784</v>
      </c>
      <c r="AH977" s="100">
        <f>IF(ISNUMBER('General Info'!$B$42), (SamplingData[[#This Row],[Running (cumulative) sum]] * ('General Info'!$B$42 -'General Info'!$B$43 + 1)) + 'General Info'!$B$43 - 1, 0)</f>
        <v>66797.578581812399</v>
      </c>
      <c r="AI977" s="100" t="str">
        <f>IF(ISERROR(MATCH(SamplingData[[#This Row],[Batch by Type (p)]],SelectedPrecincts[Batch Name], 0)), "", INDEX(SelectedPrecincts[Draw], MATCH(SamplingData[[#This Row],[Batch by Type (p)]],SelectedPrecincts[Batch Name], 0)))</f>
        <v/>
      </c>
      <c r="AJ977" s="101">
        <f>IF(COUNTIF(SelectedPrecincts[Batch Name],SamplingData[[#This Row],[Batch by Type (p)]]) &lt;&gt; 0, COUNTIF(SelectedPrecincts[Batch Name],SamplingData[[#This Row],[Batch by Type (p)]]), 0)</f>
        <v>0</v>
      </c>
    </row>
    <row r="978" spans="1:36" ht="15" customHeight="1" x14ac:dyDescent="0.35">
      <c r="A978" s="98" t="s">
        <v>1189</v>
      </c>
      <c r="B978" s="98">
        <v>37</v>
      </c>
      <c r="C978" s="98">
        <v>8</v>
      </c>
      <c r="D978" s="93"/>
      <c r="E978" s="93"/>
      <c r="F978" s="93"/>
      <c r="G978" s="97"/>
      <c r="H978" s="97"/>
      <c r="I978" s="93"/>
      <c r="J978" s="93"/>
      <c r="K978" s="93"/>
      <c r="L978" s="93"/>
      <c r="M978" s="93"/>
      <c r="N978" s="98">
        <v>0</v>
      </c>
      <c r="O978" s="98">
        <v>1</v>
      </c>
      <c r="P978" s="99">
        <f>SUM(SamplingData[[#This Row],[Winning Candidate]:[Under Votes]])</f>
        <v>46</v>
      </c>
      <c r="Q978" s="100">
        <f>IF(AND(SamplingData[[#This Row],[Total]]&lt;&gt; 0, NOT(ISBLANK(SamplingData[[#This Row],[Losing Candidate]]))),(SamplingData[[#This Row],[Total]]+SamplingData[[#This Row],[Winning Candidate]]-SamplingData[[#This Row],[Losing Candidate]])/(SamplingData[[#Totals],[Winning Candidate]]-SamplingData[[#Totals],[Losing Candidate]]), 0)</f>
        <v>2.3557495995225682E-3</v>
      </c>
      <c r="R978" s="100">
        <f>IF(AND(SamplingData[[#This Row],[Total]]&lt;&gt; 0, NOT(ISBLANK(SamplingData[[#This Row],[Candidate 3]]))),(SamplingData[[#This Row],[Total]]+SamplingData[[#This Row],[Winning Candidate]]-SamplingData[[#This Row],[Candidate 3]])/(SamplingData[[#Totals],[Winning Candidate]]-SamplingData[[#Totals],[Candidate 3]]), 0)</f>
        <v>0</v>
      </c>
      <c r="S978" s="100">
        <f>IF(AND(SamplingData[[#This Row],[Total]]&lt;&gt; 0, NOT(ISBLANK(SamplingData[[#This Row],[Candidate 4]]))),(SamplingData[[#This Row],[Total]]+SamplingData[[#This Row],[Winning Candidate]]-SamplingData[[#This Row],[Candidate 4]])/(SamplingData[[#Totals],[Winning Candidate]]-SamplingData[[#Totals],[Candidate 4]]), 0)</f>
        <v>0</v>
      </c>
      <c r="T978" s="100">
        <f>IF(AND(SamplingData[[#This Row],[Total]]&lt;&gt; 0, NOT(ISBLANK(SamplingData[[#This Row],[Candidate 5]]))),(SamplingData[[#This Row],[Total]]+SamplingData[[#This Row],[Winning Candidate]]-SamplingData[[#This Row],[Candidate 5]])/(SamplingData[[#Totals],[Winning Candidate]]-SamplingData[[#Totals],[Candidate 5]]), 0)</f>
        <v>0</v>
      </c>
      <c r="U978" s="100">
        <f>IF(AND(SamplingData[[#This Row],[Total]]&lt;&gt; 0, NOT(ISBLANK(SamplingData[[#This Row],[Candidate 6]]))),(SamplingData[[#This Row],[Total]]+SamplingData[[#This Row],[Losing Candidate]]-SamplingData[[#This Row],[Candidate 6]])/(SamplingData[[#Totals],[Winning Candidate]]-SamplingData[[#Totals],[Candidate 6]]), 0)</f>
        <v>0</v>
      </c>
      <c r="V978" s="100">
        <f>IF(AND(SamplingData[[#This Row],[Total]]&lt;&gt; 0, NOT(ISBLANK(SamplingData[[#This Row],[Candidate 7]]))),(SamplingData[[#This Row],[Total]]+SamplingData[[#This Row],[Winning Candidate]]-SamplingData[[#This Row],[Candidate 7]])/(SamplingData[[#Totals],[Winning Candidate]]-SamplingData[[#Totals],[Candidate 7]]), 0)</f>
        <v>0</v>
      </c>
      <c r="W978" s="100">
        <f>IF(AND(SamplingData[[#This Row],[Total]]&lt;&gt; 0, NOT(ISBLANK(SamplingData[[#This Row],[Candidate 8]]))),(SamplingData[[#This Row],[Total]]+SamplingData[[#This Row],[Winning Candidate]]-SamplingData[[#This Row],[Candidate 8]])/(SamplingData[[#Totals],[Winning Candidate]]-SamplingData[[#Totals],[Candidate 8]]), 0)</f>
        <v>0</v>
      </c>
      <c r="X9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00">
        <f>MAX(SamplingData[[#This Row],[Error Bound (up) - Max. possible relative overstatement - Losing Candidate]:[Error Bound (up) - Max. possible relative overstatement - Candidate 12]])</f>
        <v>2.3557495995225682E-3</v>
      </c>
      <c r="AC978" s="100">
        <f>IF(SamplingData[[#This Row],[Max Error Bound (up)]] = 0,0,SamplingData[[#This Row],[Max Error Bound (up)]]/SamplingData[[#Totals],[Max Error Bound (up)]])</f>
        <v>1.0095299628492978E-3</v>
      </c>
      <c r="AD978" s="104">
        <f>SUM($AC$5:AC978)</f>
        <v>0.66899531578097327</v>
      </c>
      <c r="AE978" s="100" t="str" cm="1">
        <f t="array" ref="AE978">IF(SamplingData[[#This Row],[up/U Selection Probability]] = 0, "Zero", TEXT(SamplingData[[#This Row],[Lower Range]], REPT("0",LEN('General Info'!$B$42))) &amp; " - " &amp; TEXT(SamplingData[[#This Row],[Upper Range]], REPT("0",LEN('General Info'!$B$42))))</f>
        <v>66799 - 66899</v>
      </c>
      <c r="AF978" s="100">
        <f>SamplingData[[#This Row],[Upper Range]]-SamplingData[[#This Row],[Span]]</f>
        <v>66798.578581812399</v>
      </c>
      <c r="AG978" s="100">
        <f>IF(ISNUMBER('General Info'!$B$42), ((SamplingData[[#This Row],[up/U Selection Probability]]) * 'General Info'!$B$44) - 1, 0)</f>
        <v>99.952996284929782</v>
      </c>
      <c r="AH978" s="100">
        <f>IF(ISNUMBER('General Info'!$B$42), (SamplingData[[#This Row],[Running (cumulative) sum]] * ('General Info'!$B$42 -'General Info'!$B$43 + 1)) + 'General Info'!$B$43 - 1, 0)</f>
        <v>66898.531578097332</v>
      </c>
      <c r="AI978" s="100" t="str">
        <f>IF(ISERROR(MATCH(SamplingData[[#This Row],[Batch by Type (p)]],SelectedPrecincts[Batch Name], 0)), "", INDEX(SelectedPrecincts[Draw], MATCH(SamplingData[[#This Row],[Batch by Type (p)]],SelectedPrecincts[Batch Name], 0)))</f>
        <v/>
      </c>
      <c r="AJ978" s="101">
        <f>IF(COUNTIF(SelectedPrecincts[Batch Name],SamplingData[[#This Row],[Batch by Type (p)]]) &lt;&gt; 0, COUNTIF(SelectedPrecincts[Batch Name],SamplingData[[#This Row],[Batch by Type (p)]]), 0)</f>
        <v>0</v>
      </c>
    </row>
    <row r="979" spans="1:36" ht="15" customHeight="1" x14ac:dyDescent="0.35">
      <c r="A979" s="98" t="s">
        <v>1190</v>
      </c>
      <c r="B979" s="98">
        <v>117</v>
      </c>
      <c r="C979" s="98">
        <v>18</v>
      </c>
      <c r="D979" s="93"/>
      <c r="E979" s="93"/>
      <c r="F979" s="93"/>
      <c r="G979" s="97"/>
      <c r="H979" s="97"/>
      <c r="I979" s="93"/>
      <c r="J979" s="93"/>
      <c r="K979" s="93"/>
      <c r="L979" s="93"/>
      <c r="M979" s="93"/>
      <c r="N979" s="98">
        <v>0</v>
      </c>
      <c r="O979" s="98">
        <v>5</v>
      </c>
      <c r="P979" s="99">
        <f>SUM(SamplingData[[#This Row],[Winning Candidate]:[Under Votes]])</f>
        <v>140</v>
      </c>
      <c r="Q979" s="100">
        <f>IF(AND(SamplingData[[#This Row],[Total]]&lt;&gt; 0, NOT(ISBLANK(SamplingData[[#This Row],[Losing Candidate]]))),(SamplingData[[#This Row],[Total]]+SamplingData[[#This Row],[Winning Candidate]]-SamplingData[[#This Row],[Losing Candidate]])/(SamplingData[[#Totals],[Winning Candidate]]-SamplingData[[#Totals],[Losing Candidate]]), 0)</f>
        <v>7.5069887238119167E-3</v>
      </c>
      <c r="R979" s="100">
        <f>IF(AND(SamplingData[[#This Row],[Total]]&lt;&gt; 0, NOT(ISBLANK(SamplingData[[#This Row],[Candidate 3]]))),(SamplingData[[#This Row],[Total]]+SamplingData[[#This Row],[Winning Candidate]]-SamplingData[[#This Row],[Candidate 3]])/(SamplingData[[#Totals],[Winning Candidate]]-SamplingData[[#Totals],[Candidate 3]]), 0)</f>
        <v>0</v>
      </c>
      <c r="S979" s="100">
        <f>IF(AND(SamplingData[[#This Row],[Total]]&lt;&gt; 0, NOT(ISBLANK(SamplingData[[#This Row],[Candidate 4]]))),(SamplingData[[#This Row],[Total]]+SamplingData[[#This Row],[Winning Candidate]]-SamplingData[[#This Row],[Candidate 4]])/(SamplingData[[#Totals],[Winning Candidate]]-SamplingData[[#Totals],[Candidate 4]]), 0)</f>
        <v>0</v>
      </c>
      <c r="T979" s="100">
        <f>IF(AND(SamplingData[[#This Row],[Total]]&lt;&gt; 0, NOT(ISBLANK(SamplingData[[#This Row],[Candidate 5]]))),(SamplingData[[#This Row],[Total]]+SamplingData[[#This Row],[Winning Candidate]]-SamplingData[[#This Row],[Candidate 5]])/(SamplingData[[#Totals],[Winning Candidate]]-SamplingData[[#Totals],[Candidate 5]]), 0)</f>
        <v>0</v>
      </c>
      <c r="U979" s="100">
        <f>IF(AND(SamplingData[[#This Row],[Total]]&lt;&gt; 0, NOT(ISBLANK(SamplingData[[#This Row],[Candidate 6]]))),(SamplingData[[#This Row],[Total]]+SamplingData[[#This Row],[Losing Candidate]]-SamplingData[[#This Row],[Candidate 6]])/(SamplingData[[#Totals],[Winning Candidate]]-SamplingData[[#Totals],[Candidate 6]]), 0)</f>
        <v>0</v>
      </c>
      <c r="V979" s="100">
        <f>IF(AND(SamplingData[[#This Row],[Total]]&lt;&gt; 0, NOT(ISBLANK(SamplingData[[#This Row],[Candidate 7]]))),(SamplingData[[#This Row],[Total]]+SamplingData[[#This Row],[Winning Candidate]]-SamplingData[[#This Row],[Candidate 7]])/(SamplingData[[#Totals],[Winning Candidate]]-SamplingData[[#Totals],[Candidate 7]]), 0)</f>
        <v>0</v>
      </c>
      <c r="W979" s="100">
        <f>IF(AND(SamplingData[[#This Row],[Total]]&lt;&gt; 0, NOT(ISBLANK(SamplingData[[#This Row],[Candidate 8]]))),(SamplingData[[#This Row],[Total]]+SamplingData[[#This Row],[Winning Candidate]]-SamplingData[[#This Row],[Candidate 8]])/(SamplingData[[#Totals],[Winning Candidate]]-SamplingData[[#Totals],[Candidate 8]]), 0)</f>
        <v>0</v>
      </c>
      <c r="X9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00">
        <f>MAX(SamplingData[[#This Row],[Error Bound (up) - Max. possible relative overstatement - Losing Candidate]:[Error Bound (up) - Max. possible relative overstatement - Candidate 12]])</f>
        <v>7.5069887238119167E-3</v>
      </c>
      <c r="AC979" s="100">
        <f>IF(SamplingData[[#This Row],[Max Error Bound (up)]] = 0,0,SamplingData[[#This Row],[Max Error Bound (up)]]/SamplingData[[#Totals],[Max Error Bound (up)]])</f>
        <v>3.2170354816130954E-3</v>
      </c>
      <c r="AD979" s="104">
        <f>SUM($AC$5:AC979)</f>
        <v>0.67221235126258638</v>
      </c>
      <c r="AE979" s="100" t="str" cm="1">
        <f t="array" ref="AE979">IF(SamplingData[[#This Row],[up/U Selection Probability]] = 0, "Zero", TEXT(SamplingData[[#This Row],[Lower Range]], REPT("0",LEN('General Info'!$B$42))) &amp; " - " &amp; TEXT(SamplingData[[#This Row],[Upper Range]], REPT("0",LEN('General Info'!$B$42))))</f>
        <v>66900 - 67220</v>
      </c>
      <c r="AF979" s="100">
        <f>SamplingData[[#This Row],[Upper Range]]-SamplingData[[#This Row],[Span]]</f>
        <v>66899.531578097332</v>
      </c>
      <c r="AG979" s="100">
        <f>IF(ISNUMBER('General Info'!$B$42), ((SamplingData[[#This Row],[up/U Selection Probability]]) * 'General Info'!$B$44) - 1, 0)</f>
        <v>320.70354816130953</v>
      </c>
      <c r="AH979" s="100">
        <f>IF(ISNUMBER('General Info'!$B$42), (SamplingData[[#This Row],[Running (cumulative) sum]] * ('General Info'!$B$42 -'General Info'!$B$43 + 1)) + 'General Info'!$B$43 - 1, 0)</f>
        <v>67220.235126258645</v>
      </c>
      <c r="AI979" s="100" t="str">
        <f>IF(ISERROR(MATCH(SamplingData[[#This Row],[Batch by Type (p)]],SelectedPrecincts[Batch Name], 0)), "", INDEX(SelectedPrecincts[Draw], MATCH(SamplingData[[#This Row],[Batch by Type (p)]],SelectedPrecincts[Batch Name], 0)))</f>
        <v/>
      </c>
      <c r="AJ979" s="101">
        <f>IF(COUNTIF(SelectedPrecincts[Batch Name],SamplingData[[#This Row],[Batch by Type (p)]]) &lt;&gt; 0, COUNTIF(SelectedPrecincts[Batch Name],SamplingData[[#This Row],[Batch by Type (p)]]), 0)</f>
        <v>0</v>
      </c>
    </row>
    <row r="980" spans="1:36" ht="15" customHeight="1" x14ac:dyDescent="0.35">
      <c r="A980" s="98" t="s">
        <v>1191</v>
      </c>
      <c r="B980" s="98">
        <v>108</v>
      </c>
      <c r="C980" s="98">
        <v>11</v>
      </c>
      <c r="D980" s="93"/>
      <c r="E980" s="93"/>
      <c r="F980" s="93"/>
      <c r="G980" s="97"/>
      <c r="H980" s="97"/>
      <c r="I980" s="93"/>
      <c r="J980" s="93"/>
      <c r="K980" s="93"/>
      <c r="L980" s="93"/>
      <c r="M980" s="93"/>
      <c r="N980" s="98">
        <v>0</v>
      </c>
      <c r="O980" s="98">
        <v>10</v>
      </c>
      <c r="P980" s="99">
        <f>SUM(SamplingData[[#This Row],[Winning Candidate]:[Under Votes]])</f>
        <v>129</v>
      </c>
      <c r="Q980" s="100">
        <f>IF(AND(SamplingData[[#This Row],[Total]]&lt;&gt; 0, NOT(ISBLANK(SamplingData[[#This Row],[Losing Candidate]]))),(SamplingData[[#This Row],[Total]]+SamplingData[[#This Row],[Winning Candidate]]-SamplingData[[#This Row],[Losing Candidate]])/(SamplingData[[#Totals],[Winning Candidate]]-SamplingData[[#Totals],[Losing Candidate]]), 0)</f>
        <v>7.0986587932280049E-3</v>
      </c>
      <c r="R980" s="100">
        <f>IF(AND(SamplingData[[#This Row],[Total]]&lt;&gt; 0, NOT(ISBLANK(SamplingData[[#This Row],[Candidate 3]]))),(SamplingData[[#This Row],[Total]]+SamplingData[[#This Row],[Winning Candidate]]-SamplingData[[#This Row],[Candidate 3]])/(SamplingData[[#Totals],[Winning Candidate]]-SamplingData[[#Totals],[Candidate 3]]), 0)</f>
        <v>0</v>
      </c>
      <c r="S980" s="100">
        <f>IF(AND(SamplingData[[#This Row],[Total]]&lt;&gt; 0, NOT(ISBLANK(SamplingData[[#This Row],[Candidate 4]]))),(SamplingData[[#This Row],[Total]]+SamplingData[[#This Row],[Winning Candidate]]-SamplingData[[#This Row],[Candidate 4]])/(SamplingData[[#Totals],[Winning Candidate]]-SamplingData[[#Totals],[Candidate 4]]), 0)</f>
        <v>0</v>
      </c>
      <c r="T980" s="100">
        <f>IF(AND(SamplingData[[#This Row],[Total]]&lt;&gt; 0, NOT(ISBLANK(SamplingData[[#This Row],[Candidate 5]]))),(SamplingData[[#This Row],[Total]]+SamplingData[[#This Row],[Winning Candidate]]-SamplingData[[#This Row],[Candidate 5]])/(SamplingData[[#Totals],[Winning Candidate]]-SamplingData[[#Totals],[Candidate 5]]), 0)</f>
        <v>0</v>
      </c>
      <c r="U980" s="100">
        <f>IF(AND(SamplingData[[#This Row],[Total]]&lt;&gt; 0, NOT(ISBLANK(SamplingData[[#This Row],[Candidate 6]]))),(SamplingData[[#This Row],[Total]]+SamplingData[[#This Row],[Losing Candidate]]-SamplingData[[#This Row],[Candidate 6]])/(SamplingData[[#Totals],[Winning Candidate]]-SamplingData[[#Totals],[Candidate 6]]), 0)</f>
        <v>0</v>
      </c>
      <c r="V980" s="100">
        <f>IF(AND(SamplingData[[#This Row],[Total]]&lt;&gt; 0, NOT(ISBLANK(SamplingData[[#This Row],[Candidate 7]]))),(SamplingData[[#This Row],[Total]]+SamplingData[[#This Row],[Winning Candidate]]-SamplingData[[#This Row],[Candidate 7]])/(SamplingData[[#Totals],[Winning Candidate]]-SamplingData[[#Totals],[Candidate 7]]), 0)</f>
        <v>0</v>
      </c>
      <c r="W980" s="100">
        <f>IF(AND(SamplingData[[#This Row],[Total]]&lt;&gt; 0, NOT(ISBLANK(SamplingData[[#This Row],[Candidate 8]]))),(SamplingData[[#This Row],[Total]]+SamplingData[[#This Row],[Winning Candidate]]-SamplingData[[#This Row],[Candidate 8]])/(SamplingData[[#Totals],[Winning Candidate]]-SamplingData[[#Totals],[Candidate 8]]), 0)</f>
        <v>0</v>
      </c>
      <c r="X9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00">
        <f>MAX(SamplingData[[#This Row],[Error Bound (up) - Max. possible relative overstatement - Losing Candidate]:[Error Bound (up) - Max. possible relative overstatement - Candidate 12]])</f>
        <v>7.0986587932280049E-3</v>
      </c>
      <c r="AC980" s="100">
        <f>IF(SamplingData[[#This Row],[Max Error Bound (up)]] = 0,0,SamplingData[[#This Row],[Max Error Bound (up)]]/SamplingData[[#Totals],[Max Error Bound (up)]])</f>
        <v>3.0420502880525503E-3</v>
      </c>
      <c r="AD980" s="104">
        <f>SUM($AC$5:AC980)</f>
        <v>0.67525440155063898</v>
      </c>
      <c r="AE980" s="100" t="str" cm="1">
        <f t="array" ref="AE980">IF(SamplingData[[#This Row],[up/U Selection Probability]] = 0, "Zero", TEXT(SamplingData[[#This Row],[Lower Range]], REPT("0",LEN('General Info'!$B$42))) &amp; " - " &amp; TEXT(SamplingData[[#This Row],[Upper Range]], REPT("0",LEN('General Info'!$B$42))))</f>
        <v>67221 - 67524</v>
      </c>
      <c r="AF980" s="100">
        <f>SamplingData[[#This Row],[Upper Range]]-SamplingData[[#This Row],[Span]]</f>
        <v>67221.235126258645</v>
      </c>
      <c r="AG980" s="100">
        <f>IF(ISNUMBER('General Info'!$B$42), ((SamplingData[[#This Row],[up/U Selection Probability]]) * 'General Info'!$B$44) - 1, 0)</f>
        <v>303.20502880525504</v>
      </c>
      <c r="AH980" s="100">
        <f>IF(ISNUMBER('General Info'!$B$42), (SamplingData[[#This Row],[Running (cumulative) sum]] * ('General Info'!$B$42 -'General Info'!$B$43 + 1)) + 'General Info'!$B$43 - 1, 0)</f>
        <v>67524.440155063901</v>
      </c>
      <c r="AI980" s="100" t="str">
        <f>IF(ISERROR(MATCH(SamplingData[[#This Row],[Batch by Type (p)]],SelectedPrecincts[Batch Name], 0)), "", INDEX(SelectedPrecincts[Draw], MATCH(SamplingData[[#This Row],[Batch by Type (p)]],SelectedPrecincts[Batch Name], 0)))</f>
        <v/>
      </c>
      <c r="AJ980" s="101">
        <f>IF(COUNTIF(SelectedPrecincts[Batch Name],SamplingData[[#This Row],[Batch by Type (p)]]) &lt;&gt; 0, COUNTIF(SelectedPrecincts[Batch Name],SamplingData[[#This Row],[Batch by Type (p)]]), 0)</f>
        <v>0</v>
      </c>
    </row>
    <row r="981" spans="1:36" ht="15" customHeight="1" x14ac:dyDescent="0.35">
      <c r="A981" s="98" t="s">
        <v>1192</v>
      </c>
      <c r="B981" s="98">
        <v>176</v>
      </c>
      <c r="C981" s="98">
        <v>15</v>
      </c>
      <c r="D981" s="93"/>
      <c r="E981" s="93"/>
      <c r="F981" s="93"/>
      <c r="G981" s="97"/>
      <c r="H981" s="97"/>
      <c r="I981" s="93"/>
      <c r="J981" s="93"/>
      <c r="K981" s="93"/>
      <c r="L981" s="93"/>
      <c r="M981" s="93"/>
      <c r="N981" s="98">
        <v>0</v>
      </c>
      <c r="O981" s="98">
        <v>6</v>
      </c>
      <c r="P981" s="99">
        <f>SUM(SamplingData[[#This Row],[Winning Candidate]:[Under Votes]])</f>
        <v>197</v>
      </c>
      <c r="Q981" s="100">
        <f>IF(AND(SamplingData[[#This Row],[Total]]&lt;&gt; 0, NOT(ISBLANK(SamplingData[[#This Row],[Losing Candidate]]))),(SamplingData[[#This Row],[Total]]+SamplingData[[#This Row],[Winning Candidate]]-SamplingData[[#This Row],[Losing Candidate]])/(SamplingData[[#Totals],[Winning Candidate]]-SamplingData[[#Totals],[Losing Candidate]]), 0)</f>
        <v>1.1244778088387725E-2</v>
      </c>
      <c r="R981" s="100">
        <f>IF(AND(SamplingData[[#This Row],[Total]]&lt;&gt; 0, NOT(ISBLANK(SamplingData[[#This Row],[Candidate 3]]))),(SamplingData[[#This Row],[Total]]+SamplingData[[#This Row],[Winning Candidate]]-SamplingData[[#This Row],[Candidate 3]])/(SamplingData[[#Totals],[Winning Candidate]]-SamplingData[[#Totals],[Candidate 3]]), 0)</f>
        <v>0</v>
      </c>
      <c r="S981" s="100">
        <f>IF(AND(SamplingData[[#This Row],[Total]]&lt;&gt; 0, NOT(ISBLANK(SamplingData[[#This Row],[Candidate 4]]))),(SamplingData[[#This Row],[Total]]+SamplingData[[#This Row],[Winning Candidate]]-SamplingData[[#This Row],[Candidate 4]])/(SamplingData[[#Totals],[Winning Candidate]]-SamplingData[[#Totals],[Candidate 4]]), 0)</f>
        <v>0</v>
      </c>
      <c r="T981" s="100">
        <f>IF(AND(SamplingData[[#This Row],[Total]]&lt;&gt; 0, NOT(ISBLANK(SamplingData[[#This Row],[Candidate 5]]))),(SamplingData[[#This Row],[Total]]+SamplingData[[#This Row],[Winning Candidate]]-SamplingData[[#This Row],[Candidate 5]])/(SamplingData[[#Totals],[Winning Candidate]]-SamplingData[[#Totals],[Candidate 5]]), 0)</f>
        <v>0</v>
      </c>
      <c r="U981" s="100">
        <f>IF(AND(SamplingData[[#This Row],[Total]]&lt;&gt; 0, NOT(ISBLANK(SamplingData[[#This Row],[Candidate 6]]))),(SamplingData[[#This Row],[Total]]+SamplingData[[#This Row],[Losing Candidate]]-SamplingData[[#This Row],[Candidate 6]])/(SamplingData[[#Totals],[Winning Candidate]]-SamplingData[[#Totals],[Candidate 6]]), 0)</f>
        <v>0</v>
      </c>
      <c r="V981" s="100">
        <f>IF(AND(SamplingData[[#This Row],[Total]]&lt;&gt; 0, NOT(ISBLANK(SamplingData[[#This Row],[Candidate 7]]))),(SamplingData[[#This Row],[Total]]+SamplingData[[#This Row],[Winning Candidate]]-SamplingData[[#This Row],[Candidate 7]])/(SamplingData[[#Totals],[Winning Candidate]]-SamplingData[[#Totals],[Candidate 7]]), 0)</f>
        <v>0</v>
      </c>
      <c r="W981" s="100">
        <f>IF(AND(SamplingData[[#This Row],[Total]]&lt;&gt; 0, NOT(ISBLANK(SamplingData[[#This Row],[Candidate 8]]))),(SamplingData[[#This Row],[Total]]+SamplingData[[#This Row],[Winning Candidate]]-SamplingData[[#This Row],[Candidate 8]])/(SamplingData[[#Totals],[Winning Candidate]]-SamplingData[[#Totals],[Candidate 8]]), 0)</f>
        <v>0</v>
      </c>
      <c r="X9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00">
        <f>MAX(SamplingData[[#This Row],[Error Bound (up) - Max. possible relative overstatement - Losing Candidate]:[Error Bound (up) - Max. possible relative overstatement - Candidate 12]])</f>
        <v>1.1244778088387725E-2</v>
      </c>
      <c r="AC981" s="100">
        <f>IF(SamplingData[[#This Row],[Max Error Bound (up)]] = 0,0,SamplingData[[#This Row],[Max Error Bound (up)]]/SamplingData[[#Totals],[Max Error Bound (up)]])</f>
        <v>4.8188230226673141E-3</v>
      </c>
      <c r="AD981" s="104">
        <f>SUM($AC$5:AC981)</f>
        <v>0.68007322457330632</v>
      </c>
      <c r="AE981" s="100" t="str" cm="1">
        <f t="array" ref="AE981">IF(SamplingData[[#This Row],[up/U Selection Probability]] = 0, "Zero", TEXT(SamplingData[[#This Row],[Lower Range]], REPT("0",LEN('General Info'!$B$42))) &amp; " - " &amp; TEXT(SamplingData[[#This Row],[Upper Range]], REPT("0",LEN('General Info'!$B$42))))</f>
        <v>67525 - 68006</v>
      </c>
      <c r="AF981" s="100">
        <f>SamplingData[[#This Row],[Upper Range]]-SamplingData[[#This Row],[Span]]</f>
        <v>67525.440155063901</v>
      </c>
      <c r="AG981" s="100">
        <f>IF(ISNUMBER('General Info'!$B$42), ((SamplingData[[#This Row],[up/U Selection Probability]]) * 'General Info'!$B$44) - 1, 0)</f>
        <v>480.88230226673141</v>
      </c>
      <c r="AH981" s="100">
        <f>IF(ISNUMBER('General Info'!$B$42), (SamplingData[[#This Row],[Running (cumulative) sum]] * ('General Info'!$B$42 -'General Info'!$B$43 + 1)) + 'General Info'!$B$43 - 1, 0)</f>
        <v>68006.322457330636</v>
      </c>
      <c r="AI981" s="100" t="str">
        <f>IF(ISERROR(MATCH(SamplingData[[#This Row],[Batch by Type (p)]],SelectedPrecincts[Batch Name], 0)), "", INDEX(SelectedPrecincts[Draw], MATCH(SamplingData[[#This Row],[Batch by Type (p)]],SelectedPrecincts[Batch Name], 0)))</f>
        <v/>
      </c>
      <c r="AJ981" s="101">
        <f>IF(COUNTIF(SelectedPrecincts[Batch Name],SamplingData[[#This Row],[Batch by Type (p)]]) &lt;&gt; 0, COUNTIF(SelectedPrecincts[Batch Name],SamplingData[[#This Row],[Batch by Type (p)]]), 0)</f>
        <v>0</v>
      </c>
    </row>
    <row r="982" spans="1:36" ht="15" customHeight="1" x14ac:dyDescent="0.35">
      <c r="A982" s="98" t="s">
        <v>1193</v>
      </c>
      <c r="B982" s="98">
        <v>92</v>
      </c>
      <c r="C982" s="98">
        <v>6</v>
      </c>
      <c r="D982" s="93"/>
      <c r="E982" s="93"/>
      <c r="F982" s="93"/>
      <c r="G982" s="97"/>
      <c r="H982" s="97"/>
      <c r="I982" s="93"/>
      <c r="J982" s="93"/>
      <c r="K982" s="93"/>
      <c r="L982" s="93"/>
      <c r="M982" s="93"/>
      <c r="N982" s="98">
        <v>0</v>
      </c>
      <c r="O982" s="98">
        <v>1</v>
      </c>
      <c r="P982" s="99">
        <f>SUM(SamplingData[[#This Row],[Winning Candidate]:[Under Votes]])</f>
        <v>99</v>
      </c>
      <c r="Q982" s="100">
        <f>IF(AND(SamplingData[[#This Row],[Total]]&lt;&gt; 0, NOT(ISBLANK(SamplingData[[#This Row],[Losing Candidate]]))),(SamplingData[[#This Row],[Total]]+SamplingData[[#This Row],[Winning Candidate]]-SamplingData[[#This Row],[Losing Candidate]])/(SamplingData[[#Totals],[Winning Candidate]]-SamplingData[[#Totals],[Losing Candidate]]), 0)</f>
        <v>5.8108490121556678E-3</v>
      </c>
      <c r="R982" s="100">
        <f>IF(AND(SamplingData[[#This Row],[Total]]&lt;&gt; 0, NOT(ISBLANK(SamplingData[[#This Row],[Candidate 3]]))),(SamplingData[[#This Row],[Total]]+SamplingData[[#This Row],[Winning Candidate]]-SamplingData[[#This Row],[Candidate 3]])/(SamplingData[[#Totals],[Winning Candidate]]-SamplingData[[#Totals],[Candidate 3]]), 0)</f>
        <v>0</v>
      </c>
      <c r="S982" s="100">
        <f>IF(AND(SamplingData[[#This Row],[Total]]&lt;&gt; 0, NOT(ISBLANK(SamplingData[[#This Row],[Candidate 4]]))),(SamplingData[[#This Row],[Total]]+SamplingData[[#This Row],[Winning Candidate]]-SamplingData[[#This Row],[Candidate 4]])/(SamplingData[[#Totals],[Winning Candidate]]-SamplingData[[#Totals],[Candidate 4]]), 0)</f>
        <v>0</v>
      </c>
      <c r="T982" s="100">
        <f>IF(AND(SamplingData[[#This Row],[Total]]&lt;&gt; 0, NOT(ISBLANK(SamplingData[[#This Row],[Candidate 5]]))),(SamplingData[[#This Row],[Total]]+SamplingData[[#This Row],[Winning Candidate]]-SamplingData[[#This Row],[Candidate 5]])/(SamplingData[[#Totals],[Winning Candidate]]-SamplingData[[#Totals],[Candidate 5]]), 0)</f>
        <v>0</v>
      </c>
      <c r="U982" s="100">
        <f>IF(AND(SamplingData[[#This Row],[Total]]&lt;&gt; 0, NOT(ISBLANK(SamplingData[[#This Row],[Candidate 6]]))),(SamplingData[[#This Row],[Total]]+SamplingData[[#This Row],[Losing Candidate]]-SamplingData[[#This Row],[Candidate 6]])/(SamplingData[[#Totals],[Winning Candidate]]-SamplingData[[#Totals],[Candidate 6]]), 0)</f>
        <v>0</v>
      </c>
      <c r="V982" s="100">
        <f>IF(AND(SamplingData[[#This Row],[Total]]&lt;&gt; 0, NOT(ISBLANK(SamplingData[[#This Row],[Candidate 7]]))),(SamplingData[[#This Row],[Total]]+SamplingData[[#This Row],[Winning Candidate]]-SamplingData[[#This Row],[Candidate 7]])/(SamplingData[[#Totals],[Winning Candidate]]-SamplingData[[#Totals],[Candidate 7]]), 0)</f>
        <v>0</v>
      </c>
      <c r="W982" s="100">
        <f>IF(AND(SamplingData[[#This Row],[Total]]&lt;&gt; 0, NOT(ISBLANK(SamplingData[[#This Row],[Candidate 8]]))),(SamplingData[[#This Row],[Total]]+SamplingData[[#This Row],[Winning Candidate]]-SamplingData[[#This Row],[Candidate 8]])/(SamplingData[[#Totals],[Winning Candidate]]-SamplingData[[#Totals],[Candidate 8]]), 0)</f>
        <v>0</v>
      </c>
      <c r="X9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00">
        <f>MAX(SamplingData[[#This Row],[Error Bound (up) - Max. possible relative overstatement - Losing Candidate]:[Error Bound (up) - Max. possible relative overstatement - Candidate 12]])</f>
        <v>5.8108490121556678E-3</v>
      </c>
      <c r="AC982" s="100">
        <f>IF(SamplingData[[#This Row],[Max Error Bound (up)]] = 0,0,SamplingData[[#This Row],[Max Error Bound (up)]]/SamplingData[[#Totals],[Max Error Bound (up)]])</f>
        <v>2.4901739083616008E-3</v>
      </c>
      <c r="AD982" s="104">
        <f>SUM($AC$5:AC982)</f>
        <v>0.68256339848166792</v>
      </c>
      <c r="AE982" s="100" t="str" cm="1">
        <f t="array" ref="AE982">IF(SamplingData[[#This Row],[up/U Selection Probability]] = 0, "Zero", TEXT(SamplingData[[#This Row],[Lower Range]], REPT("0",LEN('General Info'!$B$42))) &amp; " - " &amp; TEXT(SamplingData[[#This Row],[Upper Range]], REPT("0",LEN('General Info'!$B$42))))</f>
        <v>68007 - 68255</v>
      </c>
      <c r="AF982" s="100">
        <f>SamplingData[[#This Row],[Upper Range]]-SamplingData[[#This Row],[Span]]</f>
        <v>68007.322457330636</v>
      </c>
      <c r="AG982" s="100">
        <f>IF(ISNUMBER('General Info'!$B$42), ((SamplingData[[#This Row],[up/U Selection Probability]]) * 'General Info'!$B$44) - 1, 0)</f>
        <v>248.01739083616008</v>
      </c>
      <c r="AH982" s="100">
        <f>IF(ISNUMBER('General Info'!$B$42), (SamplingData[[#This Row],[Running (cumulative) sum]] * ('General Info'!$B$42 -'General Info'!$B$43 + 1)) + 'General Info'!$B$43 - 1, 0)</f>
        <v>68255.339848166797</v>
      </c>
      <c r="AI982" s="100" t="str">
        <f>IF(ISERROR(MATCH(SamplingData[[#This Row],[Batch by Type (p)]],SelectedPrecincts[Batch Name], 0)), "", INDEX(SelectedPrecincts[Draw], MATCH(SamplingData[[#This Row],[Batch by Type (p)]],SelectedPrecincts[Batch Name], 0)))</f>
        <v/>
      </c>
      <c r="AJ982" s="101">
        <f>IF(COUNTIF(SelectedPrecincts[Batch Name],SamplingData[[#This Row],[Batch by Type (p)]]) &lt;&gt; 0, COUNTIF(SelectedPrecincts[Batch Name],SamplingData[[#This Row],[Batch by Type (p)]]), 0)</f>
        <v>0</v>
      </c>
    </row>
    <row r="983" spans="1:36" ht="15" customHeight="1" x14ac:dyDescent="0.35">
      <c r="A983" s="98" t="s">
        <v>1194</v>
      </c>
      <c r="B983" s="98">
        <v>126</v>
      </c>
      <c r="C983" s="98">
        <v>23</v>
      </c>
      <c r="D983" s="93"/>
      <c r="E983" s="93"/>
      <c r="F983" s="93"/>
      <c r="G983" s="97"/>
      <c r="H983" s="97"/>
      <c r="I983" s="93"/>
      <c r="J983" s="93"/>
      <c r="K983" s="93"/>
      <c r="L983" s="93"/>
      <c r="M983" s="93"/>
      <c r="N983" s="98">
        <v>0</v>
      </c>
      <c r="O983" s="98">
        <v>3</v>
      </c>
      <c r="P983" s="99">
        <f>SUM(SamplingData[[#This Row],[Winning Candidate]:[Under Votes]])</f>
        <v>152</v>
      </c>
      <c r="Q983" s="100">
        <f>IF(AND(SamplingData[[#This Row],[Total]]&lt;&gt; 0, NOT(ISBLANK(SamplingData[[#This Row],[Losing Candidate]]))),(SamplingData[[#This Row],[Total]]+SamplingData[[#This Row],[Winning Candidate]]-SamplingData[[#This Row],[Losing Candidate]])/(SamplingData[[#Totals],[Winning Candidate]]-SamplingData[[#Totals],[Losing Candidate]]), 0)</f>
        <v>8.0095486383767317E-3</v>
      </c>
      <c r="R983" s="100">
        <f>IF(AND(SamplingData[[#This Row],[Total]]&lt;&gt; 0, NOT(ISBLANK(SamplingData[[#This Row],[Candidate 3]]))),(SamplingData[[#This Row],[Total]]+SamplingData[[#This Row],[Winning Candidate]]-SamplingData[[#This Row],[Candidate 3]])/(SamplingData[[#Totals],[Winning Candidate]]-SamplingData[[#Totals],[Candidate 3]]), 0)</f>
        <v>0</v>
      </c>
      <c r="S983" s="100">
        <f>IF(AND(SamplingData[[#This Row],[Total]]&lt;&gt; 0, NOT(ISBLANK(SamplingData[[#This Row],[Candidate 4]]))),(SamplingData[[#This Row],[Total]]+SamplingData[[#This Row],[Winning Candidate]]-SamplingData[[#This Row],[Candidate 4]])/(SamplingData[[#Totals],[Winning Candidate]]-SamplingData[[#Totals],[Candidate 4]]), 0)</f>
        <v>0</v>
      </c>
      <c r="T983" s="100">
        <f>IF(AND(SamplingData[[#This Row],[Total]]&lt;&gt; 0, NOT(ISBLANK(SamplingData[[#This Row],[Candidate 5]]))),(SamplingData[[#This Row],[Total]]+SamplingData[[#This Row],[Winning Candidate]]-SamplingData[[#This Row],[Candidate 5]])/(SamplingData[[#Totals],[Winning Candidate]]-SamplingData[[#Totals],[Candidate 5]]), 0)</f>
        <v>0</v>
      </c>
      <c r="U983" s="100">
        <f>IF(AND(SamplingData[[#This Row],[Total]]&lt;&gt; 0, NOT(ISBLANK(SamplingData[[#This Row],[Candidate 6]]))),(SamplingData[[#This Row],[Total]]+SamplingData[[#This Row],[Losing Candidate]]-SamplingData[[#This Row],[Candidate 6]])/(SamplingData[[#Totals],[Winning Candidate]]-SamplingData[[#Totals],[Candidate 6]]), 0)</f>
        <v>0</v>
      </c>
      <c r="V983" s="100">
        <f>IF(AND(SamplingData[[#This Row],[Total]]&lt;&gt; 0, NOT(ISBLANK(SamplingData[[#This Row],[Candidate 7]]))),(SamplingData[[#This Row],[Total]]+SamplingData[[#This Row],[Winning Candidate]]-SamplingData[[#This Row],[Candidate 7]])/(SamplingData[[#Totals],[Winning Candidate]]-SamplingData[[#Totals],[Candidate 7]]), 0)</f>
        <v>0</v>
      </c>
      <c r="W983" s="100">
        <f>IF(AND(SamplingData[[#This Row],[Total]]&lt;&gt; 0, NOT(ISBLANK(SamplingData[[#This Row],[Candidate 8]]))),(SamplingData[[#This Row],[Total]]+SamplingData[[#This Row],[Winning Candidate]]-SamplingData[[#This Row],[Candidate 8]])/(SamplingData[[#Totals],[Winning Candidate]]-SamplingData[[#Totals],[Candidate 8]]), 0)</f>
        <v>0</v>
      </c>
      <c r="X9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00">
        <f>MAX(SamplingData[[#This Row],[Error Bound (up) - Max. possible relative overstatement - Losing Candidate]:[Error Bound (up) - Max. possible relative overstatement - Candidate 12]])</f>
        <v>8.0095486383767317E-3</v>
      </c>
      <c r="AC983" s="100">
        <f>IF(SamplingData[[#This Row],[Max Error Bound (up)]] = 0,0,SamplingData[[#This Row],[Max Error Bound (up)]]/SamplingData[[#Totals],[Max Error Bound (up)]])</f>
        <v>3.4324018736876126E-3</v>
      </c>
      <c r="AD983" s="104">
        <f>SUM($AC$5:AC983)</f>
        <v>0.68599580035535557</v>
      </c>
      <c r="AE983" s="100" t="str" cm="1">
        <f t="array" ref="AE983">IF(SamplingData[[#This Row],[up/U Selection Probability]] = 0, "Zero", TEXT(SamplingData[[#This Row],[Lower Range]], REPT("0",LEN('General Info'!$B$42))) &amp; " - " &amp; TEXT(SamplingData[[#This Row],[Upper Range]], REPT("0",LEN('General Info'!$B$42))))</f>
        <v>68256 - 68599</v>
      </c>
      <c r="AF983" s="100">
        <f>SamplingData[[#This Row],[Upper Range]]-SamplingData[[#This Row],[Span]]</f>
        <v>68256.339848166797</v>
      </c>
      <c r="AG983" s="100">
        <f>IF(ISNUMBER('General Info'!$B$42), ((SamplingData[[#This Row],[up/U Selection Probability]]) * 'General Info'!$B$44) - 1, 0)</f>
        <v>342.24018736876127</v>
      </c>
      <c r="AH983" s="100">
        <f>IF(ISNUMBER('General Info'!$B$42), (SamplingData[[#This Row],[Running (cumulative) sum]] * ('General Info'!$B$42 -'General Info'!$B$43 + 1)) + 'General Info'!$B$43 - 1, 0)</f>
        <v>68598.58003553556</v>
      </c>
      <c r="AI983" s="100" t="str">
        <f>IF(ISERROR(MATCH(SamplingData[[#This Row],[Batch by Type (p)]],SelectedPrecincts[Batch Name], 0)), "", INDEX(SelectedPrecincts[Draw], MATCH(SamplingData[[#This Row],[Batch by Type (p)]],SelectedPrecincts[Batch Name], 0)))</f>
        <v/>
      </c>
      <c r="AJ983" s="101">
        <f>IF(COUNTIF(SelectedPrecincts[Batch Name],SamplingData[[#This Row],[Batch by Type (p)]]) &lt;&gt; 0, COUNTIF(SelectedPrecincts[Batch Name],SamplingData[[#This Row],[Batch by Type (p)]]), 0)</f>
        <v>0</v>
      </c>
    </row>
    <row r="984" spans="1:36" ht="15" customHeight="1" x14ac:dyDescent="0.35">
      <c r="A984" s="98" t="s">
        <v>1195</v>
      </c>
      <c r="B984" s="98">
        <v>33</v>
      </c>
      <c r="C984" s="98">
        <v>5</v>
      </c>
      <c r="D984" s="93"/>
      <c r="E984" s="93"/>
      <c r="F984" s="93"/>
      <c r="G984" s="97"/>
      <c r="H984" s="97"/>
      <c r="I984" s="93"/>
      <c r="J984" s="93"/>
      <c r="K984" s="93"/>
      <c r="L984" s="93"/>
      <c r="M984" s="93"/>
      <c r="N984" s="98">
        <v>0</v>
      </c>
      <c r="O984" s="98">
        <v>2</v>
      </c>
      <c r="P984" s="99">
        <f>SUM(SamplingData[[#This Row],[Winning Candidate]:[Under Votes]])</f>
        <v>40</v>
      </c>
      <c r="Q984" s="100">
        <f>IF(AND(SamplingData[[#This Row],[Total]]&lt;&gt; 0, NOT(ISBLANK(SamplingData[[#This Row],[Losing Candidate]]))),(SamplingData[[#This Row],[Total]]+SamplingData[[#This Row],[Winning Candidate]]-SamplingData[[#This Row],[Losing Candidate]])/(SamplingData[[#Totals],[Winning Candidate]]-SamplingData[[#Totals],[Losing Candidate]]), 0)</f>
        <v>2.1358796369004619E-3</v>
      </c>
      <c r="R984" s="100">
        <f>IF(AND(SamplingData[[#This Row],[Total]]&lt;&gt; 0, NOT(ISBLANK(SamplingData[[#This Row],[Candidate 3]]))),(SamplingData[[#This Row],[Total]]+SamplingData[[#This Row],[Winning Candidate]]-SamplingData[[#This Row],[Candidate 3]])/(SamplingData[[#Totals],[Winning Candidate]]-SamplingData[[#Totals],[Candidate 3]]), 0)</f>
        <v>0</v>
      </c>
      <c r="S984" s="100">
        <f>IF(AND(SamplingData[[#This Row],[Total]]&lt;&gt; 0, NOT(ISBLANK(SamplingData[[#This Row],[Candidate 4]]))),(SamplingData[[#This Row],[Total]]+SamplingData[[#This Row],[Winning Candidate]]-SamplingData[[#This Row],[Candidate 4]])/(SamplingData[[#Totals],[Winning Candidate]]-SamplingData[[#Totals],[Candidate 4]]), 0)</f>
        <v>0</v>
      </c>
      <c r="T984" s="100">
        <f>IF(AND(SamplingData[[#This Row],[Total]]&lt;&gt; 0, NOT(ISBLANK(SamplingData[[#This Row],[Candidate 5]]))),(SamplingData[[#This Row],[Total]]+SamplingData[[#This Row],[Winning Candidate]]-SamplingData[[#This Row],[Candidate 5]])/(SamplingData[[#Totals],[Winning Candidate]]-SamplingData[[#Totals],[Candidate 5]]), 0)</f>
        <v>0</v>
      </c>
      <c r="U984" s="100">
        <f>IF(AND(SamplingData[[#This Row],[Total]]&lt;&gt; 0, NOT(ISBLANK(SamplingData[[#This Row],[Candidate 6]]))),(SamplingData[[#This Row],[Total]]+SamplingData[[#This Row],[Losing Candidate]]-SamplingData[[#This Row],[Candidate 6]])/(SamplingData[[#Totals],[Winning Candidate]]-SamplingData[[#Totals],[Candidate 6]]), 0)</f>
        <v>0</v>
      </c>
      <c r="V984" s="100">
        <f>IF(AND(SamplingData[[#This Row],[Total]]&lt;&gt; 0, NOT(ISBLANK(SamplingData[[#This Row],[Candidate 7]]))),(SamplingData[[#This Row],[Total]]+SamplingData[[#This Row],[Winning Candidate]]-SamplingData[[#This Row],[Candidate 7]])/(SamplingData[[#Totals],[Winning Candidate]]-SamplingData[[#Totals],[Candidate 7]]), 0)</f>
        <v>0</v>
      </c>
      <c r="W984" s="100">
        <f>IF(AND(SamplingData[[#This Row],[Total]]&lt;&gt; 0, NOT(ISBLANK(SamplingData[[#This Row],[Candidate 8]]))),(SamplingData[[#This Row],[Total]]+SamplingData[[#This Row],[Winning Candidate]]-SamplingData[[#This Row],[Candidate 8]])/(SamplingData[[#Totals],[Winning Candidate]]-SamplingData[[#Totals],[Candidate 8]]), 0)</f>
        <v>0</v>
      </c>
      <c r="X9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00">
        <f>MAX(SamplingData[[#This Row],[Error Bound (up) - Max. possible relative overstatement - Losing Candidate]:[Error Bound (up) - Max. possible relative overstatement - Candidate 12]])</f>
        <v>2.1358796369004619E-3</v>
      </c>
      <c r="AC984" s="100">
        <f>IF(SamplingData[[#This Row],[Max Error Bound (up)]] = 0,0,SamplingData[[#This Row],[Max Error Bound (up)]]/SamplingData[[#Totals],[Max Error Bound (up)]])</f>
        <v>9.1530716631669671E-4</v>
      </c>
      <c r="AD984" s="104">
        <f>SUM($AC$5:AC984)</f>
        <v>0.68691110752167228</v>
      </c>
      <c r="AE984" s="100" t="str" cm="1">
        <f t="array" ref="AE984">IF(SamplingData[[#This Row],[up/U Selection Probability]] = 0, "Zero", TEXT(SamplingData[[#This Row],[Lower Range]], REPT("0",LEN('General Info'!$B$42))) &amp; " - " &amp; TEXT(SamplingData[[#This Row],[Upper Range]], REPT("0",LEN('General Info'!$B$42))))</f>
        <v>68600 - 68690</v>
      </c>
      <c r="AF984" s="100">
        <f>SamplingData[[#This Row],[Upper Range]]-SamplingData[[#This Row],[Span]]</f>
        <v>68599.58003553556</v>
      </c>
      <c r="AG984" s="100">
        <f>IF(ISNUMBER('General Info'!$B$42), ((SamplingData[[#This Row],[up/U Selection Probability]]) * 'General Info'!$B$44) - 1, 0)</f>
        <v>90.530716631669677</v>
      </c>
      <c r="AH984" s="100">
        <f>IF(ISNUMBER('General Info'!$B$42), (SamplingData[[#This Row],[Running (cumulative) sum]] * ('General Info'!$B$42 -'General Info'!$B$43 + 1)) + 'General Info'!$B$43 - 1, 0)</f>
        <v>68690.110752167224</v>
      </c>
      <c r="AI984" s="100" t="str">
        <f>IF(ISERROR(MATCH(SamplingData[[#This Row],[Batch by Type (p)]],SelectedPrecincts[Batch Name], 0)), "", INDEX(SelectedPrecincts[Draw], MATCH(SamplingData[[#This Row],[Batch by Type (p)]],SelectedPrecincts[Batch Name], 0)))</f>
        <v/>
      </c>
      <c r="AJ984" s="101">
        <f>IF(COUNTIF(SelectedPrecincts[Batch Name],SamplingData[[#This Row],[Batch by Type (p)]]) &lt;&gt; 0, COUNTIF(SelectedPrecincts[Batch Name],SamplingData[[#This Row],[Batch by Type (p)]]), 0)</f>
        <v>0</v>
      </c>
    </row>
    <row r="985" spans="1:36" ht="15" customHeight="1" x14ac:dyDescent="0.35">
      <c r="A985" s="98" t="s">
        <v>1196</v>
      </c>
      <c r="B985" s="98">
        <v>149</v>
      </c>
      <c r="C985" s="98">
        <v>13</v>
      </c>
      <c r="D985" s="93"/>
      <c r="E985" s="93"/>
      <c r="F985" s="93"/>
      <c r="G985" s="97"/>
      <c r="H985" s="97"/>
      <c r="I985" s="93"/>
      <c r="J985" s="93"/>
      <c r="K985" s="93"/>
      <c r="L985" s="93"/>
      <c r="M985" s="93"/>
      <c r="N985" s="98">
        <v>0</v>
      </c>
      <c r="O985" s="98">
        <v>7</v>
      </c>
      <c r="P985" s="99">
        <f>SUM(SamplingData[[#This Row],[Winning Candidate]:[Under Votes]])</f>
        <v>169</v>
      </c>
      <c r="Q985" s="100">
        <f>IF(AND(SamplingData[[#This Row],[Total]]&lt;&gt; 0, NOT(ISBLANK(SamplingData[[#This Row],[Losing Candidate]]))),(SamplingData[[#This Row],[Total]]+SamplingData[[#This Row],[Winning Candidate]]-SamplingData[[#This Row],[Losing Candidate]])/(SamplingData[[#Totals],[Winning Candidate]]-SamplingData[[#Totals],[Losing Candidate]]), 0)</f>
        <v>9.5800483713917774E-3</v>
      </c>
      <c r="R985" s="100">
        <f>IF(AND(SamplingData[[#This Row],[Total]]&lt;&gt; 0, NOT(ISBLANK(SamplingData[[#This Row],[Candidate 3]]))),(SamplingData[[#This Row],[Total]]+SamplingData[[#This Row],[Winning Candidate]]-SamplingData[[#This Row],[Candidate 3]])/(SamplingData[[#Totals],[Winning Candidate]]-SamplingData[[#Totals],[Candidate 3]]), 0)</f>
        <v>0</v>
      </c>
      <c r="S985" s="100">
        <f>IF(AND(SamplingData[[#This Row],[Total]]&lt;&gt; 0, NOT(ISBLANK(SamplingData[[#This Row],[Candidate 4]]))),(SamplingData[[#This Row],[Total]]+SamplingData[[#This Row],[Winning Candidate]]-SamplingData[[#This Row],[Candidate 4]])/(SamplingData[[#Totals],[Winning Candidate]]-SamplingData[[#Totals],[Candidate 4]]), 0)</f>
        <v>0</v>
      </c>
      <c r="T985" s="100">
        <f>IF(AND(SamplingData[[#This Row],[Total]]&lt;&gt; 0, NOT(ISBLANK(SamplingData[[#This Row],[Candidate 5]]))),(SamplingData[[#This Row],[Total]]+SamplingData[[#This Row],[Winning Candidate]]-SamplingData[[#This Row],[Candidate 5]])/(SamplingData[[#Totals],[Winning Candidate]]-SamplingData[[#Totals],[Candidate 5]]), 0)</f>
        <v>0</v>
      </c>
      <c r="U985" s="100">
        <f>IF(AND(SamplingData[[#This Row],[Total]]&lt;&gt; 0, NOT(ISBLANK(SamplingData[[#This Row],[Candidate 6]]))),(SamplingData[[#This Row],[Total]]+SamplingData[[#This Row],[Losing Candidate]]-SamplingData[[#This Row],[Candidate 6]])/(SamplingData[[#Totals],[Winning Candidate]]-SamplingData[[#Totals],[Candidate 6]]), 0)</f>
        <v>0</v>
      </c>
      <c r="V985" s="100">
        <f>IF(AND(SamplingData[[#This Row],[Total]]&lt;&gt; 0, NOT(ISBLANK(SamplingData[[#This Row],[Candidate 7]]))),(SamplingData[[#This Row],[Total]]+SamplingData[[#This Row],[Winning Candidate]]-SamplingData[[#This Row],[Candidate 7]])/(SamplingData[[#Totals],[Winning Candidate]]-SamplingData[[#Totals],[Candidate 7]]), 0)</f>
        <v>0</v>
      </c>
      <c r="W985" s="100">
        <f>IF(AND(SamplingData[[#This Row],[Total]]&lt;&gt; 0, NOT(ISBLANK(SamplingData[[#This Row],[Candidate 8]]))),(SamplingData[[#This Row],[Total]]+SamplingData[[#This Row],[Winning Candidate]]-SamplingData[[#This Row],[Candidate 8]])/(SamplingData[[#Totals],[Winning Candidate]]-SamplingData[[#Totals],[Candidate 8]]), 0)</f>
        <v>0</v>
      </c>
      <c r="X9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00">
        <f>MAX(SamplingData[[#This Row],[Error Bound (up) - Max. possible relative overstatement - Losing Candidate]:[Error Bound (up) - Max. possible relative overstatement - Candidate 12]])</f>
        <v>9.5800483713917774E-3</v>
      </c>
      <c r="AC985" s="100">
        <f>IF(SamplingData[[#This Row],[Max Error Bound (up)]] = 0,0,SamplingData[[#This Row],[Max Error Bound (up)]]/SamplingData[[#Totals],[Max Error Bound (up)]])</f>
        <v>4.1054218489204779E-3</v>
      </c>
      <c r="AD985" s="104">
        <f>SUM($AC$5:AC985)</f>
        <v>0.69101652937059277</v>
      </c>
      <c r="AE985" s="100" t="str" cm="1">
        <f t="array" ref="AE985">IF(SamplingData[[#This Row],[up/U Selection Probability]] = 0, "Zero", TEXT(SamplingData[[#This Row],[Lower Range]], REPT("0",LEN('General Info'!$B$42))) &amp; " - " &amp; TEXT(SamplingData[[#This Row],[Upper Range]], REPT("0",LEN('General Info'!$B$42))))</f>
        <v>68691 - 69101</v>
      </c>
      <c r="AF985" s="100">
        <f>SamplingData[[#This Row],[Upper Range]]-SamplingData[[#This Row],[Span]]</f>
        <v>68691.110752167224</v>
      </c>
      <c r="AG985" s="100">
        <f>IF(ISNUMBER('General Info'!$B$42), ((SamplingData[[#This Row],[up/U Selection Probability]]) * 'General Info'!$B$44) - 1, 0)</f>
        <v>409.54218489204777</v>
      </c>
      <c r="AH985" s="100">
        <f>IF(ISNUMBER('General Info'!$B$42), (SamplingData[[#This Row],[Running (cumulative) sum]] * ('General Info'!$B$42 -'General Info'!$B$43 + 1)) + 'General Info'!$B$43 - 1, 0)</f>
        <v>69100.652937059276</v>
      </c>
      <c r="AI985" s="100" t="str">
        <f>IF(ISERROR(MATCH(SamplingData[[#This Row],[Batch by Type (p)]],SelectedPrecincts[Batch Name], 0)), "", INDEX(SelectedPrecincts[Draw], MATCH(SamplingData[[#This Row],[Batch by Type (p)]],SelectedPrecincts[Batch Name], 0)))</f>
        <v/>
      </c>
      <c r="AJ985" s="101">
        <f>IF(COUNTIF(SelectedPrecincts[Batch Name],SamplingData[[#This Row],[Batch by Type (p)]]) &lt;&gt; 0, COUNTIF(SelectedPrecincts[Batch Name],SamplingData[[#This Row],[Batch by Type (p)]]), 0)</f>
        <v>0</v>
      </c>
    </row>
    <row r="986" spans="1:36" ht="15" customHeight="1" x14ac:dyDescent="0.35">
      <c r="A986" s="98" t="s">
        <v>1197</v>
      </c>
      <c r="B986" s="98">
        <v>133</v>
      </c>
      <c r="C986" s="98">
        <v>26</v>
      </c>
      <c r="D986" s="93"/>
      <c r="E986" s="93"/>
      <c r="F986" s="93"/>
      <c r="G986" s="97"/>
      <c r="H986" s="97"/>
      <c r="I986" s="93"/>
      <c r="J986" s="93"/>
      <c r="K986" s="93"/>
      <c r="L986" s="93"/>
      <c r="M986" s="93"/>
      <c r="N986" s="98">
        <v>1</v>
      </c>
      <c r="O986" s="98">
        <v>1</v>
      </c>
      <c r="P986" s="99">
        <f>SUM(SamplingData[[#This Row],[Winning Candidate]:[Under Votes]])</f>
        <v>161</v>
      </c>
      <c r="Q986" s="100">
        <f>IF(AND(SamplingData[[#This Row],[Total]]&lt;&gt; 0, NOT(ISBLANK(SamplingData[[#This Row],[Losing Candidate]]))),(SamplingData[[#This Row],[Total]]+SamplingData[[#This Row],[Winning Candidate]]-SamplingData[[#This Row],[Losing Candidate]])/(SamplingData[[#Totals],[Winning Candidate]]-SamplingData[[#Totals],[Losing Candidate]]), 0)</f>
        <v>8.4178785689606427E-3</v>
      </c>
      <c r="R986" s="100">
        <f>IF(AND(SamplingData[[#This Row],[Total]]&lt;&gt; 0, NOT(ISBLANK(SamplingData[[#This Row],[Candidate 3]]))),(SamplingData[[#This Row],[Total]]+SamplingData[[#This Row],[Winning Candidate]]-SamplingData[[#This Row],[Candidate 3]])/(SamplingData[[#Totals],[Winning Candidate]]-SamplingData[[#Totals],[Candidate 3]]), 0)</f>
        <v>0</v>
      </c>
      <c r="S986" s="100">
        <f>IF(AND(SamplingData[[#This Row],[Total]]&lt;&gt; 0, NOT(ISBLANK(SamplingData[[#This Row],[Candidate 4]]))),(SamplingData[[#This Row],[Total]]+SamplingData[[#This Row],[Winning Candidate]]-SamplingData[[#This Row],[Candidate 4]])/(SamplingData[[#Totals],[Winning Candidate]]-SamplingData[[#Totals],[Candidate 4]]), 0)</f>
        <v>0</v>
      </c>
      <c r="T986" s="100">
        <f>IF(AND(SamplingData[[#This Row],[Total]]&lt;&gt; 0, NOT(ISBLANK(SamplingData[[#This Row],[Candidate 5]]))),(SamplingData[[#This Row],[Total]]+SamplingData[[#This Row],[Winning Candidate]]-SamplingData[[#This Row],[Candidate 5]])/(SamplingData[[#Totals],[Winning Candidate]]-SamplingData[[#Totals],[Candidate 5]]), 0)</f>
        <v>0</v>
      </c>
      <c r="U986" s="100">
        <f>IF(AND(SamplingData[[#This Row],[Total]]&lt;&gt; 0, NOT(ISBLANK(SamplingData[[#This Row],[Candidate 6]]))),(SamplingData[[#This Row],[Total]]+SamplingData[[#This Row],[Losing Candidate]]-SamplingData[[#This Row],[Candidate 6]])/(SamplingData[[#Totals],[Winning Candidate]]-SamplingData[[#Totals],[Candidate 6]]), 0)</f>
        <v>0</v>
      </c>
      <c r="V986" s="100">
        <f>IF(AND(SamplingData[[#This Row],[Total]]&lt;&gt; 0, NOT(ISBLANK(SamplingData[[#This Row],[Candidate 7]]))),(SamplingData[[#This Row],[Total]]+SamplingData[[#This Row],[Winning Candidate]]-SamplingData[[#This Row],[Candidate 7]])/(SamplingData[[#Totals],[Winning Candidate]]-SamplingData[[#Totals],[Candidate 7]]), 0)</f>
        <v>0</v>
      </c>
      <c r="W986" s="100">
        <f>IF(AND(SamplingData[[#This Row],[Total]]&lt;&gt; 0, NOT(ISBLANK(SamplingData[[#This Row],[Candidate 8]]))),(SamplingData[[#This Row],[Total]]+SamplingData[[#This Row],[Winning Candidate]]-SamplingData[[#This Row],[Candidate 8]])/(SamplingData[[#Totals],[Winning Candidate]]-SamplingData[[#Totals],[Candidate 8]]), 0)</f>
        <v>0</v>
      </c>
      <c r="X9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00">
        <f>MAX(SamplingData[[#This Row],[Error Bound (up) - Max. possible relative overstatement - Losing Candidate]:[Error Bound (up) - Max. possible relative overstatement - Candidate 12]])</f>
        <v>8.4178785689606427E-3</v>
      </c>
      <c r="AC986" s="100">
        <f>IF(SamplingData[[#This Row],[Max Error Bound (up)]] = 0,0,SamplingData[[#This Row],[Max Error Bound (up)]]/SamplingData[[#Totals],[Max Error Bound (up)]])</f>
        <v>3.6073870672481568E-3</v>
      </c>
      <c r="AD986" s="104">
        <f>SUM($AC$5:AC986)</f>
        <v>0.69462391643784094</v>
      </c>
      <c r="AE986" s="100" t="str" cm="1">
        <f t="array" ref="AE986">IF(SamplingData[[#This Row],[up/U Selection Probability]] = 0, "Zero", TEXT(SamplingData[[#This Row],[Lower Range]], REPT("0",LEN('General Info'!$B$42))) &amp; " - " &amp; TEXT(SamplingData[[#This Row],[Upper Range]], REPT("0",LEN('General Info'!$B$42))))</f>
        <v>69102 - 69461</v>
      </c>
      <c r="AF986" s="100">
        <f>SamplingData[[#This Row],[Upper Range]]-SamplingData[[#This Row],[Span]]</f>
        <v>69101.652937059276</v>
      </c>
      <c r="AG986" s="100">
        <f>IF(ISNUMBER('General Info'!$B$42), ((SamplingData[[#This Row],[up/U Selection Probability]]) * 'General Info'!$B$44) - 1, 0)</f>
        <v>359.7387067248157</v>
      </c>
      <c r="AH986" s="100">
        <f>IF(ISNUMBER('General Info'!$B$42), (SamplingData[[#This Row],[Running (cumulative) sum]] * ('General Info'!$B$42 -'General Info'!$B$43 + 1)) + 'General Info'!$B$43 - 1, 0)</f>
        <v>69461.391643784096</v>
      </c>
      <c r="AI986" s="100" t="str">
        <f>IF(ISERROR(MATCH(SamplingData[[#This Row],[Batch by Type (p)]],SelectedPrecincts[Batch Name], 0)), "", INDEX(SelectedPrecincts[Draw], MATCH(SamplingData[[#This Row],[Batch by Type (p)]],SelectedPrecincts[Batch Name], 0)))</f>
        <v/>
      </c>
      <c r="AJ986" s="101">
        <f>IF(COUNTIF(SelectedPrecincts[Batch Name],SamplingData[[#This Row],[Batch by Type (p)]]) &lt;&gt; 0, COUNTIF(SelectedPrecincts[Batch Name],SamplingData[[#This Row],[Batch by Type (p)]]), 0)</f>
        <v>0</v>
      </c>
    </row>
    <row r="987" spans="1:36" ht="15" customHeight="1" x14ac:dyDescent="0.35">
      <c r="A987" s="98" t="s">
        <v>1198</v>
      </c>
      <c r="B987" s="98">
        <v>11</v>
      </c>
      <c r="C987" s="98">
        <v>7</v>
      </c>
      <c r="D987" s="93"/>
      <c r="E987" s="93"/>
      <c r="F987" s="93"/>
      <c r="G987" s="97"/>
      <c r="H987" s="97"/>
      <c r="I987" s="93"/>
      <c r="J987" s="93"/>
      <c r="K987" s="93"/>
      <c r="L987" s="93"/>
      <c r="M987" s="93"/>
      <c r="N987" s="98">
        <v>0</v>
      </c>
      <c r="O987" s="98">
        <v>0</v>
      </c>
      <c r="P987" s="99">
        <f>SUM(SamplingData[[#This Row],[Winning Candidate]:[Under Votes]])</f>
        <v>18</v>
      </c>
      <c r="Q987" s="100">
        <f>IF(AND(SamplingData[[#This Row],[Total]]&lt;&gt; 0, NOT(ISBLANK(SamplingData[[#This Row],[Losing Candidate]]))),(SamplingData[[#This Row],[Total]]+SamplingData[[#This Row],[Winning Candidate]]-SamplingData[[#This Row],[Losing Candidate]])/(SamplingData[[#Totals],[Winning Candidate]]-SamplingData[[#Totals],[Losing Candidate]]), 0)</f>
        <v>6.9101988252662E-4</v>
      </c>
      <c r="R987" s="100">
        <f>IF(AND(SamplingData[[#This Row],[Total]]&lt;&gt; 0, NOT(ISBLANK(SamplingData[[#This Row],[Candidate 3]]))),(SamplingData[[#This Row],[Total]]+SamplingData[[#This Row],[Winning Candidate]]-SamplingData[[#This Row],[Candidate 3]])/(SamplingData[[#Totals],[Winning Candidate]]-SamplingData[[#Totals],[Candidate 3]]), 0)</f>
        <v>0</v>
      </c>
      <c r="S987" s="100">
        <f>IF(AND(SamplingData[[#This Row],[Total]]&lt;&gt; 0, NOT(ISBLANK(SamplingData[[#This Row],[Candidate 4]]))),(SamplingData[[#This Row],[Total]]+SamplingData[[#This Row],[Winning Candidate]]-SamplingData[[#This Row],[Candidate 4]])/(SamplingData[[#Totals],[Winning Candidate]]-SamplingData[[#Totals],[Candidate 4]]), 0)</f>
        <v>0</v>
      </c>
      <c r="T987" s="100">
        <f>IF(AND(SamplingData[[#This Row],[Total]]&lt;&gt; 0, NOT(ISBLANK(SamplingData[[#This Row],[Candidate 5]]))),(SamplingData[[#This Row],[Total]]+SamplingData[[#This Row],[Winning Candidate]]-SamplingData[[#This Row],[Candidate 5]])/(SamplingData[[#Totals],[Winning Candidate]]-SamplingData[[#Totals],[Candidate 5]]), 0)</f>
        <v>0</v>
      </c>
      <c r="U987" s="100">
        <f>IF(AND(SamplingData[[#This Row],[Total]]&lt;&gt; 0, NOT(ISBLANK(SamplingData[[#This Row],[Candidate 6]]))),(SamplingData[[#This Row],[Total]]+SamplingData[[#This Row],[Losing Candidate]]-SamplingData[[#This Row],[Candidate 6]])/(SamplingData[[#Totals],[Winning Candidate]]-SamplingData[[#Totals],[Candidate 6]]), 0)</f>
        <v>0</v>
      </c>
      <c r="V987" s="100">
        <f>IF(AND(SamplingData[[#This Row],[Total]]&lt;&gt; 0, NOT(ISBLANK(SamplingData[[#This Row],[Candidate 7]]))),(SamplingData[[#This Row],[Total]]+SamplingData[[#This Row],[Winning Candidate]]-SamplingData[[#This Row],[Candidate 7]])/(SamplingData[[#Totals],[Winning Candidate]]-SamplingData[[#Totals],[Candidate 7]]), 0)</f>
        <v>0</v>
      </c>
      <c r="W987" s="100">
        <f>IF(AND(SamplingData[[#This Row],[Total]]&lt;&gt; 0, NOT(ISBLANK(SamplingData[[#This Row],[Candidate 8]]))),(SamplingData[[#This Row],[Total]]+SamplingData[[#This Row],[Winning Candidate]]-SamplingData[[#This Row],[Candidate 8]])/(SamplingData[[#Totals],[Winning Candidate]]-SamplingData[[#Totals],[Candidate 8]]), 0)</f>
        <v>0</v>
      </c>
      <c r="X9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00">
        <f>MAX(SamplingData[[#This Row],[Error Bound (up) - Max. possible relative overstatement - Losing Candidate]:[Error Bound (up) - Max. possible relative overstatement - Candidate 12]])</f>
        <v>6.9101988252662E-4</v>
      </c>
      <c r="AC987" s="100">
        <f>IF(SamplingData[[#This Row],[Max Error Bound (up)]] = 0,0,SamplingData[[#This Row],[Max Error Bound (up)]]/SamplingData[[#Totals],[Max Error Bound (up)]])</f>
        <v>2.9612878910246067E-4</v>
      </c>
      <c r="AD987" s="104">
        <f>SUM($AC$5:AC987)</f>
        <v>0.69492004522694339</v>
      </c>
      <c r="AE987" s="100" t="str" cm="1">
        <f t="array" ref="AE987">IF(SamplingData[[#This Row],[up/U Selection Probability]] = 0, "Zero", TEXT(SamplingData[[#This Row],[Lower Range]], REPT("0",LEN('General Info'!$B$42))) &amp; " - " &amp; TEXT(SamplingData[[#This Row],[Upper Range]], REPT("0",LEN('General Info'!$B$42))))</f>
        <v>69462 - 69491</v>
      </c>
      <c r="AF987" s="100">
        <f>SamplingData[[#This Row],[Upper Range]]-SamplingData[[#This Row],[Span]]</f>
        <v>69462.391643784082</v>
      </c>
      <c r="AG987" s="100">
        <f>IF(ISNUMBER('General Info'!$B$42), ((SamplingData[[#This Row],[up/U Selection Probability]]) * 'General Info'!$B$44) - 1, 0)</f>
        <v>28.612878910246067</v>
      </c>
      <c r="AH987" s="100">
        <f>IF(ISNUMBER('General Info'!$B$42), (SamplingData[[#This Row],[Running (cumulative) sum]] * ('General Info'!$B$42 -'General Info'!$B$43 + 1)) + 'General Info'!$B$43 - 1, 0)</f>
        <v>69491.004522694333</v>
      </c>
      <c r="AI987" s="100" t="str">
        <f>IF(ISERROR(MATCH(SamplingData[[#This Row],[Batch by Type (p)]],SelectedPrecincts[Batch Name], 0)), "", INDEX(SelectedPrecincts[Draw], MATCH(SamplingData[[#This Row],[Batch by Type (p)]],SelectedPrecincts[Batch Name], 0)))</f>
        <v/>
      </c>
      <c r="AJ987" s="101">
        <f>IF(COUNTIF(SelectedPrecincts[Batch Name],SamplingData[[#This Row],[Batch by Type (p)]]) &lt;&gt; 0, COUNTIF(SelectedPrecincts[Batch Name],SamplingData[[#This Row],[Batch by Type (p)]]), 0)</f>
        <v>0</v>
      </c>
    </row>
    <row r="988" spans="1:36" ht="15" customHeight="1" x14ac:dyDescent="0.35">
      <c r="A988" s="98" t="s">
        <v>1199</v>
      </c>
      <c r="B988" s="98">
        <v>62</v>
      </c>
      <c r="C988" s="98">
        <v>12</v>
      </c>
      <c r="D988" s="93"/>
      <c r="E988" s="93"/>
      <c r="F988" s="93"/>
      <c r="G988" s="97"/>
      <c r="H988" s="97"/>
      <c r="I988" s="93"/>
      <c r="J988" s="93"/>
      <c r="K988" s="93"/>
      <c r="L988" s="93"/>
      <c r="M988" s="93"/>
      <c r="N988" s="98">
        <v>0</v>
      </c>
      <c r="O988" s="98">
        <v>2</v>
      </c>
      <c r="P988" s="99">
        <f>SUM(SamplingData[[#This Row],[Winning Candidate]:[Under Votes]])</f>
        <v>76</v>
      </c>
      <c r="Q988" s="100">
        <f>IF(AND(SamplingData[[#This Row],[Total]]&lt;&gt; 0, NOT(ISBLANK(SamplingData[[#This Row],[Losing Candidate]]))),(SamplingData[[#This Row],[Total]]+SamplingData[[#This Row],[Winning Candidate]]-SamplingData[[#This Row],[Losing Candidate]])/(SamplingData[[#Totals],[Winning Candidate]]-SamplingData[[#Totals],[Losing Candidate]]), 0)</f>
        <v>3.9576593271979143E-3</v>
      </c>
      <c r="R988" s="100">
        <f>IF(AND(SamplingData[[#This Row],[Total]]&lt;&gt; 0, NOT(ISBLANK(SamplingData[[#This Row],[Candidate 3]]))),(SamplingData[[#This Row],[Total]]+SamplingData[[#This Row],[Winning Candidate]]-SamplingData[[#This Row],[Candidate 3]])/(SamplingData[[#Totals],[Winning Candidate]]-SamplingData[[#Totals],[Candidate 3]]), 0)</f>
        <v>0</v>
      </c>
      <c r="S988" s="100">
        <f>IF(AND(SamplingData[[#This Row],[Total]]&lt;&gt; 0, NOT(ISBLANK(SamplingData[[#This Row],[Candidate 4]]))),(SamplingData[[#This Row],[Total]]+SamplingData[[#This Row],[Winning Candidate]]-SamplingData[[#This Row],[Candidate 4]])/(SamplingData[[#Totals],[Winning Candidate]]-SamplingData[[#Totals],[Candidate 4]]), 0)</f>
        <v>0</v>
      </c>
      <c r="T988" s="100">
        <f>IF(AND(SamplingData[[#This Row],[Total]]&lt;&gt; 0, NOT(ISBLANK(SamplingData[[#This Row],[Candidate 5]]))),(SamplingData[[#This Row],[Total]]+SamplingData[[#This Row],[Winning Candidate]]-SamplingData[[#This Row],[Candidate 5]])/(SamplingData[[#Totals],[Winning Candidate]]-SamplingData[[#Totals],[Candidate 5]]), 0)</f>
        <v>0</v>
      </c>
      <c r="U988" s="100">
        <f>IF(AND(SamplingData[[#This Row],[Total]]&lt;&gt; 0, NOT(ISBLANK(SamplingData[[#This Row],[Candidate 6]]))),(SamplingData[[#This Row],[Total]]+SamplingData[[#This Row],[Losing Candidate]]-SamplingData[[#This Row],[Candidate 6]])/(SamplingData[[#Totals],[Winning Candidate]]-SamplingData[[#Totals],[Candidate 6]]), 0)</f>
        <v>0</v>
      </c>
      <c r="V988" s="100">
        <f>IF(AND(SamplingData[[#This Row],[Total]]&lt;&gt; 0, NOT(ISBLANK(SamplingData[[#This Row],[Candidate 7]]))),(SamplingData[[#This Row],[Total]]+SamplingData[[#This Row],[Winning Candidate]]-SamplingData[[#This Row],[Candidate 7]])/(SamplingData[[#Totals],[Winning Candidate]]-SamplingData[[#Totals],[Candidate 7]]), 0)</f>
        <v>0</v>
      </c>
      <c r="W988" s="100">
        <f>IF(AND(SamplingData[[#This Row],[Total]]&lt;&gt; 0, NOT(ISBLANK(SamplingData[[#This Row],[Candidate 8]]))),(SamplingData[[#This Row],[Total]]+SamplingData[[#This Row],[Winning Candidate]]-SamplingData[[#This Row],[Candidate 8]])/(SamplingData[[#Totals],[Winning Candidate]]-SamplingData[[#Totals],[Candidate 8]]), 0)</f>
        <v>0</v>
      </c>
      <c r="X9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00">
        <f>MAX(SamplingData[[#This Row],[Error Bound (up) - Max. possible relative overstatement - Losing Candidate]:[Error Bound (up) - Max. possible relative overstatement - Candidate 12]])</f>
        <v>3.9576593271979143E-3</v>
      </c>
      <c r="AC988" s="100">
        <f>IF(SamplingData[[#This Row],[Max Error Bound (up)]] = 0,0,SamplingData[[#This Row],[Max Error Bound (up)]]/SamplingData[[#Totals],[Max Error Bound (up)]])</f>
        <v>1.6960103375868202E-3</v>
      </c>
      <c r="AD988" s="104">
        <f>SUM($AC$5:AC988)</f>
        <v>0.69661605556453021</v>
      </c>
      <c r="AE988" s="100" t="str" cm="1">
        <f t="array" ref="AE988">IF(SamplingData[[#This Row],[up/U Selection Probability]] = 0, "Zero", TEXT(SamplingData[[#This Row],[Lower Range]], REPT("0",LEN('General Info'!$B$42))) &amp; " - " &amp; TEXT(SamplingData[[#This Row],[Upper Range]], REPT("0",LEN('General Info'!$B$42))))</f>
        <v>69492 - 69661</v>
      </c>
      <c r="AF988" s="100">
        <f>SamplingData[[#This Row],[Upper Range]]-SamplingData[[#This Row],[Span]]</f>
        <v>69492.004522694348</v>
      </c>
      <c r="AG988" s="100">
        <f>IF(ISNUMBER('General Info'!$B$42), ((SamplingData[[#This Row],[up/U Selection Probability]]) * 'General Info'!$B$44) - 1, 0)</f>
        <v>168.60103375868204</v>
      </c>
      <c r="AH988" s="100">
        <f>IF(ISNUMBER('General Info'!$B$42), (SamplingData[[#This Row],[Running (cumulative) sum]] * ('General Info'!$B$42 -'General Info'!$B$43 + 1)) + 'General Info'!$B$43 - 1, 0)</f>
        <v>69660.605556453025</v>
      </c>
      <c r="AI988" s="100" t="str">
        <f>IF(ISERROR(MATCH(SamplingData[[#This Row],[Batch by Type (p)]],SelectedPrecincts[Batch Name], 0)), "", INDEX(SelectedPrecincts[Draw], MATCH(SamplingData[[#This Row],[Batch by Type (p)]],SelectedPrecincts[Batch Name], 0)))</f>
        <v/>
      </c>
      <c r="AJ988" s="101">
        <f>IF(COUNTIF(SelectedPrecincts[Batch Name],SamplingData[[#This Row],[Batch by Type (p)]]) &lt;&gt; 0, COUNTIF(SelectedPrecincts[Batch Name],SamplingData[[#This Row],[Batch by Type (p)]]), 0)</f>
        <v>0</v>
      </c>
    </row>
    <row r="989" spans="1:36" ht="15" customHeight="1" x14ac:dyDescent="0.35">
      <c r="A989" s="98" t="s">
        <v>1200</v>
      </c>
      <c r="B989" s="98">
        <v>85</v>
      </c>
      <c r="C989" s="98">
        <v>15</v>
      </c>
      <c r="D989" s="93"/>
      <c r="E989" s="93"/>
      <c r="F989" s="93"/>
      <c r="G989" s="97"/>
      <c r="H989" s="97"/>
      <c r="I989" s="93"/>
      <c r="J989" s="93"/>
      <c r="K989" s="93"/>
      <c r="L989" s="93"/>
      <c r="M989" s="93"/>
      <c r="N989" s="98">
        <v>0</v>
      </c>
      <c r="O989" s="98">
        <v>1</v>
      </c>
      <c r="P989" s="99">
        <f>SUM(SamplingData[[#This Row],[Winning Candidate]:[Under Votes]])</f>
        <v>101</v>
      </c>
      <c r="Q989" s="100">
        <f>IF(AND(SamplingData[[#This Row],[Total]]&lt;&gt; 0, NOT(ISBLANK(SamplingData[[#This Row],[Losing Candidate]]))),(SamplingData[[#This Row],[Total]]+SamplingData[[#This Row],[Winning Candidate]]-SamplingData[[#This Row],[Losing Candidate]])/(SamplingData[[#Totals],[Winning Candidate]]-SamplingData[[#Totals],[Losing Candidate]]), 0)</f>
        <v>5.3711090869114552E-3</v>
      </c>
      <c r="R989" s="100">
        <f>IF(AND(SamplingData[[#This Row],[Total]]&lt;&gt; 0, NOT(ISBLANK(SamplingData[[#This Row],[Candidate 3]]))),(SamplingData[[#This Row],[Total]]+SamplingData[[#This Row],[Winning Candidate]]-SamplingData[[#This Row],[Candidate 3]])/(SamplingData[[#Totals],[Winning Candidate]]-SamplingData[[#Totals],[Candidate 3]]), 0)</f>
        <v>0</v>
      </c>
      <c r="S989" s="100">
        <f>IF(AND(SamplingData[[#This Row],[Total]]&lt;&gt; 0, NOT(ISBLANK(SamplingData[[#This Row],[Candidate 4]]))),(SamplingData[[#This Row],[Total]]+SamplingData[[#This Row],[Winning Candidate]]-SamplingData[[#This Row],[Candidate 4]])/(SamplingData[[#Totals],[Winning Candidate]]-SamplingData[[#Totals],[Candidate 4]]), 0)</f>
        <v>0</v>
      </c>
      <c r="T989" s="100">
        <f>IF(AND(SamplingData[[#This Row],[Total]]&lt;&gt; 0, NOT(ISBLANK(SamplingData[[#This Row],[Candidate 5]]))),(SamplingData[[#This Row],[Total]]+SamplingData[[#This Row],[Winning Candidate]]-SamplingData[[#This Row],[Candidate 5]])/(SamplingData[[#Totals],[Winning Candidate]]-SamplingData[[#Totals],[Candidate 5]]), 0)</f>
        <v>0</v>
      </c>
      <c r="U989" s="100">
        <f>IF(AND(SamplingData[[#This Row],[Total]]&lt;&gt; 0, NOT(ISBLANK(SamplingData[[#This Row],[Candidate 6]]))),(SamplingData[[#This Row],[Total]]+SamplingData[[#This Row],[Losing Candidate]]-SamplingData[[#This Row],[Candidate 6]])/(SamplingData[[#Totals],[Winning Candidate]]-SamplingData[[#Totals],[Candidate 6]]), 0)</f>
        <v>0</v>
      </c>
      <c r="V989" s="100">
        <f>IF(AND(SamplingData[[#This Row],[Total]]&lt;&gt; 0, NOT(ISBLANK(SamplingData[[#This Row],[Candidate 7]]))),(SamplingData[[#This Row],[Total]]+SamplingData[[#This Row],[Winning Candidate]]-SamplingData[[#This Row],[Candidate 7]])/(SamplingData[[#Totals],[Winning Candidate]]-SamplingData[[#Totals],[Candidate 7]]), 0)</f>
        <v>0</v>
      </c>
      <c r="W989" s="100">
        <f>IF(AND(SamplingData[[#This Row],[Total]]&lt;&gt; 0, NOT(ISBLANK(SamplingData[[#This Row],[Candidate 8]]))),(SamplingData[[#This Row],[Total]]+SamplingData[[#This Row],[Winning Candidate]]-SamplingData[[#This Row],[Candidate 8]])/(SamplingData[[#Totals],[Winning Candidate]]-SamplingData[[#Totals],[Candidate 8]]), 0)</f>
        <v>0</v>
      </c>
      <c r="X9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00">
        <f>MAX(SamplingData[[#This Row],[Error Bound (up) - Max. possible relative overstatement - Losing Candidate]:[Error Bound (up) - Max. possible relative overstatement - Candidate 12]])</f>
        <v>5.3711090869114552E-3</v>
      </c>
      <c r="AC989" s="100">
        <f>IF(SamplingData[[#This Row],[Max Error Bound (up)]] = 0,0,SamplingData[[#This Row],[Max Error Bound (up)]]/SamplingData[[#Totals],[Max Error Bound (up)]])</f>
        <v>2.3017283152963986E-3</v>
      </c>
      <c r="AD989" s="104">
        <f>SUM($AC$5:AC989)</f>
        <v>0.69891778387982662</v>
      </c>
      <c r="AE989" s="100" t="str" cm="1">
        <f t="array" ref="AE989">IF(SamplingData[[#This Row],[up/U Selection Probability]] = 0, "Zero", TEXT(SamplingData[[#This Row],[Lower Range]], REPT("0",LEN('General Info'!$B$42))) &amp; " - " &amp; TEXT(SamplingData[[#This Row],[Upper Range]], REPT("0",LEN('General Info'!$B$42))))</f>
        <v>69662 - 69891</v>
      </c>
      <c r="AF989" s="100">
        <f>SamplingData[[#This Row],[Upper Range]]-SamplingData[[#This Row],[Span]]</f>
        <v>69661.605556453025</v>
      </c>
      <c r="AG989" s="100">
        <f>IF(ISNUMBER('General Info'!$B$42), ((SamplingData[[#This Row],[up/U Selection Probability]]) * 'General Info'!$B$44) - 1, 0)</f>
        <v>229.17283152963986</v>
      </c>
      <c r="AH989" s="100">
        <f>IF(ISNUMBER('General Info'!$B$42), (SamplingData[[#This Row],[Running (cumulative) sum]] * ('General Info'!$B$42 -'General Info'!$B$43 + 1)) + 'General Info'!$B$43 - 1, 0)</f>
        <v>69890.77838798266</v>
      </c>
      <c r="AI989" s="100" t="str">
        <f>IF(ISERROR(MATCH(SamplingData[[#This Row],[Batch by Type (p)]],SelectedPrecincts[Batch Name], 0)), "", INDEX(SelectedPrecincts[Draw], MATCH(SamplingData[[#This Row],[Batch by Type (p)]],SelectedPrecincts[Batch Name], 0)))</f>
        <v/>
      </c>
      <c r="AJ989" s="101">
        <f>IF(COUNTIF(SelectedPrecincts[Batch Name],SamplingData[[#This Row],[Batch by Type (p)]]) &lt;&gt; 0, COUNTIF(SelectedPrecincts[Batch Name],SamplingData[[#This Row],[Batch by Type (p)]]), 0)</f>
        <v>0</v>
      </c>
    </row>
    <row r="990" spans="1:36" ht="15" customHeight="1" x14ac:dyDescent="0.35">
      <c r="A990" s="98" t="s">
        <v>1201</v>
      </c>
      <c r="B990" s="98">
        <v>78</v>
      </c>
      <c r="C990" s="98">
        <v>22</v>
      </c>
      <c r="D990" s="93"/>
      <c r="E990" s="93"/>
      <c r="F990" s="93"/>
      <c r="G990" s="97"/>
      <c r="H990" s="97"/>
      <c r="I990" s="93"/>
      <c r="J990" s="93"/>
      <c r="K990" s="93"/>
      <c r="L990" s="93"/>
      <c r="M990" s="93"/>
      <c r="N990" s="98">
        <v>0</v>
      </c>
      <c r="O990" s="98">
        <v>2</v>
      </c>
      <c r="P990" s="99">
        <f>SUM(SamplingData[[#This Row],[Winning Candidate]:[Under Votes]])</f>
        <v>102</v>
      </c>
      <c r="Q990" s="100">
        <f>IF(AND(SamplingData[[#This Row],[Total]]&lt;&gt; 0, NOT(ISBLANK(SamplingData[[#This Row],[Losing Candidate]]))),(SamplingData[[#This Row],[Total]]+SamplingData[[#This Row],[Winning Candidate]]-SamplingData[[#This Row],[Losing Candidate]])/(SamplingData[[#Totals],[Winning Candidate]]-SamplingData[[#Totals],[Losing Candidate]]), 0)</f>
        <v>4.9627791563275434E-3</v>
      </c>
      <c r="R990" s="100">
        <f>IF(AND(SamplingData[[#This Row],[Total]]&lt;&gt; 0, NOT(ISBLANK(SamplingData[[#This Row],[Candidate 3]]))),(SamplingData[[#This Row],[Total]]+SamplingData[[#This Row],[Winning Candidate]]-SamplingData[[#This Row],[Candidate 3]])/(SamplingData[[#Totals],[Winning Candidate]]-SamplingData[[#Totals],[Candidate 3]]), 0)</f>
        <v>0</v>
      </c>
      <c r="S990" s="100">
        <f>IF(AND(SamplingData[[#This Row],[Total]]&lt;&gt; 0, NOT(ISBLANK(SamplingData[[#This Row],[Candidate 4]]))),(SamplingData[[#This Row],[Total]]+SamplingData[[#This Row],[Winning Candidate]]-SamplingData[[#This Row],[Candidate 4]])/(SamplingData[[#Totals],[Winning Candidate]]-SamplingData[[#Totals],[Candidate 4]]), 0)</f>
        <v>0</v>
      </c>
      <c r="T990" s="100">
        <f>IF(AND(SamplingData[[#This Row],[Total]]&lt;&gt; 0, NOT(ISBLANK(SamplingData[[#This Row],[Candidate 5]]))),(SamplingData[[#This Row],[Total]]+SamplingData[[#This Row],[Winning Candidate]]-SamplingData[[#This Row],[Candidate 5]])/(SamplingData[[#Totals],[Winning Candidate]]-SamplingData[[#Totals],[Candidate 5]]), 0)</f>
        <v>0</v>
      </c>
      <c r="U990" s="100">
        <f>IF(AND(SamplingData[[#This Row],[Total]]&lt;&gt; 0, NOT(ISBLANK(SamplingData[[#This Row],[Candidate 6]]))),(SamplingData[[#This Row],[Total]]+SamplingData[[#This Row],[Losing Candidate]]-SamplingData[[#This Row],[Candidate 6]])/(SamplingData[[#Totals],[Winning Candidate]]-SamplingData[[#Totals],[Candidate 6]]), 0)</f>
        <v>0</v>
      </c>
      <c r="V990" s="100">
        <f>IF(AND(SamplingData[[#This Row],[Total]]&lt;&gt; 0, NOT(ISBLANK(SamplingData[[#This Row],[Candidate 7]]))),(SamplingData[[#This Row],[Total]]+SamplingData[[#This Row],[Winning Candidate]]-SamplingData[[#This Row],[Candidate 7]])/(SamplingData[[#Totals],[Winning Candidate]]-SamplingData[[#Totals],[Candidate 7]]), 0)</f>
        <v>0</v>
      </c>
      <c r="W990" s="100">
        <f>IF(AND(SamplingData[[#This Row],[Total]]&lt;&gt; 0, NOT(ISBLANK(SamplingData[[#This Row],[Candidate 8]]))),(SamplingData[[#This Row],[Total]]+SamplingData[[#This Row],[Winning Candidate]]-SamplingData[[#This Row],[Candidate 8]])/(SamplingData[[#Totals],[Winning Candidate]]-SamplingData[[#Totals],[Candidate 8]]), 0)</f>
        <v>0</v>
      </c>
      <c r="X9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00">
        <f>MAX(SamplingData[[#This Row],[Error Bound (up) - Max. possible relative overstatement - Losing Candidate]:[Error Bound (up) - Max. possible relative overstatement - Candidate 12]])</f>
        <v>4.9627791563275434E-3</v>
      </c>
      <c r="AC990" s="100">
        <f>IF(SamplingData[[#This Row],[Max Error Bound (up)]] = 0,0,SamplingData[[#This Row],[Max Error Bound (up)]]/SamplingData[[#Totals],[Max Error Bound (up)]])</f>
        <v>2.126743121735854E-3</v>
      </c>
      <c r="AD990" s="104">
        <f>SUM($AC$5:AC990)</f>
        <v>0.7010445270015625</v>
      </c>
      <c r="AE990" s="100" t="str" cm="1">
        <f t="array" ref="AE990">IF(SamplingData[[#This Row],[up/U Selection Probability]] = 0, "Zero", TEXT(SamplingData[[#This Row],[Lower Range]], REPT("0",LEN('General Info'!$B$42))) &amp; " - " &amp; TEXT(SamplingData[[#This Row],[Upper Range]], REPT("0",LEN('General Info'!$B$42))))</f>
        <v>69892 - 70103</v>
      </c>
      <c r="AF990" s="100">
        <f>SamplingData[[#This Row],[Upper Range]]-SamplingData[[#This Row],[Span]]</f>
        <v>69891.77838798266</v>
      </c>
      <c r="AG990" s="100">
        <f>IF(ISNUMBER('General Info'!$B$42), ((SamplingData[[#This Row],[up/U Selection Probability]]) * 'General Info'!$B$44) - 1, 0)</f>
        <v>211.67431217358541</v>
      </c>
      <c r="AH990" s="100">
        <f>IF(ISNUMBER('General Info'!$B$42), (SamplingData[[#This Row],[Running (cumulative) sum]] * ('General Info'!$B$42 -'General Info'!$B$43 + 1)) + 'General Info'!$B$43 - 1, 0)</f>
        <v>70103.452700156253</v>
      </c>
      <c r="AI990" s="100" t="str">
        <f>IF(ISERROR(MATCH(SamplingData[[#This Row],[Batch by Type (p)]],SelectedPrecincts[Batch Name], 0)), "", INDEX(SelectedPrecincts[Draw], MATCH(SamplingData[[#This Row],[Batch by Type (p)]],SelectedPrecincts[Batch Name], 0)))</f>
        <v/>
      </c>
      <c r="AJ990" s="101">
        <f>IF(COUNTIF(SelectedPrecincts[Batch Name],SamplingData[[#This Row],[Batch by Type (p)]]) &lt;&gt; 0, COUNTIF(SelectedPrecincts[Batch Name],SamplingData[[#This Row],[Batch by Type (p)]]), 0)</f>
        <v>0</v>
      </c>
    </row>
    <row r="991" spans="1:36" ht="15" customHeight="1" x14ac:dyDescent="0.35">
      <c r="A991" s="98" t="s">
        <v>1202</v>
      </c>
      <c r="B991" s="98">
        <v>37</v>
      </c>
      <c r="C991" s="98">
        <v>1</v>
      </c>
      <c r="D991" s="93"/>
      <c r="E991" s="93"/>
      <c r="F991" s="93"/>
      <c r="G991" s="97"/>
      <c r="H991" s="97"/>
      <c r="I991" s="93"/>
      <c r="J991" s="93"/>
      <c r="K991" s="93"/>
      <c r="L991" s="93"/>
      <c r="M991" s="93"/>
      <c r="N991" s="98">
        <v>0</v>
      </c>
      <c r="O991" s="98">
        <v>1</v>
      </c>
      <c r="P991" s="99">
        <f>SUM(SamplingData[[#This Row],[Winning Candidate]:[Under Votes]])</f>
        <v>39</v>
      </c>
      <c r="Q991" s="100">
        <f>IF(AND(SamplingData[[#This Row],[Total]]&lt;&gt; 0, NOT(ISBLANK(SamplingData[[#This Row],[Losing Candidate]]))),(SamplingData[[#This Row],[Total]]+SamplingData[[#This Row],[Winning Candidate]]-SamplingData[[#This Row],[Losing Candidate]])/(SamplingData[[#Totals],[Winning Candidate]]-SamplingData[[#Totals],[Losing Candidate]]), 0)</f>
        <v>2.3557495995225682E-3</v>
      </c>
      <c r="R991" s="100">
        <f>IF(AND(SamplingData[[#This Row],[Total]]&lt;&gt; 0, NOT(ISBLANK(SamplingData[[#This Row],[Candidate 3]]))),(SamplingData[[#This Row],[Total]]+SamplingData[[#This Row],[Winning Candidate]]-SamplingData[[#This Row],[Candidate 3]])/(SamplingData[[#Totals],[Winning Candidate]]-SamplingData[[#Totals],[Candidate 3]]), 0)</f>
        <v>0</v>
      </c>
      <c r="S991" s="100">
        <f>IF(AND(SamplingData[[#This Row],[Total]]&lt;&gt; 0, NOT(ISBLANK(SamplingData[[#This Row],[Candidate 4]]))),(SamplingData[[#This Row],[Total]]+SamplingData[[#This Row],[Winning Candidate]]-SamplingData[[#This Row],[Candidate 4]])/(SamplingData[[#Totals],[Winning Candidate]]-SamplingData[[#Totals],[Candidate 4]]), 0)</f>
        <v>0</v>
      </c>
      <c r="T991" s="100">
        <f>IF(AND(SamplingData[[#This Row],[Total]]&lt;&gt; 0, NOT(ISBLANK(SamplingData[[#This Row],[Candidate 5]]))),(SamplingData[[#This Row],[Total]]+SamplingData[[#This Row],[Winning Candidate]]-SamplingData[[#This Row],[Candidate 5]])/(SamplingData[[#Totals],[Winning Candidate]]-SamplingData[[#Totals],[Candidate 5]]), 0)</f>
        <v>0</v>
      </c>
      <c r="U991" s="100">
        <f>IF(AND(SamplingData[[#This Row],[Total]]&lt;&gt; 0, NOT(ISBLANK(SamplingData[[#This Row],[Candidate 6]]))),(SamplingData[[#This Row],[Total]]+SamplingData[[#This Row],[Losing Candidate]]-SamplingData[[#This Row],[Candidate 6]])/(SamplingData[[#Totals],[Winning Candidate]]-SamplingData[[#Totals],[Candidate 6]]), 0)</f>
        <v>0</v>
      </c>
      <c r="V991" s="100">
        <f>IF(AND(SamplingData[[#This Row],[Total]]&lt;&gt; 0, NOT(ISBLANK(SamplingData[[#This Row],[Candidate 7]]))),(SamplingData[[#This Row],[Total]]+SamplingData[[#This Row],[Winning Candidate]]-SamplingData[[#This Row],[Candidate 7]])/(SamplingData[[#Totals],[Winning Candidate]]-SamplingData[[#Totals],[Candidate 7]]), 0)</f>
        <v>0</v>
      </c>
      <c r="W991" s="100">
        <f>IF(AND(SamplingData[[#This Row],[Total]]&lt;&gt; 0, NOT(ISBLANK(SamplingData[[#This Row],[Candidate 8]]))),(SamplingData[[#This Row],[Total]]+SamplingData[[#This Row],[Winning Candidate]]-SamplingData[[#This Row],[Candidate 8]])/(SamplingData[[#Totals],[Winning Candidate]]-SamplingData[[#Totals],[Candidate 8]]), 0)</f>
        <v>0</v>
      </c>
      <c r="X9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00">
        <f>MAX(SamplingData[[#This Row],[Error Bound (up) - Max. possible relative overstatement - Losing Candidate]:[Error Bound (up) - Max. possible relative overstatement - Candidate 12]])</f>
        <v>2.3557495995225682E-3</v>
      </c>
      <c r="AC991" s="100">
        <f>IF(SamplingData[[#This Row],[Max Error Bound (up)]] = 0,0,SamplingData[[#This Row],[Max Error Bound (up)]]/SamplingData[[#Totals],[Max Error Bound (up)]])</f>
        <v>1.0095299628492978E-3</v>
      </c>
      <c r="AD991" s="104">
        <f>SUM($AC$5:AC991)</f>
        <v>0.70205405696441181</v>
      </c>
      <c r="AE991" s="100" t="str" cm="1">
        <f t="array" ref="AE991">IF(SamplingData[[#This Row],[up/U Selection Probability]] = 0, "Zero", TEXT(SamplingData[[#This Row],[Lower Range]], REPT("0",LEN('General Info'!$B$42))) &amp; " - " &amp; TEXT(SamplingData[[#This Row],[Upper Range]], REPT("0",LEN('General Info'!$B$42))))</f>
        <v>70104 - 70204</v>
      </c>
      <c r="AF991" s="100">
        <f>SamplingData[[#This Row],[Upper Range]]-SamplingData[[#This Row],[Span]]</f>
        <v>70104.452700156253</v>
      </c>
      <c r="AG991" s="100">
        <f>IF(ISNUMBER('General Info'!$B$42), ((SamplingData[[#This Row],[up/U Selection Probability]]) * 'General Info'!$B$44) - 1, 0)</f>
        <v>99.952996284929782</v>
      </c>
      <c r="AH991" s="100">
        <f>IF(ISNUMBER('General Info'!$B$42), (SamplingData[[#This Row],[Running (cumulative) sum]] * ('General Info'!$B$42 -'General Info'!$B$43 + 1)) + 'General Info'!$B$43 - 1, 0)</f>
        <v>70204.405696441187</v>
      </c>
      <c r="AI991" s="100" t="str">
        <f>IF(ISERROR(MATCH(SamplingData[[#This Row],[Batch by Type (p)]],SelectedPrecincts[Batch Name], 0)), "", INDEX(SelectedPrecincts[Draw], MATCH(SamplingData[[#This Row],[Batch by Type (p)]],SelectedPrecincts[Batch Name], 0)))</f>
        <v/>
      </c>
      <c r="AJ991" s="101">
        <f>IF(COUNTIF(SelectedPrecincts[Batch Name],SamplingData[[#This Row],[Batch by Type (p)]]) &lt;&gt; 0, COUNTIF(SelectedPrecincts[Batch Name],SamplingData[[#This Row],[Batch by Type (p)]]), 0)</f>
        <v>0</v>
      </c>
    </row>
    <row r="992" spans="1:36" ht="15" customHeight="1" x14ac:dyDescent="0.35">
      <c r="A992" s="98" t="s">
        <v>1203</v>
      </c>
      <c r="B992" s="98">
        <v>8</v>
      </c>
      <c r="C992" s="98">
        <v>4</v>
      </c>
      <c r="D992" s="93"/>
      <c r="E992" s="93"/>
      <c r="F992" s="93"/>
      <c r="G992" s="97"/>
      <c r="H992" s="97"/>
      <c r="I992" s="93"/>
      <c r="J992" s="93"/>
      <c r="K992" s="93"/>
      <c r="L992" s="93"/>
      <c r="M992" s="93"/>
      <c r="N992" s="98">
        <v>0</v>
      </c>
      <c r="O992" s="98">
        <v>0</v>
      </c>
      <c r="P992" s="99">
        <f>SUM(SamplingData[[#This Row],[Winning Candidate]:[Under Votes]])</f>
        <v>12</v>
      </c>
      <c r="Q992" s="100">
        <f>IF(AND(SamplingData[[#This Row],[Total]]&lt;&gt; 0, NOT(ISBLANK(SamplingData[[#This Row],[Losing Candidate]]))),(SamplingData[[#This Row],[Total]]+SamplingData[[#This Row],[Winning Candidate]]-SamplingData[[#This Row],[Losing Candidate]])/(SamplingData[[#Totals],[Winning Candidate]]-SamplingData[[#Totals],[Losing Candidate]]), 0)</f>
        <v>5.0255991456481448E-4</v>
      </c>
      <c r="R992" s="100">
        <f>IF(AND(SamplingData[[#This Row],[Total]]&lt;&gt; 0, NOT(ISBLANK(SamplingData[[#This Row],[Candidate 3]]))),(SamplingData[[#This Row],[Total]]+SamplingData[[#This Row],[Winning Candidate]]-SamplingData[[#This Row],[Candidate 3]])/(SamplingData[[#Totals],[Winning Candidate]]-SamplingData[[#Totals],[Candidate 3]]), 0)</f>
        <v>0</v>
      </c>
      <c r="S992" s="100">
        <f>IF(AND(SamplingData[[#This Row],[Total]]&lt;&gt; 0, NOT(ISBLANK(SamplingData[[#This Row],[Candidate 4]]))),(SamplingData[[#This Row],[Total]]+SamplingData[[#This Row],[Winning Candidate]]-SamplingData[[#This Row],[Candidate 4]])/(SamplingData[[#Totals],[Winning Candidate]]-SamplingData[[#Totals],[Candidate 4]]), 0)</f>
        <v>0</v>
      </c>
      <c r="T992" s="100">
        <f>IF(AND(SamplingData[[#This Row],[Total]]&lt;&gt; 0, NOT(ISBLANK(SamplingData[[#This Row],[Candidate 5]]))),(SamplingData[[#This Row],[Total]]+SamplingData[[#This Row],[Winning Candidate]]-SamplingData[[#This Row],[Candidate 5]])/(SamplingData[[#Totals],[Winning Candidate]]-SamplingData[[#Totals],[Candidate 5]]), 0)</f>
        <v>0</v>
      </c>
      <c r="U992" s="100">
        <f>IF(AND(SamplingData[[#This Row],[Total]]&lt;&gt; 0, NOT(ISBLANK(SamplingData[[#This Row],[Candidate 6]]))),(SamplingData[[#This Row],[Total]]+SamplingData[[#This Row],[Losing Candidate]]-SamplingData[[#This Row],[Candidate 6]])/(SamplingData[[#Totals],[Winning Candidate]]-SamplingData[[#Totals],[Candidate 6]]), 0)</f>
        <v>0</v>
      </c>
      <c r="V992" s="100">
        <f>IF(AND(SamplingData[[#This Row],[Total]]&lt;&gt; 0, NOT(ISBLANK(SamplingData[[#This Row],[Candidate 7]]))),(SamplingData[[#This Row],[Total]]+SamplingData[[#This Row],[Winning Candidate]]-SamplingData[[#This Row],[Candidate 7]])/(SamplingData[[#Totals],[Winning Candidate]]-SamplingData[[#Totals],[Candidate 7]]), 0)</f>
        <v>0</v>
      </c>
      <c r="W992" s="100">
        <f>IF(AND(SamplingData[[#This Row],[Total]]&lt;&gt; 0, NOT(ISBLANK(SamplingData[[#This Row],[Candidate 8]]))),(SamplingData[[#This Row],[Total]]+SamplingData[[#This Row],[Winning Candidate]]-SamplingData[[#This Row],[Candidate 8]])/(SamplingData[[#Totals],[Winning Candidate]]-SamplingData[[#Totals],[Candidate 8]]), 0)</f>
        <v>0</v>
      </c>
      <c r="X9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00">
        <f>MAX(SamplingData[[#This Row],[Error Bound (up) - Max. possible relative overstatement - Losing Candidate]:[Error Bound (up) - Max. possible relative overstatement - Candidate 12]])</f>
        <v>5.0255991456481448E-4</v>
      </c>
      <c r="AC992" s="100">
        <f>IF(SamplingData[[#This Row],[Max Error Bound (up)]] = 0,0,SamplingData[[#This Row],[Max Error Bound (up)]]/SamplingData[[#Totals],[Max Error Bound (up)]])</f>
        <v>2.1536639207451683E-4</v>
      </c>
      <c r="AD992" s="104">
        <f>SUM($AC$5:AC992)</f>
        <v>0.70226942335648634</v>
      </c>
      <c r="AE992" s="100" t="str" cm="1">
        <f t="array" ref="AE992">IF(SamplingData[[#This Row],[up/U Selection Probability]] = 0, "Zero", TEXT(SamplingData[[#This Row],[Lower Range]], REPT("0",LEN('General Info'!$B$42))) &amp; " - " &amp; TEXT(SamplingData[[#This Row],[Upper Range]], REPT("0",LEN('General Info'!$B$42))))</f>
        <v>70205 - 70226</v>
      </c>
      <c r="AF992" s="100">
        <f>SamplingData[[#This Row],[Upper Range]]-SamplingData[[#This Row],[Span]]</f>
        <v>70205.405696441187</v>
      </c>
      <c r="AG992" s="100">
        <f>IF(ISNUMBER('General Info'!$B$42), ((SamplingData[[#This Row],[up/U Selection Probability]]) * 'General Info'!$B$44) - 1, 0)</f>
        <v>20.536639207451682</v>
      </c>
      <c r="AH992" s="100">
        <f>IF(ISNUMBER('General Info'!$B$42), (SamplingData[[#This Row],[Running (cumulative) sum]] * ('General Info'!$B$42 -'General Info'!$B$43 + 1)) + 'General Info'!$B$43 - 1, 0)</f>
        <v>70225.942335648637</v>
      </c>
      <c r="AI992" s="100" t="str">
        <f>IF(ISERROR(MATCH(SamplingData[[#This Row],[Batch by Type (p)]],SelectedPrecincts[Batch Name], 0)), "", INDEX(SelectedPrecincts[Draw], MATCH(SamplingData[[#This Row],[Batch by Type (p)]],SelectedPrecincts[Batch Name], 0)))</f>
        <v/>
      </c>
      <c r="AJ992" s="101">
        <f>IF(COUNTIF(SelectedPrecincts[Batch Name],SamplingData[[#This Row],[Batch by Type (p)]]) &lt;&gt; 0, COUNTIF(SelectedPrecincts[Batch Name],SamplingData[[#This Row],[Batch by Type (p)]]), 0)</f>
        <v>0</v>
      </c>
    </row>
    <row r="993" spans="1:36" ht="15" customHeight="1" x14ac:dyDescent="0.35">
      <c r="A993" s="98" t="s">
        <v>1204</v>
      </c>
      <c r="B993" s="98">
        <v>109</v>
      </c>
      <c r="C993" s="98">
        <v>13</v>
      </c>
      <c r="D993" s="93"/>
      <c r="E993" s="93"/>
      <c r="F993" s="93"/>
      <c r="G993" s="97"/>
      <c r="H993" s="97"/>
      <c r="I993" s="93"/>
      <c r="J993" s="93"/>
      <c r="K993" s="93"/>
      <c r="L993" s="93"/>
      <c r="M993" s="93"/>
      <c r="N993" s="98">
        <v>0</v>
      </c>
      <c r="O993" s="98">
        <v>0</v>
      </c>
      <c r="P993" s="99">
        <f>SUM(SamplingData[[#This Row],[Winning Candidate]:[Under Votes]])</f>
        <v>122</v>
      </c>
      <c r="Q993" s="100">
        <f>IF(AND(SamplingData[[#This Row],[Total]]&lt;&gt; 0, NOT(ISBLANK(SamplingData[[#This Row],[Losing Candidate]]))),(SamplingData[[#This Row],[Total]]+SamplingData[[#This Row],[Winning Candidate]]-SamplingData[[#This Row],[Losing Candidate]])/(SamplingData[[#Totals],[Winning Candidate]]-SamplingData[[#Totals],[Losing Candidate]]), 0)</f>
        <v>6.8473788359455978E-3</v>
      </c>
      <c r="R993" s="100">
        <f>IF(AND(SamplingData[[#This Row],[Total]]&lt;&gt; 0, NOT(ISBLANK(SamplingData[[#This Row],[Candidate 3]]))),(SamplingData[[#This Row],[Total]]+SamplingData[[#This Row],[Winning Candidate]]-SamplingData[[#This Row],[Candidate 3]])/(SamplingData[[#Totals],[Winning Candidate]]-SamplingData[[#Totals],[Candidate 3]]), 0)</f>
        <v>0</v>
      </c>
      <c r="S993" s="100">
        <f>IF(AND(SamplingData[[#This Row],[Total]]&lt;&gt; 0, NOT(ISBLANK(SamplingData[[#This Row],[Candidate 4]]))),(SamplingData[[#This Row],[Total]]+SamplingData[[#This Row],[Winning Candidate]]-SamplingData[[#This Row],[Candidate 4]])/(SamplingData[[#Totals],[Winning Candidate]]-SamplingData[[#Totals],[Candidate 4]]), 0)</f>
        <v>0</v>
      </c>
      <c r="T993" s="100">
        <f>IF(AND(SamplingData[[#This Row],[Total]]&lt;&gt; 0, NOT(ISBLANK(SamplingData[[#This Row],[Candidate 5]]))),(SamplingData[[#This Row],[Total]]+SamplingData[[#This Row],[Winning Candidate]]-SamplingData[[#This Row],[Candidate 5]])/(SamplingData[[#Totals],[Winning Candidate]]-SamplingData[[#Totals],[Candidate 5]]), 0)</f>
        <v>0</v>
      </c>
      <c r="U993" s="100">
        <f>IF(AND(SamplingData[[#This Row],[Total]]&lt;&gt; 0, NOT(ISBLANK(SamplingData[[#This Row],[Candidate 6]]))),(SamplingData[[#This Row],[Total]]+SamplingData[[#This Row],[Losing Candidate]]-SamplingData[[#This Row],[Candidate 6]])/(SamplingData[[#Totals],[Winning Candidate]]-SamplingData[[#Totals],[Candidate 6]]), 0)</f>
        <v>0</v>
      </c>
      <c r="V993" s="100">
        <f>IF(AND(SamplingData[[#This Row],[Total]]&lt;&gt; 0, NOT(ISBLANK(SamplingData[[#This Row],[Candidate 7]]))),(SamplingData[[#This Row],[Total]]+SamplingData[[#This Row],[Winning Candidate]]-SamplingData[[#This Row],[Candidate 7]])/(SamplingData[[#Totals],[Winning Candidate]]-SamplingData[[#Totals],[Candidate 7]]), 0)</f>
        <v>0</v>
      </c>
      <c r="W993" s="100">
        <f>IF(AND(SamplingData[[#This Row],[Total]]&lt;&gt; 0, NOT(ISBLANK(SamplingData[[#This Row],[Candidate 8]]))),(SamplingData[[#This Row],[Total]]+SamplingData[[#This Row],[Winning Candidate]]-SamplingData[[#This Row],[Candidate 8]])/(SamplingData[[#Totals],[Winning Candidate]]-SamplingData[[#Totals],[Candidate 8]]), 0)</f>
        <v>0</v>
      </c>
      <c r="X9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00">
        <f>MAX(SamplingData[[#This Row],[Error Bound (up) - Max. possible relative overstatement - Losing Candidate]:[Error Bound (up) - Max. possible relative overstatement - Candidate 12]])</f>
        <v>6.8473788359455978E-3</v>
      </c>
      <c r="AC993" s="100">
        <f>IF(SamplingData[[#This Row],[Max Error Bound (up)]] = 0,0,SamplingData[[#This Row],[Max Error Bound (up)]]/SamplingData[[#Totals],[Max Error Bound (up)]])</f>
        <v>2.9343670920152919E-3</v>
      </c>
      <c r="AD993" s="104">
        <f>SUM($AC$5:AC993)</f>
        <v>0.70520379044850168</v>
      </c>
      <c r="AE993" s="100" t="str" cm="1">
        <f t="array" ref="AE993">IF(SamplingData[[#This Row],[up/U Selection Probability]] = 0, "Zero", TEXT(SamplingData[[#This Row],[Lower Range]], REPT("0",LEN('General Info'!$B$42))) &amp; " - " &amp; TEXT(SamplingData[[#This Row],[Upper Range]], REPT("0",LEN('General Info'!$B$42))))</f>
        <v>70227 - 70519</v>
      </c>
      <c r="AF993" s="100">
        <f>SamplingData[[#This Row],[Upper Range]]-SamplingData[[#This Row],[Span]]</f>
        <v>70226.942335648637</v>
      </c>
      <c r="AG993" s="100">
        <f>IF(ISNUMBER('General Info'!$B$42), ((SamplingData[[#This Row],[up/U Selection Probability]]) * 'General Info'!$B$44) - 1, 0)</f>
        <v>292.4367092015292</v>
      </c>
      <c r="AH993" s="100">
        <f>IF(ISNUMBER('General Info'!$B$42), (SamplingData[[#This Row],[Running (cumulative) sum]] * ('General Info'!$B$42 -'General Info'!$B$43 + 1)) + 'General Info'!$B$43 - 1, 0)</f>
        <v>70519.379044850168</v>
      </c>
      <c r="AI993" s="100" t="str">
        <f>IF(ISERROR(MATCH(SamplingData[[#This Row],[Batch by Type (p)]],SelectedPrecincts[Batch Name], 0)), "", INDEX(SelectedPrecincts[Draw], MATCH(SamplingData[[#This Row],[Batch by Type (p)]],SelectedPrecincts[Batch Name], 0)))</f>
        <v/>
      </c>
      <c r="AJ993" s="101">
        <f>IF(COUNTIF(SelectedPrecincts[Batch Name],SamplingData[[#This Row],[Batch by Type (p)]]) &lt;&gt; 0, COUNTIF(SelectedPrecincts[Batch Name],SamplingData[[#This Row],[Batch by Type (p)]]), 0)</f>
        <v>0</v>
      </c>
    </row>
    <row r="994" spans="1:36" ht="15" customHeight="1" x14ac:dyDescent="0.35">
      <c r="A994" s="98" t="s">
        <v>1205</v>
      </c>
      <c r="B994" s="98">
        <v>93</v>
      </c>
      <c r="C994" s="98">
        <v>16</v>
      </c>
      <c r="D994" s="93"/>
      <c r="E994" s="93"/>
      <c r="F994" s="93"/>
      <c r="G994" s="97"/>
      <c r="H994" s="97"/>
      <c r="I994" s="93"/>
      <c r="J994" s="93"/>
      <c r="K994" s="93"/>
      <c r="L994" s="93"/>
      <c r="M994" s="93"/>
      <c r="N994" s="98">
        <v>0</v>
      </c>
      <c r="O994" s="98">
        <v>0</v>
      </c>
      <c r="P994" s="99">
        <f>SUM(SamplingData[[#This Row],[Winning Candidate]:[Under Votes]])</f>
        <v>109</v>
      </c>
      <c r="Q994" s="100">
        <f>IF(AND(SamplingData[[#This Row],[Total]]&lt;&gt; 0, NOT(ISBLANK(SamplingData[[#This Row],[Losing Candidate]]))),(SamplingData[[#This Row],[Total]]+SamplingData[[#This Row],[Winning Candidate]]-SamplingData[[#This Row],[Losing Candidate]])/(SamplingData[[#Totals],[Winning Candidate]]-SamplingData[[#Totals],[Losing Candidate]]), 0)</f>
        <v>5.8422590068159686E-3</v>
      </c>
      <c r="R994" s="100">
        <f>IF(AND(SamplingData[[#This Row],[Total]]&lt;&gt; 0, NOT(ISBLANK(SamplingData[[#This Row],[Candidate 3]]))),(SamplingData[[#This Row],[Total]]+SamplingData[[#This Row],[Winning Candidate]]-SamplingData[[#This Row],[Candidate 3]])/(SamplingData[[#Totals],[Winning Candidate]]-SamplingData[[#Totals],[Candidate 3]]), 0)</f>
        <v>0</v>
      </c>
      <c r="S994" s="100">
        <f>IF(AND(SamplingData[[#This Row],[Total]]&lt;&gt; 0, NOT(ISBLANK(SamplingData[[#This Row],[Candidate 4]]))),(SamplingData[[#This Row],[Total]]+SamplingData[[#This Row],[Winning Candidate]]-SamplingData[[#This Row],[Candidate 4]])/(SamplingData[[#Totals],[Winning Candidate]]-SamplingData[[#Totals],[Candidate 4]]), 0)</f>
        <v>0</v>
      </c>
      <c r="T994" s="100">
        <f>IF(AND(SamplingData[[#This Row],[Total]]&lt;&gt; 0, NOT(ISBLANK(SamplingData[[#This Row],[Candidate 5]]))),(SamplingData[[#This Row],[Total]]+SamplingData[[#This Row],[Winning Candidate]]-SamplingData[[#This Row],[Candidate 5]])/(SamplingData[[#Totals],[Winning Candidate]]-SamplingData[[#Totals],[Candidate 5]]), 0)</f>
        <v>0</v>
      </c>
      <c r="U994" s="100">
        <f>IF(AND(SamplingData[[#This Row],[Total]]&lt;&gt; 0, NOT(ISBLANK(SamplingData[[#This Row],[Candidate 6]]))),(SamplingData[[#This Row],[Total]]+SamplingData[[#This Row],[Losing Candidate]]-SamplingData[[#This Row],[Candidate 6]])/(SamplingData[[#Totals],[Winning Candidate]]-SamplingData[[#Totals],[Candidate 6]]), 0)</f>
        <v>0</v>
      </c>
      <c r="V994" s="100">
        <f>IF(AND(SamplingData[[#This Row],[Total]]&lt;&gt; 0, NOT(ISBLANK(SamplingData[[#This Row],[Candidate 7]]))),(SamplingData[[#This Row],[Total]]+SamplingData[[#This Row],[Winning Candidate]]-SamplingData[[#This Row],[Candidate 7]])/(SamplingData[[#Totals],[Winning Candidate]]-SamplingData[[#Totals],[Candidate 7]]), 0)</f>
        <v>0</v>
      </c>
      <c r="W994" s="100">
        <f>IF(AND(SamplingData[[#This Row],[Total]]&lt;&gt; 0, NOT(ISBLANK(SamplingData[[#This Row],[Candidate 8]]))),(SamplingData[[#This Row],[Total]]+SamplingData[[#This Row],[Winning Candidate]]-SamplingData[[#This Row],[Candidate 8]])/(SamplingData[[#Totals],[Winning Candidate]]-SamplingData[[#Totals],[Candidate 8]]), 0)</f>
        <v>0</v>
      </c>
      <c r="X9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00">
        <f>MAX(SamplingData[[#This Row],[Error Bound (up) - Max. possible relative overstatement - Losing Candidate]:[Error Bound (up) - Max. possible relative overstatement - Candidate 12]])</f>
        <v>5.8422590068159686E-3</v>
      </c>
      <c r="AC994" s="100">
        <f>IF(SamplingData[[#This Row],[Max Error Bound (up)]] = 0,0,SamplingData[[#This Row],[Max Error Bound (up)]]/SamplingData[[#Totals],[Max Error Bound (up)]])</f>
        <v>2.5036343078662583E-3</v>
      </c>
      <c r="AD994" s="104">
        <f>SUM($AC$5:AC994)</f>
        <v>0.70770742475636794</v>
      </c>
      <c r="AE994" s="100" t="str" cm="1">
        <f t="array" ref="AE994">IF(SamplingData[[#This Row],[up/U Selection Probability]] = 0, "Zero", TEXT(SamplingData[[#This Row],[Lower Range]], REPT("0",LEN('General Info'!$B$42))) &amp; " - " &amp; TEXT(SamplingData[[#This Row],[Upper Range]], REPT("0",LEN('General Info'!$B$42))))</f>
        <v>70520 - 70770</v>
      </c>
      <c r="AF994" s="100">
        <f>SamplingData[[#This Row],[Upper Range]]-SamplingData[[#This Row],[Span]]</f>
        <v>70520.379044850168</v>
      </c>
      <c r="AG994" s="100">
        <f>IF(ISNUMBER('General Info'!$B$42), ((SamplingData[[#This Row],[up/U Selection Probability]]) * 'General Info'!$B$44) - 1, 0)</f>
        <v>249.36343078662583</v>
      </c>
      <c r="AH994" s="100">
        <f>IF(ISNUMBER('General Info'!$B$42), (SamplingData[[#This Row],[Running (cumulative) sum]] * ('General Info'!$B$42 -'General Info'!$B$43 + 1)) + 'General Info'!$B$43 - 1, 0)</f>
        <v>70769.742475636798</v>
      </c>
      <c r="AI994" s="100" t="str">
        <f>IF(ISERROR(MATCH(SamplingData[[#This Row],[Batch by Type (p)]],SelectedPrecincts[Batch Name], 0)), "", INDEX(SelectedPrecincts[Draw], MATCH(SamplingData[[#This Row],[Batch by Type (p)]],SelectedPrecincts[Batch Name], 0)))</f>
        <v/>
      </c>
      <c r="AJ994" s="101">
        <f>IF(COUNTIF(SelectedPrecincts[Batch Name],SamplingData[[#This Row],[Batch by Type (p)]]) &lt;&gt; 0, COUNTIF(SelectedPrecincts[Batch Name],SamplingData[[#This Row],[Batch by Type (p)]]), 0)</f>
        <v>0</v>
      </c>
    </row>
    <row r="995" spans="1:36" ht="15" customHeight="1" x14ac:dyDescent="0.35">
      <c r="A995" s="98" t="s">
        <v>1206</v>
      </c>
      <c r="B995" s="98">
        <v>46</v>
      </c>
      <c r="C995" s="98">
        <v>11</v>
      </c>
      <c r="D995" s="93"/>
      <c r="E995" s="93"/>
      <c r="F995" s="93"/>
      <c r="G995" s="97"/>
      <c r="H995" s="97"/>
      <c r="I995" s="93"/>
      <c r="J995" s="93"/>
      <c r="K995" s="93"/>
      <c r="L995" s="93"/>
      <c r="M995" s="93"/>
      <c r="N995" s="98">
        <v>0</v>
      </c>
      <c r="O995" s="98">
        <v>1</v>
      </c>
      <c r="P995" s="99">
        <f>SUM(SamplingData[[#This Row],[Winning Candidate]:[Under Votes]])</f>
        <v>58</v>
      </c>
      <c r="Q995" s="100">
        <f>IF(AND(SamplingData[[#This Row],[Total]]&lt;&gt; 0, NOT(ISBLANK(SamplingData[[#This Row],[Losing Candidate]]))),(SamplingData[[#This Row],[Total]]+SamplingData[[#This Row],[Winning Candidate]]-SamplingData[[#This Row],[Losing Candidate]])/(SamplingData[[#Totals],[Winning Candidate]]-SamplingData[[#Totals],[Losing Candidate]]), 0)</f>
        <v>2.9211295034079843E-3</v>
      </c>
      <c r="R995" s="100">
        <f>IF(AND(SamplingData[[#This Row],[Total]]&lt;&gt; 0, NOT(ISBLANK(SamplingData[[#This Row],[Candidate 3]]))),(SamplingData[[#This Row],[Total]]+SamplingData[[#This Row],[Winning Candidate]]-SamplingData[[#This Row],[Candidate 3]])/(SamplingData[[#Totals],[Winning Candidate]]-SamplingData[[#Totals],[Candidate 3]]), 0)</f>
        <v>0</v>
      </c>
      <c r="S995" s="100">
        <f>IF(AND(SamplingData[[#This Row],[Total]]&lt;&gt; 0, NOT(ISBLANK(SamplingData[[#This Row],[Candidate 4]]))),(SamplingData[[#This Row],[Total]]+SamplingData[[#This Row],[Winning Candidate]]-SamplingData[[#This Row],[Candidate 4]])/(SamplingData[[#Totals],[Winning Candidate]]-SamplingData[[#Totals],[Candidate 4]]), 0)</f>
        <v>0</v>
      </c>
      <c r="T995" s="100">
        <f>IF(AND(SamplingData[[#This Row],[Total]]&lt;&gt; 0, NOT(ISBLANK(SamplingData[[#This Row],[Candidate 5]]))),(SamplingData[[#This Row],[Total]]+SamplingData[[#This Row],[Winning Candidate]]-SamplingData[[#This Row],[Candidate 5]])/(SamplingData[[#Totals],[Winning Candidate]]-SamplingData[[#Totals],[Candidate 5]]), 0)</f>
        <v>0</v>
      </c>
      <c r="U995" s="100">
        <f>IF(AND(SamplingData[[#This Row],[Total]]&lt;&gt; 0, NOT(ISBLANK(SamplingData[[#This Row],[Candidate 6]]))),(SamplingData[[#This Row],[Total]]+SamplingData[[#This Row],[Losing Candidate]]-SamplingData[[#This Row],[Candidate 6]])/(SamplingData[[#Totals],[Winning Candidate]]-SamplingData[[#Totals],[Candidate 6]]), 0)</f>
        <v>0</v>
      </c>
      <c r="V995" s="100">
        <f>IF(AND(SamplingData[[#This Row],[Total]]&lt;&gt; 0, NOT(ISBLANK(SamplingData[[#This Row],[Candidate 7]]))),(SamplingData[[#This Row],[Total]]+SamplingData[[#This Row],[Winning Candidate]]-SamplingData[[#This Row],[Candidate 7]])/(SamplingData[[#Totals],[Winning Candidate]]-SamplingData[[#Totals],[Candidate 7]]), 0)</f>
        <v>0</v>
      </c>
      <c r="W995" s="100">
        <f>IF(AND(SamplingData[[#This Row],[Total]]&lt;&gt; 0, NOT(ISBLANK(SamplingData[[#This Row],[Candidate 8]]))),(SamplingData[[#This Row],[Total]]+SamplingData[[#This Row],[Winning Candidate]]-SamplingData[[#This Row],[Candidate 8]])/(SamplingData[[#Totals],[Winning Candidate]]-SamplingData[[#Totals],[Candidate 8]]), 0)</f>
        <v>0</v>
      </c>
      <c r="X9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00">
        <f>MAX(SamplingData[[#This Row],[Error Bound (up) - Max. possible relative overstatement - Losing Candidate]:[Error Bound (up) - Max. possible relative overstatement - Candidate 12]])</f>
        <v>2.9211295034079843E-3</v>
      </c>
      <c r="AC995" s="100">
        <f>IF(SamplingData[[#This Row],[Max Error Bound (up)]] = 0,0,SamplingData[[#This Row],[Max Error Bound (up)]]/SamplingData[[#Totals],[Max Error Bound (up)]])</f>
        <v>1.2518171539331292E-3</v>
      </c>
      <c r="AD995" s="104">
        <f>SUM($AC$5:AC995)</f>
        <v>0.70895924191030102</v>
      </c>
      <c r="AE995" s="100" t="str" cm="1">
        <f t="array" ref="AE995">IF(SamplingData[[#This Row],[up/U Selection Probability]] = 0, "Zero", TEXT(SamplingData[[#This Row],[Lower Range]], REPT("0",LEN('General Info'!$B$42))) &amp; " - " &amp; TEXT(SamplingData[[#This Row],[Upper Range]], REPT("0",LEN('General Info'!$B$42))))</f>
        <v>70771 - 70895</v>
      </c>
      <c r="AF995" s="100">
        <f>SamplingData[[#This Row],[Upper Range]]-SamplingData[[#This Row],[Span]]</f>
        <v>70770.742475636798</v>
      </c>
      <c r="AG995" s="100">
        <f>IF(ISNUMBER('General Info'!$B$42), ((SamplingData[[#This Row],[up/U Selection Probability]]) * 'General Info'!$B$44) - 1, 0)</f>
        <v>124.18171539331291</v>
      </c>
      <c r="AH995" s="100">
        <f>IF(ISNUMBER('General Info'!$B$42), (SamplingData[[#This Row],[Running (cumulative) sum]] * ('General Info'!$B$42 -'General Info'!$B$43 + 1)) + 'General Info'!$B$43 - 1, 0)</f>
        <v>70894.924191030106</v>
      </c>
      <c r="AI995" s="100" t="str">
        <f>IF(ISERROR(MATCH(SamplingData[[#This Row],[Batch by Type (p)]],SelectedPrecincts[Batch Name], 0)), "", INDEX(SelectedPrecincts[Draw], MATCH(SamplingData[[#This Row],[Batch by Type (p)]],SelectedPrecincts[Batch Name], 0)))</f>
        <v/>
      </c>
      <c r="AJ995" s="101">
        <f>IF(COUNTIF(SelectedPrecincts[Batch Name],SamplingData[[#This Row],[Batch by Type (p)]]) &lt;&gt; 0, COUNTIF(SelectedPrecincts[Batch Name],SamplingData[[#This Row],[Batch by Type (p)]]), 0)</f>
        <v>0</v>
      </c>
    </row>
    <row r="996" spans="1:36" ht="15" customHeight="1" x14ac:dyDescent="0.35">
      <c r="A996" s="98" t="s">
        <v>1207</v>
      </c>
      <c r="B996" s="98">
        <v>131</v>
      </c>
      <c r="C996" s="98">
        <v>12</v>
      </c>
      <c r="D996" s="93"/>
      <c r="E996" s="93"/>
      <c r="F996" s="93"/>
      <c r="G996" s="97"/>
      <c r="H996" s="97"/>
      <c r="I996" s="93"/>
      <c r="J996" s="93"/>
      <c r="K996" s="93"/>
      <c r="L996" s="93"/>
      <c r="M996" s="93"/>
      <c r="N996" s="98">
        <v>1</v>
      </c>
      <c r="O996" s="98">
        <v>1</v>
      </c>
      <c r="P996" s="99">
        <f>SUM(SamplingData[[#This Row],[Winning Candidate]:[Under Votes]])</f>
        <v>145</v>
      </c>
      <c r="Q996" s="100">
        <f>IF(AND(SamplingData[[#This Row],[Total]]&lt;&gt; 0, NOT(ISBLANK(SamplingData[[#This Row],[Losing Candidate]]))),(SamplingData[[#This Row],[Total]]+SamplingData[[#This Row],[Winning Candidate]]-SamplingData[[#This Row],[Losing Candidate]])/(SamplingData[[#Totals],[Winning Candidate]]-SamplingData[[#Totals],[Losing Candidate]]), 0)</f>
        <v>8.2922385903194396E-3</v>
      </c>
      <c r="R996" s="100">
        <f>IF(AND(SamplingData[[#This Row],[Total]]&lt;&gt; 0, NOT(ISBLANK(SamplingData[[#This Row],[Candidate 3]]))),(SamplingData[[#This Row],[Total]]+SamplingData[[#This Row],[Winning Candidate]]-SamplingData[[#This Row],[Candidate 3]])/(SamplingData[[#Totals],[Winning Candidate]]-SamplingData[[#Totals],[Candidate 3]]), 0)</f>
        <v>0</v>
      </c>
      <c r="S996" s="100">
        <f>IF(AND(SamplingData[[#This Row],[Total]]&lt;&gt; 0, NOT(ISBLANK(SamplingData[[#This Row],[Candidate 4]]))),(SamplingData[[#This Row],[Total]]+SamplingData[[#This Row],[Winning Candidate]]-SamplingData[[#This Row],[Candidate 4]])/(SamplingData[[#Totals],[Winning Candidate]]-SamplingData[[#Totals],[Candidate 4]]), 0)</f>
        <v>0</v>
      </c>
      <c r="T996" s="100">
        <f>IF(AND(SamplingData[[#This Row],[Total]]&lt;&gt; 0, NOT(ISBLANK(SamplingData[[#This Row],[Candidate 5]]))),(SamplingData[[#This Row],[Total]]+SamplingData[[#This Row],[Winning Candidate]]-SamplingData[[#This Row],[Candidate 5]])/(SamplingData[[#Totals],[Winning Candidate]]-SamplingData[[#Totals],[Candidate 5]]), 0)</f>
        <v>0</v>
      </c>
      <c r="U996" s="100">
        <f>IF(AND(SamplingData[[#This Row],[Total]]&lt;&gt; 0, NOT(ISBLANK(SamplingData[[#This Row],[Candidate 6]]))),(SamplingData[[#This Row],[Total]]+SamplingData[[#This Row],[Losing Candidate]]-SamplingData[[#This Row],[Candidate 6]])/(SamplingData[[#Totals],[Winning Candidate]]-SamplingData[[#Totals],[Candidate 6]]), 0)</f>
        <v>0</v>
      </c>
      <c r="V996" s="100">
        <f>IF(AND(SamplingData[[#This Row],[Total]]&lt;&gt; 0, NOT(ISBLANK(SamplingData[[#This Row],[Candidate 7]]))),(SamplingData[[#This Row],[Total]]+SamplingData[[#This Row],[Winning Candidate]]-SamplingData[[#This Row],[Candidate 7]])/(SamplingData[[#Totals],[Winning Candidate]]-SamplingData[[#Totals],[Candidate 7]]), 0)</f>
        <v>0</v>
      </c>
      <c r="W996" s="100">
        <f>IF(AND(SamplingData[[#This Row],[Total]]&lt;&gt; 0, NOT(ISBLANK(SamplingData[[#This Row],[Candidate 8]]))),(SamplingData[[#This Row],[Total]]+SamplingData[[#This Row],[Winning Candidate]]-SamplingData[[#This Row],[Candidate 8]])/(SamplingData[[#Totals],[Winning Candidate]]-SamplingData[[#Totals],[Candidate 8]]), 0)</f>
        <v>0</v>
      </c>
      <c r="X9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00">
        <f>MAX(SamplingData[[#This Row],[Error Bound (up) - Max. possible relative overstatement - Losing Candidate]:[Error Bound (up) - Max. possible relative overstatement - Candidate 12]])</f>
        <v>8.2922385903194396E-3</v>
      </c>
      <c r="AC996" s="100">
        <f>IF(SamplingData[[#This Row],[Max Error Bound (up)]] = 0,0,SamplingData[[#This Row],[Max Error Bound (up)]]/SamplingData[[#Totals],[Max Error Bound (up)]])</f>
        <v>3.553545469229528E-3</v>
      </c>
      <c r="AD996" s="104">
        <f>SUM($AC$5:AC996)</f>
        <v>0.7125127873795305</v>
      </c>
      <c r="AE996" s="100" t="str" cm="1">
        <f t="array" ref="AE996">IF(SamplingData[[#This Row],[up/U Selection Probability]] = 0, "Zero", TEXT(SamplingData[[#This Row],[Lower Range]], REPT("0",LEN('General Info'!$B$42))) &amp; " - " &amp; TEXT(SamplingData[[#This Row],[Upper Range]], REPT("0",LEN('General Info'!$B$42))))</f>
        <v>70896 - 71250</v>
      </c>
      <c r="AF996" s="100">
        <f>SamplingData[[#This Row],[Upper Range]]-SamplingData[[#This Row],[Span]]</f>
        <v>70895.924191030092</v>
      </c>
      <c r="AG996" s="100">
        <f>IF(ISNUMBER('General Info'!$B$42), ((SamplingData[[#This Row],[up/U Selection Probability]]) * 'General Info'!$B$44) - 1, 0)</f>
        <v>354.35454692295281</v>
      </c>
      <c r="AH996" s="100">
        <f>IF(ISNUMBER('General Info'!$B$42), (SamplingData[[#This Row],[Running (cumulative) sum]] * ('General Info'!$B$42 -'General Info'!$B$43 + 1)) + 'General Info'!$B$43 - 1, 0)</f>
        <v>71250.278737953049</v>
      </c>
      <c r="AI996" s="100" t="str">
        <f>IF(ISERROR(MATCH(SamplingData[[#This Row],[Batch by Type (p)]],SelectedPrecincts[Batch Name], 0)), "", INDEX(SelectedPrecincts[Draw], MATCH(SamplingData[[#This Row],[Batch by Type (p)]],SelectedPrecincts[Batch Name], 0)))</f>
        <v/>
      </c>
      <c r="AJ996" s="101">
        <f>IF(COUNTIF(SelectedPrecincts[Batch Name],SamplingData[[#This Row],[Batch by Type (p)]]) &lt;&gt; 0, COUNTIF(SelectedPrecincts[Batch Name],SamplingData[[#This Row],[Batch by Type (p)]]), 0)</f>
        <v>0</v>
      </c>
    </row>
    <row r="997" spans="1:36" ht="15" customHeight="1" x14ac:dyDescent="0.35">
      <c r="A997" s="98" t="s">
        <v>1208</v>
      </c>
      <c r="B997" s="98">
        <v>132</v>
      </c>
      <c r="C997" s="98">
        <v>13</v>
      </c>
      <c r="D997" s="93"/>
      <c r="E997" s="93"/>
      <c r="F997" s="93"/>
      <c r="G997" s="97"/>
      <c r="H997" s="97"/>
      <c r="I997" s="93"/>
      <c r="J997" s="93"/>
      <c r="K997" s="93"/>
      <c r="L997" s="93"/>
      <c r="M997" s="93"/>
      <c r="N997" s="98">
        <v>0</v>
      </c>
      <c r="O997" s="98">
        <v>2</v>
      </c>
      <c r="P997" s="99">
        <f>SUM(SamplingData[[#This Row],[Winning Candidate]:[Under Votes]])</f>
        <v>147</v>
      </c>
      <c r="Q997" s="100">
        <f>IF(AND(SamplingData[[#This Row],[Total]]&lt;&gt; 0, NOT(ISBLANK(SamplingData[[#This Row],[Losing Candidate]]))),(SamplingData[[#This Row],[Total]]+SamplingData[[#This Row],[Winning Candidate]]-SamplingData[[#This Row],[Losing Candidate]])/(SamplingData[[#Totals],[Winning Candidate]]-SamplingData[[#Totals],[Losing Candidate]]), 0)</f>
        <v>8.3550585796400411E-3</v>
      </c>
      <c r="R997" s="100">
        <f>IF(AND(SamplingData[[#This Row],[Total]]&lt;&gt; 0, NOT(ISBLANK(SamplingData[[#This Row],[Candidate 3]]))),(SamplingData[[#This Row],[Total]]+SamplingData[[#This Row],[Winning Candidate]]-SamplingData[[#This Row],[Candidate 3]])/(SamplingData[[#Totals],[Winning Candidate]]-SamplingData[[#Totals],[Candidate 3]]), 0)</f>
        <v>0</v>
      </c>
      <c r="S997" s="100">
        <f>IF(AND(SamplingData[[#This Row],[Total]]&lt;&gt; 0, NOT(ISBLANK(SamplingData[[#This Row],[Candidate 4]]))),(SamplingData[[#This Row],[Total]]+SamplingData[[#This Row],[Winning Candidate]]-SamplingData[[#This Row],[Candidate 4]])/(SamplingData[[#Totals],[Winning Candidate]]-SamplingData[[#Totals],[Candidate 4]]), 0)</f>
        <v>0</v>
      </c>
      <c r="T997" s="100">
        <f>IF(AND(SamplingData[[#This Row],[Total]]&lt;&gt; 0, NOT(ISBLANK(SamplingData[[#This Row],[Candidate 5]]))),(SamplingData[[#This Row],[Total]]+SamplingData[[#This Row],[Winning Candidate]]-SamplingData[[#This Row],[Candidate 5]])/(SamplingData[[#Totals],[Winning Candidate]]-SamplingData[[#Totals],[Candidate 5]]), 0)</f>
        <v>0</v>
      </c>
      <c r="U997" s="100">
        <f>IF(AND(SamplingData[[#This Row],[Total]]&lt;&gt; 0, NOT(ISBLANK(SamplingData[[#This Row],[Candidate 6]]))),(SamplingData[[#This Row],[Total]]+SamplingData[[#This Row],[Losing Candidate]]-SamplingData[[#This Row],[Candidate 6]])/(SamplingData[[#Totals],[Winning Candidate]]-SamplingData[[#Totals],[Candidate 6]]), 0)</f>
        <v>0</v>
      </c>
      <c r="V997" s="100">
        <f>IF(AND(SamplingData[[#This Row],[Total]]&lt;&gt; 0, NOT(ISBLANK(SamplingData[[#This Row],[Candidate 7]]))),(SamplingData[[#This Row],[Total]]+SamplingData[[#This Row],[Winning Candidate]]-SamplingData[[#This Row],[Candidate 7]])/(SamplingData[[#Totals],[Winning Candidate]]-SamplingData[[#Totals],[Candidate 7]]), 0)</f>
        <v>0</v>
      </c>
      <c r="W997" s="100">
        <f>IF(AND(SamplingData[[#This Row],[Total]]&lt;&gt; 0, NOT(ISBLANK(SamplingData[[#This Row],[Candidate 8]]))),(SamplingData[[#This Row],[Total]]+SamplingData[[#This Row],[Winning Candidate]]-SamplingData[[#This Row],[Candidate 8]])/(SamplingData[[#Totals],[Winning Candidate]]-SamplingData[[#Totals],[Candidate 8]]), 0)</f>
        <v>0</v>
      </c>
      <c r="X9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00">
        <f>MAX(SamplingData[[#This Row],[Error Bound (up) - Max. possible relative overstatement - Losing Candidate]:[Error Bound (up) - Max. possible relative overstatement - Candidate 12]])</f>
        <v>8.3550585796400411E-3</v>
      </c>
      <c r="AC997" s="100">
        <f>IF(SamplingData[[#This Row],[Max Error Bound (up)]] = 0,0,SamplingData[[#This Row],[Max Error Bound (up)]]/SamplingData[[#Totals],[Max Error Bound (up)]])</f>
        <v>3.5804662682388426E-3</v>
      </c>
      <c r="AD997" s="104">
        <f>SUM($AC$5:AC997)</f>
        <v>0.71609325364776932</v>
      </c>
      <c r="AE997" s="100" t="str" cm="1">
        <f t="array" ref="AE997">IF(SamplingData[[#This Row],[up/U Selection Probability]] = 0, "Zero", TEXT(SamplingData[[#This Row],[Lower Range]], REPT("0",LEN('General Info'!$B$42))) &amp; " - " &amp; TEXT(SamplingData[[#This Row],[Upper Range]], REPT("0",LEN('General Info'!$B$42))))</f>
        <v>71251 - 71608</v>
      </c>
      <c r="AF997" s="100">
        <f>SamplingData[[#This Row],[Upper Range]]-SamplingData[[#This Row],[Span]]</f>
        <v>71251.278737953049</v>
      </c>
      <c r="AG997" s="100">
        <f>IF(ISNUMBER('General Info'!$B$42), ((SamplingData[[#This Row],[up/U Selection Probability]]) * 'General Info'!$B$44) - 1, 0)</f>
        <v>357.04662682388425</v>
      </c>
      <c r="AH997" s="100">
        <f>IF(ISNUMBER('General Info'!$B$42), (SamplingData[[#This Row],[Running (cumulative) sum]] * ('General Info'!$B$42 -'General Info'!$B$43 + 1)) + 'General Info'!$B$43 - 1, 0)</f>
        <v>71608.325364776931</v>
      </c>
      <c r="AI997" s="100" t="str">
        <f>IF(ISERROR(MATCH(SamplingData[[#This Row],[Batch by Type (p)]],SelectedPrecincts[Batch Name], 0)), "", INDEX(SelectedPrecincts[Draw], MATCH(SamplingData[[#This Row],[Batch by Type (p)]],SelectedPrecincts[Batch Name], 0)))</f>
        <v/>
      </c>
      <c r="AJ997" s="101">
        <f>IF(COUNTIF(SelectedPrecincts[Batch Name],SamplingData[[#This Row],[Batch by Type (p)]]) &lt;&gt; 0, COUNTIF(SelectedPrecincts[Batch Name],SamplingData[[#This Row],[Batch by Type (p)]]), 0)</f>
        <v>0</v>
      </c>
    </row>
    <row r="998" spans="1:36" ht="15" customHeight="1" x14ac:dyDescent="0.35">
      <c r="A998" s="98" t="s">
        <v>1209</v>
      </c>
      <c r="B998" s="98">
        <v>76</v>
      </c>
      <c r="C998" s="98">
        <v>6</v>
      </c>
      <c r="D998" s="93"/>
      <c r="E998" s="93"/>
      <c r="F998" s="93"/>
      <c r="G998" s="97"/>
      <c r="H998" s="97"/>
      <c r="I998" s="93"/>
      <c r="J998" s="93"/>
      <c r="K998" s="93"/>
      <c r="L998" s="93"/>
      <c r="M998" s="93"/>
      <c r="N998" s="98">
        <v>1</v>
      </c>
      <c r="O998" s="98">
        <v>0</v>
      </c>
      <c r="P998" s="99">
        <f>SUM(SamplingData[[#This Row],[Winning Candidate]:[Under Votes]])</f>
        <v>83</v>
      </c>
      <c r="Q998" s="100">
        <f>IF(AND(SamplingData[[#This Row],[Total]]&lt;&gt; 0, NOT(ISBLANK(SamplingData[[#This Row],[Losing Candidate]]))),(SamplingData[[#This Row],[Total]]+SamplingData[[#This Row],[Winning Candidate]]-SamplingData[[#This Row],[Losing Candidate]])/(SamplingData[[#Totals],[Winning Candidate]]-SamplingData[[#Totals],[Losing Candidate]]), 0)</f>
        <v>4.8057291830260387E-3</v>
      </c>
      <c r="R998" s="100">
        <f>IF(AND(SamplingData[[#This Row],[Total]]&lt;&gt; 0, NOT(ISBLANK(SamplingData[[#This Row],[Candidate 3]]))),(SamplingData[[#This Row],[Total]]+SamplingData[[#This Row],[Winning Candidate]]-SamplingData[[#This Row],[Candidate 3]])/(SamplingData[[#Totals],[Winning Candidate]]-SamplingData[[#Totals],[Candidate 3]]), 0)</f>
        <v>0</v>
      </c>
      <c r="S998" s="100">
        <f>IF(AND(SamplingData[[#This Row],[Total]]&lt;&gt; 0, NOT(ISBLANK(SamplingData[[#This Row],[Candidate 4]]))),(SamplingData[[#This Row],[Total]]+SamplingData[[#This Row],[Winning Candidate]]-SamplingData[[#This Row],[Candidate 4]])/(SamplingData[[#Totals],[Winning Candidate]]-SamplingData[[#Totals],[Candidate 4]]), 0)</f>
        <v>0</v>
      </c>
      <c r="T998" s="100">
        <f>IF(AND(SamplingData[[#This Row],[Total]]&lt;&gt; 0, NOT(ISBLANK(SamplingData[[#This Row],[Candidate 5]]))),(SamplingData[[#This Row],[Total]]+SamplingData[[#This Row],[Winning Candidate]]-SamplingData[[#This Row],[Candidate 5]])/(SamplingData[[#Totals],[Winning Candidate]]-SamplingData[[#Totals],[Candidate 5]]), 0)</f>
        <v>0</v>
      </c>
      <c r="U998" s="100">
        <f>IF(AND(SamplingData[[#This Row],[Total]]&lt;&gt; 0, NOT(ISBLANK(SamplingData[[#This Row],[Candidate 6]]))),(SamplingData[[#This Row],[Total]]+SamplingData[[#This Row],[Losing Candidate]]-SamplingData[[#This Row],[Candidate 6]])/(SamplingData[[#Totals],[Winning Candidate]]-SamplingData[[#Totals],[Candidate 6]]), 0)</f>
        <v>0</v>
      </c>
      <c r="V998" s="100">
        <f>IF(AND(SamplingData[[#This Row],[Total]]&lt;&gt; 0, NOT(ISBLANK(SamplingData[[#This Row],[Candidate 7]]))),(SamplingData[[#This Row],[Total]]+SamplingData[[#This Row],[Winning Candidate]]-SamplingData[[#This Row],[Candidate 7]])/(SamplingData[[#Totals],[Winning Candidate]]-SamplingData[[#Totals],[Candidate 7]]), 0)</f>
        <v>0</v>
      </c>
      <c r="W998" s="100">
        <f>IF(AND(SamplingData[[#This Row],[Total]]&lt;&gt; 0, NOT(ISBLANK(SamplingData[[#This Row],[Candidate 8]]))),(SamplingData[[#This Row],[Total]]+SamplingData[[#This Row],[Winning Candidate]]-SamplingData[[#This Row],[Candidate 8]])/(SamplingData[[#Totals],[Winning Candidate]]-SamplingData[[#Totals],[Candidate 8]]), 0)</f>
        <v>0</v>
      </c>
      <c r="X9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00">
        <f>MAX(SamplingData[[#This Row],[Error Bound (up) - Max. possible relative overstatement - Losing Candidate]:[Error Bound (up) - Max. possible relative overstatement - Candidate 12]])</f>
        <v>4.8057291830260387E-3</v>
      </c>
      <c r="AC998" s="100">
        <f>IF(SamplingData[[#This Row],[Max Error Bound (up)]] = 0,0,SamplingData[[#This Row],[Max Error Bound (up)]]/SamplingData[[#Totals],[Max Error Bound (up)]])</f>
        <v>2.0594411242125673E-3</v>
      </c>
      <c r="AD998" s="104">
        <f>SUM($AC$5:AC998)</f>
        <v>0.71815269477198185</v>
      </c>
      <c r="AE998" s="100" t="str" cm="1">
        <f t="array" ref="AE998">IF(SamplingData[[#This Row],[up/U Selection Probability]] = 0, "Zero", TEXT(SamplingData[[#This Row],[Lower Range]], REPT("0",LEN('General Info'!$B$42))) &amp; " - " &amp; TEXT(SamplingData[[#This Row],[Upper Range]], REPT("0",LEN('General Info'!$B$42))))</f>
        <v>71609 - 71814</v>
      </c>
      <c r="AF998" s="100">
        <f>SamplingData[[#This Row],[Upper Range]]-SamplingData[[#This Row],[Span]]</f>
        <v>71609.325364776931</v>
      </c>
      <c r="AG998" s="100">
        <f>IF(ISNUMBER('General Info'!$B$42), ((SamplingData[[#This Row],[up/U Selection Probability]]) * 'General Info'!$B$44) - 1, 0)</f>
        <v>204.94411242125673</v>
      </c>
      <c r="AH998" s="100">
        <f>IF(ISNUMBER('General Info'!$B$42), (SamplingData[[#This Row],[Running (cumulative) sum]] * ('General Info'!$B$42 -'General Info'!$B$43 + 1)) + 'General Info'!$B$43 - 1, 0)</f>
        <v>71814.269477198191</v>
      </c>
      <c r="AI998" s="100" t="str">
        <f>IF(ISERROR(MATCH(SamplingData[[#This Row],[Batch by Type (p)]],SelectedPrecincts[Batch Name], 0)), "", INDEX(SelectedPrecincts[Draw], MATCH(SamplingData[[#This Row],[Batch by Type (p)]],SelectedPrecincts[Batch Name], 0)))</f>
        <v/>
      </c>
      <c r="AJ998" s="101">
        <f>IF(COUNTIF(SelectedPrecincts[Batch Name],SamplingData[[#This Row],[Batch by Type (p)]]) &lt;&gt; 0, COUNTIF(SelectedPrecincts[Batch Name],SamplingData[[#This Row],[Batch by Type (p)]]), 0)</f>
        <v>0</v>
      </c>
    </row>
    <row r="999" spans="1:36" ht="15" customHeight="1" x14ac:dyDescent="0.35">
      <c r="A999" s="98" t="s">
        <v>1210</v>
      </c>
      <c r="B999" s="98">
        <v>121</v>
      </c>
      <c r="C999" s="98">
        <v>5</v>
      </c>
      <c r="D999" s="93"/>
      <c r="E999" s="93"/>
      <c r="F999" s="93"/>
      <c r="G999" s="97"/>
      <c r="H999" s="97"/>
      <c r="I999" s="93"/>
      <c r="J999" s="93"/>
      <c r="K999" s="93"/>
      <c r="L999" s="93"/>
      <c r="M999" s="93"/>
      <c r="N999" s="98">
        <v>0</v>
      </c>
      <c r="O999" s="98">
        <v>1</v>
      </c>
      <c r="P999" s="99">
        <f>SUM(SamplingData[[#This Row],[Winning Candidate]:[Under Votes]])</f>
        <v>127</v>
      </c>
      <c r="Q999" s="100">
        <f>IF(AND(SamplingData[[#This Row],[Total]]&lt;&gt; 0, NOT(ISBLANK(SamplingData[[#This Row],[Losing Candidate]]))),(SamplingData[[#This Row],[Total]]+SamplingData[[#This Row],[Winning Candidate]]-SamplingData[[#This Row],[Losing Candidate]])/(SamplingData[[#Totals],[Winning Candidate]]-SamplingData[[#Totals],[Losing Candidate]]), 0)</f>
        <v>7.6326287024531207E-3</v>
      </c>
      <c r="R999" s="100">
        <f>IF(AND(SamplingData[[#This Row],[Total]]&lt;&gt; 0, NOT(ISBLANK(SamplingData[[#This Row],[Candidate 3]]))),(SamplingData[[#This Row],[Total]]+SamplingData[[#This Row],[Winning Candidate]]-SamplingData[[#This Row],[Candidate 3]])/(SamplingData[[#Totals],[Winning Candidate]]-SamplingData[[#Totals],[Candidate 3]]), 0)</f>
        <v>0</v>
      </c>
      <c r="S999" s="100">
        <f>IF(AND(SamplingData[[#This Row],[Total]]&lt;&gt; 0, NOT(ISBLANK(SamplingData[[#This Row],[Candidate 4]]))),(SamplingData[[#This Row],[Total]]+SamplingData[[#This Row],[Winning Candidate]]-SamplingData[[#This Row],[Candidate 4]])/(SamplingData[[#Totals],[Winning Candidate]]-SamplingData[[#Totals],[Candidate 4]]), 0)</f>
        <v>0</v>
      </c>
      <c r="T999" s="100">
        <f>IF(AND(SamplingData[[#This Row],[Total]]&lt;&gt; 0, NOT(ISBLANK(SamplingData[[#This Row],[Candidate 5]]))),(SamplingData[[#This Row],[Total]]+SamplingData[[#This Row],[Winning Candidate]]-SamplingData[[#This Row],[Candidate 5]])/(SamplingData[[#Totals],[Winning Candidate]]-SamplingData[[#Totals],[Candidate 5]]), 0)</f>
        <v>0</v>
      </c>
      <c r="U999" s="100">
        <f>IF(AND(SamplingData[[#This Row],[Total]]&lt;&gt; 0, NOT(ISBLANK(SamplingData[[#This Row],[Candidate 6]]))),(SamplingData[[#This Row],[Total]]+SamplingData[[#This Row],[Losing Candidate]]-SamplingData[[#This Row],[Candidate 6]])/(SamplingData[[#Totals],[Winning Candidate]]-SamplingData[[#Totals],[Candidate 6]]), 0)</f>
        <v>0</v>
      </c>
      <c r="V999" s="100">
        <f>IF(AND(SamplingData[[#This Row],[Total]]&lt;&gt; 0, NOT(ISBLANK(SamplingData[[#This Row],[Candidate 7]]))),(SamplingData[[#This Row],[Total]]+SamplingData[[#This Row],[Winning Candidate]]-SamplingData[[#This Row],[Candidate 7]])/(SamplingData[[#Totals],[Winning Candidate]]-SamplingData[[#Totals],[Candidate 7]]), 0)</f>
        <v>0</v>
      </c>
      <c r="W999" s="100">
        <f>IF(AND(SamplingData[[#This Row],[Total]]&lt;&gt; 0, NOT(ISBLANK(SamplingData[[#This Row],[Candidate 8]]))),(SamplingData[[#This Row],[Total]]+SamplingData[[#This Row],[Winning Candidate]]-SamplingData[[#This Row],[Candidate 8]])/(SamplingData[[#Totals],[Winning Candidate]]-SamplingData[[#Totals],[Candidate 8]]), 0)</f>
        <v>0</v>
      </c>
      <c r="X9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00">
        <f>MAX(SamplingData[[#This Row],[Error Bound (up) - Max. possible relative overstatement - Losing Candidate]:[Error Bound (up) - Max. possible relative overstatement - Candidate 12]])</f>
        <v>7.6326287024531207E-3</v>
      </c>
      <c r="AC999" s="100">
        <f>IF(SamplingData[[#This Row],[Max Error Bound (up)]] = 0,0,SamplingData[[#This Row],[Max Error Bound (up)]]/SamplingData[[#Totals],[Max Error Bound (up)]])</f>
        <v>3.2708770796317246E-3</v>
      </c>
      <c r="AD999" s="104">
        <f>SUM($AC$5:AC999)</f>
        <v>0.72142357185161354</v>
      </c>
      <c r="AE999" s="100" t="str" cm="1">
        <f t="array" ref="AE999">IF(SamplingData[[#This Row],[up/U Selection Probability]] = 0, "Zero", TEXT(SamplingData[[#This Row],[Lower Range]], REPT("0",LEN('General Info'!$B$42))) &amp; " - " &amp; TEXT(SamplingData[[#This Row],[Upper Range]], REPT("0",LEN('General Info'!$B$42))))</f>
        <v>71815 - 72141</v>
      </c>
      <c r="AF999" s="100">
        <f>SamplingData[[#This Row],[Upper Range]]-SamplingData[[#This Row],[Span]]</f>
        <v>71815.269477198177</v>
      </c>
      <c r="AG999" s="100">
        <f>IF(ISNUMBER('General Info'!$B$42), ((SamplingData[[#This Row],[up/U Selection Probability]]) * 'General Info'!$B$44) - 1, 0)</f>
        <v>326.08770796317248</v>
      </c>
      <c r="AH999" s="100">
        <f>IF(ISNUMBER('General Info'!$B$42), (SamplingData[[#This Row],[Running (cumulative) sum]] * ('General Info'!$B$42 -'General Info'!$B$43 + 1)) + 'General Info'!$B$43 - 1, 0)</f>
        <v>72141.357185161352</v>
      </c>
      <c r="AI999" s="100" t="str">
        <f>IF(ISERROR(MATCH(SamplingData[[#This Row],[Batch by Type (p)]],SelectedPrecincts[Batch Name], 0)), "", INDEX(SelectedPrecincts[Draw], MATCH(SamplingData[[#This Row],[Batch by Type (p)]],SelectedPrecincts[Batch Name], 0)))</f>
        <v/>
      </c>
      <c r="AJ999" s="101">
        <f>IF(COUNTIF(SelectedPrecincts[Batch Name],SamplingData[[#This Row],[Batch by Type (p)]]) &lt;&gt; 0, COUNTIF(SelectedPrecincts[Batch Name],SamplingData[[#This Row],[Batch by Type (p)]]), 0)</f>
        <v>0</v>
      </c>
    </row>
    <row r="1000" spans="1:36" ht="15" customHeight="1" x14ac:dyDescent="0.35">
      <c r="A1000" s="98" t="s">
        <v>1211</v>
      </c>
      <c r="B1000" s="98">
        <v>67</v>
      </c>
      <c r="C1000" s="98">
        <v>4</v>
      </c>
      <c r="D1000" s="93"/>
      <c r="E1000" s="93"/>
      <c r="F1000" s="93"/>
      <c r="G1000" s="97"/>
      <c r="H1000" s="97"/>
      <c r="I1000" s="93"/>
      <c r="J1000" s="93"/>
      <c r="K1000" s="93"/>
      <c r="L1000" s="93"/>
      <c r="M1000" s="93"/>
      <c r="N1000" s="98">
        <v>0</v>
      </c>
      <c r="O1000" s="98">
        <v>1</v>
      </c>
      <c r="P1000" s="99">
        <f>SUM(SamplingData[[#This Row],[Winning Candidate]:[Under Votes]])</f>
        <v>72</v>
      </c>
      <c r="Q1000" s="100">
        <f>IF(AND(SamplingData[[#This Row],[Total]]&lt;&gt; 0, NOT(ISBLANK(SamplingData[[#This Row],[Losing Candidate]]))),(SamplingData[[#This Row],[Total]]+SamplingData[[#This Row],[Winning Candidate]]-SamplingData[[#This Row],[Losing Candidate]])/(SamplingData[[#Totals],[Winning Candidate]]-SamplingData[[#Totals],[Losing Candidate]]), 0)</f>
        <v>4.240349279140623E-3</v>
      </c>
      <c r="R1000" s="100">
        <f>IF(AND(SamplingData[[#This Row],[Total]]&lt;&gt; 0, NOT(ISBLANK(SamplingData[[#This Row],[Candidate 3]]))),(SamplingData[[#This Row],[Total]]+SamplingData[[#This Row],[Winning Candidate]]-SamplingData[[#This Row],[Candidate 3]])/(SamplingData[[#Totals],[Winning Candidate]]-SamplingData[[#Totals],[Candidate 3]]), 0)</f>
        <v>0</v>
      </c>
      <c r="S1000" s="100">
        <f>IF(AND(SamplingData[[#This Row],[Total]]&lt;&gt; 0, NOT(ISBLANK(SamplingData[[#This Row],[Candidate 4]]))),(SamplingData[[#This Row],[Total]]+SamplingData[[#This Row],[Winning Candidate]]-SamplingData[[#This Row],[Candidate 4]])/(SamplingData[[#Totals],[Winning Candidate]]-SamplingData[[#Totals],[Candidate 4]]), 0)</f>
        <v>0</v>
      </c>
      <c r="T1000" s="100">
        <f>IF(AND(SamplingData[[#This Row],[Total]]&lt;&gt; 0, NOT(ISBLANK(SamplingData[[#This Row],[Candidate 5]]))),(SamplingData[[#This Row],[Total]]+SamplingData[[#This Row],[Winning Candidate]]-SamplingData[[#This Row],[Candidate 5]])/(SamplingData[[#Totals],[Winning Candidate]]-SamplingData[[#Totals],[Candidate 5]]), 0)</f>
        <v>0</v>
      </c>
      <c r="U1000" s="100">
        <f>IF(AND(SamplingData[[#This Row],[Total]]&lt;&gt; 0, NOT(ISBLANK(SamplingData[[#This Row],[Candidate 6]]))),(SamplingData[[#This Row],[Total]]+SamplingData[[#This Row],[Losing Candidate]]-SamplingData[[#This Row],[Candidate 6]])/(SamplingData[[#Totals],[Winning Candidate]]-SamplingData[[#Totals],[Candidate 6]]), 0)</f>
        <v>0</v>
      </c>
      <c r="V1000" s="100">
        <f>IF(AND(SamplingData[[#This Row],[Total]]&lt;&gt; 0, NOT(ISBLANK(SamplingData[[#This Row],[Candidate 7]]))),(SamplingData[[#This Row],[Total]]+SamplingData[[#This Row],[Winning Candidate]]-SamplingData[[#This Row],[Candidate 7]])/(SamplingData[[#Totals],[Winning Candidate]]-SamplingData[[#Totals],[Candidate 7]]), 0)</f>
        <v>0</v>
      </c>
      <c r="W1000" s="100">
        <f>IF(AND(SamplingData[[#This Row],[Total]]&lt;&gt; 0, NOT(ISBLANK(SamplingData[[#This Row],[Candidate 8]]))),(SamplingData[[#This Row],[Total]]+SamplingData[[#This Row],[Winning Candidate]]-SamplingData[[#This Row],[Candidate 8]])/(SamplingData[[#Totals],[Winning Candidate]]-SamplingData[[#Totals],[Candidate 8]]), 0)</f>
        <v>0</v>
      </c>
      <c r="X10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00">
        <f>MAX(SamplingData[[#This Row],[Error Bound (up) - Max. possible relative overstatement - Losing Candidate]:[Error Bound (up) - Max. possible relative overstatement - Candidate 12]])</f>
        <v>4.240349279140623E-3</v>
      </c>
      <c r="AC1000" s="100">
        <f>IF(SamplingData[[#This Row],[Max Error Bound (up)]] = 0,0,SamplingData[[#This Row],[Max Error Bound (up)]]/SamplingData[[#Totals],[Max Error Bound (up)]])</f>
        <v>1.8171539331287361E-3</v>
      </c>
      <c r="AD1000" s="104">
        <f>SUM($AC$5:AC1000)</f>
        <v>0.7232407257847423</v>
      </c>
      <c r="AE1000" s="100" t="str" cm="1">
        <f t="array" ref="AE1000">IF(SamplingData[[#This Row],[up/U Selection Probability]] = 0, "Zero", TEXT(SamplingData[[#This Row],[Lower Range]], REPT("0",LEN('General Info'!$B$42))) &amp; " - " &amp; TEXT(SamplingData[[#This Row],[Upper Range]], REPT("0",LEN('General Info'!$B$42))))</f>
        <v>72142 - 72323</v>
      </c>
      <c r="AF1000" s="100">
        <f>SamplingData[[#This Row],[Upper Range]]-SamplingData[[#This Row],[Span]]</f>
        <v>72142.357185161352</v>
      </c>
      <c r="AG1000" s="100">
        <f>IF(ISNUMBER('General Info'!$B$42), ((SamplingData[[#This Row],[up/U Selection Probability]]) * 'General Info'!$B$44) - 1, 0)</f>
        <v>180.7153933128736</v>
      </c>
      <c r="AH1000" s="100">
        <f>IF(ISNUMBER('General Info'!$B$42), (SamplingData[[#This Row],[Running (cumulative) sum]] * ('General Info'!$B$42 -'General Info'!$B$43 + 1)) + 'General Info'!$B$43 - 1, 0)</f>
        <v>72323.072578474224</v>
      </c>
      <c r="AI1000" s="100" t="str">
        <f>IF(ISERROR(MATCH(SamplingData[[#This Row],[Batch by Type (p)]],SelectedPrecincts[Batch Name], 0)), "", INDEX(SelectedPrecincts[Draw], MATCH(SamplingData[[#This Row],[Batch by Type (p)]],SelectedPrecincts[Batch Name], 0)))</f>
        <v/>
      </c>
      <c r="AJ1000" s="101">
        <f>IF(COUNTIF(SelectedPrecincts[Batch Name],SamplingData[[#This Row],[Batch by Type (p)]]) &lt;&gt; 0, COUNTIF(SelectedPrecincts[Batch Name],SamplingData[[#This Row],[Batch by Type (p)]]), 0)</f>
        <v>0</v>
      </c>
    </row>
    <row r="1001" spans="1:36" ht="15" customHeight="1" x14ac:dyDescent="0.35">
      <c r="A1001" s="98" t="s">
        <v>1212</v>
      </c>
      <c r="B1001" s="98">
        <v>76</v>
      </c>
      <c r="C1001" s="98">
        <v>17</v>
      </c>
      <c r="D1001" s="93"/>
      <c r="E1001" s="93"/>
      <c r="F1001" s="93"/>
      <c r="G1001" s="97"/>
      <c r="H1001" s="97"/>
      <c r="I1001" s="93"/>
      <c r="J1001" s="93"/>
      <c r="K1001" s="93"/>
      <c r="L1001" s="93"/>
      <c r="M1001" s="93"/>
      <c r="N1001" s="98">
        <v>0</v>
      </c>
      <c r="O1001" s="98">
        <v>1</v>
      </c>
      <c r="P1001" s="99">
        <f>SUM(SamplingData[[#This Row],[Winning Candidate]:[Under Votes]])</f>
        <v>94</v>
      </c>
      <c r="Q1001" s="100">
        <f>IF(AND(SamplingData[[#This Row],[Total]]&lt;&gt; 0, NOT(ISBLANK(SamplingData[[#This Row],[Losing Candidate]]))),(SamplingData[[#This Row],[Total]]+SamplingData[[#This Row],[Winning Candidate]]-SamplingData[[#This Row],[Losing Candidate]])/(SamplingData[[#Totals],[Winning Candidate]]-SamplingData[[#Totals],[Losing Candidate]]), 0)</f>
        <v>4.8057291830260387E-3</v>
      </c>
      <c r="R1001" s="100">
        <f>IF(AND(SamplingData[[#This Row],[Total]]&lt;&gt; 0, NOT(ISBLANK(SamplingData[[#This Row],[Candidate 3]]))),(SamplingData[[#This Row],[Total]]+SamplingData[[#This Row],[Winning Candidate]]-SamplingData[[#This Row],[Candidate 3]])/(SamplingData[[#Totals],[Winning Candidate]]-SamplingData[[#Totals],[Candidate 3]]), 0)</f>
        <v>0</v>
      </c>
      <c r="S1001" s="100">
        <f>IF(AND(SamplingData[[#This Row],[Total]]&lt;&gt; 0, NOT(ISBLANK(SamplingData[[#This Row],[Candidate 4]]))),(SamplingData[[#This Row],[Total]]+SamplingData[[#This Row],[Winning Candidate]]-SamplingData[[#This Row],[Candidate 4]])/(SamplingData[[#Totals],[Winning Candidate]]-SamplingData[[#Totals],[Candidate 4]]), 0)</f>
        <v>0</v>
      </c>
      <c r="T1001" s="100">
        <f>IF(AND(SamplingData[[#This Row],[Total]]&lt;&gt; 0, NOT(ISBLANK(SamplingData[[#This Row],[Candidate 5]]))),(SamplingData[[#This Row],[Total]]+SamplingData[[#This Row],[Winning Candidate]]-SamplingData[[#This Row],[Candidate 5]])/(SamplingData[[#Totals],[Winning Candidate]]-SamplingData[[#Totals],[Candidate 5]]), 0)</f>
        <v>0</v>
      </c>
      <c r="U1001" s="100">
        <f>IF(AND(SamplingData[[#This Row],[Total]]&lt;&gt; 0, NOT(ISBLANK(SamplingData[[#This Row],[Candidate 6]]))),(SamplingData[[#This Row],[Total]]+SamplingData[[#This Row],[Losing Candidate]]-SamplingData[[#This Row],[Candidate 6]])/(SamplingData[[#Totals],[Winning Candidate]]-SamplingData[[#Totals],[Candidate 6]]), 0)</f>
        <v>0</v>
      </c>
      <c r="V1001" s="100">
        <f>IF(AND(SamplingData[[#This Row],[Total]]&lt;&gt; 0, NOT(ISBLANK(SamplingData[[#This Row],[Candidate 7]]))),(SamplingData[[#This Row],[Total]]+SamplingData[[#This Row],[Winning Candidate]]-SamplingData[[#This Row],[Candidate 7]])/(SamplingData[[#Totals],[Winning Candidate]]-SamplingData[[#Totals],[Candidate 7]]), 0)</f>
        <v>0</v>
      </c>
      <c r="W1001" s="100">
        <f>IF(AND(SamplingData[[#This Row],[Total]]&lt;&gt; 0, NOT(ISBLANK(SamplingData[[#This Row],[Candidate 8]]))),(SamplingData[[#This Row],[Total]]+SamplingData[[#This Row],[Winning Candidate]]-SamplingData[[#This Row],[Candidate 8]])/(SamplingData[[#Totals],[Winning Candidate]]-SamplingData[[#Totals],[Candidate 8]]), 0)</f>
        <v>0</v>
      </c>
      <c r="X10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00">
        <f>MAX(SamplingData[[#This Row],[Error Bound (up) - Max. possible relative overstatement - Losing Candidate]:[Error Bound (up) - Max. possible relative overstatement - Candidate 12]])</f>
        <v>4.8057291830260387E-3</v>
      </c>
      <c r="AC1001" s="100">
        <f>IF(SamplingData[[#This Row],[Max Error Bound (up)]] = 0,0,SamplingData[[#This Row],[Max Error Bound (up)]]/SamplingData[[#Totals],[Max Error Bound (up)]])</f>
        <v>2.0594411242125673E-3</v>
      </c>
      <c r="AD1001" s="104">
        <f>SUM($AC$5:AC1001)</f>
        <v>0.72530016690895482</v>
      </c>
      <c r="AE1001" s="100" t="str" cm="1">
        <f t="array" ref="AE1001">IF(SamplingData[[#This Row],[up/U Selection Probability]] = 0, "Zero", TEXT(SamplingData[[#This Row],[Lower Range]], REPT("0",LEN('General Info'!$B$42))) &amp; " - " &amp; TEXT(SamplingData[[#This Row],[Upper Range]], REPT("0",LEN('General Info'!$B$42))))</f>
        <v>72324 - 72529</v>
      </c>
      <c r="AF1001" s="100">
        <f>SamplingData[[#This Row],[Upper Range]]-SamplingData[[#This Row],[Span]]</f>
        <v>72324.072578474224</v>
      </c>
      <c r="AG1001" s="100">
        <f>IF(ISNUMBER('General Info'!$B$42), ((SamplingData[[#This Row],[up/U Selection Probability]]) * 'General Info'!$B$44) - 1, 0)</f>
        <v>204.94411242125673</v>
      </c>
      <c r="AH1001" s="100">
        <f>IF(ISNUMBER('General Info'!$B$42), (SamplingData[[#This Row],[Running (cumulative) sum]] * ('General Info'!$B$42 -'General Info'!$B$43 + 1)) + 'General Info'!$B$43 - 1, 0)</f>
        <v>72529.016690895485</v>
      </c>
      <c r="AI1001" s="100" t="str">
        <f>IF(ISERROR(MATCH(SamplingData[[#This Row],[Batch by Type (p)]],SelectedPrecincts[Batch Name], 0)), "", INDEX(SelectedPrecincts[Draw], MATCH(SamplingData[[#This Row],[Batch by Type (p)]],SelectedPrecincts[Batch Name], 0)))</f>
        <v/>
      </c>
      <c r="AJ1001" s="101">
        <f>IF(COUNTIF(SelectedPrecincts[Batch Name],SamplingData[[#This Row],[Batch by Type (p)]]) &lt;&gt; 0, COUNTIF(SelectedPrecincts[Batch Name],SamplingData[[#This Row],[Batch by Type (p)]]), 0)</f>
        <v>0</v>
      </c>
    </row>
    <row r="1002" spans="1:36" ht="15" customHeight="1" x14ac:dyDescent="0.35">
      <c r="A1002" s="98" t="s">
        <v>1213</v>
      </c>
      <c r="B1002" s="98">
        <v>125</v>
      </c>
      <c r="C1002" s="98">
        <v>7</v>
      </c>
      <c r="D1002" s="93"/>
      <c r="E1002" s="93"/>
      <c r="F1002" s="93"/>
      <c r="G1002" s="97"/>
      <c r="H1002" s="97"/>
      <c r="I1002" s="93"/>
      <c r="J1002" s="93"/>
      <c r="K1002" s="93"/>
      <c r="L1002" s="93"/>
      <c r="M1002" s="93"/>
      <c r="N1002" s="98">
        <v>0</v>
      </c>
      <c r="O1002" s="98">
        <v>2</v>
      </c>
      <c r="P1002" s="99">
        <f>SUM(SamplingData[[#This Row],[Winning Candidate]:[Under Votes]])</f>
        <v>134</v>
      </c>
      <c r="Q1002" s="100">
        <f>IF(AND(SamplingData[[#This Row],[Total]]&lt;&gt; 0, NOT(ISBLANK(SamplingData[[#This Row],[Losing Candidate]]))),(SamplingData[[#This Row],[Total]]+SamplingData[[#This Row],[Winning Candidate]]-SamplingData[[#This Row],[Losing Candidate]])/(SamplingData[[#Totals],[Winning Candidate]]-SamplingData[[#Totals],[Losing Candidate]]), 0)</f>
        <v>7.9153186543958285E-3</v>
      </c>
      <c r="R1002" s="100">
        <f>IF(AND(SamplingData[[#This Row],[Total]]&lt;&gt; 0, NOT(ISBLANK(SamplingData[[#This Row],[Candidate 3]]))),(SamplingData[[#This Row],[Total]]+SamplingData[[#This Row],[Winning Candidate]]-SamplingData[[#This Row],[Candidate 3]])/(SamplingData[[#Totals],[Winning Candidate]]-SamplingData[[#Totals],[Candidate 3]]), 0)</f>
        <v>0</v>
      </c>
      <c r="S1002" s="100">
        <f>IF(AND(SamplingData[[#This Row],[Total]]&lt;&gt; 0, NOT(ISBLANK(SamplingData[[#This Row],[Candidate 4]]))),(SamplingData[[#This Row],[Total]]+SamplingData[[#This Row],[Winning Candidate]]-SamplingData[[#This Row],[Candidate 4]])/(SamplingData[[#Totals],[Winning Candidate]]-SamplingData[[#Totals],[Candidate 4]]), 0)</f>
        <v>0</v>
      </c>
      <c r="T1002" s="100">
        <f>IF(AND(SamplingData[[#This Row],[Total]]&lt;&gt; 0, NOT(ISBLANK(SamplingData[[#This Row],[Candidate 5]]))),(SamplingData[[#This Row],[Total]]+SamplingData[[#This Row],[Winning Candidate]]-SamplingData[[#This Row],[Candidate 5]])/(SamplingData[[#Totals],[Winning Candidate]]-SamplingData[[#Totals],[Candidate 5]]), 0)</f>
        <v>0</v>
      </c>
      <c r="U1002" s="100">
        <f>IF(AND(SamplingData[[#This Row],[Total]]&lt;&gt; 0, NOT(ISBLANK(SamplingData[[#This Row],[Candidate 6]]))),(SamplingData[[#This Row],[Total]]+SamplingData[[#This Row],[Losing Candidate]]-SamplingData[[#This Row],[Candidate 6]])/(SamplingData[[#Totals],[Winning Candidate]]-SamplingData[[#Totals],[Candidate 6]]), 0)</f>
        <v>0</v>
      </c>
      <c r="V1002" s="100">
        <f>IF(AND(SamplingData[[#This Row],[Total]]&lt;&gt; 0, NOT(ISBLANK(SamplingData[[#This Row],[Candidate 7]]))),(SamplingData[[#This Row],[Total]]+SamplingData[[#This Row],[Winning Candidate]]-SamplingData[[#This Row],[Candidate 7]])/(SamplingData[[#Totals],[Winning Candidate]]-SamplingData[[#Totals],[Candidate 7]]), 0)</f>
        <v>0</v>
      </c>
      <c r="W1002" s="100">
        <f>IF(AND(SamplingData[[#This Row],[Total]]&lt;&gt; 0, NOT(ISBLANK(SamplingData[[#This Row],[Candidate 8]]))),(SamplingData[[#This Row],[Total]]+SamplingData[[#This Row],[Winning Candidate]]-SamplingData[[#This Row],[Candidate 8]])/(SamplingData[[#Totals],[Winning Candidate]]-SamplingData[[#Totals],[Candidate 8]]), 0)</f>
        <v>0</v>
      </c>
      <c r="X10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00">
        <f>MAX(SamplingData[[#This Row],[Error Bound (up) - Max. possible relative overstatement - Losing Candidate]:[Error Bound (up) - Max. possible relative overstatement - Candidate 12]])</f>
        <v>7.9153186543958285E-3</v>
      </c>
      <c r="AC1002" s="100">
        <f>IF(SamplingData[[#This Row],[Max Error Bound (up)]] = 0,0,SamplingData[[#This Row],[Max Error Bound (up)]]/SamplingData[[#Totals],[Max Error Bound (up)]])</f>
        <v>3.3920206751736405E-3</v>
      </c>
      <c r="AD1002" s="104">
        <f>SUM($AC$5:AC1002)</f>
        <v>0.72869218758412846</v>
      </c>
      <c r="AE1002" s="100" t="str" cm="1">
        <f t="array" ref="AE1002">IF(SamplingData[[#This Row],[up/U Selection Probability]] = 0, "Zero", TEXT(SamplingData[[#This Row],[Lower Range]], REPT("0",LEN('General Info'!$B$42))) &amp; " - " &amp; TEXT(SamplingData[[#This Row],[Upper Range]], REPT("0",LEN('General Info'!$B$42))))</f>
        <v>72530 - 72868</v>
      </c>
      <c r="AF1002" s="100">
        <f>SamplingData[[#This Row],[Upper Range]]-SamplingData[[#This Row],[Span]]</f>
        <v>72530.016690895471</v>
      </c>
      <c r="AG1002" s="100">
        <f>IF(ISNUMBER('General Info'!$B$42), ((SamplingData[[#This Row],[up/U Selection Probability]]) * 'General Info'!$B$44) - 1, 0)</f>
        <v>338.20206751736407</v>
      </c>
      <c r="AH1002" s="100">
        <f>IF(ISNUMBER('General Info'!$B$42), (SamplingData[[#This Row],[Running (cumulative) sum]] * ('General Info'!$B$42 -'General Info'!$B$43 + 1)) + 'General Info'!$B$43 - 1, 0)</f>
        <v>72868.218758412841</v>
      </c>
      <c r="AI1002" s="100" t="str">
        <f>IF(ISERROR(MATCH(SamplingData[[#This Row],[Batch by Type (p)]],SelectedPrecincts[Batch Name], 0)), "", INDEX(SelectedPrecincts[Draw], MATCH(SamplingData[[#This Row],[Batch by Type (p)]],SelectedPrecincts[Batch Name], 0)))</f>
        <v/>
      </c>
      <c r="AJ1002" s="101">
        <f>IF(COUNTIF(SelectedPrecincts[Batch Name],SamplingData[[#This Row],[Batch by Type (p)]]) &lt;&gt; 0, COUNTIF(SelectedPrecincts[Batch Name],SamplingData[[#This Row],[Batch by Type (p)]]), 0)</f>
        <v>0</v>
      </c>
    </row>
    <row r="1003" spans="1:36" ht="15" customHeight="1" x14ac:dyDescent="0.35">
      <c r="A1003" s="98" t="s">
        <v>1214</v>
      </c>
      <c r="B1003" s="98">
        <v>146</v>
      </c>
      <c r="C1003" s="98">
        <v>14</v>
      </c>
      <c r="D1003" s="93"/>
      <c r="E1003" s="93"/>
      <c r="F1003" s="93"/>
      <c r="G1003" s="97"/>
      <c r="H1003" s="97"/>
      <c r="I1003" s="93"/>
      <c r="J1003" s="93"/>
      <c r="K1003" s="93"/>
      <c r="L1003" s="93"/>
      <c r="M1003" s="93"/>
      <c r="N1003" s="98">
        <v>0</v>
      </c>
      <c r="O1003" s="98">
        <v>2</v>
      </c>
      <c r="P1003" s="99">
        <f>SUM(SamplingData[[#This Row],[Winning Candidate]:[Under Votes]])</f>
        <v>162</v>
      </c>
      <c r="Q1003" s="100">
        <f>IF(AND(SamplingData[[#This Row],[Total]]&lt;&gt; 0, NOT(ISBLANK(SamplingData[[#This Row],[Losing Candidate]]))),(SamplingData[[#This Row],[Total]]+SamplingData[[#This Row],[Winning Candidate]]-SamplingData[[#This Row],[Losing Candidate]])/(SamplingData[[#Totals],[Winning Candidate]]-SamplingData[[#Totals],[Losing Candidate]]), 0)</f>
        <v>9.2345384301284663E-3</v>
      </c>
      <c r="R1003" s="100">
        <f>IF(AND(SamplingData[[#This Row],[Total]]&lt;&gt; 0, NOT(ISBLANK(SamplingData[[#This Row],[Candidate 3]]))),(SamplingData[[#This Row],[Total]]+SamplingData[[#This Row],[Winning Candidate]]-SamplingData[[#This Row],[Candidate 3]])/(SamplingData[[#Totals],[Winning Candidate]]-SamplingData[[#Totals],[Candidate 3]]), 0)</f>
        <v>0</v>
      </c>
      <c r="S1003" s="100">
        <f>IF(AND(SamplingData[[#This Row],[Total]]&lt;&gt; 0, NOT(ISBLANK(SamplingData[[#This Row],[Candidate 4]]))),(SamplingData[[#This Row],[Total]]+SamplingData[[#This Row],[Winning Candidate]]-SamplingData[[#This Row],[Candidate 4]])/(SamplingData[[#Totals],[Winning Candidate]]-SamplingData[[#Totals],[Candidate 4]]), 0)</f>
        <v>0</v>
      </c>
      <c r="T1003" s="100">
        <f>IF(AND(SamplingData[[#This Row],[Total]]&lt;&gt; 0, NOT(ISBLANK(SamplingData[[#This Row],[Candidate 5]]))),(SamplingData[[#This Row],[Total]]+SamplingData[[#This Row],[Winning Candidate]]-SamplingData[[#This Row],[Candidate 5]])/(SamplingData[[#Totals],[Winning Candidate]]-SamplingData[[#Totals],[Candidate 5]]), 0)</f>
        <v>0</v>
      </c>
      <c r="U1003" s="100">
        <f>IF(AND(SamplingData[[#This Row],[Total]]&lt;&gt; 0, NOT(ISBLANK(SamplingData[[#This Row],[Candidate 6]]))),(SamplingData[[#This Row],[Total]]+SamplingData[[#This Row],[Losing Candidate]]-SamplingData[[#This Row],[Candidate 6]])/(SamplingData[[#Totals],[Winning Candidate]]-SamplingData[[#Totals],[Candidate 6]]), 0)</f>
        <v>0</v>
      </c>
      <c r="V1003" s="100">
        <f>IF(AND(SamplingData[[#This Row],[Total]]&lt;&gt; 0, NOT(ISBLANK(SamplingData[[#This Row],[Candidate 7]]))),(SamplingData[[#This Row],[Total]]+SamplingData[[#This Row],[Winning Candidate]]-SamplingData[[#This Row],[Candidate 7]])/(SamplingData[[#Totals],[Winning Candidate]]-SamplingData[[#Totals],[Candidate 7]]), 0)</f>
        <v>0</v>
      </c>
      <c r="W1003" s="100">
        <f>IF(AND(SamplingData[[#This Row],[Total]]&lt;&gt; 0, NOT(ISBLANK(SamplingData[[#This Row],[Candidate 8]]))),(SamplingData[[#This Row],[Total]]+SamplingData[[#This Row],[Winning Candidate]]-SamplingData[[#This Row],[Candidate 8]])/(SamplingData[[#Totals],[Winning Candidate]]-SamplingData[[#Totals],[Candidate 8]]), 0)</f>
        <v>0</v>
      </c>
      <c r="X10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00">
        <f>MAX(SamplingData[[#This Row],[Error Bound (up) - Max. possible relative overstatement - Losing Candidate]:[Error Bound (up) - Max. possible relative overstatement - Candidate 12]])</f>
        <v>9.2345384301284663E-3</v>
      </c>
      <c r="AC1003" s="100">
        <f>IF(SamplingData[[#This Row],[Max Error Bound (up)]] = 0,0,SamplingData[[#This Row],[Max Error Bound (up)]]/SamplingData[[#Totals],[Max Error Bound (up)]])</f>
        <v>3.957357454369247E-3</v>
      </c>
      <c r="AD1003" s="104">
        <f>SUM($AC$5:AC1003)</f>
        <v>0.73264954503849766</v>
      </c>
      <c r="AE1003" s="100" t="str" cm="1">
        <f t="array" ref="AE1003">IF(SamplingData[[#This Row],[up/U Selection Probability]] = 0, "Zero", TEXT(SamplingData[[#This Row],[Lower Range]], REPT("0",LEN('General Info'!$B$42))) &amp; " - " &amp; TEXT(SamplingData[[#This Row],[Upper Range]], REPT("0",LEN('General Info'!$B$42))))</f>
        <v>72869 - 73264</v>
      </c>
      <c r="AF1003" s="100">
        <f>SamplingData[[#This Row],[Upper Range]]-SamplingData[[#This Row],[Span]]</f>
        <v>72869.218758412841</v>
      </c>
      <c r="AG1003" s="100">
        <f>IF(ISNUMBER('General Info'!$B$42), ((SamplingData[[#This Row],[up/U Selection Probability]]) * 'General Info'!$B$44) - 1, 0)</f>
        <v>394.73574543692467</v>
      </c>
      <c r="AH1003" s="100">
        <f>IF(ISNUMBER('General Info'!$B$42), (SamplingData[[#This Row],[Running (cumulative) sum]] * ('General Info'!$B$42 -'General Info'!$B$43 + 1)) + 'General Info'!$B$43 - 1, 0)</f>
        <v>73263.95450384976</v>
      </c>
      <c r="AI1003" s="100" t="str">
        <f>IF(ISERROR(MATCH(SamplingData[[#This Row],[Batch by Type (p)]],SelectedPrecincts[Batch Name], 0)), "", INDEX(SelectedPrecincts[Draw], MATCH(SamplingData[[#This Row],[Batch by Type (p)]],SelectedPrecincts[Batch Name], 0)))</f>
        <v/>
      </c>
      <c r="AJ1003" s="101">
        <f>IF(COUNTIF(SelectedPrecincts[Batch Name],SamplingData[[#This Row],[Batch by Type (p)]]) &lt;&gt; 0, COUNTIF(SelectedPrecincts[Batch Name],SamplingData[[#This Row],[Batch by Type (p)]]), 0)</f>
        <v>0</v>
      </c>
    </row>
    <row r="1004" spans="1:36" ht="15" customHeight="1" x14ac:dyDescent="0.35">
      <c r="A1004" s="98" t="s">
        <v>1215</v>
      </c>
      <c r="B1004" s="98">
        <v>143</v>
      </c>
      <c r="C1004" s="98">
        <v>21</v>
      </c>
      <c r="D1004" s="93"/>
      <c r="E1004" s="93"/>
      <c r="F1004" s="93"/>
      <c r="G1004" s="97"/>
      <c r="H1004" s="97"/>
      <c r="I1004" s="93"/>
      <c r="J1004" s="93"/>
      <c r="K1004" s="93"/>
      <c r="L1004" s="93"/>
      <c r="M1004" s="93"/>
      <c r="N1004" s="98">
        <v>0</v>
      </c>
      <c r="O1004" s="98">
        <v>0</v>
      </c>
      <c r="P1004" s="99">
        <f>SUM(SamplingData[[#This Row],[Winning Candidate]:[Under Votes]])</f>
        <v>164</v>
      </c>
      <c r="Q1004" s="100">
        <f>IF(AND(SamplingData[[#This Row],[Total]]&lt;&gt; 0, NOT(ISBLANK(SamplingData[[#This Row],[Losing Candidate]]))),(SamplingData[[#This Row],[Total]]+SamplingData[[#This Row],[Winning Candidate]]-SamplingData[[#This Row],[Losing Candidate]])/(SamplingData[[#Totals],[Winning Candidate]]-SamplingData[[#Totals],[Losing Candidate]]), 0)</f>
        <v>8.9832584728460601E-3</v>
      </c>
      <c r="R1004" s="100">
        <f>IF(AND(SamplingData[[#This Row],[Total]]&lt;&gt; 0, NOT(ISBLANK(SamplingData[[#This Row],[Candidate 3]]))),(SamplingData[[#This Row],[Total]]+SamplingData[[#This Row],[Winning Candidate]]-SamplingData[[#This Row],[Candidate 3]])/(SamplingData[[#Totals],[Winning Candidate]]-SamplingData[[#Totals],[Candidate 3]]), 0)</f>
        <v>0</v>
      </c>
      <c r="S1004" s="100">
        <f>IF(AND(SamplingData[[#This Row],[Total]]&lt;&gt; 0, NOT(ISBLANK(SamplingData[[#This Row],[Candidate 4]]))),(SamplingData[[#This Row],[Total]]+SamplingData[[#This Row],[Winning Candidate]]-SamplingData[[#This Row],[Candidate 4]])/(SamplingData[[#Totals],[Winning Candidate]]-SamplingData[[#Totals],[Candidate 4]]), 0)</f>
        <v>0</v>
      </c>
      <c r="T1004" s="100">
        <f>IF(AND(SamplingData[[#This Row],[Total]]&lt;&gt; 0, NOT(ISBLANK(SamplingData[[#This Row],[Candidate 5]]))),(SamplingData[[#This Row],[Total]]+SamplingData[[#This Row],[Winning Candidate]]-SamplingData[[#This Row],[Candidate 5]])/(SamplingData[[#Totals],[Winning Candidate]]-SamplingData[[#Totals],[Candidate 5]]), 0)</f>
        <v>0</v>
      </c>
      <c r="U1004" s="100">
        <f>IF(AND(SamplingData[[#This Row],[Total]]&lt;&gt; 0, NOT(ISBLANK(SamplingData[[#This Row],[Candidate 6]]))),(SamplingData[[#This Row],[Total]]+SamplingData[[#This Row],[Losing Candidate]]-SamplingData[[#This Row],[Candidate 6]])/(SamplingData[[#Totals],[Winning Candidate]]-SamplingData[[#Totals],[Candidate 6]]), 0)</f>
        <v>0</v>
      </c>
      <c r="V1004" s="100">
        <f>IF(AND(SamplingData[[#This Row],[Total]]&lt;&gt; 0, NOT(ISBLANK(SamplingData[[#This Row],[Candidate 7]]))),(SamplingData[[#This Row],[Total]]+SamplingData[[#This Row],[Winning Candidate]]-SamplingData[[#This Row],[Candidate 7]])/(SamplingData[[#Totals],[Winning Candidate]]-SamplingData[[#Totals],[Candidate 7]]), 0)</f>
        <v>0</v>
      </c>
      <c r="W1004" s="100">
        <f>IF(AND(SamplingData[[#This Row],[Total]]&lt;&gt; 0, NOT(ISBLANK(SamplingData[[#This Row],[Candidate 8]]))),(SamplingData[[#This Row],[Total]]+SamplingData[[#This Row],[Winning Candidate]]-SamplingData[[#This Row],[Candidate 8]])/(SamplingData[[#Totals],[Winning Candidate]]-SamplingData[[#Totals],[Candidate 8]]), 0)</f>
        <v>0</v>
      </c>
      <c r="X10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00">
        <f>MAX(SamplingData[[#This Row],[Error Bound (up) - Max. possible relative overstatement - Losing Candidate]:[Error Bound (up) - Max. possible relative overstatement - Candidate 12]])</f>
        <v>8.9832584728460601E-3</v>
      </c>
      <c r="AC1004" s="100">
        <f>IF(SamplingData[[#This Row],[Max Error Bound (up)]] = 0,0,SamplingData[[#This Row],[Max Error Bound (up)]]/SamplingData[[#Totals],[Max Error Bound (up)]])</f>
        <v>3.849674258331989E-3</v>
      </c>
      <c r="AD1004" s="104">
        <f>SUM($AC$5:AC1004)</f>
        <v>0.7364992192968296</v>
      </c>
      <c r="AE1004" s="100" t="str" cm="1">
        <f t="array" ref="AE1004">IF(SamplingData[[#This Row],[up/U Selection Probability]] = 0, "Zero", TEXT(SamplingData[[#This Row],[Lower Range]], REPT("0",LEN('General Info'!$B$42))) &amp; " - " &amp; TEXT(SamplingData[[#This Row],[Upper Range]], REPT("0",LEN('General Info'!$B$42))))</f>
        <v>73265 - 73649</v>
      </c>
      <c r="AF1004" s="100">
        <f>SamplingData[[#This Row],[Upper Range]]-SamplingData[[#This Row],[Span]]</f>
        <v>73264.95450384976</v>
      </c>
      <c r="AG1004" s="100">
        <f>IF(ISNUMBER('General Info'!$B$42), ((SamplingData[[#This Row],[up/U Selection Probability]]) * 'General Info'!$B$44) - 1, 0)</f>
        <v>383.96742583319889</v>
      </c>
      <c r="AH1004" s="100">
        <f>IF(ISNUMBER('General Info'!$B$42), (SamplingData[[#This Row],[Running (cumulative) sum]] * ('General Info'!$B$42 -'General Info'!$B$43 + 1)) + 'General Info'!$B$43 - 1, 0)</f>
        <v>73648.921929682954</v>
      </c>
      <c r="AI1004" s="100" t="str">
        <f>IF(ISERROR(MATCH(SamplingData[[#This Row],[Batch by Type (p)]],SelectedPrecincts[Batch Name], 0)), "", INDEX(SelectedPrecincts[Draw], MATCH(SamplingData[[#This Row],[Batch by Type (p)]],SelectedPrecincts[Batch Name], 0)))</f>
        <v/>
      </c>
      <c r="AJ1004" s="101">
        <f>IF(COUNTIF(SelectedPrecincts[Batch Name],SamplingData[[#This Row],[Batch by Type (p)]]) &lt;&gt; 0, COUNTIF(SelectedPrecincts[Batch Name],SamplingData[[#This Row],[Batch by Type (p)]]), 0)</f>
        <v>0</v>
      </c>
    </row>
    <row r="1005" spans="1:36" ht="15" customHeight="1" x14ac:dyDescent="0.35">
      <c r="A1005" s="98" t="s">
        <v>1216</v>
      </c>
      <c r="B1005" s="98">
        <v>86</v>
      </c>
      <c r="C1005" s="98">
        <v>11</v>
      </c>
      <c r="D1005" s="93"/>
      <c r="E1005" s="93"/>
      <c r="F1005" s="93"/>
      <c r="G1005" s="97"/>
      <c r="H1005" s="97"/>
      <c r="I1005" s="93"/>
      <c r="J1005" s="93"/>
      <c r="K1005" s="93"/>
      <c r="L1005" s="93"/>
      <c r="M1005" s="93"/>
      <c r="N1005" s="98">
        <v>0</v>
      </c>
      <c r="O1005" s="98">
        <v>0</v>
      </c>
      <c r="P1005" s="99">
        <f>SUM(SamplingData[[#This Row],[Winning Candidate]:[Under Votes]])</f>
        <v>97</v>
      </c>
      <c r="Q1005" s="100">
        <f>IF(AND(SamplingData[[#This Row],[Total]]&lt;&gt; 0, NOT(ISBLANK(SamplingData[[#This Row],[Losing Candidate]]))),(SamplingData[[#This Row],[Total]]+SamplingData[[#This Row],[Winning Candidate]]-SamplingData[[#This Row],[Losing Candidate]])/(SamplingData[[#Totals],[Winning Candidate]]-SamplingData[[#Totals],[Losing Candidate]]), 0)</f>
        <v>5.402519081571756E-3</v>
      </c>
      <c r="R1005" s="100">
        <f>IF(AND(SamplingData[[#This Row],[Total]]&lt;&gt; 0, NOT(ISBLANK(SamplingData[[#This Row],[Candidate 3]]))),(SamplingData[[#This Row],[Total]]+SamplingData[[#This Row],[Winning Candidate]]-SamplingData[[#This Row],[Candidate 3]])/(SamplingData[[#Totals],[Winning Candidate]]-SamplingData[[#Totals],[Candidate 3]]), 0)</f>
        <v>0</v>
      </c>
      <c r="S1005" s="100">
        <f>IF(AND(SamplingData[[#This Row],[Total]]&lt;&gt; 0, NOT(ISBLANK(SamplingData[[#This Row],[Candidate 4]]))),(SamplingData[[#This Row],[Total]]+SamplingData[[#This Row],[Winning Candidate]]-SamplingData[[#This Row],[Candidate 4]])/(SamplingData[[#Totals],[Winning Candidate]]-SamplingData[[#Totals],[Candidate 4]]), 0)</f>
        <v>0</v>
      </c>
      <c r="T1005" s="100">
        <f>IF(AND(SamplingData[[#This Row],[Total]]&lt;&gt; 0, NOT(ISBLANK(SamplingData[[#This Row],[Candidate 5]]))),(SamplingData[[#This Row],[Total]]+SamplingData[[#This Row],[Winning Candidate]]-SamplingData[[#This Row],[Candidate 5]])/(SamplingData[[#Totals],[Winning Candidate]]-SamplingData[[#Totals],[Candidate 5]]), 0)</f>
        <v>0</v>
      </c>
      <c r="U1005" s="100">
        <f>IF(AND(SamplingData[[#This Row],[Total]]&lt;&gt; 0, NOT(ISBLANK(SamplingData[[#This Row],[Candidate 6]]))),(SamplingData[[#This Row],[Total]]+SamplingData[[#This Row],[Losing Candidate]]-SamplingData[[#This Row],[Candidate 6]])/(SamplingData[[#Totals],[Winning Candidate]]-SamplingData[[#Totals],[Candidate 6]]), 0)</f>
        <v>0</v>
      </c>
      <c r="V1005" s="100">
        <f>IF(AND(SamplingData[[#This Row],[Total]]&lt;&gt; 0, NOT(ISBLANK(SamplingData[[#This Row],[Candidate 7]]))),(SamplingData[[#This Row],[Total]]+SamplingData[[#This Row],[Winning Candidate]]-SamplingData[[#This Row],[Candidate 7]])/(SamplingData[[#Totals],[Winning Candidate]]-SamplingData[[#Totals],[Candidate 7]]), 0)</f>
        <v>0</v>
      </c>
      <c r="W1005" s="100">
        <f>IF(AND(SamplingData[[#This Row],[Total]]&lt;&gt; 0, NOT(ISBLANK(SamplingData[[#This Row],[Candidate 8]]))),(SamplingData[[#This Row],[Total]]+SamplingData[[#This Row],[Winning Candidate]]-SamplingData[[#This Row],[Candidate 8]])/(SamplingData[[#Totals],[Winning Candidate]]-SamplingData[[#Totals],[Candidate 8]]), 0)</f>
        <v>0</v>
      </c>
      <c r="X10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00">
        <f>MAX(SamplingData[[#This Row],[Error Bound (up) - Max. possible relative overstatement - Losing Candidate]:[Error Bound (up) - Max. possible relative overstatement - Candidate 12]])</f>
        <v>5.402519081571756E-3</v>
      </c>
      <c r="AC1005" s="100">
        <f>IF(SamplingData[[#This Row],[Max Error Bound (up)]] = 0,0,SamplingData[[#This Row],[Max Error Bound (up)]]/SamplingData[[#Totals],[Max Error Bound (up)]])</f>
        <v>2.3151887148010562E-3</v>
      </c>
      <c r="AD1005" s="104">
        <f>SUM($AC$5:AC1005)</f>
        <v>0.73881440801163067</v>
      </c>
      <c r="AE1005" s="100" t="str" cm="1">
        <f t="array" ref="AE1005">IF(SamplingData[[#This Row],[up/U Selection Probability]] = 0, "Zero", TEXT(SamplingData[[#This Row],[Lower Range]], REPT("0",LEN('General Info'!$B$42))) &amp; " - " &amp; TEXT(SamplingData[[#This Row],[Upper Range]], REPT("0",LEN('General Info'!$B$42))))</f>
        <v>73650 - 73880</v>
      </c>
      <c r="AF1005" s="100">
        <f>SamplingData[[#This Row],[Upper Range]]-SamplingData[[#This Row],[Span]]</f>
        <v>73649.921929682969</v>
      </c>
      <c r="AG1005" s="100">
        <f>IF(ISNUMBER('General Info'!$B$42), ((SamplingData[[#This Row],[up/U Selection Probability]]) * 'General Info'!$B$44) - 1, 0)</f>
        <v>230.51887148010562</v>
      </c>
      <c r="AH1005" s="100">
        <f>IF(ISNUMBER('General Info'!$B$42), (SamplingData[[#This Row],[Running (cumulative) sum]] * ('General Info'!$B$42 -'General Info'!$B$43 + 1)) + 'General Info'!$B$43 - 1, 0)</f>
        <v>73880.440801163073</v>
      </c>
      <c r="AI1005" s="100" t="str">
        <f>IF(ISERROR(MATCH(SamplingData[[#This Row],[Batch by Type (p)]],SelectedPrecincts[Batch Name], 0)), "", INDEX(SelectedPrecincts[Draw], MATCH(SamplingData[[#This Row],[Batch by Type (p)]],SelectedPrecincts[Batch Name], 0)))</f>
        <v/>
      </c>
      <c r="AJ1005" s="101">
        <f>IF(COUNTIF(SelectedPrecincts[Batch Name],SamplingData[[#This Row],[Batch by Type (p)]]) &lt;&gt; 0, COUNTIF(SelectedPrecincts[Batch Name],SamplingData[[#This Row],[Batch by Type (p)]]), 0)</f>
        <v>0</v>
      </c>
    </row>
    <row r="1006" spans="1:36" ht="15" customHeight="1" x14ac:dyDescent="0.35">
      <c r="A1006" s="98" t="s">
        <v>1217</v>
      </c>
      <c r="B1006" s="98">
        <v>78</v>
      </c>
      <c r="C1006" s="98">
        <v>12</v>
      </c>
      <c r="D1006" s="93"/>
      <c r="E1006" s="93"/>
      <c r="F1006" s="93"/>
      <c r="G1006" s="97"/>
      <c r="H1006" s="97"/>
      <c r="I1006" s="93"/>
      <c r="J1006" s="93"/>
      <c r="K1006" s="93"/>
      <c r="L1006" s="93"/>
      <c r="M1006" s="93"/>
      <c r="N1006" s="98">
        <v>0</v>
      </c>
      <c r="O1006" s="98">
        <v>0</v>
      </c>
      <c r="P1006" s="99">
        <f>SUM(SamplingData[[#This Row],[Winning Candidate]:[Under Votes]])</f>
        <v>90</v>
      </c>
      <c r="Q1006" s="100">
        <f>IF(AND(SamplingData[[#This Row],[Total]]&lt;&gt; 0, NOT(ISBLANK(SamplingData[[#This Row],[Losing Candidate]]))),(SamplingData[[#This Row],[Total]]+SamplingData[[#This Row],[Winning Candidate]]-SamplingData[[#This Row],[Losing Candidate]])/(SamplingData[[#Totals],[Winning Candidate]]-SamplingData[[#Totals],[Losing Candidate]]), 0)</f>
        <v>4.8999591670069419E-3</v>
      </c>
      <c r="R1006" s="100">
        <f>IF(AND(SamplingData[[#This Row],[Total]]&lt;&gt; 0, NOT(ISBLANK(SamplingData[[#This Row],[Candidate 3]]))),(SamplingData[[#This Row],[Total]]+SamplingData[[#This Row],[Winning Candidate]]-SamplingData[[#This Row],[Candidate 3]])/(SamplingData[[#Totals],[Winning Candidate]]-SamplingData[[#Totals],[Candidate 3]]), 0)</f>
        <v>0</v>
      </c>
      <c r="S1006" s="100">
        <f>IF(AND(SamplingData[[#This Row],[Total]]&lt;&gt; 0, NOT(ISBLANK(SamplingData[[#This Row],[Candidate 4]]))),(SamplingData[[#This Row],[Total]]+SamplingData[[#This Row],[Winning Candidate]]-SamplingData[[#This Row],[Candidate 4]])/(SamplingData[[#Totals],[Winning Candidate]]-SamplingData[[#Totals],[Candidate 4]]), 0)</f>
        <v>0</v>
      </c>
      <c r="T1006" s="100">
        <f>IF(AND(SamplingData[[#This Row],[Total]]&lt;&gt; 0, NOT(ISBLANK(SamplingData[[#This Row],[Candidate 5]]))),(SamplingData[[#This Row],[Total]]+SamplingData[[#This Row],[Winning Candidate]]-SamplingData[[#This Row],[Candidate 5]])/(SamplingData[[#Totals],[Winning Candidate]]-SamplingData[[#Totals],[Candidate 5]]), 0)</f>
        <v>0</v>
      </c>
      <c r="U1006" s="100">
        <f>IF(AND(SamplingData[[#This Row],[Total]]&lt;&gt; 0, NOT(ISBLANK(SamplingData[[#This Row],[Candidate 6]]))),(SamplingData[[#This Row],[Total]]+SamplingData[[#This Row],[Losing Candidate]]-SamplingData[[#This Row],[Candidate 6]])/(SamplingData[[#Totals],[Winning Candidate]]-SamplingData[[#Totals],[Candidate 6]]), 0)</f>
        <v>0</v>
      </c>
      <c r="V1006" s="100">
        <f>IF(AND(SamplingData[[#This Row],[Total]]&lt;&gt; 0, NOT(ISBLANK(SamplingData[[#This Row],[Candidate 7]]))),(SamplingData[[#This Row],[Total]]+SamplingData[[#This Row],[Winning Candidate]]-SamplingData[[#This Row],[Candidate 7]])/(SamplingData[[#Totals],[Winning Candidate]]-SamplingData[[#Totals],[Candidate 7]]), 0)</f>
        <v>0</v>
      </c>
      <c r="W1006" s="100">
        <f>IF(AND(SamplingData[[#This Row],[Total]]&lt;&gt; 0, NOT(ISBLANK(SamplingData[[#This Row],[Candidate 8]]))),(SamplingData[[#This Row],[Total]]+SamplingData[[#This Row],[Winning Candidate]]-SamplingData[[#This Row],[Candidate 8]])/(SamplingData[[#Totals],[Winning Candidate]]-SamplingData[[#Totals],[Candidate 8]]), 0)</f>
        <v>0</v>
      </c>
      <c r="X10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00">
        <f>MAX(SamplingData[[#This Row],[Error Bound (up) - Max. possible relative overstatement - Losing Candidate]:[Error Bound (up) - Max. possible relative overstatement - Candidate 12]])</f>
        <v>4.8999591670069419E-3</v>
      </c>
      <c r="AC1006" s="100">
        <f>IF(SamplingData[[#This Row],[Max Error Bound (up)]] = 0,0,SamplingData[[#This Row],[Max Error Bound (up)]]/SamplingData[[#Totals],[Max Error Bound (up)]])</f>
        <v>2.0998223227265394E-3</v>
      </c>
      <c r="AD1006" s="104">
        <f>SUM($AC$5:AC1006)</f>
        <v>0.74091423033435722</v>
      </c>
      <c r="AE1006" s="100" t="str" cm="1">
        <f t="array" ref="AE1006">IF(SamplingData[[#This Row],[up/U Selection Probability]] = 0, "Zero", TEXT(SamplingData[[#This Row],[Lower Range]], REPT("0",LEN('General Info'!$B$42))) &amp; " - " &amp; TEXT(SamplingData[[#This Row],[Upper Range]], REPT("0",LEN('General Info'!$B$42))))</f>
        <v>73881 - 74090</v>
      </c>
      <c r="AF1006" s="100">
        <f>SamplingData[[#This Row],[Upper Range]]-SamplingData[[#This Row],[Span]]</f>
        <v>73881.440801163073</v>
      </c>
      <c r="AG1006" s="100">
        <f>IF(ISNUMBER('General Info'!$B$42), ((SamplingData[[#This Row],[up/U Selection Probability]]) * 'General Info'!$B$44) - 1, 0)</f>
        <v>208.98223227265393</v>
      </c>
      <c r="AH1006" s="100">
        <f>IF(ISNUMBER('General Info'!$B$42), (SamplingData[[#This Row],[Running (cumulative) sum]] * ('General Info'!$B$42 -'General Info'!$B$43 + 1)) + 'General Info'!$B$43 - 1, 0)</f>
        <v>74090.423033435727</v>
      </c>
      <c r="AI1006" s="100" t="str">
        <f>IF(ISERROR(MATCH(SamplingData[[#This Row],[Batch by Type (p)]],SelectedPrecincts[Batch Name], 0)), "", INDEX(SelectedPrecincts[Draw], MATCH(SamplingData[[#This Row],[Batch by Type (p)]],SelectedPrecincts[Batch Name], 0)))</f>
        <v/>
      </c>
      <c r="AJ1006" s="101">
        <f>IF(COUNTIF(SelectedPrecincts[Batch Name],SamplingData[[#This Row],[Batch by Type (p)]]) &lt;&gt; 0, COUNTIF(SelectedPrecincts[Batch Name],SamplingData[[#This Row],[Batch by Type (p)]]), 0)</f>
        <v>0</v>
      </c>
    </row>
    <row r="1007" spans="1:36" ht="15" customHeight="1" x14ac:dyDescent="0.35">
      <c r="A1007" s="98" t="s">
        <v>1218</v>
      </c>
      <c r="B1007" s="98">
        <v>92</v>
      </c>
      <c r="C1007" s="98">
        <v>12</v>
      </c>
      <c r="D1007" s="93"/>
      <c r="E1007" s="93"/>
      <c r="F1007" s="93"/>
      <c r="G1007" s="97"/>
      <c r="H1007" s="97"/>
      <c r="I1007" s="93"/>
      <c r="J1007" s="93"/>
      <c r="K1007" s="93"/>
      <c r="L1007" s="93"/>
      <c r="M1007" s="93"/>
      <c r="N1007" s="98">
        <v>0</v>
      </c>
      <c r="O1007" s="98">
        <v>3</v>
      </c>
      <c r="P1007" s="99">
        <f>SUM(SamplingData[[#This Row],[Winning Candidate]:[Under Votes]])</f>
        <v>107</v>
      </c>
      <c r="Q1007" s="100">
        <f>IF(AND(SamplingData[[#This Row],[Total]]&lt;&gt; 0, NOT(ISBLANK(SamplingData[[#This Row],[Losing Candidate]]))),(SamplingData[[#This Row],[Total]]+SamplingData[[#This Row],[Winning Candidate]]-SamplingData[[#This Row],[Losing Candidate]])/(SamplingData[[#Totals],[Winning Candidate]]-SamplingData[[#Totals],[Losing Candidate]]), 0)</f>
        <v>5.8736690014762694E-3</v>
      </c>
      <c r="R1007" s="100">
        <f>IF(AND(SamplingData[[#This Row],[Total]]&lt;&gt; 0, NOT(ISBLANK(SamplingData[[#This Row],[Candidate 3]]))),(SamplingData[[#This Row],[Total]]+SamplingData[[#This Row],[Winning Candidate]]-SamplingData[[#This Row],[Candidate 3]])/(SamplingData[[#Totals],[Winning Candidate]]-SamplingData[[#Totals],[Candidate 3]]), 0)</f>
        <v>0</v>
      </c>
      <c r="S1007" s="100">
        <f>IF(AND(SamplingData[[#This Row],[Total]]&lt;&gt; 0, NOT(ISBLANK(SamplingData[[#This Row],[Candidate 4]]))),(SamplingData[[#This Row],[Total]]+SamplingData[[#This Row],[Winning Candidate]]-SamplingData[[#This Row],[Candidate 4]])/(SamplingData[[#Totals],[Winning Candidate]]-SamplingData[[#Totals],[Candidate 4]]), 0)</f>
        <v>0</v>
      </c>
      <c r="T1007" s="100">
        <f>IF(AND(SamplingData[[#This Row],[Total]]&lt;&gt; 0, NOT(ISBLANK(SamplingData[[#This Row],[Candidate 5]]))),(SamplingData[[#This Row],[Total]]+SamplingData[[#This Row],[Winning Candidate]]-SamplingData[[#This Row],[Candidate 5]])/(SamplingData[[#Totals],[Winning Candidate]]-SamplingData[[#Totals],[Candidate 5]]), 0)</f>
        <v>0</v>
      </c>
      <c r="U1007" s="100">
        <f>IF(AND(SamplingData[[#This Row],[Total]]&lt;&gt; 0, NOT(ISBLANK(SamplingData[[#This Row],[Candidate 6]]))),(SamplingData[[#This Row],[Total]]+SamplingData[[#This Row],[Losing Candidate]]-SamplingData[[#This Row],[Candidate 6]])/(SamplingData[[#Totals],[Winning Candidate]]-SamplingData[[#Totals],[Candidate 6]]), 0)</f>
        <v>0</v>
      </c>
      <c r="V1007" s="100">
        <f>IF(AND(SamplingData[[#This Row],[Total]]&lt;&gt; 0, NOT(ISBLANK(SamplingData[[#This Row],[Candidate 7]]))),(SamplingData[[#This Row],[Total]]+SamplingData[[#This Row],[Winning Candidate]]-SamplingData[[#This Row],[Candidate 7]])/(SamplingData[[#Totals],[Winning Candidate]]-SamplingData[[#Totals],[Candidate 7]]), 0)</f>
        <v>0</v>
      </c>
      <c r="W1007" s="100">
        <f>IF(AND(SamplingData[[#This Row],[Total]]&lt;&gt; 0, NOT(ISBLANK(SamplingData[[#This Row],[Candidate 8]]))),(SamplingData[[#This Row],[Total]]+SamplingData[[#This Row],[Winning Candidate]]-SamplingData[[#This Row],[Candidate 8]])/(SamplingData[[#Totals],[Winning Candidate]]-SamplingData[[#Totals],[Candidate 8]]), 0)</f>
        <v>0</v>
      </c>
      <c r="X10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00">
        <f>MAX(SamplingData[[#This Row],[Error Bound (up) - Max. possible relative overstatement - Losing Candidate]:[Error Bound (up) - Max. possible relative overstatement - Candidate 12]])</f>
        <v>5.8736690014762694E-3</v>
      </c>
      <c r="AC1007" s="100">
        <f>IF(SamplingData[[#This Row],[Max Error Bound (up)]] = 0,0,SamplingData[[#This Row],[Max Error Bound (up)]]/SamplingData[[#Totals],[Max Error Bound (up)]])</f>
        <v>2.5170947073709154E-3</v>
      </c>
      <c r="AD1007" s="104">
        <f>SUM($AC$5:AC1007)</f>
        <v>0.74343132504172815</v>
      </c>
      <c r="AE1007" s="100" t="str" cm="1">
        <f t="array" ref="AE1007">IF(SamplingData[[#This Row],[up/U Selection Probability]] = 0, "Zero", TEXT(SamplingData[[#This Row],[Lower Range]], REPT("0",LEN('General Info'!$B$42))) &amp; " - " &amp; TEXT(SamplingData[[#This Row],[Upper Range]], REPT("0",LEN('General Info'!$B$42))))</f>
        <v>74091 - 74342</v>
      </c>
      <c r="AF1007" s="100">
        <f>SamplingData[[#This Row],[Upper Range]]-SamplingData[[#This Row],[Span]]</f>
        <v>74091.423033435727</v>
      </c>
      <c r="AG1007" s="100">
        <f>IF(ISNUMBER('General Info'!$B$42), ((SamplingData[[#This Row],[up/U Selection Probability]]) * 'General Info'!$B$44) - 1, 0)</f>
        <v>250.70947073709155</v>
      </c>
      <c r="AH1007" s="100">
        <f>IF(ISNUMBER('General Info'!$B$42), (SamplingData[[#This Row],[Running (cumulative) sum]] * ('General Info'!$B$42 -'General Info'!$B$43 + 1)) + 'General Info'!$B$43 - 1, 0)</f>
        <v>74342.132504172812</v>
      </c>
      <c r="AI1007" s="100" t="str">
        <f>IF(ISERROR(MATCH(SamplingData[[#This Row],[Batch by Type (p)]],SelectedPrecincts[Batch Name], 0)), "", INDEX(SelectedPrecincts[Draw], MATCH(SamplingData[[#This Row],[Batch by Type (p)]],SelectedPrecincts[Batch Name], 0)))</f>
        <v/>
      </c>
      <c r="AJ1007" s="101">
        <f>IF(COUNTIF(SelectedPrecincts[Batch Name],SamplingData[[#This Row],[Batch by Type (p)]]) &lt;&gt; 0, COUNTIF(SelectedPrecincts[Batch Name],SamplingData[[#This Row],[Batch by Type (p)]]), 0)</f>
        <v>0</v>
      </c>
    </row>
    <row r="1008" spans="1:36" ht="15" customHeight="1" x14ac:dyDescent="0.35">
      <c r="A1008" s="98" t="s">
        <v>1219</v>
      </c>
      <c r="B1008" s="98">
        <v>114</v>
      </c>
      <c r="C1008" s="98">
        <v>4</v>
      </c>
      <c r="D1008" s="93"/>
      <c r="E1008" s="93"/>
      <c r="F1008" s="93"/>
      <c r="G1008" s="97"/>
      <c r="H1008" s="97"/>
      <c r="I1008" s="93"/>
      <c r="J1008" s="93"/>
      <c r="K1008" s="93"/>
      <c r="L1008" s="93"/>
      <c r="M1008" s="93"/>
      <c r="N1008" s="98">
        <v>0</v>
      </c>
      <c r="O1008" s="98">
        <v>3</v>
      </c>
      <c r="P1008" s="99">
        <f>SUM(SamplingData[[#This Row],[Winning Candidate]:[Under Votes]])</f>
        <v>121</v>
      </c>
      <c r="Q1008" s="100">
        <f>IF(AND(SamplingData[[#This Row],[Total]]&lt;&gt; 0, NOT(ISBLANK(SamplingData[[#This Row],[Losing Candidate]]))),(SamplingData[[#This Row],[Total]]+SamplingData[[#This Row],[Winning Candidate]]-SamplingData[[#This Row],[Losing Candidate]])/(SamplingData[[#Totals],[Winning Candidate]]-SamplingData[[#Totals],[Losing Candidate]]), 0)</f>
        <v>7.2557087665295096E-3</v>
      </c>
      <c r="R1008" s="100">
        <f>IF(AND(SamplingData[[#This Row],[Total]]&lt;&gt; 0, NOT(ISBLANK(SamplingData[[#This Row],[Candidate 3]]))),(SamplingData[[#This Row],[Total]]+SamplingData[[#This Row],[Winning Candidate]]-SamplingData[[#This Row],[Candidate 3]])/(SamplingData[[#Totals],[Winning Candidate]]-SamplingData[[#Totals],[Candidate 3]]), 0)</f>
        <v>0</v>
      </c>
      <c r="S1008" s="100">
        <f>IF(AND(SamplingData[[#This Row],[Total]]&lt;&gt; 0, NOT(ISBLANK(SamplingData[[#This Row],[Candidate 4]]))),(SamplingData[[#This Row],[Total]]+SamplingData[[#This Row],[Winning Candidate]]-SamplingData[[#This Row],[Candidate 4]])/(SamplingData[[#Totals],[Winning Candidate]]-SamplingData[[#Totals],[Candidate 4]]), 0)</f>
        <v>0</v>
      </c>
      <c r="T1008" s="100">
        <f>IF(AND(SamplingData[[#This Row],[Total]]&lt;&gt; 0, NOT(ISBLANK(SamplingData[[#This Row],[Candidate 5]]))),(SamplingData[[#This Row],[Total]]+SamplingData[[#This Row],[Winning Candidate]]-SamplingData[[#This Row],[Candidate 5]])/(SamplingData[[#Totals],[Winning Candidate]]-SamplingData[[#Totals],[Candidate 5]]), 0)</f>
        <v>0</v>
      </c>
      <c r="U1008" s="100">
        <f>IF(AND(SamplingData[[#This Row],[Total]]&lt;&gt; 0, NOT(ISBLANK(SamplingData[[#This Row],[Candidate 6]]))),(SamplingData[[#This Row],[Total]]+SamplingData[[#This Row],[Losing Candidate]]-SamplingData[[#This Row],[Candidate 6]])/(SamplingData[[#Totals],[Winning Candidate]]-SamplingData[[#Totals],[Candidate 6]]), 0)</f>
        <v>0</v>
      </c>
      <c r="V1008" s="100">
        <f>IF(AND(SamplingData[[#This Row],[Total]]&lt;&gt; 0, NOT(ISBLANK(SamplingData[[#This Row],[Candidate 7]]))),(SamplingData[[#This Row],[Total]]+SamplingData[[#This Row],[Winning Candidate]]-SamplingData[[#This Row],[Candidate 7]])/(SamplingData[[#Totals],[Winning Candidate]]-SamplingData[[#Totals],[Candidate 7]]), 0)</f>
        <v>0</v>
      </c>
      <c r="W1008" s="100">
        <f>IF(AND(SamplingData[[#This Row],[Total]]&lt;&gt; 0, NOT(ISBLANK(SamplingData[[#This Row],[Candidate 8]]))),(SamplingData[[#This Row],[Total]]+SamplingData[[#This Row],[Winning Candidate]]-SamplingData[[#This Row],[Candidate 8]])/(SamplingData[[#Totals],[Winning Candidate]]-SamplingData[[#Totals],[Candidate 8]]), 0)</f>
        <v>0</v>
      </c>
      <c r="X10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00">
        <f>MAX(SamplingData[[#This Row],[Error Bound (up) - Max. possible relative overstatement - Losing Candidate]:[Error Bound (up) - Max. possible relative overstatement - Candidate 12]])</f>
        <v>7.2557087665295096E-3</v>
      </c>
      <c r="AC1008" s="100">
        <f>IF(SamplingData[[#This Row],[Max Error Bound (up)]] = 0,0,SamplingData[[#This Row],[Max Error Bound (up)]]/SamplingData[[#Totals],[Max Error Bound (up)]])</f>
        <v>3.109352285575837E-3</v>
      </c>
      <c r="AD1008" s="104">
        <f>SUM($AC$5:AC1008)</f>
        <v>0.746540677327304</v>
      </c>
      <c r="AE1008" s="100" t="str" cm="1">
        <f t="array" ref="AE1008">IF(SamplingData[[#This Row],[up/U Selection Probability]] = 0, "Zero", TEXT(SamplingData[[#This Row],[Lower Range]], REPT("0",LEN('General Info'!$B$42))) &amp; " - " &amp; TEXT(SamplingData[[#This Row],[Upper Range]], REPT("0",LEN('General Info'!$B$42))))</f>
        <v>74343 - 74653</v>
      </c>
      <c r="AF1008" s="100">
        <f>SamplingData[[#This Row],[Upper Range]]-SamplingData[[#This Row],[Span]]</f>
        <v>74343.132504172812</v>
      </c>
      <c r="AG1008" s="100">
        <f>IF(ISNUMBER('General Info'!$B$42), ((SamplingData[[#This Row],[up/U Selection Probability]]) * 'General Info'!$B$44) - 1, 0)</f>
        <v>309.93522855758368</v>
      </c>
      <c r="AH1008" s="100">
        <f>IF(ISNUMBER('General Info'!$B$42), (SamplingData[[#This Row],[Running (cumulative) sum]] * ('General Info'!$B$42 -'General Info'!$B$43 + 1)) + 'General Info'!$B$43 - 1, 0)</f>
        <v>74653.0677327304</v>
      </c>
      <c r="AI1008" s="100" t="str">
        <f>IF(ISERROR(MATCH(SamplingData[[#This Row],[Batch by Type (p)]],SelectedPrecincts[Batch Name], 0)), "", INDEX(SelectedPrecincts[Draw], MATCH(SamplingData[[#This Row],[Batch by Type (p)]],SelectedPrecincts[Batch Name], 0)))</f>
        <v/>
      </c>
      <c r="AJ1008" s="101">
        <f>IF(COUNTIF(SelectedPrecincts[Batch Name],SamplingData[[#This Row],[Batch by Type (p)]]) &lt;&gt; 0, COUNTIF(SelectedPrecincts[Batch Name],SamplingData[[#This Row],[Batch by Type (p)]]), 0)</f>
        <v>0</v>
      </c>
    </row>
    <row r="1009" spans="1:36" ht="15" customHeight="1" x14ac:dyDescent="0.35">
      <c r="A1009" s="98" t="s">
        <v>1220</v>
      </c>
      <c r="B1009" s="98">
        <v>165</v>
      </c>
      <c r="C1009" s="98">
        <v>22</v>
      </c>
      <c r="D1009" s="93"/>
      <c r="E1009" s="93"/>
      <c r="F1009" s="93"/>
      <c r="G1009" s="97"/>
      <c r="H1009" s="97"/>
      <c r="I1009" s="93"/>
      <c r="J1009" s="93"/>
      <c r="K1009" s="93"/>
      <c r="L1009" s="93"/>
      <c r="M1009" s="93"/>
      <c r="N1009" s="98">
        <v>0</v>
      </c>
      <c r="O1009" s="98">
        <v>2</v>
      </c>
      <c r="P1009" s="99">
        <f>SUM(SamplingData[[#This Row],[Winning Candidate]:[Under Votes]])</f>
        <v>189</v>
      </c>
      <c r="Q1009" s="100">
        <f>IF(AND(SamplingData[[#This Row],[Total]]&lt;&gt; 0, NOT(ISBLANK(SamplingData[[#This Row],[Losing Candidate]]))),(SamplingData[[#This Row],[Total]]+SamplingData[[#This Row],[Winning Candidate]]-SamplingData[[#This Row],[Losing Candidate]])/(SamplingData[[#Totals],[Winning Candidate]]-SamplingData[[#Totals],[Losing Candidate]]), 0)</f>
        <v>1.0428118227219901E-2</v>
      </c>
      <c r="R1009" s="100">
        <f>IF(AND(SamplingData[[#This Row],[Total]]&lt;&gt; 0, NOT(ISBLANK(SamplingData[[#This Row],[Candidate 3]]))),(SamplingData[[#This Row],[Total]]+SamplingData[[#This Row],[Winning Candidate]]-SamplingData[[#This Row],[Candidate 3]])/(SamplingData[[#Totals],[Winning Candidate]]-SamplingData[[#Totals],[Candidate 3]]), 0)</f>
        <v>0</v>
      </c>
      <c r="S1009" s="100">
        <f>IF(AND(SamplingData[[#This Row],[Total]]&lt;&gt; 0, NOT(ISBLANK(SamplingData[[#This Row],[Candidate 4]]))),(SamplingData[[#This Row],[Total]]+SamplingData[[#This Row],[Winning Candidate]]-SamplingData[[#This Row],[Candidate 4]])/(SamplingData[[#Totals],[Winning Candidate]]-SamplingData[[#Totals],[Candidate 4]]), 0)</f>
        <v>0</v>
      </c>
      <c r="T1009" s="100">
        <f>IF(AND(SamplingData[[#This Row],[Total]]&lt;&gt; 0, NOT(ISBLANK(SamplingData[[#This Row],[Candidate 5]]))),(SamplingData[[#This Row],[Total]]+SamplingData[[#This Row],[Winning Candidate]]-SamplingData[[#This Row],[Candidate 5]])/(SamplingData[[#Totals],[Winning Candidate]]-SamplingData[[#Totals],[Candidate 5]]), 0)</f>
        <v>0</v>
      </c>
      <c r="U1009" s="100">
        <f>IF(AND(SamplingData[[#This Row],[Total]]&lt;&gt; 0, NOT(ISBLANK(SamplingData[[#This Row],[Candidate 6]]))),(SamplingData[[#This Row],[Total]]+SamplingData[[#This Row],[Losing Candidate]]-SamplingData[[#This Row],[Candidate 6]])/(SamplingData[[#Totals],[Winning Candidate]]-SamplingData[[#Totals],[Candidate 6]]), 0)</f>
        <v>0</v>
      </c>
      <c r="V1009" s="100">
        <f>IF(AND(SamplingData[[#This Row],[Total]]&lt;&gt; 0, NOT(ISBLANK(SamplingData[[#This Row],[Candidate 7]]))),(SamplingData[[#This Row],[Total]]+SamplingData[[#This Row],[Winning Candidate]]-SamplingData[[#This Row],[Candidate 7]])/(SamplingData[[#Totals],[Winning Candidate]]-SamplingData[[#Totals],[Candidate 7]]), 0)</f>
        <v>0</v>
      </c>
      <c r="W1009" s="100">
        <f>IF(AND(SamplingData[[#This Row],[Total]]&lt;&gt; 0, NOT(ISBLANK(SamplingData[[#This Row],[Candidate 8]]))),(SamplingData[[#This Row],[Total]]+SamplingData[[#This Row],[Winning Candidate]]-SamplingData[[#This Row],[Candidate 8]])/(SamplingData[[#Totals],[Winning Candidate]]-SamplingData[[#Totals],[Candidate 8]]), 0)</f>
        <v>0</v>
      </c>
      <c r="X10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00">
        <f>MAX(SamplingData[[#This Row],[Error Bound (up) - Max. possible relative overstatement - Losing Candidate]:[Error Bound (up) - Max. possible relative overstatement - Candidate 12]])</f>
        <v>1.0428118227219901E-2</v>
      </c>
      <c r="AC1009" s="100">
        <f>IF(SamplingData[[#This Row],[Max Error Bound (up)]] = 0,0,SamplingData[[#This Row],[Max Error Bound (up)]]/SamplingData[[#Totals],[Max Error Bound (up)]])</f>
        <v>4.4688526355462247E-3</v>
      </c>
      <c r="AD1009" s="104">
        <f>SUM($AC$5:AC1009)</f>
        <v>0.7510095299628502</v>
      </c>
      <c r="AE1009" s="100" t="str" cm="1">
        <f t="array" ref="AE1009">IF(SamplingData[[#This Row],[up/U Selection Probability]] = 0, "Zero", TEXT(SamplingData[[#This Row],[Lower Range]], REPT("0",LEN('General Info'!$B$42))) &amp; " - " &amp; TEXT(SamplingData[[#This Row],[Upper Range]], REPT("0",LEN('General Info'!$B$42))))</f>
        <v>74654 - 75100</v>
      </c>
      <c r="AF1009" s="100">
        <f>SamplingData[[#This Row],[Upper Range]]-SamplingData[[#This Row],[Span]]</f>
        <v>74654.0677327304</v>
      </c>
      <c r="AG1009" s="100">
        <f>IF(ISNUMBER('General Info'!$B$42), ((SamplingData[[#This Row],[up/U Selection Probability]]) * 'General Info'!$B$44) - 1, 0)</f>
        <v>445.8852635546225</v>
      </c>
      <c r="AH1009" s="100">
        <f>IF(ISNUMBER('General Info'!$B$42), (SamplingData[[#This Row],[Running (cumulative) sum]] * ('General Info'!$B$42 -'General Info'!$B$43 + 1)) + 'General Info'!$B$43 - 1, 0)</f>
        <v>75099.952996285021</v>
      </c>
      <c r="AI1009" s="100" t="str">
        <f>IF(ISERROR(MATCH(SamplingData[[#This Row],[Batch by Type (p)]],SelectedPrecincts[Batch Name], 0)), "", INDEX(SelectedPrecincts[Draw], MATCH(SamplingData[[#This Row],[Batch by Type (p)]],SelectedPrecincts[Batch Name], 0)))</f>
        <v/>
      </c>
      <c r="AJ1009" s="101">
        <f>IF(COUNTIF(SelectedPrecincts[Batch Name],SamplingData[[#This Row],[Batch by Type (p)]]) &lt;&gt; 0, COUNTIF(SelectedPrecincts[Batch Name],SamplingData[[#This Row],[Batch by Type (p)]]), 0)</f>
        <v>0</v>
      </c>
    </row>
    <row r="1010" spans="1:36" ht="15" customHeight="1" x14ac:dyDescent="0.35">
      <c r="A1010" s="98" t="s">
        <v>1221</v>
      </c>
      <c r="B1010" s="98">
        <v>94</v>
      </c>
      <c r="C1010" s="98">
        <v>10</v>
      </c>
      <c r="D1010" s="93"/>
      <c r="E1010" s="93"/>
      <c r="F1010" s="93"/>
      <c r="G1010" s="97"/>
      <c r="H1010" s="97"/>
      <c r="I1010" s="93"/>
      <c r="J1010" s="93"/>
      <c r="K1010" s="93"/>
      <c r="L1010" s="93"/>
      <c r="M1010" s="93"/>
      <c r="N1010" s="98">
        <v>0</v>
      </c>
      <c r="O1010" s="98">
        <v>4</v>
      </c>
      <c r="P1010" s="99">
        <f>SUM(SamplingData[[#This Row],[Winning Candidate]:[Under Votes]])</f>
        <v>108</v>
      </c>
      <c r="Q1010" s="100">
        <f>IF(AND(SamplingData[[#This Row],[Total]]&lt;&gt; 0, NOT(ISBLANK(SamplingData[[#This Row],[Losing Candidate]]))),(SamplingData[[#This Row],[Total]]+SamplingData[[#This Row],[Winning Candidate]]-SamplingData[[#This Row],[Losing Candidate]])/(SamplingData[[#Totals],[Winning Candidate]]-SamplingData[[#Totals],[Losing Candidate]]), 0)</f>
        <v>6.0307189747777741E-3</v>
      </c>
      <c r="R1010" s="100">
        <f>IF(AND(SamplingData[[#This Row],[Total]]&lt;&gt; 0, NOT(ISBLANK(SamplingData[[#This Row],[Candidate 3]]))),(SamplingData[[#This Row],[Total]]+SamplingData[[#This Row],[Winning Candidate]]-SamplingData[[#This Row],[Candidate 3]])/(SamplingData[[#Totals],[Winning Candidate]]-SamplingData[[#Totals],[Candidate 3]]), 0)</f>
        <v>0</v>
      </c>
      <c r="S1010" s="100">
        <f>IF(AND(SamplingData[[#This Row],[Total]]&lt;&gt; 0, NOT(ISBLANK(SamplingData[[#This Row],[Candidate 4]]))),(SamplingData[[#This Row],[Total]]+SamplingData[[#This Row],[Winning Candidate]]-SamplingData[[#This Row],[Candidate 4]])/(SamplingData[[#Totals],[Winning Candidate]]-SamplingData[[#Totals],[Candidate 4]]), 0)</f>
        <v>0</v>
      </c>
      <c r="T1010" s="100">
        <f>IF(AND(SamplingData[[#This Row],[Total]]&lt;&gt; 0, NOT(ISBLANK(SamplingData[[#This Row],[Candidate 5]]))),(SamplingData[[#This Row],[Total]]+SamplingData[[#This Row],[Winning Candidate]]-SamplingData[[#This Row],[Candidate 5]])/(SamplingData[[#Totals],[Winning Candidate]]-SamplingData[[#Totals],[Candidate 5]]), 0)</f>
        <v>0</v>
      </c>
      <c r="U1010" s="100">
        <f>IF(AND(SamplingData[[#This Row],[Total]]&lt;&gt; 0, NOT(ISBLANK(SamplingData[[#This Row],[Candidate 6]]))),(SamplingData[[#This Row],[Total]]+SamplingData[[#This Row],[Losing Candidate]]-SamplingData[[#This Row],[Candidate 6]])/(SamplingData[[#Totals],[Winning Candidate]]-SamplingData[[#Totals],[Candidate 6]]), 0)</f>
        <v>0</v>
      </c>
      <c r="V1010" s="100">
        <f>IF(AND(SamplingData[[#This Row],[Total]]&lt;&gt; 0, NOT(ISBLANK(SamplingData[[#This Row],[Candidate 7]]))),(SamplingData[[#This Row],[Total]]+SamplingData[[#This Row],[Winning Candidate]]-SamplingData[[#This Row],[Candidate 7]])/(SamplingData[[#Totals],[Winning Candidate]]-SamplingData[[#Totals],[Candidate 7]]), 0)</f>
        <v>0</v>
      </c>
      <c r="W1010" s="100">
        <f>IF(AND(SamplingData[[#This Row],[Total]]&lt;&gt; 0, NOT(ISBLANK(SamplingData[[#This Row],[Candidate 8]]))),(SamplingData[[#This Row],[Total]]+SamplingData[[#This Row],[Winning Candidate]]-SamplingData[[#This Row],[Candidate 8]])/(SamplingData[[#Totals],[Winning Candidate]]-SamplingData[[#Totals],[Candidate 8]]), 0)</f>
        <v>0</v>
      </c>
      <c r="X10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00">
        <f>MAX(SamplingData[[#This Row],[Error Bound (up) - Max. possible relative overstatement - Losing Candidate]:[Error Bound (up) - Max. possible relative overstatement - Candidate 12]])</f>
        <v>6.0307189747777741E-3</v>
      </c>
      <c r="AC1010" s="100">
        <f>IF(SamplingData[[#This Row],[Max Error Bound (up)]] = 0,0,SamplingData[[#This Row],[Max Error Bound (up)]]/SamplingData[[#Totals],[Max Error Bound (up)]])</f>
        <v>2.5843967048942021E-3</v>
      </c>
      <c r="AD1010" s="104">
        <f>SUM($AC$5:AC1010)</f>
        <v>0.75359392666774438</v>
      </c>
      <c r="AE1010" s="100" t="str" cm="1">
        <f t="array" ref="AE1010">IF(SamplingData[[#This Row],[up/U Selection Probability]] = 0, "Zero", TEXT(SamplingData[[#This Row],[Lower Range]], REPT("0",LEN('General Info'!$B$42))) &amp; " - " &amp; TEXT(SamplingData[[#This Row],[Upper Range]], REPT("0",LEN('General Info'!$B$42))))</f>
        <v>75101 - 75358</v>
      </c>
      <c r="AF1010" s="100">
        <f>SamplingData[[#This Row],[Upper Range]]-SamplingData[[#This Row],[Span]]</f>
        <v>75100.952996285021</v>
      </c>
      <c r="AG1010" s="100">
        <f>IF(ISNUMBER('General Info'!$B$42), ((SamplingData[[#This Row],[up/U Selection Probability]]) * 'General Info'!$B$44) - 1, 0)</f>
        <v>257.43967048942022</v>
      </c>
      <c r="AH1010" s="100">
        <f>IF(ISNUMBER('General Info'!$B$42), (SamplingData[[#This Row],[Running (cumulative) sum]] * ('General Info'!$B$42 -'General Info'!$B$43 + 1)) + 'General Info'!$B$43 - 1, 0)</f>
        <v>75358.392666774438</v>
      </c>
      <c r="AI1010" s="100" t="str">
        <f>IF(ISERROR(MATCH(SamplingData[[#This Row],[Batch by Type (p)]],SelectedPrecincts[Batch Name], 0)), "", INDEX(SelectedPrecincts[Draw], MATCH(SamplingData[[#This Row],[Batch by Type (p)]],SelectedPrecincts[Batch Name], 0)))</f>
        <v/>
      </c>
      <c r="AJ1010" s="101">
        <f>IF(COUNTIF(SelectedPrecincts[Batch Name],SamplingData[[#This Row],[Batch by Type (p)]]) &lt;&gt; 0, COUNTIF(SelectedPrecincts[Batch Name],SamplingData[[#This Row],[Batch by Type (p)]]), 0)</f>
        <v>0</v>
      </c>
    </row>
    <row r="1011" spans="1:36" ht="15" customHeight="1" x14ac:dyDescent="0.35">
      <c r="A1011" s="98" t="s">
        <v>1222</v>
      </c>
      <c r="B1011" s="98">
        <v>65</v>
      </c>
      <c r="C1011" s="98">
        <v>11</v>
      </c>
      <c r="D1011" s="93"/>
      <c r="E1011" s="93"/>
      <c r="F1011" s="93"/>
      <c r="G1011" s="97"/>
      <c r="H1011" s="97"/>
      <c r="I1011" s="93"/>
      <c r="J1011" s="93"/>
      <c r="K1011" s="93"/>
      <c r="L1011" s="93"/>
      <c r="M1011" s="93"/>
      <c r="N1011" s="98">
        <v>0</v>
      </c>
      <c r="O1011" s="98">
        <v>0</v>
      </c>
      <c r="P1011" s="99">
        <f>SUM(SamplingData[[#This Row],[Winning Candidate]:[Under Votes]])</f>
        <v>76</v>
      </c>
      <c r="Q1011" s="100">
        <f>IF(AND(SamplingData[[#This Row],[Total]]&lt;&gt; 0, NOT(ISBLANK(SamplingData[[#This Row],[Losing Candidate]]))),(SamplingData[[#This Row],[Total]]+SamplingData[[#This Row],[Winning Candidate]]-SamplingData[[#This Row],[Losing Candidate]])/(SamplingData[[#Totals],[Winning Candidate]]-SamplingData[[#Totals],[Losing Candidate]]), 0)</f>
        <v>4.0832993058391182E-3</v>
      </c>
      <c r="R1011" s="100">
        <f>IF(AND(SamplingData[[#This Row],[Total]]&lt;&gt; 0, NOT(ISBLANK(SamplingData[[#This Row],[Candidate 3]]))),(SamplingData[[#This Row],[Total]]+SamplingData[[#This Row],[Winning Candidate]]-SamplingData[[#This Row],[Candidate 3]])/(SamplingData[[#Totals],[Winning Candidate]]-SamplingData[[#Totals],[Candidate 3]]), 0)</f>
        <v>0</v>
      </c>
      <c r="S1011" s="100">
        <f>IF(AND(SamplingData[[#This Row],[Total]]&lt;&gt; 0, NOT(ISBLANK(SamplingData[[#This Row],[Candidate 4]]))),(SamplingData[[#This Row],[Total]]+SamplingData[[#This Row],[Winning Candidate]]-SamplingData[[#This Row],[Candidate 4]])/(SamplingData[[#Totals],[Winning Candidate]]-SamplingData[[#Totals],[Candidate 4]]), 0)</f>
        <v>0</v>
      </c>
      <c r="T1011" s="100">
        <f>IF(AND(SamplingData[[#This Row],[Total]]&lt;&gt; 0, NOT(ISBLANK(SamplingData[[#This Row],[Candidate 5]]))),(SamplingData[[#This Row],[Total]]+SamplingData[[#This Row],[Winning Candidate]]-SamplingData[[#This Row],[Candidate 5]])/(SamplingData[[#Totals],[Winning Candidate]]-SamplingData[[#Totals],[Candidate 5]]), 0)</f>
        <v>0</v>
      </c>
      <c r="U1011" s="100">
        <f>IF(AND(SamplingData[[#This Row],[Total]]&lt;&gt; 0, NOT(ISBLANK(SamplingData[[#This Row],[Candidate 6]]))),(SamplingData[[#This Row],[Total]]+SamplingData[[#This Row],[Losing Candidate]]-SamplingData[[#This Row],[Candidate 6]])/(SamplingData[[#Totals],[Winning Candidate]]-SamplingData[[#Totals],[Candidate 6]]), 0)</f>
        <v>0</v>
      </c>
      <c r="V1011" s="100">
        <f>IF(AND(SamplingData[[#This Row],[Total]]&lt;&gt; 0, NOT(ISBLANK(SamplingData[[#This Row],[Candidate 7]]))),(SamplingData[[#This Row],[Total]]+SamplingData[[#This Row],[Winning Candidate]]-SamplingData[[#This Row],[Candidate 7]])/(SamplingData[[#Totals],[Winning Candidate]]-SamplingData[[#Totals],[Candidate 7]]), 0)</f>
        <v>0</v>
      </c>
      <c r="W1011" s="100">
        <f>IF(AND(SamplingData[[#This Row],[Total]]&lt;&gt; 0, NOT(ISBLANK(SamplingData[[#This Row],[Candidate 8]]))),(SamplingData[[#This Row],[Total]]+SamplingData[[#This Row],[Winning Candidate]]-SamplingData[[#This Row],[Candidate 8]])/(SamplingData[[#Totals],[Winning Candidate]]-SamplingData[[#Totals],[Candidate 8]]), 0)</f>
        <v>0</v>
      </c>
      <c r="X10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00">
        <f>MAX(SamplingData[[#This Row],[Error Bound (up) - Max. possible relative overstatement - Losing Candidate]:[Error Bound (up) - Max. possible relative overstatement - Candidate 12]])</f>
        <v>4.0832993058391182E-3</v>
      </c>
      <c r="AC1011" s="100">
        <f>IF(SamplingData[[#This Row],[Max Error Bound (up)]] = 0,0,SamplingData[[#This Row],[Max Error Bound (up)]]/SamplingData[[#Totals],[Max Error Bound (up)]])</f>
        <v>1.7498519356054494E-3</v>
      </c>
      <c r="AD1011" s="104">
        <f>SUM($AC$5:AC1011)</f>
        <v>0.75534377860334978</v>
      </c>
      <c r="AE1011" s="100" t="str" cm="1">
        <f t="array" ref="AE1011">IF(SamplingData[[#This Row],[up/U Selection Probability]] = 0, "Zero", TEXT(SamplingData[[#This Row],[Lower Range]], REPT("0",LEN('General Info'!$B$42))) &amp; " - " &amp; TEXT(SamplingData[[#This Row],[Upper Range]], REPT("0",LEN('General Info'!$B$42))))</f>
        <v>75359 - 75533</v>
      </c>
      <c r="AF1011" s="100">
        <f>SamplingData[[#This Row],[Upper Range]]-SamplingData[[#This Row],[Span]]</f>
        <v>75359.392666774438</v>
      </c>
      <c r="AG1011" s="100">
        <f>IF(ISNUMBER('General Info'!$B$42), ((SamplingData[[#This Row],[up/U Selection Probability]]) * 'General Info'!$B$44) - 1, 0)</f>
        <v>173.98519356054493</v>
      </c>
      <c r="AH1011" s="100">
        <f>IF(ISNUMBER('General Info'!$B$42), (SamplingData[[#This Row],[Running (cumulative) sum]] * ('General Info'!$B$42 -'General Info'!$B$43 + 1)) + 'General Info'!$B$43 - 1, 0)</f>
        <v>75533.377860334978</v>
      </c>
      <c r="AI1011" s="100" t="str">
        <f>IF(ISERROR(MATCH(SamplingData[[#This Row],[Batch by Type (p)]],SelectedPrecincts[Batch Name], 0)), "", INDEX(SelectedPrecincts[Draw], MATCH(SamplingData[[#This Row],[Batch by Type (p)]],SelectedPrecincts[Batch Name], 0)))</f>
        <v/>
      </c>
      <c r="AJ1011" s="101">
        <f>IF(COUNTIF(SelectedPrecincts[Batch Name],SamplingData[[#This Row],[Batch by Type (p)]]) &lt;&gt; 0, COUNTIF(SelectedPrecincts[Batch Name],SamplingData[[#This Row],[Batch by Type (p)]]), 0)</f>
        <v>0</v>
      </c>
    </row>
    <row r="1012" spans="1:36" ht="15" customHeight="1" x14ac:dyDescent="0.35">
      <c r="A1012" s="98" t="s">
        <v>1223</v>
      </c>
      <c r="B1012" s="98">
        <v>33</v>
      </c>
      <c r="C1012" s="98">
        <v>8</v>
      </c>
      <c r="D1012" s="93"/>
      <c r="E1012" s="93"/>
      <c r="F1012" s="93"/>
      <c r="G1012" s="97"/>
      <c r="H1012" s="97"/>
      <c r="I1012" s="93"/>
      <c r="J1012" s="93"/>
      <c r="K1012" s="93"/>
      <c r="L1012" s="93"/>
      <c r="M1012" s="93"/>
      <c r="N1012" s="98">
        <v>0</v>
      </c>
      <c r="O1012" s="98">
        <v>0</v>
      </c>
      <c r="P1012" s="99">
        <f>SUM(SamplingData[[#This Row],[Winning Candidate]:[Under Votes]])</f>
        <v>41</v>
      </c>
      <c r="Q1012"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1012" s="100">
        <f>IF(AND(SamplingData[[#This Row],[Total]]&lt;&gt; 0, NOT(ISBLANK(SamplingData[[#This Row],[Candidate 3]]))),(SamplingData[[#This Row],[Total]]+SamplingData[[#This Row],[Winning Candidate]]-SamplingData[[#This Row],[Candidate 3]])/(SamplingData[[#Totals],[Winning Candidate]]-SamplingData[[#Totals],[Candidate 3]]), 0)</f>
        <v>0</v>
      </c>
      <c r="S1012" s="100">
        <f>IF(AND(SamplingData[[#This Row],[Total]]&lt;&gt; 0, NOT(ISBLANK(SamplingData[[#This Row],[Candidate 4]]))),(SamplingData[[#This Row],[Total]]+SamplingData[[#This Row],[Winning Candidate]]-SamplingData[[#This Row],[Candidate 4]])/(SamplingData[[#Totals],[Winning Candidate]]-SamplingData[[#Totals],[Candidate 4]]), 0)</f>
        <v>0</v>
      </c>
      <c r="T1012" s="100">
        <f>IF(AND(SamplingData[[#This Row],[Total]]&lt;&gt; 0, NOT(ISBLANK(SamplingData[[#This Row],[Candidate 5]]))),(SamplingData[[#This Row],[Total]]+SamplingData[[#This Row],[Winning Candidate]]-SamplingData[[#This Row],[Candidate 5]])/(SamplingData[[#Totals],[Winning Candidate]]-SamplingData[[#Totals],[Candidate 5]]), 0)</f>
        <v>0</v>
      </c>
      <c r="U1012" s="100">
        <f>IF(AND(SamplingData[[#This Row],[Total]]&lt;&gt; 0, NOT(ISBLANK(SamplingData[[#This Row],[Candidate 6]]))),(SamplingData[[#This Row],[Total]]+SamplingData[[#This Row],[Losing Candidate]]-SamplingData[[#This Row],[Candidate 6]])/(SamplingData[[#Totals],[Winning Candidate]]-SamplingData[[#Totals],[Candidate 6]]), 0)</f>
        <v>0</v>
      </c>
      <c r="V1012" s="100">
        <f>IF(AND(SamplingData[[#This Row],[Total]]&lt;&gt; 0, NOT(ISBLANK(SamplingData[[#This Row],[Candidate 7]]))),(SamplingData[[#This Row],[Total]]+SamplingData[[#This Row],[Winning Candidate]]-SamplingData[[#This Row],[Candidate 7]])/(SamplingData[[#Totals],[Winning Candidate]]-SamplingData[[#Totals],[Candidate 7]]), 0)</f>
        <v>0</v>
      </c>
      <c r="W1012" s="100">
        <f>IF(AND(SamplingData[[#This Row],[Total]]&lt;&gt; 0, NOT(ISBLANK(SamplingData[[#This Row],[Candidate 8]]))),(SamplingData[[#This Row],[Total]]+SamplingData[[#This Row],[Winning Candidate]]-SamplingData[[#This Row],[Candidate 8]])/(SamplingData[[#Totals],[Winning Candidate]]-SamplingData[[#Totals],[Candidate 8]]), 0)</f>
        <v>0</v>
      </c>
      <c r="X10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00">
        <f>MAX(SamplingData[[#This Row],[Error Bound (up) - Max. possible relative overstatement - Losing Candidate]:[Error Bound (up) - Max. possible relative overstatement - Candidate 12]])</f>
        <v>2.0730596475798599E-3</v>
      </c>
      <c r="AC1012" s="100">
        <f>IF(SamplingData[[#This Row],[Max Error Bound (up)]] = 0,0,SamplingData[[#This Row],[Max Error Bound (up)]]/SamplingData[[#Totals],[Max Error Bound (up)]])</f>
        <v>8.8838636730738201E-4</v>
      </c>
      <c r="AD1012" s="104">
        <f>SUM($AC$5:AC1012)</f>
        <v>0.75623216497065715</v>
      </c>
      <c r="AE1012" s="100" t="str" cm="1">
        <f t="array" ref="AE1012">IF(SamplingData[[#This Row],[up/U Selection Probability]] = 0, "Zero", TEXT(SamplingData[[#This Row],[Lower Range]], REPT("0",LEN('General Info'!$B$42))) &amp; " - " &amp; TEXT(SamplingData[[#This Row],[Upper Range]], REPT("0",LEN('General Info'!$B$42))))</f>
        <v>75534 - 75622</v>
      </c>
      <c r="AF1012" s="100">
        <f>SamplingData[[#This Row],[Upper Range]]-SamplingData[[#This Row],[Span]]</f>
        <v>75534.377860334978</v>
      </c>
      <c r="AG1012" s="100">
        <f>IF(ISNUMBER('General Info'!$B$42), ((SamplingData[[#This Row],[up/U Selection Probability]]) * 'General Info'!$B$44) - 1, 0)</f>
        <v>87.838636730738202</v>
      </c>
      <c r="AH1012" s="100">
        <f>IF(ISNUMBER('General Info'!$B$42), (SamplingData[[#This Row],[Running (cumulative) sum]] * ('General Info'!$B$42 -'General Info'!$B$43 + 1)) + 'General Info'!$B$43 - 1, 0)</f>
        <v>75622.216497065718</v>
      </c>
      <c r="AI1012" s="100" t="str">
        <f>IF(ISERROR(MATCH(SamplingData[[#This Row],[Batch by Type (p)]],SelectedPrecincts[Batch Name], 0)), "", INDEX(SelectedPrecincts[Draw], MATCH(SamplingData[[#This Row],[Batch by Type (p)]],SelectedPrecincts[Batch Name], 0)))</f>
        <v/>
      </c>
      <c r="AJ1012" s="101">
        <f>IF(COUNTIF(SelectedPrecincts[Batch Name],SamplingData[[#This Row],[Batch by Type (p)]]) &lt;&gt; 0, COUNTIF(SelectedPrecincts[Batch Name],SamplingData[[#This Row],[Batch by Type (p)]]), 0)</f>
        <v>0</v>
      </c>
    </row>
    <row r="1013" spans="1:36" ht="15" customHeight="1" x14ac:dyDescent="0.35">
      <c r="A1013" s="98" t="s">
        <v>1224</v>
      </c>
      <c r="B1013" s="98">
        <v>78</v>
      </c>
      <c r="C1013" s="98">
        <v>11</v>
      </c>
      <c r="D1013" s="93"/>
      <c r="E1013" s="93"/>
      <c r="F1013" s="93"/>
      <c r="G1013" s="97"/>
      <c r="H1013" s="97"/>
      <c r="I1013" s="93"/>
      <c r="J1013" s="93"/>
      <c r="K1013" s="93"/>
      <c r="L1013" s="93"/>
      <c r="M1013" s="93"/>
      <c r="N1013" s="98">
        <v>0</v>
      </c>
      <c r="O1013" s="98">
        <v>1</v>
      </c>
      <c r="P1013" s="99">
        <f>SUM(SamplingData[[#This Row],[Winning Candidate]:[Under Votes]])</f>
        <v>90</v>
      </c>
      <c r="Q1013" s="100">
        <f>IF(AND(SamplingData[[#This Row],[Total]]&lt;&gt; 0, NOT(ISBLANK(SamplingData[[#This Row],[Losing Candidate]]))),(SamplingData[[#This Row],[Total]]+SamplingData[[#This Row],[Winning Candidate]]-SamplingData[[#This Row],[Losing Candidate]])/(SamplingData[[#Totals],[Winning Candidate]]-SamplingData[[#Totals],[Losing Candidate]]), 0)</f>
        <v>4.9313691616672426E-3</v>
      </c>
      <c r="R1013" s="100">
        <f>IF(AND(SamplingData[[#This Row],[Total]]&lt;&gt; 0, NOT(ISBLANK(SamplingData[[#This Row],[Candidate 3]]))),(SamplingData[[#This Row],[Total]]+SamplingData[[#This Row],[Winning Candidate]]-SamplingData[[#This Row],[Candidate 3]])/(SamplingData[[#Totals],[Winning Candidate]]-SamplingData[[#Totals],[Candidate 3]]), 0)</f>
        <v>0</v>
      </c>
      <c r="S1013" s="100">
        <f>IF(AND(SamplingData[[#This Row],[Total]]&lt;&gt; 0, NOT(ISBLANK(SamplingData[[#This Row],[Candidate 4]]))),(SamplingData[[#This Row],[Total]]+SamplingData[[#This Row],[Winning Candidate]]-SamplingData[[#This Row],[Candidate 4]])/(SamplingData[[#Totals],[Winning Candidate]]-SamplingData[[#Totals],[Candidate 4]]), 0)</f>
        <v>0</v>
      </c>
      <c r="T1013" s="100">
        <f>IF(AND(SamplingData[[#This Row],[Total]]&lt;&gt; 0, NOT(ISBLANK(SamplingData[[#This Row],[Candidate 5]]))),(SamplingData[[#This Row],[Total]]+SamplingData[[#This Row],[Winning Candidate]]-SamplingData[[#This Row],[Candidate 5]])/(SamplingData[[#Totals],[Winning Candidate]]-SamplingData[[#Totals],[Candidate 5]]), 0)</f>
        <v>0</v>
      </c>
      <c r="U1013" s="100">
        <f>IF(AND(SamplingData[[#This Row],[Total]]&lt;&gt; 0, NOT(ISBLANK(SamplingData[[#This Row],[Candidate 6]]))),(SamplingData[[#This Row],[Total]]+SamplingData[[#This Row],[Losing Candidate]]-SamplingData[[#This Row],[Candidate 6]])/(SamplingData[[#Totals],[Winning Candidate]]-SamplingData[[#Totals],[Candidate 6]]), 0)</f>
        <v>0</v>
      </c>
      <c r="V1013" s="100">
        <f>IF(AND(SamplingData[[#This Row],[Total]]&lt;&gt; 0, NOT(ISBLANK(SamplingData[[#This Row],[Candidate 7]]))),(SamplingData[[#This Row],[Total]]+SamplingData[[#This Row],[Winning Candidate]]-SamplingData[[#This Row],[Candidate 7]])/(SamplingData[[#Totals],[Winning Candidate]]-SamplingData[[#Totals],[Candidate 7]]), 0)</f>
        <v>0</v>
      </c>
      <c r="W1013" s="100">
        <f>IF(AND(SamplingData[[#This Row],[Total]]&lt;&gt; 0, NOT(ISBLANK(SamplingData[[#This Row],[Candidate 8]]))),(SamplingData[[#This Row],[Total]]+SamplingData[[#This Row],[Winning Candidate]]-SamplingData[[#This Row],[Candidate 8]])/(SamplingData[[#Totals],[Winning Candidate]]-SamplingData[[#Totals],[Candidate 8]]), 0)</f>
        <v>0</v>
      </c>
      <c r="X10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00">
        <f>MAX(SamplingData[[#This Row],[Error Bound (up) - Max. possible relative overstatement - Losing Candidate]:[Error Bound (up) - Max. possible relative overstatement - Candidate 12]])</f>
        <v>4.9313691616672426E-3</v>
      </c>
      <c r="AC1013" s="100">
        <f>IF(SamplingData[[#This Row],[Max Error Bound (up)]] = 0,0,SamplingData[[#This Row],[Max Error Bound (up)]]/SamplingData[[#Totals],[Max Error Bound (up)]])</f>
        <v>2.1132827222311965E-3</v>
      </c>
      <c r="AD1013" s="104">
        <f>SUM($AC$5:AC1013)</f>
        <v>0.75834544769288836</v>
      </c>
      <c r="AE1013" s="100" t="str" cm="1">
        <f t="array" ref="AE1013">IF(SamplingData[[#This Row],[up/U Selection Probability]] = 0, "Zero", TEXT(SamplingData[[#This Row],[Lower Range]], REPT("0",LEN('General Info'!$B$42))) &amp; " - " &amp; TEXT(SamplingData[[#This Row],[Upper Range]], REPT("0",LEN('General Info'!$B$42))))</f>
        <v>75623 - 75834</v>
      </c>
      <c r="AF1013" s="100">
        <f>SamplingData[[#This Row],[Upper Range]]-SamplingData[[#This Row],[Span]]</f>
        <v>75623.216497065718</v>
      </c>
      <c r="AG1013" s="100">
        <f>IF(ISNUMBER('General Info'!$B$42), ((SamplingData[[#This Row],[up/U Selection Probability]]) * 'General Info'!$B$44) - 1, 0)</f>
        <v>210.32827222311965</v>
      </c>
      <c r="AH1013" s="100">
        <f>IF(ISNUMBER('General Info'!$B$42), (SamplingData[[#This Row],[Running (cumulative) sum]] * ('General Info'!$B$42 -'General Info'!$B$43 + 1)) + 'General Info'!$B$43 - 1, 0)</f>
        <v>75833.544769288841</v>
      </c>
      <c r="AI1013" s="100" t="str">
        <f>IF(ISERROR(MATCH(SamplingData[[#This Row],[Batch by Type (p)]],SelectedPrecincts[Batch Name], 0)), "", INDEX(SelectedPrecincts[Draw], MATCH(SamplingData[[#This Row],[Batch by Type (p)]],SelectedPrecincts[Batch Name], 0)))</f>
        <v/>
      </c>
      <c r="AJ1013" s="101">
        <f>IF(COUNTIF(SelectedPrecincts[Batch Name],SamplingData[[#This Row],[Batch by Type (p)]]) &lt;&gt; 0, COUNTIF(SelectedPrecincts[Batch Name],SamplingData[[#This Row],[Batch by Type (p)]]), 0)</f>
        <v>0</v>
      </c>
    </row>
    <row r="1014" spans="1:36" ht="15" customHeight="1" x14ac:dyDescent="0.35">
      <c r="A1014" s="98" t="s">
        <v>1225</v>
      </c>
      <c r="B1014" s="98">
        <v>92</v>
      </c>
      <c r="C1014" s="98">
        <v>8</v>
      </c>
      <c r="D1014" s="93"/>
      <c r="E1014" s="93"/>
      <c r="F1014" s="93"/>
      <c r="G1014" s="97"/>
      <c r="H1014" s="97"/>
      <c r="I1014" s="93"/>
      <c r="J1014" s="93"/>
      <c r="K1014" s="93"/>
      <c r="L1014" s="93"/>
      <c r="M1014" s="93"/>
      <c r="N1014" s="98">
        <v>0</v>
      </c>
      <c r="O1014" s="98">
        <v>1</v>
      </c>
      <c r="P1014" s="99">
        <f>SUM(SamplingData[[#This Row],[Winning Candidate]:[Under Votes]])</f>
        <v>101</v>
      </c>
      <c r="Q1014" s="100">
        <f>IF(AND(SamplingData[[#This Row],[Total]]&lt;&gt; 0, NOT(ISBLANK(SamplingData[[#This Row],[Losing Candidate]]))),(SamplingData[[#This Row],[Total]]+SamplingData[[#This Row],[Winning Candidate]]-SamplingData[[#This Row],[Losing Candidate]])/(SamplingData[[#Totals],[Winning Candidate]]-SamplingData[[#Totals],[Losing Candidate]]), 0)</f>
        <v>5.8108490121556678E-3</v>
      </c>
      <c r="R1014" s="100">
        <f>IF(AND(SamplingData[[#This Row],[Total]]&lt;&gt; 0, NOT(ISBLANK(SamplingData[[#This Row],[Candidate 3]]))),(SamplingData[[#This Row],[Total]]+SamplingData[[#This Row],[Winning Candidate]]-SamplingData[[#This Row],[Candidate 3]])/(SamplingData[[#Totals],[Winning Candidate]]-SamplingData[[#Totals],[Candidate 3]]), 0)</f>
        <v>0</v>
      </c>
      <c r="S1014" s="100">
        <f>IF(AND(SamplingData[[#This Row],[Total]]&lt;&gt; 0, NOT(ISBLANK(SamplingData[[#This Row],[Candidate 4]]))),(SamplingData[[#This Row],[Total]]+SamplingData[[#This Row],[Winning Candidate]]-SamplingData[[#This Row],[Candidate 4]])/(SamplingData[[#Totals],[Winning Candidate]]-SamplingData[[#Totals],[Candidate 4]]), 0)</f>
        <v>0</v>
      </c>
      <c r="T1014" s="100">
        <f>IF(AND(SamplingData[[#This Row],[Total]]&lt;&gt; 0, NOT(ISBLANK(SamplingData[[#This Row],[Candidate 5]]))),(SamplingData[[#This Row],[Total]]+SamplingData[[#This Row],[Winning Candidate]]-SamplingData[[#This Row],[Candidate 5]])/(SamplingData[[#Totals],[Winning Candidate]]-SamplingData[[#Totals],[Candidate 5]]), 0)</f>
        <v>0</v>
      </c>
      <c r="U1014" s="100">
        <f>IF(AND(SamplingData[[#This Row],[Total]]&lt;&gt; 0, NOT(ISBLANK(SamplingData[[#This Row],[Candidate 6]]))),(SamplingData[[#This Row],[Total]]+SamplingData[[#This Row],[Losing Candidate]]-SamplingData[[#This Row],[Candidate 6]])/(SamplingData[[#Totals],[Winning Candidate]]-SamplingData[[#Totals],[Candidate 6]]), 0)</f>
        <v>0</v>
      </c>
      <c r="V1014" s="100">
        <f>IF(AND(SamplingData[[#This Row],[Total]]&lt;&gt; 0, NOT(ISBLANK(SamplingData[[#This Row],[Candidate 7]]))),(SamplingData[[#This Row],[Total]]+SamplingData[[#This Row],[Winning Candidate]]-SamplingData[[#This Row],[Candidate 7]])/(SamplingData[[#Totals],[Winning Candidate]]-SamplingData[[#Totals],[Candidate 7]]), 0)</f>
        <v>0</v>
      </c>
      <c r="W1014" s="100">
        <f>IF(AND(SamplingData[[#This Row],[Total]]&lt;&gt; 0, NOT(ISBLANK(SamplingData[[#This Row],[Candidate 8]]))),(SamplingData[[#This Row],[Total]]+SamplingData[[#This Row],[Winning Candidate]]-SamplingData[[#This Row],[Candidate 8]])/(SamplingData[[#Totals],[Winning Candidate]]-SamplingData[[#Totals],[Candidate 8]]), 0)</f>
        <v>0</v>
      </c>
      <c r="X10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00">
        <f>MAX(SamplingData[[#This Row],[Error Bound (up) - Max. possible relative overstatement - Losing Candidate]:[Error Bound (up) - Max. possible relative overstatement - Candidate 12]])</f>
        <v>5.8108490121556678E-3</v>
      </c>
      <c r="AC1014" s="100">
        <f>IF(SamplingData[[#This Row],[Max Error Bound (up)]] = 0,0,SamplingData[[#This Row],[Max Error Bound (up)]]/SamplingData[[#Totals],[Max Error Bound (up)]])</f>
        <v>2.4901739083616008E-3</v>
      </c>
      <c r="AD1014" s="104">
        <f>SUM($AC$5:AC1014)</f>
        <v>0.76083562160124996</v>
      </c>
      <c r="AE1014" s="100" t="str" cm="1">
        <f t="array" ref="AE1014">IF(SamplingData[[#This Row],[up/U Selection Probability]] = 0, "Zero", TEXT(SamplingData[[#This Row],[Lower Range]], REPT("0",LEN('General Info'!$B$42))) &amp; " - " &amp; TEXT(SamplingData[[#This Row],[Upper Range]], REPT("0",LEN('General Info'!$B$42))))</f>
        <v>75835 - 76083</v>
      </c>
      <c r="AF1014" s="100">
        <f>SamplingData[[#This Row],[Upper Range]]-SamplingData[[#This Row],[Span]]</f>
        <v>75834.544769288841</v>
      </c>
      <c r="AG1014" s="100">
        <f>IF(ISNUMBER('General Info'!$B$42), ((SamplingData[[#This Row],[up/U Selection Probability]]) * 'General Info'!$B$44) - 1, 0)</f>
        <v>248.01739083616008</v>
      </c>
      <c r="AH1014" s="100">
        <f>IF(ISNUMBER('General Info'!$B$42), (SamplingData[[#This Row],[Running (cumulative) sum]] * ('General Info'!$B$42 -'General Info'!$B$43 + 1)) + 'General Info'!$B$43 - 1, 0)</f>
        <v>76082.562160125002</v>
      </c>
      <c r="AI1014" s="100" t="str">
        <f>IF(ISERROR(MATCH(SamplingData[[#This Row],[Batch by Type (p)]],SelectedPrecincts[Batch Name], 0)), "", INDEX(SelectedPrecincts[Draw], MATCH(SamplingData[[#This Row],[Batch by Type (p)]],SelectedPrecincts[Batch Name], 0)))</f>
        <v/>
      </c>
      <c r="AJ1014" s="101">
        <f>IF(COUNTIF(SelectedPrecincts[Batch Name],SamplingData[[#This Row],[Batch by Type (p)]]) &lt;&gt; 0, COUNTIF(SelectedPrecincts[Batch Name],SamplingData[[#This Row],[Batch by Type (p)]]), 0)</f>
        <v>0</v>
      </c>
    </row>
    <row r="1015" spans="1:36" ht="15" customHeight="1" x14ac:dyDescent="0.35">
      <c r="A1015" s="98" t="s">
        <v>1226</v>
      </c>
      <c r="B1015" s="98">
        <v>222</v>
      </c>
      <c r="C1015" s="98">
        <v>10</v>
      </c>
      <c r="D1015" s="93"/>
      <c r="E1015" s="93"/>
      <c r="F1015" s="93"/>
      <c r="G1015" s="97"/>
      <c r="H1015" s="97"/>
      <c r="I1015" s="93"/>
      <c r="J1015" s="93"/>
      <c r="K1015" s="93"/>
      <c r="L1015" s="93"/>
      <c r="M1015" s="93"/>
      <c r="N1015" s="98">
        <v>0</v>
      </c>
      <c r="O1015" s="98">
        <v>3</v>
      </c>
      <c r="P1015" s="99">
        <f>SUM(SamplingData[[#This Row],[Winning Candidate]:[Under Votes]])</f>
        <v>235</v>
      </c>
      <c r="Q1015" s="100">
        <f>IF(AND(SamplingData[[#This Row],[Total]]&lt;&gt; 0, NOT(ISBLANK(SamplingData[[#This Row],[Losing Candidate]]))),(SamplingData[[#This Row],[Total]]+SamplingData[[#This Row],[Winning Candidate]]-SamplingData[[#This Row],[Losing Candidate]])/(SamplingData[[#Totals],[Winning Candidate]]-SamplingData[[#Totals],[Losing Candidate]]), 0)</f>
        <v>1.4040267613154505E-2</v>
      </c>
      <c r="R1015" s="100">
        <f>IF(AND(SamplingData[[#This Row],[Total]]&lt;&gt; 0, NOT(ISBLANK(SamplingData[[#This Row],[Candidate 3]]))),(SamplingData[[#This Row],[Total]]+SamplingData[[#This Row],[Winning Candidate]]-SamplingData[[#This Row],[Candidate 3]])/(SamplingData[[#Totals],[Winning Candidate]]-SamplingData[[#Totals],[Candidate 3]]), 0)</f>
        <v>0</v>
      </c>
      <c r="S1015" s="100">
        <f>IF(AND(SamplingData[[#This Row],[Total]]&lt;&gt; 0, NOT(ISBLANK(SamplingData[[#This Row],[Candidate 4]]))),(SamplingData[[#This Row],[Total]]+SamplingData[[#This Row],[Winning Candidate]]-SamplingData[[#This Row],[Candidate 4]])/(SamplingData[[#Totals],[Winning Candidate]]-SamplingData[[#Totals],[Candidate 4]]), 0)</f>
        <v>0</v>
      </c>
      <c r="T1015" s="100">
        <f>IF(AND(SamplingData[[#This Row],[Total]]&lt;&gt; 0, NOT(ISBLANK(SamplingData[[#This Row],[Candidate 5]]))),(SamplingData[[#This Row],[Total]]+SamplingData[[#This Row],[Winning Candidate]]-SamplingData[[#This Row],[Candidate 5]])/(SamplingData[[#Totals],[Winning Candidate]]-SamplingData[[#Totals],[Candidate 5]]), 0)</f>
        <v>0</v>
      </c>
      <c r="U1015" s="100">
        <f>IF(AND(SamplingData[[#This Row],[Total]]&lt;&gt; 0, NOT(ISBLANK(SamplingData[[#This Row],[Candidate 6]]))),(SamplingData[[#This Row],[Total]]+SamplingData[[#This Row],[Losing Candidate]]-SamplingData[[#This Row],[Candidate 6]])/(SamplingData[[#Totals],[Winning Candidate]]-SamplingData[[#Totals],[Candidate 6]]), 0)</f>
        <v>0</v>
      </c>
      <c r="V1015" s="100">
        <f>IF(AND(SamplingData[[#This Row],[Total]]&lt;&gt; 0, NOT(ISBLANK(SamplingData[[#This Row],[Candidate 7]]))),(SamplingData[[#This Row],[Total]]+SamplingData[[#This Row],[Winning Candidate]]-SamplingData[[#This Row],[Candidate 7]])/(SamplingData[[#Totals],[Winning Candidate]]-SamplingData[[#Totals],[Candidate 7]]), 0)</f>
        <v>0</v>
      </c>
      <c r="W1015" s="100">
        <f>IF(AND(SamplingData[[#This Row],[Total]]&lt;&gt; 0, NOT(ISBLANK(SamplingData[[#This Row],[Candidate 8]]))),(SamplingData[[#This Row],[Total]]+SamplingData[[#This Row],[Winning Candidate]]-SamplingData[[#This Row],[Candidate 8]])/(SamplingData[[#Totals],[Winning Candidate]]-SamplingData[[#Totals],[Candidate 8]]), 0)</f>
        <v>0</v>
      </c>
      <c r="X10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00">
        <f>MAX(SamplingData[[#This Row],[Error Bound (up) - Max. possible relative overstatement - Losing Candidate]:[Error Bound (up) - Max. possible relative overstatement - Candidate 12]])</f>
        <v>1.4040267613154505E-2</v>
      </c>
      <c r="AC1015" s="100">
        <f>IF(SamplingData[[#This Row],[Max Error Bound (up)]] = 0,0,SamplingData[[#This Row],[Max Error Bound (up)]]/SamplingData[[#Totals],[Max Error Bound (up)]])</f>
        <v>6.0167985785818138E-3</v>
      </c>
      <c r="AD1015" s="104">
        <f>SUM($AC$5:AC1015)</f>
        <v>0.7668524201798318</v>
      </c>
      <c r="AE1015" s="100" t="str" cm="1">
        <f t="array" ref="AE1015">IF(SamplingData[[#This Row],[up/U Selection Probability]] = 0, "Zero", TEXT(SamplingData[[#This Row],[Lower Range]], REPT("0",LEN('General Info'!$B$42))) &amp; " - " &amp; TEXT(SamplingData[[#This Row],[Upper Range]], REPT("0",LEN('General Info'!$B$42))))</f>
        <v>76084 - 76684</v>
      </c>
      <c r="AF1015" s="100">
        <f>SamplingData[[#This Row],[Upper Range]]-SamplingData[[#This Row],[Span]]</f>
        <v>76083.562160125002</v>
      </c>
      <c r="AG1015" s="100">
        <f>IF(ISNUMBER('General Info'!$B$42), ((SamplingData[[#This Row],[up/U Selection Probability]]) * 'General Info'!$B$44) - 1, 0)</f>
        <v>600.67985785818144</v>
      </c>
      <c r="AH1015" s="100">
        <f>IF(ISNUMBER('General Info'!$B$42), (SamplingData[[#This Row],[Running (cumulative) sum]] * ('General Info'!$B$42 -'General Info'!$B$43 + 1)) + 'General Info'!$B$43 - 1, 0)</f>
        <v>76684.242017983182</v>
      </c>
      <c r="AI1015" s="100" t="str">
        <f>IF(ISERROR(MATCH(SamplingData[[#This Row],[Batch by Type (p)]],SelectedPrecincts[Batch Name], 0)), "", INDEX(SelectedPrecincts[Draw], MATCH(SamplingData[[#This Row],[Batch by Type (p)]],SelectedPrecincts[Batch Name], 0)))</f>
        <v/>
      </c>
      <c r="AJ1015" s="101">
        <f>IF(COUNTIF(SelectedPrecincts[Batch Name],SamplingData[[#This Row],[Batch by Type (p)]]) &lt;&gt; 0, COUNTIF(SelectedPrecincts[Batch Name],SamplingData[[#This Row],[Batch by Type (p)]]), 0)</f>
        <v>0</v>
      </c>
    </row>
    <row r="1016" spans="1:36" ht="15" customHeight="1" x14ac:dyDescent="0.35">
      <c r="A1016" s="98" t="s">
        <v>1227</v>
      </c>
      <c r="B1016" s="98">
        <v>145</v>
      </c>
      <c r="C1016" s="98">
        <v>20</v>
      </c>
      <c r="D1016" s="93"/>
      <c r="E1016" s="93"/>
      <c r="F1016" s="93"/>
      <c r="G1016" s="97"/>
      <c r="H1016" s="97"/>
      <c r="I1016" s="93"/>
      <c r="J1016" s="93"/>
      <c r="K1016" s="93"/>
      <c r="L1016" s="93"/>
      <c r="M1016" s="93"/>
      <c r="N1016" s="98">
        <v>0</v>
      </c>
      <c r="O1016" s="98">
        <v>1</v>
      </c>
      <c r="P1016" s="99">
        <f>SUM(SamplingData[[#This Row],[Winning Candidate]:[Under Votes]])</f>
        <v>166</v>
      </c>
      <c r="Q1016" s="100">
        <f>IF(AND(SamplingData[[#This Row],[Total]]&lt;&gt; 0, NOT(ISBLANK(SamplingData[[#This Row],[Losing Candidate]]))),(SamplingData[[#This Row],[Total]]+SamplingData[[#This Row],[Winning Candidate]]-SamplingData[[#This Row],[Losing Candidate]])/(SamplingData[[#Totals],[Winning Candidate]]-SamplingData[[#Totals],[Losing Candidate]]), 0)</f>
        <v>9.1403084461475648E-3</v>
      </c>
      <c r="R1016" s="100">
        <f>IF(AND(SamplingData[[#This Row],[Total]]&lt;&gt; 0, NOT(ISBLANK(SamplingData[[#This Row],[Candidate 3]]))),(SamplingData[[#This Row],[Total]]+SamplingData[[#This Row],[Winning Candidate]]-SamplingData[[#This Row],[Candidate 3]])/(SamplingData[[#Totals],[Winning Candidate]]-SamplingData[[#Totals],[Candidate 3]]), 0)</f>
        <v>0</v>
      </c>
      <c r="S1016" s="100">
        <f>IF(AND(SamplingData[[#This Row],[Total]]&lt;&gt; 0, NOT(ISBLANK(SamplingData[[#This Row],[Candidate 4]]))),(SamplingData[[#This Row],[Total]]+SamplingData[[#This Row],[Winning Candidate]]-SamplingData[[#This Row],[Candidate 4]])/(SamplingData[[#Totals],[Winning Candidate]]-SamplingData[[#Totals],[Candidate 4]]), 0)</f>
        <v>0</v>
      </c>
      <c r="T1016" s="100">
        <f>IF(AND(SamplingData[[#This Row],[Total]]&lt;&gt; 0, NOT(ISBLANK(SamplingData[[#This Row],[Candidate 5]]))),(SamplingData[[#This Row],[Total]]+SamplingData[[#This Row],[Winning Candidate]]-SamplingData[[#This Row],[Candidate 5]])/(SamplingData[[#Totals],[Winning Candidate]]-SamplingData[[#Totals],[Candidate 5]]), 0)</f>
        <v>0</v>
      </c>
      <c r="U1016" s="100">
        <f>IF(AND(SamplingData[[#This Row],[Total]]&lt;&gt; 0, NOT(ISBLANK(SamplingData[[#This Row],[Candidate 6]]))),(SamplingData[[#This Row],[Total]]+SamplingData[[#This Row],[Losing Candidate]]-SamplingData[[#This Row],[Candidate 6]])/(SamplingData[[#Totals],[Winning Candidate]]-SamplingData[[#Totals],[Candidate 6]]), 0)</f>
        <v>0</v>
      </c>
      <c r="V1016" s="100">
        <f>IF(AND(SamplingData[[#This Row],[Total]]&lt;&gt; 0, NOT(ISBLANK(SamplingData[[#This Row],[Candidate 7]]))),(SamplingData[[#This Row],[Total]]+SamplingData[[#This Row],[Winning Candidate]]-SamplingData[[#This Row],[Candidate 7]])/(SamplingData[[#Totals],[Winning Candidate]]-SamplingData[[#Totals],[Candidate 7]]), 0)</f>
        <v>0</v>
      </c>
      <c r="W1016" s="100">
        <f>IF(AND(SamplingData[[#This Row],[Total]]&lt;&gt; 0, NOT(ISBLANK(SamplingData[[#This Row],[Candidate 8]]))),(SamplingData[[#This Row],[Total]]+SamplingData[[#This Row],[Winning Candidate]]-SamplingData[[#This Row],[Candidate 8]])/(SamplingData[[#Totals],[Winning Candidate]]-SamplingData[[#Totals],[Candidate 8]]), 0)</f>
        <v>0</v>
      </c>
      <c r="X10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00">
        <f>MAX(SamplingData[[#This Row],[Error Bound (up) - Max. possible relative overstatement - Losing Candidate]:[Error Bound (up) - Max. possible relative overstatement - Candidate 12]])</f>
        <v>9.1403084461475648E-3</v>
      </c>
      <c r="AC1016" s="100">
        <f>IF(SamplingData[[#This Row],[Max Error Bound (up)]] = 0,0,SamplingData[[#This Row],[Max Error Bound (up)]]/SamplingData[[#Totals],[Max Error Bound (up)]])</f>
        <v>3.9169762558552753E-3</v>
      </c>
      <c r="AD1016" s="104">
        <f>SUM($AC$5:AC1016)</f>
        <v>0.77076939643568709</v>
      </c>
      <c r="AE1016" s="100" t="str" cm="1">
        <f t="array" ref="AE1016">IF(SamplingData[[#This Row],[up/U Selection Probability]] = 0, "Zero", TEXT(SamplingData[[#This Row],[Lower Range]], REPT("0",LEN('General Info'!$B$42))) &amp; " - " &amp; TEXT(SamplingData[[#This Row],[Upper Range]], REPT("0",LEN('General Info'!$B$42))))</f>
        <v>76685 - 77076</v>
      </c>
      <c r="AF1016" s="100">
        <f>SamplingData[[#This Row],[Upper Range]]-SamplingData[[#This Row],[Span]]</f>
        <v>76685.242017983182</v>
      </c>
      <c r="AG1016" s="100">
        <f>IF(ISNUMBER('General Info'!$B$42), ((SamplingData[[#This Row],[up/U Selection Probability]]) * 'General Info'!$B$44) - 1, 0)</f>
        <v>390.69762558552753</v>
      </c>
      <c r="AH1016" s="100">
        <f>IF(ISNUMBER('General Info'!$B$42), (SamplingData[[#This Row],[Running (cumulative) sum]] * ('General Info'!$B$42 -'General Info'!$B$43 + 1)) + 'General Info'!$B$43 - 1, 0)</f>
        <v>77075.939643568709</v>
      </c>
      <c r="AI1016" s="100" t="str">
        <f>IF(ISERROR(MATCH(SamplingData[[#This Row],[Batch by Type (p)]],SelectedPrecincts[Batch Name], 0)), "", INDEX(SelectedPrecincts[Draw], MATCH(SamplingData[[#This Row],[Batch by Type (p)]],SelectedPrecincts[Batch Name], 0)))</f>
        <v/>
      </c>
      <c r="AJ1016" s="101">
        <f>IF(COUNTIF(SelectedPrecincts[Batch Name],SamplingData[[#This Row],[Batch by Type (p)]]) &lt;&gt; 0, COUNTIF(SelectedPrecincts[Batch Name],SamplingData[[#This Row],[Batch by Type (p)]]), 0)</f>
        <v>0</v>
      </c>
    </row>
    <row r="1017" spans="1:36" ht="15" customHeight="1" x14ac:dyDescent="0.35">
      <c r="A1017" s="98" t="s">
        <v>1228</v>
      </c>
      <c r="B1017" s="98">
        <v>94</v>
      </c>
      <c r="C1017" s="98">
        <v>8</v>
      </c>
      <c r="D1017" s="93"/>
      <c r="E1017" s="93"/>
      <c r="F1017" s="93"/>
      <c r="G1017" s="97"/>
      <c r="H1017" s="97"/>
      <c r="I1017" s="93"/>
      <c r="J1017" s="93"/>
      <c r="K1017" s="93"/>
      <c r="L1017" s="93"/>
      <c r="M1017" s="93"/>
      <c r="N1017" s="98">
        <v>0</v>
      </c>
      <c r="O1017" s="98">
        <v>1</v>
      </c>
      <c r="P1017" s="99">
        <f>SUM(SamplingData[[#This Row],[Winning Candidate]:[Under Votes]])</f>
        <v>103</v>
      </c>
      <c r="Q1017" s="100">
        <f>IF(AND(SamplingData[[#This Row],[Total]]&lt;&gt; 0, NOT(ISBLANK(SamplingData[[#This Row],[Losing Candidate]]))),(SamplingData[[#This Row],[Total]]+SamplingData[[#This Row],[Winning Candidate]]-SamplingData[[#This Row],[Losing Candidate]])/(SamplingData[[#Totals],[Winning Candidate]]-SamplingData[[#Totals],[Losing Candidate]]), 0)</f>
        <v>5.9364889907968718E-3</v>
      </c>
      <c r="R1017" s="100">
        <f>IF(AND(SamplingData[[#This Row],[Total]]&lt;&gt; 0, NOT(ISBLANK(SamplingData[[#This Row],[Candidate 3]]))),(SamplingData[[#This Row],[Total]]+SamplingData[[#This Row],[Winning Candidate]]-SamplingData[[#This Row],[Candidate 3]])/(SamplingData[[#Totals],[Winning Candidate]]-SamplingData[[#Totals],[Candidate 3]]), 0)</f>
        <v>0</v>
      </c>
      <c r="S1017" s="100">
        <f>IF(AND(SamplingData[[#This Row],[Total]]&lt;&gt; 0, NOT(ISBLANK(SamplingData[[#This Row],[Candidate 4]]))),(SamplingData[[#This Row],[Total]]+SamplingData[[#This Row],[Winning Candidate]]-SamplingData[[#This Row],[Candidate 4]])/(SamplingData[[#Totals],[Winning Candidate]]-SamplingData[[#Totals],[Candidate 4]]), 0)</f>
        <v>0</v>
      </c>
      <c r="T1017" s="100">
        <f>IF(AND(SamplingData[[#This Row],[Total]]&lt;&gt; 0, NOT(ISBLANK(SamplingData[[#This Row],[Candidate 5]]))),(SamplingData[[#This Row],[Total]]+SamplingData[[#This Row],[Winning Candidate]]-SamplingData[[#This Row],[Candidate 5]])/(SamplingData[[#Totals],[Winning Candidate]]-SamplingData[[#Totals],[Candidate 5]]), 0)</f>
        <v>0</v>
      </c>
      <c r="U1017" s="100">
        <f>IF(AND(SamplingData[[#This Row],[Total]]&lt;&gt; 0, NOT(ISBLANK(SamplingData[[#This Row],[Candidate 6]]))),(SamplingData[[#This Row],[Total]]+SamplingData[[#This Row],[Losing Candidate]]-SamplingData[[#This Row],[Candidate 6]])/(SamplingData[[#Totals],[Winning Candidate]]-SamplingData[[#Totals],[Candidate 6]]), 0)</f>
        <v>0</v>
      </c>
      <c r="V1017" s="100">
        <f>IF(AND(SamplingData[[#This Row],[Total]]&lt;&gt; 0, NOT(ISBLANK(SamplingData[[#This Row],[Candidate 7]]))),(SamplingData[[#This Row],[Total]]+SamplingData[[#This Row],[Winning Candidate]]-SamplingData[[#This Row],[Candidate 7]])/(SamplingData[[#Totals],[Winning Candidate]]-SamplingData[[#Totals],[Candidate 7]]), 0)</f>
        <v>0</v>
      </c>
      <c r="W1017" s="100">
        <f>IF(AND(SamplingData[[#This Row],[Total]]&lt;&gt; 0, NOT(ISBLANK(SamplingData[[#This Row],[Candidate 8]]))),(SamplingData[[#This Row],[Total]]+SamplingData[[#This Row],[Winning Candidate]]-SamplingData[[#This Row],[Candidate 8]])/(SamplingData[[#Totals],[Winning Candidate]]-SamplingData[[#Totals],[Candidate 8]]), 0)</f>
        <v>0</v>
      </c>
      <c r="X10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00">
        <f>MAX(SamplingData[[#This Row],[Error Bound (up) - Max. possible relative overstatement - Losing Candidate]:[Error Bound (up) - Max. possible relative overstatement - Candidate 12]])</f>
        <v>5.9364889907968718E-3</v>
      </c>
      <c r="AC1017" s="100">
        <f>IF(SamplingData[[#This Row],[Max Error Bound (up)]] = 0,0,SamplingData[[#This Row],[Max Error Bound (up)]]/SamplingData[[#Totals],[Max Error Bound (up)]])</f>
        <v>2.5440155063802304E-3</v>
      </c>
      <c r="AD1017" s="104">
        <f>SUM($AC$5:AC1017)</f>
        <v>0.77331341194206737</v>
      </c>
      <c r="AE1017" s="100" t="str" cm="1">
        <f t="array" ref="AE1017">IF(SamplingData[[#This Row],[up/U Selection Probability]] = 0, "Zero", TEXT(SamplingData[[#This Row],[Lower Range]], REPT("0",LEN('General Info'!$B$42))) &amp; " - " &amp; TEXT(SamplingData[[#This Row],[Upper Range]], REPT("0",LEN('General Info'!$B$42))))</f>
        <v>77077 - 77330</v>
      </c>
      <c r="AF1017" s="100">
        <f>SamplingData[[#This Row],[Upper Range]]-SamplingData[[#This Row],[Span]]</f>
        <v>77076.939643568709</v>
      </c>
      <c r="AG1017" s="100">
        <f>IF(ISNUMBER('General Info'!$B$42), ((SamplingData[[#This Row],[up/U Selection Probability]]) * 'General Info'!$B$44) - 1, 0)</f>
        <v>253.40155063802305</v>
      </c>
      <c r="AH1017" s="100">
        <f>IF(ISNUMBER('General Info'!$B$42), (SamplingData[[#This Row],[Running (cumulative) sum]] * ('General Info'!$B$42 -'General Info'!$B$43 + 1)) + 'General Info'!$B$43 - 1, 0)</f>
        <v>77330.341194206732</v>
      </c>
      <c r="AI1017" s="100" t="str">
        <f>IF(ISERROR(MATCH(SamplingData[[#This Row],[Batch by Type (p)]],SelectedPrecincts[Batch Name], 0)), "", INDEX(SelectedPrecincts[Draw], MATCH(SamplingData[[#This Row],[Batch by Type (p)]],SelectedPrecincts[Batch Name], 0)))</f>
        <v/>
      </c>
      <c r="AJ1017" s="101">
        <f>IF(COUNTIF(SelectedPrecincts[Batch Name],SamplingData[[#This Row],[Batch by Type (p)]]) &lt;&gt; 0, COUNTIF(SelectedPrecincts[Batch Name],SamplingData[[#This Row],[Batch by Type (p)]]), 0)</f>
        <v>0</v>
      </c>
    </row>
    <row r="1018" spans="1:36" ht="15" customHeight="1" x14ac:dyDescent="0.35">
      <c r="A1018" s="98" t="s">
        <v>1229</v>
      </c>
      <c r="B1018" s="98">
        <v>95</v>
      </c>
      <c r="C1018" s="98">
        <v>12</v>
      </c>
      <c r="D1018" s="93"/>
      <c r="E1018" s="93"/>
      <c r="F1018" s="93"/>
      <c r="G1018" s="97"/>
      <c r="H1018" s="97"/>
      <c r="I1018" s="93"/>
      <c r="J1018" s="93"/>
      <c r="K1018" s="93"/>
      <c r="L1018" s="93"/>
      <c r="M1018" s="93"/>
      <c r="N1018" s="98">
        <v>0</v>
      </c>
      <c r="O1018" s="98">
        <v>1</v>
      </c>
      <c r="P1018" s="99">
        <f>SUM(SamplingData[[#This Row],[Winning Candidate]:[Under Votes]])</f>
        <v>108</v>
      </c>
      <c r="Q1018" s="100">
        <f>IF(AND(SamplingData[[#This Row],[Total]]&lt;&gt; 0, NOT(ISBLANK(SamplingData[[#This Row],[Losing Candidate]]))),(SamplingData[[#This Row],[Total]]+SamplingData[[#This Row],[Winning Candidate]]-SamplingData[[#This Row],[Losing Candidate]])/(SamplingData[[#Totals],[Winning Candidate]]-SamplingData[[#Totals],[Losing Candidate]]), 0)</f>
        <v>5.9993089801174734E-3</v>
      </c>
      <c r="R1018" s="100">
        <f>IF(AND(SamplingData[[#This Row],[Total]]&lt;&gt; 0, NOT(ISBLANK(SamplingData[[#This Row],[Candidate 3]]))),(SamplingData[[#This Row],[Total]]+SamplingData[[#This Row],[Winning Candidate]]-SamplingData[[#This Row],[Candidate 3]])/(SamplingData[[#Totals],[Winning Candidate]]-SamplingData[[#Totals],[Candidate 3]]), 0)</f>
        <v>0</v>
      </c>
      <c r="S1018" s="100">
        <f>IF(AND(SamplingData[[#This Row],[Total]]&lt;&gt; 0, NOT(ISBLANK(SamplingData[[#This Row],[Candidate 4]]))),(SamplingData[[#This Row],[Total]]+SamplingData[[#This Row],[Winning Candidate]]-SamplingData[[#This Row],[Candidate 4]])/(SamplingData[[#Totals],[Winning Candidate]]-SamplingData[[#Totals],[Candidate 4]]), 0)</f>
        <v>0</v>
      </c>
      <c r="T1018" s="100">
        <f>IF(AND(SamplingData[[#This Row],[Total]]&lt;&gt; 0, NOT(ISBLANK(SamplingData[[#This Row],[Candidate 5]]))),(SamplingData[[#This Row],[Total]]+SamplingData[[#This Row],[Winning Candidate]]-SamplingData[[#This Row],[Candidate 5]])/(SamplingData[[#Totals],[Winning Candidate]]-SamplingData[[#Totals],[Candidate 5]]), 0)</f>
        <v>0</v>
      </c>
      <c r="U1018" s="100">
        <f>IF(AND(SamplingData[[#This Row],[Total]]&lt;&gt; 0, NOT(ISBLANK(SamplingData[[#This Row],[Candidate 6]]))),(SamplingData[[#This Row],[Total]]+SamplingData[[#This Row],[Losing Candidate]]-SamplingData[[#This Row],[Candidate 6]])/(SamplingData[[#Totals],[Winning Candidate]]-SamplingData[[#Totals],[Candidate 6]]), 0)</f>
        <v>0</v>
      </c>
      <c r="V1018" s="100">
        <f>IF(AND(SamplingData[[#This Row],[Total]]&lt;&gt; 0, NOT(ISBLANK(SamplingData[[#This Row],[Candidate 7]]))),(SamplingData[[#This Row],[Total]]+SamplingData[[#This Row],[Winning Candidate]]-SamplingData[[#This Row],[Candidate 7]])/(SamplingData[[#Totals],[Winning Candidate]]-SamplingData[[#Totals],[Candidate 7]]), 0)</f>
        <v>0</v>
      </c>
      <c r="W1018" s="100">
        <f>IF(AND(SamplingData[[#This Row],[Total]]&lt;&gt; 0, NOT(ISBLANK(SamplingData[[#This Row],[Candidate 8]]))),(SamplingData[[#This Row],[Total]]+SamplingData[[#This Row],[Winning Candidate]]-SamplingData[[#This Row],[Candidate 8]])/(SamplingData[[#Totals],[Winning Candidate]]-SamplingData[[#Totals],[Candidate 8]]), 0)</f>
        <v>0</v>
      </c>
      <c r="X10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00">
        <f>MAX(SamplingData[[#This Row],[Error Bound (up) - Max. possible relative overstatement - Losing Candidate]:[Error Bound (up) - Max. possible relative overstatement - Candidate 12]])</f>
        <v>5.9993089801174734E-3</v>
      </c>
      <c r="AC1018" s="100">
        <f>IF(SamplingData[[#This Row],[Max Error Bound (up)]] = 0,0,SamplingData[[#This Row],[Max Error Bound (up)]]/SamplingData[[#Totals],[Max Error Bound (up)]])</f>
        <v>2.570936305389545E-3</v>
      </c>
      <c r="AD1018" s="104">
        <f>SUM($AC$5:AC1018)</f>
        <v>0.77588434824745689</v>
      </c>
      <c r="AE1018" s="100" t="str" cm="1">
        <f t="array" ref="AE1018">IF(SamplingData[[#This Row],[up/U Selection Probability]] = 0, "Zero", TEXT(SamplingData[[#This Row],[Lower Range]], REPT("0",LEN('General Info'!$B$42))) &amp; " - " &amp; TEXT(SamplingData[[#This Row],[Upper Range]], REPT("0",LEN('General Info'!$B$42))))</f>
        <v>77331 - 77587</v>
      </c>
      <c r="AF1018" s="100">
        <f>SamplingData[[#This Row],[Upper Range]]-SamplingData[[#This Row],[Span]]</f>
        <v>77331.341194206747</v>
      </c>
      <c r="AG1018" s="100">
        <f>IF(ISNUMBER('General Info'!$B$42), ((SamplingData[[#This Row],[up/U Selection Probability]]) * 'General Info'!$B$44) - 1, 0)</f>
        <v>256.09363053895453</v>
      </c>
      <c r="AH1018" s="100">
        <f>IF(ISNUMBER('General Info'!$B$42), (SamplingData[[#This Row],[Running (cumulative) sum]] * ('General Info'!$B$42 -'General Info'!$B$43 + 1)) + 'General Info'!$B$43 - 1, 0)</f>
        <v>77587.434824745695</v>
      </c>
      <c r="AI1018" s="100" t="str">
        <f>IF(ISERROR(MATCH(SamplingData[[#This Row],[Batch by Type (p)]],SelectedPrecincts[Batch Name], 0)), "", INDEX(SelectedPrecincts[Draw], MATCH(SamplingData[[#This Row],[Batch by Type (p)]],SelectedPrecincts[Batch Name], 0)))</f>
        <v/>
      </c>
      <c r="AJ1018" s="101">
        <f>IF(COUNTIF(SelectedPrecincts[Batch Name],SamplingData[[#This Row],[Batch by Type (p)]]) &lt;&gt; 0, COUNTIF(SelectedPrecincts[Batch Name],SamplingData[[#This Row],[Batch by Type (p)]]), 0)</f>
        <v>0</v>
      </c>
    </row>
    <row r="1019" spans="1:36" ht="15" customHeight="1" x14ac:dyDescent="0.35">
      <c r="A1019" s="98" t="s">
        <v>1230</v>
      </c>
      <c r="B1019" s="98">
        <v>105</v>
      </c>
      <c r="C1019" s="98">
        <v>13</v>
      </c>
      <c r="D1019" s="93"/>
      <c r="E1019" s="93"/>
      <c r="F1019" s="93"/>
      <c r="G1019" s="97"/>
      <c r="H1019" s="97"/>
      <c r="I1019" s="93"/>
      <c r="J1019" s="93"/>
      <c r="K1019" s="93"/>
      <c r="L1019" s="93"/>
      <c r="M1019" s="93"/>
      <c r="N1019" s="98">
        <v>0</v>
      </c>
      <c r="O1019" s="98">
        <v>1</v>
      </c>
      <c r="P1019" s="99">
        <f>SUM(SamplingData[[#This Row],[Winning Candidate]:[Under Votes]])</f>
        <v>119</v>
      </c>
      <c r="Q1019" s="100">
        <f>IF(AND(SamplingData[[#This Row],[Total]]&lt;&gt; 0, NOT(ISBLANK(SamplingData[[#This Row],[Losing Candidate]]))),(SamplingData[[#This Row],[Total]]+SamplingData[[#This Row],[Winning Candidate]]-SamplingData[[#This Row],[Losing Candidate]])/(SamplingData[[#Totals],[Winning Candidate]]-SamplingData[[#Totals],[Losing Candidate]]), 0)</f>
        <v>6.6275088733234915E-3</v>
      </c>
      <c r="R1019" s="100">
        <f>IF(AND(SamplingData[[#This Row],[Total]]&lt;&gt; 0, NOT(ISBLANK(SamplingData[[#This Row],[Candidate 3]]))),(SamplingData[[#This Row],[Total]]+SamplingData[[#This Row],[Winning Candidate]]-SamplingData[[#This Row],[Candidate 3]])/(SamplingData[[#Totals],[Winning Candidate]]-SamplingData[[#Totals],[Candidate 3]]), 0)</f>
        <v>0</v>
      </c>
      <c r="S1019" s="100">
        <f>IF(AND(SamplingData[[#This Row],[Total]]&lt;&gt; 0, NOT(ISBLANK(SamplingData[[#This Row],[Candidate 4]]))),(SamplingData[[#This Row],[Total]]+SamplingData[[#This Row],[Winning Candidate]]-SamplingData[[#This Row],[Candidate 4]])/(SamplingData[[#Totals],[Winning Candidate]]-SamplingData[[#Totals],[Candidate 4]]), 0)</f>
        <v>0</v>
      </c>
      <c r="T1019" s="100">
        <f>IF(AND(SamplingData[[#This Row],[Total]]&lt;&gt; 0, NOT(ISBLANK(SamplingData[[#This Row],[Candidate 5]]))),(SamplingData[[#This Row],[Total]]+SamplingData[[#This Row],[Winning Candidate]]-SamplingData[[#This Row],[Candidate 5]])/(SamplingData[[#Totals],[Winning Candidate]]-SamplingData[[#Totals],[Candidate 5]]), 0)</f>
        <v>0</v>
      </c>
      <c r="U1019" s="100">
        <f>IF(AND(SamplingData[[#This Row],[Total]]&lt;&gt; 0, NOT(ISBLANK(SamplingData[[#This Row],[Candidate 6]]))),(SamplingData[[#This Row],[Total]]+SamplingData[[#This Row],[Losing Candidate]]-SamplingData[[#This Row],[Candidate 6]])/(SamplingData[[#Totals],[Winning Candidate]]-SamplingData[[#Totals],[Candidate 6]]), 0)</f>
        <v>0</v>
      </c>
      <c r="V1019" s="100">
        <f>IF(AND(SamplingData[[#This Row],[Total]]&lt;&gt; 0, NOT(ISBLANK(SamplingData[[#This Row],[Candidate 7]]))),(SamplingData[[#This Row],[Total]]+SamplingData[[#This Row],[Winning Candidate]]-SamplingData[[#This Row],[Candidate 7]])/(SamplingData[[#Totals],[Winning Candidate]]-SamplingData[[#Totals],[Candidate 7]]), 0)</f>
        <v>0</v>
      </c>
      <c r="W1019" s="100">
        <f>IF(AND(SamplingData[[#This Row],[Total]]&lt;&gt; 0, NOT(ISBLANK(SamplingData[[#This Row],[Candidate 8]]))),(SamplingData[[#This Row],[Total]]+SamplingData[[#This Row],[Winning Candidate]]-SamplingData[[#This Row],[Candidate 8]])/(SamplingData[[#Totals],[Winning Candidate]]-SamplingData[[#Totals],[Candidate 8]]), 0)</f>
        <v>0</v>
      </c>
      <c r="X10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00">
        <f>MAX(SamplingData[[#This Row],[Error Bound (up) - Max. possible relative overstatement - Losing Candidate]:[Error Bound (up) - Max. possible relative overstatement - Candidate 12]])</f>
        <v>6.6275088733234915E-3</v>
      </c>
      <c r="AC1019" s="100">
        <f>IF(SamplingData[[#This Row],[Max Error Bound (up)]] = 0,0,SamplingData[[#This Row],[Max Error Bound (up)]]/SamplingData[[#Totals],[Max Error Bound (up)]])</f>
        <v>2.840144295482691E-3</v>
      </c>
      <c r="AD1019" s="104">
        <f>SUM($AC$5:AC1019)</f>
        <v>0.77872449254293963</v>
      </c>
      <c r="AE1019" s="100" t="str" cm="1">
        <f t="array" ref="AE1019">IF(SamplingData[[#This Row],[up/U Selection Probability]] = 0, "Zero", TEXT(SamplingData[[#This Row],[Lower Range]], REPT("0",LEN('General Info'!$B$42))) &amp; " - " &amp; TEXT(SamplingData[[#This Row],[Upper Range]], REPT("0",LEN('General Info'!$B$42))))</f>
        <v>77588 - 77871</v>
      </c>
      <c r="AF1019" s="100">
        <f>SamplingData[[#This Row],[Upper Range]]-SamplingData[[#This Row],[Span]]</f>
        <v>77588.434824745695</v>
      </c>
      <c r="AG1019" s="100">
        <f>IF(ISNUMBER('General Info'!$B$42), ((SamplingData[[#This Row],[up/U Selection Probability]]) * 'General Info'!$B$44) - 1, 0)</f>
        <v>283.01442954826911</v>
      </c>
      <c r="AH1019" s="100">
        <f>IF(ISNUMBER('General Info'!$B$42), (SamplingData[[#This Row],[Running (cumulative) sum]] * ('General Info'!$B$42 -'General Info'!$B$43 + 1)) + 'General Info'!$B$43 - 1, 0)</f>
        <v>77871.44925429397</v>
      </c>
      <c r="AI1019" s="100" t="str">
        <f>IF(ISERROR(MATCH(SamplingData[[#This Row],[Batch by Type (p)]],SelectedPrecincts[Batch Name], 0)), "", INDEX(SelectedPrecincts[Draw], MATCH(SamplingData[[#This Row],[Batch by Type (p)]],SelectedPrecincts[Batch Name], 0)))</f>
        <v/>
      </c>
      <c r="AJ1019" s="101">
        <f>IF(COUNTIF(SelectedPrecincts[Batch Name],SamplingData[[#This Row],[Batch by Type (p)]]) &lt;&gt; 0, COUNTIF(SelectedPrecincts[Batch Name],SamplingData[[#This Row],[Batch by Type (p)]]), 0)</f>
        <v>0</v>
      </c>
    </row>
    <row r="1020" spans="1:36" ht="15" customHeight="1" x14ac:dyDescent="0.35">
      <c r="A1020" s="98" t="s">
        <v>1231</v>
      </c>
      <c r="B1020" s="98">
        <v>97</v>
      </c>
      <c r="C1020" s="98">
        <v>8</v>
      </c>
      <c r="D1020" s="93"/>
      <c r="E1020" s="93"/>
      <c r="F1020" s="93"/>
      <c r="G1020" s="97"/>
      <c r="H1020" s="97"/>
      <c r="I1020" s="93"/>
      <c r="J1020" s="93"/>
      <c r="K1020" s="93"/>
      <c r="L1020" s="93"/>
      <c r="M1020" s="93"/>
      <c r="N1020" s="98">
        <v>0</v>
      </c>
      <c r="O1020" s="98">
        <v>1</v>
      </c>
      <c r="P1020" s="99">
        <f>SUM(SamplingData[[#This Row],[Winning Candidate]:[Under Votes]])</f>
        <v>106</v>
      </c>
      <c r="Q1020" s="100">
        <f>IF(AND(SamplingData[[#This Row],[Total]]&lt;&gt; 0, NOT(ISBLANK(SamplingData[[#This Row],[Losing Candidate]]))),(SamplingData[[#This Row],[Total]]+SamplingData[[#This Row],[Winning Candidate]]-SamplingData[[#This Row],[Losing Candidate]])/(SamplingData[[#Totals],[Winning Candidate]]-SamplingData[[#Totals],[Losing Candidate]]), 0)</f>
        <v>6.1249489587586773E-3</v>
      </c>
      <c r="R1020" s="100">
        <f>IF(AND(SamplingData[[#This Row],[Total]]&lt;&gt; 0, NOT(ISBLANK(SamplingData[[#This Row],[Candidate 3]]))),(SamplingData[[#This Row],[Total]]+SamplingData[[#This Row],[Winning Candidate]]-SamplingData[[#This Row],[Candidate 3]])/(SamplingData[[#Totals],[Winning Candidate]]-SamplingData[[#Totals],[Candidate 3]]), 0)</f>
        <v>0</v>
      </c>
      <c r="S1020" s="100">
        <f>IF(AND(SamplingData[[#This Row],[Total]]&lt;&gt; 0, NOT(ISBLANK(SamplingData[[#This Row],[Candidate 4]]))),(SamplingData[[#This Row],[Total]]+SamplingData[[#This Row],[Winning Candidate]]-SamplingData[[#This Row],[Candidate 4]])/(SamplingData[[#Totals],[Winning Candidate]]-SamplingData[[#Totals],[Candidate 4]]), 0)</f>
        <v>0</v>
      </c>
      <c r="T1020" s="100">
        <f>IF(AND(SamplingData[[#This Row],[Total]]&lt;&gt; 0, NOT(ISBLANK(SamplingData[[#This Row],[Candidate 5]]))),(SamplingData[[#This Row],[Total]]+SamplingData[[#This Row],[Winning Candidate]]-SamplingData[[#This Row],[Candidate 5]])/(SamplingData[[#Totals],[Winning Candidate]]-SamplingData[[#Totals],[Candidate 5]]), 0)</f>
        <v>0</v>
      </c>
      <c r="U1020" s="100">
        <f>IF(AND(SamplingData[[#This Row],[Total]]&lt;&gt; 0, NOT(ISBLANK(SamplingData[[#This Row],[Candidate 6]]))),(SamplingData[[#This Row],[Total]]+SamplingData[[#This Row],[Losing Candidate]]-SamplingData[[#This Row],[Candidate 6]])/(SamplingData[[#Totals],[Winning Candidate]]-SamplingData[[#Totals],[Candidate 6]]), 0)</f>
        <v>0</v>
      </c>
      <c r="V1020" s="100">
        <f>IF(AND(SamplingData[[#This Row],[Total]]&lt;&gt; 0, NOT(ISBLANK(SamplingData[[#This Row],[Candidate 7]]))),(SamplingData[[#This Row],[Total]]+SamplingData[[#This Row],[Winning Candidate]]-SamplingData[[#This Row],[Candidate 7]])/(SamplingData[[#Totals],[Winning Candidate]]-SamplingData[[#Totals],[Candidate 7]]), 0)</f>
        <v>0</v>
      </c>
      <c r="W1020" s="100">
        <f>IF(AND(SamplingData[[#This Row],[Total]]&lt;&gt; 0, NOT(ISBLANK(SamplingData[[#This Row],[Candidate 8]]))),(SamplingData[[#This Row],[Total]]+SamplingData[[#This Row],[Winning Candidate]]-SamplingData[[#This Row],[Candidate 8]])/(SamplingData[[#Totals],[Winning Candidate]]-SamplingData[[#Totals],[Candidate 8]]), 0)</f>
        <v>0</v>
      </c>
      <c r="X10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00">
        <f>MAX(SamplingData[[#This Row],[Error Bound (up) - Max. possible relative overstatement - Losing Candidate]:[Error Bound (up) - Max. possible relative overstatement - Candidate 12]])</f>
        <v>6.1249489587586773E-3</v>
      </c>
      <c r="AC1020" s="100">
        <f>IF(SamplingData[[#This Row],[Max Error Bound (up)]] = 0,0,SamplingData[[#This Row],[Max Error Bound (up)]]/SamplingData[[#Totals],[Max Error Bound (up)]])</f>
        <v>2.6247779034081742E-3</v>
      </c>
      <c r="AD1020" s="104">
        <f>SUM($AC$5:AC1020)</f>
        <v>0.78134927044634783</v>
      </c>
      <c r="AE1020" s="100" t="str" cm="1">
        <f t="array" ref="AE1020">IF(SamplingData[[#This Row],[up/U Selection Probability]] = 0, "Zero", TEXT(SamplingData[[#This Row],[Lower Range]], REPT("0",LEN('General Info'!$B$42))) &amp; " - " &amp; TEXT(SamplingData[[#This Row],[Upper Range]], REPT("0",LEN('General Info'!$B$42))))</f>
        <v>77872 - 78134</v>
      </c>
      <c r="AF1020" s="100">
        <f>SamplingData[[#This Row],[Upper Range]]-SamplingData[[#This Row],[Span]]</f>
        <v>77872.44925429397</v>
      </c>
      <c r="AG1020" s="100">
        <f>IF(ISNUMBER('General Info'!$B$42), ((SamplingData[[#This Row],[up/U Selection Probability]]) * 'General Info'!$B$44) - 1, 0)</f>
        <v>261.47779034081742</v>
      </c>
      <c r="AH1020" s="100">
        <f>IF(ISNUMBER('General Info'!$B$42), (SamplingData[[#This Row],[Running (cumulative) sum]] * ('General Info'!$B$42 -'General Info'!$B$43 + 1)) + 'General Info'!$B$43 - 1, 0)</f>
        <v>78133.92704463478</v>
      </c>
      <c r="AI1020" s="100" t="str">
        <f>IF(ISERROR(MATCH(SamplingData[[#This Row],[Batch by Type (p)]],SelectedPrecincts[Batch Name], 0)), "", INDEX(SelectedPrecincts[Draw], MATCH(SamplingData[[#This Row],[Batch by Type (p)]],SelectedPrecincts[Batch Name], 0)))</f>
        <v/>
      </c>
      <c r="AJ1020" s="101">
        <f>IF(COUNTIF(SelectedPrecincts[Batch Name],SamplingData[[#This Row],[Batch by Type (p)]]) &lt;&gt; 0, COUNTIF(SelectedPrecincts[Batch Name],SamplingData[[#This Row],[Batch by Type (p)]]), 0)</f>
        <v>0</v>
      </c>
    </row>
    <row r="1021" spans="1:36" ht="15" customHeight="1" x14ac:dyDescent="0.35">
      <c r="A1021" s="98" t="s">
        <v>1232</v>
      </c>
      <c r="B1021" s="98">
        <v>98</v>
      </c>
      <c r="C1021" s="98">
        <v>6</v>
      </c>
      <c r="D1021" s="93"/>
      <c r="E1021" s="93"/>
      <c r="F1021" s="93"/>
      <c r="G1021" s="97"/>
      <c r="H1021" s="97"/>
      <c r="I1021" s="93"/>
      <c r="J1021" s="93"/>
      <c r="K1021" s="93"/>
      <c r="L1021" s="93"/>
      <c r="M1021" s="93"/>
      <c r="N1021" s="98">
        <v>0</v>
      </c>
      <c r="O1021" s="98">
        <v>1</v>
      </c>
      <c r="P1021" s="99">
        <f>SUM(SamplingData[[#This Row],[Winning Candidate]:[Under Votes]])</f>
        <v>105</v>
      </c>
      <c r="Q1021" s="100">
        <f>IF(AND(SamplingData[[#This Row],[Total]]&lt;&gt; 0, NOT(ISBLANK(SamplingData[[#This Row],[Losing Candidate]]))),(SamplingData[[#This Row],[Total]]+SamplingData[[#This Row],[Winning Candidate]]-SamplingData[[#This Row],[Losing Candidate]])/(SamplingData[[#Totals],[Winning Candidate]]-SamplingData[[#Totals],[Losing Candidate]]), 0)</f>
        <v>6.1877689480792789E-3</v>
      </c>
      <c r="R1021" s="100">
        <f>IF(AND(SamplingData[[#This Row],[Total]]&lt;&gt; 0, NOT(ISBLANK(SamplingData[[#This Row],[Candidate 3]]))),(SamplingData[[#This Row],[Total]]+SamplingData[[#This Row],[Winning Candidate]]-SamplingData[[#This Row],[Candidate 3]])/(SamplingData[[#Totals],[Winning Candidate]]-SamplingData[[#Totals],[Candidate 3]]), 0)</f>
        <v>0</v>
      </c>
      <c r="S1021" s="100">
        <f>IF(AND(SamplingData[[#This Row],[Total]]&lt;&gt; 0, NOT(ISBLANK(SamplingData[[#This Row],[Candidate 4]]))),(SamplingData[[#This Row],[Total]]+SamplingData[[#This Row],[Winning Candidate]]-SamplingData[[#This Row],[Candidate 4]])/(SamplingData[[#Totals],[Winning Candidate]]-SamplingData[[#Totals],[Candidate 4]]), 0)</f>
        <v>0</v>
      </c>
      <c r="T1021" s="100">
        <f>IF(AND(SamplingData[[#This Row],[Total]]&lt;&gt; 0, NOT(ISBLANK(SamplingData[[#This Row],[Candidate 5]]))),(SamplingData[[#This Row],[Total]]+SamplingData[[#This Row],[Winning Candidate]]-SamplingData[[#This Row],[Candidate 5]])/(SamplingData[[#Totals],[Winning Candidate]]-SamplingData[[#Totals],[Candidate 5]]), 0)</f>
        <v>0</v>
      </c>
      <c r="U1021" s="100">
        <f>IF(AND(SamplingData[[#This Row],[Total]]&lt;&gt; 0, NOT(ISBLANK(SamplingData[[#This Row],[Candidate 6]]))),(SamplingData[[#This Row],[Total]]+SamplingData[[#This Row],[Losing Candidate]]-SamplingData[[#This Row],[Candidate 6]])/(SamplingData[[#Totals],[Winning Candidate]]-SamplingData[[#Totals],[Candidate 6]]), 0)</f>
        <v>0</v>
      </c>
      <c r="V1021" s="100">
        <f>IF(AND(SamplingData[[#This Row],[Total]]&lt;&gt; 0, NOT(ISBLANK(SamplingData[[#This Row],[Candidate 7]]))),(SamplingData[[#This Row],[Total]]+SamplingData[[#This Row],[Winning Candidate]]-SamplingData[[#This Row],[Candidate 7]])/(SamplingData[[#Totals],[Winning Candidate]]-SamplingData[[#Totals],[Candidate 7]]), 0)</f>
        <v>0</v>
      </c>
      <c r="W1021" s="100">
        <f>IF(AND(SamplingData[[#This Row],[Total]]&lt;&gt; 0, NOT(ISBLANK(SamplingData[[#This Row],[Candidate 8]]))),(SamplingData[[#This Row],[Total]]+SamplingData[[#This Row],[Winning Candidate]]-SamplingData[[#This Row],[Candidate 8]])/(SamplingData[[#Totals],[Winning Candidate]]-SamplingData[[#Totals],[Candidate 8]]), 0)</f>
        <v>0</v>
      </c>
      <c r="X10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00">
        <f>MAX(SamplingData[[#This Row],[Error Bound (up) - Max. possible relative overstatement - Losing Candidate]:[Error Bound (up) - Max. possible relative overstatement - Candidate 12]])</f>
        <v>6.1877689480792789E-3</v>
      </c>
      <c r="AC1021" s="100">
        <f>IF(SamplingData[[#This Row],[Max Error Bound (up)]] = 0,0,SamplingData[[#This Row],[Max Error Bound (up)]]/SamplingData[[#Totals],[Max Error Bound (up)]])</f>
        <v>2.6516987024174888E-3</v>
      </c>
      <c r="AD1021" s="104">
        <f>SUM($AC$5:AC1021)</f>
        <v>0.78400096914876527</v>
      </c>
      <c r="AE1021" s="100" t="str" cm="1">
        <f t="array" ref="AE1021">IF(SamplingData[[#This Row],[up/U Selection Probability]] = 0, "Zero", TEXT(SamplingData[[#This Row],[Lower Range]], REPT("0",LEN('General Info'!$B$42))) &amp; " - " &amp; TEXT(SamplingData[[#This Row],[Upper Range]], REPT("0",LEN('General Info'!$B$42))))</f>
        <v>78135 - 78399</v>
      </c>
      <c r="AF1021" s="100">
        <f>SamplingData[[#This Row],[Upper Range]]-SamplingData[[#This Row],[Span]]</f>
        <v>78134.92704463478</v>
      </c>
      <c r="AG1021" s="100">
        <f>IF(ISNUMBER('General Info'!$B$42), ((SamplingData[[#This Row],[up/U Selection Probability]]) * 'General Info'!$B$44) - 1, 0)</f>
        <v>264.16987024174887</v>
      </c>
      <c r="AH1021" s="100">
        <f>IF(ISNUMBER('General Info'!$B$42), (SamplingData[[#This Row],[Running (cumulative) sum]] * ('General Info'!$B$42 -'General Info'!$B$43 + 1)) + 'General Info'!$B$43 - 1, 0)</f>
        <v>78399.096914876529</v>
      </c>
      <c r="AI1021" s="100" t="str">
        <f>IF(ISERROR(MATCH(SamplingData[[#This Row],[Batch by Type (p)]],SelectedPrecincts[Batch Name], 0)), "", INDEX(SelectedPrecincts[Draw], MATCH(SamplingData[[#This Row],[Batch by Type (p)]],SelectedPrecincts[Batch Name], 0)))</f>
        <v/>
      </c>
      <c r="AJ1021" s="101">
        <f>IF(COUNTIF(SelectedPrecincts[Batch Name],SamplingData[[#This Row],[Batch by Type (p)]]) &lt;&gt; 0, COUNTIF(SelectedPrecincts[Batch Name],SamplingData[[#This Row],[Batch by Type (p)]]), 0)</f>
        <v>0</v>
      </c>
    </row>
    <row r="1022" spans="1:36" ht="15" customHeight="1" x14ac:dyDescent="0.35">
      <c r="A1022" s="98" t="s">
        <v>1233</v>
      </c>
      <c r="B1022" s="98">
        <v>76</v>
      </c>
      <c r="C1022" s="98">
        <v>14</v>
      </c>
      <c r="D1022" s="93"/>
      <c r="E1022" s="93"/>
      <c r="F1022" s="93"/>
      <c r="G1022" s="97"/>
      <c r="H1022" s="97"/>
      <c r="I1022" s="93"/>
      <c r="J1022" s="93"/>
      <c r="K1022" s="93"/>
      <c r="L1022" s="93"/>
      <c r="M1022" s="93"/>
      <c r="N1022" s="98">
        <v>0</v>
      </c>
      <c r="O1022" s="98">
        <v>2</v>
      </c>
      <c r="P1022" s="99">
        <f>SUM(SamplingData[[#This Row],[Winning Candidate]:[Under Votes]])</f>
        <v>92</v>
      </c>
      <c r="Q1022" s="100">
        <f>IF(AND(SamplingData[[#This Row],[Total]]&lt;&gt; 0, NOT(ISBLANK(SamplingData[[#This Row],[Losing Candidate]]))),(SamplingData[[#This Row],[Total]]+SamplingData[[#This Row],[Winning Candidate]]-SamplingData[[#This Row],[Losing Candidate]])/(SamplingData[[#Totals],[Winning Candidate]]-SamplingData[[#Totals],[Losing Candidate]]), 0)</f>
        <v>4.8371391776863394E-3</v>
      </c>
      <c r="R1022" s="100">
        <f>IF(AND(SamplingData[[#This Row],[Total]]&lt;&gt; 0, NOT(ISBLANK(SamplingData[[#This Row],[Candidate 3]]))),(SamplingData[[#This Row],[Total]]+SamplingData[[#This Row],[Winning Candidate]]-SamplingData[[#This Row],[Candidate 3]])/(SamplingData[[#Totals],[Winning Candidate]]-SamplingData[[#Totals],[Candidate 3]]), 0)</f>
        <v>0</v>
      </c>
      <c r="S1022" s="100">
        <f>IF(AND(SamplingData[[#This Row],[Total]]&lt;&gt; 0, NOT(ISBLANK(SamplingData[[#This Row],[Candidate 4]]))),(SamplingData[[#This Row],[Total]]+SamplingData[[#This Row],[Winning Candidate]]-SamplingData[[#This Row],[Candidate 4]])/(SamplingData[[#Totals],[Winning Candidate]]-SamplingData[[#Totals],[Candidate 4]]), 0)</f>
        <v>0</v>
      </c>
      <c r="T1022" s="100">
        <f>IF(AND(SamplingData[[#This Row],[Total]]&lt;&gt; 0, NOT(ISBLANK(SamplingData[[#This Row],[Candidate 5]]))),(SamplingData[[#This Row],[Total]]+SamplingData[[#This Row],[Winning Candidate]]-SamplingData[[#This Row],[Candidate 5]])/(SamplingData[[#Totals],[Winning Candidate]]-SamplingData[[#Totals],[Candidate 5]]), 0)</f>
        <v>0</v>
      </c>
      <c r="U1022" s="100">
        <f>IF(AND(SamplingData[[#This Row],[Total]]&lt;&gt; 0, NOT(ISBLANK(SamplingData[[#This Row],[Candidate 6]]))),(SamplingData[[#This Row],[Total]]+SamplingData[[#This Row],[Losing Candidate]]-SamplingData[[#This Row],[Candidate 6]])/(SamplingData[[#Totals],[Winning Candidate]]-SamplingData[[#Totals],[Candidate 6]]), 0)</f>
        <v>0</v>
      </c>
      <c r="V1022" s="100">
        <f>IF(AND(SamplingData[[#This Row],[Total]]&lt;&gt; 0, NOT(ISBLANK(SamplingData[[#This Row],[Candidate 7]]))),(SamplingData[[#This Row],[Total]]+SamplingData[[#This Row],[Winning Candidate]]-SamplingData[[#This Row],[Candidate 7]])/(SamplingData[[#Totals],[Winning Candidate]]-SamplingData[[#Totals],[Candidate 7]]), 0)</f>
        <v>0</v>
      </c>
      <c r="W1022" s="100">
        <f>IF(AND(SamplingData[[#This Row],[Total]]&lt;&gt; 0, NOT(ISBLANK(SamplingData[[#This Row],[Candidate 8]]))),(SamplingData[[#This Row],[Total]]+SamplingData[[#This Row],[Winning Candidate]]-SamplingData[[#This Row],[Candidate 8]])/(SamplingData[[#Totals],[Winning Candidate]]-SamplingData[[#Totals],[Candidate 8]]), 0)</f>
        <v>0</v>
      </c>
      <c r="X10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00">
        <f>MAX(SamplingData[[#This Row],[Error Bound (up) - Max. possible relative overstatement - Losing Candidate]:[Error Bound (up) - Max. possible relative overstatement - Candidate 12]])</f>
        <v>4.8371391776863394E-3</v>
      </c>
      <c r="AC1022" s="100">
        <f>IF(SamplingData[[#This Row],[Max Error Bound (up)]] = 0,0,SamplingData[[#This Row],[Max Error Bound (up)]]/SamplingData[[#Totals],[Max Error Bound (up)]])</f>
        <v>2.0729015237172244E-3</v>
      </c>
      <c r="AD1022" s="104">
        <f>SUM($AC$5:AC1022)</f>
        <v>0.78607387067248247</v>
      </c>
      <c r="AE1022" s="100" t="str" cm="1">
        <f t="array" ref="AE1022">IF(SamplingData[[#This Row],[up/U Selection Probability]] = 0, "Zero", TEXT(SamplingData[[#This Row],[Lower Range]], REPT("0",LEN('General Info'!$B$42))) &amp; " - " &amp; TEXT(SamplingData[[#This Row],[Upper Range]], REPT("0",LEN('General Info'!$B$42))))</f>
        <v>78400 - 78606</v>
      </c>
      <c r="AF1022" s="100">
        <f>SamplingData[[#This Row],[Upper Range]]-SamplingData[[#This Row],[Span]]</f>
        <v>78400.096914876529</v>
      </c>
      <c r="AG1022" s="100">
        <f>IF(ISNUMBER('General Info'!$B$42), ((SamplingData[[#This Row],[up/U Selection Probability]]) * 'General Info'!$B$44) - 1, 0)</f>
        <v>206.29015237172243</v>
      </c>
      <c r="AH1022" s="100">
        <f>IF(ISNUMBER('General Info'!$B$42), (SamplingData[[#This Row],[Running (cumulative) sum]] * ('General Info'!$B$42 -'General Info'!$B$43 + 1)) + 'General Info'!$B$43 - 1, 0)</f>
        <v>78606.387067248244</v>
      </c>
      <c r="AI1022" s="100" t="str">
        <f>IF(ISERROR(MATCH(SamplingData[[#This Row],[Batch by Type (p)]],SelectedPrecincts[Batch Name], 0)), "", INDEX(SelectedPrecincts[Draw], MATCH(SamplingData[[#This Row],[Batch by Type (p)]],SelectedPrecincts[Batch Name], 0)))</f>
        <v/>
      </c>
      <c r="AJ1022" s="101">
        <f>IF(COUNTIF(SelectedPrecincts[Batch Name],SamplingData[[#This Row],[Batch by Type (p)]]) &lt;&gt; 0, COUNTIF(SelectedPrecincts[Batch Name],SamplingData[[#This Row],[Batch by Type (p)]]), 0)</f>
        <v>0</v>
      </c>
    </row>
    <row r="1023" spans="1:36" ht="15" customHeight="1" x14ac:dyDescent="0.35">
      <c r="A1023" s="98" t="s">
        <v>1234</v>
      </c>
      <c r="B1023" s="98">
        <v>66</v>
      </c>
      <c r="C1023" s="98">
        <v>5</v>
      </c>
      <c r="D1023" s="93"/>
      <c r="E1023" s="93"/>
      <c r="F1023" s="93"/>
      <c r="G1023" s="97"/>
      <c r="H1023" s="97"/>
      <c r="I1023" s="93"/>
      <c r="J1023" s="93"/>
      <c r="K1023" s="93"/>
      <c r="L1023" s="93"/>
      <c r="M1023" s="93"/>
      <c r="N1023" s="98">
        <v>0</v>
      </c>
      <c r="O1023" s="98">
        <v>0</v>
      </c>
      <c r="P1023" s="99">
        <f>SUM(SamplingData[[#This Row],[Winning Candidate]:[Under Votes]])</f>
        <v>71</v>
      </c>
      <c r="Q1023" s="100">
        <f>IF(AND(SamplingData[[#This Row],[Total]]&lt;&gt; 0, NOT(ISBLANK(SamplingData[[#This Row],[Losing Candidate]]))),(SamplingData[[#This Row],[Total]]+SamplingData[[#This Row],[Winning Candidate]]-SamplingData[[#This Row],[Losing Candidate]])/(SamplingData[[#Totals],[Winning Candidate]]-SamplingData[[#Totals],[Losing Candidate]]), 0)</f>
        <v>4.1461192951597198E-3</v>
      </c>
      <c r="R1023" s="100">
        <f>IF(AND(SamplingData[[#This Row],[Total]]&lt;&gt; 0, NOT(ISBLANK(SamplingData[[#This Row],[Candidate 3]]))),(SamplingData[[#This Row],[Total]]+SamplingData[[#This Row],[Winning Candidate]]-SamplingData[[#This Row],[Candidate 3]])/(SamplingData[[#Totals],[Winning Candidate]]-SamplingData[[#Totals],[Candidate 3]]), 0)</f>
        <v>0</v>
      </c>
      <c r="S1023" s="100">
        <f>IF(AND(SamplingData[[#This Row],[Total]]&lt;&gt; 0, NOT(ISBLANK(SamplingData[[#This Row],[Candidate 4]]))),(SamplingData[[#This Row],[Total]]+SamplingData[[#This Row],[Winning Candidate]]-SamplingData[[#This Row],[Candidate 4]])/(SamplingData[[#Totals],[Winning Candidate]]-SamplingData[[#Totals],[Candidate 4]]), 0)</f>
        <v>0</v>
      </c>
      <c r="T1023" s="100">
        <f>IF(AND(SamplingData[[#This Row],[Total]]&lt;&gt; 0, NOT(ISBLANK(SamplingData[[#This Row],[Candidate 5]]))),(SamplingData[[#This Row],[Total]]+SamplingData[[#This Row],[Winning Candidate]]-SamplingData[[#This Row],[Candidate 5]])/(SamplingData[[#Totals],[Winning Candidate]]-SamplingData[[#Totals],[Candidate 5]]), 0)</f>
        <v>0</v>
      </c>
      <c r="U1023" s="100">
        <f>IF(AND(SamplingData[[#This Row],[Total]]&lt;&gt; 0, NOT(ISBLANK(SamplingData[[#This Row],[Candidate 6]]))),(SamplingData[[#This Row],[Total]]+SamplingData[[#This Row],[Losing Candidate]]-SamplingData[[#This Row],[Candidate 6]])/(SamplingData[[#Totals],[Winning Candidate]]-SamplingData[[#Totals],[Candidate 6]]), 0)</f>
        <v>0</v>
      </c>
      <c r="V1023" s="100">
        <f>IF(AND(SamplingData[[#This Row],[Total]]&lt;&gt; 0, NOT(ISBLANK(SamplingData[[#This Row],[Candidate 7]]))),(SamplingData[[#This Row],[Total]]+SamplingData[[#This Row],[Winning Candidate]]-SamplingData[[#This Row],[Candidate 7]])/(SamplingData[[#Totals],[Winning Candidate]]-SamplingData[[#Totals],[Candidate 7]]), 0)</f>
        <v>0</v>
      </c>
      <c r="W1023" s="100">
        <f>IF(AND(SamplingData[[#This Row],[Total]]&lt;&gt; 0, NOT(ISBLANK(SamplingData[[#This Row],[Candidate 8]]))),(SamplingData[[#This Row],[Total]]+SamplingData[[#This Row],[Winning Candidate]]-SamplingData[[#This Row],[Candidate 8]])/(SamplingData[[#Totals],[Winning Candidate]]-SamplingData[[#Totals],[Candidate 8]]), 0)</f>
        <v>0</v>
      </c>
      <c r="X10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00">
        <f>MAX(SamplingData[[#This Row],[Error Bound (up) - Max. possible relative overstatement - Losing Candidate]:[Error Bound (up) - Max. possible relative overstatement - Candidate 12]])</f>
        <v>4.1461192951597198E-3</v>
      </c>
      <c r="AC1023" s="100">
        <f>IF(SamplingData[[#This Row],[Max Error Bound (up)]] = 0,0,SamplingData[[#This Row],[Max Error Bound (up)]]/SamplingData[[#Totals],[Max Error Bound (up)]])</f>
        <v>1.776772734614764E-3</v>
      </c>
      <c r="AD1023" s="104">
        <f>SUM($AC$5:AC1023)</f>
        <v>0.78785064340709721</v>
      </c>
      <c r="AE1023" s="100" t="str" cm="1">
        <f t="array" ref="AE1023">IF(SamplingData[[#This Row],[up/U Selection Probability]] = 0, "Zero", TEXT(SamplingData[[#This Row],[Lower Range]], REPT("0",LEN('General Info'!$B$42))) &amp; " - " &amp; TEXT(SamplingData[[#This Row],[Upper Range]], REPT("0",LEN('General Info'!$B$42))))</f>
        <v>78607 - 78784</v>
      </c>
      <c r="AF1023" s="100">
        <f>SamplingData[[#This Row],[Upper Range]]-SamplingData[[#This Row],[Span]]</f>
        <v>78607.387067248244</v>
      </c>
      <c r="AG1023" s="100">
        <f>IF(ISNUMBER('General Info'!$B$42), ((SamplingData[[#This Row],[up/U Selection Probability]]) * 'General Info'!$B$44) - 1, 0)</f>
        <v>176.6772734614764</v>
      </c>
      <c r="AH1023" s="100">
        <f>IF(ISNUMBER('General Info'!$B$42), (SamplingData[[#This Row],[Running (cumulative) sum]] * ('General Info'!$B$42 -'General Info'!$B$43 + 1)) + 'General Info'!$B$43 - 1, 0)</f>
        <v>78784.064340709723</v>
      </c>
      <c r="AI1023" s="100" t="str">
        <f>IF(ISERROR(MATCH(SamplingData[[#This Row],[Batch by Type (p)]],SelectedPrecincts[Batch Name], 0)), "", INDEX(SelectedPrecincts[Draw], MATCH(SamplingData[[#This Row],[Batch by Type (p)]],SelectedPrecincts[Batch Name], 0)))</f>
        <v/>
      </c>
      <c r="AJ1023" s="101">
        <f>IF(COUNTIF(SelectedPrecincts[Batch Name],SamplingData[[#This Row],[Batch by Type (p)]]) &lt;&gt; 0, COUNTIF(SelectedPrecincts[Batch Name],SamplingData[[#This Row],[Batch by Type (p)]]), 0)</f>
        <v>0</v>
      </c>
    </row>
    <row r="1024" spans="1:36" ht="15" customHeight="1" x14ac:dyDescent="0.35">
      <c r="A1024" s="98" t="s">
        <v>1235</v>
      </c>
      <c r="B1024" s="98">
        <v>81</v>
      </c>
      <c r="C1024" s="98">
        <v>5</v>
      </c>
      <c r="D1024" s="93"/>
      <c r="E1024" s="93"/>
      <c r="F1024" s="93"/>
      <c r="G1024" s="97"/>
      <c r="H1024" s="97"/>
      <c r="I1024" s="93"/>
      <c r="J1024" s="93"/>
      <c r="K1024" s="93"/>
      <c r="L1024" s="93"/>
      <c r="M1024" s="93"/>
      <c r="N1024" s="98">
        <v>0</v>
      </c>
      <c r="O1024" s="98">
        <v>1</v>
      </c>
      <c r="P1024" s="99">
        <f>SUM(SamplingData[[#This Row],[Winning Candidate]:[Under Votes]])</f>
        <v>87</v>
      </c>
      <c r="Q1024" s="100">
        <f>IF(AND(SamplingData[[#This Row],[Total]]&lt;&gt; 0, NOT(ISBLANK(SamplingData[[#This Row],[Losing Candidate]]))),(SamplingData[[#This Row],[Total]]+SamplingData[[#This Row],[Winning Candidate]]-SamplingData[[#This Row],[Losing Candidate]])/(SamplingData[[#Totals],[Winning Candidate]]-SamplingData[[#Totals],[Losing Candidate]]), 0)</f>
        <v>5.1198291296290482E-3</v>
      </c>
      <c r="R1024" s="100">
        <f>IF(AND(SamplingData[[#This Row],[Total]]&lt;&gt; 0, NOT(ISBLANK(SamplingData[[#This Row],[Candidate 3]]))),(SamplingData[[#This Row],[Total]]+SamplingData[[#This Row],[Winning Candidate]]-SamplingData[[#This Row],[Candidate 3]])/(SamplingData[[#Totals],[Winning Candidate]]-SamplingData[[#Totals],[Candidate 3]]), 0)</f>
        <v>0</v>
      </c>
      <c r="S1024" s="100">
        <f>IF(AND(SamplingData[[#This Row],[Total]]&lt;&gt; 0, NOT(ISBLANK(SamplingData[[#This Row],[Candidate 4]]))),(SamplingData[[#This Row],[Total]]+SamplingData[[#This Row],[Winning Candidate]]-SamplingData[[#This Row],[Candidate 4]])/(SamplingData[[#Totals],[Winning Candidate]]-SamplingData[[#Totals],[Candidate 4]]), 0)</f>
        <v>0</v>
      </c>
      <c r="T1024" s="100">
        <f>IF(AND(SamplingData[[#This Row],[Total]]&lt;&gt; 0, NOT(ISBLANK(SamplingData[[#This Row],[Candidate 5]]))),(SamplingData[[#This Row],[Total]]+SamplingData[[#This Row],[Winning Candidate]]-SamplingData[[#This Row],[Candidate 5]])/(SamplingData[[#Totals],[Winning Candidate]]-SamplingData[[#Totals],[Candidate 5]]), 0)</f>
        <v>0</v>
      </c>
      <c r="U1024" s="100">
        <f>IF(AND(SamplingData[[#This Row],[Total]]&lt;&gt; 0, NOT(ISBLANK(SamplingData[[#This Row],[Candidate 6]]))),(SamplingData[[#This Row],[Total]]+SamplingData[[#This Row],[Losing Candidate]]-SamplingData[[#This Row],[Candidate 6]])/(SamplingData[[#Totals],[Winning Candidate]]-SamplingData[[#Totals],[Candidate 6]]), 0)</f>
        <v>0</v>
      </c>
      <c r="V1024" s="100">
        <f>IF(AND(SamplingData[[#This Row],[Total]]&lt;&gt; 0, NOT(ISBLANK(SamplingData[[#This Row],[Candidate 7]]))),(SamplingData[[#This Row],[Total]]+SamplingData[[#This Row],[Winning Candidate]]-SamplingData[[#This Row],[Candidate 7]])/(SamplingData[[#Totals],[Winning Candidate]]-SamplingData[[#Totals],[Candidate 7]]), 0)</f>
        <v>0</v>
      </c>
      <c r="W1024" s="100">
        <f>IF(AND(SamplingData[[#This Row],[Total]]&lt;&gt; 0, NOT(ISBLANK(SamplingData[[#This Row],[Candidate 8]]))),(SamplingData[[#This Row],[Total]]+SamplingData[[#This Row],[Winning Candidate]]-SamplingData[[#This Row],[Candidate 8]])/(SamplingData[[#Totals],[Winning Candidate]]-SamplingData[[#Totals],[Candidate 8]]), 0)</f>
        <v>0</v>
      </c>
      <c r="X10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00">
        <f>MAX(SamplingData[[#This Row],[Error Bound (up) - Max. possible relative overstatement - Losing Candidate]:[Error Bound (up) - Max. possible relative overstatement - Candidate 12]])</f>
        <v>5.1198291296290482E-3</v>
      </c>
      <c r="AC1024" s="100">
        <f>IF(SamplingData[[#This Row],[Max Error Bound (up)]] = 0,0,SamplingData[[#This Row],[Max Error Bound (up)]]/SamplingData[[#Totals],[Max Error Bound (up)]])</f>
        <v>2.1940451192591407E-3</v>
      </c>
      <c r="AD1024" s="104">
        <f>SUM($AC$5:AC1024)</f>
        <v>0.79004468852635634</v>
      </c>
      <c r="AE1024" s="100" t="str" cm="1">
        <f t="array" ref="AE1024">IF(SamplingData[[#This Row],[up/U Selection Probability]] = 0, "Zero", TEXT(SamplingData[[#This Row],[Lower Range]], REPT("0",LEN('General Info'!$B$42))) &amp; " - " &amp; TEXT(SamplingData[[#This Row],[Upper Range]], REPT("0",LEN('General Info'!$B$42))))</f>
        <v>78785 - 79003</v>
      </c>
      <c r="AF1024" s="100">
        <f>SamplingData[[#This Row],[Upper Range]]-SamplingData[[#This Row],[Span]]</f>
        <v>78785.064340709723</v>
      </c>
      <c r="AG1024" s="100">
        <f>IF(ISNUMBER('General Info'!$B$42), ((SamplingData[[#This Row],[up/U Selection Probability]]) * 'General Info'!$B$44) - 1, 0)</f>
        <v>218.40451192591408</v>
      </c>
      <c r="AH1024" s="100">
        <f>IF(ISNUMBER('General Info'!$B$42), (SamplingData[[#This Row],[Running (cumulative) sum]] * ('General Info'!$B$42 -'General Info'!$B$43 + 1)) + 'General Info'!$B$43 - 1, 0)</f>
        <v>79003.468852635633</v>
      </c>
      <c r="AI1024" s="100" t="str">
        <f>IF(ISERROR(MATCH(SamplingData[[#This Row],[Batch by Type (p)]],SelectedPrecincts[Batch Name], 0)), "", INDEX(SelectedPrecincts[Draw], MATCH(SamplingData[[#This Row],[Batch by Type (p)]],SelectedPrecincts[Batch Name], 0)))</f>
        <v/>
      </c>
      <c r="AJ1024" s="101">
        <f>IF(COUNTIF(SelectedPrecincts[Batch Name],SamplingData[[#This Row],[Batch by Type (p)]]) &lt;&gt; 0, COUNTIF(SelectedPrecincts[Batch Name],SamplingData[[#This Row],[Batch by Type (p)]]), 0)</f>
        <v>0</v>
      </c>
    </row>
    <row r="1025" spans="1:36" ht="15" customHeight="1" x14ac:dyDescent="0.35">
      <c r="A1025" s="98" t="s">
        <v>1236</v>
      </c>
      <c r="B1025" s="98">
        <v>130</v>
      </c>
      <c r="C1025" s="98">
        <v>9</v>
      </c>
      <c r="D1025" s="93"/>
      <c r="E1025" s="93"/>
      <c r="F1025" s="93"/>
      <c r="G1025" s="97"/>
      <c r="H1025" s="97"/>
      <c r="I1025" s="93"/>
      <c r="J1025" s="93"/>
      <c r="K1025" s="93"/>
      <c r="L1025" s="93"/>
      <c r="M1025" s="93"/>
      <c r="N1025" s="98">
        <v>0</v>
      </c>
      <c r="O1025" s="98">
        <v>1</v>
      </c>
      <c r="P1025" s="99">
        <f>SUM(SamplingData[[#This Row],[Winning Candidate]:[Under Votes]])</f>
        <v>140</v>
      </c>
      <c r="Q1025" s="100">
        <f>IF(AND(SamplingData[[#This Row],[Total]]&lt;&gt; 0, NOT(ISBLANK(SamplingData[[#This Row],[Losing Candidate]]))),(SamplingData[[#This Row],[Total]]+SamplingData[[#This Row],[Winning Candidate]]-SamplingData[[#This Row],[Losing Candidate]])/(SamplingData[[#Totals],[Winning Candidate]]-SamplingData[[#Totals],[Losing Candidate]]), 0)</f>
        <v>8.1980086063385364E-3</v>
      </c>
      <c r="R1025" s="100">
        <f>IF(AND(SamplingData[[#This Row],[Total]]&lt;&gt; 0, NOT(ISBLANK(SamplingData[[#This Row],[Candidate 3]]))),(SamplingData[[#This Row],[Total]]+SamplingData[[#This Row],[Winning Candidate]]-SamplingData[[#This Row],[Candidate 3]])/(SamplingData[[#Totals],[Winning Candidate]]-SamplingData[[#Totals],[Candidate 3]]), 0)</f>
        <v>0</v>
      </c>
      <c r="S1025" s="100">
        <f>IF(AND(SamplingData[[#This Row],[Total]]&lt;&gt; 0, NOT(ISBLANK(SamplingData[[#This Row],[Candidate 4]]))),(SamplingData[[#This Row],[Total]]+SamplingData[[#This Row],[Winning Candidate]]-SamplingData[[#This Row],[Candidate 4]])/(SamplingData[[#Totals],[Winning Candidate]]-SamplingData[[#Totals],[Candidate 4]]), 0)</f>
        <v>0</v>
      </c>
      <c r="T1025" s="100">
        <f>IF(AND(SamplingData[[#This Row],[Total]]&lt;&gt; 0, NOT(ISBLANK(SamplingData[[#This Row],[Candidate 5]]))),(SamplingData[[#This Row],[Total]]+SamplingData[[#This Row],[Winning Candidate]]-SamplingData[[#This Row],[Candidate 5]])/(SamplingData[[#Totals],[Winning Candidate]]-SamplingData[[#Totals],[Candidate 5]]), 0)</f>
        <v>0</v>
      </c>
      <c r="U1025" s="100">
        <f>IF(AND(SamplingData[[#This Row],[Total]]&lt;&gt; 0, NOT(ISBLANK(SamplingData[[#This Row],[Candidate 6]]))),(SamplingData[[#This Row],[Total]]+SamplingData[[#This Row],[Losing Candidate]]-SamplingData[[#This Row],[Candidate 6]])/(SamplingData[[#Totals],[Winning Candidate]]-SamplingData[[#Totals],[Candidate 6]]), 0)</f>
        <v>0</v>
      </c>
      <c r="V1025" s="100">
        <f>IF(AND(SamplingData[[#This Row],[Total]]&lt;&gt; 0, NOT(ISBLANK(SamplingData[[#This Row],[Candidate 7]]))),(SamplingData[[#This Row],[Total]]+SamplingData[[#This Row],[Winning Candidate]]-SamplingData[[#This Row],[Candidate 7]])/(SamplingData[[#Totals],[Winning Candidate]]-SamplingData[[#Totals],[Candidate 7]]), 0)</f>
        <v>0</v>
      </c>
      <c r="W1025" s="100">
        <f>IF(AND(SamplingData[[#This Row],[Total]]&lt;&gt; 0, NOT(ISBLANK(SamplingData[[#This Row],[Candidate 8]]))),(SamplingData[[#This Row],[Total]]+SamplingData[[#This Row],[Winning Candidate]]-SamplingData[[#This Row],[Candidate 8]])/(SamplingData[[#Totals],[Winning Candidate]]-SamplingData[[#Totals],[Candidate 8]]), 0)</f>
        <v>0</v>
      </c>
      <c r="X10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00">
        <f>MAX(SamplingData[[#This Row],[Error Bound (up) - Max. possible relative overstatement - Losing Candidate]:[Error Bound (up) - Max. possible relative overstatement - Candidate 12]])</f>
        <v>8.1980086063385364E-3</v>
      </c>
      <c r="AC1025" s="100">
        <f>IF(SamplingData[[#This Row],[Max Error Bound (up)]] = 0,0,SamplingData[[#This Row],[Max Error Bound (up)]]/SamplingData[[#Totals],[Max Error Bound (up)]])</f>
        <v>3.5131642707155559E-3</v>
      </c>
      <c r="AD1025" s="104">
        <f>SUM($AC$5:AC1025)</f>
        <v>0.79355785279707192</v>
      </c>
      <c r="AE1025" s="100" t="str" cm="1">
        <f t="array" ref="AE1025">IF(SamplingData[[#This Row],[up/U Selection Probability]] = 0, "Zero", TEXT(SamplingData[[#This Row],[Lower Range]], REPT("0",LEN('General Info'!$B$42))) &amp; " - " &amp; TEXT(SamplingData[[#This Row],[Upper Range]], REPT("0",LEN('General Info'!$B$42))))</f>
        <v>79004 - 79355</v>
      </c>
      <c r="AF1025" s="100">
        <f>SamplingData[[#This Row],[Upper Range]]-SamplingData[[#This Row],[Span]]</f>
        <v>79004.468852635648</v>
      </c>
      <c r="AG1025" s="100">
        <f>IF(ISNUMBER('General Info'!$B$42), ((SamplingData[[#This Row],[up/U Selection Probability]]) * 'General Info'!$B$44) - 1, 0)</f>
        <v>350.31642707155561</v>
      </c>
      <c r="AH1025" s="100">
        <f>IF(ISNUMBER('General Info'!$B$42), (SamplingData[[#This Row],[Running (cumulative) sum]] * ('General Info'!$B$42 -'General Info'!$B$43 + 1)) + 'General Info'!$B$43 - 1, 0)</f>
        <v>79354.785279707197</v>
      </c>
      <c r="AI1025" s="100" t="str">
        <f>IF(ISERROR(MATCH(SamplingData[[#This Row],[Batch by Type (p)]],SelectedPrecincts[Batch Name], 0)), "", INDEX(SelectedPrecincts[Draw], MATCH(SamplingData[[#This Row],[Batch by Type (p)]],SelectedPrecincts[Batch Name], 0)))</f>
        <v/>
      </c>
      <c r="AJ1025" s="101">
        <f>IF(COUNTIF(SelectedPrecincts[Batch Name],SamplingData[[#This Row],[Batch by Type (p)]]) &lt;&gt; 0, COUNTIF(SelectedPrecincts[Batch Name],SamplingData[[#This Row],[Batch by Type (p)]]), 0)</f>
        <v>0</v>
      </c>
    </row>
    <row r="1026" spans="1:36" ht="15" customHeight="1" x14ac:dyDescent="0.35">
      <c r="A1026" s="98" t="s">
        <v>1237</v>
      </c>
      <c r="B1026" s="98">
        <v>108</v>
      </c>
      <c r="C1026" s="98">
        <v>8</v>
      </c>
      <c r="D1026" s="93"/>
      <c r="E1026" s="93"/>
      <c r="F1026" s="93"/>
      <c r="G1026" s="97"/>
      <c r="H1026" s="97"/>
      <c r="I1026" s="93"/>
      <c r="J1026" s="93"/>
      <c r="K1026" s="93"/>
      <c r="L1026" s="93"/>
      <c r="M1026" s="93"/>
      <c r="N1026" s="98">
        <v>0</v>
      </c>
      <c r="O1026" s="98">
        <v>0</v>
      </c>
      <c r="P1026" s="99">
        <f>SUM(SamplingData[[#This Row],[Winning Candidate]:[Under Votes]])</f>
        <v>116</v>
      </c>
      <c r="Q1026" s="100">
        <f>IF(AND(SamplingData[[#This Row],[Total]]&lt;&gt; 0, NOT(ISBLANK(SamplingData[[#This Row],[Losing Candidate]]))),(SamplingData[[#This Row],[Total]]+SamplingData[[#This Row],[Winning Candidate]]-SamplingData[[#This Row],[Losing Candidate]])/(SamplingData[[#Totals],[Winning Candidate]]-SamplingData[[#Totals],[Losing Candidate]]), 0)</f>
        <v>6.7845588466249962E-3</v>
      </c>
      <c r="R1026" s="100">
        <f>IF(AND(SamplingData[[#This Row],[Total]]&lt;&gt; 0, NOT(ISBLANK(SamplingData[[#This Row],[Candidate 3]]))),(SamplingData[[#This Row],[Total]]+SamplingData[[#This Row],[Winning Candidate]]-SamplingData[[#This Row],[Candidate 3]])/(SamplingData[[#Totals],[Winning Candidate]]-SamplingData[[#Totals],[Candidate 3]]), 0)</f>
        <v>0</v>
      </c>
      <c r="S1026" s="100">
        <f>IF(AND(SamplingData[[#This Row],[Total]]&lt;&gt; 0, NOT(ISBLANK(SamplingData[[#This Row],[Candidate 4]]))),(SamplingData[[#This Row],[Total]]+SamplingData[[#This Row],[Winning Candidate]]-SamplingData[[#This Row],[Candidate 4]])/(SamplingData[[#Totals],[Winning Candidate]]-SamplingData[[#Totals],[Candidate 4]]), 0)</f>
        <v>0</v>
      </c>
      <c r="T1026" s="100">
        <f>IF(AND(SamplingData[[#This Row],[Total]]&lt;&gt; 0, NOT(ISBLANK(SamplingData[[#This Row],[Candidate 5]]))),(SamplingData[[#This Row],[Total]]+SamplingData[[#This Row],[Winning Candidate]]-SamplingData[[#This Row],[Candidate 5]])/(SamplingData[[#Totals],[Winning Candidate]]-SamplingData[[#Totals],[Candidate 5]]), 0)</f>
        <v>0</v>
      </c>
      <c r="U1026" s="100">
        <f>IF(AND(SamplingData[[#This Row],[Total]]&lt;&gt; 0, NOT(ISBLANK(SamplingData[[#This Row],[Candidate 6]]))),(SamplingData[[#This Row],[Total]]+SamplingData[[#This Row],[Losing Candidate]]-SamplingData[[#This Row],[Candidate 6]])/(SamplingData[[#Totals],[Winning Candidate]]-SamplingData[[#Totals],[Candidate 6]]), 0)</f>
        <v>0</v>
      </c>
      <c r="V1026" s="100">
        <f>IF(AND(SamplingData[[#This Row],[Total]]&lt;&gt; 0, NOT(ISBLANK(SamplingData[[#This Row],[Candidate 7]]))),(SamplingData[[#This Row],[Total]]+SamplingData[[#This Row],[Winning Candidate]]-SamplingData[[#This Row],[Candidate 7]])/(SamplingData[[#Totals],[Winning Candidate]]-SamplingData[[#Totals],[Candidate 7]]), 0)</f>
        <v>0</v>
      </c>
      <c r="W1026" s="100">
        <f>IF(AND(SamplingData[[#This Row],[Total]]&lt;&gt; 0, NOT(ISBLANK(SamplingData[[#This Row],[Candidate 8]]))),(SamplingData[[#This Row],[Total]]+SamplingData[[#This Row],[Winning Candidate]]-SamplingData[[#This Row],[Candidate 8]])/(SamplingData[[#Totals],[Winning Candidate]]-SamplingData[[#Totals],[Candidate 8]]), 0)</f>
        <v>0</v>
      </c>
      <c r="X10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00">
        <f>MAX(SamplingData[[#This Row],[Error Bound (up) - Max. possible relative overstatement - Losing Candidate]:[Error Bound (up) - Max. possible relative overstatement - Candidate 12]])</f>
        <v>6.7845588466249962E-3</v>
      </c>
      <c r="AC1026" s="100">
        <f>IF(SamplingData[[#This Row],[Max Error Bound (up)]] = 0,0,SamplingData[[#This Row],[Max Error Bound (up)]]/SamplingData[[#Totals],[Max Error Bound (up)]])</f>
        <v>2.9074462930059777E-3</v>
      </c>
      <c r="AD1026" s="104">
        <f>SUM($AC$5:AC1026)</f>
        <v>0.79646529909007791</v>
      </c>
      <c r="AE1026" s="100" t="str" cm="1">
        <f t="array" ref="AE1026">IF(SamplingData[[#This Row],[up/U Selection Probability]] = 0, "Zero", TEXT(SamplingData[[#This Row],[Lower Range]], REPT("0",LEN('General Info'!$B$42))) &amp; " - " &amp; TEXT(SamplingData[[#This Row],[Upper Range]], REPT("0",LEN('General Info'!$B$42))))</f>
        <v>79356 - 79646</v>
      </c>
      <c r="AF1026" s="100">
        <f>SamplingData[[#This Row],[Upper Range]]-SamplingData[[#This Row],[Span]]</f>
        <v>79355.785279707197</v>
      </c>
      <c r="AG1026" s="100">
        <f>IF(ISNUMBER('General Info'!$B$42), ((SamplingData[[#This Row],[up/U Selection Probability]]) * 'General Info'!$B$44) - 1, 0)</f>
        <v>289.74462930059775</v>
      </c>
      <c r="AH1026" s="100">
        <f>IF(ISNUMBER('General Info'!$B$42), (SamplingData[[#This Row],[Running (cumulative) sum]] * ('General Info'!$B$42 -'General Info'!$B$43 + 1)) + 'General Info'!$B$43 - 1, 0)</f>
        <v>79645.52990900779</v>
      </c>
      <c r="AI1026" s="100" t="str">
        <f>IF(ISERROR(MATCH(SamplingData[[#This Row],[Batch by Type (p)]],SelectedPrecincts[Batch Name], 0)), "", INDEX(SelectedPrecincts[Draw], MATCH(SamplingData[[#This Row],[Batch by Type (p)]],SelectedPrecincts[Batch Name], 0)))</f>
        <v/>
      </c>
      <c r="AJ1026" s="101">
        <f>IF(COUNTIF(SelectedPrecincts[Batch Name],SamplingData[[#This Row],[Batch by Type (p)]]) &lt;&gt; 0, COUNTIF(SelectedPrecincts[Batch Name],SamplingData[[#This Row],[Batch by Type (p)]]), 0)</f>
        <v>0</v>
      </c>
    </row>
    <row r="1027" spans="1:36" ht="15" customHeight="1" x14ac:dyDescent="0.35">
      <c r="A1027" s="98" t="s">
        <v>1238</v>
      </c>
      <c r="B1027" s="98">
        <v>24</v>
      </c>
      <c r="C1027" s="98">
        <v>6</v>
      </c>
      <c r="D1027" s="93"/>
      <c r="E1027" s="93"/>
      <c r="F1027" s="93"/>
      <c r="G1027" s="97"/>
      <c r="H1027" s="97"/>
      <c r="I1027" s="93"/>
      <c r="J1027" s="93"/>
      <c r="K1027" s="93"/>
      <c r="L1027" s="93"/>
      <c r="M1027" s="93"/>
      <c r="N1027" s="98">
        <v>0</v>
      </c>
      <c r="O1027" s="98">
        <v>0</v>
      </c>
      <c r="P1027" s="99">
        <f>SUM(SamplingData[[#This Row],[Winning Candidate]:[Under Votes]])</f>
        <v>30</v>
      </c>
      <c r="Q1027" s="100">
        <f>IF(AND(SamplingData[[#This Row],[Total]]&lt;&gt; 0, NOT(ISBLANK(SamplingData[[#This Row],[Losing Candidate]]))),(SamplingData[[#This Row],[Total]]+SamplingData[[#This Row],[Winning Candidate]]-SamplingData[[#This Row],[Losing Candidate]])/(SamplingData[[#Totals],[Winning Candidate]]-SamplingData[[#Totals],[Losing Candidate]]), 0)</f>
        <v>1.5076797436944435E-3</v>
      </c>
      <c r="R1027" s="100">
        <f>IF(AND(SamplingData[[#This Row],[Total]]&lt;&gt; 0, NOT(ISBLANK(SamplingData[[#This Row],[Candidate 3]]))),(SamplingData[[#This Row],[Total]]+SamplingData[[#This Row],[Winning Candidate]]-SamplingData[[#This Row],[Candidate 3]])/(SamplingData[[#Totals],[Winning Candidate]]-SamplingData[[#Totals],[Candidate 3]]), 0)</f>
        <v>0</v>
      </c>
      <c r="S1027" s="100">
        <f>IF(AND(SamplingData[[#This Row],[Total]]&lt;&gt; 0, NOT(ISBLANK(SamplingData[[#This Row],[Candidate 4]]))),(SamplingData[[#This Row],[Total]]+SamplingData[[#This Row],[Winning Candidate]]-SamplingData[[#This Row],[Candidate 4]])/(SamplingData[[#Totals],[Winning Candidate]]-SamplingData[[#Totals],[Candidate 4]]), 0)</f>
        <v>0</v>
      </c>
      <c r="T1027" s="100">
        <f>IF(AND(SamplingData[[#This Row],[Total]]&lt;&gt; 0, NOT(ISBLANK(SamplingData[[#This Row],[Candidate 5]]))),(SamplingData[[#This Row],[Total]]+SamplingData[[#This Row],[Winning Candidate]]-SamplingData[[#This Row],[Candidate 5]])/(SamplingData[[#Totals],[Winning Candidate]]-SamplingData[[#Totals],[Candidate 5]]), 0)</f>
        <v>0</v>
      </c>
      <c r="U1027" s="100">
        <f>IF(AND(SamplingData[[#This Row],[Total]]&lt;&gt; 0, NOT(ISBLANK(SamplingData[[#This Row],[Candidate 6]]))),(SamplingData[[#This Row],[Total]]+SamplingData[[#This Row],[Losing Candidate]]-SamplingData[[#This Row],[Candidate 6]])/(SamplingData[[#Totals],[Winning Candidate]]-SamplingData[[#Totals],[Candidate 6]]), 0)</f>
        <v>0</v>
      </c>
      <c r="V1027" s="100">
        <f>IF(AND(SamplingData[[#This Row],[Total]]&lt;&gt; 0, NOT(ISBLANK(SamplingData[[#This Row],[Candidate 7]]))),(SamplingData[[#This Row],[Total]]+SamplingData[[#This Row],[Winning Candidate]]-SamplingData[[#This Row],[Candidate 7]])/(SamplingData[[#Totals],[Winning Candidate]]-SamplingData[[#Totals],[Candidate 7]]), 0)</f>
        <v>0</v>
      </c>
      <c r="W1027" s="100">
        <f>IF(AND(SamplingData[[#This Row],[Total]]&lt;&gt; 0, NOT(ISBLANK(SamplingData[[#This Row],[Candidate 8]]))),(SamplingData[[#This Row],[Total]]+SamplingData[[#This Row],[Winning Candidate]]-SamplingData[[#This Row],[Candidate 8]])/(SamplingData[[#Totals],[Winning Candidate]]-SamplingData[[#Totals],[Candidate 8]]), 0)</f>
        <v>0</v>
      </c>
      <c r="X10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00">
        <f>MAX(SamplingData[[#This Row],[Error Bound (up) - Max. possible relative overstatement - Losing Candidate]:[Error Bound (up) - Max. possible relative overstatement - Candidate 12]])</f>
        <v>1.5076797436944435E-3</v>
      </c>
      <c r="AC1027" s="100">
        <f>IF(SamplingData[[#This Row],[Max Error Bound (up)]] = 0,0,SamplingData[[#This Row],[Max Error Bound (up)]]/SamplingData[[#Totals],[Max Error Bound (up)]])</f>
        <v>6.4609917622355053E-4</v>
      </c>
      <c r="AD1027" s="104">
        <f>SUM($AC$5:AC1027)</f>
        <v>0.79711139826630151</v>
      </c>
      <c r="AE1027" s="100" t="str" cm="1">
        <f t="array" ref="AE1027">IF(SamplingData[[#This Row],[up/U Selection Probability]] = 0, "Zero", TEXT(SamplingData[[#This Row],[Lower Range]], REPT("0",LEN('General Info'!$B$42))) &amp; " - " &amp; TEXT(SamplingData[[#This Row],[Upper Range]], REPT("0",LEN('General Info'!$B$42))))</f>
        <v>79647 - 79710</v>
      </c>
      <c r="AF1027" s="100">
        <f>SamplingData[[#This Row],[Upper Range]]-SamplingData[[#This Row],[Span]]</f>
        <v>79646.529909007804</v>
      </c>
      <c r="AG1027" s="100">
        <f>IF(ISNUMBER('General Info'!$B$42), ((SamplingData[[#This Row],[up/U Selection Probability]]) * 'General Info'!$B$44) - 1, 0)</f>
        <v>63.609917622355056</v>
      </c>
      <c r="AH1027" s="100">
        <f>IF(ISNUMBER('General Info'!$B$42), (SamplingData[[#This Row],[Running (cumulative) sum]] * ('General Info'!$B$42 -'General Info'!$B$43 + 1)) + 'General Info'!$B$43 - 1, 0)</f>
        <v>79710.139826630155</v>
      </c>
      <c r="AI1027" s="100" t="str">
        <f>IF(ISERROR(MATCH(SamplingData[[#This Row],[Batch by Type (p)]],SelectedPrecincts[Batch Name], 0)), "", INDEX(SelectedPrecincts[Draw], MATCH(SamplingData[[#This Row],[Batch by Type (p)]],SelectedPrecincts[Batch Name], 0)))</f>
        <v/>
      </c>
      <c r="AJ1027" s="101">
        <f>IF(COUNTIF(SelectedPrecincts[Batch Name],SamplingData[[#This Row],[Batch by Type (p)]]) &lt;&gt; 0, COUNTIF(SelectedPrecincts[Batch Name],SamplingData[[#This Row],[Batch by Type (p)]]), 0)</f>
        <v>0</v>
      </c>
    </row>
    <row r="1028" spans="1:36" ht="15" customHeight="1" x14ac:dyDescent="0.35">
      <c r="A1028" s="98" t="s">
        <v>1239</v>
      </c>
      <c r="B1028" s="98">
        <v>105</v>
      </c>
      <c r="C1028" s="98">
        <v>9</v>
      </c>
      <c r="D1028" s="93"/>
      <c r="E1028" s="93"/>
      <c r="F1028" s="93"/>
      <c r="G1028" s="97"/>
      <c r="H1028" s="97"/>
      <c r="I1028" s="93"/>
      <c r="J1028" s="93"/>
      <c r="K1028" s="93"/>
      <c r="L1028" s="93"/>
      <c r="M1028" s="93"/>
      <c r="N1028" s="98">
        <v>0</v>
      </c>
      <c r="O1028" s="98">
        <v>2</v>
      </c>
      <c r="P1028" s="99">
        <f>SUM(SamplingData[[#This Row],[Winning Candidate]:[Under Votes]])</f>
        <v>116</v>
      </c>
      <c r="Q1028" s="100">
        <f>IF(AND(SamplingData[[#This Row],[Total]]&lt;&gt; 0, NOT(ISBLANK(SamplingData[[#This Row],[Losing Candidate]]))),(SamplingData[[#This Row],[Total]]+SamplingData[[#This Row],[Winning Candidate]]-SamplingData[[#This Row],[Losing Candidate]])/(SamplingData[[#Totals],[Winning Candidate]]-SamplingData[[#Totals],[Losing Candidate]]), 0)</f>
        <v>6.6589188679837923E-3</v>
      </c>
      <c r="R1028" s="100">
        <f>IF(AND(SamplingData[[#This Row],[Total]]&lt;&gt; 0, NOT(ISBLANK(SamplingData[[#This Row],[Candidate 3]]))),(SamplingData[[#This Row],[Total]]+SamplingData[[#This Row],[Winning Candidate]]-SamplingData[[#This Row],[Candidate 3]])/(SamplingData[[#Totals],[Winning Candidate]]-SamplingData[[#Totals],[Candidate 3]]), 0)</f>
        <v>0</v>
      </c>
      <c r="S1028" s="100">
        <f>IF(AND(SamplingData[[#This Row],[Total]]&lt;&gt; 0, NOT(ISBLANK(SamplingData[[#This Row],[Candidate 4]]))),(SamplingData[[#This Row],[Total]]+SamplingData[[#This Row],[Winning Candidate]]-SamplingData[[#This Row],[Candidate 4]])/(SamplingData[[#Totals],[Winning Candidate]]-SamplingData[[#Totals],[Candidate 4]]), 0)</f>
        <v>0</v>
      </c>
      <c r="T1028" s="100">
        <f>IF(AND(SamplingData[[#This Row],[Total]]&lt;&gt; 0, NOT(ISBLANK(SamplingData[[#This Row],[Candidate 5]]))),(SamplingData[[#This Row],[Total]]+SamplingData[[#This Row],[Winning Candidate]]-SamplingData[[#This Row],[Candidate 5]])/(SamplingData[[#Totals],[Winning Candidate]]-SamplingData[[#Totals],[Candidate 5]]), 0)</f>
        <v>0</v>
      </c>
      <c r="U1028" s="100">
        <f>IF(AND(SamplingData[[#This Row],[Total]]&lt;&gt; 0, NOT(ISBLANK(SamplingData[[#This Row],[Candidate 6]]))),(SamplingData[[#This Row],[Total]]+SamplingData[[#This Row],[Losing Candidate]]-SamplingData[[#This Row],[Candidate 6]])/(SamplingData[[#Totals],[Winning Candidate]]-SamplingData[[#Totals],[Candidate 6]]), 0)</f>
        <v>0</v>
      </c>
      <c r="V1028" s="100">
        <f>IF(AND(SamplingData[[#This Row],[Total]]&lt;&gt; 0, NOT(ISBLANK(SamplingData[[#This Row],[Candidate 7]]))),(SamplingData[[#This Row],[Total]]+SamplingData[[#This Row],[Winning Candidate]]-SamplingData[[#This Row],[Candidate 7]])/(SamplingData[[#Totals],[Winning Candidate]]-SamplingData[[#Totals],[Candidate 7]]), 0)</f>
        <v>0</v>
      </c>
      <c r="W1028" s="100">
        <f>IF(AND(SamplingData[[#This Row],[Total]]&lt;&gt; 0, NOT(ISBLANK(SamplingData[[#This Row],[Candidate 8]]))),(SamplingData[[#This Row],[Total]]+SamplingData[[#This Row],[Winning Candidate]]-SamplingData[[#This Row],[Candidate 8]])/(SamplingData[[#Totals],[Winning Candidate]]-SamplingData[[#Totals],[Candidate 8]]), 0)</f>
        <v>0</v>
      </c>
      <c r="X10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00">
        <f>MAX(SamplingData[[#This Row],[Error Bound (up) - Max. possible relative overstatement - Losing Candidate]:[Error Bound (up) - Max. possible relative overstatement - Candidate 12]])</f>
        <v>6.6589188679837923E-3</v>
      </c>
      <c r="AC1028" s="100">
        <f>IF(SamplingData[[#This Row],[Max Error Bound (up)]] = 0,0,SamplingData[[#This Row],[Max Error Bound (up)]]/SamplingData[[#Totals],[Max Error Bound (up)]])</f>
        <v>2.8536046949873481E-3</v>
      </c>
      <c r="AD1028" s="104">
        <f>SUM($AC$5:AC1028)</f>
        <v>0.79996500296128881</v>
      </c>
      <c r="AE1028" s="100" t="str" cm="1">
        <f t="array" ref="AE1028">IF(SamplingData[[#This Row],[up/U Selection Probability]] = 0, "Zero", TEXT(SamplingData[[#This Row],[Lower Range]], REPT("0",LEN('General Info'!$B$42))) &amp; " - " &amp; TEXT(SamplingData[[#This Row],[Upper Range]], REPT("0",LEN('General Info'!$B$42))))</f>
        <v>79711 - 79996</v>
      </c>
      <c r="AF1028" s="100">
        <f>SamplingData[[#This Row],[Upper Range]]-SamplingData[[#This Row],[Span]]</f>
        <v>79711.139826630155</v>
      </c>
      <c r="AG1028" s="100">
        <f>IF(ISNUMBER('General Info'!$B$42), ((SamplingData[[#This Row],[up/U Selection Probability]]) * 'General Info'!$B$44) - 1, 0)</f>
        <v>284.3604694987348</v>
      </c>
      <c r="AH1028" s="100">
        <f>IF(ISNUMBER('General Info'!$B$42), (SamplingData[[#This Row],[Running (cumulative) sum]] * ('General Info'!$B$42 -'General Info'!$B$43 + 1)) + 'General Info'!$B$43 - 1, 0)</f>
        <v>79995.500296128885</v>
      </c>
      <c r="AI1028" s="100" t="str">
        <f>IF(ISERROR(MATCH(SamplingData[[#This Row],[Batch by Type (p)]],SelectedPrecincts[Batch Name], 0)), "", INDEX(SelectedPrecincts[Draw], MATCH(SamplingData[[#This Row],[Batch by Type (p)]],SelectedPrecincts[Batch Name], 0)))</f>
        <v/>
      </c>
      <c r="AJ1028" s="101">
        <f>IF(COUNTIF(SelectedPrecincts[Batch Name],SamplingData[[#This Row],[Batch by Type (p)]]) &lt;&gt; 0, COUNTIF(SelectedPrecincts[Batch Name],SamplingData[[#This Row],[Batch by Type (p)]]), 0)</f>
        <v>0</v>
      </c>
    </row>
    <row r="1029" spans="1:36" ht="15" customHeight="1" x14ac:dyDescent="0.35">
      <c r="A1029" s="98" t="s">
        <v>1240</v>
      </c>
      <c r="B1029" s="98">
        <v>118</v>
      </c>
      <c r="C1029" s="98">
        <v>19</v>
      </c>
      <c r="D1029" s="93"/>
      <c r="E1029" s="93"/>
      <c r="F1029" s="93"/>
      <c r="G1029" s="97"/>
      <c r="H1029" s="97"/>
      <c r="I1029" s="93"/>
      <c r="J1029" s="93"/>
      <c r="K1029" s="93"/>
      <c r="L1029" s="93"/>
      <c r="M1029" s="93"/>
      <c r="N1029" s="98">
        <v>1</v>
      </c>
      <c r="O1029" s="98">
        <v>2</v>
      </c>
      <c r="P1029" s="99">
        <f>SUM(SamplingData[[#This Row],[Winning Candidate]:[Under Votes]])</f>
        <v>140</v>
      </c>
      <c r="Q1029" s="100">
        <f>IF(AND(SamplingData[[#This Row],[Total]]&lt;&gt; 0, NOT(ISBLANK(SamplingData[[#This Row],[Losing Candidate]]))),(SamplingData[[#This Row],[Total]]+SamplingData[[#This Row],[Winning Candidate]]-SamplingData[[#This Row],[Losing Candidate]])/(SamplingData[[#Totals],[Winning Candidate]]-SamplingData[[#Totals],[Losing Candidate]]), 0)</f>
        <v>7.5069887238119167E-3</v>
      </c>
      <c r="R1029" s="100">
        <f>IF(AND(SamplingData[[#This Row],[Total]]&lt;&gt; 0, NOT(ISBLANK(SamplingData[[#This Row],[Candidate 3]]))),(SamplingData[[#This Row],[Total]]+SamplingData[[#This Row],[Winning Candidate]]-SamplingData[[#This Row],[Candidate 3]])/(SamplingData[[#Totals],[Winning Candidate]]-SamplingData[[#Totals],[Candidate 3]]), 0)</f>
        <v>0</v>
      </c>
      <c r="S1029" s="100">
        <f>IF(AND(SamplingData[[#This Row],[Total]]&lt;&gt; 0, NOT(ISBLANK(SamplingData[[#This Row],[Candidate 4]]))),(SamplingData[[#This Row],[Total]]+SamplingData[[#This Row],[Winning Candidate]]-SamplingData[[#This Row],[Candidate 4]])/(SamplingData[[#Totals],[Winning Candidate]]-SamplingData[[#Totals],[Candidate 4]]), 0)</f>
        <v>0</v>
      </c>
      <c r="T1029" s="100">
        <f>IF(AND(SamplingData[[#This Row],[Total]]&lt;&gt; 0, NOT(ISBLANK(SamplingData[[#This Row],[Candidate 5]]))),(SamplingData[[#This Row],[Total]]+SamplingData[[#This Row],[Winning Candidate]]-SamplingData[[#This Row],[Candidate 5]])/(SamplingData[[#Totals],[Winning Candidate]]-SamplingData[[#Totals],[Candidate 5]]), 0)</f>
        <v>0</v>
      </c>
      <c r="U1029" s="100">
        <f>IF(AND(SamplingData[[#This Row],[Total]]&lt;&gt; 0, NOT(ISBLANK(SamplingData[[#This Row],[Candidate 6]]))),(SamplingData[[#This Row],[Total]]+SamplingData[[#This Row],[Losing Candidate]]-SamplingData[[#This Row],[Candidate 6]])/(SamplingData[[#Totals],[Winning Candidate]]-SamplingData[[#Totals],[Candidate 6]]), 0)</f>
        <v>0</v>
      </c>
      <c r="V1029" s="100">
        <f>IF(AND(SamplingData[[#This Row],[Total]]&lt;&gt; 0, NOT(ISBLANK(SamplingData[[#This Row],[Candidate 7]]))),(SamplingData[[#This Row],[Total]]+SamplingData[[#This Row],[Winning Candidate]]-SamplingData[[#This Row],[Candidate 7]])/(SamplingData[[#Totals],[Winning Candidate]]-SamplingData[[#Totals],[Candidate 7]]), 0)</f>
        <v>0</v>
      </c>
      <c r="W1029" s="100">
        <f>IF(AND(SamplingData[[#This Row],[Total]]&lt;&gt; 0, NOT(ISBLANK(SamplingData[[#This Row],[Candidate 8]]))),(SamplingData[[#This Row],[Total]]+SamplingData[[#This Row],[Winning Candidate]]-SamplingData[[#This Row],[Candidate 8]])/(SamplingData[[#Totals],[Winning Candidate]]-SamplingData[[#Totals],[Candidate 8]]), 0)</f>
        <v>0</v>
      </c>
      <c r="X10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00">
        <f>MAX(SamplingData[[#This Row],[Error Bound (up) - Max. possible relative overstatement - Losing Candidate]:[Error Bound (up) - Max. possible relative overstatement - Candidate 12]])</f>
        <v>7.5069887238119167E-3</v>
      </c>
      <c r="AC1029" s="100">
        <f>IF(SamplingData[[#This Row],[Max Error Bound (up)]] = 0,0,SamplingData[[#This Row],[Max Error Bound (up)]]/SamplingData[[#Totals],[Max Error Bound (up)]])</f>
        <v>3.2170354816130954E-3</v>
      </c>
      <c r="AD1029" s="104">
        <f>SUM($AC$5:AC1029)</f>
        <v>0.80318203844290192</v>
      </c>
      <c r="AE1029" s="100" t="str" cm="1">
        <f t="array" ref="AE1029">IF(SamplingData[[#This Row],[up/U Selection Probability]] = 0, "Zero", TEXT(SamplingData[[#This Row],[Lower Range]], REPT("0",LEN('General Info'!$B$42))) &amp; " - " &amp; TEXT(SamplingData[[#This Row],[Upper Range]], REPT("0",LEN('General Info'!$B$42))))</f>
        <v>79997 - 80317</v>
      </c>
      <c r="AF1029" s="100">
        <f>SamplingData[[#This Row],[Upper Range]]-SamplingData[[#This Row],[Span]]</f>
        <v>79996.500296128885</v>
      </c>
      <c r="AG1029" s="100">
        <f>IF(ISNUMBER('General Info'!$B$42), ((SamplingData[[#This Row],[up/U Selection Probability]]) * 'General Info'!$B$44) - 1, 0)</f>
        <v>320.70354816130953</v>
      </c>
      <c r="AH1029" s="100">
        <f>IF(ISNUMBER('General Info'!$B$42), (SamplingData[[#This Row],[Running (cumulative) sum]] * ('General Info'!$B$42 -'General Info'!$B$43 + 1)) + 'General Info'!$B$43 - 1, 0)</f>
        <v>80317.203844290198</v>
      </c>
      <c r="AI1029" s="100" t="str">
        <f>IF(ISERROR(MATCH(SamplingData[[#This Row],[Batch by Type (p)]],SelectedPrecincts[Batch Name], 0)), "", INDEX(SelectedPrecincts[Draw], MATCH(SamplingData[[#This Row],[Batch by Type (p)]],SelectedPrecincts[Batch Name], 0)))</f>
        <v/>
      </c>
      <c r="AJ1029" s="101">
        <f>IF(COUNTIF(SelectedPrecincts[Batch Name],SamplingData[[#This Row],[Batch by Type (p)]]) &lt;&gt; 0, COUNTIF(SelectedPrecincts[Batch Name],SamplingData[[#This Row],[Batch by Type (p)]]), 0)</f>
        <v>0</v>
      </c>
    </row>
    <row r="1030" spans="1:36" ht="15" customHeight="1" x14ac:dyDescent="0.35">
      <c r="A1030" s="98" t="s">
        <v>1241</v>
      </c>
      <c r="B1030" s="98">
        <v>102</v>
      </c>
      <c r="C1030" s="98">
        <v>10</v>
      </c>
      <c r="D1030" s="93"/>
      <c r="E1030" s="93"/>
      <c r="F1030" s="93"/>
      <c r="G1030" s="97"/>
      <c r="H1030" s="97"/>
      <c r="I1030" s="93"/>
      <c r="J1030" s="93"/>
      <c r="K1030" s="93"/>
      <c r="L1030" s="93"/>
      <c r="M1030" s="93"/>
      <c r="N1030" s="98">
        <v>0</v>
      </c>
      <c r="O1030" s="98">
        <v>1</v>
      </c>
      <c r="P1030" s="99">
        <f>SUM(SamplingData[[#This Row],[Winning Candidate]:[Under Votes]])</f>
        <v>113</v>
      </c>
      <c r="Q1030" s="100">
        <f>IF(AND(SamplingData[[#This Row],[Total]]&lt;&gt; 0, NOT(ISBLANK(SamplingData[[#This Row],[Losing Candidate]]))),(SamplingData[[#This Row],[Total]]+SamplingData[[#This Row],[Winning Candidate]]-SamplingData[[#This Row],[Losing Candidate]])/(SamplingData[[#Totals],[Winning Candidate]]-SamplingData[[#Totals],[Losing Candidate]]), 0)</f>
        <v>6.439048905361686E-3</v>
      </c>
      <c r="R1030" s="100">
        <f>IF(AND(SamplingData[[#This Row],[Total]]&lt;&gt; 0, NOT(ISBLANK(SamplingData[[#This Row],[Candidate 3]]))),(SamplingData[[#This Row],[Total]]+SamplingData[[#This Row],[Winning Candidate]]-SamplingData[[#This Row],[Candidate 3]])/(SamplingData[[#Totals],[Winning Candidate]]-SamplingData[[#Totals],[Candidate 3]]), 0)</f>
        <v>0</v>
      </c>
      <c r="S1030" s="100">
        <f>IF(AND(SamplingData[[#This Row],[Total]]&lt;&gt; 0, NOT(ISBLANK(SamplingData[[#This Row],[Candidate 4]]))),(SamplingData[[#This Row],[Total]]+SamplingData[[#This Row],[Winning Candidate]]-SamplingData[[#This Row],[Candidate 4]])/(SamplingData[[#Totals],[Winning Candidate]]-SamplingData[[#Totals],[Candidate 4]]), 0)</f>
        <v>0</v>
      </c>
      <c r="T1030" s="100">
        <f>IF(AND(SamplingData[[#This Row],[Total]]&lt;&gt; 0, NOT(ISBLANK(SamplingData[[#This Row],[Candidate 5]]))),(SamplingData[[#This Row],[Total]]+SamplingData[[#This Row],[Winning Candidate]]-SamplingData[[#This Row],[Candidate 5]])/(SamplingData[[#Totals],[Winning Candidate]]-SamplingData[[#Totals],[Candidate 5]]), 0)</f>
        <v>0</v>
      </c>
      <c r="U1030" s="100">
        <f>IF(AND(SamplingData[[#This Row],[Total]]&lt;&gt; 0, NOT(ISBLANK(SamplingData[[#This Row],[Candidate 6]]))),(SamplingData[[#This Row],[Total]]+SamplingData[[#This Row],[Losing Candidate]]-SamplingData[[#This Row],[Candidate 6]])/(SamplingData[[#Totals],[Winning Candidate]]-SamplingData[[#Totals],[Candidate 6]]), 0)</f>
        <v>0</v>
      </c>
      <c r="V1030" s="100">
        <f>IF(AND(SamplingData[[#This Row],[Total]]&lt;&gt; 0, NOT(ISBLANK(SamplingData[[#This Row],[Candidate 7]]))),(SamplingData[[#This Row],[Total]]+SamplingData[[#This Row],[Winning Candidate]]-SamplingData[[#This Row],[Candidate 7]])/(SamplingData[[#Totals],[Winning Candidate]]-SamplingData[[#Totals],[Candidate 7]]), 0)</f>
        <v>0</v>
      </c>
      <c r="W1030" s="100">
        <f>IF(AND(SamplingData[[#This Row],[Total]]&lt;&gt; 0, NOT(ISBLANK(SamplingData[[#This Row],[Candidate 8]]))),(SamplingData[[#This Row],[Total]]+SamplingData[[#This Row],[Winning Candidate]]-SamplingData[[#This Row],[Candidate 8]])/(SamplingData[[#Totals],[Winning Candidate]]-SamplingData[[#Totals],[Candidate 8]]), 0)</f>
        <v>0</v>
      </c>
      <c r="X10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00">
        <f>MAX(SamplingData[[#This Row],[Error Bound (up) - Max. possible relative overstatement - Losing Candidate]:[Error Bound (up) - Max. possible relative overstatement - Candidate 12]])</f>
        <v>6.439048905361686E-3</v>
      </c>
      <c r="AC1030" s="100">
        <f>IF(SamplingData[[#This Row],[Max Error Bound (up)]] = 0,0,SamplingData[[#This Row],[Max Error Bound (up)]]/SamplingData[[#Totals],[Max Error Bound (up)]])</f>
        <v>2.7593818984547472E-3</v>
      </c>
      <c r="AD1030" s="104">
        <f>SUM($AC$5:AC1030)</f>
        <v>0.80594142034135663</v>
      </c>
      <c r="AE1030" s="100" t="str" cm="1">
        <f t="array" ref="AE1030">IF(SamplingData[[#This Row],[up/U Selection Probability]] = 0, "Zero", TEXT(SamplingData[[#This Row],[Lower Range]], REPT("0",LEN('General Info'!$B$42))) &amp; " - " &amp; TEXT(SamplingData[[#This Row],[Upper Range]], REPT("0",LEN('General Info'!$B$42))))</f>
        <v>80318 - 80593</v>
      </c>
      <c r="AF1030" s="100">
        <f>SamplingData[[#This Row],[Upper Range]]-SamplingData[[#This Row],[Span]]</f>
        <v>80318.203844290183</v>
      </c>
      <c r="AG1030" s="100">
        <f>IF(ISNUMBER('General Info'!$B$42), ((SamplingData[[#This Row],[up/U Selection Probability]]) * 'General Info'!$B$44) - 1, 0)</f>
        <v>274.93818984547471</v>
      </c>
      <c r="AH1030" s="100">
        <f>IF(ISNUMBER('General Info'!$B$42), (SamplingData[[#This Row],[Running (cumulative) sum]] * ('General Info'!$B$42 -'General Info'!$B$43 + 1)) + 'General Info'!$B$43 - 1, 0)</f>
        <v>80593.142034135657</v>
      </c>
      <c r="AI1030" s="100" t="str">
        <f>IF(ISERROR(MATCH(SamplingData[[#This Row],[Batch by Type (p)]],SelectedPrecincts[Batch Name], 0)), "", INDEX(SelectedPrecincts[Draw], MATCH(SamplingData[[#This Row],[Batch by Type (p)]],SelectedPrecincts[Batch Name], 0)))</f>
        <v/>
      </c>
      <c r="AJ1030" s="101">
        <f>IF(COUNTIF(SelectedPrecincts[Batch Name],SamplingData[[#This Row],[Batch by Type (p)]]) &lt;&gt; 0, COUNTIF(SelectedPrecincts[Batch Name],SamplingData[[#This Row],[Batch by Type (p)]]), 0)</f>
        <v>0</v>
      </c>
    </row>
    <row r="1031" spans="1:36" ht="15" customHeight="1" x14ac:dyDescent="0.35">
      <c r="A1031" s="98" t="s">
        <v>1242</v>
      </c>
      <c r="B1031" s="98">
        <v>110</v>
      </c>
      <c r="C1031" s="98">
        <v>9</v>
      </c>
      <c r="D1031" s="93"/>
      <c r="E1031" s="93"/>
      <c r="F1031" s="93"/>
      <c r="G1031" s="97"/>
      <c r="H1031" s="97"/>
      <c r="I1031" s="93"/>
      <c r="J1031" s="93"/>
      <c r="K1031" s="93"/>
      <c r="L1031" s="93"/>
      <c r="M1031" s="93"/>
      <c r="N1031" s="98">
        <v>0</v>
      </c>
      <c r="O1031" s="98">
        <v>1</v>
      </c>
      <c r="P1031" s="99">
        <f>SUM(SamplingData[[#This Row],[Winning Candidate]:[Under Votes]])</f>
        <v>120</v>
      </c>
      <c r="Q1031" s="100">
        <f>IF(AND(SamplingData[[#This Row],[Total]]&lt;&gt; 0, NOT(ISBLANK(SamplingData[[#This Row],[Losing Candidate]]))),(SamplingData[[#This Row],[Total]]+SamplingData[[#This Row],[Winning Candidate]]-SamplingData[[#This Row],[Losing Candidate]])/(SamplingData[[#Totals],[Winning Candidate]]-SamplingData[[#Totals],[Losing Candidate]]), 0)</f>
        <v>6.941608819926501E-3</v>
      </c>
      <c r="R1031" s="100">
        <f>IF(AND(SamplingData[[#This Row],[Total]]&lt;&gt; 0, NOT(ISBLANK(SamplingData[[#This Row],[Candidate 3]]))),(SamplingData[[#This Row],[Total]]+SamplingData[[#This Row],[Winning Candidate]]-SamplingData[[#This Row],[Candidate 3]])/(SamplingData[[#Totals],[Winning Candidate]]-SamplingData[[#Totals],[Candidate 3]]), 0)</f>
        <v>0</v>
      </c>
      <c r="S1031" s="100">
        <f>IF(AND(SamplingData[[#This Row],[Total]]&lt;&gt; 0, NOT(ISBLANK(SamplingData[[#This Row],[Candidate 4]]))),(SamplingData[[#This Row],[Total]]+SamplingData[[#This Row],[Winning Candidate]]-SamplingData[[#This Row],[Candidate 4]])/(SamplingData[[#Totals],[Winning Candidate]]-SamplingData[[#Totals],[Candidate 4]]), 0)</f>
        <v>0</v>
      </c>
      <c r="T1031" s="100">
        <f>IF(AND(SamplingData[[#This Row],[Total]]&lt;&gt; 0, NOT(ISBLANK(SamplingData[[#This Row],[Candidate 5]]))),(SamplingData[[#This Row],[Total]]+SamplingData[[#This Row],[Winning Candidate]]-SamplingData[[#This Row],[Candidate 5]])/(SamplingData[[#Totals],[Winning Candidate]]-SamplingData[[#Totals],[Candidate 5]]), 0)</f>
        <v>0</v>
      </c>
      <c r="U1031" s="100">
        <f>IF(AND(SamplingData[[#This Row],[Total]]&lt;&gt; 0, NOT(ISBLANK(SamplingData[[#This Row],[Candidate 6]]))),(SamplingData[[#This Row],[Total]]+SamplingData[[#This Row],[Losing Candidate]]-SamplingData[[#This Row],[Candidate 6]])/(SamplingData[[#Totals],[Winning Candidate]]-SamplingData[[#Totals],[Candidate 6]]), 0)</f>
        <v>0</v>
      </c>
      <c r="V1031" s="100">
        <f>IF(AND(SamplingData[[#This Row],[Total]]&lt;&gt; 0, NOT(ISBLANK(SamplingData[[#This Row],[Candidate 7]]))),(SamplingData[[#This Row],[Total]]+SamplingData[[#This Row],[Winning Candidate]]-SamplingData[[#This Row],[Candidate 7]])/(SamplingData[[#Totals],[Winning Candidate]]-SamplingData[[#Totals],[Candidate 7]]), 0)</f>
        <v>0</v>
      </c>
      <c r="W1031" s="100">
        <f>IF(AND(SamplingData[[#This Row],[Total]]&lt;&gt; 0, NOT(ISBLANK(SamplingData[[#This Row],[Candidate 8]]))),(SamplingData[[#This Row],[Total]]+SamplingData[[#This Row],[Winning Candidate]]-SamplingData[[#This Row],[Candidate 8]])/(SamplingData[[#Totals],[Winning Candidate]]-SamplingData[[#Totals],[Candidate 8]]), 0)</f>
        <v>0</v>
      </c>
      <c r="X10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00">
        <f>MAX(SamplingData[[#This Row],[Error Bound (up) - Max. possible relative overstatement - Losing Candidate]:[Error Bound (up) - Max. possible relative overstatement - Candidate 12]])</f>
        <v>6.941608819926501E-3</v>
      </c>
      <c r="AC1031" s="100">
        <f>IF(SamplingData[[#This Row],[Max Error Bound (up)]] = 0,0,SamplingData[[#This Row],[Max Error Bound (up)]]/SamplingData[[#Totals],[Max Error Bound (up)]])</f>
        <v>2.974748290529264E-3</v>
      </c>
      <c r="AD1031" s="104">
        <f>SUM($AC$5:AC1031)</f>
        <v>0.80891616863188587</v>
      </c>
      <c r="AE1031" s="100" t="str" cm="1">
        <f t="array" ref="AE1031">IF(SamplingData[[#This Row],[up/U Selection Probability]] = 0, "Zero", TEXT(SamplingData[[#This Row],[Lower Range]], REPT("0",LEN('General Info'!$B$42))) &amp; " - " &amp; TEXT(SamplingData[[#This Row],[Upper Range]], REPT("0",LEN('General Info'!$B$42))))</f>
        <v>80594 - 80891</v>
      </c>
      <c r="AF1031" s="100">
        <f>SamplingData[[#This Row],[Upper Range]]-SamplingData[[#This Row],[Span]]</f>
        <v>80594.142034135657</v>
      </c>
      <c r="AG1031" s="100">
        <f>IF(ISNUMBER('General Info'!$B$42), ((SamplingData[[#This Row],[up/U Selection Probability]]) * 'General Info'!$B$44) - 1, 0)</f>
        <v>296.4748290529264</v>
      </c>
      <c r="AH1031" s="100">
        <f>IF(ISNUMBER('General Info'!$B$42), (SamplingData[[#This Row],[Running (cumulative) sum]] * ('General Info'!$B$42 -'General Info'!$B$43 + 1)) + 'General Info'!$B$43 - 1, 0)</f>
        <v>80890.616863188581</v>
      </c>
      <c r="AI1031" s="100" t="str">
        <f>IF(ISERROR(MATCH(SamplingData[[#This Row],[Batch by Type (p)]],SelectedPrecincts[Batch Name], 0)), "", INDEX(SelectedPrecincts[Draw], MATCH(SamplingData[[#This Row],[Batch by Type (p)]],SelectedPrecincts[Batch Name], 0)))</f>
        <v/>
      </c>
      <c r="AJ1031" s="101">
        <f>IF(COUNTIF(SelectedPrecincts[Batch Name],SamplingData[[#This Row],[Batch by Type (p)]]) &lt;&gt; 0, COUNTIF(SelectedPrecincts[Batch Name],SamplingData[[#This Row],[Batch by Type (p)]]), 0)</f>
        <v>0</v>
      </c>
    </row>
    <row r="1032" spans="1:36" ht="15" customHeight="1" x14ac:dyDescent="0.35">
      <c r="A1032" s="98" t="s">
        <v>1243</v>
      </c>
      <c r="B1032" s="98">
        <v>87</v>
      </c>
      <c r="C1032" s="98">
        <v>12</v>
      </c>
      <c r="D1032" s="93"/>
      <c r="E1032" s="93"/>
      <c r="F1032" s="93"/>
      <c r="G1032" s="97"/>
      <c r="H1032" s="97"/>
      <c r="I1032" s="93"/>
      <c r="J1032" s="93"/>
      <c r="K1032" s="93"/>
      <c r="L1032" s="93"/>
      <c r="M1032" s="93"/>
      <c r="N1032" s="98">
        <v>0</v>
      </c>
      <c r="O1032" s="98">
        <v>1</v>
      </c>
      <c r="P1032" s="99">
        <f>SUM(SamplingData[[#This Row],[Winning Candidate]:[Under Votes]])</f>
        <v>100</v>
      </c>
      <c r="Q1032" s="100">
        <f>IF(AND(SamplingData[[#This Row],[Total]]&lt;&gt; 0, NOT(ISBLANK(SamplingData[[#This Row],[Losing Candidate]]))),(SamplingData[[#This Row],[Total]]+SamplingData[[#This Row],[Winning Candidate]]-SamplingData[[#This Row],[Losing Candidate]])/(SamplingData[[#Totals],[Winning Candidate]]-SamplingData[[#Totals],[Losing Candidate]]), 0)</f>
        <v>5.4967490655526592E-3</v>
      </c>
      <c r="R1032" s="100">
        <f>IF(AND(SamplingData[[#This Row],[Total]]&lt;&gt; 0, NOT(ISBLANK(SamplingData[[#This Row],[Candidate 3]]))),(SamplingData[[#This Row],[Total]]+SamplingData[[#This Row],[Winning Candidate]]-SamplingData[[#This Row],[Candidate 3]])/(SamplingData[[#Totals],[Winning Candidate]]-SamplingData[[#Totals],[Candidate 3]]), 0)</f>
        <v>0</v>
      </c>
      <c r="S1032" s="100">
        <f>IF(AND(SamplingData[[#This Row],[Total]]&lt;&gt; 0, NOT(ISBLANK(SamplingData[[#This Row],[Candidate 4]]))),(SamplingData[[#This Row],[Total]]+SamplingData[[#This Row],[Winning Candidate]]-SamplingData[[#This Row],[Candidate 4]])/(SamplingData[[#Totals],[Winning Candidate]]-SamplingData[[#Totals],[Candidate 4]]), 0)</f>
        <v>0</v>
      </c>
      <c r="T1032" s="100">
        <f>IF(AND(SamplingData[[#This Row],[Total]]&lt;&gt; 0, NOT(ISBLANK(SamplingData[[#This Row],[Candidate 5]]))),(SamplingData[[#This Row],[Total]]+SamplingData[[#This Row],[Winning Candidate]]-SamplingData[[#This Row],[Candidate 5]])/(SamplingData[[#Totals],[Winning Candidate]]-SamplingData[[#Totals],[Candidate 5]]), 0)</f>
        <v>0</v>
      </c>
      <c r="U1032" s="100">
        <f>IF(AND(SamplingData[[#This Row],[Total]]&lt;&gt; 0, NOT(ISBLANK(SamplingData[[#This Row],[Candidate 6]]))),(SamplingData[[#This Row],[Total]]+SamplingData[[#This Row],[Losing Candidate]]-SamplingData[[#This Row],[Candidate 6]])/(SamplingData[[#Totals],[Winning Candidate]]-SamplingData[[#Totals],[Candidate 6]]), 0)</f>
        <v>0</v>
      </c>
      <c r="V1032" s="100">
        <f>IF(AND(SamplingData[[#This Row],[Total]]&lt;&gt; 0, NOT(ISBLANK(SamplingData[[#This Row],[Candidate 7]]))),(SamplingData[[#This Row],[Total]]+SamplingData[[#This Row],[Winning Candidate]]-SamplingData[[#This Row],[Candidate 7]])/(SamplingData[[#Totals],[Winning Candidate]]-SamplingData[[#Totals],[Candidate 7]]), 0)</f>
        <v>0</v>
      </c>
      <c r="W1032" s="100">
        <f>IF(AND(SamplingData[[#This Row],[Total]]&lt;&gt; 0, NOT(ISBLANK(SamplingData[[#This Row],[Candidate 8]]))),(SamplingData[[#This Row],[Total]]+SamplingData[[#This Row],[Winning Candidate]]-SamplingData[[#This Row],[Candidate 8]])/(SamplingData[[#Totals],[Winning Candidate]]-SamplingData[[#Totals],[Candidate 8]]), 0)</f>
        <v>0</v>
      </c>
      <c r="X10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00">
        <f>MAX(SamplingData[[#This Row],[Error Bound (up) - Max. possible relative overstatement - Losing Candidate]:[Error Bound (up) - Max. possible relative overstatement - Candidate 12]])</f>
        <v>5.4967490655526592E-3</v>
      </c>
      <c r="AC1032" s="100">
        <f>IF(SamplingData[[#This Row],[Max Error Bound (up)]] = 0,0,SamplingData[[#This Row],[Max Error Bound (up)]]/SamplingData[[#Totals],[Max Error Bound (up)]])</f>
        <v>2.3555699133150283E-3</v>
      </c>
      <c r="AD1032" s="104">
        <f>SUM($AC$5:AC1032)</f>
        <v>0.81127173854520085</v>
      </c>
      <c r="AE1032" s="100" t="str" cm="1">
        <f t="array" ref="AE1032">IF(SamplingData[[#This Row],[up/U Selection Probability]] = 0, "Zero", TEXT(SamplingData[[#This Row],[Lower Range]], REPT("0",LEN('General Info'!$B$42))) &amp; " - " &amp; TEXT(SamplingData[[#This Row],[Upper Range]], REPT("0",LEN('General Info'!$B$42))))</f>
        <v>80892 - 81126</v>
      </c>
      <c r="AF1032" s="100">
        <f>SamplingData[[#This Row],[Upper Range]]-SamplingData[[#This Row],[Span]]</f>
        <v>80891.616863188581</v>
      </c>
      <c r="AG1032" s="100">
        <f>IF(ISNUMBER('General Info'!$B$42), ((SamplingData[[#This Row],[up/U Selection Probability]]) * 'General Info'!$B$44) - 1, 0)</f>
        <v>234.55699133150281</v>
      </c>
      <c r="AH1032" s="100">
        <f>IF(ISNUMBER('General Info'!$B$42), (SamplingData[[#This Row],[Running (cumulative) sum]] * ('General Info'!$B$42 -'General Info'!$B$43 + 1)) + 'General Info'!$B$43 - 1, 0)</f>
        <v>81126.173854520079</v>
      </c>
      <c r="AI1032" s="100" t="str">
        <f>IF(ISERROR(MATCH(SamplingData[[#This Row],[Batch by Type (p)]],SelectedPrecincts[Batch Name], 0)), "", INDEX(SelectedPrecincts[Draw], MATCH(SamplingData[[#This Row],[Batch by Type (p)]],SelectedPrecincts[Batch Name], 0)))</f>
        <v/>
      </c>
      <c r="AJ1032" s="101">
        <f>IF(COUNTIF(SelectedPrecincts[Batch Name],SamplingData[[#This Row],[Batch by Type (p)]]) &lt;&gt; 0, COUNTIF(SelectedPrecincts[Batch Name],SamplingData[[#This Row],[Batch by Type (p)]]), 0)</f>
        <v>0</v>
      </c>
    </row>
    <row r="1033" spans="1:36" ht="15" customHeight="1" x14ac:dyDescent="0.35">
      <c r="A1033" s="98" t="s">
        <v>1244</v>
      </c>
      <c r="B1033" s="98">
        <v>58</v>
      </c>
      <c r="C1033" s="98">
        <v>9</v>
      </c>
      <c r="D1033" s="93"/>
      <c r="E1033" s="93"/>
      <c r="F1033" s="93"/>
      <c r="G1033" s="97"/>
      <c r="H1033" s="97"/>
      <c r="I1033" s="93"/>
      <c r="J1033" s="93"/>
      <c r="K1033" s="93"/>
      <c r="L1033" s="93"/>
      <c r="M1033" s="93"/>
      <c r="N1033" s="98">
        <v>0</v>
      </c>
      <c r="O1033" s="98">
        <v>2</v>
      </c>
      <c r="P1033" s="99">
        <f>SUM(SamplingData[[#This Row],[Winning Candidate]:[Under Votes]])</f>
        <v>69</v>
      </c>
      <c r="Q1033" s="100">
        <f>IF(AND(SamplingData[[#This Row],[Total]]&lt;&gt; 0, NOT(ISBLANK(SamplingData[[#This Row],[Losing Candidate]]))),(SamplingData[[#This Row],[Total]]+SamplingData[[#This Row],[Winning Candidate]]-SamplingData[[#This Row],[Losing Candidate]])/(SamplingData[[#Totals],[Winning Candidate]]-SamplingData[[#Totals],[Losing Candidate]]), 0)</f>
        <v>3.7063793699155072E-3</v>
      </c>
      <c r="R1033" s="100">
        <f>IF(AND(SamplingData[[#This Row],[Total]]&lt;&gt; 0, NOT(ISBLANK(SamplingData[[#This Row],[Candidate 3]]))),(SamplingData[[#This Row],[Total]]+SamplingData[[#This Row],[Winning Candidate]]-SamplingData[[#This Row],[Candidate 3]])/(SamplingData[[#Totals],[Winning Candidate]]-SamplingData[[#Totals],[Candidate 3]]), 0)</f>
        <v>0</v>
      </c>
      <c r="S1033" s="100">
        <f>IF(AND(SamplingData[[#This Row],[Total]]&lt;&gt; 0, NOT(ISBLANK(SamplingData[[#This Row],[Candidate 4]]))),(SamplingData[[#This Row],[Total]]+SamplingData[[#This Row],[Winning Candidate]]-SamplingData[[#This Row],[Candidate 4]])/(SamplingData[[#Totals],[Winning Candidate]]-SamplingData[[#Totals],[Candidate 4]]), 0)</f>
        <v>0</v>
      </c>
      <c r="T1033" s="100">
        <f>IF(AND(SamplingData[[#This Row],[Total]]&lt;&gt; 0, NOT(ISBLANK(SamplingData[[#This Row],[Candidate 5]]))),(SamplingData[[#This Row],[Total]]+SamplingData[[#This Row],[Winning Candidate]]-SamplingData[[#This Row],[Candidate 5]])/(SamplingData[[#Totals],[Winning Candidate]]-SamplingData[[#Totals],[Candidate 5]]), 0)</f>
        <v>0</v>
      </c>
      <c r="U1033" s="100">
        <f>IF(AND(SamplingData[[#This Row],[Total]]&lt;&gt; 0, NOT(ISBLANK(SamplingData[[#This Row],[Candidate 6]]))),(SamplingData[[#This Row],[Total]]+SamplingData[[#This Row],[Losing Candidate]]-SamplingData[[#This Row],[Candidate 6]])/(SamplingData[[#Totals],[Winning Candidate]]-SamplingData[[#Totals],[Candidate 6]]), 0)</f>
        <v>0</v>
      </c>
      <c r="V1033" s="100">
        <f>IF(AND(SamplingData[[#This Row],[Total]]&lt;&gt; 0, NOT(ISBLANK(SamplingData[[#This Row],[Candidate 7]]))),(SamplingData[[#This Row],[Total]]+SamplingData[[#This Row],[Winning Candidate]]-SamplingData[[#This Row],[Candidate 7]])/(SamplingData[[#Totals],[Winning Candidate]]-SamplingData[[#Totals],[Candidate 7]]), 0)</f>
        <v>0</v>
      </c>
      <c r="W1033" s="100">
        <f>IF(AND(SamplingData[[#This Row],[Total]]&lt;&gt; 0, NOT(ISBLANK(SamplingData[[#This Row],[Candidate 8]]))),(SamplingData[[#This Row],[Total]]+SamplingData[[#This Row],[Winning Candidate]]-SamplingData[[#This Row],[Candidate 8]])/(SamplingData[[#Totals],[Winning Candidate]]-SamplingData[[#Totals],[Candidate 8]]), 0)</f>
        <v>0</v>
      </c>
      <c r="X10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00">
        <f>MAX(SamplingData[[#This Row],[Error Bound (up) - Max. possible relative overstatement - Losing Candidate]:[Error Bound (up) - Max. possible relative overstatement - Candidate 12]])</f>
        <v>3.7063793699155072E-3</v>
      </c>
      <c r="AC1033" s="100">
        <f>IF(SamplingData[[#This Row],[Max Error Bound (up)]] = 0,0,SamplingData[[#This Row],[Max Error Bound (up)]]/SamplingData[[#Totals],[Max Error Bound (up)]])</f>
        <v>1.5883271415495618E-3</v>
      </c>
      <c r="AD1033" s="104">
        <f>SUM($AC$5:AC1033)</f>
        <v>0.8128600656867504</v>
      </c>
      <c r="AE1033" s="100" t="str" cm="1">
        <f t="array" ref="AE1033">IF(SamplingData[[#This Row],[up/U Selection Probability]] = 0, "Zero", TEXT(SamplingData[[#This Row],[Lower Range]], REPT("0",LEN('General Info'!$B$42))) &amp; " - " &amp; TEXT(SamplingData[[#This Row],[Upper Range]], REPT("0",LEN('General Info'!$B$42))))</f>
        <v>81127 - 81285</v>
      </c>
      <c r="AF1033" s="100">
        <f>SamplingData[[#This Row],[Upper Range]]-SamplingData[[#This Row],[Span]]</f>
        <v>81127.173854520093</v>
      </c>
      <c r="AG1033" s="100">
        <f>IF(ISNUMBER('General Info'!$B$42), ((SamplingData[[#This Row],[up/U Selection Probability]]) * 'General Info'!$B$44) - 1, 0)</f>
        <v>157.83271415495619</v>
      </c>
      <c r="AH1033" s="100">
        <f>IF(ISNUMBER('General Info'!$B$42), (SamplingData[[#This Row],[Running (cumulative) sum]] * ('General Info'!$B$42 -'General Info'!$B$43 + 1)) + 'General Info'!$B$43 - 1, 0)</f>
        <v>81285.006568675046</v>
      </c>
      <c r="AI1033" s="100" t="str">
        <f>IF(ISERROR(MATCH(SamplingData[[#This Row],[Batch by Type (p)]],SelectedPrecincts[Batch Name], 0)), "", INDEX(SelectedPrecincts[Draw], MATCH(SamplingData[[#This Row],[Batch by Type (p)]],SelectedPrecincts[Batch Name], 0)))</f>
        <v/>
      </c>
      <c r="AJ1033" s="101">
        <f>IF(COUNTIF(SelectedPrecincts[Batch Name],SamplingData[[#This Row],[Batch by Type (p)]]) &lt;&gt; 0, COUNTIF(SelectedPrecincts[Batch Name],SamplingData[[#This Row],[Batch by Type (p)]]), 0)</f>
        <v>0</v>
      </c>
    </row>
    <row r="1034" spans="1:36" ht="15" customHeight="1" x14ac:dyDescent="0.35">
      <c r="A1034" s="98" t="s">
        <v>1245</v>
      </c>
      <c r="B1034" s="98">
        <v>124</v>
      </c>
      <c r="C1034" s="98">
        <v>9</v>
      </c>
      <c r="D1034" s="93"/>
      <c r="E1034" s="93"/>
      <c r="F1034" s="93"/>
      <c r="G1034" s="97"/>
      <c r="H1034" s="97"/>
      <c r="I1034" s="93"/>
      <c r="J1034" s="93"/>
      <c r="K1034" s="93"/>
      <c r="L1034" s="93"/>
      <c r="M1034" s="93"/>
      <c r="N1034" s="98">
        <v>1</v>
      </c>
      <c r="O1034" s="98">
        <v>2</v>
      </c>
      <c r="P1034" s="99">
        <f>SUM(SamplingData[[#This Row],[Winning Candidate]:[Under Votes]])</f>
        <v>136</v>
      </c>
      <c r="Q1034" s="100">
        <f>IF(AND(SamplingData[[#This Row],[Total]]&lt;&gt; 0, NOT(ISBLANK(SamplingData[[#This Row],[Losing Candidate]]))),(SamplingData[[#This Row],[Total]]+SamplingData[[#This Row],[Winning Candidate]]-SamplingData[[#This Row],[Losing Candidate]])/(SamplingData[[#Totals],[Winning Candidate]]-SamplingData[[#Totals],[Losing Candidate]]), 0)</f>
        <v>7.8839086597355286E-3</v>
      </c>
      <c r="R1034" s="100">
        <f>IF(AND(SamplingData[[#This Row],[Total]]&lt;&gt; 0, NOT(ISBLANK(SamplingData[[#This Row],[Candidate 3]]))),(SamplingData[[#This Row],[Total]]+SamplingData[[#This Row],[Winning Candidate]]-SamplingData[[#This Row],[Candidate 3]])/(SamplingData[[#Totals],[Winning Candidate]]-SamplingData[[#Totals],[Candidate 3]]), 0)</f>
        <v>0</v>
      </c>
      <c r="S1034" s="100">
        <f>IF(AND(SamplingData[[#This Row],[Total]]&lt;&gt; 0, NOT(ISBLANK(SamplingData[[#This Row],[Candidate 4]]))),(SamplingData[[#This Row],[Total]]+SamplingData[[#This Row],[Winning Candidate]]-SamplingData[[#This Row],[Candidate 4]])/(SamplingData[[#Totals],[Winning Candidate]]-SamplingData[[#Totals],[Candidate 4]]), 0)</f>
        <v>0</v>
      </c>
      <c r="T1034" s="100">
        <f>IF(AND(SamplingData[[#This Row],[Total]]&lt;&gt; 0, NOT(ISBLANK(SamplingData[[#This Row],[Candidate 5]]))),(SamplingData[[#This Row],[Total]]+SamplingData[[#This Row],[Winning Candidate]]-SamplingData[[#This Row],[Candidate 5]])/(SamplingData[[#Totals],[Winning Candidate]]-SamplingData[[#Totals],[Candidate 5]]), 0)</f>
        <v>0</v>
      </c>
      <c r="U1034" s="100">
        <f>IF(AND(SamplingData[[#This Row],[Total]]&lt;&gt; 0, NOT(ISBLANK(SamplingData[[#This Row],[Candidate 6]]))),(SamplingData[[#This Row],[Total]]+SamplingData[[#This Row],[Losing Candidate]]-SamplingData[[#This Row],[Candidate 6]])/(SamplingData[[#Totals],[Winning Candidate]]-SamplingData[[#Totals],[Candidate 6]]), 0)</f>
        <v>0</v>
      </c>
      <c r="V1034" s="100">
        <f>IF(AND(SamplingData[[#This Row],[Total]]&lt;&gt; 0, NOT(ISBLANK(SamplingData[[#This Row],[Candidate 7]]))),(SamplingData[[#This Row],[Total]]+SamplingData[[#This Row],[Winning Candidate]]-SamplingData[[#This Row],[Candidate 7]])/(SamplingData[[#Totals],[Winning Candidate]]-SamplingData[[#Totals],[Candidate 7]]), 0)</f>
        <v>0</v>
      </c>
      <c r="W1034" s="100">
        <f>IF(AND(SamplingData[[#This Row],[Total]]&lt;&gt; 0, NOT(ISBLANK(SamplingData[[#This Row],[Candidate 8]]))),(SamplingData[[#This Row],[Total]]+SamplingData[[#This Row],[Winning Candidate]]-SamplingData[[#This Row],[Candidate 8]])/(SamplingData[[#Totals],[Winning Candidate]]-SamplingData[[#Totals],[Candidate 8]]), 0)</f>
        <v>0</v>
      </c>
      <c r="X10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00">
        <f>MAX(SamplingData[[#This Row],[Error Bound (up) - Max. possible relative overstatement - Losing Candidate]:[Error Bound (up) - Max. possible relative overstatement - Candidate 12]])</f>
        <v>7.8839086597355286E-3</v>
      </c>
      <c r="AC1034" s="100">
        <f>IF(SamplingData[[#This Row],[Max Error Bound (up)]] = 0,0,SamplingData[[#This Row],[Max Error Bound (up)]]/SamplingData[[#Totals],[Max Error Bound (up)]])</f>
        <v>3.3785602756689834E-3</v>
      </c>
      <c r="AD1034" s="104">
        <f>SUM($AC$5:AC1034)</f>
        <v>0.81623862596241936</v>
      </c>
      <c r="AE1034" s="100" t="str" cm="1">
        <f t="array" ref="AE1034">IF(SamplingData[[#This Row],[up/U Selection Probability]] = 0, "Zero", TEXT(SamplingData[[#This Row],[Lower Range]], REPT("0",LEN('General Info'!$B$42))) &amp; " - " &amp; TEXT(SamplingData[[#This Row],[Upper Range]], REPT("0",LEN('General Info'!$B$42))))</f>
        <v>81286 - 81623</v>
      </c>
      <c r="AF1034" s="100">
        <f>SamplingData[[#This Row],[Upper Range]]-SamplingData[[#This Row],[Span]]</f>
        <v>81286.006568675031</v>
      </c>
      <c r="AG1034" s="100">
        <f>IF(ISNUMBER('General Info'!$B$42), ((SamplingData[[#This Row],[up/U Selection Probability]]) * 'General Info'!$B$44) - 1, 0)</f>
        <v>336.85602756689832</v>
      </c>
      <c r="AH1034" s="100">
        <f>IF(ISNUMBER('General Info'!$B$42), (SamplingData[[#This Row],[Running (cumulative) sum]] * ('General Info'!$B$42 -'General Info'!$B$43 + 1)) + 'General Info'!$B$43 - 1, 0)</f>
        <v>81622.862596241932</v>
      </c>
      <c r="AI1034" s="100" t="str">
        <f>IF(ISERROR(MATCH(SamplingData[[#This Row],[Batch by Type (p)]],SelectedPrecincts[Batch Name], 0)), "", INDEX(SelectedPrecincts[Draw], MATCH(SamplingData[[#This Row],[Batch by Type (p)]],SelectedPrecincts[Batch Name], 0)))</f>
        <v/>
      </c>
      <c r="AJ1034" s="101">
        <f>IF(COUNTIF(SelectedPrecincts[Batch Name],SamplingData[[#This Row],[Batch by Type (p)]]) &lt;&gt; 0, COUNTIF(SelectedPrecincts[Batch Name],SamplingData[[#This Row],[Batch by Type (p)]]), 0)</f>
        <v>0</v>
      </c>
    </row>
    <row r="1035" spans="1:36" ht="15" customHeight="1" x14ac:dyDescent="0.35">
      <c r="A1035" s="98" t="s">
        <v>1246</v>
      </c>
      <c r="B1035" s="98">
        <v>166</v>
      </c>
      <c r="C1035" s="98">
        <v>12</v>
      </c>
      <c r="D1035" s="93"/>
      <c r="E1035" s="93"/>
      <c r="F1035" s="93"/>
      <c r="G1035" s="97"/>
      <c r="H1035" s="97"/>
      <c r="I1035" s="93"/>
      <c r="J1035" s="93"/>
      <c r="K1035" s="93"/>
      <c r="L1035" s="93"/>
      <c r="M1035" s="93"/>
      <c r="N1035" s="98">
        <v>1</v>
      </c>
      <c r="O1035" s="98">
        <v>2</v>
      </c>
      <c r="P1035" s="99">
        <f>SUM(SamplingData[[#This Row],[Winning Candidate]:[Under Votes]])</f>
        <v>181</v>
      </c>
      <c r="Q1035" s="100">
        <f>IF(AND(SamplingData[[#This Row],[Total]]&lt;&gt; 0, NOT(ISBLANK(SamplingData[[#This Row],[Losing Candidate]]))),(SamplingData[[#This Row],[Total]]+SamplingData[[#This Row],[Winning Candidate]]-SamplingData[[#This Row],[Losing Candidate]])/(SamplingData[[#Totals],[Winning Candidate]]-SamplingData[[#Totals],[Losing Candidate]]), 0)</f>
        <v>1.0522348211200804E-2</v>
      </c>
      <c r="R1035" s="100">
        <f>IF(AND(SamplingData[[#This Row],[Total]]&lt;&gt; 0, NOT(ISBLANK(SamplingData[[#This Row],[Candidate 3]]))),(SamplingData[[#This Row],[Total]]+SamplingData[[#This Row],[Winning Candidate]]-SamplingData[[#This Row],[Candidate 3]])/(SamplingData[[#Totals],[Winning Candidate]]-SamplingData[[#Totals],[Candidate 3]]), 0)</f>
        <v>0</v>
      </c>
      <c r="S1035" s="100">
        <f>IF(AND(SamplingData[[#This Row],[Total]]&lt;&gt; 0, NOT(ISBLANK(SamplingData[[#This Row],[Candidate 4]]))),(SamplingData[[#This Row],[Total]]+SamplingData[[#This Row],[Winning Candidate]]-SamplingData[[#This Row],[Candidate 4]])/(SamplingData[[#Totals],[Winning Candidate]]-SamplingData[[#Totals],[Candidate 4]]), 0)</f>
        <v>0</v>
      </c>
      <c r="T1035" s="100">
        <f>IF(AND(SamplingData[[#This Row],[Total]]&lt;&gt; 0, NOT(ISBLANK(SamplingData[[#This Row],[Candidate 5]]))),(SamplingData[[#This Row],[Total]]+SamplingData[[#This Row],[Winning Candidate]]-SamplingData[[#This Row],[Candidate 5]])/(SamplingData[[#Totals],[Winning Candidate]]-SamplingData[[#Totals],[Candidate 5]]), 0)</f>
        <v>0</v>
      </c>
      <c r="U1035" s="100">
        <f>IF(AND(SamplingData[[#This Row],[Total]]&lt;&gt; 0, NOT(ISBLANK(SamplingData[[#This Row],[Candidate 6]]))),(SamplingData[[#This Row],[Total]]+SamplingData[[#This Row],[Losing Candidate]]-SamplingData[[#This Row],[Candidate 6]])/(SamplingData[[#Totals],[Winning Candidate]]-SamplingData[[#Totals],[Candidate 6]]), 0)</f>
        <v>0</v>
      </c>
      <c r="V1035" s="100">
        <f>IF(AND(SamplingData[[#This Row],[Total]]&lt;&gt; 0, NOT(ISBLANK(SamplingData[[#This Row],[Candidate 7]]))),(SamplingData[[#This Row],[Total]]+SamplingData[[#This Row],[Winning Candidate]]-SamplingData[[#This Row],[Candidate 7]])/(SamplingData[[#Totals],[Winning Candidate]]-SamplingData[[#Totals],[Candidate 7]]), 0)</f>
        <v>0</v>
      </c>
      <c r="W1035" s="100">
        <f>IF(AND(SamplingData[[#This Row],[Total]]&lt;&gt; 0, NOT(ISBLANK(SamplingData[[#This Row],[Candidate 8]]))),(SamplingData[[#This Row],[Total]]+SamplingData[[#This Row],[Winning Candidate]]-SamplingData[[#This Row],[Candidate 8]])/(SamplingData[[#Totals],[Winning Candidate]]-SamplingData[[#Totals],[Candidate 8]]), 0)</f>
        <v>0</v>
      </c>
      <c r="X10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00">
        <f>MAX(SamplingData[[#This Row],[Error Bound (up) - Max. possible relative overstatement - Losing Candidate]:[Error Bound (up) - Max. possible relative overstatement - Candidate 12]])</f>
        <v>1.0522348211200804E-2</v>
      </c>
      <c r="AC1035" s="100">
        <f>IF(SamplingData[[#This Row],[Max Error Bound (up)]] = 0,0,SamplingData[[#This Row],[Max Error Bound (up)]]/SamplingData[[#Totals],[Max Error Bound (up)]])</f>
        <v>4.5092338340601964E-3</v>
      </c>
      <c r="AD1035" s="104">
        <f>SUM($AC$5:AC1035)</f>
        <v>0.82074785979647957</v>
      </c>
      <c r="AE1035" s="100" t="str" cm="1">
        <f t="array" ref="AE1035">IF(SamplingData[[#This Row],[up/U Selection Probability]] = 0, "Zero", TEXT(SamplingData[[#This Row],[Lower Range]], REPT("0",LEN('General Info'!$B$42))) &amp; " - " &amp; TEXT(SamplingData[[#This Row],[Upper Range]], REPT("0",LEN('General Info'!$B$42))))</f>
        <v>81624 - 82074</v>
      </c>
      <c r="AF1035" s="100">
        <f>SamplingData[[#This Row],[Upper Range]]-SamplingData[[#This Row],[Span]]</f>
        <v>81623.862596241946</v>
      </c>
      <c r="AG1035" s="100">
        <f>IF(ISNUMBER('General Info'!$B$42), ((SamplingData[[#This Row],[up/U Selection Probability]]) * 'General Info'!$B$44) - 1, 0)</f>
        <v>449.92338340601964</v>
      </c>
      <c r="AH1035" s="100">
        <f>IF(ISNUMBER('General Info'!$B$42), (SamplingData[[#This Row],[Running (cumulative) sum]] * ('General Info'!$B$42 -'General Info'!$B$43 + 1)) + 'General Info'!$B$43 - 1, 0)</f>
        <v>82073.785979647961</v>
      </c>
      <c r="AI1035" s="100" t="str">
        <f>IF(ISERROR(MATCH(SamplingData[[#This Row],[Batch by Type (p)]],SelectedPrecincts[Batch Name], 0)), "", INDEX(SelectedPrecincts[Draw], MATCH(SamplingData[[#This Row],[Batch by Type (p)]],SelectedPrecincts[Batch Name], 0)))</f>
        <v/>
      </c>
      <c r="AJ1035" s="101">
        <f>IF(COUNTIF(SelectedPrecincts[Batch Name],SamplingData[[#This Row],[Batch by Type (p)]]) &lt;&gt; 0, COUNTIF(SelectedPrecincts[Batch Name],SamplingData[[#This Row],[Batch by Type (p)]]), 0)</f>
        <v>0</v>
      </c>
    </row>
    <row r="1036" spans="1:36" ht="15" customHeight="1" x14ac:dyDescent="0.35">
      <c r="A1036" s="98" t="s">
        <v>1247</v>
      </c>
      <c r="B1036" s="98">
        <v>31</v>
      </c>
      <c r="C1036" s="98">
        <v>2</v>
      </c>
      <c r="D1036" s="93"/>
      <c r="E1036" s="93"/>
      <c r="F1036" s="93"/>
      <c r="G1036" s="97"/>
      <c r="H1036" s="97"/>
      <c r="I1036" s="93"/>
      <c r="J1036" s="93"/>
      <c r="K1036" s="93"/>
      <c r="L1036" s="93"/>
      <c r="M1036" s="93"/>
      <c r="N1036" s="98">
        <v>0</v>
      </c>
      <c r="O1036" s="98">
        <v>0</v>
      </c>
      <c r="P1036" s="99">
        <f>SUM(SamplingData[[#This Row],[Winning Candidate]:[Under Votes]])</f>
        <v>33</v>
      </c>
      <c r="Q1036" s="100">
        <f>IF(AND(SamplingData[[#This Row],[Total]]&lt;&gt; 0, NOT(ISBLANK(SamplingData[[#This Row],[Losing Candidate]]))),(SamplingData[[#This Row],[Total]]+SamplingData[[#This Row],[Winning Candidate]]-SamplingData[[#This Row],[Losing Candidate]])/(SamplingData[[#Totals],[Winning Candidate]]-SamplingData[[#Totals],[Losing Candidate]]), 0)</f>
        <v>1.9474196689386564E-3</v>
      </c>
      <c r="R1036" s="100">
        <f>IF(AND(SamplingData[[#This Row],[Total]]&lt;&gt; 0, NOT(ISBLANK(SamplingData[[#This Row],[Candidate 3]]))),(SamplingData[[#This Row],[Total]]+SamplingData[[#This Row],[Winning Candidate]]-SamplingData[[#This Row],[Candidate 3]])/(SamplingData[[#Totals],[Winning Candidate]]-SamplingData[[#Totals],[Candidate 3]]), 0)</f>
        <v>0</v>
      </c>
      <c r="S1036" s="100">
        <f>IF(AND(SamplingData[[#This Row],[Total]]&lt;&gt; 0, NOT(ISBLANK(SamplingData[[#This Row],[Candidate 4]]))),(SamplingData[[#This Row],[Total]]+SamplingData[[#This Row],[Winning Candidate]]-SamplingData[[#This Row],[Candidate 4]])/(SamplingData[[#Totals],[Winning Candidate]]-SamplingData[[#Totals],[Candidate 4]]), 0)</f>
        <v>0</v>
      </c>
      <c r="T1036" s="100">
        <f>IF(AND(SamplingData[[#This Row],[Total]]&lt;&gt; 0, NOT(ISBLANK(SamplingData[[#This Row],[Candidate 5]]))),(SamplingData[[#This Row],[Total]]+SamplingData[[#This Row],[Winning Candidate]]-SamplingData[[#This Row],[Candidate 5]])/(SamplingData[[#Totals],[Winning Candidate]]-SamplingData[[#Totals],[Candidate 5]]), 0)</f>
        <v>0</v>
      </c>
      <c r="U1036" s="100">
        <f>IF(AND(SamplingData[[#This Row],[Total]]&lt;&gt; 0, NOT(ISBLANK(SamplingData[[#This Row],[Candidate 6]]))),(SamplingData[[#This Row],[Total]]+SamplingData[[#This Row],[Losing Candidate]]-SamplingData[[#This Row],[Candidate 6]])/(SamplingData[[#Totals],[Winning Candidate]]-SamplingData[[#Totals],[Candidate 6]]), 0)</f>
        <v>0</v>
      </c>
      <c r="V1036" s="100">
        <f>IF(AND(SamplingData[[#This Row],[Total]]&lt;&gt; 0, NOT(ISBLANK(SamplingData[[#This Row],[Candidate 7]]))),(SamplingData[[#This Row],[Total]]+SamplingData[[#This Row],[Winning Candidate]]-SamplingData[[#This Row],[Candidate 7]])/(SamplingData[[#Totals],[Winning Candidate]]-SamplingData[[#Totals],[Candidate 7]]), 0)</f>
        <v>0</v>
      </c>
      <c r="W1036" s="100">
        <f>IF(AND(SamplingData[[#This Row],[Total]]&lt;&gt; 0, NOT(ISBLANK(SamplingData[[#This Row],[Candidate 8]]))),(SamplingData[[#This Row],[Total]]+SamplingData[[#This Row],[Winning Candidate]]-SamplingData[[#This Row],[Candidate 8]])/(SamplingData[[#Totals],[Winning Candidate]]-SamplingData[[#Totals],[Candidate 8]]), 0)</f>
        <v>0</v>
      </c>
      <c r="X10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00">
        <f>MAX(SamplingData[[#This Row],[Error Bound (up) - Max. possible relative overstatement - Losing Candidate]:[Error Bound (up) - Max. possible relative overstatement - Candidate 12]])</f>
        <v>1.9474196689386564E-3</v>
      </c>
      <c r="AC1036" s="100">
        <f>IF(SamplingData[[#This Row],[Max Error Bound (up)]] = 0,0,SamplingData[[#This Row],[Max Error Bound (up)]]/SamplingData[[#Totals],[Max Error Bound (up)]])</f>
        <v>8.3454476928875281E-4</v>
      </c>
      <c r="AD1036" s="104">
        <f>SUM($AC$5:AC1036)</f>
        <v>0.82158240456576836</v>
      </c>
      <c r="AE1036" s="100" t="str" cm="1">
        <f t="array" ref="AE1036">IF(SamplingData[[#This Row],[up/U Selection Probability]] = 0, "Zero", TEXT(SamplingData[[#This Row],[Lower Range]], REPT("0",LEN('General Info'!$B$42))) &amp; " - " &amp; TEXT(SamplingData[[#This Row],[Upper Range]], REPT("0",LEN('General Info'!$B$42))))</f>
        <v>82075 - 82157</v>
      </c>
      <c r="AF1036" s="100">
        <f>SamplingData[[#This Row],[Upper Range]]-SamplingData[[#This Row],[Span]]</f>
        <v>82074.785979647961</v>
      </c>
      <c r="AG1036" s="100">
        <f>IF(ISNUMBER('General Info'!$B$42), ((SamplingData[[#This Row],[up/U Selection Probability]]) * 'General Info'!$B$44) - 1, 0)</f>
        <v>82.45447692887528</v>
      </c>
      <c r="AH1036" s="100">
        <f>IF(ISNUMBER('General Info'!$B$42), (SamplingData[[#This Row],[Running (cumulative) sum]] * ('General Info'!$B$42 -'General Info'!$B$43 + 1)) + 'General Info'!$B$43 - 1, 0)</f>
        <v>82157.240456576837</v>
      </c>
      <c r="AI1036" s="100" t="str">
        <f>IF(ISERROR(MATCH(SamplingData[[#This Row],[Batch by Type (p)]],SelectedPrecincts[Batch Name], 0)), "", INDEX(SelectedPrecincts[Draw], MATCH(SamplingData[[#This Row],[Batch by Type (p)]],SelectedPrecincts[Batch Name], 0)))</f>
        <v/>
      </c>
      <c r="AJ1036" s="101">
        <f>IF(COUNTIF(SelectedPrecincts[Batch Name],SamplingData[[#This Row],[Batch by Type (p)]]) &lt;&gt; 0, COUNTIF(SelectedPrecincts[Batch Name],SamplingData[[#This Row],[Batch by Type (p)]]), 0)</f>
        <v>0</v>
      </c>
    </row>
    <row r="1037" spans="1:36" ht="15" customHeight="1" x14ac:dyDescent="0.35">
      <c r="A1037" s="98" t="s">
        <v>1248</v>
      </c>
      <c r="B1037" s="98">
        <v>71</v>
      </c>
      <c r="C1037" s="98">
        <v>17</v>
      </c>
      <c r="D1037" s="93"/>
      <c r="E1037" s="93"/>
      <c r="F1037" s="93"/>
      <c r="G1037" s="97"/>
      <c r="H1037" s="97"/>
      <c r="I1037" s="93"/>
      <c r="J1037" s="93"/>
      <c r="K1037" s="93"/>
      <c r="L1037" s="93"/>
      <c r="M1037" s="93"/>
      <c r="N1037" s="98">
        <v>0</v>
      </c>
      <c r="O1037" s="98">
        <v>1</v>
      </c>
      <c r="P1037" s="99">
        <f>SUM(SamplingData[[#This Row],[Winning Candidate]:[Under Votes]])</f>
        <v>89</v>
      </c>
      <c r="Q1037" s="100">
        <f>IF(AND(SamplingData[[#This Row],[Total]]&lt;&gt; 0, NOT(ISBLANK(SamplingData[[#This Row],[Losing Candidate]]))),(SamplingData[[#This Row],[Total]]+SamplingData[[#This Row],[Winning Candidate]]-SamplingData[[#This Row],[Losing Candidate]])/(SamplingData[[#Totals],[Winning Candidate]]-SamplingData[[#Totals],[Losing Candidate]]), 0)</f>
        <v>4.49162923642303E-3</v>
      </c>
      <c r="R1037" s="100">
        <f>IF(AND(SamplingData[[#This Row],[Total]]&lt;&gt; 0, NOT(ISBLANK(SamplingData[[#This Row],[Candidate 3]]))),(SamplingData[[#This Row],[Total]]+SamplingData[[#This Row],[Winning Candidate]]-SamplingData[[#This Row],[Candidate 3]])/(SamplingData[[#Totals],[Winning Candidate]]-SamplingData[[#Totals],[Candidate 3]]), 0)</f>
        <v>0</v>
      </c>
      <c r="S1037" s="100">
        <f>IF(AND(SamplingData[[#This Row],[Total]]&lt;&gt; 0, NOT(ISBLANK(SamplingData[[#This Row],[Candidate 4]]))),(SamplingData[[#This Row],[Total]]+SamplingData[[#This Row],[Winning Candidate]]-SamplingData[[#This Row],[Candidate 4]])/(SamplingData[[#Totals],[Winning Candidate]]-SamplingData[[#Totals],[Candidate 4]]), 0)</f>
        <v>0</v>
      </c>
      <c r="T1037" s="100">
        <f>IF(AND(SamplingData[[#This Row],[Total]]&lt;&gt; 0, NOT(ISBLANK(SamplingData[[#This Row],[Candidate 5]]))),(SamplingData[[#This Row],[Total]]+SamplingData[[#This Row],[Winning Candidate]]-SamplingData[[#This Row],[Candidate 5]])/(SamplingData[[#Totals],[Winning Candidate]]-SamplingData[[#Totals],[Candidate 5]]), 0)</f>
        <v>0</v>
      </c>
      <c r="U1037" s="100">
        <f>IF(AND(SamplingData[[#This Row],[Total]]&lt;&gt; 0, NOT(ISBLANK(SamplingData[[#This Row],[Candidate 6]]))),(SamplingData[[#This Row],[Total]]+SamplingData[[#This Row],[Losing Candidate]]-SamplingData[[#This Row],[Candidate 6]])/(SamplingData[[#Totals],[Winning Candidate]]-SamplingData[[#Totals],[Candidate 6]]), 0)</f>
        <v>0</v>
      </c>
      <c r="V1037" s="100">
        <f>IF(AND(SamplingData[[#This Row],[Total]]&lt;&gt; 0, NOT(ISBLANK(SamplingData[[#This Row],[Candidate 7]]))),(SamplingData[[#This Row],[Total]]+SamplingData[[#This Row],[Winning Candidate]]-SamplingData[[#This Row],[Candidate 7]])/(SamplingData[[#Totals],[Winning Candidate]]-SamplingData[[#Totals],[Candidate 7]]), 0)</f>
        <v>0</v>
      </c>
      <c r="W1037" s="100">
        <f>IF(AND(SamplingData[[#This Row],[Total]]&lt;&gt; 0, NOT(ISBLANK(SamplingData[[#This Row],[Candidate 8]]))),(SamplingData[[#This Row],[Total]]+SamplingData[[#This Row],[Winning Candidate]]-SamplingData[[#This Row],[Candidate 8]])/(SamplingData[[#Totals],[Winning Candidate]]-SamplingData[[#Totals],[Candidate 8]]), 0)</f>
        <v>0</v>
      </c>
      <c r="X10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00">
        <f>MAX(SamplingData[[#This Row],[Error Bound (up) - Max. possible relative overstatement - Losing Candidate]:[Error Bound (up) - Max. possible relative overstatement - Candidate 12]])</f>
        <v>4.49162923642303E-3</v>
      </c>
      <c r="AC1037" s="100">
        <f>IF(SamplingData[[#This Row],[Max Error Bound (up)]] = 0,0,SamplingData[[#This Row],[Max Error Bound (up)]]/SamplingData[[#Totals],[Max Error Bound (up)]])</f>
        <v>1.9248371291659945E-3</v>
      </c>
      <c r="AD1037" s="104">
        <f>SUM($AC$5:AC1037)</f>
        <v>0.82350724169493439</v>
      </c>
      <c r="AE1037" s="100" t="str" cm="1">
        <f t="array" ref="AE1037">IF(SamplingData[[#This Row],[up/U Selection Probability]] = 0, "Zero", TEXT(SamplingData[[#This Row],[Lower Range]], REPT("0",LEN('General Info'!$B$42))) &amp; " - " &amp; TEXT(SamplingData[[#This Row],[Upper Range]], REPT("0",LEN('General Info'!$B$42))))</f>
        <v>82158 - 82350</v>
      </c>
      <c r="AF1037" s="100">
        <f>SamplingData[[#This Row],[Upper Range]]-SamplingData[[#This Row],[Span]]</f>
        <v>82158.240456576837</v>
      </c>
      <c r="AG1037" s="100">
        <f>IF(ISNUMBER('General Info'!$B$42), ((SamplingData[[#This Row],[up/U Selection Probability]]) * 'General Info'!$B$44) - 1, 0)</f>
        <v>191.48371291659944</v>
      </c>
      <c r="AH1037" s="100">
        <f>IF(ISNUMBER('General Info'!$B$42), (SamplingData[[#This Row],[Running (cumulative) sum]] * ('General Info'!$B$42 -'General Info'!$B$43 + 1)) + 'General Info'!$B$43 - 1, 0)</f>
        <v>82349.724169493435</v>
      </c>
      <c r="AI1037" s="100" t="str">
        <f>IF(ISERROR(MATCH(SamplingData[[#This Row],[Batch by Type (p)]],SelectedPrecincts[Batch Name], 0)), "", INDEX(SelectedPrecincts[Draw], MATCH(SamplingData[[#This Row],[Batch by Type (p)]],SelectedPrecincts[Batch Name], 0)))</f>
        <v/>
      </c>
      <c r="AJ1037" s="101">
        <f>IF(COUNTIF(SelectedPrecincts[Batch Name],SamplingData[[#This Row],[Batch by Type (p)]]) &lt;&gt; 0, COUNTIF(SelectedPrecincts[Batch Name],SamplingData[[#This Row],[Batch by Type (p)]]), 0)</f>
        <v>0</v>
      </c>
    </row>
    <row r="1038" spans="1:36" ht="15" customHeight="1" x14ac:dyDescent="0.35">
      <c r="A1038" s="98" t="s">
        <v>1249</v>
      </c>
      <c r="B1038" s="98">
        <v>58</v>
      </c>
      <c r="C1038" s="98">
        <v>7</v>
      </c>
      <c r="D1038" s="93"/>
      <c r="E1038" s="93"/>
      <c r="F1038" s="93"/>
      <c r="G1038" s="97"/>
      <c r="H1038" s="97"/>
      <c r="I1038" s="93"/>
      <c r="J1038" s="93"/>
      <c r="K1038" s="93"/>
      <c r="L1038" s="93"/>
      <c r="M1038" s="93"/>
      <c r="N1038" s="98">
        <v>0</v>
      </c>
      <c r="O1038" s="98">
        <v>0</v>
      </c>
      <c r="P1038" s="99">
        <f>SUM(SamplingData[[#This Row],[Winning Candidate]:[Under Votes]])</f>
        <v>65</v>
      </c>
      <c r="Q1038" s="100">
        <f>IF(AND(SamplingData[[#This Row],[Total]]&lt;&gt; 0, NOT(ISBLANK(SamplingData[[#This Row],[Losing Candidate]]))),(SamplingData[[#This Row],[Total]]+SamplingData[[#This Row],[Winning Candidate]]-SamplingData[[#This Row],[Losing Candidate]])/(SamplingData[[#Totals],[Winning Candidate]]-SamplingData[[#Totals],[Losing Candidate]]), 0)</f>
        <v>3.6435593805949052E-3</v>
      </c>
      <c r="R1038" s="100">
        <f>IF(AND(SamplingData[[#This Row],[Total]]&lt;&gt; 0, NOT(ISBLANK(SamplingData[[#This Row],[Candidate 3]]))),(SamplingData[[#This Row],[Total]]+SamplingData[[#This Row],[Winning Candidate]]-SamplingData[[#This Row],[Candidate 3]])/(SamplingData[[#Totals],[Winning Candidate]]-SamplingData[[#Totals],[Candidate 3]]), 0)</f>
        <v>0</v>
      </c>
      <c r="S1038" s="100">
        <f>IF(AND(SamplingData[[#This Row],[Total]]&lt;&gt; 0, NOT(ISBLANK(SamplingData[[#This Row],[Candidate 4]]))),(SamplingData[[#This Row],[Total]]+SamplingData[[#This Row],[Winning Candidate]]-SamplingData[[#This Row],[Candidate 4]])/(SamplingData[[#Totals],[Winning Candidate]]-SamplingData[[#Totals],[Candidate 4]]), 0)</f>
        <v>0</v>
      </c>
      <c r="T1038" s="100">
        <f>IF(AND(SamplingData[[#This Row],[Total]]&lt;&gt; 0, NOT(ISBLANK(SamplingData[[#This Row],[Candidate 5]]))),(SamplingData[[#This Row],[Total]]+SamplingData[[#This Row],[Winning Candidate]]-SamplingData[[#This Row],[Candidate 5]])/(SamplingData[[#Totals],[Winning Candidate]]-SamplingData[[#Totals],[Candidate 5]]), 0)</f>
        <v>0</v>
      </c>
      <c r="U1038" s="100">
        <f>IF(AND(SamplingData[[#This Row],[Total]]&lt;&gt; 0, NOT(ISBLANK(SamplingData[[#This Row],[Candidate 6]]))),(SamplingData[[#This Row],[Total]]+SamplingData[[#This Row],[Losing Candidate]]-SamplingData[[#This Row],[Candidate 6]])/(SamplingData[[#Totals],[Winning Candidate]]-SamplingData[[#Totals],[Candidate 6]]), 0)</f>
        <v>0</v>
      </c>
      <c r="V1038" s="100">
        <f>IF(AND(SamplingData[[#This Row],[Total]]&lt;&gt; 0, NOT(ISBLANK(SamplingData[[#This Row],[Candidate 7]]))),(SamplingData[[#This Row],[Total]]+SamplingData[[#This Row],[Winning Candidate]]-SamplingData[[#This Row],[Candidate 7]])/(SamplingData[[#Totals],[Winning Candidate]]-SamplingData[[#Totals],[Candidate 7]]), 0)</f>
        <v>0</v>
      </c>
      <c r="W1038" s="100">
        <f>IF(AND(SamplingData[[#This Row],[Total]]&lt;&gt; 0, NOT(ISBLANK(SamplingData[[#This Row],[Candidate 8]]))),(SamplingData[[#This Row],[Total]]+SamplingData[[#This Row],[Winning Candidate]]-SamplingData[[#This Row],[Candidate 8]])/(SamplingData[[#Totals],[Winning Candidate]]-SamplingData[[#Totals],[Candidate 8]]), 0)</f>
        <v>0</v>
      </c>
      <c r="X10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00">
        <f>MAX(SamplingData[[#This Row],[Error Bound (up) - Max. possible relative overstatement - Losing Candidate]:[Error Bound (up) - Max. possible relative overstatement - Candidate 12]])</f>
        <v>3.6435593805949052E-3</v>
      </c>
      <c r="AC1038" s="100">
        <f>IF(SamplingData[[#This Row],[Max Error Bound (up)]] = 0,0,SamplingData[[#This Row],[Max Error Bound (up)]]/SamplingData[[#Totals],[Max Error Bound (up)]])</f>
        <v>1.561406342540247E-3</v>
      </c>
      <c r="AD1038" s="104">
        <f>SUM($AC$5:AC1038)</f>
        <v>0.82506864803747459</v>
      </c>
      <c r="AE1038" s="100" t="str" cm="1">
        <f t="array" ref="AE1038">IF(SamplingData[[#This Row],[up/U Selection Probability]] = 0, "Zero", TEXT(SamplingData[[#This Row],[Lower Range]], REPT("0",LEN('General Info'!$B$42))) &amp; " - " &amp; TEXT(SamplingData[[#This Row],[Upper Range]], REPT("0",LEN('General Info'!$B$42))))</f>
        <v>82351 - 82506</v>
      </c>
      <c r="AF1038" s="100">
        <f>SamplingData[[#This Row],[Upper Range]]-SamplingData[[#This Row],[Span]]</f>
        <v>82350.724169493435</v>
      </c>
      <c r="AG1038" s="100">
        <f>IF(ISNUMBER('General Info'!$B$42), ((SamplingData[[#This Row],[up/U Selection Probability]]) * 'General Info'!$B$44) - 1, 0)</f>
        <v>155.14063425402469</v>
      </c>
      <c r="AH1038" s="100">
        <f>IF(ISNUMBER('General Info'!$B$42), (SamplingData[[#This Row],[Running (cumulative) sum]] * ('General Info'!$B$42 -'General Info'!$B$43 + 1)) + 'General Info'!$B$43 - 1, 0)</f>
        <v>82505.864803747463</v>
      </c>
      <c r="AI1038" s="100" t="str">
        <f>IF(ISERROR(MATCH(SamplingData[[#This Row],[Batch by Type (p)]],SelectedPrecincts[Batch Name], 0)), "", INDEX(SelectedPrecincts[Draw], MATCH(SamplingData[[#This Row],[Batch by Type (p)]],SelectedPrecincts[Batch Name], 0)))</f>
        <v/>
      </c>
      <c r="AJ1038" s="101">
        <f>IF(COUNTIF(SelectedPrecincts[Batch Name],SamplingData[[#This Row],[Batch by Type (p)]]) &lt;&gt; 0, COUNTIF(SelectedPrecincts[Batch Name],SamplingData[[#This Row],[Batch by Type (p)]]), 0)</f>
        <v>0</v>
      </c>
    </row>
    <row r="1039" spans="1:36" ht="15" customHeight="1" x14ac:dyDescent="0.35">
      <c r="A1039" s="98" t="s">
        <v>1250</v>
      </c>
      <c r="B1039" s="98">
        <v>177</v>
      </c>
      <c r="C1039" s="98">
        <v>24</v>
      </c>
      <c r="D1039" s="93"/>
      <c r="E1039" s="93"/>
      <c r="F1039" s="93"/>
      <c r="G1039" s="97"/>
      <c r="H1039" s="97"/>
      <c r="I1039" s="93"/>
      <c r="J1039" s="93"/>
      <c r="K1039" s="93"/>
      <c r="L1039" s="93"/>
      <c r="M1039" s="93"/>
      <c r="N1039" s="98">
        <v>0</v>
      </c>
      <c r="O1039" s="98">
        <v>9</v>
      </c>
      <c r="P1039" s="99">
        <f>SUM(SamplingData[[#This Row],[Winning Candidate]:[Under Votes]])</f>
        <v>210</v>
      </c>
      <c r="Q1039" s="100">
        <f>IF(AND(SamplingData[[#This Row],[Total]]&lt;&gt; 0, NOT(ISBLANK(SamplingData[[#This Row],[Losing Candidate]]))),(SamplingData[[#This Row],[Total]]+SamplingData[[#This Row],[Winning Candidate]]-SamplingData[[#This Row],[Losing Candidate]])/(SamplingData[[#Totals],[Winning Candidate]]-SamplingData[[#Totals],[Losing Candidate]]), 0)</f>
        <v>1.1401828061689229E-2</v>
      </c>
      <c r="R1039" s="100">
        <f>IF(AND(SamplingData[[#This Row],[Total]]&lt;&gt; 0, NOT(ISBLANK(SamplingData[[#This Row],[Candidate 3]]))),(SamplingData[[#This Row],[Total]]+SamplingData[[#This Row],[Winning Candidate]]-SamplingData[[#This Row],[Candidate 3]])/(SamplingData[[#Totals],[Winning Candidate]]-SamplingData[[#Totals],[Candidate 3]]), 0)</f>
        <v>0</v>
      </c>
      <c r="S1039" s="100">
        <f>IF(AND(SamplingData[[#This Row],[Total]]&lt;&gt; 0, NOT(ISBLANK(SamplingData[[#This Row],[Candidate 4]]))),(SamplingData[[#This Row],[Total]]+SamplingData[[#This Row],[Winning Candidate]]-SamplingData[[#This Row],[Candidate 4]])/(SamplingData[[#Totals],[Winning Candidate]]-SamplingData[[#Totals],[Candidate 4]]), 0)</f>
        <v>0</v>
      </c>
      <c r="T1039" s="100">
        <f>IF(AND(SamplingData[[#This Row],[Total]]&lt;&gt; 0, NOT(ISBLANK(SamplingData[[#This Row],[Candidate 5]]))),(SamplingData[[#This Row],[Total]]+SamplingData[[#This Row],[Winning Candidate]]-SamplingData[[#This Row],[Candidate 5]])/(SamplingData[[#Totals],[Winning Candidate]]-SamplingData[[#Totals],[Candidate 5]]), 0)</f>
        <v>0</v>
      </c>
      <c r="U1039" s="100">
        <f>IF(AND(SamplingData[[#This Row],[Total]]&lt;&gt; 0, NOT(ISBLANK(SamplingData[[#This Row],[Candidate 6]]))),(SamplingData[[#This Row],[Total]]+SamplingData[[#This Row],[Losing Candidate]]-SamplingData[[#This Row],[Candidate 6]])/(SamplingData[[#Totals],[Winning Candidate]]-SamplingData[[#Totals],[Candidate 6]]), 0)</f>
        <v>0</v>
      </c>
      <c r="V1039" s="100">
        <f>IF(AND(SamplingData[[#This Row],[Total]]&lt;&gt; 0, NOT(ISBLANK(SamplingData[[#This Row],[Candidate 7]]))),(SamplingData[[#This Row],[Total]]+SamplingData[[#This Row],[Winning Candidate]]-SamplingData[[#This Row],[Candidate 7]])/(SamplingData[[#Totals],[Winning Candidate]]-SamplingData[[#Totals],[Candidate 7]]), 0)</f>
        <v>0</v>
      </c>
      <c r="W1039" s="100">
        <f>IF(AND(SamplingData[[#This Row],[Total]]&lt;&gt; 0, NOT(ISBLANK(SamplingData[[#This Row],[Candidate 8]]))),(SamplingData[[#This Row],[Total]]+SamplingData[[#This Row],[Winning Candidate]]-SamplingData[[#This Row],[Candidate 8]])/(SamplingData[[#Totals],[Winning Candidate]]-SamplingData[[#Totals],[Candidate 8]]), 0)</f>
        <v>0</v>
      </c>
      <c r="X10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00">
        <f>MAX(SamplingData[[#This Row],[Error Bound (up) - Max. possible relative overstatement - Losing Candidate]:[Error Bound (up) - Max. possible relative overstatement - Candidate 12]])</f>
        <v>1.1401828061689229E-2</v>
      </c>
      <c r="AC1039" s="100">
        <f>IF(SamplingData[[#This Row],[Max Error Bound (up)]] = 0,0,SamplingData[[#This Row],[Max Error Bound (up)]]/SamplingData[[#Totals],[Max Error Bound (up)]])</f>
        <v>4.8861250201906008E-3</v>
      </c>
      <c r="AD1039" s="104">
        <f>SUM($AC$5:AC1039)</f>
        <v>0.82995477305766518</v>
      </c>
      <c r="AE1039" s="100" t="str" cm="1">
        <f t="array" ref="AE1039">IF(SamplingData[[#This Row],[up/U Selection Probability]] = 0, "Zero", TEXT(SamplingData[[#This Row],[Lower Range]], REPT("0",LEN('General Info'!$B$42))) &amp; " - " &amp; TEXT(SamplingData[[#This Row],[Upper Range]], REPT("0",LEN('General Info'!$B$42))))</f>
        <v>82507 - 82994</v>
      </c>
      <c r="AF1039" s="100">
        <f>SamplingData[[#This Row],[Upper Range]]-SamplingData[[#This Row],[Span]]</f>
        <v>82506.864803747449</v>
      </c>
      <c r="AG1039" s="100">
        <f>IF(ISNUMBER('General Info'!$B$42), ((SamplingData[[#This Row],[up/U Selection Probability]]) * 'General Info'!$B$44) - 1, 0)</f>
        <v>487.61250201906006</v>
      </c>
      <c r="AH1039" s="100">
        <f>IF(ISNUMBER('General Info'!$B$42), (SamplingData[[#This Row],[Running (cumulative) sum]] * ('General Info'!$B$42 -'General Info'!$B$43 + 1)) + 'General Info'!$B$43 - 1, 0)</f>
        <v>82994.477305766515</v>
      </c>
      <c r="AI1039" s="100" t="str">
        <f>IF(ISERROR(MATCH(SamplingData[[#This Row],[Batch by Type (p)]],SelectedPrecincts[Batch Name], 0)), "", INDEX(SelectedPrecincts[Draw], MATCH(SamplingData[[#This Row],[Batch by Type (p)]],SelectedPrecincts[Batch Name], 0)))</f>
        <v/>
      </c>
      <c r="AJ1039" s="101">
        <f>IF(COUNTIF(SelectedPrecincts[Batch Name],SamplingData[[#This Row],[Batch by Type (p)]]) &lt;&gt; 0, COUNTIF(SelectedPrecincts[Batch Name],SamplingData[[#This Row],[Batch by Type (p)]]), 0)</f>
        <v>0</v>
      </c>
    </row>
    <row r="1040" spans="1:36" ht="15" customHeight="1" x14ac:dyDescent="0.35">
      <c r="A1040" s="98" t="s">
        <v>1251</v>
      </c>
      <c r="B1040" s="98">
        <v>274</v>
      </c>
      <c r="C1040" s="98">
        <v>58</v>
      </c>
      <c r="D1040" s="93"/>
      <c r="E1040" s="93"/>
      <c r="F1040" s="93"/>
      <c r="G1040" s="97"/>
      <c r="H1040" s="97"/>
      <c r="I1040" s="93"/>
      <c r="J1040" s="93"/>
      <c r="K1040" s="93"/>
      <c r="L1040" s="93"/>
      <c r="M1040" s="93"/>
      <c r="N1040" s="98">
        <v>0</v>
      </c>
      <c r="O1040" s="98">
        <v>32</v>
      </c>
      <c r="P1040" s="99">
        <f>SUM(SamplingData[[#This Row],[Winning Candidate]:[Under Votes]])</f>
        <v>364</v>
      </c>
      <c r="Q1040"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1.8217796902974526E-2</v>
      </c>
      <c r="R1040" s="100">
        <f>IF(AND(SamplingData[[#This Row],[Total]]&lt;&gt; 0, NOT(ISBLANK(SamplingData[[#This Row],[Candidate 3]]))),(SamplingData[[#This Row],[Total]]+SamplingData[[#This Row],[Winning Candidate]]-SamplingData[[#This Row],[Candidate 3]])/(SamplingData[[#Totals],[Winning Candidate]]-SamplingData[[#Totals],[Candidate 3]]), 0)</f>
        <v>0</v>
      </c>
      <c r="S1040" s="100">
        <f>IF(AND(SamplingData[[#This Row],[Total]]&lt;&gt; 0, NOT(ISBLANK(SamplingData[[#This Row],[Candidate 4]]))),(SamplingData[[#This Row],[Total]]+SamplingData[[#This Row],[Winning Candidate]]-SamplingData[[#This Row],[Candidate 4]])/(SamplingData[[#Totals],[Winning Candidate]]-SamplingData[[#Totals],[Candidate 4]]), 0)</f>
        <v>0</v>
      </c>
      <c r="T1040" s="100">
        <f>IF(AND(SamplingData[[#This Row],[Total]]&lt;&gt; 0, NOT(ISBLANK(SamplingData[[#This Row],[Candidate 5]]))),(SamplingData[[#This Row],[Total]]+SamplingData[[#This Row],[Winning Candidate]]-SamplingData[[#This Row],[Candidate 5]])/(SamplingData[[#Totals],[Winning Candidate]]-SamplingData[[#Totals],[Candidate 5]]), 0)</f>
        <v>0</v>
      </c>
      <c r="U1040" s="100">
        <f>IF(AND(SamplingData[[#This Row],[Total]]&lt;&gt; 0, NOT(ISBLANK(SamplingData[[#This Row],[Candidate 6]]))),(SamplingData[[#This Row],[Total]]+SamplingData[[#This Row],[Losing Candidate]]-SamplingData[[#This Row],[Candidate 6]])/(SamplingData[[#Totals],[Winning Candidate]]-SamplingData[[#Totals],[Candidate 6]]), 0)</f>
        <v>0</v>
      </c>
      <c r="V1040" s="100">
        <f>IF(AND(SamplingData[[#This Row],[Total]]&lt;&gt; 0, NOT(ISBLANK(SamplingData[[#This Row],[Candidate 7]]))),(SamplingData[[#This Row],[Total]]+SamplingData[[#This Row],[Winning Candidate]]-SamplingData[[#This Row],[Candidate 7]])/(SamplingData[[#Totals],[Winning Candidate]]-SamplingData[[#Totals],[Candidate 7]]), 0)</f>
        <v>0</v>
      </c>
      <c r="W1040" s="100">
        <f>IF(AND(SamplingData[[#This Row],[Total]]&lt;&gt; 0, NOT(ISBLANK(SamplingData[[#This Row],[Candidate 8]]))),(SamplingData[[#This Row],[Total]]+SamplingData[[#This Row],[Winning Candidate]]-SamplingData[[#This Row],[Candidate 8]])/(SamplingData[[#Totals],[Winning Candidate]]-SamplingData[[#Totals],[Candidate 8]]), 0)</f>
        <v>0</v>
      </c>
      <c r="X10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00">
        <f>MAX(SamplingData[[#This Row],[Error Bound (up) - Max. possible relative overstatement - Losing Candidate]:[Error Bound (up) - Max. possible relative overstatement - Candidate 12]])</f>
        <v>1.8217796902974526E-2</v>
      </c>
      <c r="AC1040" s="100">
        <f>IF(SamplingData[[#This Row],[Max Error Bound (up)]] = 0,0,SamplingData[[#This Row],[Max Error Bound (up)]]/SamplingData[[#Totals],[Max Error Bound (up)]])</f>
        <v>7.8070317127012356E-3</v>
      </c>
      <c r="AD1040" s="104">
        <f>SUM($AC$5:AC1040)</f>
        <v>0.83776180477036644</v>
      </c>
      <c r="AE1040" s="100" t="str" cm="1">
        <f t="array" ref="AE1040">IF(SamplingData[[#This Row],[up/U Selection Probability]] = 0, "Zero", TEXT(SamplingData[[#This Row],[Lower Range]], REPT("0",LEN('General Info'!$B$42))) &amp; " - " &amp; TEXT(SamplingData[[#This Row],[Upper Range]], REPT("0",LEN('General Info'!$B$42))))</f>
        <v>82995 - 83775</v>
      </c>
      <c r="AF1040" s="100">
        <f>SamplingData[[#This Row],[Upper Range]]-SamplingData[[#This Row],[Span]]</f>
        <v>82995.477305766515</v>
      </c>
      <c r="AG1040" s="100">
        <f>IF(ISNUMBER('General Info'!$B$42), ((SamplingData[[#This Row],[up/U Selection Probability]]) * 'General Info'!$B$44) - 1, 0)</f>
        <v>779.70317127012356</v>
      </c>
      <c r="AH1040" s="100">
        <f>IF(ISNUMBER('General Info'!$B$42), (SamplingData[[#This Row],[Running (cumulative) sum]] * ('General Info'!$B$42 -'General Info'!$B$43 + 1)) + 'General Info'!$B$43 - 1, 0)</f>
        <v>83775.180477036643</v>
      </c>
      <c r="AI1040" s="100" t="str">
        <f>IF(ISERROR(MATCH(SamplingData[[#This Row],[Batch by Type (p)]],SelectedPrecincts[Batch Name], 0)), "", INDEX(SelectedPrecincts[Draw], MATCH(SamplingData[[#This Row],[Batch by Type (p)]],SelectedPrecincts[Batch Name], 0)))</f>
        <v/>
      </c>
      <c r="AJ1040" s="101">
        <f>IF(COUNTIF(SelectedPrecincts[Batch Name],SamplingData[[#This Row],[Batch by Type (p)]]) &lt;&gt; 0, COUNTIF(SelectedPrecincts[Batch Name],SamplingData[[#This Row],[Batch by Type (p)]]), 0)</f>
        <v>0</v>
      </c>
    </row>
    <row r="1041" spans="1:36" ht="15" customHeight="1" x14ac:dyDescent="0.35">
      <c r="A1041" s="98" t="s">
        <v>1252</v>
      </c>
      <c r="B1041" s="98">
        <v>92</v>
      </c>
      <c r="C1041" s="98">
        <v>27</v>
      </c>
      <c r="D1041" s="93"/>
      <c r="E1041" s="93"/>
      <c r="F1041" s="93"/>
      <c r="G1041" s="97"/>
      <c r="H1041" s="97"/>
      <c r="I1041" s="93"/>
      <c r="J1041" s="93"/>
      <c r="K1041" s="93"/>
      <c r="L1041" s="93"/>
      <c r="M1041" s="93"/>
      <c r="N1041" s="98">
        <v>0</v>
      </c>
      <c r="O1041" s="98">
        <v>6</v>
      </c>
      <c r="P1041" s="99">
        <f>SUM(SamplingData[[#This Row],[Winning Candidate]:[Under Votes]])</f>
        <v>125</v>
      </c>
      <c r="Q1041" s="100">
        <f>IF(AND(SamplingData[[#This Row],[Total]]&lt;&gt; 0, NOT(ISBLANK(SamplingData[[#This Row],[Losing Candidate]]))),(SamplingData[[#This Row],[Total]]+SamplingData[[#This Row],[Winning Candidate]]-SamplingData[[#This Row],[Losing Candidate]])/(SamplingData[[#Totals],[Winning Candidate]]-SamplingData[[#Totals],[Losing Candidate]]), 0)</f>
        <v>5.9678989854571726E-3</v>
      </c>
      <c r="R1041" s="100">
        <f>IF(AND(SamplingData[[#This Row],[Total]]&lt;&gt; 0, NOT(ISBLANK(SamplingData[[#This Row],[Candidate 3]]))),(SamplingData[[#This Row],[Total]]+SamplingData[[#This Row],[Winning Candidate]]-SamplingData[[#This Row],[Candidate 3]])/(SamplingData[[#Totals],[Winning Candidate]]-SamplingData[[#Totals],[Candidate 3]]), 0)</f>
        <v>0</v>
      </c>
      <c r="S1041" s="100">
        <f>IF(AND(SamplingData[[#This Row],[Total]]&lt;&gt; 0, NOT(ISBLANK(SamplingData[[#This Row],[Candidate 4]]))),(SamplingData[[#This Row],[Total]]+SamplingData[[#This Row],[Winning Candidate]]-SamplingData[[#This Row],[Candidate 4]])/(SamplingData[[#Totals],[Winning Candidate]]-SamplingData[[#Totals],[Candidate 4]]), 0)</f>
        <v>0</v>
      </c>
      <c r="T1041" s="100">
        <f>IF(AND(SamplingData[[#This Row],[Total]]&lt;&gt; 0, NOT(ISBLANK(SamplingData[[#This Row],[Candidate 5]]))),(SamplingData[[#This Row],[Total]]+SamplingData[[#This Row],[Winning Candidate]]-SamplingData[[#This Row],[Candidate 5]])/(SamplingData[[#Totals],[Winning Candidate]]-SamplingData[[#Totals],[Candidate 5]]), 0)</f>
        <v>0</v>
      </c>
      <c r="U1041" s="100">
        <f>IF(AND(SamplingData[[#This Row],[Total]]&lt;&gt; 0, NOT(ISBLANK(SamplingData[[#This Row],[Candidate 6]]))),(SamplingData[[#This Row],[Total]]+SamplingData[[#This Row],[Losing Candidate]]-SamplingData[[#This Row],[Candidate 6]])/(SamplingData[[#Totals],[Winning Candidate]]-SamplingData[[#Totals],[Candidate 6]]), 0)</f>
        <v>0</v>
      </c>
      <c r="V1041" s="100">
        <f>IF(AND(SamplingData[[#This Row],[Total]]&lt;&gt; 0, NOT(ISBLANK(SamplingData[[#This Row],[Candidate 7]]))),(SamplingData[[#This Row],[Total]]+SamplingData[[#This Row],[Winning Candidate]]-SamplingData[[#This Row],[Candidate 7]])/(SamplingData[[#Totals],[Winning Candidate]]-SamplingData[[#Totals],[Candidate 7]]), 0)</f>
        <v>0</v>
      </c>
      <c r="W1041" s="100">
        <f>IF(AND(SamplingData[[#This Row],[Total]]&lt;&gt; 0, NOT(ISBLANK(SamplingData[[#This Row],[Candidate 8]]))),(SamplingData[[#This Row],[Total]]+SamplingData[[#This Row],[Winning Candidate]]-SamplingData[[#This Row],[Candidate 8]])/(SamplingData[[#Totals],[Winning Candidate]]-SamplingData[[#Totals],[Candidate 8]]), 0)</f>
        <v>0</v>
      </c>
      <c r="X10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00">
        <f>MAX(SamplingData[[#This Row],[Error Bound (up) - Max. possible relative overstatement - Losing Candidate]:[Error Bound (up) - Max. possible relative overstatement - Candidate 12]])</f>
        <v>5.9678989854571726E-3</v>
      </c>
      <c r="AC1041" s="100">
        <f>IF(SamplingData[[#This Row],[Max Error Bound (up)]] = 0,0,SamplingData[[#This Row],[Max Error Bound (up)]]/SamplingData[[#Totals],[Max Error Bound (up)]])</f>
        <v>2.5574759058848875E-3</v>
      </c>
      <c r="AD1041" s="104">
        <f>SUM($AC$5:AC1041)</f>
        <v>0.84031928067625128</v>
      </c>
      <c r="AE1041" s="100" t="str" cm="1">
        <f t="array" ref="AE1041">IF(SamplingData[[#This Row],[up/U Selection Probability]] = 0, "Zero", TEXT(SamplingData[[#This Row],[Lower Range]], REPT("0",LEN('General Info'!$B$42))) &amp; " - " &amp; TEXT(SamplingData[[#This Row],[Upper Range]], REPT("0",LEN('General Info'!$B$42))))</f>
        <v>83776 - 84031</v>
      </c>
      <c r="AF1041" s="100">
        <f>SamplingData[[#This Row],[Upper Range]]-SamplingData[[#This Row],[Span]]</f>
        <v>83776.180477036629</v>
      </c>
      <c r="AG1041" s="100">
        <f>IF(ISNUMBER('General Info'!$B$42), ((SamplingData[[#This Row],[up/U Selection Probability]]) * 'General Info'!$B$44) - 1, 0)</f>
        <v>254.74759058848875</v>
      </c>
      <c r="AH1041" s="100">
        <f>IF(ISNUMBER('General Info'!$B$42), (SamplingData[[#This Row],[Running (cumulative) sum]] * ('General Info'!$B$42 -'General Info'!$B$43 + 1)) + 'General Info'!$B$43 - 1, 0)</f>
        <v>84030.928067625122</v>
      </c>
      <c r="AI1041" s="100" t="str">
        <f>IF(ISERROR(MATCH(SamplingData[[#This Row],[Batch by Type (p)]],SelectedPrecincts[Batch Name], 0)), "", INDEX(SelectedPrecincts[Draw], MATCH(SamplingData[[#This Row],[Batch by Type (p)]],SelectedPrecincts[Batch Name], 0)))</f>
        <v/>
      </c>
      <c r="AJ1041" s="101">
        <f>IF(COUNTIF(SelectedPrecincts[Batch Name],SamplingData[[#This Row],[Batch by Type (p)]]) &lt;&gt; 0, COUNTIF(SelectedPrecincts[Batch Name],SamplingData[[#This Row],[Batch by Type (p)]]), 0)</f>
        <v>0</v>
      </c>
    </row>
    <row r="1042" spans="1:36" ht="15" customHeight="1" x14ac:dyDescent="0.35">
      <c r="A1042" s="98" t="s">
        <v>1253</v>
      </c>
      <c r="B1042" s="98">
        <v>1</v>
      </c>
      <c r="C1042" s="98">
        <v>0</v>
      </c>
      <c r="D1042" s="93"/>
      <c r="E1042" s="93"/>
      <c r="F1042" s="93"/>
      <c r="G1042" s="97"/>
      <c r="H1042" s="97"/>
      <c r="I1042" s="93"/>
      <c r="J1042" s="93"/>
      <c r="K1042" s="93"/>
      <c r="L1042" s="93"/>
      <c r="M1042" s="93"/>
      <c r="N1042" s="98">
        <v>0</v>
      </c>
      <c r="O1042" s="98">
        <v>0</v>
      </c>
      <c r="P1042" s="99">
        <f>SUM(SamplingData[[#This Row],[Winning Candidate]:[Under Votes]])</f>
        <v>1</v>
      </c>
      <c r="Q1042" s="100">
        <f>IF(AND(SamplingData[[#This Row],[Total]]&lt;&gt; 0, NOT(ISBLANK(SamplingData[[#This Row],[Losing Candidate]]))),(SamplingData[[#This Row],[Total]]+SamplingData[[#This Row],[Winning Candidate]]-SamplingData[[#This Row],[Losing Candidate]])/(SamplingData[[#Totals],[Winning Candidate]]-SamplingData[[#Totals],[Losing Candidate]]), 0)</f>
        <v>6.2819989320601809E-5</v>
      </c>
      <c r="R1042" s="100">
        <f>IF(AND(SamplingData[[#This Row],[Total]]&lt;&gt; 0, NOT(ISBLANK(SamplingData[[#This Row],[Candidate 3]]))),(SamplingData[[#This Row],[Total]]+SamplingData[[#This Row],[Winning Candidate]]-SamplingData[[#This Row],[Candidate 3]])/(SamplingData[[#Totals],[Winning Candidate]]-SamplingData[[#Totals],[Candidate 3]]), 0)</f>
        <v>0</v>
      </c>
      <c r="S1042" s="100">
        <f>IF(AND(SamplingData[[#This Row],[Total]]&lt;&gt; 0, NOT(ISBLANK(SamplingData[[#This Row],[Candidate 4]]))),(SamplingData[[#This Row],[Total]]+SamplingData[[#This Row],[Winning Candidate]]-SamplingData[[#This Row],[Candidate 4]])/(SamplingData[[#Totals],[Winning Candidate]]-SamplingData[[#Totals],[Candidate 4]]), 0)</f>
        <v>0</v>
      </c>
      <c r="T1042" s="100">
        <f>IF(AND(SamplingData[[#This Row],[Total]]&lt;&gt; 0, NOT(ISBLANK(SamplingData[[#This Row],[Candidate 5]]))),(SamplingData[[#This Row],[Total]]+SamplingData[[#This Row],[Winning Candidate]]-SamplingData[[#This Row],[Candidate 5]])/(SamplingData[[#Totals],[Winning Candidate]]-SamplingData[[#Totals],[Candidate 5]]), 0)</f>
        <v>0</v>
      </c>
      <c r="U1042" s="100">
        <f>IF(AND(SamplingData[[#This Row],[Total]]&lt;&gt; 0, NOT(ISBLANK(SamplingData[[#This Row],[Candidate 6]]))),(SamplingData[[#This Row],[Total]]+SamplingData[[#This Row],[Losing Candidate]]-SamplingData[[#This Row],[Candidate 6]])/(SamplingData[[#Totals],[Winning Candidate]]-SamplingData[[#Totals],[Candidate 6]]), 0)</f>
        <v>0</v>
      </c>
      <c r="V1042" s="100">
        <f>IF(AND(SamplingData[[#This Row],[Total]]&lt;&gt; 0, NOT(ISBLANK(SamplingData[[#This Row],[Candidate 7]]))),(SamplingData[[#This Row],[Total]]+SamplingData[[#This Row],[Winning Candidate]]-SamplingData[[#This Row],[Candidate 7]])/(SamplingData[[#Totals],[Winning Candidate]]-SamplingData[[#Totals],[Candidate 7]]), 0)</f>
        <v>0</v>
      </c>
      <c r="W1042" s="100">
        <f>IF(AND(SamplingData[[#This Row],[Total]]&lt;&gt; 0, NOT(ISBLANK(SamplingData[[#This Row],[Candidate 8]]))),(SamplingData[[#This Row],[Total]]+SamplingData[[#This Row],[Winning Candidate]]-SamplingData[[#This Row],[Candidate 8]])/(SamplingData[[#Totals],[Winning Candidate]]-SamplingData[[#Totals],[Candidate 8]]), 0)</f>
        <v>0</v>
      </c>
      <c r="X10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00">
        <f>MAX(SamplingData[[#This Row],[Error Bound (up) - Max. possible relative overstatement - Losing Candidate]:[Error Bound (up) - Max. possible relative overstatement - Candidate 12]])</f>
        <v>6.2819989320601809E-5</v>
      </c>
      <c r="AC1042" s="100">
        <f>IF(SamplingData[[#This Row],[Max Error Bound (up)]] = 0,0,SamplingData[[#This Row],[Max Error Bound (up)]]/SamplingData[[#Totals],[Max Error Bound (up)]])</f>
        <v>2.6920799009314603E-5</v>
      </c>
      <c r="AD1042" s="104">
        <f>SUM($AC$5:AC1042)</f>
        <v>0.84034620147526062</v>
      </c>
      <c r="AE1042" s="100" t="str" cm="1">
        <f t="array" ref="AE1042">IF(SamplingData[[#This Row],[up/U Selection Probability]] = 0, "Zero", TEXT(SamplingData[[#This Row],[Lower Range]], REPT("0",LEN('General Info'!$B$42))) &amp; " - " &amp; TEXT(SamplingData[[#This Row],[Upper Range]], REPT("0",LEN('General Info'!$B$42))))</f>
        <v>84032 - 84034</v>
      </c>
      <c r="AF1042" s="100">
        <f>SamplingData[[#This Row],[Upper Range]]-SamplingData[[#This Row],[Span]]</f>
        <v>84031.928067625122</v>
      </c>
      <c r="AG1042" s="100">
        <f>IF(ISNUMBER('General Info'!$B$42), ((SamplingData[[#This Row],[up/U Selection Probability]]) * 'General Info'!$B$44) - 1, 0)</f>
        <v>1.6920799009314602</v>
      </c>
      <c r="AH1042" s="100">
        <f>IF(ISNUMBER('General Info'!$B$42), (SamplingData[[#This Row],[Running (cumulative) sum]] * ('General Info'!$B$42 -'General Info'!$B$43 + 1)) + 'General Info'!$B$43 - 1, 0)</f>
        <v>84033.62014752606</v>
      </c>
      <c r="AI1042" s="100" t="str">
        <f>IF(ISERROR(MATCH(SamplingData[[#This Row],[Batch by Type (p)]],SelectedPrecincts[Batch Name], 0)), "", INDEX(SelectedPrecincts[Draw], MATCH(SamplingData[[#This Row],[Batch by Type (p)]],SelectedPrecincts[Batch Name], 0)))</f>
        <v/>
      </c>
      <c r="AJ1042" s="101">
        <f>IF(COUNTIF(SelectedPrecincts[Batch Name],SamplingData[[#This Row],[Batch by Type (p)]]) &lt;&gt; 0, COUNTIF(SelectedPrecincts[Batch Name],SamplingData[[#This Row],[Batch by Type (p)]]), 0)</f>
        <v>0</v>
      </c>
    </row>
    <row r="1043" spans="1:36" ht="15" customHeight="1" x14ac:dyDescent="0.35">
      <c r="A1043" s="98" t="s">
        <v>1254</v>
      </c>
      <c r="B1043" s="98">
        <v>0</v>
      </c>
      <c r="C1043" s="98">
        <v>0</v>
      </c>
      <c r="D1043" s="93"/>
      <c r="E1043" s="93"/>
      <c r="F1043" s="93"/>
      <c r="G1043" s="97"/>
      <c r="H1043" s="97"/>
      <c r="I1043" s="93"/>
      <c r="J1043" s="93"/>
      <c r="K1043" s="93"/>
      <c r="L1043" s="93"/>
      <c r="M1043" s="93"/>
      <c r="N1043" s="98">
        <v>0</v>
      </c>
      <c r="O1043" s="98">
        <v>0</v>
      </c>
      <c r="P1043" s="99">
        <f>SUM(SamplingData[[#This Row],[Winning Candidate]:[Under Votes]])</f>
        <v>0</v>
      </c>
      <c r="Q1043" s="100">
        <f>IF(AND(SamplingData[[#This Row],[Total]]&lt;&gt; 0, NOT(ISBLANK(SamplingData[[#This Row],[Losing Candidate]]))),(SamplingData[[#This Row],[Total]]+SamplingData[[#This Row],[Winning Candidate]]-SamplingData[[#This Row],[Losing Candidate]])/(SamplingData[[#Totals],[Winning Candidate]]-SamplingData[[#Totals],[Losing Candidate]]), 0)</f>
        <v>0</v>
      </c>
      <c r="R1043" s="100">
        <f>IF(AND(SamplingData[[#This Row],[Total]]&lt;&gt; 0, NOT(ISBLANK(SamplingData[[#This Row],[Candidate 3]]))),(SamplingData[[#This Row],[Total]]+SamplingData[[#This Row],[Winning Candidate]]-SamplingData[[#This Row],[Candidate 3]])/(SamplingData[[#Totals],[Winning Candidate]]-SamplingData[[#Totals],[Candidate 3]]), 0)</f>
        <v>0</v>
      </c>
      <c r="S1043" s="100">
        <f>IF(AND(SamplingData[[#This Row],[Total]]&lt;&gt; 0, NOT(ISBLANK(SamplingData[[#This Row],[Candidate 4]]))),(SamplingData[[#This Row],[Total]]+SamplingData[[#This Row],[Winning Candidate]]-SamplingData[[#This Row],[Candidate 4]])/(SamplingData[[#Totals],[Winning Candidate]]-SamplingData[[#Totals],[Candidate 4]]), 0)</f>
        <v>0</v>
      </c>
      <c r="T1043" s="100">
        <f>IF(AND(SamplingData[[#This Row],[Total]]&lt;&gt; 0, NOT(ISBLANK(SamplingData[[#This Row],[Candidate 5]]))),(SamplingData[[#This Row],[Total]]+SamplingData[[#This Row],[Winning Candidate]]-SamplingData[[#This Row],[Candidate 5]])/(SamplingData[[#Totals],[Winning Candidate]]-SamplingData[[#Totals],[Candidate 5]]), 0)</f>
        <v>0</v>
      </c>
      <c r="U1043" s="100">
        <f>IF(AND(SamplingData[[#This Row],[Total]]&lt;&gt; 0, NOT(ISBLANK(SamplingData[[#This Row],[Candidate 6]]))),(SamplingData[[#This Row],[Total]]+SamplingData[[#This Row],[Losing Candidate]]-SamplingData[[#This Row],[Candidate 6]])/(SamplingData[[#Totals],[Winning Candidate]]-SamplingData[[#Totals],[Candidate 6]]), 0)</f>
        <v>0</v>
      </c>
      <c r="V1043" s="100">
        <f>IF(AND(SamplingData[[#This Row],[Total]]&lt;&gt; 0, NOT(ISBLANK(SamplingData[[#This Row],[Candidate 7]]))),(SamplingData[[#This Row],[Total]]+SamplingData[[#This Row],[Winning Candidate]]-SamplingData[[#This Row],[Candidate 7]])/(SamplingData[[#Totals],[Winning Candidate]]-SamplingData[[#Totals],[Candidate 7]]), 0)</f>
        <v>0</v>
      </c>
      <c r="W1043" s="100">
        <f>IF(AND(SamplingData[[#This Row],[Total]]&lt;&gt; 0, NOT(ISBLANK(SamplingData[[#This Row],[Candidate 8]]))),(SamplingData[[#This Row],[Total]]+SamplingData[[#This Row],[Winning Candidate]]-SamplingData[[#This Row],[Candidate 8]])/(SamplingData[[#Totals],[Winning Candidate]]-SamplingData[[#Totals],[Candidate 8]]), 0)</f>
        <v>0</v>
      </c>
      <c r="X10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00">
        <f>MAX(SamplingData[[#This Row],[Error Bound (up) - Max. possible relative overstatement - Losing Candidate]:[Error Bound (up) - Max. possible relative overstatement - Candidate 12]])</f>
        <v>0</v>
      </c>
      <c r="AC1043" s="100">
        <f>IF(SamplingData[[#This Row],[Max Error Bound (up)]] = 0,0,SamplingData[[#This Row],[Max Error Bound (up)]]/SamplingData[[#Totals],[Max Error Bound (up)]])</f>
        <v>0</v>
      </c>
      <c r="AD1043" s="104">
        <f>SUM($AC$5:AC1043)</f>
        <v>0.84034620147526062</v>
      </c>
      <c r="AE1043" s="100" t="str" cm="1">
        <f t="array" ref="AE1043">IF(SamplingData[[#This Row],[up/U Selection Probability]] = 0, "Zero", TEXT(SamplingData[[#This Row],[Lower Range]], REPT("0",LEN('General Info'!$B$42))) &amp; " - " &amp; TEXT(SamplingData[[#This Row],[Upper Range]], REPT("0",LEN('General Info'!$B$42))))</f>
        <v>Zero</v>
      </c>
      <c r="AF1043" s="100">
        <f>SamplingData[[#This Row],[Upper Range]]-SamplingData[[#This Row],[Span]]</f>
        <v>84034.62014752606</v>
      </c>
      <c r="AG1043" s="100">
        <f>IF(ISNUMBER('General Info'!$B$42), ((SamplingData[[#This Row],[up/U Selection Probability]]) * 'General Info'!$B$44) - 1, 0)</f>
        <v>-1</v>
      </c>
      <c r="AH1043" s="100">
        <f>IF(ISNUMBER('General Info'!$B$42), (SamplingData[[#This Row],[Running (cumulative) sum]] * ('General Info'!$B$42 -'General Info'!$B$43 + 1)) + 'General Info'!$B$43 - 1, 0)</f>
        <v>84033.62014752606</v>
      </c>
      <c r="AI1043" s="100" t="str">
        <f>IF(ISERROR(MATCH(SamplingData[[#This Row],[Batch by Type (p)]],SelectedPrecincts[Batch Name], 0)), "", INDEX(SelectedPrecincts[Draw], MATCH(SamplingData[[#This Row],[Batch by Type (p)]],SelectedPrecincts[Batch Name], 0)))</f>
        <v/>
      </c>
      <c r="AJ1043" s="101">
        <f>IF(COUNTIF(SelectedPrecincts[Batch Name],SamplingData[[#This Row],[Batch by Type (p)]]) &lt;&gt; 0, COUNTIF(SelectedPrecincts[Batch Name],SamplingData[[#This Row],[Batch by Type (p)]]), 0)</f>
        <v>0</v>
      </c>
    </row>
    <row r="1044" spans="1:36" ht="15" customHeight="1" x14ac:dyDescent="0.35">
      <c r="A1044" s="98" t="s">
        <v>1255</v>
      </c>
      <c r="B1044" s="98">
        <v>31</v>
      </c>
      <c r="C1044" s="98">
        <v>6</v>
      </c>
      <c r="D1044" s="93"/>
      <c r="E1044" s="93"/>
      <c r="F1044" s="93"/>
      <c r="G1044" s="97"/>
      <c r="H1044" s="97"/>
      <c r="I1044" s="93"/>
      <c r="J1044" s="93"/>
      <c r="K1044" s="93"/>
      <c r="L1044" s="93"/>
      <c r="M1044" s="93"/>
      <c r="N1044" s="98">
        <v>0</v>
      </c>
      <c r="O1044" s="98">
        <v>0</v>
      </c>
      <c r="P1044" s="99">
        <f>SUM(SamplingData[[#This Row],[Winning Candidate]:[Under Votes]])</f>
        <v>37</v>
      </c>
      <c r="Q1044" s="100">
        <f>IF(AND(SamplingData[[#This Row],[Total]]&lt;&gt; 0, NOT(ISBLANK(SamplingData[[#This Row],[Losing Candidate]]))),(SamplingData[[#This Row],[Total]]+SamplingData[[#This Row],[Winning Candidate]]-SamplingData[[#This Row],[Losing Candidate]])/(SamplingData[[#Totals],[Winning Candidate]]-SamplingData[[#Totals],[Losing Candidate]]), 0)</f>
        <v>1.9474196689386564E-3</v>
      </c>
      <c r="R1044" s="100">
        <f>IF(AND(SamplingData[[#This Row],[Total]]&lt;&gt; 0, NOT(ISBLANK(SamplingData[[#This Row],[Candidate 3]]))),(SamplingData[[#This Row],[Total]]+SamplingData[[#This Row],[Winning Candidate]]-SamplingData[[#This Row],[Candidate 3]])/(SamplingData[[#Totals],[Winning Candidate]]-SamplingData[[#Totals],[Candidate 3]]), 0)</f>
        <v>0</v>
      </c>
      <c r="S1044" s="100">
        <f>IF(AND(SamplingData[[#This Row],[Total]]&lt;&gt; 0, NOT(ISBLANK(SamplingData[[#This Row],[Candidate 4]]))),(SamplingData[[#This Row],[Total]]+SamplingData[[#This Row],[Winning Candidate]]-SamplingData[[#This Row],[Candidate 4]])/(SamplingData[[#Totals],[Winning Candidate]]-SamplingData[[#Totals],[Candidate 4]]), 0)</f>
        <v>0</v>
      </c>
      <c r="T1044" s="100">
        <f>IF(AND(SamplingData[[#This Row],[Total]]&lt;&gt; 0, NOT(ISBLANK(SamplingData[[#This Row],[Candidate 5]]))),(SamplingData[[#This Row],[Total]]+SamplingData[[#This Row],[Winning Candidate]]-SamplingData[[#This Row],[Candidate 5]])/(SamplingData[[#Totals],[Winning Candidate]]-SamplingData[[#Totals],[Candidate 5]]), 0)</f>
        <v>0</v>
      </c>
      <c r="U1044" s="100">
        <f>IF(AND(SamplingData[[#This Row],[Total]]&lt;&gt; 0, NOT(ISBLANK(SamplingData[[#This Row],[Candidate 6]]))),(SamplingData[[#This Row],[Total]]+SamplingData[[#This Row],[Losing Candidate]]-SamplingData[[#This Row],[Candidate 6]])/(SamplingData[[#Totals],[Winning Candidate]]-SamplingData[[#Totals],[Candidate 6]]), 0)</f>
        <v>0</v>
      </c>
      <c r="V1044" s="100">
        <f>IF(AND(SamplingData[[#This Row],[Total]]&lt;&gt; 0, NOT(ISBLANK(SamplingData[[#This Row],[Candidate 7]]))),(SamplingData[[#This Row],[Total]]+SamplingData[[#This Row],[Winning Candidate]]-SamplingData[[#This Row],[Candidate 7]])/(SamplingData[[#Totals],[Winning Candidate]]-SamplingData[[#Totals],[Candidate 7]]), 0)</f>
        <v>0</v>
      </c>
      <c r="W1044" s="100">
        <f>IF(AND(SamplingData[[#This Row],[Total]]&lt;&gt; 0, NOT(ISBLANK(SamplingData[[#This Row],[Candidate 8]]))),(SamplingData[[#This Row],[Total]]+SamplingData[[#This Row],[Winning Candidate]]-SamplingData[[#This Row],[Candidate 8]])/(SamplingData[[#Totals],[Winning Candidate]]-SamplingData[[#Totals],[Candidate 8]]), 0)</f>
        <v>0</v>
      </c>
      <c r="X10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00">
        <f>MAX(SamplingData[[#This Row],[Error Bound (up) - Max. possible relative overstatement - Losing Candidate]:[Error Bound (up) - Max. possible relative overstatement - Candidate 12]])</f>
        <v>1.9474196689386564E-3</v>
      </c>
      <c r="AC1044" s="100">
        <f>IF(SamplingData[[#This Row],[Max Error Bound (up)]] = 0,0,SamplingData[[#This Row],[Max Error Bound (up)]]/SamplingData[[#Totals],[Max Error Bound (up)]])</f>
        <v>8.3454476928875281E-4</v>
      </c>
      <c r="AD1044" s="104">
        <f>SUM($AC$5:AC1044)</f>
        <v>0.84118074624454942</v>
      </c>
      <c r="AE1044" s="100" t="str" cm="1">
        <f t="array" ref="AE1044">IF(SamplingData[[#This Row],[up/U Selection Probability]] = 0, "Zero", TEXT(SamplingData[[#This Row],[Lower Range]], REPT("0",LEN('General Info'!$B$42))) &amp; " - " &amp; TEXT(SamplingData[[#This Row],[Upper Range]], REPT("0",LEN('General Info'!$B$42))))</f>
        <v>84035 - 84117</v>
      </c>
      <c r="AF1044" s="100">
        <f>SamplingData[[#This Row],[Upper Range]]-SamplingData[[#This Row],[Span]]</f>
        <v>84034.62014752606</v>
      </c>
      <c r="AG1044" s="100">
        <f>IF(ISNUMBER('General Info'!$B$42), ((SamplingData[[#This Row],[up/U Selection Probability]]) * 'General Info'!$B$44) - 1, 0)</f>
        <v>82.45447692887528</v>
      </c>
      <c r="AH1044" s="100">
        <f>IF(ISNUMBER('General Info'!$B$42), (SamplingData[[#This Row],[Running (cumulative) sum]] * ('General Info'!$B$42 -'General Info'!$B$43 + 1)) + 'General Info'!$B$43 - 1, 0)</f>
        <v>84117.074624454937</v>
      </c>
      <c r="AI1044" s="100" t="str">
        <f>IF(ISERROR(MATCH(SamplingData[[#This Row],[Batch by Type (p)]],SelectedPrecincts[Batch Name], 0)), "", INDEX(SelectedPrecincts[Draw], MATCH(SamplingData[[#This Row],[Batch by Type (p)]],SelectedPrecincts[Batch Name], 0)))</f>
        <v/>
      </c>
      <c r="AJ1044" s="101">
        <f>IF(COUNTIF(SelectedPrecincts[Batch Name],SamplingData[[#This Row],[Batch by Type (p)]]) &lt;&gt; 0, COUNTIF(SelectedPrecincts[Batch Name],SamplingData[[#This Row],[Batch by Type (p)]]), 0)</f>
        <v>0</v>
      </c>
    </row>
    <row r="1045" spans="1:36" ht="15" customHeight="1" x14ac:dyDescent="0.35">
      <c r="A1045" s="98" t="s">
        <v>1256</v>
      </c>
      <c r="B1045" s="98">
        <v>49</v>
      </c>
      <c r="C1045" s="98">
        <v>6</v>
      </c>
      <c r="D1045" s="93"/>
      <c r="E1045" s="93"/>
      <c r="F1045" s="93"/>
      <c r="G1045" s="97"/>
      <c r="H1045" s="97"/>
      <c r="I1045" s="93"/>
      <c r="J1045" s="93"/>
      <c r="K1045" s="93"/>
      <c r="L1045" s="93"/>
      <c r="M1045" s="93"/>
      <c r="N1045" s="98">
        <v>0</v>
      </c>
      <c r="O1045" s="98">
        <v>0</v>
      </c>
      <c r="P1045" s="99">
        <f>SUM(SamplingData[[#This Row],[Winning Candidate]:[Under Votes]])</f>
        <v>55</v>
      </c>
      <c r="Q1045" s="100">
        <f>IF(AND(SamplingData[[#This Row],[Total]]&lt;&gt; 0, NOT(ISBLANK(SamplingData[[#This Row],[Losing Candidate]]))),(SamplingData[[#This Row],[Total]]+SamplingData[[#This Row],[Winning Candidate]]-SamplingData[[#This Row],[Losing Candidate]])/(SamplingData[[#Totals],[Winning Candidate]]-SamplingData[[#Totals],[Losing Candidate]]), 0)</f>
        <v>3.0781794767094891E-3</v>
      </c>
      <c r="R1045" s="100">
        <f>IF(AND(SamplingData[[#This Row],[Total]]&lt;&gt; 0, NOT(ISBLANK(SamplingData[[#This Row],[Candidate 3]]))),(SamplingData[[#This Row],[Total]]+SamplingData[[#This Row],[Winning Candidate]]-SamplingData[[#This Row],[Candidate 3]])/(SamplingData[[#Totals],[Winning Candidate]]-SamplingData[[#Totals],[Candidate 3]]), 0)</f>
        <v>0</v>
      </c>
      <c r="S1045" s="100">
        <f>IF(AND(SamplingData[[#This Row],[Total]]&lt;&gt; 0, NOT(ISBLANK(SamplingData[[#This Row],[Candidate 4]]))),(SamplingData[[#This Row],[Total]]+SamplingData[[#This Row],[Winning Candidate]]-SamplingData[[#This Row],[Candidate 4]])/(SamplingData[[#Totals],[Winning Candidate]]-SamplingData[[#Totals],[Candidate 4]]), 0)</f>
        <v>0</v>
      </c>
      <c r="T1045" s="100">
        <f>IF(AND(SamplingData[[#This Row],[Total]]&lt;&gt; 0, NOT(ISBLANK(SamplingData[[#This Row],[Candidate 5]]))),(SamplingData[[#This Row],[Total]]+SamplingData[[#This Row],[Winning Candidate]]-SamplingData[[#This Row],[Candidate 5]])/(SamplingData[[#Totals],[Winning Candidate]]-SamplingData[[#Totals],[Candidate 5]]), 0)</f>
        <v>0</v>
      </c>
      <c r="U1045" s="100">
        <f>IF(AND(SamplingData[[#This Row],[Total]]&lt;&gt; 0, NOT(ISBLANK(SamplingData[[#This Row],[Candidate 6]]))),(SamplingData[[#This Row],[Total]]+SamplingData[[#This Row],[Losing Candidate]]-SamplingData[[#This Row],[Candidate 6]])/(SamplingData[[#Totals],[Winning Candidate]]-SamplingData[[#Totals],[Candidate 6]]), 0)</f>
        <v>0</v>
      </c>
      <c r="V1045" s="100">
        <f>IF(AND(SamplingData[[#This Row],[Total]]&lt;&gt; 0, NOT(ISBLANK(SamplingData[[#This Row],[Candidate 7]]))),(SamplingData[[#This Row],[Total]]+SamplingData[[#This Row],[Winning Candidate]]-SamplingData[[#This Row],[Candidate 7]])/(SamplingData[[#Totals],[Winning Candidate]]-SamplingData[[#Totals],[Candidate 7]]), 0)</f>
        <v>0</v>
      </c>
      <c r="W1045" s="100">
        <f>IF(AND(SamplingData[[#This Row],[Total]]&lt;&gt; 0, NOT(ISBLANK(SamplingData[[#This Row],[Candidate 8]]))),(SamplingData[[#This Row],[Total]]+SamplingData[[#This Row],[Winning Candidate]]-SamplingData[[#This Row],[Candidate 8]])/(SamplingData[[#Totals],[Winning Candidate]]-SamplingData[[#Totals],[Candidate 8]]), 0)</f>
        <v>0</v>
      </c>
      <c r="X10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00">
        <f>MAX(SamplingData[[#This Row],[Error Bound (up) - Max. possible relative overstatement - Losing Candidate]:[Error Bound (up) - Max. possible relative overstatement - Candidate 12]])</f>
        <v>3.0781794767094891E-3</v>
      </c>
      <c r="AC1045" s="100">
        <f>IF(SamplingData[[#This Row],[Max Error Bound (up)]] = 0,0,SamplingData[[#This Row],[Max Error Bound (up)]]/SamplingData[[#Totals],[Max Error Bound (up)]])</f>
        <v>1.3191191514564157E-3</v>
      </c>
      <c r="AD1045" s="104">
        <f>SUM($AC$5:AC1045)</f>
        <v>0.84249986539600585</v>
      </c>
      <c r="AE1045" s="100" t="str" cm="1">
        <f t="array" ref="AE1045">IF(SamplingData[[#This Row],[up/U Selection Probability]] = 0, "Zero", TEXT(SamplingData[[#This Row],[Lower Range]], REPT("0",LEN('General Info'!$B$42))) &amp; " - " &amp; TEXT(SamplingData[[#This Row],[Upper Range]], REPT("0",LEN('General Info'!$B$42))))</f>
        <v>84118 - 84249</v>
      </c>
      <c r="AF1045" s="100">
        <f>SamplingData[[#This Row],[Upper Range]]-SamplingData[[#This Row],[Span]]</f>
        <v>84118.074624454952</v>
      </c>
      <c r="AG1045" s="100">
        <f>IF(ISNUMBER('General Info'!$B$42), ((SamplingData[[#This Row],[up/U Selection Probability]]) * 'General Info'!$B$44) - 1, 0)</f>
        <v>130.91191514564156</v>
      </c>
      <c r="AH1045" s="100">
        <f>IF(ISNUMBER('General Info'!$B$42), (SamplingData[[#This Row],[Running (cumulative) sum]] * ('General Info'!$B$42 -'General Info'!$B$43 + 1)) + 'General Info'!$B$43 - 1, 0)</f>
        <v>84248.986539600592</v>
      </c>
      <c r="AI1045" s="100" t="str">
        <f>IF(ISERROR(MATCH(SamplingData[[#This Row],[Batch by Type (p)]],SelectedPrecincts[Batch Name], 0)), "", INDEX(SelectedPrecincts[Draw], MATCH(SamplingData[[#This Row],[Batch by Type (p)]],SelectedPrecincts[Batch Name], 0)))</f>
        <v/>
      </c>
      <c r="AJ1045" s="101">
        <f>IF(COUNTIF(SelectedPrecincts[Batch Name],SamplingData[[#This Row],[Batch by Type (p)]]) &lt;&gt; 0, COUNTIF(SelectedPrecincts[Batch Name],SamplingData[[#This Row],[Batch by Type (p)]]), 0)</f>
        <v>0</v>
      </c>
    </row>
    <row r="1046" spans="1:36" ht="15" customHeight="1" x14ac:dyDescent="0.35">
      <c r="A1046" s="98" t="s">
        <v>1257</v>
      </c>
      <c r="B1046" s="98">
        <v>75</v>
      </c>
      <c r="C1046" s="98">
        <v>12</v>
      </c>
      <c r="D1046" s="93"/>
      <c r="E1046" s="93"/>
      <c r="F1046" s="93"/>
      <c r="G1046" s="97"/>
      <c r="H1046" s="97"/>
      <c r="I1046" s="93"/>
      <c r="J1046" s="93"/>
      <c r="K1046" s="93"/>
      <c r="L1046" s="93"/>
      <c r="M1046" s="93"/>
      <c r="N1046" s="98">
        <v>0</v>
      </c>
      <c r="O1046" s="98">
        <v>0</v>
      </c>
      <c r="P1046" s="99">
        <f>SUM(SamplingData[[#This Row],[Winning Candidate]:[Under Votes]])</f>
        <v>87</v>
      </c>
      <c r="Q1046" s="100">
        <f>IF(AND(SamplingData[[#This Row],[Total]]&lt;&gt; 0, NOT(ISBLANK(SamplingData[[#This Row],[Losing Candidate]]))),(SamplingData[[#This Row],[Total]]+SamplingData[[#This Row],[Winning Candidate]]-SamplingData[[#This Row],[Losing Candidate]])/(SamplingData[[#Totals],[Winning Candidate]]-SamplingData[[#Totals],[Losing Candidate]]), 0)</f>
        <v>4.7114991990451363E-3</v>
      </c>
      <c r="R1046" s="100">
        <f>IF(AND(SamplingData[[#This Row],[Total]]&lt;&gt; 0, NOT(ISBLANK(SamplingData[[#This Row],[Candidate 3]]))),(SamplingData[[#This Row],[Total]]+SamplingData[[#This Row],[Winning Candidate]]-SamplingData[[#This Row],[Candidate 3]])/(SamplingData[[#Totals],[Winning Candidate]]-SamplingData[[#Totals],[Candidate 3]]), 0)</f>
        <v>0</v>
      </c>
      <c r="S1046" s="100">
        <f>IF(AND(SamplingData[[#This Row],[Total]]&lt;&gt; 0, NOT(ISBLANK(SamplingData[[#This Row],[Candidate 4]]))),(SamplingData[[#This Row],[Total]]+SamplingData[[#This Row],[Winning Candidate]]-SamplingData[[#This Row],[Candidate 4]])/(SamplingData[[#Totals],[Winning Candidate]]-SamplingData[[#Totals],[Candidate 4]]), 0)</f>
        <v>0</v>
      </c>
      <c r="T1046" s="100">
        <f>IF(AND(SamplingData[[#This Row],[Total]]&lt;&gt; 0, NOT(ISBLANK(SamplingData[[#This Row],[Candidate 5]]))),(SamplingData[[#This Row],[Total]]+SamplingData[[#This Row],[Winning Candidate]]-SamplingData[[#This Row],[Candidate 5]])/(SamplingData[[#Totals],[Winning Candidate]]-SamplingData[[#Totals],[Candidate 5]]), 0)</f>
        <v>0</v>
      </c>
      <c r="U1046" s="100">
        <f>IF(AND(SamplingData[[#This Row],[Total]]&lt;&gt; 0, NOT(ISBLANK(SamplingData[[#This Row],[Candidate 6]]))),(SamplingData[[#This Row],[Total]]+SamplingData[[#This Row],[Losing Candidate]]-SamplingData[[#This Row],[Candidate 6]])/(SamplingData[[#Totals],[Winning Candidate]]-SamplingData[[#Totals],[Candidate 6]]), 0)</f>
        <v>0</v>
      </c>
      <c r="V1046" s="100">
        <f>IF(AND(SamplingData[[#This Row],[Total]]&lt;&gt; 0, NOT(ISBLANK(SamplingData[[#This Row],[Candidate 7]]))),(SamplingData[[#This Row],[Total]]+SamplingData[[#This Row],[Winning Candidate]]-SamplingData[[#This Row],[Candidate 7]])/(SamplingData[[#Totals],[Winning Candidate]]-SamplingData[[#Totals],[Candidate 7]]), 0)</f>
        <v>0</v>
      </c>
      <c r="W1046" s="100">
        <f>IF(AND(SamplingData[[#This Row],[Total]]&lt;&gt; 0, NOT(ISBLANK(SamplingData[[#This Row],[Candidate 8]]))),(SamplingData[[#This Row],[Total]]+SamplingData[[#This Row],[Winning Candidate]]-SamplingData[[#This Row],[Candidate 8]])/(SamplingData[[#Totals],[Winning Candidate]]-SamplingData[[#Totals],[Candidate 8]]), 0)</f>
        <v>0</v>
      </c>
      <c r="X10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00">
        <f>MAX(SamplingData[[#This Row],[Error Bound (up) - Max. possible relative overstatement - Losing Candidate]:[Error Bound (up) - Max. possible relative overstatement - Candidate 12]])</f>
        <v>4.7114991990451363E-3</v>
      </c>
      <c r="AC1046" s="100">
        <f>IF(SamplingData[[#This Row],[Max Error Bound (up)]] = 0,0,SamplingData[[#This Row],[Max Error Bound (up)]]/SamplingData[[#Totals],[Max Error Bound (up)]])</f>
        <v>2.0190599256985956E-3</v>
      </c>
      <c r="AD1046" s="104">
        <f>SUM($AC$5:AC1046)</f>
        <v>0.84451892532170447</v>
      </c>
      <c r="AE1046" s="100" t="str" cm="1">
        <f t="array" ref="AE1046">IF(SamplingData[[#This Row],[up/U Selection Probability]] = 0, "Zero", TEXT(SamplingData[[#This Row],[Lower Range]], REPT("0",LEN('General Info'!$B$42))) &amp; " - " &amp; TEXT(SamplingData[[#This Row],[Upper Range]], REPT("0",LEN('General Info'!$B$42))))</f>
        <v>84250 - 84451</v>
      </c>
      <c r="AF1046" s="100">
        <f>SamplingData[[#This Row],[Upper Range]]-SamplingData[[#This Row],[Span]]</f>
        <v>84249.986539600592</v>
      </c>
      <c r="AG1046" s="100">
        <f>IF(ISNUMBER('General Info'!$B$42), ((SamplingData[[#This Row],[up/U Selection Probability]]) * 'General Info'!$B$44) - 1, 0)</f>
        <v>200.90599256985956</v>
      </c>
      <c r="AH1046" s="100">
        <f>IF(ISNUMBER('General Info'!$B$42), (SamplingData[[#This Row],[Running (cumulative) sum]] * ('General Info'!$B$42 -'General Info'!$B$43 + 1)) + 'General Info'!$B$43 - 1, 0)</f>
        <v>84450.892532170445</v>
      </c>
      <c r="AI1046" s="100" t="str">
        <f>IF(ISERROR(MATCH(SamplingData[[#This Row],[Batch by Type (p)]],SelectedPrecincts[Batch Name], 0)), "", INDEX(SelectedPrecincts[Draw], MATCH(SamplingData[[#This Row],[Batch by Type (p)]],SelectedPrecincts[Batch Name], 0)))</f>
        <v/>
      </c>
      <c r="AJ1046" s="101">
        <f>IF(COUNTIF(SelectedPrecincts[Batch Name],SamplingData[[#This Row],[Batch by Type (p)]]) &lt;&gt; 0, COUNTIF(SelectedPrecincts[Batch Name],SamplingData[[#This Row],[Batch by Type (p)]]), 0)</f>
        <v>0</v>
      </c>
    </row>
    <row r="1047" spans="1:36" ht="15" customHeight="1" x14ac:dyDescent="0.35">
      <c r="A1047" s="98" t="s">
        <v>1258</v>
      </c>
      <c r="B1047" s="98">
        <v>60</v>
      </c>
      <c r="C1047" s="98">
        <v>18</v>
      </c>
      <c r="D1047" s="93"/>
      <c r="E1047" s="93"/>
      <c r="F1047" s="93"/>
      <c r="G1047" s="97"/>
      <c r="H1047" s="97"/>
      <c r="I1047" s="93"/>
      <c r="J1047" s="93"/>
      <c r="K1047" s="93"/>
      <c r="L1047" s="93"/>
      <c r="M1047" s="93"/>
      <c r="N1047" s="98">
        <v>0</v>
      </c>
      <c r="O1047" s="98">
        <v>1</v>
      </c>
      <c r="P1047" s="99">
        <f>SUM(SamplingData[[#This Row],[Winning Candidate]:[Under Votes]])</f>
        <v>79</v>
      </c>
      <c r="Q1047" s="100">
        <f>IF(AND(SamplingData[[#This Row],[Total]]&lt;&gt; 0, NOT(ISBLANK(SamplingData[[#This Row],[Losing Candidate]]))),(SamplingData[[#This Row],[Total]]+SamplingData[[#This Row],[Winning Candidate]]-SamplingData[[#This Row],[Losing Candidate]])/(SamplingData[[#Totals],[Winning Candidate]]-SamplingData[[#Totals],[Losing Candidate]]), 0)</f>
        <v>3.8006093538964099E-3</v>
      </c>
      <c r="R1047" s="100">
        <f>IF(AND(SamplingData[[#This Row],[Total]]&lt;&gt; 0, NOT(ISBLANK(SamplingData[[#This Row],[Candidate 3]]))),(SamplingData[[#This Row],[Total]]+SamplingData[[#This Row],[Winning Candidate]]-SamplingData[[#This Row],[Candidate 3]])/(SamplingData[[#Totals],[Winning Candidate]]-SamplingData[[#Totals],[Candidate 3]]), 0)</f>
        <v>0</v>
      </c>
      <c r="S1047" s="100">
        <f>IF(AND(SamplingData[[#This Row],[Total]]&lt;&gt; 0, NOT(ISBLANK(SamplingData[[#This Row],[Candidate 4]]))),(SamplingData[[#This Row],[Total]]+SamplingData[[#This Row],[Winning Candidate]]-SamplingData[[#This Row],[Candidate 4]])/(SamplingData[[#Totals],[Winning Candidate]]-SamplingData[[#Totals],[Candidate 4]]), 0)</f>
        <v>0</v>
      </c>
      <c r="T1047" s="100">
        <f>IF(AND(SamplingData[[#This Row],[Total]]&lt;&gt; 0, NOT(ISBLANK(SamplingData[[#This Row],[Candidate 5]]))),(SamplingData[[#This Row],[Total]]+SamplingData[[#This Row],[Winning Candidate]]-SamplingData[[#This Row],[Candidate 5]])/(SamplingData[[#Totals],[Winning Candidate]]-SamplingData[[#Totals],[Candidate 5]]), 0)</f>
        <v>0</v>
      </c>
      <c r="U1047" s="100">
        <f>IF(AND(SamplingData[[#This Row],[Total]]&lt;&gt; 0, NOT(ISBLANK(SamplingData[[#This Row],[Candidate 6]]))),(SamplingData[[#This Row],[Total]]+SamplingData[[#This Row],[Losing Candidate]]-SamplingData[[#This Row],[Candidate 6]])/(SamplingData[[#Totals],[Winning Candidate]]-SamplingData[[#Totals],[Candidate 6]]), 0)</f>
        <v>0</v>
      </c>
      <c r="V1047" s="100">
        <f>IF(AND(SamplingData[[#This Row],[Total]]&lt;&gt; 0, NOT(ISBLANK(SamplingData[[#This Row],[Candidate 7]]))),(SamplingData[[#This Row],[Total]]+SamplingData[[#This Row],[Winning Candidate]]-SamplingData[[#This Row],[Candidate 7]])/(SamplingData[[#Totals],[Winning Candidate]]-SamplingData[[#Totals],[Candidate 7]]), 0)</f>
        <v>0</v>
      </c>
      <c r="W1047" s="100">
        <f>IF(AND(SamplingData[[#This Row],[Total]]&lt;&gt; 0, NOT(ISBLANK(SamplingData[[#This Row],[Candidate 8]]))),(SamplingData[[#This Row],[Total]]+SamplingData[[#This Row],[Winning Candidate]]-SamplingData[[#This Row],[Candidate 8]])/(SamplingData[[#Totals],[Winning Candidate]]-SamplingData[[#Totals],[Candidate 8]]), 0)</f>
        <v>0</v>
      </c>
      <c r="X10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00">
        <f>MAX(SamplingData[[#This Row],[Error Bound (up) - Max. possible relative overstatement - Losing Candidate]:[Error Bound (up) - Max. possible relative overstatement - Candidate 12]])</f>
        <v>3.8006093538964099E-3</v>
      </c>
      <c r="AC1047" s="100">
        <f>IF(SamplingData[[#This Row],[Max Error Bound (up)]] = 0,0,SamplingData[[#This Row],[Max Error Bound (up)]]/SamplingData[[#Totals],[Max Error Bound (up)]])</f>
        <v>1.6287083400635337E-3</v>
      </c>
      <c r="AD1047" s="104">
        <f>SUM($AC$5:AC1047)</f>
        <v>0.84614763366176804</v>
      </c>
      <c r="AE1047" s="100" t="str" cm="1">
        <f t="array" ref="AE1047">IF(SamplingData[[#This Row],[up/U Selection Probability]] = 0, "Zero", TEXT(SamplingData[[#This Row],[Lower Range]], REPT("0",LEN('General Info'!$B$42))) &amp; " - " &amp; TEXT(SamplingData[[#This Row],[Upper Range]], REPT("0",LEN('General Info'!$B$42))))</f>
        <v>84452 - 84614</v>
      </c>
      <c r="AF1047" s="100">
        <f>SamplingData[[#This Row],[Upper Range]]-SamplingData[[#This Row],[Span]]</f>
        <v>84451.892532170445</v>
      </c>
      <c r="AG1047" s="100">
        <f>IF(ISNUMBER('General Info'!$B$42), ((SamplingData[[#This Row],[up/U Selection Probability]]) * 'General Info'!$B$44) - 1, 0)</f>
        <v>161.87083400635336</v>
      </c>
      <c r="AH1047" s="100">
        <f>IF(ISNUMBER('General Info'!$B$42), (SamplingData[[#This Row],[Running (cumulative) sum]] * ('General Info'!$B$42 -'General Info'!$B$43 + 1)) + 'General Info'!$B$43 - 1, 0)</f>
        <v>84613.763366176805</v>
      </c>
      <c r="AI1047" s="100" t="str">
        <f>IF(ISERROR(MATCH(SamplingData[[#This Row],[Batch by Type (p)]],SelectedPrecincts[Batch Name], 0)), "", INDEX(SelectedPrecincts[Draw], MATCH(SamplingData[[#This Row],[Batch by Type (p)]],SelectedPrecincts[Batch Name], 0)))</f>
        <v/>
      </c>
      <c r="AJ1047" s="101">
        <f>IF(COUNTIF(SelectedPrecincts[Batch Name],SamplingData[[#This Row],[Batch by Type (p)]]) &lt;&gt; 0, COUNTIF(SelectedPrecincts[Batch Name],SamplingData[[#This Row],[Batch by Type (p)]]), 0)</f>
        <v>0</v>
      </c>
    </row>
    <row r="1048" spans="1:36" ht="15" customHeight="1" x14ac:dyDescent="0.35">
      <c r="A1048" s="98" t="s">
        <v>1259</v>
      </c>
      <c r="B1048" s="98">
        <v>18</v>
      </c>
      <c r="C1048" s="98">
        <v>3</v>
      </c>
      <c r="D1048" s="93"/>
      <c r="E1048" s="93"/>
      <c r="F1048" s="93"/>
      <c r="G1048" s="97"/>
      <c r="H1048" s="97"/>
      <c r="I1048" s="93"/>
      <c r="J1048" s="93"/>
      <c r="K1048" s="93"/>
      <c r="L1048" s="93"/>
      <c r="M1048" s="93"/>
      <c r="N1048" s="98">
        <v>0</v>
      </c>
      <c r="O1048" s="98">
        <v>1</v>
      </c>
      <c r="P1048" s="99">
        <f>SUM(SamplingData[[#This Row],[Winning Candidate]:[Under Votes]])</f>
        <v>22</v>
      </c>
      <c r="Q1048" s="100">
        <f>IF(AND(SamplingData[[#This Row],[Total]]&lt;&gt; 0, NOT(ISBLANK(SamplingData[[#This Row],[Losing Candidate]]))),(SamplingData[[#This Row],[Total]]+SamplingData[[#This Row],[Winning Candidate]]-SamplingData[[#This Row],[Losing Candidate]])/(SamplingData[[#Totals],[Winning Candidate]]-SamplingData[[#Totals],[Losing Candidate]]), 0)</f>
        <v>1.1621698024311335E-3</v>
      </c>
      <c r="R1048" s="100">
        <f>IF(AND(SamplingData[[#This Row],[Total]]&lt;&gt; 0, NOT(ISBLANK(SamplingData[[#This Row],[Candidate 3]]))),(SamplingData[[#This Row],[Total]]+SamplingData[[#This Row],[Winning Candidate]]-SamplingData[[#This Row],[Candidate 3]])/(SamplingData[[#Totals],[Winning Candidate]]-SamplingData[[#Totals],[Candidate 3]]), 0)</f>
        <v>0</v>
      </c>
      <c r="S1048" s="100">
        <f>IF(AND(SamplingData[[#This Row],[Total]]&lt;&gt; 0, NOT(ISBLANK(SamplingData[[#This Row],[Candidate 4]]))),(SamplingData[[#This Row],[Total]]+SamplingData[[#This Row],[Winning Candidate]]-SamplingData[[#This Row],[Candidate 4]])/(SamplingData[[#Totals],[Winning Candidate]]-SamplingData[[#Totals],[Candidate 4]]), 0)</f>
        <v>0</v>
      </c>
      <c r="T1048" s="100">
        <f>IF(AND(SamplingData[[#This Row],[Total]]&lt;&gt; 0, NOT(ISBLANK(SamplingData[[#This Row],[Candidate 5]]))),(SamplingData[[#This Row],[Total]]+SamplingData[[#This Row],[Winning Candidate]]-SamplingData[[#This Row],[Candidate 5]])/(SamplingData[[#Totals],[Winning Candidate]]-SamplingData[[#Totals],[Candidate 5]]), 0)</f>
        <v>0</v>
      </c>
      <c r="U1048" s="100">
        <f>IF(AND(SamplingData[[#This Row],[Total]]&lt;&gt; 0, NOT(ISBLANK(SamplingData[[#This Row],[Candidate 6]]))),(SamplingData[[#This Row],[Total]]+SamplingData[[#This Row],[Losing Candidate]]-SamplingData[[#This Row],[Candidate 6]])/(SamplingData[[#Totals],[Winning Candidate]]-SamplingData[[#Totals],[Candidate 6]]), 0)</f>
        <v>0</v>
      </c>
      <c r="V1048" s="100">
        <f>IF(AND(SamplingData[[#This Row],[Total]]&lt;&gt; 0, NOT(ISBLANK(SamplingData[[#This Row],[Candidate 7]]))),(SamplingData[[#This Row],[Total]]+SamplingData[[#This Row],[Winning Candidate]]-SamplingData[[#This Row],[Candidate 7]])/(SamplingData[[#Totals],[Winning Candidate]]-SamplingData[[#Totals],[Candidate 7]]), 0)</f>
        <v>0</v>
      </c>
      <c r="W1048" s="100">
        <f>IF(AND(SamplingData[[#This Row],[Total]]&lt;&gt; 0, NOT(ISBLANK(SamplingData[[#This Row],[Candidate 8]]))),(SamplingData[[#This Row],[Total]]+SamplingData[[#This Row],[Winning Candidate]]-SamplingData[[#This Row],[Candidate 8]])/(SamplingData[[#Totals],[Winning Candidate]]-SamplingData[[#Totals],[Candidate 8]]), 0)</f>
        <v>0</v>
      </c>
      <c r="X10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00">
        <f>MAX(SamplingData[[#This Row],[Error Bound (up) - Max. possible relative overstatement - Losing Candidate]:[Error Bound (up) - Max. possible relative overstatement - Candidate 12]])</f>
        <v>1.1621698024311335E-3</v>
      </c>
      <c r="AC1048" s="100">
        <f>IF(SamplingData[[#This Row],[Max Error Bound (up)]] = 0,0,SamplingData[[#This Row],[Max Error Bound (up)]]/SamplingData[[#Totals],[Max Error Bound (up)]])</f>
        <v>4.9803478167232014E-4</v>
      </c>
      <c r="AD1048" s="104">
        <f>SUM($AC$5:AC1048)</f>
        <v>0.84664566844344036</v>
      </c>
      <c r="AE1048" s="100" t="str" cm="1">
        <f t="array" ref="AE1048">IF(SamplingData[[#This Row],[up/U Selection Probability]] = 0, "Zero", TEXT(SamplingData[[#This Row],[Lower Range]], REPT("0",LEN('General Info'!$B$42))) &amp; " - " &amp; TEXT(SamplingData[[#This Row],[Upper Range]], REPT("0",LEN('General Info'!$B$42))))</f>
        <v>84615 - 84664</v>
      </c>
      <c r="AF1048" s="100">
        <f>SamplingData[[#This Row],[Upper Range]]-SamplingData[[#This Row],[Span]]</f>
        <v>84614.763366176805</v>
      </c>
      <c r="AG1048" s="100">
        <f>IF(ISNUMBER('General Info'!$B$42), ((SamplingData[[#This Row],[up/U Selection Probability]]) * 'General Info'!$B$44) - 1, 0)</f>
        <v>48.803478167232015</v>
      </c>
      <c r="AH1048" s="100">
        <f>IF(ISNUMBER('General Info'!$B$42), (SamplingData[[#This Row],[Running (cumulative) sum]] * ('General Info'!$B$42 -'General Info'!$B$43 + 1)) + 'General Info'!$B$43 - 1, 0)</f>
        <v>84663.566844344037</v>
      </c>
      <c r="AI1048" s="100" t="str">
        <f>IF(ISERROR(MATCH(SamplingData[[#This Row],[Batch by Type (p)]],SelectedPrecincts[Batch Name], 0)), "", INDEX(SelectedPrecincts[Draw], MATCH(SamplingData[[#This Row],[Batch by Type (p)]],SelectedPrecincts[Batch Name], 0)))</f>
        <v/>
      </c>
      <c r="AJ1048" s="101">
        <f>IF(COUNTIF(SelectedPrecincts[Batch Name],SamplingData[[#This Row],[Batch by Type (p)]]) &lt;&gt; 0, COUNTIF(SelectedPrecincts[Batch Name],SamplingData[[#This Row],[Batch by Type (p)]]), 0)</f>
        <v>0</v>
      </c>
    </row>
    <row r="1049" spans="1:36" ht="15" customHeight="1" x14ac:dyDescent="0.35">
      <c r="A1049" s="98" t="s">
        <v>1260</v>
      </c>
      <c r="B1049" s="98">
        <v>54</v>
      </c>
      <c r="C1049" s="98">
        <v>14</v>
      </c>
      <c r="D1049" s="93"/>
      <c r="E1049" s="93"/>
      <c r="F1049" s="93"/>
      <c r="G1049" s="97"/>
      <c r="H1049" s="97"/>
      <c r="I1049" s="93"/>
      <c r="J1049" s="93"/>
      <c r="K1049" s="93"/>
      <c r="L1049" s="93"/>
      <c r="M1049" s="93"/>
      <c r="N1049" s="98">
        <v>0</v>
      </c>
      <c r="O1049" s="98">
        <v>0</v>
      </c>
      <c r="P1049" s="99">
        <f>SUM(SamplingData[[#This Row],[Winning Candidate]:[Under Votes]])</f>
        <v>68</v>
      </c>
      <c r="Q1049" s="100">
        <f>IF(AND(SamplingData[[#This Row],[Total]]&lt;&gt; 0, NOT(ISBLANK(SamplingData[[#This Row],[Losing Candidate]]))),(SamplingData[[#This Row],[Total]]+SamplingData[[#This Row],[Winning Candidate]]-SamplingData[[#This Row],[Losing Candidate]])/(SamplingData[[#Totals],[Winning Candidate]]-SamplingData[[#Totals],[Losing Candidate]]), 0)</f>
        <v>3.3922794233124981E-3</v>
      </c>
      <c r="R1049" s="100">
        <f>IF(AND(SamplingData[[#This Row],[Total]]&lt;&gt; 0, NOT(ISBLANK(SamplingData[[#This Row],[Candidate 3]]))),(SamplingData[[#This Row],[Total]]+SamplingData[[#This Row],[Winning Candidate]]-SamplingData[[#This Row],[Candidate 3]])/(SamplingData[[#Totals],[Winning Candidate]]-SamplingData[[#Totals],[Candidate 3]]), 0)</f>
        <v>0</v>
      </c>
      <c r="S1049" s="100">
        <f>IF(AND(SamplingData[[#This Row],[Total]]&lt;&gt; 0, NOT(ISBLANK(SamplingData[[#This Row],[Candidate 4]]))),(SamplingData[[#This Row],[Total]]+SamplingData[[#This Row],[Winning Candidate]]-SamplingData[[#This Row],[Candidate 4]])/(SamplingData[[#Totals],[Winning Candidate]]-SamplingData[[#Totals],[Candidate 4]]), 0)</f>
        <v>0</v>
      </c>
      <c r="T1049" s="100">
        <f>IF(AND(SamplingData[[#This Row],[Total]]&lt;&gt; 0, NOT(ISBLANK(SamplingData[[#This Row],[Candidate 5]]))),(SamplingData[[#This Row],[Total]]+SamplingData[[#This Row],[Winning Candidate]]-SamplingData[[#This Row],[Candidate 5]])/(SamplingData[[#Totals],[Winning Candidate]]-SamplingData[[#Totals],[Candidate 5]]), 0)</f>
        <v>0</v>
      </c>
      <c r="U1049" s="100">
        <f>IF(AND(SamplingData[[#This Row],[Total]]&lt;&gt; 0, NOT(ISBLANK(SamplingData[[#This Row],[Candidate 6]]))),(SamplingData[[#This Row],[Total]]+SamplingData[[#This Row],[Losing Candidate]]-SamplingData[[#This Row],[Candidate 6]])/(SamplingData[[#Totals],[Winning Candidate]]-SamplingData[[#Totals],[Candidate 6]]), 0)</f>
        <v>0</v>
      </c>
      <c r="V1049" s="100">
        <f>IF(AND(SamplingData[[#This Row],[Total]]&lt;&gt; 0, NOT(ISBLANK(SamplingData[[#This Row],[Candidate 7]]))),(SamplingData[[#This Row],[Total]]+SamplingData[[#This Row],[Winning Candidate]]-SamplingData[[#This Row],[Candidate 7]])/(SamplingData[[#Totals],[Winning Candidate]]-SamplingData[[#Totals],[Candidate 7]]), 0)</f>
        <v>0</v>
      </c>
      <c r="W1049" s="100">
        <f>IF(AND(SamplingData[[#This Row],[Total]]&lt;&gt; 0, NOT(ISBLANK(SamplingData[[#This Row],[Candidate 8]]))),(SamplingData[[#This Row],[Total]]+SamplingData[[#This Row],[Winning Candidate]]-SamplingData[[#This Row],[Candidate 8]])/(SamplingData[[#Totals],[Winning Candidate]]-SamplingData[[#Totals],[Candidate 8]]), 0)</f>
        <v>0</v>
      </c>
      <c r="X10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00">
        <f>MAX(SamplingData[[#This Row],[Error Bound (up) - Max. possible relative overstatement - Losing Candidate]:[Error Bound (up) - Max. possible relative overstatement - Candidate 12]])</f>
        <v>3.3922794233124981E-3</v>
      </c>
      <c r="AC1049" s="100">
        <f>IF(SamplingData[[#This Row],[Max Error Bound (up)]] = 0,0,SamplingData[[#This Row],[Max Error Bound (up)]]/SamplingData[[#Totals],[Max Error Bound (up)]])</f>
        <v>1.4537231465029889E-3</v>
      </c>
      <c r="AD1049" s="104">
        <f>SUM($AC$5:AC1049)</f>
        <v>0.8480993915899433</v>
      </c>
      <c r="AE1049" s="100" t="str" cm="1">
        <f t="array" ref="AE1049">IF(SamplingData[[#This Row],[up/U Selection Probability]] = 0, "Zero", TEXT(SamplingData[[#This Row],[Lower Range]], REPT("0",LEN('General Info'!$B$42))) &amp; " - " &amp; TEXT(SamplingData[[#This Row],[Upper Range]], REPT("0",LEN('General Info'!$B$42))))</f>
        <v>84665 - 84809</v>
      </c>
      <c r="AF1049" s="100">
        <f>SamplingData[[#This Row],[Upper Range]]-SamplingData[[#This Row],[Span]]</f>
        <v>84664.566844344023</v>
      </c>
      <c r="AG1049" s="100">
        <f>IF(ISNUMBER('General Info'!$B$42), ((SamplingData[[#This Row],[up/U Selection Probability]]) * 'General Info'!$B$44) - 1, 0)</f>
        <v>144.37231465029888</v>
      </c>
      <c r="AH1049" s="100">
        <f>IF(ISNUMBER('General Info'!$B$42), (SamplingData[[#This Row],[Running (cumulative) sum]] * ('General Info'!$B$42 -'General Info'!$B$43 + 1)) + 'General Info'!$B$43 - 1, 0)</f>
        <v>84808.939158994326</v>
      </c>
      <c r="AI1049" s="100" t="str">
        <f>IF(ISERROR(MATCH(SamplingData[[#This Row],[Batch by Type (p)]],SelectedPrecincts[Batch Name], 0)), "", INDEX(SelectedPrecincts[Draw], MATCH(SamplingData[[#This Row],[Batch by Type (p)]],SelectedPrecincts[Batch Name], 0)))</f>
        <v/>
      </c>
      <c r="AJ1049" s="101">
        <f>IF(COUNTIF(SelectedPrecincts[Batch Name],SamplingData[[#This Row],[Batch by Type (p)]]) &lt;&gt; 0, COUNTIF(SelectedPrecincts[Batch Name],SamplingData[[#This Row],[Batch by Type (p)]]), 0)</f>
        <v>0</v>
      </c>
    </row>
    <row r="1050" spans="1:36" ht="15" customHeight="1" x14ac:dyDescent="0.35">
      <c r="A1050" s="98" t="s">
        <v>1261</v>
      </c>
      <c r="B1050" s="98">
        <v>132</v>
      </c>
      <c r="C1050" s="98">
        <v>19</v>
      </c>
      <c r="D1050" s="93"/>
      <c r="E1050" s="93"/>
      <c r="F1050" s="93"/>
      <c r="G1050" s="97"/>
      <c r="H1050" s="97"/>
      <c r="I1050" s="93"/>
      <c r="J1050" s="93"/>
      <c r="K1050" s="93"/>
      <c r="L1050" s="93"/>
      <c r="M1050" s="93"/>
      <c r="N1050" s="98">
        <v>0</v>
      </c>
      <c r="O1050" s="98">
        <v>3</v>
      </c>
      <c r="P1050" s="99">
        <f>SUM(SamplingData[[#This Row],[Winning Candidate]:[Under Votes]])</f>
        <v>154</v>
      </c>
      <c r="Q1050" s="100">
        <f>IF(AND(SamplingData[[#This Row],[Total]]&lt;&gt; 0, NOT(ISBLANK(SamplingData[[#This Row],[Losing Candidate]]))),(SamplingData[[#This Row],[Total]]+SamplingData[[#This Row],[Winning Candidate]]-SamplingData[[#This Row],[Losing Candidate]])/(SamplingData[[#Totals],[Winning Candidate]]-SamplingData[[#Totals],[Losing Candidate]]), 0)</f>
        <v>8.3864685743003427E-3</v>
      </c>
      <c r="R1050" s="100">
        <f>IF(AND(SamplingData[[#This Row],[Total]]&lt;&gt; 0, NOT(ISBLANK(SamplingData[[#This Row],[Candidate 3]]))),(SamplingData[[#This Row],[Total]]+SamplingData[[#This Row],[Winning Candidate]]-SamplingData[[#This Row],[Candidate 3]])/(SamplingData[[#Totals],[Winning Candidate]]-SamplingData[[#Totals],[Candidate 3]]), 0)</f>
        <v>0</v>
      </c>
      <c r="S1050" s="100">
        <f>IF(AND(SamplingData[[#This Row],[Total]]&lt;&gt; 0, NOT(ISBLANK(SamplingData[[#This Row],[Candidate 4]]))),(SamplingData[[#This Row],[Total]]+SamplingData[[#This Row],[Winning Candidate]]-SamplingData[[#This Row],[Candidate 4]])/(SamplingData[[#Totals],[Winning Candidate]]-SamplingData[[#Totals],[Candidate 4]]), 0)</f>
        <v>0</v>
      </c>
      <c r="T1050" s="100">
        <f>IF(AND(SamplingData[[#This Row],[Total]]&lt;&gt; 0, NOT(ISBLANK(SamplingData[[#This Row],[Candidate 5]]))),(SamplingData[[#This Row],[Total]]+SamplingData[[#This Row],[Winning Candidate]]-SamplingData[[#This Row],[Candidate 5]])/(SamplingData[[#Totals],[Winning Candidate]]-SamplingData[[#Totals],[Candidate 5]]), 0)</f>
        <v>0</v>
      </c>
      <c r="U1050" s="100">
        <f>IF(AND(SamplingData[[#This Row],[Total]]&lt;&gt; 0, NOT(ISBLANK(SamplingData[[#This Row],[Candidate 6]]))),(SamplingData[[#This Row],[Total]]+SamplingData[[#This Row],[Losing Candidate]]-SamplingData[[#This Row],[Candidate 6]])/(SamplingData[[#Totals],[Winning Candidate]]-SamplingData[[#Totals],[Candidate 6]]), 0)</f>
        <v>0</v>
      </c>
      <c r="V1050" s="100">
        <f>IF(AND(SamplingData[[#This Row],[Total]]&lt;&gt; 0, NOT(ISBLANK(SamplingData[[#This Row],[Candidate 7]]))),(SamplingData[[#This Row],[Total]]+SamplingData[[#This Row],[Winning Candidate]]-SamplingData[[#This Row],[Candidate 7]])/(SamplingData[[#Totals],[Winning Candidate]]-SamplingData[[#Totals],[Candidate 7]]), 0)</f>
        <v>0</v>
      </c>
      <c r="W1050" s="100">
        <f>IF(AND(SamplingData[[#This Row],[Total]]&lt;&gt; 0, NOT(ISBLANK(SamplingData[[#This Row],[Candidate 8]]))),(SamplingData[[#This Row],[Total]]+SamplingData[[#This Row],[Winning Candidate]]-SamplingData[[#This Row],[Candidate 8]])/(SamplingData[[#Totals],[Winning Candidate]]-SamplingData[[#Totals],[Candidate 8]]), 0)</f>
        <v>0</v>
      </c>
      <c r="X10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00">
        <f>MAX(SamplingData[[#This Row],[Error Bound (up) - Max. possible relative overstatement - Losing Candidate]:[Error Bound (up) - Max. possible relative overstatement - Candidate 12]])</f>
        <v>8.3864685743003427E-3</v>
      </c>
      <c r="AC1050" s="100">
        <f>IF(SamplingData[[#This Row],[Max Error Bound (up)]] = 0,0,SamplingData[[#This Row],[Max Error Bound (up)]]/SamplingData[[#Totals],[Max Error Bound (up)]])</f>
        <v>3.5939266677435001E-3</v>
      </c>
      <c r="AD1050" s="104">
        <f>SUM($AC$5:AC1050)</f>
        <v>0.85169331825768679</v>
      </c>
      <c r="AE1050" s="100" t="str" cm="1">
        <f t="array" ref="AE1050">IF(SamplingData[[#This Row],[up/U Selection Probability]] = 0, "Zero", TEXT(SamplingData[[#This Row],[Lower Range]], REPT("0",LEN('General Info'!$B$42))) &amp; " - " &amp; TEXT(SamplingData[[#This Row],[Upper Range]], REPT("0",LEN('General Info'!$B$42))))</f>
        <v>84810 - 85168</v>
      </c>
      <c r="AF1050" s="100">
        <f>SamplingData[[#This Row],[Upper Range]]-SamplingData[[#This Row],[Span]]</f>
        <v>84809.939158994326</v>
      </c>
      <c r="AG1050" s="100">
        <f>IF(ISNUMBER('General Info'!$B$42), ((SamplingData[[#This Row],[up/U Selection Probability]]) * 'General Info'!$B$44) - 1, 0)</f>
        <v>358.39266677435</v>
      </c>
      <c r="AH1050" s="100">
        <f>IF(ISNUMBER('General Info'!$B$42), (SamplingData[[#This Row],[Running (cumulative) sum]] * ('General Info'!$B$42 -'General Info'!$B$43 + 1)) + 'General Info'!$B$43 - 1, 0)</f>
        <v>85168.331825768677</v>
      </c>
      <c r="AI1050" s="100" t="str">
        <f>IF(ISERROR(MATCH(SamplingData[[#This Row],[Batch by Type (p)]],SelectedPrecincts[Batch Name], 0)), "", INDEX(SelectedPrecincts[Draw], MATCH(SamplingData[[#This Row],[Batch by Type (p)]],SelectedPrecincts[Batch Name], 0)))</f>
        <v/>
      </c>
      <c r="AJ1050" s="101">
        <f>IF(COUNTIF(SelectedPrecincts[Batch Name],SamplingData[[#This Row],[Batch by Type (p)]]) &lt;&gt; 0, COUNTIF(SelectedPrecincts[Batch Name],SamplingData[[#This Row],[Batch by Type (p)]]), 0)</f>
        <v>0</v>
      </c>
    </row>
    <row r="1051" spans="1:36" ht="15" customHeight="1" x14ac:dyDescent="0.35">
      <c r="A1051" s="98" t="s">
        <v>1262</v>
      </c>
      <c r="B1051" s="98">
        <v>160</v>
      </c>
      <c r="C1051" s="98">
        <v>6</v>
      </c>
      <c r="D1051" s="93"/>
      <c r="E1051" s="93"/>
      <c r="F1051" s="93"/>
      <c r="G1051" s="97"/>
      <c r="H1051" s="97"/>
      <c r="I1051" s="93"/>
      <c r="J1051" s="93"/>
      <c r="K1051" s="93"/>
      <c r="L1051" s="93"/>
      <c r="M1051" s="93"/>
      <c r="N1051" s="98">
        <v>0</v>
      </c>
      <c r="O1051" s="98">
        <v>3</v>
      </c>
      <c r="P1051" s="99">
        <f>SUM(SamplingData[[#This Row],[Winning Candidate]:[Under Votes]])</f>
        <v>169</v>
      </c>
      <c r="Q1051" s="100">
        <f>IF(AND(SamplingData[[#This Row],[Total]]&lt;&gt; 0, NOT(ISBLANK(SamplingData[[#This Row],[Losing Candidate]]))),(SamplingData[[#This Row],[Total]]+SamplingData[[#This Row],[Winning Candidate]]-SamplingData[[#This Row],[Losing Candidate]])/(SamplingData[[#Totals],[Winning Candidate]]-SamplingData[[#Totals],[Losing Candidate]]), 0)</f>
        <v>1.0145428275277193E-2</v>
      </c>
      <c r="R1051" s="100">
        <f>IF(AND(SamplingData[[#This Row],[Total]]&lt;&gt; 0, NOT(ISBLANK(SamplingData[[#This Row],[Candidate 3]]))),(SamplingData[[#This Row],[Total]]+SamplingData[[#This Row],[Winning Candidate]]-SamplingData[[#This Row],[Candidate 3]])/(SamplingData[[#Totals],[Winning Candidate]]-SamplingData[[#Totals],[Candidate 3]]), 0)</f>
        <v>0</v>
      </c>
      <c r="S1051" s="100">
        <f>IF(AND(SamplingData[[#This Row],[Total]]&lt;&gt; 0, NOT(ISBLANK(SamplingData[[#This Row],[Candidate 4]]))),(SamplingData[[#This Row],[Total]]+SamplingData[[#This Row],[Winning Candidate]]-SamplingData[[#This Row],[Candidate 4]])/(SamplingData[[#Totals],[Winning Candidate]]-SamplingData[[#Totals],[Candidate 4]]), 0)</f>
        <v>0</v>
      </c>
      <c r="T1051" s="100">
        <f>IF(AND(SamplingData[[#This Row],[Total]]&lt;&gt; 0, NOT(ISBLANK(SamplingData[[#This Row],[Candidate 5]]))),(SamplingData[[#This Row],[Total]]+SamplingData[[#This Row],[Winning Candidate]]-SamplingData[[#This Row],[Candidate 5]])/(SamplingData[[#Totals],[Winning Candidate]]-SamplingData[[#Totals],[Candidate 5]]), 0)</f>
        <v>0</v>
      </c>
      <c r="U1051" s="100">
        <f>IF(AND(SamplingData[[#This Row],[Total]]&lt;&gt; 0, NOT(ISBLANK(SamplingData[[#This Row],[Candidate 6]]))),(SamplingData[[#This Row],[Total]]+SamplingData[[#This Row],[Losing Candidate]]-SamplingData[[#This Row],[Candidate 6]])/(SamplingData[[#Totals],[Winning Candidate]]-SamplingData[[#Totals],[Candidate 6]]), 0)</f>
        <v>0</v>
      </c>
      <c r="V1051" s="100">
        <f>IF(AND(SamplingData[[#This Row],[Total]]&lt;&gt; 0, NOT(ISBLANK(SamplingData[[#This Row],[Candidate 7]]))),(SamplingData[[#This Row],[Total]]+SamplingData[[#This Row],[Winning Candidate]]-SamplingData[[#This Row],[Candidate 7]])/(SamplingData[[#Totals],[Winning Candidate]]-SamplingData[[#Totals],[Candidate 7]]), 0)</f>
        <v>0</v>
      </c>
      <c r="W1051" s="100">
        <f>IF(AND(SamplingData[[#This Row],[Total]]&lt;&gt; 0, NOT(ISBLANK(SamplingData[[#This Row],[Candidate 8]]))),(SamplingData[[#This Row],[Total]]+SamplingData[[#This Row],[Winning Candidate]]-SamplingData[[#This Row],[Candidate 8]])/(SamplingData[[#Totals],[Winning Candidate]]-SamplingData[[#Totals],[Candidate 8]]), 0)</f>
        <v>0</v>
      </c>
      <c r="X10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00">
        <f>MAX(SamplingData[[#This Row],[Error Bound (up) - Max. possible relative overstatement - Losing Candidate]:[Error Bound (up) - Max. possible relative overstatement - Candidate 12]])</f>
        <v>1.0145428275277193E-2</v>
      </c>
      <c r="AC1051" s="100">
        <f>IF(SamplingData[[#This Row],[Max Error Bound (up)]] = 0,0,SamplingData[[#This Row],[Max Error Bound (up)]]/SamplingData[[#Totals],[Max Error Bound (up)]])</f>
        <v>4.3477090400043088E-3</v>
      </c>
      <c r="AD1051" s="104">
        <f>SUM($AC$5:AC1051)</f>
        <v>0.85604102729769105</v>
      </c>
      <c r="AE1051" s="100" t="str" cm="1">
        <f t="array" ref="AE1051">IF(SamplingData[[#This Row],[up/U Selection Probability]] = 0, "Zero", TEXT(SamplingData[[#This Row],[Lower Range]], REPT("0",LEN('General Info'!$B$42))) &amp; " - " &amp; TEXT(SamplingData[[#This Row],[Upper Range]], REPT("0",LEN('General Info'!$B$42))))</f>
        <v>85169 - 85603</v>
      </c>
      <c r="AF1051" s="100">
        <f>SamplingData[[#This Row],[Upper Range]]-SamplingData[[#This Row],[Span]]</f>
        <v>85169.331825768677</v>
      </c>
      <c r="AG1051" s="100">
        <f>IF(ISNUMBER('General Info'!$B$42), ((SamplingData[[#This Row],[up/U Selection Probability]]) * 'General Info'!$B$44) - 1, 0)</f>
        <v>433.7709040004309</v>
      </c>
      <c r="AH1051" s="100">
        <f>IF(ISNUMBER('General Info'!$B$42), (SamplingData[[#This Row],[Running (cumulative) sum]] * ('General Info'!$B$42 -'General Info'!$B$43 + 1)) + 'General Info'!$B$43 - 1, 0)</f>
        <v>85603.102729769103</v>
      </c>
      <c r="AI1051" s="100" t="str">
        <f>IF(ISERROR(MATCH(SamplingData[[#This Row],[Batch by Type (p)]],SelectedPrecincts[Batch Name], 0)), "", INDEX(SelectedPrecincts[Draw], MATCH(SamplingData[[#This Row],[Batch by Type (p)]],SelectedPrecincts[Batch Name], 0)))</f>
        <v/>
      </c>
      <c r="AJ1051" s="101">
        <f>IF(COUNTIF(SelectedPrecincts[Batch Name],SamplingData[[#This Row],[Batch by Type (p)]]) &lt;&gt; 0, COUNTIF(SelectedPrecincts[Batch Name],SamplingData[[#This Row],[Batch by Type (p)]]), 0)</f>
        <v>0</v>
      </c>
    </row>
    <row r="1052" spans="1:36" ht="15" customHeight="1" x14ac:dyDescent="0.35">
      <c r="A1052" s="98" t="s">
        <v>1263</v>
      </c>
      <c r="B1052" s="98">
        <v>202</v>
      </c>
      <c r="C1052" s="98">
        <v>26</v>
      </c>
      <c r="D1052" s="93"/>
      <c r="E1052" s="93"/>
      <c r="F1052" s="93"/>
      <c r="G1052" s="97"/>
      <c r="H1052" s="97"/>
      <c r="I1052" s="93"/>
      <c r="J1052" s="93"/>
      <c r="K1052" s="93"/>
      <c r="L1052" s="93"/>
      <c r="M1052" s="93"/>
      <c r="N1052" s="98">
        <v>1</v>
      </c>
      <c r="O1052" s="98">
        <v>5</v>
      </c>
      <c r="P1052" s="99">
        <f>SUM(SamplingData[[#This Row],[Winning Candidate]:[Under Votes]])</f>
        <v>234</v>
      </c>
      <c r="Q1052" s="100">
        <f>IF(AND(SamplingData[[#This Row],[Total]]&lt;&gt; 0, NOT(ISBLANK(SamplingData[[#This Row],[Losing Candidate]]))),(SamplingData[[#This Row],[Total]]+SamplingData[[#This Row],[Winning Candidate]]-SamplingData[[#This Row],[Losing Candidate]])/(SamplingData[[#Totals],[Winning Candidate]]-SamplingData[[#Totals],[Losing Candidate]]), 0)</f>
        <v>1.2878097810723372E-2</v>
      </c>
      <c r="R1052" s="100">
        <f>IF(AND(SamplingData[[#This Row],[Total]]&lt;&gt; 0, NOT(ISBLANK(SamplingData[[#This Row],[Candidate 3]]))),(SamplingData[[#This Row],[Total]]+SamplingData[[#This Row],[Winning Candidate]]-SamplingData[[#This Row],[Candidate 3]])/(SamplingData[[#Totals],[Winning Candidate]]-SamplingData[[#Totals],[Candidate 3]]), 0)</f>
        <v>0</v>
      </c>
      <c r="S1052" s="100">
        <f>IF(AND(SamplingData[[#This Row],[Total]]&lt;&gt; 0, NOT(ISBLANK(SamplingData[[#This Row],[Candidate 4]]))),(SamplingData[[#This Row],[Total]]+SamplingData[[#This Row],[Winning Candidate]]-SamplingData[[#This Row],[Candidate 4]])/(SamplingData[[#Totals],[Winning Candidate]]-SamplingData[[#Totals],[Candidate 4]]), 0)</f>
        <v>0</v>
      </c>
      <c r="T1052" s="100">
        <f>IF(AND(SamplingData[[#This Row],[Total]]&lt;&gt; 0, NOT(ISBLANK(SamplingData[[#This Row],[Candidate 5]]))),(SamplingData[[#This Row],[Total]]+SamplingData[[#This Row],[Winning Candidate]]-SamplingData[[#This Row],[Candidate 5]])/(SamplingData[[#Totals],[Winning Candidate]]-SamplingData[[#Totals],[Candidate 5]]), 0)</f>
        <v>0</v>
      </c>
      <c r="U1052" s="100">
        <f>IF(AND(SamplingData[[#This Row],[Total]]&lt;&gt; 0, NOT(ISBLANK(SamplingData[[#This Row],[Candidate 6]]))),(SamplingData[[#This Row],[Total]]+SamplingData[[#This Row],[Losing Candidate]]-SamplingData[[#This Row],[Candidate 6]])/(SamplingData[[#Totals],[Winning Candidate]]-SamplingData[[#Totals],[Candidate 6]]), 0)</f>
        <v>0</v>
      </c>
      <c r="V1052" s="100">
        <f>IF(AND(SamplingData[[#This Row],[Total]]&lt;&gt; 0, NOT(ISBLANK(SamplingData[[#This Row],[Candidate 7]]))),(SamplingData[[#This Row],[Total]]+SamplingData[[#This Row],[Winning Candidate]]-SamplingData[[#This Row],[Candidate 7]])/(SamplingData[[#Totals],[Winning Candidate]]-SamplingData[[#Totals],[Candidate 7]]), 0)</f>
        <v>0</v>
      </c>
      <c r="W1052" s="100">
        <f>IF(AND(SamplingData[[#This Row],[Total]]&lt;&gt; 0, NOT(ISBLANK(SamplingData[[#This Row],[Candidate 8]]))),(SamplingData[[#This Row],[Total]]+SamplingData[[#This Row],[Winning Candidate]]-SamplingData[[#This Row],[Candidate 8]])/(SamplingData[[#Totals],[Winning Candidate]]-SamplingData[[#Totals],[Candidate 8]]), 0)</f>
        <v>0</v>
      </c>
      <c r="X10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00">
        <f>MAX(SamplingData[[#This Row],[Error Bound (up) - Max. possible relative overstatement - Losing Candidate]:[Error Bound (up) - Max. possible relative overstatement - Candidate 12]])</f>
        <v>1.2878097810723372E-2</v>
      </c>
      <c r="AC1052" s="100">
        <f>IF(SamplingData[[#This Row],[Max Error Bound (up)]] = 0,0,SamplingData[[#This Row],[Max Error Bound (up)]]/SamplingData[[#Totals],[Max Error Bound (up)]])</f>
        <v>5.5187637969094944E-3</v>
      </c>
      <c r="AD1052" s="104">
        <f>SUM($AC$5:AC1052)</f>
        <v>0.86155979109460057</v>
      </c>
      <c r="AE1052" s="100" t="str" cm="1">
        <f t="array" ref="AE1052">IF(SamplingData[[#This Row],[up/U Selection Probability]] = 0, "Zero", TEXT(SamplingData[[#This Row],[Lower Range]], REPT("0",LEN('General Info'!$B$42))) &amp; " - " &amp; TEXT(SamplingData[[#This Row],[Upper Range]], REPT("0",LEN('General Info'!$B$42))))</f>
        <v>85604 - 86155</v>
      </c>
      <c r="AF1052" s="100">
        <f>SamplingData[[#This Row],[Upper Range]]-SamplingData[[#This Row],[Span]]</f>
        <v>85604.102729769103</v>
      </c>
      <c r="AG1052" s="100">
        <f>IF(ISNUMBER('General Info'!$B$42), ((SamplingData[[#This Row],[up/U Selection Probability]]) * 'General Info'!$B$44) - 1, 0)</f>
        <v>550.87637969094942</v>
      </c>
      <c r="AH1052" s="100">
        <f>IF(ISNUMBER('General Info'!$B$42), (SamplingData[[#This Row],[Running (cumulative) sum]] * ('General Info'!$B$42 -'General Info'!$B$43 + 1)) + 'General Info'!$B$43 - 1, 0)</f>
        <v>86154.979109460051</v>
      </c>
      <c r="AI1052" s="100" t="str">
        <f>IF(ISERROR(MATCH(SamplingData[[#This Row],[Batch by Type (p)]],SelectedPrecincts[Batch Name], 0)), "", INDEX(SelectedPrecincts[Draw], MATCH(SamplingData[[#This Row],[Batch by Type (p)]],SelectedPrecincts[Batch Name], 0)))</f>
        <v/>
      </c>
      <c r="AJ1052" s="101">
        <f>IF(COUNTIF(SelectedPrecincts[Batch Name],SamplingData[[#This Row],[Batch by Type (p)]]) &lt;&gt; 0, COUNTIF(SelectedPrecincts[Batch Name],SamplingData[[#This Row],[Batch by Type (p)]]), 0)</f>
        <v>0</v>
      </c>
    </row>
    <row r="1053" spans="1:36" ht="15" customHeight="1" x14ac:dyDescent="0.35">
      <c r="A1053" s="98" t="s">
        <v>1264</v>
      </c>
      <c r="B1053" s="98">
        <v>153</v>
      </c>
      <c r="C1053" s="98">
        <v>6</v>
      </c>
      <c r="D1053" s="93"/>
      <c r="E1053" s="93"/>
      <c r="F1053" s="93"/>
      <c r="G1053" s="97"/>
      <c r="H1053" s="97"/>
      <c r="I1053" s="93"/>
      <c r="J1053" s="93"/>
      <c r="K1053" s="93"/>
      <c r="L1053" s="93"/>
      <c r="M1053" s="93"/>
      <c r="N1053" s="98">
        <v>0</v>
      </c>
      <c r="O1053" s="98">
        <v>6</v>
      </c>
      <c r="P1053" s="99">
        <f>SUM(SamplingData[[#This Row],[Winning Candidate]:[Under Votes]])</f>
        <v>165</v>
      </c>
      <c r="Q1053" s="100">
        <f>IF(AND(SamplingData[[#This Row],[Total]]&lt;&gt; 0, NOT(ISBLANK(SamplingData[[#This Row],[Losing Candidate]]))),(SamplingData[[#This Row],[Total]]+SamplingData[[#This Row],[Winning Candidate]]-SamplingData[[#This Row],[Losing Candidate]])/(SamplingData[[#Totals],[Winning Candidate]]-SamplingData[[#Totals],[Losing Candidate]]), 0)</f>
        <v>9.7999183340138837E-3</v>
      </c>
      <c r="R1053" s="100">
        <f>IF(AND(SamplingData[[#This Row],[Total]]&lt;&gt; 0, NOT(ISBLANK(SamplingData[[#This Row],[Candidate 3]]))),(SamplingData[[#This Row],[Total]]+SamplingData[[#This Row],[Winning Candidate]]-SamplingData[[#This Row],[Candidate 3]])/(SamplingData[[#Totals],[Winning Candidate]]-SamplingData[[#Totals],[Candidate 3]]), 0)</f>
        <v>0</v>
      </c>
      <c r="S1053" s="100">
        <f>IF(AND(SamplingData[[#This Row],[Total]]&lt;&gt; 0, NOT(ISBLANK(SamplingData[[#This Row],[Candidate 4]]))),(SamplingData[[#This Row],[Total]]+SamplingData[[#This Row],[Winning Candidate]]-SamplingData[[#This Row],[Candidate 4]])/(SamplingData[[#Totals],[Winning Candidate]]-SamplingData[[#Totals],[Candidate 4]]), 0)</f>
        <v>0</v>
      </c>
      <c r="T1053" s="100">
        <f>IF(AND(SamplingData[[#This Row],[Total]]&lt;&gt; 0, NOT(ISBLANK(SamplingData[[#This Row],[Candidate 5]]))),(SamplingData[[#This Row],[Total]]+SamplingData[[#This Row],[Winning Candidate]]-SamplingData[[#This Row],[Candidate 5]])/(SamplingData[[#Totals],[Winning Candidate]]-SamplingData[[#Totals],[Candidate 5]]), 0)</f>
        <v>0</v>
      </c>
      <c r="U1053" s="100">
        <f>IF(AND(SamplingData[[#This Row],[Total]]&lt;&gt; 0, NOT(ISBLANK(SamplingData[[#This Row],[Candidate 6]]))),(SamplingData[[#This Row],[Total]]+SamplingData[[#This Row],[Losing Candidate]]-SamplingData[[#This Row],[Candidate 6]])/(SamplingData[[#Totals],[Winning Candidate]]-SamplingData[[#Totals],[Candidate 6]]), 0)</f>
        <v>0</v>
      </c>
      <c r="V1053" s="100">
        <f>IF(AND(SamplingData[[#This Row],[Total]]&lt;&gt; 0, NOT(ISBLANK(SamplingData[[#This Row],[Candidate 7]]))),(SamplingData[[#This Row],[Total]]+SamplingData[[#This Row],[Winning Candidate]]-SamplingData[[#This Row],[Candidate 7]])/(SamplingData[[#Totals],[Winning Candidate]]-SamplingData[[#Totals],[Candidate 7]]), 0)</f>
        <v>0</v>
      </c>
      <c r="W1053" s="100">
        <f>IF(AND(SamplingData[[#This Row],[Total]]&lt;&gt; 0, NOT(ISBLANK(SamplingData[[#This Row],[Candidate 8]]))),(SamplingData[[#This Row],[Total]]+SamplingData[[#This Row],[Winning Candidate]]-SamplingData[[#This Row],[Candidate 8]])/(SamplingData[[#Totals],[Winning Candidate]]-SamplingData[[#Totals],[Candidate 8]]), 0)</f>
        <v>0</v>
      </c>
      <c r="X10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00">
        <f>MAX(SamplingData[[#This Row],[Error Bound (up) - Max. possible relative overstatement - Losing Candidate]:[Error Bound (up) - Max. possible relative overstatement - Candidate 12]])</f>
        <v>9.7999183340138837E-3</v>
      </c>
      <c r="AC1053" s="100">
        <f>IF(SamplingData[[#This Row],[Max Error Bound (up)]] = 0,0,SamplingData[[#This Row],[Max Error Bound (up)]]/SamplingData[[#Totals],[Max Error Bound (up)]])</f>
        <v>4.1996446454530788E-3</v>
      </c>
      <c r="AD1053" s="104">
        <f>SUM($AC$5:AC1053)</f>
        <v>0.86575943574005365</v>
      </c>
      <c r="AE1053" s="100" t="str" cm="1">
        <f t="array" ref="AE1053">IF(SamplingData[[#This Row],[up/U Selection Probability]] = 0, "Zero", TEXT(SamplingData[[#This Row],[Lower Range]], REPT("0",LEN('General Info'!$B$42))) &amp; " - " &amp; TEXT(SamplingData[[#This Row],[Upper Range]], REPT("0",LEN('General Info'!$B$42))))</f>
        <v>86156 - 86575</v>
      </c>
      <c r="AF1053" s="100">
        <f>SamplingData[[#This Row],[Upper Range]]-SamplingData[[#This Row],[Span]]</f>
        <v>86155.979109460051</v>
      </c>
      <c r="AG1053" s="100">
        <f>IF(ISNUMBER('General Info'!$B$42), ((SamplingData[[#This Row],[up/U Selection Probability]]) * 'General Info'!$B$44) - 1, 0)</f>
        <v>418.96446454530786</v>
      </c>
      <c r="AH1053" s="100">
        <f>IF(ISNUMBER('General Info'!$B$42), (SamplingData[[#This Row],[Running (cumulative) sum]] * ('General Info'!$B$42 -'General Info'!$B$43 + 1)) + 'General Info'!$B$43 - 1, 0)</f>
        <v>86574.94357400536</v>
      </c>
      <c r="AI1053" s="100" t="str">
        <f>IF(ISERROR(MATCH(SamplingData[[#This Row],[Batch by Type (p)]],SelectedPrecincts[Batch Name], 0)), "", INDEX(SelectedPrecincts[Draw], MATCH(SamplingData[[#This Row],[Batch by Type (p)]],SelectedPrecincts[Batch Name], 0)))</f>
        <v/>
      </c>
      <c r="AJ1053" s="101">
        <f>IF(COUNTIF(SelectedPrecincts[Batch Name],SamplingData[[#This Row],[Batch by Type (p)]]) &lt;&gt; 0, COUNTIF(SelectedPrecincts[Batch Name],SamplingData[[#This Row],[Batch by Type (p)]]), 0)</f>
        <v>0</v>
      </c>
    </row>
    <row r="1054" spans="1:36" ht="15" customHeight="1" x14ac:dyDescent="0.35">
      <c r="A1054" s="98" t="s">
        <v>1265</v>
      </c>
      <c r="B1054" s="98">
        <v>157</v>
      </c>
      <c r="C1054" s="98">
        <v>9</v>
      </c>
      <c r="D1054" s="93"/>
      <c r="E1054" s="93"/>
      <c r="F1054" s="93"/>
      <c r="G1054" s="97"/>
      <c r="H1054" s="97"/>
      <c r="I1054" s="93"/>
      <c r="J1054" s="93"/>
      <c r="K1054" s="93"/>
      <c r="L1054" s="93"/>
      <c r="M1054" s="93"/>
      <c r="N1054" s="98">
        <v>0</v>
      </c>
      <c r="O1054" s="98">
        <v>2</v>
      </c>
      <c r="P1054" s="99">
        <f>SUM(SamplingData[[#This Row],[Winning Candidate]:[Under Votes]])</f>
        <v>168</v>
      </c>
      <c r="Q1054" s="100">
        <f>IF(AND(SamplingData[[#This Row],[Total]]&lt;&gt; 0, NOT(ISBLANK(SamplingData[[#This Row],[Losing Candidate]]))),(SamplingData[[#This Row],[Total]]+SamplingData[[#This Row],[Winning Candidate]]-SamplingData[[#This Row],[Losing Candidate]])/(SamplingData[[#Totals],[Winning Candidate]]-SamplingData[[#Totals],[Losing Candidate]]), 0)</f>
        <v>9.9255583126550868E-3</v>
      </c>
      <c r="R1054" s="100">
        <f>IF(AND(SamplingData[[#This Row],[Total]]&lt;&gt; 0, NOT(ISBLANK(SamplingData[[#This Row],[Candidate 3]]))),(SamplingData[[#This Row],[Total]]+SamplingData[[#This Row],[Winning Candidate]]-SamplingData[[#This Row],[Candidate 3]])/(SamplingData[[#Totals],[Winning Candidate]]-SamplingData[[#Totals],[Candidate 3]]), 0)</f>
        <v>0</v>
      </c>
      <c r="S1054" s="100">
        <f>IF(AND(SamplingData[[#This Row],[Total]]&lt;&gt; 0, NOT(ISBLANK(SamplingData[[#This Row],[Candidate 4]]))),(SamplingData[[#This Row],[Total]]+SamplingData[[#This Row],[Winning Candidate]]-SamplingData[[#This Row],[Candidate 4]])/(SamplingData[[#Totals],[Winning Candidate]]-SamplingData[[#Totals],[Candidate 4]]), 0)</f>
        <v>0</v>
      </c>
      <c r="T1054" s="100">
        <f>IF(AND(SamplingData[[#This Row],[Total]]&lt;&gt; 0, NOT(ISBLANK(SamplingData[[#This Row],[Candidate 5]]))),(SamplingData[[#This Row],[Total]]+SamplingData[[#This Row],[Winning Candidate]]-SamplingData[[#This Row],[Candidate 5]])/(SamplingData[[#Totals],[Winning Candidate]]-SamplingData[[#Totals],[Candidate 5]]), 0)</f>
        <v>0</v>
      </c>
      <c r="U1054" s="100">
        <f>IF(AND(SamplingData[[#This Row],[Total]]&lt;&gt; 0, NOT(ISBLANK(SamplingData[[#This Row],[Candidate 6]]))),(SamplingData[[#This Row],[Total]]+SamplingData[[#This Row],[Losing Candidate]]-SamplingData[[#This Row],[Candidate 6]])/(SamplingData[[#Totals],[Winning Candidate]]-SamplingData[[#Totals],[Candidate 6]]), 0)</f>
        <v>0</v>
      </c>
      <c r="V1054" s="100">
        <f>IF(AND(SamplingData[[#This Row],[Total]]&lt;&gt; 0, NOT(ISBLANK(SamplingData[[#This Row],[Candidate 7]]))),(SamplingData[[#This Row],[Total]]+SamplingData[[#This Row],[Winning Candidate]]-SamplingData[[#This Row],[Candidate 7]])/(SamplingData[[#Totals],[Winning Candidate]]-SamplingData[[#Totals],[Candidate 7]]), 0)</f>
        <v>0</v>
      </c>
      <c r="W1054" s="100">
        <f>IF(AND(SamplingData[[#This Row],[Total]]&lt;&gt; 0, NOT(ISBLANK(SamplingData[[#This Row],[Candidate 8]]))),(SamplingData[[#This Row],[Total]]+SamplingData[[#This Row],[Winning Candidate]]-SamplingData[[#This Row],[Candidate 8]])/(SamplingData[[#Totals],[Winning Candidate]]-SamplingData[[#Totals],[Candidate 8]]), 0)</f>
        <v>0</v>
      </c>
      <c r="X10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00">
        <f>MAX(SamplingData[[#This Row],[Error Bound (up) - Max. possible relative overstatement - Losing Candidate]:[Error Bound (up) - Max. possible relative overstatement - Candidate 12]])</f>
        <v>9.9255583126550868E-3</v>
      </c>
      <c r="AC1054" s="100">
        <f>IF(SamplingData[[#This Row],[Max Error Bound (up)]] = 0,0,SamplingData[[#This Row],[Max Error Bound (up)]]/SamplingData[[#Totals],[Max Error Bound (up)]])</f>
        <v>4.253486243471708E-3</v>
      </c>
      <c r="AD1054" s="104">
        <f>SUM($AC$5:AC1054)</f>
        <v>0.87001292198352531</v>
      </c>
      <c r="AE1054" s="100" t="str" cm="1">
        <f t="array" ref="AE1054">IF(SamplingData[[#This Row],[up/U Selection Probability]] = 0, "Zero", TEXT(SamplingData[[#This Row],[Lower Range]], REPT("0",LEN('General Info'!$B$42))) &amp; " - " &amp; TEXT(SamplingData[[#This Row],[Upper Range]], REPT("0",LEN('General Info'!$B$42))))</f>
        <v>86576 - 87000</v>
      </c>
      <c r="AF1054" s="100">
        <f>SamplingData[[#This Row],[Upper Range]]-SamplingData[[#This Row],[Span]]</f>
        <v>86575.94357400536</v>
      </c>
      <c r="AG1054" s="100">
        <f>IF(ISNUMBER('General Info'!$B$42), ((SamplingData[[#This Row],[up/U Selection Probability]]) * 'General Info'!$B$44) - 1, 0)</f>
        <v>424.34862434717081</v>
      </c>
      <c r="AH1054" s="100">
        <f>IF(ISNUMBER('General Info'!$B$42), (SamplingData[[#This Row],[Running (cumulative) sum]] * ('General Info'!$B$42 -'General Info'!$B$43 + 1)) + 'General Info'!$B$43 - 1, 0)</f>
        <v>87000.29219835253</v>
      </c>
      <c r="AI1054" s="100" t="str">
        <f>IF(ISERROR(MATCH(SamplingData[[#This Row],[Batch by Type (p)]],SelectedPrecincts[Batch Name], 0)), "", INDEX(SelectedPrecincts[Draw], MATCH(SamplingData[[#This Row],[Batch by Type (p)]],SelectedPrecincts[Batch Name], 0)))</f>
        <v/>
      </c>
      <c r="AJ1054" s="101">
        <f>IF(COUNTIF(SelectedPrecincts[Batch Name],SamplingData[[#This Row],[Batch by Type (p)]]) &lt;&gt; 0, COUNTIF(SelectedPrecincts[Batch Name],SamplingData[[#This Row],[Batch by Type (p)]]), 0)</f>
        <v>0</v>
      </c>
    </row>
    <row r="1055" spans="1:36" ht="15" customHeight="1" x14ac:dyDescent="0.35">
      <c r="A1055" s="98" t="s">
        <v>1266</v>
      </c>
      <c r="B1055" s="98">
        <v>192</v>
      </c>
      <c r="C1055" s="98">
        <v>16</v>
      </c>
      <c r="D1055" s="93"/>
      <c r="E1055" s="93"/>
      <c r="F1055" s="93"/>
      <c r="G1055" s="97"/>
      <c r="H1055" s="97"/>
      <c r="I1055" s="93"/>
      <c r="J1055" s="93"/>
      <c r="K1055" s="93"/>
      <c r="L1055" s="93"/>
      <c r="M1055" s="93"/>
      <c r="N1055" s="98">
        <v>0</v>
      </c>
      <c r="O1055" s="98">
        <v>2</v>
      </c>
      <c r="P1055" s="99">
        <f>SUM(SamplingData[[#This Row],[Winning Candidate]:[Under Votes]])</f>
        <v>210</v>
      </c>
      <c r="Q1055" s="100">
        <f>IF(AND(SamplingData[[#This Row],[Total]]&lt;&gt; 0, NOT(ISBLANK(SamplingData[[#This Row],[Losing Candidate]]))),(SamplingData[[#This Row],[Total]]+SamplingData[[#This Row],[Winning Candidate]]-SamplingData[[#This Row],[Losing Candidate]])/(SamplingData[[#Totals],[Winning Candidate]]-SamplingData[[#Totals],[Losing Candidate]]), 0)</f>
        <v>1.212425793887615E-2</v>
      </c>
      <c r="R1055" s="100">
        <f>IF(AND(SamplingData[[#This Row],[Total]]&lt;&gt; 0, NOT(ISBLANK(SamplingData[[#This Row],[Candidate 3]]))),(SamplingData[[#This Row],[Total]]+SamplingData[[#This Row],[Winning Candidate]]-SamplingData[[#This Row],[Candidate 3]])/(SamplingData[[#Totals],[Winning Candidate]]-SamplingData[[#Totals],[Candidate 3]]), 0)</f>
        <v>0</v>
      </c>
      <c r="S1055" s="100">
        <f>IF(AND(SamplingData[[#This Row],[Total]]&lt;&gt; 0, NOT(ISBLANK(SamplingData[[#This Row],[Candidate 4]]))),(SamplingData[[#This Row],[Total]]+SamplingData[[#This Row],[Winning Candidate]]-SamplingData[[#This Row],[Candidate 4]])/(SamplingData[[#Totals],[Winning Candidate]]-SamplingData[[#Totals],[Candidate 4]]), 0)</f>
        <v>0</v>
      </c>
      <c r="T1055" s="100">
        <f>IF(AND(SamplingData[[#This Row],[Total]]&lt;&gt; 0, NOT(ISBLANK(SamplingData[[#This Row],[Candidate 5]]))),(SamplingData[[#This Row],[Total]]+SamplingData[[#This Row],[Winning Candidate]]-SamplingData[[#This Row],[Candidate 5]])/(SamplingData[[#Totals],[Winning Candidate]]-SamplingData[[#Totals],[Candidate 5]]), 0)</f>
        <v>0</v>
      </c>
      <c r="U1055" s="100">
        <f>IF(AND(SamplingData[[#This Row],[Total]]&lt;&gt; 0, NOT(ISBLANK(SamplingData[[#This Row],[Candidate 6]]))),(SamplingData[[#This Row],[Total]]+SamplingData[[#This Row],[Losing Candidate]]-SamplingData[[#This Row],[Candidate 6]])/(SamplingData[[#Totals],[Winning Candidate]]-SamplingData[[#Totals],[Candidate 6]]), 0)</f>
        <v>0</v>
      </c>
      <c r="V1055" s="100">
        <f>IF(AND(SamplingData[[#This Row],[Total]]&lt;&gt; 0, NOT(ISBLANK(SamplingData[[#This Row],[Candidate 7]]))),(SamplingData[[#This Row],[Total]]+SamplingData[[#This Row],[Winning Candidate]]-SamplingData[[#This Row],[Candidate 7]])/(SamplingData[[#Totals],[Winning Candidate]]-SamplingData[[#Totals],[Candidate 7]]), 0)</f>
        <v>0</v>
      </c>
      <c r="W1055" s="100">
        <f>IF(AND(SamplingData[[#This Row],[Total]]&lt;&gt; 0, NOT(ISBLANK(SamplingData[[#This Row],[Candidate 8]]))),(SamplingData[[#This Row],[Total]]+SamplingData[[#This Row],[Winning Candidate]]-SamplingData[[#This Row],[Candidate 8]])/(SamplingData[[#Totals],[Winning Candidate]]-SamplingData[[#Totals],[Candidate 8]]), 0)</f>
        <v>0</v>
      </c>
      <c r="X10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00">
        <f>MAX(SamplingData[[#This Row],[Error Bound (up) - Max. possible relative overstatement - Losing Candidate]:[Error Bound (up) - Max. possible relative overstatement - Candidate 12]])</f>
        <v>1.212425793887615E-2</v>
      </c>
      <c r="AC1055" s="100">
        <f>IF(SamplingData[[#This Row],[Max Error Bound (up)]] = 0,0,SamplingData[[#This Row],[Max Error Bound (up)]]/SamplingData[[#Totals],[Max Error Bound (up)]])</f>
        <v>5.1957142087977184E-3</v>
      </c>
      <c r="AD1055" s="104">
        <f>SUM($AC$5:AC1055)</f>
        <v>0.87520863619232303</v>
      </c>
      <c r="AE1055" s="100" t="str" cm="1">
        <f t="array" ref="AE1055">IF(SamplingData[[#This Row],[up/U Selection Probability]] = 0, "Zero", TEXT(SamplingData[[#This Row],[Lower Range]], REPT("0",LEN('General Info'!$B$42))) &amp; " - " &amp; TEXT(SamplingData[[#This Row],[Upper Range]], REPT("0",LEN('General Info'!$B$42))))</f>
        <v>87001 - 87520</v>
      </c>
      <c r="AF1055" s="100">
        <f>SamplingData[[#This Row],[Upper Range]]-SamplingData[[#This Row],[Span]]</f>
        <v>87001.29219835253</v>
      </c>
      <c r="AG1055" s="100">
        <f>IF(ISNUMBER('General Info'!$B$42), ((SamplingData[[#This Row],[up/U Selection Probability]]) * 'General Info'!$B$44) - 1, 0)</f>
        <v>518.57142087977184</v>
      </c>
      <c r="AH1055" s="100">
        <f>IF(ISNUMBER('General Info'!$B$42), (SamplingData[[#This Row],[Running (cumulative) sum]] * ('General Info'!$B$42 -'General Info'!$B$43 + 1)) + 'General Info'!$B$43 - 1, 0)</f>
        <v>87519.863619232303</v>
      </c>
      <c r="AI1055" s="100" t="str">
        <f>IF(ISERROR(MATCH(SamplingData[[#This Row],[Batch by Type (p)]],SelectedPrecincts[Batch Name], 0)), "", INDEX(SelectedPrecincts[Draw], MATCH(SamplingData[[#This Row],[Batch by Type (p)]],SelectedPrecincts[Batch Name], 0)))</f>
        <v/>
      </c>
      <c r="AJ1055" s="101">
        <f>IF(COUNTIF(SelectedPrecincts[Batch Name],SamplingData[[#This Row],[Batch by Type (p)]]) &lt;&gt; 0, COUNTIF(SelectedPrecincts[Batch Name],SamplingData[[#This Row],[Batch by Type (p)]]), 0)</f>
        <v>0</v>
      </c>
    </row>
    <row r="1056" spans="1:36" ht="15" customHeight="1" x14ac:dyDescent="0.35">
      <c r="A1056" s="98" t="s">
        <v>1267</v>
      </c>
      <c r="B1056" s="98">
        <v>171</v>
      </c>
      <c r="C1056" s="98">
        <v>12</v>
      </c>
      <c r="D1056" s="93"/>
      <c r="E1056" s="93"/>
      <c r="F1056" s="93"/>
      <c r="G1056" s="97"/>
      <c r="H1056" s="97"/>
      <c r="I1056" s="93"/>
      <c r="J1056" s="93"/>
      <c r="K1056" s="93"/>
      <c r="L1056" s="93"/>
      <c r="M1056" s="93"/>
      <c r="N1056" s="98">
        <v>0</v>
      </c>
      <c r="O1056" s="98">
        <v>3</v>
      </c>
      <c r="P1056" s="99">
        <f>SUM(SamplingData[[#This Row],[Winning Candidate]:[Under Votes]])</f>
        <v>186</v>
      </c>
      <c r="Q1056" s="100">
        <f>IF(AND(SamplingData[[#This Row],[Total]]&lt;&gt; 0, NOT(ISBLANK(SamplingData[[#This Row],[Losing Candidate]]))),(SamplingData[[#This Row],[Total]]+SamplingData[[#This Row],[Winning Candidate]]-SamplingData[[#This Row],[Losing Candidate]])/(SamplingData[[#Totals],[Winning Candidate]]-SamplingData[[#Totals],[Losing Candidate]]), 0)</f>
        <v>1.0836448157803814E-2</v>
      </c>
      <c r="R1056" s="100">
        <f>IF(AND(SamplingData[[#This Row],[Total]]&lt;&gt; 0, NOT(ISBLANK(SamplingData[[#This Row],[Candidate 3]]))),(SamplingData[[#This Row],[Total]]+SamplingData[[#This Row],[Winning Candidate]]-SamplingData[[#This Row],[Candidate 3]])/(SamplingData[[#Totals],[Winning Candidate]]-SamplingData[[#Totals],[Candidate 3]]), 0)</f>
        <v>0</v>
      </c>
      <c r="S1056" s="100">
        <f>IF(AND(SamplingData[[#This Row],[Total]]&lt;&gt; 0, NOT(ISBLANK(SamplingData[[#This Row],[Candidate 4]]))),(SamplingData[[#This Row],[Total]]+SamplingData[[#This Row],[Winning Candidate]]-SamplingData[[#This Row],[Candidate 4]])/(SamplingData[[#Totals],[Winning Candidate]]-SamplingData[[#Totals],[Candidate 4]]), 0)</f>
        <v>0</v>
      </c>
      <c r="T1056" s="100">
        <f>IF(AND(SamplingData[[#This Row],[Total]]&lt;&gt; 0, NOT(ISBLANK(SamplingData[[#This Row],[Candidate 5]]))),(SamplingData[[#This Row],[Total]]+SamplingData[[#This Row],[Winning Candidate]]-SamplingData[[#This Row],[Candidate 5]])/(SamplingData[[#Totals],[Winning Candidate]]-SamplingData[[#Totals],[Candidate 5]]), 0)</f>
        <v>0</v>
      </c>
      <c r="U1056" s="100">
        <f>IF(AND(SamplingData[[#This Row],[Total]]&lt;&gt; 0, NOT(ISBLANK(SamplingData[[#This Row],[Candidate 6]]))),(SamplingData[[#This Row],[Total]]+SamplingData[[#This Row],[Losing Candidate]]-SamplingData[[#This Row],[Candidate 6]])/(SamplingData[[#Totals],[Winning Candidate]]-SamplingData[[#Totals],[Candidate 6]]), 0)</f>
        <v>0</v>
      </c>
      <c r="V1056" s="100">
        <f>IF(AND(SamplingData[[#This Row],[Total]]&lt;&gt; 0, NOT(ISBLANK(SamplingData[[#This Row],[Candidate 7]]))),(SamplingData[[#This Row],[Total]]+SamplingData[[#This Row],[Winning Candidate]]-SamplingData[[#This Row],[Candidate 7]])/(SamplingData[[#Totals],[Winning Candidate]]-SamplingData[[#Totals],[Candidate 7]]), 0)</f>
        <v>0</v>
      </c>
      <c r="W1056" s="100">
        <f>IF(AND(SamplingData[[#This Row],[Total]]&lt;&gt; 0, NOT(ISBLANK(SamplingData[[#This Row],[Candidate 8]]))),(SamplingData[[#This Row],[Total]]+SamplingData[[#This Row],[Winning Candidate]]-SamplingData[[#This Row],[Candidate 8]])/(SamplingData[[#Totals],[Winning Candidate]]-SamplingData[[#Totals],[Candidate 8]]), 0)</f>
        <v>0</v>
      </c>
      <c r="X10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00">
        <f>MAX(SamplingData[[#This Row],[Error Bound (up) - Max. possible relative overstatement - Losing Candidate]:[Error Bound (up) - Max. possible relative overstatement - Candidate 12]])</f>
        <v>1.0836448157803814E-2</v>
      </c>
      <c r="AC1056" s="100">
        <f>IF(SamplingData[[#This Row],[Max Error Bound (up)]] = 0,0,SamplingData[[#This Row],[Max Error Bound (up)]]/SamplingData[[#Totals],[Max Error Bound (up)]])</f>
        <v>4.6438378291067698E-3</v>
      </c>
      <c r="AD1056" s="104">
        <f>SUM($AC$5:AC1056)</f>
        <v>0.87985247402142985</v>
      </c>
      <c r="AE1056" s="100" t="str" cm="1">
        <f t="array" ref="AE1056">IF(SamplingData[[#This Row],[up/U Selection Probability]] = 0, "Zero", TEXT(SamplingData[[#This Row],[Lower Range]], REPT("0",LEN('General Info'!$B$42))) &amp; " - " &amp; TEXT(SamplingData[[#This Row],[Upper Range]], REPT("0",LEN('General Info'!$B$42))))</f>
        <v>87521 - 87984</v>
      </c>
      <c r="AF1056" s="100">
        <f>SamplingData[[#This Row],[Upper Range]]-SamplingData[[#This Row],[Span]]</f>
        <v>87520.863619232303</v>
      </c>
      <c r="AG1056" s="100">
        <f>IF(ISNUMBER('General Info'!$B$42), ((SamplingData[[#This Row],[up/U Selection Probability]]) * 'General Info'!$B$44) - 1, 0)</f>
        <v>463.38378291067698</v>
      </c>
      <c r="AH1056" s="100">
        <f>IF(ISNUMBER('General Info'!$B$42), (SamplingData[[#This Row],[Running (cumulative) sum]] * ('General Info'!$B$42 -'General Info'!$B$43 + 1)) + 'General Info'!$B$43 - 1, 0)</f>
        <v>87984.247402142981</v>
      </c>
      <c r="AI1056" s="100" t="str">
        <f>IF(ISERROR(MATCH(SamplingData[[#This Row],[Batch by Type (p)]],SelectedPrecincts[Batch Name], 0)), "", INDEX(SelectedPrecincts[Draw], MATCH(SamplingData[[#This Row],[Batch by Type (p)]],SelectedPrecincts[Batch Name], 0)))</f>
        <v/>
      </c>
      <c r="AJ1056" s="101">
        <f>IF(COUNTIF(SelectedPrecincts[Batch Name],SamplingData[[#This Row],[Batch by Type (p)]]) &lt;&gt; 0, COUNTIF(SelectedPrecincts[Batch Name],SamplingData[[#This Row],[Batch by Type (p)]]), 0)</f>
        <v>0</v>
      </c>
    </row>
    <row r="1057" spans="1:36" ht="15" customHeight="1" x14ac:dyDescent="0.35">
      <c r="A1057" s="98" t="s">
        <v>1268</v>
      </c>
      <c r="B1057" s="98">
        <v>92</v>
      </c>
      <c r="C1057" s="98">
        <v>12</v>
      </c>
      <c r="D1057" s="93"/>
      <c r="E1057" s="93"/>
      <c r="F1057" s="93"/>
      <c r="G1057" s="97"/>
      <c r="H1057" s="97"/>
      <c r="I1057" s="93"/>
      <c r="J1057" s="93"/>
      <c r="K1057" s="93"/>
      <c r="L1057" s="93"/>
      <c r="M1057" s="93"/>
      <c r="N1057" s="98">
        <v>0</v>
      </c>
      <c r="O1057" s="98">
        <v>6</v>
      </c>
      <c r="P1057" s="99">
        <f>SUM(SamplingData[[#This Row],[Winning Candidate]:[Under Votes]])</f>
        <v>110</v>
      </c>
      <c r="Q1057" s="100">
        <f>IF(AND(SamplingData[[#This Row],[Total]]&lt;&gt; 0, NOT(ISBLANK(SamplingData[[#This Row],[Losing Candidate]]))),(SamplingData[[#This Row],[Total]]+SamplingData[[#This Row],[Winning Candidate]]-SamplingData[[#This Row],[Losing Candidate]])/(SamplingData[[#Totals],[Winning Candidate]]-SamplingData[[#Totals],[Losing Candidate]]), 0)</f>
        <v>5.9678989854571726E-3</v>
      </c>
      <c r="R1057" s="100">
        <f>IF(AND(SamplingData[[#This Row],[Total]]&lt;&gt; 0, NOT(ISBLANK(SamplingData[[#This Row],[Candidate 3]]))),(SamplingData[[#This Row],[Total]]+SamplingData[[#This Row],[Winning Candidate]]-SamplingData[[#This Row],[Candidate 3]])/(SamplingData[[#Totals],[Winning Candidate]]-SamplingData[[#Totals],[Candidate 3]]), 0)</f>
        <v>0</v>
      </c>
      <c r="S1057" s="100">
        <f>IF(AND(SamplingData[[#This Row],[Total]]&lt;&gt; 0, NOT(ISBLANK(SamplingData[[#This Row],[Candidate 4]]))),(SamplingData[[#This Row],[Total]]+SamplingData[[#This Row],[Winning Candidate]]-SamplingData[[#This Row],[Candidate 4]])/(SamplingData[[#Totals],[Winning Candidate]]-SamplingData[[#Totals],[Candidate 4]]), 0)</f>
        <v>0</v>
      </c>
      <c r="T1057" s="100">
        <f>IF(AND(SamplingData[[#This Row],[Total]]&lt;&gt; 0, NOT(ISBLANK(SamplingData[[#This Row],[Candidate 5]]))),(SamplingData[[#This Row],[Total]]+SamplingData[[#This Row],[Winning Candidate]]-SamplingData[[#This Row],[Candidate 5]])/(SamplingData[[#Totals],[Winning Candidate]]-SamplingData[[#Totals],[Candidate 5]]), 0)</f>
        <v>0</v>
      </c>
      <c r="U1057" s="100">
        <f>IF(AND(SamplingData[[#This Row],[Total]]&lt;&gt; 0, NOT(ISBLANK(SamplingData[[#This Row],[Candidate 6]]))),(SamplingData[[#This Row],[Total]]+SamplingData[[#This Row],[Losing Candidate]]-SamplingData[[#This Row],[Candidate 6]])/(SamplingData[[#Totals],[Winning Candidate]]-SamplingData[[#Totals],[Candidate 6]]), 0)</f>
        <v>0</v>
      </c>
      <c r="V1057" s="100">
        <f>IF(AND(SamplingData[[#This Row],[Total]]&lt;&gt; 0, NOT(ISBLANK(SamplingData[[#This Row],[Candidate 7]]))),(SamplingData[[#This Row],[Total]]+SamplingData[[#This Row],[Winning Candidate]]-SamplingData[[#This Row],[Candidate 7]])/(SamplingData[[#Totals],[Winning Candidate]]-SamplingData[[#Totals],[Candidate 7]]), 0)</f>
        <v>0</v>
      </c>
      <c r="W1057" s="100">
        <f>IF(AND(SamplingData[[#This Row],[Total]]&lt;&gt; 0, NOT(ISBLANK(SamplingData[[#This Row],[Candidate 8]]))),(SamplingData[[#This Row],[Total]]+SamplingData[[#This Row],[Winning Candidate]]-SamplingData[[#This Row],[Candidate 8]])/(SamplingData[[#Totals],[Winning Candidate]]-SamplingData[[#Totals],[Candidate 8]]), 0)</f>
        <v>0</v>
      </c>
      <c r="X10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00">
        <f>MAX(SamplingData[[#This Row],[Error Bound (up) - Max. possible relative overstatement - Losing Candidate]:[Error Bound (up) - Max. possible relative overstatement - Candidate 12]])</f>
        <v>5.9678989854571726E-3</v>
      </c>
      <c r="AC1057" s="100">
        <f>IF(SamplingData[[#This Row],[Max Error Bound (up)]] = 0,0,SamplingData[[#This Row],[Max Error Bound (up)]]/SamplingData[[#Totals],[Max Error Bound (up)]])</f>
        <v>2.5574759058848875E-3</v>
      </c>
      <c r="AD1057" s="104">
        <f>SUM($AC$5:AC1057)</f>
        <v>0.8824099499273147</v>
      </c>
      <c r="AE1057" s="100" t="str" cm="1">
        <f t="array" ref="AE1057">IF(SamplingData[[#This Row],[up/U Selection Probability]] = 0, "Zero", TEXT(SamplingData[[#This Row],[Lower Range]], REPT("0",LEN('General Info'!$B$42))) &amp; " - " &amp; TEXT(SamplingData[[#This Row],[Upper Range]], REPT("0",LEN('General Info'!$B$42))))</f>
        <v>87985 - 88240</v>
      </c>
      <c r="AF1057" s="100">
        <f>SamplingData[[#This Row],[Upper Range]]-SamplingData[[#This Row],[Span]]</f>
        <v>87985.247402142981</v>
      </c>
      <c r="AG1057" s="100">
        <f>IF(ISNUMBER('General Info'!$B$42), ((SamplingData[[#This Row],[up/U Selection Probability]]) * 'General Info'!$B$44) - 1, 0)</f>
        <v>254.74759058848875</v>
      </c>
      <c r="AH1057" s="100">
        <f>IF(ISNUMBER('General Info'!$B$42), (SamplingData[[#This Row],[Running (cumulative) sum]] * ('General Info'!$B$42 -'General Info'!$B$43 + 1)) + 'General Info'!$B$43 - 1, 0)</f>
        <v>88239.994992731474</v>
      </c>
      <c r="AI1057" s="100" t="str">
        <f>IF(ISERROR(MATCH(SamplingData[[#This Row],[Batch by Type (p)]],SelectedPrecincts[Batch Name], 0)), "", INDEX(SelectedPrecincts[Draw], MATCH(SamplingData[[#This Row],[Batch by Type (p)]],SelectedPrecincts[Batch Name], 0)))</f>
        <v/>
      </c>
      <c r="AJ1057" s="101">
        <f>IF(COUNTIF(SelectedPrecincts[Batch Name],SamplingData[[#This Row],[Batch by Type (p)]]) &lt;&gt; 0, COUNTIF(SelectedPrecincts[Batch Name],SamplingData[[#This Row],[Batch by Type (p)]]), 0)</f>
        <v>0</v>
      </c>
    </row>
    <row r="1058" spans="1:36" ht="15" customHeight="1" x14ac:dyDescent="0.35">
      <c r="A1058" s="98" t="s">
        <v>1269</v>
      </c>
      <c r="B1058" s="98">
        <v>137</v>
      </c>
      <c r="C1058" s="98">
        <v>23</v>
      </c>
      <c r="D1058" s="93"/>
      <c r="E1058" s="93"/>
      <c r="F1058" s="93"/>
      <c r="G1058" s="97"/>
      <c r="H1058" s="97"/>
      <c r="I1058" s="93"/>
      <c r="J1058" s="93"/>
      <c r="K1058" s="93"/>
      <c r="L1058" s="93"/>
      <c r="M1058" s="93"/>
      <c r="N1058" s="98">
        <v>0</v>
      </c>
      <c r="O1058" s="98">
        <v>1</v>
      </c>
      <c r="P1058" s="99">
        <f>SUM(SamplingData[[#This Row],[Winning Candidate]:[Under Votes]])</f>
        <v>161</v>
      </c>
      <c r="Q1058" s="100">
        <f>IF(AND(SamplingData[[#This Row],[Total]]&lt;&gt; 0, NOT(ISBLANK(SamplingData[[#This Row],[Losing Candidate]]))),(SamplingData[[#This Row],[Total]]+SamplingData[[#This Row],[Winning Candidate]]-SamplingData[[#This Row],[Losing Candidate]])/(SamplingData[[#Totals],[Winning Candidate]]-SamplingData[[#Totals],[Losing Candidate]]), 0)</f>
        <v>8.637748531582749E-3</v>
      </c>
      <c r="R1058" s="100">
        <f>IF(AND(SamplingData[[#This Row],[Total]]&lt;&gt; 0, NOT(ISBLANK(SamplingData[[#This Row],[Candidate 3]]))),(SamplingData[[#This Row],[Total]]+SamplingData[[#This Row],[Winning Candidate]]-SamplingData[[#This Row],[Candidate 3]])/(SamplingData[[#Totals],[Winning Candidate]]-SamplingData[[#Totals],[Candidate 3]]), 0)</f>
        <v>0</v>
      </c>
      <c r="S1058" s="100">
        <f>IF(AND(SamplingData[[#This Row],[Total]]&lt;&gt; 0, NOT(ISBLANK(SamplingData[[#This Row],[Candidate 4]]))),(SamplingData[[#This Row],[Total]]+SamplingData[[#This Row],[Winning Candidate]]-SamplingData[[#This Row],[Candidate 4]])/(SamplingData[[#Totals],[Winning Candidate]]-SamplingData[[#Totals],[Candidate 4]]), 0)</f>
        <v>0</v>
      </c>
      <c r="T1058" s="100">
        <f>IF(AND(SamplingData[[#This Row],[Total]]&lt;&gt; 0, NOT(ISBLANK(SamplingData[[#This Row],[Candidate 5]]))),(SamplingData[[#This Row],[Total]]+SamplingData[[#This Row],[Winning Candidate]]-SamplingData[[#This Row],[Candidate 5]])/(SamplingData[[#Totals],[Winning Candidate]]-SamplingData[[#Totals],[Candidate 5]]), 0)</f>
        <v>0</v>
      </c>
      <c r="U1058" s="100">
        <f>IF(AND(SamplingData[[#This Row],[Total]]&lt;&gt; 0, NOT(ISBLANK(SamplingData[[#This Row],[Candidate 6]]))),(SamplingData[[#This Row],[Total]]+SamplingData[[#This Row],[Losing Candidate]]-SamplingData[[#This Row],[Candidate 6]])/(SamplingData[[#Totals],[Winning Candidate]]-SamplingData[[#Totals],[Candidate 6]]), 0)</f>
        <v>0</v>
      </c>
      <c r="V1058" s="100">
        <f>IF(AND(SamplingData[[#This Row],[Total]]&lt;&gt; 0, NOT(ISBLANK(SamplingData[[#This Row],[Candidate 7]]))),(SamplingData[[#This Row],[Total]]+SamplingData[[#This Row],[Winning Candidate]]-SamplingData[[#This Row],[Candidate 7]])/(SamplingData[[#Totals],[Winning Candidate]]-SamplingData[[#Totals],[Candidate 7]]), 0)</f>
        <v>0</v>
      </c>
      <c r="W1058" s="100">
        <f>IF(AND(SamplingData[[#This Row],[Total]]&lt;&gt; 0, NOT(ISBLANK(SamplingData[[#This Row],[Candidate 8]]))),(SamplingData[[#This Row],[Total]]+SamplingData[[#This Row],[Winning Candidate]]-SamplingData[[#This Row],[Candidate 8]])/(SamplingData[[#Totals],[Winning Candidate]]-SamplingData[[#Totals],[Candidate 8]]), 0)</f>
        <v>0</v>
      </c>
      <c r="X10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00">
        <f>MAX(SamplingData[[#This Row],[Error Bound (up) - Max. possible relative overstatement - Losing Candidate]:[Error Bound (up) - Max. possible relative overstatement - Candidate 12]])</f>
        <v>8.637748531582749E-3</v>
      </c>
      <c r="AC1058" s="100">
        <f>IF(SamplingData[[#This Row],[Max Error Bound (up)]] = 0,0,SamplingData[[#This Row],[Max Error Bound (up)]]/SamplingData[[#Totals],[Max Error Bound (up)]])</f>
        <v>3.7016098637807581E-3</v>
      </c>
      <c r="AD1058" s="104">
        <f>SUM($AC$5:AC1058)</f>
        <v>0.88611155979109546</v>
      </c>
      <c r="AE1058" s="100" t="str" cm="1">
        <f t="array" ref="AE1058">IF(SamplingData[[#This Row],[up/U Selection Probability]] = 0, "Zero", TEXT(SamplingData[[#This Row],[Lower Range]], REPT("0",LEN('General Info'!$B$42))) &amp; " - " &amp; TEXT(SamplingData[[#This Row],[Upper Range]], REPT("0",LEN('General Info'!$B$42))))</f>
        <v>88241 - 88610</v>
      </c>
      <c r="AF1058" s="100">
        <f>SamplingData[[#This Row],[Upper Range]]-SamplingData[[#This Row],[Span]]</f>
        <v>88240.994992731474</v>
      </c>
      <c r="AG1058" s="100">
        <f>IF(ISNUMBER('General Info'!$B$42), ((SamplingData[[#This Row],[up/U Selection Probability]]) * 'General Info'!$B$44) - 1, 0)</f>
        <v>369.16098637807579</v>
      </c>
      <c r="AH1058" s="100">
        <f>IF(ISNUMBER('General Info'!$B$42), (SamplingData[[#This Row],[Running (cumulative) sum]] * ('General Info'!$B$42 -'General Info'!$B$43 + 1)) + 'General Info'!$B$43 - 1, 0)</f>
        <v>88610.15597910955</v>
      </c>
      <c r="AI1058" s="100" t="str">
        <f>IF(ISERROR(MATCH(SamplingData[[#This Row],[Batch by Type (p)]],SelectedPrecincts[Batch Name], 0)), "", INDEX(SelectedPrecincts[Draw], MATCH(SamplingData[[#This Row],[Batch by Type (p)]],SelectedPrecincts[Batch Name], 0)))</f>
        <v/>
      </c>
      <c r="AJ1058" s="101">
        <f>IF(COUNTIF(SelectedPrecincts[Batch Name],SamplingData[[#This Row],[Batch by Type (p)]]) &lt;&gt; 0, COUNTIF(SelectedPrecincts[Batch Name],SamplingData[[#This Row],[Batch by Type (p)]]), 0)</f>
        <v>0</v>
      </c>
    </row>
    <row r="1059" spans="1:36" ht="15" customHeight="1" x14ac:dyDescent="0.35">
      <c r="A1059" s="98" t="s">
        <v>1270</v>
      </c>
      <c r="B1059" s="98">
        <v>59</v>
      </c>
      <c r="C1059" s="98">
        <v>4</v>
      </c>
      <c r="D1059" s="93"/>
      <c r="E1059" s="93"/>
      <c r="F1059" s="93"/>
      <c r="G1059" s="97"/>
      <c r="H1059" s="97"/>
      <c r="I1059" s="93"/>
      <c r="J1059" s="93"/>
      <c r="K1059" s="93"/>
      <c r="L1059" s="93"/>
      <c r="M1059" s="93"/>
      <c r="N1059" s="98">
        <v>0</v>
      </c>
      <c r="O1059" s="98">
        <v>1</v>
      </c>
      <c r="P1059" s="99">
        <f>SUM(SamplingData[[#This Row],[Winning Candidate]:[Under Votes]])</f>
        <v>64</v>
      </c>
      <c r="Q1059" s="100">
        <f>IF(AND(SamplingData[[#This Row],[Total]]&lt;&gt; 0, NOT(ISBLANK(SamplingData[[#This Row],[Losing Candidate]]))),(SamplingData[[#This Row],[Total]]+SamplingData[[#This Row],[Winning Candidate]]-SamplingData[[#This Row],[Losing Candidate]])/(SamplingData[[#Totals],[Winning Candidate]]-SamplingData[[#Totals],[Losing Candidate]]), 0)</f>
        <v>3.737789364575808E-3</v>
      </c>
      <c r="R1059" s="100">
        <f>IF(AND(SamplingData[[#This Row],[Total]]&lt;&gt; 0, NOT(ISBLANK(SamplingData[[#This Row],[Candidate 3]]))),(SamplingData[[#This Row],[Total]]+SamplingData[[#This Row],[Winning Candidate]]-SamplingData[[#This Row],[Candidate 3]])/(SamplingData[[#Totals],[Winning Candidate]]-SamplingData[[#Totals],[Candidate 3]]), 0)</f>
        <v>0</v>
      </c>
      <c r="S1059" s="100">
        <f>IF(AND(SamplingData[[#This Row],[Total]]&lt;&gt; 0, NOT(ISBLANK(SamplingData[[#This Row],[Candidate 4]]))),(SamplingData[[#This Row],[Total]]+SamplingData[[#This Row],[Winning Candidate]]-SamplingData[[#This Row],[Candidate 4]])/(SamplingData[[#Totals],[Winning Candidate]]-SamplingData[[#Totals],[Candidate 4]]), 0)</f>
        <v>0</v>
      </c>
      <c r="T1059" s="100">
        <f>IF(AND(SamplingData[[#This Row],[Total]]&lt;&gt; 0, NOT(ISBLANK(SamplingData[[#This Row],[Candidate 5]]))),(SamplingData[[#This Row],[Total]]+SamplingData[[#This Row],[Winning Candidate]]-SamplingData[[#This Row],[Candidate 5]])/(SamplingData[[#Totals],[Winning Candidate]]-SamplingData[[#Totals],[Candidate 5]]), 0)</f>
        <v>0</v>
      </c>
      <c r="U1059" s="100">
        <f>IF(AND(SamplingData[[#This Row],[Total]]&lt;&gt; 0, NOT(ISBLANK(SamplingData[[#This Row],[Candidate 6]]))),(SamplingData[[#This Row],[Total]]+SamplingData[[#This Row],[Losing Candidate]]-SamplingData[[#This Row],[Candidate 6]])/(SamplingData[[#Totals],[Winning Candidate]]-SamplingData[[#Totals],[Candidate 6]]), 0)</f>
        <v>0</v>
      </c>
      <c r="V1059" s="100">
        <f>IF(AND(SamplingData[[#This Row],[Total]]&lt;&gt; 0, NOT(ISBLANK(SamplingData[[#This Row],[Candidate 7]]))),(SamplingData[[#This Row],[Total]]+SamplingData[[#This Row],[Winning Candidate]]-SamplingData[[#This Row],[Candidate 7]])/(SamplingData[[#Totals],[Winning Candidate]]-SamplingData[[#Totals],[Candidate 7]]), 0)</f>
        <v>0</v>
      </c>
      <c r="W1059" s="100">
        <f>IF(AND(SamplingData[[#This Row],[Total]]&lt;&gt; 0, NOT(ISBLANK(SamplingData[[#This Row],[Candidate 8]]))),(SamplingData[[#This Row],[Total]]+SamplingData[[#This Row],[Winning Candidate]]-SamplingData[[#This Row],[Candidate 8]])/(SamplingData[[#Totals],[Winning Candidate]]-SamplingData[[#Totals],[Candidate 8]]), 0)</f>
        <v>0</v>
      </c>
      <c r="X10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00">
        <f>MAX(SamplingData[[#This Row],[Error Bound (up) - Max. possible relative overstatement - Losing Candidate]:[Error Bound (up) - Max. possible relative overstatement - Candidate 12]])</f>
        <v>3.737789364575808E-3</v>
      </c>
      <c r="AC1059" s="100">
        <f>IF(SamplingData[[#This Row],[Max Error Bound (up)]] = 0,0,SamplingData[[#This Row],[Max Error Bound (up)]]/SamplingData[[#Totals],[Max Error Bound (up)]])</f>
        <v>1.6017875410542191E-3</v>
      </c>
      <c r="AD1059" s="104">
        <f>SUM($AC$5:AC1059)</f>
        <v>0.88771334733214968</v>
      </c>
      <c r="AE1059" s="100" t="str" cm="1">
        <f t="array" ref="AE1059">IF(SamplingData[[#This Row],[up/U Selection Probability]] = 0, "Zero", TEXT(SamplingData[[#This Row],[Lower Range]], REPT("0",LEN('General Info'!$B$42))) &amp; " - " &amp; TEXT(SamplingData[[#This Row],[Upper Range]], REPT("0",LEN('General Info'!$B$42))))</f>
        <v>88611 - 88770</v>
      </c>
      <c r="AF1059" s="100">
        <f>SamplingData[[#This Row],[Upper Range]]-SamplingData[[#This Row],[Span]]</f>
        <v>88611.15597910955</v>
      </c>
      <c r="AG1059" s="100">
        <f>IF(ISNUMBER('General Info'!$B$42), ((SamplingData[[#This Row],[up/U Selection Probability]]) * 'General Info'!$B$44) - 1, 0)</f>
        <v>159.17875410542192</v>
      </c>
      <c r="AH1059" s="100">
        <f>IF(ISNUMBER('General Info'!$B$42), (SamplingData[[#This Row],[Running (cumulative) sum]] * ('General Info'!$B$42 -'General Info'!$B$43 + 1)) + 'General Info'!$B$43 - 1, 0)</f>
        <v>88770.334733214971</v>
      </c>
      <c r="AI1059" s="100" t="str">
        <f>IF(ISERROR(MATCH(SamplingData[[#This Row],[Batch by Type (p)]],SelectedPrecincts[Batch Name], 0)), "", INDEX(SelectedPrecincts[Draw], MATCH(SamplingData[[#This Row],[Batch by Type (p)]],SelectedPrecincts[Batch Name], 0)))</f>
        <v/>
      </c>
      <c r="AJ1059" s="101">
        <f>IF(COUNTIF(SelectedPrecincts[Batch Name],SamplingData[[#This Row],[Batch by Type (p)]]) &lt;&gt; 0, COUNTIF(SelectedPrecincts[Batch Name],SamplingData[[#This Row],[Batch by Type (p)]]), 0)</f>
        <v>0</v>
      </c>
    </row>
    <row r="1060" spans="1:36" ht="15" customHeight="1" x14ac:dyDescent="0.35">
      <c r="A1060" s="98" t="s">
        <v>1342</v>
      </c>
      <c r="B1060" s="98">
        <v>90</v>
      </c>
      <c r="C1060" s="98">
        <v>10</v>
      </c>
      <c r="D1060" s="93"/>
      <c r="E1060" s="93"/>
      <c r="F1060" s="93"/>
      <c r="G1060" s="97"/>
      <c r="H1060" s="97"/>
      <c r="I1060" s="93"/>
      <c r="J1060" s="93"/>
      <c r="K1060" s="93"/>
      <c r="L1060" s="93"/>
      <c r="M1060" s="93"/>
      <c r="N1060" s="98">
        <v>0</v>
      </c>
      <c r="O1060" s="98">
        <v>1</v>
      </c>
      <c r="P1060" s="99">
        <f>SUM(SamplingData[[#This Row],[Winning Candidate]:[Under Votes]])</f>
        <v>101</v>
      </c>
      <c r="Q1060" s="100">
        <f>IF(AND(SamplingData[[#This Row],[Total]]&lt;&gt; 0, NOT(ISBLANK(SamplingData[[#This Row],[Losing Candidate]]))),(SamplingData[[#This Row],[Total]]+SamplingData[[#This Row],[Winning Candidate]]-SamplingData[[#This Row],[Losing Candidate]])/(SamplingData[[#Totals],[Winning Candidate]]-SamplingData[[#Totals],[Losing Candidate]]), 0)</f>
        <v>5.6852090335144639E-3</v>
      </c>
      <c r="R1060" s="100">
        <f>IF(AND(SamplingData[[#This Row],[Total]]&lt;&gt; 0, NOT(ISBLANK(SamplingData[[#This Row],[Candidate 3]]))),(SamplingData[[#This Row],[Total]]+SamplingData[[#This Row],[Winning Candidate]]-SamplingData[[#This Row],[Candidate 3]])/(SamplingData[[#Totals],[Winning Candidate]]-SamplingData[[#Totals],[Candidate 3]]), 0)</f>
        <v>0</v>
      </c>
      <c r="S1060" s="100">
        <f>IF(AND(SamplingData[[#This Row],[Total]]&lt;&gt; 0, NOT(ISBLANK(SamplingData[[#This Row],[Candidate 4]]))),(SamplingData[[#This Row],[Total]]+SamplingData[[#This Row],[Winning Candidate]]-SamplingData[[#This Row],[Candidate 4]])/(SamplingData[[#Totals],[Winning Candidate]]-SamplingData[[#Totals],[Candidate 4]]), 0)</f>
        <v>0</v>
      </c>
      <c r="T1060" s="100">
        <f>IF(AND(SamplingData[[#This Row],[Total]]&lt;&gt; 0, NOT(ISBLANK(SamplingData[[#This Row],[Candidate 5]]))),(SamplingData[[#This Row],[Total]]+SamplingData[[#This Row],[Winning Candidate]]-SamplingData[[#This Row],[Candidate 5]])/(SamplingData[[#Totals],[Winning Candidate]]-SamplingData[[#Totals],[Candidate 5]]), 0)</f>
        <v>0</v>
      </c>
      <c r="U1060" s="100">
        <f>IF(AND(SamplingData[[#This Row],[Total]]&lt;&gt; 0, NOT(ISBLANK(SamplingData[[#This Row],[Candidate 6]]))),(SamplingData[[#This Row],[Total]]+SamplingData[[#This Row],[Losing Candidate]]-SamplingData[[#This Row],[Candidate 6]])/(SamplingData[[#Totals],[Winning Candidate]]-SamplingData[[#Totals],[Candidate 6]]), 0)</f>
        <v>0</v>
      </c>
      <c r="V1060" s="100">
        <f>IF(AND(SamplingData[[#This Row],[Total]]&lt;&gt; 0, NOT(ISBLANK(SamplingData[[#This Row],[Candidate 7]]))),(SamplingData[[#This Row],[Total]]+SamplingData[[#This Row],[Winning Candidate]]-SamplingData[[#This Row],[Candidate 7]])/(SamplingData[[#Totals],[Winning Candidate]]-SamplingData[[#Totals],[Candidate 7]]), 0)</f>
        <v>0</v>
      </c>
      <c r="W1060" s="100">
        <f>IF(AND(SamplingData[[#This Row],[Total]]&lt;&gt; 0, NOT(ISBLANK(SamplingData[[#This Row],[Candidate 8]]))),(SamplingData[[#This Row],[Total]]+SamplingData[[#This Row],[Winning Candidate]]-SamplingData[[#This Row],[Candidate 8]])/(SamplingData[[#Totals],[Winning Candidate]]-SamplingData[[#Totals],[Candidate 8]]), 0)</f>
        <v>0</v>
      </c>
      <c r="X10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00">
        <f>MAX(SamplingData[[#This Row],[Error Bound (up) - Max. possible relative overstatement - Losing Candidate]:[Error Bound (up) - Max. possible relative overstatement - Candidate 12]])</f>
        <v>5.6852090335144639E-3</v>
      </c>
      <c r="AC1060" s="100">
        <f>IF(SamplingData[[#This Row],[Max Error Bound (up)]] = 0,0,SamplingData[[#This Row],[Max Error Bound (up)]]/SamplingData[[#Totals],[Max Error Bound (up)]])</f>
        <v>2.4363323103429716E-3</v>
      </c>
      <c r="AD1060" s="104">
        <f>SUM($AC$5:AC1060)</f>
        <v>0.8901496796424927</v>
      </c>
      <c r="AE1060" s="100" t="str" cm="1">
        <f t="array" ref="AE1060">IF(SamplingData[[#This Row],[up/U Selection Probability]] = 0, "Zero", TEXT(SamplingData[[#This Row],[Lower Range]], REPT("0",LEN('General Info'!$B$42))) &amp; " - " &amp; TEXT(SamplingData[[#This Row],[Upper Range]], REPT("0",LEN('General Info'!$B$42))))</f>
        <v>88771 - 89014</v>
      </c>
      <c r="AF1060" s="100">
        <f>SamplingData[[#This Row],[Upper Range]]-SamplingData[[#This Row],[Span]]</f>
        <v>88771.334733214971</v>
      </c>
      <c r="AG1060" s="100">
        <f>IF(ISNUMBER('General Info'!$B$42), ((SamplingData[[#This Row],[up/U Selection Probability]]) * 'General Info'!$B$44) - 1, 0)</f>
        <v>242.63323103429715</v>
      </c>
      <c r="AH1060" s="100">
        <f>IF(ISNUMBER('General Info'!$B$42), (SamplingData[[#This Row],[Running (cumulative) sum]] * ('General Info'!$B$42 -'General Info'!$B$43 + 1)) + 'General Info'!$B$43 - 1, 0)</f>
        <v>89013.96796424927</v>
      </c>
      <c r="AI1060" s="100" t="str">
        <f>IF(ISERROR(MATCH(SamplingData[[#This Row],[Batch by Type (p)]],SelectedPrecincts[Batch Name], 0)), "", INDEX(SelectedPrecincts[Draw], MATCH(SamplingData[[#This Row],[Batch by Type (p)]],SelectedPrecincts[Batch Name], 0)))</f>
        <v/>
      </c>
      <c r="AJ1060" s="101">
        <f>IF(COUNTIF(SelectedPrecincts[Batch Name],SamplingData[[#This Row],[Batch by Type (p)]]) &lt;&gt; 0, COUNTIF(SelectedPrecincts[Batch Name],SamplingData[[#This Row],[Batch by Type (p)]]), 0)</f>
        <v>0</v>
      </c>
    </row>
    <row r="1061" spans="1:36" ht="15" customHeight="1" x14ac:dyDescent="0.35">
      <c r="A1061" s="98" t="s">
        <v>1271</v>
      </c>
      <c r="B1061" s="98">
        <v>75</v>
      </c>
      <c r="C1061" s="98">
        <v>10</v>
      </c>
      <c r="D1061" s="93"/>
      <c r="E1061" s="93"/>
      <c r="F1061" s="93"/>
      <c r="G1061" s="97"/>
      <c r="H1061" s="97"/>
      <c r="I1061" s="93"/>
      <c r="J1061" s="93"/>
      <c r="K1061" s="93"/>
      <c r="L1061" s="93"/>
      <c r="M1061" s="93"/>
      <c r="N1061" s="98">
        <v>0</v>
      </c>
      <c r="O1061" s="98">
        <v>2</v>
      </c>
      <c r="P1061" s="99">
        <f>SUM(SamplingData[[#This Row],[Winning Candidate]:[Under Votes]])</f>
        <v>87</v>
      </c>
      <c r="Q1061" s="100">
        <f>IF(AND(SamplingData[[#This Row],[Total]]&lt;&gt; 0, NOT(ISBLANK(SamplingData[[#This Row],[Losing Candidate]]))),(SamplingData[[#This Row],[Total]]+SamplingData[[#This Row],[Winning Candidate]]-SamplingData[[#This Row],[Losing Candidate]])/(SamplingData[[#Totals],[Winning Candidate]]-SamplingData[[#Totals],[Losing Candidate]]), 0)</f>
        <v>4.7743191883657379E-3</v>
      </c>
      <c r="R1061" s="100">
        <f>IF(AND(SamplingData[[#This Row],[Total]]&lt;&gt; 0, NOT(ISBLANK(SamplingData[[#This Row],[Candidate 3]]))),(SamplingData[[#This Row],[Total]]+SamplingData[[#This Row],[Winning Candidate]]-SamplingData[[#This Row],[Candidate 3]])/(SamplingData[[#Totals],[Winning Candidate]]-SamplingData[[#Totals],[Candidate 3]]), 0)</f>
        <v>0</v>
      </c>
      <c r="S1061" s="100">
        <f>IF(AND(SamplingData[[#This Row],[Total]]&lt;&gt; 0, NOT(ISBLANK(SamplingData[[#This Row],[Candidate 4]]))),(SamplingData[[#This Row],[Total]]+SamplingData[[#This Row],[Winning Candidate]]-SamplingData[[#This Row],[Candidate 4]])/(SamplingData[[#Totals],[Winning Candidate]]-SamplingData[[#Totals],[Candidate 4]]), 0)</f>
        <v>0</v>
      </c>
      <c r="T1061" s="100">
        <f>IF(AND(SamplingData[[#This Row],[Total]]&lt;&gt; 0, NOT(ISBLANK(SamplingData[[#This Row],[Candidate 5]]))),(SamplingData[[#This Row],[Total]]+SamplingData[[#This Row],[Winning Candidate]]-SamplingData[[#This Row],[Candidate 5]])/(SamplingData[[#Totals],[Winning Candidate]]-SamplingData[[#Totals],[Candidate 5]]), 0)</f>
        <v>0</v>
      </c>
      <c r="U1061" s="100">
        <f>IF(AND(SamplingData[[#This Row],[Total]]&lt;&gt; 0, NOT(ISBLANK(SamplingData[[#This Row],[Candidate 6]]))),(SamplingData[[#This Row],[Total]]+SamplingData[[#This Row],[Losing Candidate]]-SamplingData[[#This Row],[Candidate 6]])/(SamplingData[[#Totals],[Winning Candidate]]-SamplingData[[#Totals],[Candidate 6]]), 0)</f>
        <v>0</v>
      </c>
      <c r="V1061" s="100">
        <f>IF(AND(SamplingData[[#This Row],[Total]]&lt;&gt; 0, NOT(ISBLANK(SamplingData[[#This Row],[Candidate 7]]))),(SamplingData[[#This Row],[Total]]+SamplingData[[#This Row],[Winning Candidate]]-SamplingData[[#This Row],[Candidate 7]])/(SamplingData[[#Totals],[Winning Candidate]]-SamplingData[[#Totals],[Candidate 7]]), 0)</f>
        <v>0</v>
      </c>
      <c r="W1061" s="100">
        <f>IF(AND(SamplingData[[#This Row],[Total]]&lt;&gt; 0, NOT(ISBLANK(SamplingData[[#This Row],[Candidate 8]]))),(SamplingData[[#This Row],[Total]]+SamplingData[[#This Row],[Winning Candidate]]-SamplingData[[#This Row],[Candidate 8]])/(SamplingData[[#Totals],[Winning Candidate]]-SamplingData[[#Totals],[Candidate 8]]), 0)</f>
        <v>0</v>
      </c>
      <c r="X10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00">
        <f>MAX(SamplingData[[#This Row],[Error Bound (up) - Max. possible relative overstatement - Losing Candidate]:[Error Bound (up) - Max. possible relative overstatement - Candidate 12]])</f>
        <v>4.7743191883657379E-3</v>
      </c>
      <c r="AC1061" s="100">
        <f>IF(SamplingData[[#This Row],[Max Error Bound (up)]] = 0,0,SamplingData[[#This Row],[Max Error Bound (up)]]/SamplingData[[#Totals],[Max Error Bound (up)]])</f>
        <v>2.0459807247079102E-3</v>
      </c>
      <c r="AD1061" s="104">
        <f>SUM($AC$5:AC1061)</f>
        <v>0.89219566036720066</v>
      </c>
      <c r="AE1061" s="100" t="str" cm="1">
        <f t="array" ref="AE1061">IF(SamplingData[[#This Row],[up/U Selection Probability]] = 0, "Zero", TEXT(SamplingData[[#This Row],[Lower Range]], REPT("0",LEN('General Info'!$B$42))) &amp; " - " &amp; TEXT(SamplingData[[#This Row],[Upper Range]], REPT("0",LEN('General Info'!$B$42))))</f>
        <v>89015 - 89219</v>
      </c>
      <c r="AF1061" s="100">
        <f>SamplingData[[#This Row],[Upper Range]]-SamplingData[[#This Row],[Span]]</f>
        <v>89014.96796424927</v>
      </c>
      <c r="AG1061" s="100">
        <f>IF(ISNUMBER('General Info'!$B$42), ((SamplingData[[#This Row],[up/U Selection Probability]]) * 'General Info'!$B$44) - 1, 0)</f>
        <v>203.59807247079101</v>
      </c>
      <c r="AH1061" s="100">
        <f>IF(ISNUMBER('General Info'!$B$42), (SamplingData[[#This Row],[Running (cumulative) sum]] * ('General Info'!$B$42 -'General Info'!$B$43 + 1)) + 'General Info'!$B$43 - 1, 0)</f>
        <v>89218.566036720062</v>
      </c>
      <c r="AI1061" s="100" t="str">
        <f>IF(ISERROR(MATCH(SamplingData[[#This Row],[Batch by Type (p)]],SelectedPrecincts[Batch Name], 0)), "", INDEX(SelectedPrecincts[Draw], MATCH(SamplingData[[#This Row],[Batch by Type (p)]],SelectedPrecincts[Batch Name], 0)))</f>
        <v/>
      </c>
      <c r="AJ1061" s="101">
        <f>IF(COUNTIF(SelectedPrecincts[Batch Name],SamplingData[[#This Row],[Batch by Type (p)]]) &lt;&gt; 0, COUNTIF(SelectedPrecincts[Batch Name],SamplingData[[#This Row],[Batch by Type (p)]]), 0)</f>
        <v>0</v>
      </c>
    </row>
    <row r="1062" spans="1:36" ht="15" customHeight="1" x14ac:dyDescent="0.35">
      <c r="A1062" s="98" t="s">
        <v>1272</v>
      </c>
      <c r="B1062" s="98">
        <v>92</v>
      </c>
      <c r="C1062" s="98">
        <v>7</v>
      </c>
      <c r="D1062" s="93"/>
      <c r="E1062" s="93"/>
      <c r="F1062" s="93"/>
      <c r="G1062" s="97"/>
      <c r="H1062" s="97"/>
      <c r="I1062" s="93"/>
      <c r="J1062" s="93"/>
      <c r="K1062" s="93"/>
      <c r="L1062" s="93"/>
      <c r="M1062" s="93"/>
      <c r="N1062" s="98">
        <v>0</v>
      </c>
      <c r="O1062" s="98">
        <v>1</v>
      </c>
      <c r="P1062" s="99">
        <f>SUM(SamplingData[[#This Row],[Winning Candidate]:[Under Votes]])</f>
        <v>100</v>
      </c>
      <c r="Q1062" s="100">
        <f>IF(AND(SamplingData[[#This Row],[Total]]&lt;&gt; 0, NOT(ISBLANK(SamplingData[[#This Row],[Losing Candidate]]))),(SamplingData[[#This Row],[Total]]+SamplingData[[#This Row],[Winning Candidate]]-SamplingData[[#This Row],[Losing Candidate]])/(SamplingData[[#Totals],[Winning Candidate]]-SamplingData[[#Totals],[Losing Candidate]]), 0)</f>
        <v>5.8108490121556678E-3</v>
      </c>
      <c r="R1062" s="100">
        <f>IF(AND(SamplingData[[#This Row],[Total]]&lt;&gt; 0, NOT(ISBLANK(SamplingData[[#This Row],[Candidate 3]]))),(SamplingData[[#This Row],[Total]]+SamplingData[[#This Row],[Winning Candidate]]-SamplingData[[#This Row],[Candidate 3]])/(SamplingData[[#Totals],[Winning Candidate]]-SamplingData[[#Totals],[Candidate 3]]), 0)</f>
        <v>0</v>
      </c>
      <c r="S1062" s="100">
        <f>IF(AND(SamplingData[[#This Row],[Total]]&lt;&gt; 0, NOT(ISBLANK(SamplingData[[#This Row],[Candidate 4]]))),(SamplingData[[#This Row],[Total]]+SamplingData[[#This Row],[Winning Candidate]]-SamplingData[[#This Row],[Candidate 4]])/(SamplingData[[#Totals],[Winning Candidate]]-SamplingData[[#Totals],[Candidate 4]]), 0)</f>
        <v>0</v>
      </c>
      <c r="T1062" s="100">
        <f>IF(AND(SamplingData[[#This Row],[Total]]&lt;&gt; 0, NOT(ISBLANK(SamplingData[[#This Row],[Candidate 5]]))),(SamplingData[[#This Row],[Total]]+SamplingData[[#This Row],[Winning Candidate]]-SamplingData[[#This Row],[Candidate 5]])/(SamplingData[[#Totals],[Winning Candidate]]-SamplingData[[#Totals],[Candidate 5]]), 0)</f>
        <v>0</v>
      </c>
      <c r="U1062" s="100">
        <f>IF(AND(SamplingData[[#This Row],[Total]]&lt;&gt; 0, NOT(ISBLANK(SamplingData[[#This Row],[Candidate 6]]))),(SamplingData[[#This Row],[Total]]+SamplingData[[#This Row],[Losing Candidate]]-SamplingData[[#This Row],[Candidate 6]])/(SamplingData[[#Totals],[Winning Candidate]]-SamplingData[[#Totals],[Candidate 6]]), 0)</f>
        <v>0</v>
      </c>
      <c r="V1062" s="100">
        <f>IF(AND(SamplingData[[#This Row],[Total]]&lt;&gt; 0, NOT(ISBLANK(SamplingData[[#This Row],[Candidate 7]]))),(SamplingData[[#This Row],[Total]]+SamplingData[[#This Row],[Winning Candidate]]-SamplingData[[#This Row],[Candidate 7]])/(SamplingData[[#Totals],[Winning Candidate]]-SamplingData[[#Totals],[Candidate 7]]), 0)</f>
        <v>0</v>
      </c>
      <c r="W1062" s="100">
        <f>IF(AND(SamplingData[[#This Row],[Total]]&lt;&gt; 0, NOT(ISBLANK(SamplingData[[#This Row],[Candidate 8]]))),(SamplingData[[#This Row],[Total]]+SamplingData[[#This Row],[Winning Candidate]]-SamplingData[[#This Row],[Candidate 8]])/(SamplingData[[#Totals],[Winning Candidate]]-SamplingData[[#Totals],[Candidate 8]]), 0)</f>
        <v>0</v>
      </c>
      <c r="X10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00">
        <f>MAX(SamplingData[[#This Row],[Error Bound (up) - Max. possible relative overstatement - Losing Candidate]:[Error Bound (up) - Max. possible relative overstatement - Candidate 12]])</f>
        <v>5.8108490121556678E-3</v>
      </c>
      <c r="AC1062" s="100">
        <f>IF(SamplingData[[#This Row],[Max Error Bound (up)]] = 0,0,SamplingData[[#This Row],[Max Error Bound (up)]]/SamplingData[[#Totals],[Max Error Bound (up)]])</f>
        <v>2.4901739083616008E-3</v>
      </c>
      <c r="AD1062" s="104">
        <f>SUM($AC$5:AC1062)</f>
        <v>0.89468583427556225</v>
      </c>
      <c r="AE1062" s="100" t="str" cm="1">
        <f t="array" ref="AE1062">IF(SamplingData[[#This Row],[up/U Selection Probability]] = 0, "Zero", TEXT(SamplingData[[#This Row],[Lower Range]], REPT("0",LEN('General Info'!$B$42))) &amp; " - " &amp; TEXT(SamplingData[[#This Row],[Upper Range]], REPT("0",LEN('General Info'!$B$42))))</f>
        <v>89220 - 89468</v>
      </c>
      <c r="AF1062" s="100">
        <f>SamplingData[[#This Row],[Upper Range]]-SamplingData[[#This Row],[Span]]</f>
        <v>89219.566036720062</v>
      </c>
      <c r="AG1062" s="100">
        <f>IF(ISNUMBER('General Info'!$B$42), ((SamplingData[[#This Row],[up/U Selection Probability]]) * 'General Info'!$B$44) - 1, 0)</f>
        <v>248.01739083616008</v>
      </c>
      <c r="AH1062" s="100">
        <f>IF(ISNUMBER('General Info'!$B$42), (SamplingData[[#This Row],[Running (cumulative) sum]] * ('General Info'!$B$42 -'General Info'!$B$43 + 1)) + 'General Info'!$B$43 - 1, 0)</f>
        <v>89467.583427556223</v>
      </c>
      <c r="AI1062" s="100" t="str">
        <f>IF(ISERROR(MATCH(SamplingData[[#This Row],[Batch by Type (p)]],SelectedPrecincts[Batch Name], 0)), "", INDEX(SelectedPrecincts[Draw], MATCH(SamplingData[[#This Row],[Batch by Type (p)]],SelectedPrecincts[Batch Name], 0)))</f>
        <v/>
      </c>
      <c r="AJ1062" s="101">
        <f>IF(COUNTIF(SelectedPrecincts[Batch Name],SamplingData[[#This Row],[Batch by Type (p)]]) &lt;&gt; 0, COUNTIF(SelectedPrecincts[Batch Name],SamplingData[[#This Row],[Batch by Type (p)]]), 0)</f>
        <v>0</v>
      </c>
    </row>
    <row r="1063" spans="1:36" ht="15" customHeight="1" x14ac:dyDescent="0.35">
      <c r="A1063" s="98" t="s">
        <v>1273</v>
      </c>
      <c r="B1063" s="98">
        <v>35</v>
      </c>
      <c r="C1063" s="98">
        <v>4</v>
      </c>
      <c r="D1063" s="93"/>
      <c r="E1063" s="93"/>
      <c r="F1063" s="93"/>
      <c r="G1063" s="97"/>
      <c r="H1063" s="97"/>
      <c r="I1063" s="93"/>
      <c r="J1063" s="93"/>
      <c r="K1063" s="93"/>
      <c r="L1063" s="93"/>
      <c r="M1063" s="93"/>
      <c r="N1063" s="98">
        <v>0</v>
      </c>
      <c r="O1063" s="98">
        <v>1</v>
      </c>
      <c r="P1063" s="99">
        <f>SUM(SamplingData[[#This Row],[Winning Candidate]:[Under Votes]])</f>
        <v>40</v>
      </c>
      <c r="Q1063" s="100">
        <f>IF(AND(SamplingData[[#This Row],[Total]]&lt;&gt; 0, NOT(ISBLANK(SamplingData[[#This Row],[Losing Candidate]]))),(SamplingData[[#This Row],[Total]]+SamplingData[[#This Row],[Winning Candidate]]-SamplingData[[#This Row],[Losing Candidate]])/(SamplingData[[#Totals],[Winning Candidate]]-SamplingData[[#Totals],[Losing Candidate]]), 0)</f>
        <v>2.2301096208813646E-3</v>
      </c>
      <c r="R1063" s="100">
        <f>IF(AND(SamplingData[[#This Row],[Total]]&lt;&gt; 0, NOT(ISBLANK(SamplingData[[#This Row],[Candidate 3]]))),(SamplingData[[#This Row],[Total]]+SamplingData[[#This Row],[Winning Candidate]]-SamplingData[[#This Row],[Candidate 3]])/(SamplingData[[#Totals],[Winning Candidate]]-SamplingData[[#Totals],[Candidate 3]]), 0)</f>
        <v>0</v>
      </c>
      <c r="S1063" s="100">
        <f>IF(AND(SamplingData[[#This Row],[Total]]&lt;&gt; 0, NOT(ISBLANK(SamplingData[[#This Row],[Candidate 4]]))),(SamplingData[[#This Row],[Total]]+SamplingData[[#This Row],[Winning Candidate]]-SamplingData[[#This Row],[Candidate 4]])/(SamplingData[[#Totals],[Winning Candidate]]-SamplingData[[#Totals],[Candidate 4]]), 0)</f>
        <v>0</v>
      </c>
      <c r="T1063" s="100">
        <f>IF(AND(SamplingData[[#This Row],[Total]]&lt;&gt; 0, NOT(ISBLANK(SamplingData[[#This Row],[Candidate 5]]))),(SamplingData[[#This Row],[Total]]+SamplingData[[#This Row],[Winning Candidate]]-SamplingData[[#This Row],[Candidate 5]])/(SamplingData[[#Totals],[Winning Candidate]]-SamplingData[[#Totals],[Candidate 5]]), 0)</f>
        <v>0</v>
      </c>
      <c r="U1063" s="100">
        <f>IF(AND(SamplingData[[#This Row],[Total]]&lt;&gt; 0, NOT(ISBLANK(SamplingData[[#This Row],[Candidate 6]]))),(SamplingData[[#This Row],[Total]]+SamplingData[[#This Row],[Losing Candidate]]-SamplingData[[#This Row],[Candidate 6]])/(SamplingData[[#Totals],[Winning Candidate]]-SamplingData[[#Totals],[Candidate 6]]), 0)</f>
        <v>0</v>
      </c>
      <c r="V1063" s="100">
        <f>IF(AND(SamplingData[[#This Row],[Total]]&lt;&gt; 0, NOT(ISBLANK(SamplingData[[#This Row],[Candidate 7]]))),(SamplingData[[#This Row],[Total]]+SamplingData[[#This Row],[Winning Candidate]]-SamplingData[[#This Row],[Candidate 7]])/(SamplingData[[#Totals],[Winning Candidate]]-SamplingData[[#Totals],[Candidate 7]]), 0)</f>
        <v>0</v>
      </c>
      <c r="W1063" s="100">
        <f>IF(AND(SamplingData[[#This Row],[Total]]&lt;&gt; 0, NOT(ISBLANK(SamplingData[[#This Row],[Candidate 8]]))),(SamplingData[[#This Row],[Total]]+SamplingData[[#This Row],[Winning Candidate]]-SamplingData[[#This Row],[Candidate 8]])/(SamplingData[[#Totals],[Winning Candidate]]-SamplingData[[#Totals],[Candidate 8]]), 0)</f>
        <v>0</v>
      </c>
      <c r="X10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00">
        <f>MAX(SamplingData[[#This Row],[Error Bound (up) - Max. possible relative overstatement - Losing Candidate]:[Error Bound (up) - Max. possible relative overstatement - Candidate 12]])</f>
        <v>2.2301096208813646E-3</v>
      </c>
      <c r="AC1063" s="100">
        <f>IF(SamplingData[[#This Row],[Max Error Bound (up)]] = 0,0,SamplingData[[#This Row],[Max Error Bound (up)]]/SamplingData[[#Totals],[Max Error Bound (up)]])</f>
        <v>9.5568836483066861E-4</v>
      </c>
      <c r="AD1063" s="104">
        <f>SUM($AC$5:AC1063)</f>
        <v>0.89564152264039287</v>
      </c>
      <c r="AE1063" s="100" t="str" cm="1">
        <f t="array" ref="AE1063">IF(SamplingData[[#This Row],[up/U Selection Probability]] = 0, "Zero", TEXT(SamplingData[[#This Row],[Lower Range]], REPT("0",LEN('General Info'!$B$42))) &amp; " - " &amp; TEXT(SamplingData[[#This Row],[Upper Range]], REPT("0",LEN('General Info'!$B$42))))</f>
        <v>89469 - 89563</v>
      </c>
      <c r="AF1063" s="100">
        <f>SamplingData[[#This Row],[Upper Range]]-SamplingData[[#This Row],[Span]]</f>
        <v>89468.583427556223</v>
      </c>
      <c r="AG1063" s="100">
        <f>IF(ISNUMBER('General Info'!$B$42), ((SamplingData[[#This Row],[up/U Selection Probability]]) * 'General Info'!$B$44) - 1, 0)</f>
        <v>94.56883648306686</v>
      </c>
      <c r="AH1063" s="100">
        <f>IF(ISNUMBER('General Info'!$B$42), (SamplingData[[#This Row],[Running (cumulative) sum]] * ('General Info'!$B$42 -'General Info'!$B$43 + 1)) + 'General Info'!$B$43 - 1, 0)</f>
        <v>89563.152264039294</v>
      </c>
      <c r="AI1063" s="100" t="str">
        <f>IF(ISERROR(MATCH(SamplingData[[#This Row],[Batch by Type (p)]],SelectedPrecincts[Batch Name], 0)), "", INDEX(SelectedPrecincts[Draw], MATCH(SamplingData[[#This Row],[Batch by Type (p)]],SelectedPrecincts[Batch Name], 0)))</f>
        <v/>
      </c>
      <c r="AJ1063" s="101">
        <f>IF(COUNTIF(SelectedPrecincts[Batch Name],SamplingData[[#This Row],[Batch by Type (p)]]) &lt;&gt; 0, COUNTIF(SelectedPrecincts[Batch Name],SamplingData[[#This Row],[Batch by Type (p)]]), 0)</f>
        <v>0</v>
      </c>
    </row>
    <row r="1064" spans="1:36" ht="15" customHeight="1" x14ac:dyDescent="0.35">
      <c r="A1064" s="98" t="s">
        <v>1274</v>
      </c>
      <c r="B1064" s="98">
        <v>36</v>
      </c>
      <c r="C1064" s="98">
        <v>4</v>
      </c>
      <c r="D1064" s="93"/>
      <c r="E1064" s="93"/>
      <c r="F1064" s="93"/>
      <c r="G1064" s="97"/>
      <c r="H1064" s="97"/>
      <c r="I1064" s="93"/>
      <c r="J1064" s="93"/>
      <c r="K1064" s="93"/>
      <c r="L1064" s="93"/>
      <c r="M1064" s="93"/>
      <c r="N1064" s="98">
        <v>0</v>
      </c>
      <c r="O1064" s="98">
        <v>1</v>
      </c>
      <c r="P1064" s="99">
        <f>SUM(SamplingData[[#This Row],[Winning Candidate]:[Under Votes]])</f>
        <v>41</v>
      </c>
      <c r="Q1064" s="100">
        <f>IF(AND(SamplingData[[#This Row],[Total]]&lt;&gt; 0, NOT(ISBLANK(SamplingData[[#This Row],[Losing Candidate]]))),(SamplingData[[#This Row],[Total]]+SamplingData[[#This Row],[Winning Candidate]]-SamplingData[[#This Row],[Losing Candidate]])/(SamplingData[[#Totals],[Winning Candidate]]-SamplingData[[#Totals],[Losing Candidate]]), 0)</f>
        <v>2.2929296102019662E-3</v>
      </c>
      <c r="R1064" s="100">
        <f>IF(AND(SamplingData[[#This Row],[Total]]&lt;&gt; 0, NOT(ISBLANK(SamplingData[[#This Row],[Candidate 3]]))),(SamplingData[[#This Row],[Total]]+SamplingData[[#This Row],[Winning Candidate]]-SamplingData[[#This Row],[Candidate 3]])/(SamplingData[[#Totals],[Winning Candidate]]-SamplingData[[#Totals],[Candidate 3]]), 0)</f>
        <v>0</v>
      </c>
      <c r="S1064" s="100">
        <f>IF(AND(SamplingData[[#This Row],[Total]]&lt;&gt; 0, NOT(ISBLANK(SamplingData[[#This Row],[Candidate 4]]))),(SamplingData[[#This Row],[Total]]+SamplingData[[#This Row],[Winning Candidate]]-SamplingData[[#This Row],[Candidate 4]])/(SamplingData[[#Totals],[Winning Candidate]]-SamplingData[[#Totals],[Candidate 4]]), 0)</f>
        <v>0</v>
      </c>
      <c r="T1064" s="100">
        <f>IF(AND(SamplingData[[#This Row],[Total]]&lt;&gt; 0, NOT(ISBLANK(SamplingData[[#This Row],[Candidate 5]]))),(SamplingData[[#This Row],[Total]]+SamplingData[[#This Row],[Winning Candidate]]-SamplingData[[#This Row],[Candidate 5]])/(SamplingData[[#Totals],[Winning Candidate]]-SamplingData[[#Totals],[Candidate 5]]), 0)</f>
        <v>0</v>
      </c>
      <c r="U1064" s="100">
        <f>IF(AND(SamplingData[[#This Row],[Total]]&lt;&gt; 0, NOT(ISBLANK(SamplingData[[#This Row],[Candidate 6]]))),(SamplingData[[#This Row],[Total]]+SamplingData[[#This Row],[Losing Candidate]]-SamplingData[[#This Row],[Candidate 6]])/(SamplingData[[#Totals],[Winning Candidate]]-SamplingData[[#Totals],[Candidate 6]]), 0)</f>
        <v>0</v>
      </c>
      <c r="V1064" s="100">
        <f>IF(AND(SamplingData[[#This Row],[Total]]&lt;&gt; 0, NOT(ISBLANK(SamplingData[[#This Row],[Candidate 7]]))),(SamplingData[[#This Row],[Total]]+SamplingData[[#This Row],[Winning Candidate]]-SamplingData[[#This Row],[Candidate 7]])/(SamplingData[[#Totals],[Winning Candidate]]-SamplingData[[#Totals],[Candidate 7]]), 0)</f>
        <v>0</v>
      </c>
      <c r="W1064" s="100">
        <f>IF(AND(SamplingData[[#This Row],[Total]]&lt;&gt; 0, NOT(ISBLANK(SamplingData[[#This Row],[Candidate 8]]))),(SamplingData[[#This Row],[Total]]+SamplingData[[#This Row],[Winning Candidate]]-SamplingData[[#This Row],[Candidate 8]])/(SamplingData[[#Totals],[Winning Candidate]]-SamplingData[[#Totals],[Candidate 8]]), 0)</f>
        <v>0</v>
      </c>
      <c r="X10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00">
        <f>MAX(SamplingData[[#This Row],[Error Bound (up) - Max. possible relative overstatement - Losing Candidate]:[Error Bound (up) - Max. possible relative overstatement - Candidate 12]])</f>
        <v>2.2929296102019662E-3</v>
      </c>
      <c r="AC1064" s="100">
        <f>IF(SamplingData[[#This Row],[Max Error Bound (up)]] = 0,0,SamplingData[[#This Row],[Max Error Bound (up)]]/SamplingData[[#Totals],[Max Error Bound (up)]])</f>
        <v>9.8260916383998299E-4</v>
      </c>
      <c r="AD1064" s="104">
        <f>SUM($AC$5:AC1064)</f>
        <v>0.89662413180423284</v>
      </c>
      <c r="AE1064" s="100" t="str" cm="1">
        <f t="array" ref="AE1064">IF(SamplingData[[#This Row],[up/U Selection Probability]] = 0, "Zero", TEXT(SamplingData[[#This Row],[Lower Range]], REPT("0",LEN('General Info'!$B$42))) &amp; " - " &amp; TEXT(SamplingData[[#This Row],[Upper Range]], REPT("0",LEN('General Info'!$B$42))))</f>
        <v>89564 - 89661</v>
      </c>
      <c r="AF1064" s="100">
        <f>SamplingData[[#This Row],[Upper Range]]-SamplingData[[#This Row],[Span]]</f>
        <v>89564.152264039294</v>
      </c>
      <c r="AG1064" s="100">
        <f>IF(ISNUMBER('General Info'!$B$42), ((SamplingData[[#This Row],[up/U Selection Probability]]) * 'General Info'!$B$44) - 1, 0)</f>
        <v>97.260916383998293</v>
      </c>
      <c r="AH1064" s="100">
        <f>IF(ISNUMBER('General Info'!$B$42), (SamplingData[[#This Row],[Running (cumulative) sum]] * ('General Info'!$B$42 -'General Info'!$B$43 + 1)) + 'General Info'!$B$43 - 1, 0)</f>
        <v>89661.413180423289</v>
      </c>
      <c r="AI1064" s="100" t="str">
        <f>IF(ISERROR(MATCH(SamplingData[[#This Row],[Batch by Type (p)]],SelectedPrecincts[Batch Name], 0)), "", INDEX(SelectedPrecincts[Draw], MATCH(SamplingData[[#This Row],[Batch by Type (p)]],SelectedPrecincts[Batch Name], 0)))</f>
        <v/>
      </c>
      <c r="AJ1064" s="101">
        <f>IF(COUNTIF(SelectedPrecincts[Batch Name],SamplingData[[#This Row],[Batch by Type (p)]]) &lt;&gt; 0, COUNTIF(SelectedPrecincts[Batch Name],SamplingData[[#This Row],[Batch by Type (p)]]), 0)</f>
        <v>0</v>
      </c>
    </row>
    <row r="1065" spans="1:36" ht="15" customHeight="1" x14ac:dyDescent="0.35">
      <c r="A1065" s="98" t="s">
        <v>1275</v>
      </c>
      <c r="B1065" s="98">
        <v>32</v>
      </c>
      <c r="C1065" s="98">
        <v>1</v>
      </c>
      <c r="D1065" s="93"/>
      <c r="E1065" s="93"/>
      <c r="F1065" s="93"/>
      <c r="G1065" s="97"/>
      <c r="H1065" s="97"/>
      <c r="I1065" s="93"/>
      <c r="J1065" s="93"/>
      <c r="K1065" s="93"/>
      <c r="L1065" s="93"/>
      <c r="M1065" s="93"/>
      <c r="N1065" s="98">
        <v>0</v>
      </c>
      <c r="O1065" s="98">
        <v>0</v>
      </c>
      <c r="P1065" s="99">
        <f>SUM(SamplingData[[#This Row],[Winning Candidate]:[Under Votes]])</f>
        <v>33</v>
      </c>
      <c r="Q1065" s="100">
        <f>IF(AND(SamplingData[[#This Row],[Total]]&lt;&gt; 0, NOT(ISBLANK(SamplingData[[#This Row],[Losing Candidate]]))),(SamplingData[[#This Row],[Total]]+SamplingData[[#This Row],[Winning Candidate]]-SamplingData[[#This Row],[Losing Candidate]])/(SamplingData[[#Totals],[Winning Candidate]]-SamplingData[[#Totals],[Losing Candidate]]), 0)</f>
        <v>2.0102396582592579E-3</v>
      </c>
      <c r="R1065" s="100">
        <f>IF(AND(SamplingData[[#This Row],[Total]]&lt;&gt; 0, NOT(ISBLANK(SamplingData[[#This Row],[Candidate 3]]))),(SamplingData[[#This Row],[Total]]+SamplingData[[#This Row],[Winning Candidate]]-SamplingData[[#This Row],[Candidate 3]])/(SamplingData[[#Totals],[Winning Candidate]]-SamplingData[[#Totals],[Candidate 3]]), 0)</f>
        <v>0</v>
      </c>
      <c r="S1065" s="100">
        <f>IF(AND(SamplingData[[#This Row],[Total]]&lt;&gt; 0, NOT(ISBLANK(SamplingData[[#This Row],[Candidate 4]]))),(SamplingData[[#This Row],[Total]]+SamplingData[[#This Row],[Winning Candidate]]-SamplingData[[#This Row],[Candidate 4]])/(SamplingData[[#Totals],[Winning Candidate]]-SamplingData[[#Totals],[Candidate 4]]), 0)</f>
        <v>0</v>
      </c>
      <c r="T1065" s="100">
        <f>IF(AND(SamplingData[[#This Row],[Total]]&lt;&gt; 0, NOT(ISBLANK(SamplingData[[#This Row],[Candidate 5]]))),(SamplingData[[#This Row],[Total]]+SamplingData[[#This Row],[Winning Candidate]]-SamplingData[[#This Row],[Candidate 5]])/(SamplingData[[#Totals],[Winning Candidate]]-SamplingData[[#Totals],[Candidate 5]]), 0)</f>
        <v>0</v>
      </c>
      <c r="U1065" s="100">
        <f>IF(AND(SamplingData[[#This Row],[Total]]&lt;&gt; 0, NOT(ISBLANK(SamplingData[[#This Row],[Candidate 6]]))),(SamplingData[[#This Row],[Total]]+SamplingData[[#This Row],[Losing Candidate]]-SamplingData[[#This Row],[Candidate 6]])/(SamplingData[[#Totals],[Winning Candidate]]-SamplingData[[#Totals],[Candidate 6]]), 0)</f>
        <v>0</v>
      </c>
      <c r="V1065" s="100">
        <f>IF(AND(SamplingData[[#This Row],[Total]]&lt;&gt; 0, NOT(ISBLANK(SamplingData[[#This Row],[Candidate 7]]))),(SamplingData[[#This Row],[Total]]+SamplingData[[#This Row],[Winning Candidate]]-SamplingData[[#This Row],[Candidate 7]])/(SamplingData[[#Totals],[Winning Candidate]]-SamplingData[[#Totals],[Candidate 7]]), 0)</f>
        <v>0</v>
      </c>
      <c r="W1065" s="100">
        <f>IF(AND(SamplingData[[#This Row],[Total]]&lt;&gt; 0, NOT(ISBLANK(SamplingData[[#This Row],[Candidate 8]]))),(SamplingData[[#This Row],[Total]]+SamplingData[[#This Row],[Winning Candidate]]-SamplingData[[#This Row],[Candidate 8]])/(SamplingData[[#Totals],[Winning Candidate]]-SamplingData[[#Totals],[Candidate 8]]), 0)</f>
        <v>0</v>
      </c>
      <c r="X10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00">
        <f>MAX(SamplingData[[#This Row],[Error Bound (up) - Max. possible relative overstatement - Losing Candidate]:[Error Bound (up) - Max. possible relative overstatement - Candidate 12]])</f>
        <v>2.0102396582592579E-3</v>
      </c>
      <c r="AC1065" s="100">
        <f>IF(SamplingData[[#This Row],[Max Error Bound (up)]] = 0,0,SamplingData[[#This Row],[Max Error Bound (up)]]/SamplingData[[#Totals],[Max Error Bound (up)]])</f>
        <v>8.614655682980673E-4</v>
      </c>
      <c r="AD1065" s="104">
        <f>SUM($AC$5:AC1065)</f>
        <v>0.89748559737253086</v>
      </c>
      <c r="AE1065" s="100" t="str" cm="1">
        <f t="array" ref="AE1065">IF(SamplingData[[#This Row],[up/U Selection Probability]] = 0, "Zero", TEXT(SamplingData[[#This Row],[Lower Range]], REPT("0",LEN('General Info'!$B$42))) &amp; " - " &amp; TEXT(SamplingData[[#This Row],[Upper Range]], REPT("0",LEN('General Info'!$B$42))))</f>
        <v>89662 - 89748</v>
      </c>
      <c r="AF1065" s="100">
        <f>SamplingData[[#This Row],[Upper Range]]-SamplingData[[#This Row],[Span]]</f>
        <v>89662.413180423289</v>
      </c>
      <c r="AG1065" s="100">
        <f>IF(ISNUMBER('General Info'!$B$42), ((SamplingData[[#This Row],[up/U Selection Probability]]) * 'General Info'!$B$44) - 1, 0)</f>
        <v>85.146556829806727</v>
      </c>
      <c r="AH1065" s="100">
        <f>IF(ISNUMBER('General Info'!$B$42), (SamplingData[[#This Row],[Running (cumulative) sum]] * ('General Info'!$B$42 -'General Info'!$B$43 + 1)) + 'General Info'!$B$43 - 1, 0)</f>
        <v>89747.55973725309</v>
      </c>
      <c r="AI1065" s="100" t="str">
        <f>IF(ISERROR(MATCH(SamplingData[[#This Row],[Batch by Type (p)]],SelectedPrecincts[Batch Name], 0)), "", INDEX(SelectedPrecincts[Draw], MATCH(SamplingData[[#This Row],[Batch by Type (p)]],SelectedPrecincts[Batch Name], 0)))</f>
        <v/>
      </c>
      <c r="AJ1065" s="101">
        <f>IF(COUNTIF(SelectedPrecincts[Batch Name],SamplingData[[#This Row],[Batch by Type (p)]]) &lt;&gt; 0, COUNTIF(SelectedPrecincts[Batch Name],SamplingData[[#This Row],[Batch by Type (p)]]), 0)</f>
        <v>0</v>
      </c>
    </row>
    <row r="1066" spans="1:36" ht="15" customHeight="1" x14ac:dyDescent="0.35">
      <c r="A1066" s="98" t="s">
        <v>1276</v>
      </c>
      <c r="B1066" s="98">
        <v>19</v>
      </c>
      <c r="C1066" s="98">
        <v>2</v>
      </c>
      <c r="D1066" s="93"/>
      <c r="E1066" s="93"/>
      <c r="F1066" s="93"/>
      <c r="G1066" s="97"/>
      <c r="H1066" s="97"/>
      <c r="I1066" s="93"/>
      <c r="J1066" s="93"/>
      <c r="K1066" s="93"/>
      <c r="L1066" s="93"/>
      <c r="M1066" s="93"/>
      <c r="N1066" s="98">
        <v>0</v>
      </c>
      <c r="O1066" s="98">
        <v>0</v>
      </c>
      <c r="P1066" s="99">
        <f>SUM(SamplingData[[#This Row],[Winning Candidate]:[Under Votes]])</f>
        <v>21</v>
      </c>
      <c r="Q1066" s="100">
        <f>IF(AND(SamplingData[[#This Row],[Total]]&lt;&gt; 0, NOT(ISBLANK(SamplingData[[#This Row],[Losing Candidate]]))),(SamplingData[[#This Row],[Total]]+SamplingData[[#This Row],[Winning Candidate]]-SamplingData[[#This Row],[Losing Candidate]])/(SamplingData[[#Totals],[Winning Candidate]]-SamplingData[[#Totals],[Losing Candidate]]), 0)</f>
        <v>1.1935797970914345E-3</v>
      </c>
      <c r="R1066" s="100">
        <f>IF(AND(SamplingData[[#This Row],[Total]]&lt;&gt; 0, NOT(ISBLANK(SamplingData[[#This Row],[Candidate 3]]))),(SamplingData[[#This Row],[Total]]+SamplingData[[#This Row],[Winning Candidate]]-SamplingData[[#This Row],[Candidate 3]])/(SamplingData[[#Totals],[Winning Candidate]]-SamplingData[[#Totals],[Candidate 3]]), 0)</f>
        <v>0</v>
      </c>
      <c r="S1066" s="100">
        <f>IF(AND(SamplingData[[#This Row],[Total]]&lt;&gt; 0, NOT(ISBLANK(SamplingData[[#This Row],[Candidate 4]]))),(SamplingData[[#This Row],[Total]]+SamplingData[[#This Row],[Winning Candidate]]-SamplingData[[#This Row],[Candidate 4]])/(SamplingData[[#Totals],[Winning Candidate]]-SamplingData[[#Totals],[Candidate 4]]), 0)</f>
        <v>0</v>
      </c>
      <c r="T1066" s="100">
        <f>IF(AND(SamplingData[[#This Row],[Total]]&lt;&gt; 0, NOT(ISBLANK(SamplingData[[#This Row],[Candidate 5]]))),(SamplingData[[#This Row],[Total]]+SamplingData[[#This Row],[Winning Candidate]]-SamplingData[[#This Row],[Candidate 5]])/(SamplingData[[#Totals],[Winning Candidate]]-SamplingData[[#Totals],[Candidate 5]]), 0)</f>
        <v>0</v>
      </c>
      <c r="U1066" s="100">
        <f>IF(AND(SamplingData[[#This Row],[Total]]&lt;&gt; 0, NOT(ISBLANK(SamplingData[[#This Row],[Candidate 6]]))),(SamplingData[[#This Row],[Total]]+SamplingData[[#This Row],[Losing Candidate]]-SamplingData[[#This Row],[Candidate 6]])/(SamplingData[[#Totals],[Winning Candidate]]-SamplingData[[#Totals],[Candidate 6]]), 0)</f>
        <v>0</v>
      </c>
      <c r="V1066" s="100">
        <f>IF(AND(SamplingData[[#This Row],[Total]]&lt;&gt; 0, NOT(ISBLANK(SamplingData[[#This Row],[Candidate 7]]))),(SamplingData[[#This Row],[Total]]+SamplingData[[#This Row],[Winning Candidate]]-SamplingData[[#This Row],[Candidate 7]])/(SamplingData[[#Totals],[Winning Candidate]]-SamplingData[[#Totals],[Candidate 7]]), 0)</f>
        <v>0</v>
      </c>
      <c r="W1066" s="100">
        <f>IF(AND(SamplingData[[#This Row],[Total]]&lt;&gt; 0, NOT(ISBLANK(SamplingData[[#This Row],[Candidate 8]]))),(SamplingData[[#This Row],[Total]]+SamplingData[[#This Row],[Winning Candidate]]-SamplingData[[#This Row],[Candidate 8]])/(SamplingData[[#Totals],[Winning Candidate]]-SamplingData[[#Totals],[Candidate 8]]), 0)</f>
        <v>0</v>
      </c>
      <c r="X10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00">
        <f>MAX(SamplingData[[#This Row],[Error Bound (up) - Max. possible relative overstatement - Losing Candidate]:[Error Bound (up) - Max. possible relative overstatement - Candidate 12]])</f>
        <v>1.1935797970914345E-3</v>
      </c>
      <c r="AC1066" s="100">
        <f>IF(SamplingData[[#This Row],[Max Error Bound (up)]] = 0,0,SamplingData[[#This Row],[Max Error Bound (up)]]/SamplingData[[#Totals],[Max Error Bound (up)]])</f>
        <v>5.1149518117697755E-4</v>
      </c>
      <c r="AD1066" s="104">
        <f>SUM($AC$5:AC1066)</f>
        <v>0.89799709255370785</v>
      </c>
      <c r="AE1066" s="100" t="str" cm="1">
        <f t="array" ref="AE1066">IF(SamplingData[[#This Row],[up/U Selection Probability]] = 0, "Zero", TEXT(SamplingData[[#This Row],[Lower Range]], REPT("0",LEN('General Info'!$B$42))) &amp; " - " &amp; TEXT(SamplingData[[#This Row],[Upper Range]], REPT("0",LEN('General Info'!$B$42))))</f>
        <v>89749 - 89799</v>
      </c>
      <c r="AF1066" s="100">
        <f>SamplingData[[#This Row],[Upper Range]]-SamplingData[[#This Row],[Span]]</f>
        <v>89748.55973725309</v>
      </c>
      <c r="AG1066" s="100">
        <f>IF(ISNUMBER('General Info'!$B$42), ((SamplingData[[#This Row],[up/U Selection Probability]]) * 'General Info'!$B$44) - 1, 0)</f>
        <v>50.149518117697752</v>
      </c>
      <c r="AH1066" s="100">
        <f>IF(ISNUMBER('General Info'!$B$42), (SamplingData[[#This Row],[Running (cumulative) sum]] * ('General Info'!$B$42 -'General Info'!$B$43 + 1)) + 'General Info'!$B$43 - 1, 0)</f>
        <v>89798.709255370792</v>
      </c>
      <c r="AI1066" s="100" t="str">
        <f>IF(ISERROR(MATCH(SamplingData[[#This Row],[Batch by Type (p)]],SelectedPrecincts[Batch Name], 0)), "", INDEX(SelectedPrecincts[Draw], MATCH(SamplingData[[#This Row],[Batch by Type (p)]],SelectedPrecincts[Batch Name], 0)))</f>
        <v/>
      </c>
      <c r="AJ1066" s="101">
        <f>IF(COUNTIF(SelectedPrecincts[Batch Name],SamplingData[[#This Row],[Batch by Type (p)]]) &lt;&gt; 0, COUNTIF(SelectedPrecincts[Batch Name],SamplingData[[#This Row],[Batch by Type (p)]]), 0)</f>
        <v>0</v>
      </c>
    </row>
    <row r="1067" spans="1:36" ht="15" customHeight="1" x14ac:dyDescent="0.35">
      <c r="A1067" s="98" t="s">
        <v>1277</v>
      </c>
      <c r="B1067" s="98">
        <v>28</v>
      </c>
      <c r="C1067" s="98">
        <v>6</v>
      </c>
      <c r="D1067" s="93"/>
      <c r="E1067" s="93"/>
      <c r="F1067" s="93"/>
      <c r="G1067" s="97"/>
      <c r="H1067" s="97"/>
      <c r="I1067" s="93"/>
      <c r="J1067" s="93"/>
      <c r="K1067" s="93"/>
      <c r="L1067" s="93"/>
      <c r="M1067" s="93"/>
      <c r="N1067" s="98">
        <v>0</v>
      </c>
      <c r="O1067" s="98">
        <v>1</v>
      </c>
      <c r="P1067" s="99">
        <f>SUM(SamplingData[[#This Row],[Winning Candidate]:[Under Votes]])</f>
        <v>35</v>
      </c>
      <c r="Q1067" s="100">
        <f>IF(AND(SamplingData[[#This Row],[Total]]&lt;&gt; 0, NOT(ISBLANK(SamplingData[[#This Row],[Losing Candidate]]))),(SamplingData[[#This Row],[Total]]+SamplingData[[#This Row],[Winning Candidate]]-SamplingData[[#This Row],[Losing Candidate]])/(SamplingData[[#Totals],[Winning Candidate]]-SamplingData[[#Totals],[Losing Candidate]]), 0)</f>
        <v>1.7903696956371518E-3</v>
      </c>
      <c r="R1067" s="100">
        <f>IF(AND(SamplingData[[#This Row],[Total]]&lt;&gt; 0, NOT(ISBLANK(SamplingData[[#This Row],[Candidate 3]]))),(SamplingData[[#This Row],[Total]]+SamplingData[[#This Row],[Winning Candidate]]-SamplingData[[#This Row],[Candidate 3]])/(SamplingData[[#Totals],[Winning Candidate]]-SamplingData[[#Totals],[Candidate 3]]), 0)</f>
        <v>0</v>
      </c>
      <c r="S1067" s="100">
        <f>IF(AND(SamplingData[[#This Row],[Total]]&lt;&gt; 0, NOT(ISBLANK(SamplingData[[#This Row],[Candidate 4]]))),(SamplingData[[#This Row],[Total]]+SamplingData[[#This Row],[Winning Candidate]]-SamplingData[[#This Row],[Candidate 4]])/(SamplingData[[#Totals],[Winning Candidate]]-SamplingData[[#Totals],[Candidate 4]]), 0)</f>
        <v>0</v>
      </c>
      <c r="T1067" s="100">
        <f>IF(AND(SamplingData[[#This Row],[Total]]&lt;&gt; 0, NOT(ISBLANK(SamplingData[[#This Row],[Candidate 5]]))),(SamplingData[[#This Row],[Total]]+SamplingData[[#This Row],[Winning Candidate]]-SamplingData[[#This Row],[Candidate 5]])/(SamplingData[[#Totals],[Winning Candidate]]-SamplingData[[#Totals],[Candidate 5]]), 0)</f>
        <v>0</v>
      </c>
      <c r="U1067" s="100">
        <f>IF(AND(SamplingData[[#This Row],[Total]]&lt;&gt; 0, NOT(ISBLANK(SamplingData[[#This Row],[Candidate 6]]))),(SamplingData[[#This Row],[Total]]+SamplingData[[#This Row],[Losing Candidate]]-SamplingData[[#This Row],[Candidate 6]])/(SamplingData[[#Totals],[Winning Candidate]]-SamplingData[[#Totals],[Candidate 6]]), 0)</f>
        <v>0</v>
      </c>
      <c r="V1067" s="100">
        <f>IF(AND(SamplingData[[#This Row],[Total]]&lt;&gt; 0, NOT(ISBLANK(SamplingData[[#This Row],[Candidate 7]]))),(SamplingData[[#This Row],[Total]]+SamplingData[[#This Row],[Winning Candidate]]-SamplingData[[#This Row],[Candidate 7]])/(SamplingData[[#Totals],[Winning Candidate]]-SamplingData[[#Totals],[Candidate 7]]), 0)</f>
        <v>0</v>
      </c>
      <c r="W1067" s="100">
        <f>IF(AND(SamplingData[[#This Row],[Total]]&lt;&gt; 0, NOT(ISBLANK(SamplingData[[#This Row],[Candidate 8]]))),(SamplingData[[#This Row],[Total]]+SamplingData[[#This Row],[Winning Candidate]]-SamplingData[[#This Row],[Candidate 8]])/(SamplingData[[#Totals],[Winning Candidate]]-SamplingData[[#Totals],[Candidate 8]]), 0)</f>
        <v>0</v>
      </c>
      <c r="X10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00">
        <f>MAX(SamplingData[[#This Row],[Error Bound (up) - Max. possible relative overstatement - Losing Candidate]:[Error Bound (up) - Max. possible relative overstatement - Candidate 12]])</f>
        <v>1.7903696956371518E-3</v>
      </c>
      <c r="AC1067" s="100">
        <f>IF(SamplingData[[#This Row],[Max Error Bound (up)]] = 0,0,SamplingData[[#This Row],[Max Error Bound (up)]]/SamplingData[[#Totals],[Max Error Bound (up)]])</f>
        <v>7.6724277176546632E-4</v>
      </c>
      <c r="AD1067" s="104">
        <f>SUM($AC$5:AC1067)</f>
        <v>0.89876433532547328</v>
      </c>
      <c r="AE1067" s="100" t="str" cm="1">
        <f t="array" ref="AE1067">IF(SamplingData[[#This Row],[up/U Selection Probability]] = 0, "Zero", TEXT(SamplingData[[#This Row],[Lower Range]], REPT("0",LEN('General Info'!$B$42))) &amp; " - " &amp; TEXT(SamplingData[[#This Row],[Upper Range]], REPT("0",LEN('General Info'!$B$42))))</f>
        <v>89800 - 89875</v>
      </c>
      <c r="AF1067" s="100">
        <f>SamplingData[[#This Row],[Upper Range]]-SamplingData[[#This Row],[Span]]</f>
        <v>89799.709255370777</v>
      </c>
      <c r="AG1067" s="100">
        <f>IF(ISNUMBER('General Info'!$B$42), ((SamplingData[[#This Row],[up/U Selection Probability]]) * 'General Info'!$B$44) - 1, 0)</f>
        <v>75.724277176546636</v>
      </c>
      <c r="AH1067" s="100">
        <f>IF(ISNUMBER('General Info'!$B$42), (SamplingData[[#This Row],[Running (cumulative) sum]] * ('General Info'!$B$42 -'General Info'!$B$43 + 1)) + 'General Info'!$B$43 - 1, 0)</f>
        <v>89875.433532547322</v>
      </c>
      <c r="AI1067" s="100" t="str">
        <f>IF(ISERROR(MATCH(SamplingData[[#This Row],[Batch by Type (p)]],SelectedPrecincts[Batch Name], 0)), "", INDEX(SelectedPrecincts[Draw], MATCH(SamplingData[[#This Row],[Batch by Type (p)]],SelectedPrecincts[Batch Name], 0)))</f>
        <v/>
      </c>
      <c r="AJ1067" s="101">
        <f>IF(COUNTIF(SelectedPrecincts[Batch Name],SamplingData[[#This Row],[Batch by Type (p)]]) &lt;&gt; 0, COUNTIF(SelectedPrecincts[Batch Name],SamplingData[[#This Row],[Batch by Type (p)]]), 0)</f>
        <v>0</v>
      </c>
    </row>
    <row r="1068" spans="1:36" ht="15" customHeight="1" x14ac:dyDescent="0.35">
      <c r="A1068" s="98" t="s">
        <v>1278</v>
      </c>
      <c r="B1068" s="98">
        <v>11</v>
      </c>
      <c r="C1068" s="98">
        <v>0</v>
      </c>
      <c r="D1068" s="93"/>
      <c r="E1068" s="93"/>
      <c r="F1068" s="93"/>
      <c r="G1068" s="97"/>
      <c r="H1068" s="97"/>
      <c r="I1068" s="93"/>
      <c r="J1068" s="93"/>
      <c r="K1068" s="93"/>
      <c r="L1068" s="93"/>
      <c r="M1068" s="93"/>
      <c r="N1068" s="98">
        <v>0</v>
      </c>
      <c r="O1068" s="98">
        <v>1</v>
      </c>
      <c r="P1068" s="99">
        <f>SUM(SamplingData[[#This Row],[Winning Candidate]:[Under Votes]])</f>
        <v>12</v>
      </c>
      <c r="Q1068" s="100">
        <f>IF(AND(SamplingData[[#This Row],[Total]]&lt;&gt; 0, NOT(ISBLANK(SamplingData[[#This Row],[Losing Candidate]]))),(SamplingData[[#This Row],[Total]]+SamplingData[[#This Row],[Winning Candidate]]-SamplingData[[#This Row],[Losing Candidate]])/(SamplingData[[#Totals],[Winning Candidate]]-SamplingData[[#Totals],[Losing Candidate]]), 0)</f>
        <v>7.2242987718692088E-4</v>
      </c>
      <c r="R1068" s="100">
        <f>IF(AND(SamplingData[[#This Row],[Total]]&lt;&gt; 0, NOT(ISBLANK(SamplingData[[#This Row],[Candidate 3]]))),(SamplingData[[#This Row],[Total]]+SamplingData[[#This Row],[Winning Candidate]]-SamplingData[[#This Row],[Candidate 3]])/(SamplingData[[#Totals],[Winning Candidate]]-SamplingData[[#Totals],[Candidate 3]]), 0)</f>
        <v>0</v>
      </c>
      <c r="S1068" s="100">
        <f>IF(AND(SamplingData[[#This Row],[Total]]&lt;&gt; 0, NOT(ISBLANK(SamplingData[[#This Row],[Candidate 4]]))),(SamplingData[[#This Row],[Total]]+SamplingData[[#This Row],[Winning Candidate]]-SamplingData[[#This Row],[Candidate 4]])/(SamplingData[[#Totals],[Winning Candidate]]-SamplingData[[#Totals],[Candidate 4]]), 0)</f>
        <v>0</v>
      </c>
      <c r="T1068" s="100">
        <f>IF(AND(SamplingData[[#This Row],[Total]]&lt;&gt; 0, NOT(ISBLANK(SamplingData[[#This Row],[Candidate 5]]))),(SamplingData[[#This Row],[Total]]+SamplingData[[#This Row],[Winning Candidate]]-SamplingData[[#This Row],[Candidate 5]])/(SamplingData[[#Totals],[Winning Candidate]]-SamplingData[[#Totals],[Candidate 5]]), 0)</f>
        <v>0</v>
      </c>
      <c r="U1068" s="100">
        <f>IF(AND(SamplingData[[#This Row],[Total]]&lt;&gt; 0, NOT(ISBLANK(SamplingData[[#This Row],[Candidate 6]]))),(SamplingData[[#This Row],[Total]]+SamplingData[[#This Row],[Losing Candidate]]-SamplingData[[#This Row],[Candidate 6]])/(SamplingData[[#Totals],[Winning Candidate]]-SamplingData[[#Totals],[Candidate 6]]), 0)</f>
        <v>0</v>
      </c>
      <c r="V1068" s="100">
        <f>IF(AND(SamplingData[[#This Row],[Total]]&lt;&gt; 0, NOT(ISBLANK(SamplingData[[#This Row],[Candidate 7]]))),(SamplingData[[#This Row],[Total]]+SamplingData[[#This Row],[Winning Candidate]]-SamplingData[[#This Row],[Candidate 7]])/(SamplingData[[#Totals],[Winning Candidate]]-SamplingData[[#Totals],[Candidate 7]]), 0)</f>
        <v>0</v>
      </c>
      <c r="W1068" s="100">
        <f>IF(AND(SamplingData[[#This Row],[Total]]&lt;&gt; 0, NOT(ISBLANK(SamplingData[[#This Row],[Candidate 8]]))),(SamplingData[[#This Row],[Total]]+SamplingData[[#This Row],[Winning Candidate]]-SamplingData[[#This Row],[Candidate 8]])/(SamplingData[[#Totals],[Winning Candidate]]-SamplingData[[#Totals],[Candidate 8]]), 0)</f>
        <v>0</v>
      </c>
      <c r="X10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00">
        <f>MAX(SamplingData[[#This Row],[Error Bound (up) - Max. possible relative overstatement - Losing Candidate]:[Error Bound (up) - Max. possible relative overstatement - Candidate 12]])</f>
        <v>7.2242987718692088E-4</v>
      </c>
      <c r="AC1068" s="100">
        <f>IF(SamplingData[[#This Row],[Max Error Bound (up)]] = 0,0,SamplingData[[#This Row],[Max Error Bound (up)]]/SamplingData[[#Totals],[Max Error Bound (up)]])</f>
        <v>3.0958918860711797E-4</v>
      </c>
      <c r="AD1068" s="104">
        <f>SUM($AC$5:AC1068)</f>
        <v>0.89907392451408041</v>
      </c>
      <c r="AE1068" s="100" t="str" cm="1">
        <f t="array" ref="AE1068">IF(SamplingData[[#This Row],[up/U Selection Probability]] = 0, "Zero", TEXT(SamplingData[[#This Row],[Lower Range]], REPT("0",LEN('General Info'!$B$42))) &amp; " - " &amp; TEXT(SamplingData[[#This Row],[Upper Range]], REPT("0",LEN('General Info'!$B$42))))</f>
        <v>89876 - 89906</v>
      </c>
      <c r="AF1068" s="100">
        <f>SamplingData[[#This Row],[Upper Range]]-SamplingData[[#This Row],[Span]]</f>
        <v>89876.433532547337</v>
      </c>
      <c r="AG1068" s="100">
        <f>IF(ISNUMBER('General Info'!$B$42), ((SamplingData[[#This Row],[up/U Selection Probability]]) * 'General Info'!$B$44) - 1, 0)</f>
        <v>29.958918860711798</v>
      </c>
      <c r="AH1068" s="100">
        <f>IF(ISNUMBER('General Info'!$B$42), (SamplingData[[#This Row],[Running (cumulative) sum]] * ('General Info'!$B$42 -'General Info'!$B$43 + 1)) + 'General Info'!$B$43 - 1, 0)</f>
        <v>89906.392451408043</v>
      </c>
      <c r="AI1068" s="100" t="str">
        <f>IF(ISERROR(MATCH(SamplingData[[#This Row],[Batch by Type (p)]],SelectedPrecincts[Batch Name], 0)), "", INDEX(SelectedPrecincts[Draw], MATCH(SamplingData[[#This Row],[Batch by Type (p)]],SelectedPrecincts[Batch Name], 0)))</f>
        <v/>
      </c>
      <c r="AJ1068" s="101">
        <f>IF(COUNTIF(SelectedPrecincts[Batch Name],SamplingData[[#This Row],[Batch by Type (p)]]) &lt;&gt; 0, COUNTIF(SelectedPrecincts[Batch Name],SamplingData[[#This Row],[Batch by Type (p)]]), 0)</f>
        <v>0</v>
      </c>
    </row>
    <row r="1069" spans="1:36" ht="15" customHeight="1" x14ac:dyDescent="0.35">
      <c r="A1069" s="98" t="s">
        <v>1279</v>
      </c>
      <c r="B1069" s="98">
        <v>24</v>
      </c>
      <c r="C1069" s="98">
        <v>8</v>
      </c>
      <c r="D1069" s="93"/>
      <c r="E1069" s="93"/>
      <c r="F1069" s="93"/>
      <c r="G1069" s="97"/>
      <c r="H1069" s="97"/>
      <c r="I1069" s="93"/>
      <c r="J1069" s="93"/>
      <c r="K1069" s="93"/>
      <c r="L1069" s="93"/>
      <c r="M1069" s="93"/>
      <c r="N1069" s="98">
        <v>1</v>
      </c>
      <c r="O1069" s="98">
        <v>1</v>
      </c>
      <c r="P1069" s="99">
        <f>SUM(SamplingData[[#This Row],[Winning Candidate]:[Under Votes]])</f>
        <v>34</v>
      </c>
      <c r="Q1069" s="100">
        <f>IF(AND(SamplingData[[#This Row],[Total]]&lt;&gt; 0, NOT(ISBLANK(SamplingData[[#This Row],[Losing Candidate]]))),(SamplingData[[#This Row],[Total]]+SamplingData[[#This Row],[Winning Candidate]]-SamplingData[[#This Row],[Losing Candidate]])/(SamplingData[[#Totals],[Winning Candidate]]-SamplingData[[#Totals],[Losing Candidate]]), 0)</f>
        <v>1.5704997330150453E-3</v>
      </c>
      <c r="R1069" s="100">
        <f>IF(AND(SamplingData[[#This Row],[Total]]&lt;&gt; 0, NOT(ISBLANK(SamplingData[[#This Row],[Candidate 3]]))),(SamplingData[[#This Row],[Total]]+SamplingData[[#This Row],[Winning Candidate]]-SamplingData[[#This Row],[Candidate 3]])/(SamplingData[[#Totals],[Winning Candidate]]-SamplingData[[#Totals],[Candidate 3]]), 0)</f>
        <v>0</v>
      </c>
      <c r="S1069" s="100">
        <f>IF(AND(SamplingData[[#This Row],[Total]]&lt;&gt; 0, NOT(ISBLANK(SamplingData[[#This Row],[Candidate 4]]))),(SamplingData[[#This Row],[Total]]+SamplingData[[#This Row],[Winning Candidate]]-SamplingData[[#This Row],[Candidate 4]])/(SamplingData[[#Totals],[Winning Candidate]]-SamplingData[[#Totals],[Candidate 4]]), 0)</f>
        <v>0</v>
      </c>
      <c r="T1069" s="100">
        <f>IF(AND(SamplingData[[#This Row],[Total]]&lt;&gt; 0, NOT(ISBLANK(SamplingData[[#This Row],[Candidate 5]]))),(SamplingData[[#This Row],[Total]]+SamplingData[[#This Row],[Winning Candidate]]-SamplingData[[#This Row],[Candidate 5]])/(SamplingData[[#Totals],[Winning Candidate]]-SamplingData[[#Totals],[Candidate 5]]), 0)</f>
        <v>0</v>
      </c>
      <c r="U1069" s="100">
        <f>IF(AND(SamplingData[[#This Row],[Total]]&lt;&gt; 0, NOT(ISBLANK(SamplingData[[#This Row],[Candidate 6]]))),(SamplingData[[#This Row],[Total]]+SamplingData[[#This Row],[Losing Candidate]]-SamplingData[[#This Row],[Candidate 6]])/(SamplingData[[#Totals],[Winning Candidate]]-SamplingData[[#Totals],[Candidate 6]]), 0)</f>
        <v>0</v>
      </c>
      <c r="V1069" s="100">
        <f>IF(AND(SamplingData[[#This Row],[Total]]&lt;&gt; 0, NOT(ISBLANK(SamplingData[[#This Row],[Candidate 7]]))),(SamplingData[[#This Row],[Total]]+SamplingData[[#This Row],[Winning Candidate]]-SamplingData[[#This Row],[Candidate 7]])/(SamplingData[[#Totals],[Winning Candidate]]-SamplingData[[#Totals],[Candidate 7]]), 0)</f>
        <v>0</v>
      </c>
      <c r="W1069" s="100">
        <f>IF(AND(SamplingData[[#This Row],[Total]]&lt;&gt; 0, NOT(ISBLANK(SamplingData[[#This Row],[Candidate 8]]))),(SamplingData[[#This Row],[Total]]+SamplingData[[#This Row],[Winning Candidate]]-SamplingData[[#This Row],[Candidate 8]])/(SamplingData[[#Totals],[Winning Candidate]]-SamplingData[[#Totals],[Candidate 8]]), 0)</f>
        <v>0</v>
      </c>
      <c r="X10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00">
        <f>MAX(SamplingData[[#This Row],[Error Bound (up) - Max. possible relative overstatement - Losing Candidate]:[Error Bound (up) - Max. possible relative overstatement - Candidate 12]])</f>
        <v>1.5704997330150453E-3</v>
      </c>
      <c r="AC1069" s="100">
        <f>IF(SamplingData[[#This Row],[Max Error Bound (up)]] = 0,0,SamplingData[[#This Row],[Max Error Bound (up)]]/SamplingData[[#Totals],[Max Error Bound (up)]])</f>
        <v>6.7301997523286513E-4</v>
      </c>
      <c r="AD1069" s="104">
        <f>SUM($AC$5:AC1069)</f>
        <v>0.89974694448931325</v>
      </c>
      <c r="AE1069" s="100" t="str" cm="1">
        <f t="array" ref="AE1069">IF(SamplingData[[#This Row],[up/U Selection Probability]] = 0, "Zero", TEXT(SamplingData[[#This Row],[Lower Range]], REPT("0",LEN('General Info'!$B$42))) &amp; " - " &amp; TEXT(SamplingData[[#This Row],[Upper Range]], REPT("0",LEN('General Info'!$B$42))))</f>
        <v>89907 - 89974</v>
      </c>
      <c r="AF1069" s="100">
        <f>SamplingData[[#This Row],[Upper Range]]-SamplingData[[#This Row],[Span]]</f>
        <v>89907.392451408043</v>
      </c>
      <c r="AG1069" s="100">
        <f>IF(ISNUMBER('General Info'!$B$42), ((SamplingData[[#This Row],[up/U Selection Probability]]) * 'General Info'!$B$44) - 1, 0)</f>
        <v>66.301997523286516</v>
      </c>
      <c r="AH1069" s="100">
        <f>IF(ISNUMBER('General Info'!$B$42), (SamplingData[[#This Row],[Running (cumulative) sum]] * ('General Info'!$B$42 -'General Info'!$B$43 + 1)) + 'General Info'!$B$43 - 1, 0)</f>
        <v>89973.694448931332</v>
      </c>
      <c r="AI1069" s="100" t="str">
        <f>IF(ISERROR(MATCH(SamplingData[[#This Row],[Batch by Type (p)]],SelectedPrecincts[Batch Name], 0)), "", INDEX(SelectedPrecincts[Draw], MATCH(SamplingData[[#This Row],[Batch by Type (p)]],SelectedPrecincts[Batch Name], 0)))</f>
        <v/>
      </c>
      <c r="AJ1069" s="101">
        <f>IF(COUNTIF(SelectedPrecincts[Batch Name],SamplingData[[#This Row],[Batch by Type (p)]]) &lt;&gt; 0, COUNTIF(SelectedPrecincts[Batch Name],SamplingData[[#This Row],[Batch by Type (p)]]), 0)</f>
        <v>0</v>
      </c>
    </row>
    <row r="1070" spans="1:36" ht="15" customHeight="1" x14ac:dyDescent="0.35">
      <c r="A1070" s="98" t="s">
        <v>1280</v>
      </c>
      <c r="B1070" s="98">
        <v>4</v>
      </c>
      <c r="C1070" s="98">
        <v>1</v>
      </c>
      <c r="D1070" s="93"/>
      <c r="E1070" s="93"/>
      <c r="F1070" s="93"/>
      <c r="G1070" s="97"/>
      <c r="H1070" s="97"/>
      <c r="I1070" s="93"/>
      <c r="J1070" s="93"/>
      <c r="K1070" s="93"/>
      <c r="L1070" s="93"/>
      <c r="M1070" s="93"/>
      <c r="N1070" s="98">
        <v>0</v>
      </c>
      <c r="O1070" s="98">
        <v>0</v>
      </c>
      <c r="P1070" s="99">
        <f>SUM(SamplingData[[#This Row],[Winning Candidate]:[Under Votes]])</f>
        <v>5</v>
      </c>
      <c r="Q1070" s="100">
        <f>IF(AND(SamplingData[[#This Row],[Total]]&lt;&gt; 0, NOT(ISBLANK(SamplingData[[#This Row],[Losing Candidate]]))),(SamplingData[[#This Row],[Total]]+SamplingData[[#This Row],[Winning Candidate]]-SamplingData[[#This Row],[Losing Candidate]])/(SamplingData[[#Totals],[Winning Candidate]]-SamplingData[[#Totals],[Losing Candidate]]), 0)</f>
        <v>2.5127995728240724E-4</v>
      </c>
      <c r="R1070" s="100">
        <f>IF(AND(SamplingData[[#This Row],[Total]]&lt;&gt; 0, NOT(ISBLANK(SamplingData[[#This Row],[Candidate 3]]))),(SamplingData[[#This Row],[Total]]+SamplingData[[#This Row],[Winning Candidate]]-SamplingData[[#This Row],[Candidate 3]])/(SamplingData[[#Totals],[Winning Candidate]]-SamplingData[[#Totals],[Candidate 3]]), 0)</f>
        <v>0</v>
      </c>
      <c r="S1070" s="100">
        <f>IF(AND(SamplingData[[#This Row],[Total]]&lt;&gt; 0, NOT(ISBLANK(SamplingData[[#This Row],[Candidate 4]]))),(SamplingData[[#This Row],[Total]]+SamplingData[[#This Row],[Winning Candidate]]-SamplingData[[#This Row],[Candidate 4]])/(SamplingData[[#Totals],[Winning Candidate]]-SamplingData[[#Totals],[Candidate 4]]), 0)</f>
        <v>0</v>
      </c>
      <c r="T1070" s="100">
        <f>IF(AND(SamplingData[[#This Row],[Total]]&lt;&gt; 0, NOT(ISBLANK(SamplingData[[#This Row],[Candidate 5]]))),(SamplingData[[#This Row],[Total]]+SamplingData[[#This Row],[Winning Candidate]]-SamplingData[[#This Row],[Candidate 5]])/(SamplingData[[#Totals],[Winning Candidate]]-SamplingData[[#Totals],[Candidate 5]]), 0)</f>
        <v>0</v>
      </c>
      <c r="U1070" s="100">
        <f>IF(AND(SamplingData[[#This Row],[Total]]&lt;&gt; 0, NOT(ISBLANK(SamplingData[[#This Row],[Candidate 6]]))),(SamplingData[[#This Row],[Total]]+SamplingData[[#This Row],[Losing Candidate]]-SamplingData[[#This Row],[Candidate 6]])/(SamplingData[[#Totals],[Winning Candidate]]-SamplingData[[#Totals],[Candidate 6]]), 0)</f>
        <v>0</v>
      </c>
      <c r="V1070" s="100">
        <f>IF(AND(SamplingData[[#This Row],[Total]]&lt;&gt; 0, NOT(ISBLANK(SamplingData[[#This Row],[Candidate 7]]))),(SamplingData[[#This Row],[Total]]+SamplingData[[#This Row],[Winning Candidate]]-SamplingData[[#This Row],[Candidate 7]])/(SamplingData[[#Totals],[Winning Candidate]]-SamplingData[[#Totals],[Candidate 7]]), 0)</f>
        <v>0</v>
      </c>
      <c r="W1070" s="100">
        <f>IF(AND(SamplingData[[#This Row],[Total]]&lt;&gt; 0, NOT(ISBLANK(SamplingData[[#This Row],[Candidate 8]]))),(SamplingData[[#This Row],[Total]]+SamplingData[[#This Row],[Winning Candidate]]-SamplingData[[#This Row],[Candidate 8]])/(SamplingData[[#Totals],[Winning Candidate]]-SamplingData[[#Totals],[Candidate 8]]), 0)</f>
        <v>0</v>
      </c>
      <c r="X10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00">
        <f>MAX(SamplingData[[#This Row],[Error Bound (up) - Max. possible relative overstatement - Losing Candidate]:[Error Bound (up) - Max. possible relative overstatement - Candidate 12]])</f>
        <v>2.5127995728240724E-4</v>
      </c>
      <c r="AC1070" s="100">
        <f>IF(SamplingData[[#This Row],[Max Error Bound (up)]] = 0,0,SamplingData[[#This Row],[Max Error Bound (up)]]/SamplingData[[#Totals],[Max Error Bound (up)]])</f>
        <v>1.0768319603725841E-4</v>
      </c>
      <c r="AD1070" s="104">
        <f>SUM($AC$5:AC1070)</f>
        <v>0.89985462768535052</v>
      </c>
      <c r="AE1070" s="100" t="str" cm="1">
        <f t="array" ref="AE1070">IF(SamplingData[[#This Row],[up/U Selection Probability]] = 0, "Zero", TEXT(SamplingData[[#This Row],[Lower Range]], REPT("0",LEN('General Info'!$B$42))) &amp; " - " &amp; TEXT(SamplingData[[#This Row],[Upper Range]], REPT("0",LEN('General Info'!$B$42))))</f>
        <v>89975 - 89984</v>
      </c>
      <c r="AF1070" s="100">
        <f>SamplingData[[#This Row],[Upper Range]]-SamplingData[[#This Row],[Span]]</f>
        <v>89974.694448931332</v>
      </c>
      <c r="AG1070" s="100">
        <f>IF(ISNUMBER('General Info'!$B$42), ((SamplingData[[#This Row],[up/U Selection Probability]]) * 'General Info'!$B$44) - 1, 0)</f>
        <v>9.7683196037258408</v>
      </c>
      <c r="AH1070" s="100">
        <f>IF(ISNUMBER('General Info'!$B$42), (SamplingData[[#This Row],[Running (cumulative) sum]] * ('General Info'!$B$42 -'General Info'!$B$43 + 1)) + 'General Info'!$B$43 - 1, 0)</f>
        <v>89984.462768535057</v>
      </c>
      <c r="AI1070" s="100" t="str">
        <f>IF(ISERROR(MATCH(SamplingData[[#This Row],[Batch by Type (p)]],SelectedPrecincts[Batch Name], 0)), "", INDEX(SelectedPrecincts[Draw], MATCH(SamplingData[[#This Row],[Batch by Type (p)]],SelectedPrecincts[Batch Name], 0)))</f>
        <v/>
      </c>
      <c r="AJ1070" s="101">
        <f>IF(COUNTIF(SelectedPrecincts[Batch Name],SamplingData[[#This Row],[Batch by Type (p)]]) &lt;&gt; 0, COUNTIF(SelectedPrecincts[Batch Name],SamplingData[[#This Row],[Batch by Type (p)]]), 0)</f>
        <v>0</v>
      </c>
    </row>
    <row r="1071" spans="1:36" ht="15" customHeight="1" x14ac:dyDescent="0.35">
      <c r="A1071" s="98" t="s">
        <v>1281</v>
      </c>
      <c r="B1071" s="98">
        <v>16</v>
      </c>
      <c r="C1071" s="98">
        <v>3</v>
      </c>
      <c r="D1071" s="93"/>
      <c r="E1071" s="93"/>
      <c r="F1071" s="93"/>
      <c r="G1071" s="97"/>
      <c r="H1071" s="97"/>
      <c r="I1071" s="93"/>
      <c r="J1071" s="93"/>
      <c r="K1071" s="93"/>
      <c r="L1071" s="93"/>
      <c r="M1071" s="93"/>
      <c r="N1071" s="98">
        <v>0</v>
      </c>
      <c r="O1071" s="98">
        <v>0</v>
      </c>
      <c r="P1071" s="99">
        <f>SUM(SamplingData[[#This Row],[Winning Candidate]:[Under Votes]])</f>
        <v>19</v>
      </c>
      <c r="Q1071" s="100">
        <f>IF(AND(SamplingData[[#This Row],[Total]]&lt;&gt; 0, NOT(ISBLANK(SamplingData[[#This Row],[Losing Candidate]]))),(SamplingData[[#This Row],[Total]]+SamplingData[[#This Row],[Winning Candidate]]-SamplingData[[#This Row],[Losing Candidate]])/(SamplingData[[#Totals],[Winning Candidate]]-SamplingData[[#Totals],[Losing Candidate]]), 0)</f>
        <v>1.005119829129629E-3</v>
      </c>
      <c r="R1071" s="100">
        <f>IF(AND(SamplingData[[#This Row],[Total]]&lt;&gt; 0, NOT(ISBLANK(SamplingData[[#This Row],[Candidate 3]]))),(SamplingData[[#This Row],[Total]]+SamplingData[[#This Row],[Winning Candidate]]-SamplingData[[#This Row],[Candidate 3]])/(SamplingData[[#Totals],[Winning Candidate]]-SamplingData[[#Totals],[Candidate 3]]), 0)</f>
        <v>0</v>
      </c>
      <c r="S1071" s="100">
        <f>IF(AND(SamplingData[[#This Row],[Total]]&lt;&gt; 0, NOT(ISBLANK(SamplingData[[#This Row],[Candidate 4]]))),(SamplingData[[#This Row],[Total]]+SamplingData[[#This Row],[Winning Candidate]]-SamplingData[[#This Row],[Candidate 4]])/(SamplingData[[#Totals],[Winning Candidate]]-SamplingData[[#Totals],[Candidate 4]]), 0)</f>
        <v>0</v>
      </c>
      <c r="T1071" s="100">
        <f>IF(AND(SamplingData[[#This Row],[Total]]&lt;&gt; 0, NOT(ISBLANK(SamplingData[[#This Row],[Candidate 5]]))),(SamplingData[[#This Row],[Total]]+SamplingData[[#This Row],[Winning Candidate]]-SamplingData[[#This Row],[Candidate 5]])/(SamplingData[[#Totals],[Winning Candidate]]-SamplingData[[#Totals],[Candidate 5]]), 0)</f>
        <v>0</v>
      </c>
      <c r="U1071" s="100">
        <f>IF(AND(SamplingData[[#This Row],[Total]]&lt;&gt; 0, NOT(ISBLANK(SamplingData[[#This Row],[Candidate 6]]))),(SamplingData[[#This Row],[Total]]+SamplingData[[#This Row],[Losing Candidate]]-SamplingData[[#This Row],[Candidate 6]])/(SamplingData[[#Totals],[Winning Candidate]]-SamplingData[[#Totals],[Candidate 6]]), 0)</f>
        <v>0</v>
      </c>
      <c r="V1071" s="100">
        <f>IF(AND(SamplingData[[#This Row],[Total]]&lt;&gt; 0, NOT(ISBLANK(SamplingData[[#This Row],[Candidate 7]]))),(SamplingData[[#This Row],[Total]]+SamplingData[[#This Row],[Winning Candidate]]-SamplingData[[#This Row],[Candidate 7]])/(SamplingData[[#Totals],[Winning Candidate]]-SamplingData[[#Totals],[Candidate 7]]), 0)</f>
        <v>0</v>
      </c>
      <c r="W1071" s="100">
        <f>IF(AND(SamplingData[[#This Row],[Total]]&lt;&gt; 0, NOT(ISBLANK(SamplingData[[#This Row],[Candidate 8]]))),(SamplingData[[#This Row],[Total]]+SamplingData[[#This Row],[Winning Candidate]]-SamplingData[[#This Row],[Candidate 8]])/(SamplingData[[#Totals],[Winning Candidate]]-SamplingData[[#Totals],[Candidate 8]]), 0)</f>
        <v>0</v>
      </c>
      <c r="X10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00">
        <f>MAX(SamplingData[[#This Row],[Error Bound (up) - Max. possible relative overstatement - Losing Candidate]:[Error Bound (up) - Max. possible relative overstatement - Candidate 12]])</f>
        <v>1.005119829129629E-3</v>
      </c>
      <c r="AC1071" s="100">
        <f>IF(SamplingData[[#This Row],[Max Error Bound (up)]] = 0,0,SamplingData[[#This Row],[Max Error Bound (up)]]/SamplingData[[#Totals],[Max Error Bound (up)]])</f>
        <v>4.3073278414903365E-4</v>
      </c>
      <c r="AD1071" s="104">
        <f>SUM($AC$5:AC1071)</f>
        <v>0.90028536046949958</v>
      </c>
      <c r="AE1071" s="100" t="str" cm="1">
        <f t="array" ref="AE1071">IF(SamplingData[[#This Row],[up/U Selection Probability]] = 0, "Zero", TEXT(SamplingData[[#This Row],[Lower Range]], REPT("0",LEN('General Info'!$B$42))) &amp; " - " &amp; TEXT(SamplingData[[#This Row],[Upper Range]], REPT("0",LEN('General Info'!$B$42))))</f>
        <v>89985 - 90028</v>
      </c>
      <c r="AF1071" s="100">
        <f>SamplingData[[#This Row],[Upper Range]]-SamplingData[[#This Row],[Span]]</f>
        <v>89985.462768535057</v>
      </c>
      <c r="AG1071" s="100">
        <f>IF(ISNUMBER('General Info'!$B$42), ((SamplingData[[#This Row],[up/U Selection Probability]]) * 'General Info'!$B$44) - 1, 0)</f>
        <v>42.073278414903363</v>
      </c>
      <c r="AH1071" s="100">
        <f>IF(ISNUMBER('General Info'!$B$42), (SamplingData[[#This Row],[Running (cumulative) sum]] * ('General Info'!$B$42 -'General Info'!$B$43 + 1)) + 'General Info'!$B$43 - 1, 0)</f>
        <v>90027.536046949957</v>
      </c>
      <c r="AI1071" s="100" t="str">
        <f>IF(ISERROR(MATCH(SamplingData[[#This Row],[Batch by Type (p)]],SelectedPrecincts[Batch Name], 0)), "", INDEX(SelectedPrecincts[Draw], MATCH(SamplingData[[#This Row],[Batch by Type (p)]],SelectedPrecincts[Batch Name], 0)))</f>
        <v/>
      </c>
      <c r="AJ1071" s="101">
        <f>IF(COUNTIF(SelectedPrecincts[Batch Name],SamplingData[[#This Row],[Batch by Type (p)]]) &lt;&gt; 0, COUNTIF(SelectedPrecincts[Batch Name],SamplingData[[#This Row],[Batch by Type (p)]]), 0)</f>
        <v>0</v>
      </c>
    </row>
    <row r="1072" spans="1:36" ht="15" customHeight="1" x14ac:dyDescent="0.35">
      <c r="A1072" s="98" t="s">
        <v>1282</v>
      </c>
      <c r="B1072" s="98">
        <v>64</v>
      </c>
      <c r="C1072" s="98">
        <v>5</v>
      </c>
      <c r="D1072" s="93"/>
      <c r="E1072" s="93"/>
      <c r="F1072" s="93"/>
      <c r="G1072" s="97"/>
      <c r="H1072" s="97"/>
      <c r="I1072" s="93"/>
      <c r="J1072" s="93"/>
      <c r="K1072" s="93"/>
      <c r="L1072" s="93"/>
      <c r="M1072" s="93"/>
      <c r="N1072" s="98">
        <v>0</v>
      </c>
      <c r="O1072" s="98">
        <v>1</v>
      </c>
      <c r="P1072" s="99">
        <f>SUM(SamplingData[[#This Row],[Winning Candidate]:[Under Votes]])</f>
        <v>70</v>
      </c>
      <c r="Q1072" s="100">
        <f>IF(AND(SamplingData[[#This Row],[Total]]&lt;&gt; 0, NOT(ISBLANK(SamplingData[[#This Row],[Losing Candidate]]))),(SamplingData[[#This Row],[Total]]+SamplingData[[#This Row],[Winning Candidate]]-SamplingData[[#This Row],[Losing Candidate]])/(SamplingData[[#Totals],[Winning Candidate]]-SamplingData[[#Totals],[Losing Candidate]]), 0)</f>
        <v>4.0518893111788174E-3</v>
      </c>
      <c r="R1072" s="100">
        <f>IF(AND(SamplingData[[#This Row],[Total]]&lt;&gt; 0, NOT(ISBLANK(SamplingData[[#This Row],[Candidate 3]]))),(SamplingData[[#This Row],[Total]]+SamplingData[[#This Row],[Winning Candidate]]-SamplingData[[#This Row],[Candidate 3]])/(SamplingData[[#Totals],[Winning Candidate]]-SamplingData[[#Totals],[Candidate 3]]), 0)</f>
        <v>0</v>
      </c>
      <c r="S1072" s="100">
        <f>IF(AND(SamplingData[[#This Row],[Total]]&lt;&gt; 0, NOT(ISBLANK(SamplingData[[#This Row],[Candidate 4]]))),(SamplingData[[#This Row],[Total]]+SamplingData[[#This Row],[Winning Candidate]]-SamplingData[[#This Row],[Candidate 4]])/(SamplingData[[#Totals],[Winning Candidate]]-SamplingData[[#Totals],[Candidate 4]]), 0)</f>
        <v>0</v>
      </c>
      <c r="T1072" s="100">
        <f>IF(AND(SamplingData[[#This Row],[Total]]&lt;&gt; 0, NOT(ISBLANK(SamplingData[[#This Row],[Candidate 5]]))),(SamplingData[[#This Row],[Total]]+SamplingData[[#This Row],[Winning Candidate]]-SamplingData[[#This Row],[Candidate 5]])/(SamplingData[[#Totals],[Winning Candidate]]-SamplingData[[#Totals],[Candidate 5]]), 0)</f>
        <v>0</v>
      </c>
      <c r="U1072" s="100">
        <f>IF(AND(SamplingData[[#This Row],[Total]]&lt;&gt; 0, NOT(ISBLANK(SamplingData[[#This Row],[Candidate 6]]))),(SamplingData[[#This Row],[Total]]+SamplingData[[#This Row],[Losing Candidate]]-SamplingData[[#This Row],[Candidate 6]])/(SamplingData[[#Totals],[Winning Candidate]]-SamplingData[[#Totals],[Candidate 6]]), 0)</f>
        <v>0</v>
      </c>
      <c r="V1072" s="100">
        <f>IF(AND(SamplingData[[#This Row],[Total]]&lt;&gt; 0, NOT(ISBLANK(SamplingData[[#This Row],[Candidate 7]]))),(SamplingData[[#This Row],[Total]]+SamplingData[[#This Row],[Winning Candidate]]-SamplingData[[#This Row],[Candidate 7]])/(SamplingData[[#Totals],[Winning Candidate]]-SamplingData[[#Totals],[Candidate 7]]), 0)</f>
        <v>0</v>
      </c>
      <c r="W1072" s="100">
        <f>IF(AND(SamplingData[[#This Row],[Total]]&lt;&gt; 0, NOT(ISBLANK(SamplingData[[#This Row],[Candidate 8]]))),(SamplingData[[#This Row],[Total]]+SamplingData[[#This Row],[Winning Candidate]]-SamplingData[[#This Row],[Candidate 8]])/(SamplingData[[#Totals],[Winning Candidate]]-SamplingData[[#Totals],[Candidate 8]]), 0)</f>
        <v>0</v>
      </c>
      <c r="X10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00">
        <f>MAX(SamplingData[[#This Row],[Error Bound (up) - Max. possible relative overstatement - Losing Candidate]:[Error Bound (up) - Max. possible relative overstatement - Candidate 12]])</f>
        <v>4.0518893111788174E-3</v>
      </c>
      <c r="AC1072" s="100">
        <f>IF(SamplingData[[#This Row],[Max Error Bound (up)]] = 0,0,SamplingData[[#This Row],[Max Error Bound (up)]]/SamplingData[[#Totals],[Max Error Bound (up)]])</f>
        <v>1.7363915361007923E-3</v>
      </c>
      <c r="AD1072" s="104">
        <f>SUM($AC$5:AC1072)</f>
        <v>0.90202175200560042</v>
      </c>
      <c r="AE1072" s="100" t="str" cm="1">
        <f t="array" ref="AE1072">IF(SamplingData[[#This Row],[up/U Selection Probability]] = 0, "Zero", TEXT(SamplingData[[#This Row],[Lower Range]], REPT("0",LEN('General Info'!$B$42))) &amp; " - " &amp; TEXT(SamplingData[[#This Row],[Upper Range]], REPT("0",LEN('General Info'!$B$42))))</f>
        <v>90029 - 90201</v>
      </c>
      <c r="AF1072" s="100">
        <f>SamplingData[[#This Row],[Upper Range]]-SamplingData[[#This Row],[Span]]</f>
        <v>90028.536046949957</v>
      </c>
      <c r="AG1072" s="100">
        <f>IF(ISNUMBER('General Info'!$B$42), ((SamplingData[[#This Row],[up/U Selection Probability]]) * 'General Info'!$B$44) - 1, 0)</f>
        <v>172.63915361007923</v>
      </c>
      <c r="AH1072" s="100">
        <f>IF(ISNUMBER('General Info'!$B$42), (SamplingData[[#This Row],[Running (cumulative) sum]] * ('General Info'!$B$42 -'General Info'!$B$43 + 1)) + 'General Info'!$B$43 - 1, 0)</f>
        <v>90201.175200560043</v>
      </c>
      <c r="AI1072" s="100">
        <f>IF(ISERROR(MATCH(SamplingData[[#This Row],[Batch by Type (p)]],SelectedPrecincts[Batch Name], 0)), "", INDEX(SelectedPrecincts[Draw], MATCH(SamplingData[[#This Row],[Batch by Type (p)]],SelectedPrecincts[Batch Name], 0)))</f>
        <v>2</v>
      </c>
      <c r="AJ1072" s="101">
        <f>IF(COUNTIF(SelectedPrecincts[Batch Name],SamplingData[[#This Row],[Batch by Type (p)]]) &lt;&gt; 0, COUNTIF(SelectedPrecincts[Batch Name],SamplingData[[#This Row],[Batch by Type (p)]]), 0)</f>
        <v>1</v>
      </c>
    </row>
    <row r="1073" spans="1:36" ht="15" customHeight="1" x14ac:dyDescent="0.35">
      <c r="A1073" s="98" t="s">
        <v>1283</v>
      </c>
      <c r="B1073" s="98">
        <v>29</v>
      </c>
      <c r="C1073" s="98">
        <v>10</v>
      </c>
      <c r="D1073" s="93"/>
      <c r="E1073" s="93"/>
      <c r="F1073" s="93"/>
      <c r="G1073" s="97"/>
      <c r="H1073" s="97"/>
      <c r="I1073" s="93"/>
      <c r="J1073" s="93"/>
      <c r="K1073" s="93"/>
      <c r="L1073" s="93"/>
      <c r="M1073" s="93"/>
      <c r="N1073" s="98">
        <v>0</v>
      </c>
      <c r="O1073" s="98">
        <v>1</v>
      </c>
      <c r="P1073" s="99">
        <f>SUM(SamplingData[[#This Row],[Winning Candidate]:[Under Votes]])</f>
        <v>40</v>
      </c>
      <c r="Q1073" s="100">
        <f>IF(AND(SamplingData[[#This Row],[Total]]&lt;&gt; 0, NOT(ISBLANK(SamplingData[[#This Row],[Losing Candidate]]))),(SamplingData[[#This Row],[Total]]+SamplingData[[#This Row],[Winning Candidate]]-SamplingData[[#This Row],[Losing Candidate]])/(SamplingData[[#Totals],[Winning Candidate]]-SamplingData[[#Totals],[Losing Candidate]]), 0)</f>
        <v>1.8531896849577536E-3</v>
      </c>
      <c r="R1073" s="100">
        <f>IF(AND(SamplingData[[#This Row],[Total]]&lt;&gt; 0, NOT(ISBLANK(SamplingData[[#This Row],[Candidate 3]]))),(SamplingData[[#This Row],[Total]]+SamplingData[[#This Row],[Winning Candidate]]-SamplingData[[#This Row],[Candidate 3]])/(SamplingData[[#Totals],[Winning Candidate]]-SamplingData[[#Totals],[Candidate 3]]), 0)</f>
        <v>0</v>
      </c>
      <c r="S1073" s="100">
        <f>IF(AND(SamplingData[[#This Row],[Total]]&lt;&gt; 0, NOT(ISBLANK(SamplingData[[#This Row],[Candidate 4]]))),(SamplingData[[#This Row],[Total]]+SamplingData[[#This Row],[Winning Candidate]]-SamplingData[[#This Row],[Candidate 4]])/(SamplingData[[#Totals],[Winning Candidate]]-SamplingData[[#Totals],[Candidate 4]]), 0)</f>
        <v>0</v>
      </c>
      <c r="T1073" s="100">
        <f>IF(AND(SamplingData[[#This Row],[Total]]&lt;&gt; 0, NOT(ISBLANK(SamplingData[[#This Row],[Candidate 5]]))),(SamplingData[[#This Row],[Total]]+SamplingData[[#This Row],[Winning Candidate]]-SamplingData[[#This Row],[Candidate 5]])/(SamplingData[[#Totals],[Winning Candidate]]-SamplingData[[#Totals],[Candidate 5]]), 0)</f>
        <v>0</v>
      </c>
      <c r="U1073" s="100">
        <f>IF(AND(SamplingData[[#This Row],[Total]]&lt;&gt; 0, NOT(ISBLANK(SamplingData[[#This Row],[Candidate 6]]))),(SamplingData[[#This Row],[Total]]+SamplingData[[#This Row],[Losing Candidate]]-SamplingData[[#This Row],[Candidate 6]])/(SamplingData[[#Totals],[Winning Candidate]]-SamplingData[[#Totals],[Candidate 6]]), 0)</f>
        <v>0</v>
      </c>
      <c r="V1073" s="100">
        <f>IF(AND(SamplingData[[#This Row],[Total]]&lt;&gt; 0, NOT(ISBLANK(SamplingData[[#This Row],[Candidate 7]]))),(SamplingData[[#This Row],[Total]]+SamplingData[[#This Row],[Winning Candidate]]-SamplingData[[#This Row],[Candidate 7]])/(SamplingData[[#Totals],[Winning Candidate]]-SamplingData[[#Totals],[Candidate 7]]), 0)</f>
        <v>0</v>
      </c>
      <c r="W1073" s="100">
        <f>IF(AND(SamplingData[[#This Row],[Total]]&lt;&gt; 0, NOT(ISBLANK(SamplingData[[#This Row],[Candidate 8]]))),(SamplingData[[#This Row],[Total]]+SamplingData[[#This Row],[Winning Candidate]]-SamplingData[[#This Row],[Candidate 8]])/(SamplingData[[#Totals],[Winning Candidate]]-SamplingData[[#Totals],[Candidate 8]]), 0)</f>
        <v>0</v>
      </c>
      <c r="X10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00">
        <f>MAX(SamplingData[[#This Row],[Error Bound (up) - Max. possible relative overstatement - Losing Candidate]:[Error Bound (up) - Max. possible relative overstatement - Candidate 12]])</f>
        <v>1.8531896849577536E-3</v>
      </c>
      <c r="AC1073" s="100">
        <f>IF(SamplingData[[#This Row],[Max Error Bound (up)]] = 0,0,SamplingData[[#This Row],[Max Error Bound (up)]]/SamplingData[[#Totals],[Max Error Bound (up)]])</f>
        <v>7.9416357077478092E-4</v>
      </c>
      <c r="AD1073" s="104">
        <f>SUM($AC$5:AC1073)</f>
        <v>0.90281591557637519</v>
      </c>
      <c r="AE1073" s="100" t="str" cm="1">
        <f t="array" ref="AE1073">IF(SamplingData[[#This Row],[up/U Selection Probability]] = 0, "Zero", TEXT(SamplingData[[#This Row],[Lower Range]], REPT("0",LEN('General Info'!$B$42))) &amp; " - " &amp; TEXT(SamplingData[[#This Row],[Upper Range]], REPT("0",LEN('General Info'!$B$42))))</f>
        <v>90202 - 90281</v>
      </c>
      <c r="AF1073" s="100">
        <f>SamplingData[[#This Row],[Upper Range]]-SamplingData[[#This Row],[Span]]</f>
        <v>90202.175200560043</v>
      </c>
      <c r="AG1073" s="100">
        <f>IF(ISNUMBER('General Info'!$B$42), ((SamplingData[[#This Row],[up/U Selection Probability]]) * 'General Info'!$B$44) - 1, 0)</f>
        <v>78.416357077478096</v>
      </c>
      <c r="AH1073" s="100">
        <f>IF(ISNUMBER('General Info'!$B$42), (SamplingData[[#This Row],[Running (cumulative) sum]] * ('General Info'!$B$42 -'General Info'!$B$43 + 1)) + 'General Info'!$B$43 - 1, 0)</f>
        <v>90280.591557637526</v>
      </c>
      <c r="AI1073" s="100" t="str">
        <f>IF(ISERROR(MATCH(SamplingData[[#This Row],[Batch by Type (p)]],SelectedPrecincts[Batch Name], 0)), "", INDEX(SelectedPrecincts[Draw], MATCH(SamplingData[[#This Row],[Batch by Type (p)]],SelectedPrecincts[Batch Name], 0)))</f>
        <v/>
      </c>
      <c r="AJ1073" s="101">
        <f>IF(COUNTIF(SelectedPrecincts[Batch Name],SamplingData[[#This Row],[Batch by Type (p)]]) &lt;&gt; 0, COUNTIF(SelectedPrecincts[Batch Name],SamplingData[[#This Row],[Batch by Type (p)]]), 0)</f>
        <v>0</v>
      </c>
    </row>
    <row r="1074" spans="1:36" ht="15" customHeight="1" x14ac:dyDescent="0.35">
      <c r="A1074" s="98" t="s">
        <v>1284</v>
      </c>
      <c r="B1074" s="98">
        <v>18</v>
      </c>
      <c r="C1074" s="98">
        <v>0</v>
      </c>
      <c r="D1074" s="93"/>
      <c r="E1074" s="93"/>
      <c r="F1074" s="93"/>
      <c r="G1074" s="97"/>
      <c r="H1074" s="97"/>
      <c r="I1074" s="93"/>
      <c r="J1074" s="93"/>
      <c r="K1074" s="93"/>
      <c r="L1074" s="93"/>
      <c r="M1074" s="93"/>
      <c r="N1074" s="98">
        <v>0</v>
      </c>
      <c r="O1074" s="98">
        <v>0</v>
      </c>
      <c r="P1074" s="99">
        <f>SUM(SamplingData[[#This Row],[Winning Candidate]:[Under Votes]])</f>
        <v>18</v>
      </c>
      <c r="Q1074" s="100">
        <f>IF(AND(SamplingData[[#This Row],[Total]]&lt;&gt; 0, NOT(ISBLANK(SamplingData[[#This Row],[Losing Candidate]]))),(SamplingData[[#This Row],[Total]]+SamplingData[[#This Row],[Winning Candidate]]-SamplingData[[#This Row],[Losing Candidate]])/(SamplingData[[#Totals],[Winning Candidate]]-SamplingData[[#Totals],[Losing Candidate]]), 0)</f>
        <v>1.1307598077708327E-3</v>
      </c>
      <c r="R1074" s="100">
        <f>IF(AND(SamplingData[[#This Row],[Total]]&lt;&gt; 0, NOT(ISBLANK(SamplingData[[#This Row],[Candidate 3]]))),(SamplingData[[#This Row],[Total]]+SamplingData[[#This Row],[Winning Candidate]]-SamplingData[[#This Row],[Candidate 3]])/(SamplingData[[#Totals],[Winning Candidate]]-SamplingData[[#Totals],[Candidate 3]]), 0)</f>
        <v>0</v>
      </c>
      <c r="S1074" s="100">
        <f>IF(AND(SamplingData[[#This Row],[Total]]&lt;&gt; 0, NOT(ISBLANK(SamplingData[[#This Row],[Candidate 4]]))),(SamplingData[[#This Row],[Total]]+SamplingData[[#This Row],[Winning Candidate]]-SamplingData[[#This Row],[Candidate 4]])/(SamplingData[[#Totals],[Winning Candidate]]-SamplingData[[#Totals],[Candidate 4]]), 0)</f>
        <v>0</v>
      </c>
      <c r="T1074" s="100">
        <f>IF(AND(SamplingData[[#This Row],[Total]]&lt;&gt; 0, NOT(ISBLANK(SamplingData[[#This Row],[Candidate 5]]))),(SamplingData[[#This Row],[Total]]+SamplingData[[#This Row],[Winning Candidate]]-SamplingData[[#This Row],[Candidate 5]])/(SamplingData[[#Totals],[Winning Candidate]]-SamplingData[[#Totals],[Candidate 5]]), 0)</f>
        <v>0</v>
      </c>
      <c r="U1074" s="100">
        <f>IF(AND(SamplingData[[#This Row],[Total]]&lt;&gt; 0, NOT(ISBLANK(SamplingData[[#This Row],[Candidate 6]]))),(SamplingData[[#This Row],[Total]]+SamplingData[[#This Row],[Losing Candidate]]-SamplingData[[#This Row],[Candidate 6]])/(SamplingData[[#Totals],[Winning Candidate]]-SamplingData[[#Totals],[Candidate 6]]), 0)</f>
        <v>0</v>
      </c>
      <c r="V1074" s="100">
        <f>IF(AND(SamplingData[[#This Row],[Total]]&lt;&gt; 0, NOT(ISBLANK(SamplingData[[#This Row],[Candidate 7]]))),(SamplingData[[#This Row],[Total]]+SamplingData[[#This Row],[Winning Candidate]]-SamplingData[[#This Row],[Candidate 7]])/(SamplingData[[#Totals],[Winning Candidate]]-SamplingData[[#Totals],[Candidate 7]]), 0)</f>
        <v>0</v>
      </c>
      <c r="W1074" s="100">
        <f>IF(AND(SamplingData[[#This Row],[Total]]&lt;&gt; 0, NOT(ISBLANK(SamplingData[[#This Row],[Candidate 8]]))),(SamplingData[[#This Row],[Total]]+SamplingData[[#This Row],[Winning Candidate]]-SamplingData[[#This Row],[Candidate 8]])/(SamplingData[[#Totals],[Winning Candidate]]-SamplingData[[#Totals],[Candidate 8]]), 0)</f>
        <v>0</v>
      </c>
      <c r="X10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00">
        <f>MAX(SamplingData[[#This Row],[Error Bound (up) - Max. possible relative overstatement - Losing Candidate]:[Error Bound (up) - Max. possible relative overstatement - Candidate 12]])</f>
        <v>1.1307598077708327E-3</v>
      </c>
      <c r="AC1074" s="100">
        <f>IF(SamplingData[[#This Row],[Max Error Bound (up)]] = 0,0,SamplingData[[#This Row],[Max Error Bound (up)]]/SamplingData[[#Totals],[Max Error Bound (up)]])</f>
        <v>4.845743821676629E-4</v>
      </c>
      <c r="AD1074" s="104">
        <f>SUM($AC$5:AC1074)</f>
        <v>0.90330048995854284</v>
      </c>
      <c r="AE1074" s="100" t="str" cm="1">
        <f t="array" ref="AE1074">IF(SamplingData[[#This Row],[up/U Selection Probability]] = 0, "Zero", TEXT(SamplingData[[#This Row],[Lower Range]], REPT("0",LEN('General Info'!$B$42))) &amp; " - " &amp; TEXT(SamplingData[[#This Row],[Upper Range]], REPT("0",LEN('General Info'!$B$42))))</f>
        <v>90282 - 90329</v>
      </c>
      <c r="AF1074" s="100">
        <f>SamplingData[[#This Row],[Upper Range]]-SamplingData[[#This Row],[Span]]</f>
        <v>90281.591557637526</v>
      </c>
      <c r="AG1074" s="100">
        <f>IF(ISNUMBER('General Info'!$B$42), ((SamplingData[[#This Row],[up/U Selection Probability]]) * 'General Info'!$B$44) - 1, 0)</f>
        <v>47.457438216766292</v>
      </c>
      <c r="AH1074" s="100">
        <f>IF(ISNUMBER('General Info'!$B$42), (SamplingData[[#This Row],[Running (cumulative) sum]] * ('General Info'!$B$42 -'General Info'!$B$43 + 1)) + 'General Info'!$B$43 - 1, 0)</f>
        <v>90329.048995854289</v>
      </c>
      <c r="AI1074" s="100" t="str">
        <f>IF(ISERROR(MATCH(SamplingData[[#This Row],[Batch by Type (p)]],SelectedPrecincts[Batch Name], 0)), "", INDEX(SelectedPrecincts[Draw], MATCH(SamplingData[[#This Row],[Batch by Type (p)]],SelectedPrecincts[Batch Name], 0)))</f>
        <v/>
      </c>
      <c r="AJ1074" s="101">
        <f>IF(COUNTIF(SelectedPrecincts[Batch Name],SamplingData[[#This Row],[Batch by Type (p)]]) &lt;&gt; 0, COUNTIF(SelectedPrecincts[Batch Name],SamplingData[[#This Row],[Batch by Type (p)]]), 0)</f>
        <v>0</v>
      </c>
    </row>
    <row r="1075" spans="1:36" ht="15" customHeight="1" x14ac:dyDescent="0.35">
      <c r="A1075" s="98" t="s">
        <v>1285</v>
      </c>
      <c r="B1075" s="98">
        <v>53</v>
      </c>
      <c r="C1075" s="98">
        <v>9</v>
      </c>
      <c r="D1075" s="93"/>
      <c r="E1075" s="93"/>
      <c r="F1075" s="93"/>
      <c r="G1075" s="97"/>
      <c r="H1075" s="97"/>
      <c r="I1075" s="93"/>
      <c r="J1075" s="93"/>
      <c r="K1075" s="93"/>
      <c r="L1075" s="93"/>
      <c r="M1075" s="93"/>
      <c r="N1075" s="98">
        <v>0</v>
      </c>
      <c r="O1075" s="98">
        <v>0</v>
      </c>
      <c r="P1075" s="99">
        <f>SUM(SamplingData[[#This Row],[Winning Candidate]:[Under Votes]])</f>
        <v>62</v>
      </c>
      <c r="Q1075" s="100">
        <f>IF(AND(SamplingData[[#This Row],[Total]]&lt;&gt; 0, NOT(ISBLANK(SamplingData[[#This Row],[Losing Candidate]]))),(SamplingData[[#This Row],[Total]]+SamplingData[[#This Row],[Winning Candidate]]-SamplingData[[#This Row],[Losing Candidate]])/(SamplingData[[#Totals],[Winning Candidate]]-SamplingData[[#Totals],[Losing Candidate]]), 0)</f>
        <v>3.3294594339918961E-3</v>
      </c>
      <c r="R1075" s="100">
        <f>IF(AND(SamplingData[[#This Row],[Total]]&lt;&gt; 0, NOT(ISBLANK(SamplingData[[#This Row],[Candidate 3]]))),(SamplingData[[#This Row],[Total]]+SamplingData[[#This Row],[Winning Candidate]]-SamplingData[[#This Row],[Candidate 3]])/(SamplingData[[#Totals],[Winning Candidate]]-SamplingData[[#Totals],[Candidate 3]]), 0)</f>
        <v>0</v>
      </c>
      <c r="S1075" s="100">
        <f>IF(AND(SamplingData[[#This Row],[Total]]&lt;&gt; 0, NOT(ISBLANK(SamplingData[[#This Row],[Candidate 4]]))),(SamplingData[[#This Row],[Total]]+SamplingData[[#This Row],[Winning Candidate]]-SamplingData[[#This Row],[Candidate 4]])/(SamplingData[[#Totals],[Winning Candidate]]-SamplingData[[#Totals],[Candidate 4]]), 0)</f>
        <v>0</v>
      </c>
      <c r="T1075" s="100">
        <f>IF(AND(SamplingData[[#This Row],[Total]]&lt;&gt; 0, NOT(ISBLANK(SamplingData[[#This Row],[Candidate 5]]))),(SamplingData[[#This Row],[Total]]+SamplingData[[#This Row],[Winning Candidate]]-SamplingData[[#This Row],[Candidate 5]])/(SamplingData[[#Totals],[Winning Candidate]]-SamplingData[[#Totals],[Candidate 5]]), 0)</f>
        <v>0</v>
      </c>
      <c r="U1075" s="100">
        <f>IF(AND(SamplingData[[#This Row],[Total]]&lt;&gt; 0, NOT(ISBLANK(SamplingData[[#This Row],[Candidate 6]]))),(SamplingData[[#This Row],[Total]]+SamplingData[[#This Row],[Losing Candidate]]-SamplingData[[#This Row],[Candidate 6]])/(SamplingData[[#Totals],[Winning Candidate]]-SamplingData[[#Totals],[Candidate 6]]), 0)</f>
        <v>0</v>
      </c>
      <c r="V1075" s="100">
        <f>IF(AND(SamplingData[[#This Row],[Total]]&lt;&gt; 0, NOT(ISBLANK(SamplingData[[#This Row],[Candidate 7]]))),(SamplingData[[#This Row],[Total]]+SamplingData[[#This Row],[Winning Candidate]]-SamplingData[[#This Row],[Candidate 7]])/(SamplingData[[#Totals],[Winning Candidate]]-SamplingData[[#Totals],[Candidate 7]]), 0)</f>
        <v>0</v>
      </c>
      <c r="W1075" s="100">
        <f>IF(AND(SamplingData[[#This Row],[Total]]&lt;&gt; 0, NOT(ISBLANK(SamplingData[[#This Row],[Candidate 8]]))),(SamplingData[[#This Row],[Total]]+SamplingData[[#This Row],[Winning Candidate]]-SamplingData[[#This Row],[Candidate 8]])/(SamplingData[[#Totals],[Winning Candidate]]-SamplingData[[#Totals],[Candidate 8]]), 0)</f>
        <v>0</v>
      </c>
      <c r="X10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00">
        <f>MAX(SamplingData[[#This Row],[Error Bound (up) - Max. possible relative overstatement - Losing Candidate]:[Error Bound (up) - Max. possible relative overstatement - Candidate 12]])</f>
        <v>3.3294594339918961E-3</v>
      </c>
      <c r="AC1075" s="100">
        <f>IF(SamplingData[[#This Row],[Max Error Bound (up)]] = 0,0,SamplingData[[#This Row],[Max Error Bound (up)]]/SamplingData[[#Totals],[Max Error Bound (up)]])</f>
        <v>1.426802347493674E-3</v>
      </c>
      <c r="AD1075" s="104">
        <f>SUM($AC$5:AC1075)</f>
        <v>0.90472729230603655</v>
      </c>
      <c r="AE1075" s="100" t="str" cm="1">
        <f t="array" ref="AE1075">IF(SamplingData[[#This Row],[up/U Selection Probability]] = 0, "Zero", TEXT(SamplingData[[#This Row],[Lower Range]], REPT("0",LEN('General Info'!$B$42))) &amp; " - " &amp; TEXT(SamplingData[[#This Row],[Upper Range]], REPT("0",LEN('General Info'!$B$42))))</f>
        <v>90330 - 90472</v>
      </c>
      <c r="AF1075" s="100">
        <f>SamplingData[[#This Row],[Upper Range]]-SamplingData[[#This Row],[Span]]</f>
        <v>90330.048995854289</v>
      </c>
      <c r="AG1075" s="100">
        <f>IF(ISNUMBER('General Info'!$B$42), ((SamplingData[[#This Row],[up/U Selection Probability]]) * 'General Info'!$B$44) - 1, 0)</f>
        <v>141.6802347493674</v>
      </c>
      <c r="AH1075" s="100">
        <f>IF(ISNUMBER('General Info'!$B$42), (SamplingData[[#This Row],[Running (cumulative) sum]] * ('General Info'!$B$42 -'General Info'!$B$43 + 1)) + 'General Info'!$B$43 - 1, 0)</f>
        <v>90471.729230603654</v>
      </c>
      <c r="AI1075" s="100" t="str">
        <f>IF(ISERROR(MATCH(SamplingData[[#This Row],[Batch by Type (p)]],SelectedPrecincts[Batch Name], 0)), "", INDEX(SelectedPrecincts[Draw], MATCH(SamplingData[[#This Row],[Batch by Type (p)]],SelectedPrecincts[Batch Name], 0)))</f>
        <v/>
      </c>
      <c r="AJ1075" s="101">
        <f>IF(COUNTIF(SelectedPrecincts[Batch Name],SamplingData[[#This Row],[Batch by Type (p)]]) &lt;&gt; 0, COUNTIF(SelectedPrecincts[Batch Name],SamplingData[[#This Row],[Batch by Type (p)]]), 0)</f>
        <v>0</v>
      </c>
    </row>
    <row r="1076" spans="1:36" ht="15" customHeight="1" x14ac:dyDescent="0.35">
      <c r="A1076" s="98" t="s">
        <v>1286</v>
      </c>
      <c r="B1076" s="98">
        <v>61</v>
      </c>
      <c r="C1076" s="98">
        <v>11</v>
      </c>
      <c r="D1076" s="93"/>
      <c r="E1076" s="93"/>
      <c r="F1076" s="93"/>
      <c r="G1076" s="97"/>
      <c r="H1076" s="97"/>
      <c r="I1076" s="93"/>
      <c r="J1076" s="93"/>
      <c r="K1076" s="93"/>
      <c r="L1076" s="93"/>
      <c r="M1076" s="93"/>
      <c r="N1076" s="98">
        <v>0</v>
      </c>
      <c r="O1076" s="98">
        <v>1</v>
      </c>
      <c r="P1076" s="99">
        <f>SUM(SamplingData[[#This Row],[Winning Candidate]:[Under Votes]])</f>
        <v>73</v>
      </c>
      <c r="Q1076" s="100">
        <f>IF(AND(SamplingData[[#This Row],[Total]]&lt;&gt; 0, NOT(ISBLANK(SamplingData[[#This Row],[Losing Candidate]]))),(SamplingData[[#This Row],[Total]]+SamplingData[[#This Row],[Winning Candidate]]-SamplingData[[#This Row],[Losing Candidate]])/(SamplingData[[#Totals],[Winning Candidate]]-SamplingData[[#Totals],[Losing Candidate]]), 0)</f>
        <v>3.8634293432170115E-3</v>
      </c>
      <c r="R1076" s="100">
        <f>IF(AND(SamplingData[[#This Row],[Total]]&lt;&gt; 0, NOT(ISBLANK(SamplingData[[#This Row],[Candidate 3]]))),(SamplingData[[#This Row],[Total]]+SamplingData[[#This Row],[Winning Candidate]]-SamplingData[[#This Row],[Candidate 3]])/(SamplingData[[#Totals],[Winning Candidate]]-SamplingData[[#Totals],[Candidate 3]]), 0)</f>
        <v>0</v>
      </c>
      <c r="S1076" s="100">
        <f>IF(AND(SamplingData[[#This Row],[Total]]&lt;&gt; 0, NOT(ISBLANK(SamplingData[[#This Row],[Candidate 4]]))),(SamplingData[[#This Row],[Total]]+SamplingData[[#This Row],[Winning Candidate]]-SamplingData[[#This Row],[Candidate 4]])/(SamplingData[[#Totals],[Winning Candidate]]-SamplingData[[#Totals],[Candidate 4]]), 0)</f>
        <v>0</v>
      </c>
      <c r="T1076" s="100">
        <f>IF(AND(SamplingData[[#This Row],[Total]]&lt;&gt; 0, NOT(ISBLANK(SamplingData[[#This Row],[Candidate 5]]))),(SamplingData[[#This Row],[Total]]+SamplingData[[#This Row],[Winning Candidate]]-SamplingData[[#This Row],[Candidate 5]])/(SamplingData[[#Totals],[Winning Candidate]]-SamplingData[[#Totals],[Candidate 5]]), 0)</f>
        <v>0</v>
      </c>
      <c r="U1076" s="100">
        <f>IF(AND(SamplingData[[#This Row],[Total]]&lt;&gt; 0, NOT(ISBLANK(SamplingData[[#This Row],[Candidate 6]]))),(SamplingData[[#This Row],[Total]]+SamplingData[[#This Row],[Losing Candidate]]-SamplingData[[#This Row],[Candidate 6]])/(SamplingData[[#Totals],[Winning Candidate]]-SamplingData[[#Totals],[Candidate 6]]), 0)</f>
        <v>0</v>
      </c>
      <c r="V1076" s="100">
        <f>IF(AND(SamplingData[[#This Row],[Total]]&lt;&gt; 0, NOT(ISBLANK(SamplingData[[#This Row],[Candidate 7]]))),(SamplingData[[#This Row],[Total]]+SamplingData[[#This Row],[Winning Candidate]]-SamplingData[[#This Row],[Candidate 7]])/(SamplingData[[#Totals],[Winning Candidate]]-SamplingData[[#Totals],[Candidate 7]]), 0)</f>
        <v>0</v>
      </c>
      <c r="W1076" s="100">
        <f>IF(AND(SamplingData[[#This Row],[Total]]&lt;&gt; 0, NOT(ISBLANK(SamplingData[[#This Row],[Candidate 8]]))),(SamplingData[[#This Row],[Total]]+SamplingData[[#This Row],[Winning Candidate]]-SamplingData[[#This Row],[Candidate 8]])/(SamplingData[[#Totals],[Winning Candidate]]-SamplingData[[#Totals],[Candidate 8]]), 0)</f>
        <v>0</v>
      </c>
      <c r="X10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00">
        <f>MAX(SamplingData[[#This Row],[Error Bound (up) - Max. possible relative overstatement - Losing Candidate]:[Error Bound (up) - Max. possible relative overstatement - Candidate 12]])</f>
        <v>3.8634293432170115E-3</v>
      </c>
      <c r="AC1076" s="100">
        <f>IF(SamplingData[[#This Row],[Max Error Bound (up)]] = 0,0,SamplingData[[#This Row],[Max Error Bound (up)]]/SamplingData[[#Totals],[Max Error Bound (up)]])</f>
        <v>1.6556291390728481E-3</v>
      </c>
      <c r="AD1076" s="104">
        <f>SUM($AC$5:AC1076)</f>
        <v>0.90638292144510935</v>
      </c>
      <c r="AE1076" s="100" t="str" cm="1">
        <f t="array" ref="AE1076">IF(SamplingData[[#This Row],[up/U Selection Probability]] = 0, "Zero", TEXT(SamplingData[[#This Row],[Lower Range]], REPT("0",LEN('General Info'!$B$42))) &amp; " - " &amp; TEXT(SamplingData[[#This Row],[Upper Range]], REPT("0",LEN('General Info'!$B$42))))</f>
        <v>90473 - 90637</v>
      </c>
      <c r="AF1076" s="100">
        <f>SamplingData[[#This Row],[Upper Range]]-SamplingData[[#This Row],[Span]]</f>
        <v>90472.729230603654</v>
      </c>
      <c r="AG1076" s="100">
        <f>IF(ISNUMBER('General Info'!$B$42), ((SamplingData[[#This Row],[up/U Selection Probability]]) * 'General Info'!$B$44) - 1, 0)</f>
        <v>164.56291390728481</v>
      </c>
      <c r="AH1076" s="100">
        <f>IF(ISNUMBER('General Info'!$B$42), (SamplingData[[#This Row],[Running (cumulative) sum]] * ('General Info'!$B$42 -'General Info'!$B$43 + 1)) + 'General Info'!$B$43 - 1, 0)</f>
        <v>90637.292144510939</v>
      </c>
      <c r="AI1076" s="100" t="str">
        <f>IF(ISERROR(MATCH(SamplingData[[#This Row],[Batch by Type (p)]],SelectedPrecincts[Batch Name], 0)), "", INDEX(SelectedPrecincts[Draw], MATCH(SamplingData[[#This Row],[Batch by Type (p)]],SelectedPrecincts[Batch Name], 0)))</f>
        <v/>
      </c>
      <c r="AJ1076" s="101">
        <f>IF(COUNTIF(SelectedPrecincts[Batch Name],SamplingData[[#This Row],[Batch by Type (p)]]) &lt;&gt; 0, COUNTIF(SelectedPrecincts[Batch Name],SamplingData[[#This Row],[Batch by Type (p)]]), 0)</f>
        <v>0</v>
      </c>
    </row>
    <row r="1077" spans="1:36" ht="15" customHeight="1" x14ac:dyDescent="0.35">
      <c r="A1077" s="98" t="s">
        <v>1287</v>
      </c>
      <c r="B1077" s="98">
        <v>108</v>
      </c>
      <c r="C1077" s="98">
        <v>12</v>
      </c>
      <c r="D1077" s="93"/>
      <c r="E1077" s="93"/>
      <c r="F1077" s="93"/>
      <c r="G1077" s="97"/>
      <c r="H1077" s="97"/>
      <c r="I1077" s="93"/>
      <c r="J1077" s="93"/>
      <c r="K1077" s="93"/>
      <c r="L1077" s="93"/>
      <c r="M1077" s="93"/>
      <c r="N1077" s="98">
        <v>0</v>
      </c>
      <c r="O1077" s="98">
        <v>4</v>
      </c>
      <c r="P1077" s="99">
        <f>SUM(SamplingData[[#This Row],[Winning Candidate]:[Under Votes]])</f>
        <v>124</v>
      </c>
      <c r="Q1077" s="100">
        <f>IF(AND(SamplingData[[#This Row],[Total]]&lt;&gt; 0, NOT(ISBLANK(SamplingData[[#This Row],[Losing Candidate]]))),(SamplingData[[#This Row],[Total]]+SamplingData[[#This Row],[Winning Candidate]]-SamplingData[[#This Row],[Losing Candidate]])/(SamplingData[[#Totals],[Winning Candidate]]-SamplingData[[#Totals],[Losing Candidate]]), 0)</f>
        <v>6.9101988252661993E-3</v>
      </c>
      <c r="R1077" s="100">
        <f>IF(AND(SamplingData[[#This Row],[Total]]&lt;&gt; 0, NOT(ISBLANK(SamplingData[[#This Row],[Candidate 3]]))),(SamplingData[[#This Row],[Total]]+SamplingData[[#This Row],[Winning Candidate]]-SamplingData[[#This Row],[Candidate 3]])/(SamplingData[[#Totals],[Winning Candidate]]-SamplingData[[#Totals],[Candidate 3]]), 0)</f>
        <v>0</v>
      </c>
      <c r="S1077" s="100">
        <f>IF(AND(SamplingData[[#This Row],[Total]]&lt;&gt; 0, NOT(ISBLANK(SamplingData[[#This Row],[Candidate 4]]))),(SamplingData[[#This Row],[Total]]+SamplingData[[#This Row],[Winning Candidate]]-SamplingData[[#This Row],[Candidate 4]])/(SamplingData[[#Totals],[Winning Candidate]]-SamplingData[[#Totals],[Candidate 4]]), 0)</f>
        <v>0</v>
      </c>
      <c r="T1077" s="100">
        <f>IF(AND(SamplingData[[#This Row],[Total]]&lt;&gt; 0, NOT(ISBLANK(SamplingData[[#This Row],[Candidate 5]]))),(SamplingData[[#This Row],[Total]]+SamplingData[[#This Row],[Winning Candidate]]-SamplingData[[#This Row],[Candidate 5]])/(SamplingData[[#Totals],[Winning Candidate]]-SamplingData[[#Totals],[Candidate 5]]), 0)</f>
        <v>0</v>
      </c>
      <c r="U1077" s="100">
        <f>IF(AND(SamplingData[[#This Row],[Total]]&lt;&gt; 0, NOT(ISBLANK(SamplingData[[#This Row],[Candidate 6]]))),(SamplingData[[#This Row],[Total]]+SamplingData[[#This Row],[Losing Candidate]]-SamplingData[[#This Row],[Candidate 6]])/(SamplingData[[#Totals],[Winning Candidate]]-SamplingData[[#Totals],[Candidate 6]]), 0)</f>
        <v>0</v>
      </c>
      <c r="V1077" s="100">
        <f>IF(AND(SamplingData[[#This Row],[Total]]&lt;&gt; 0, NOT(ISBLANK(SamplingData[[#This Row],[Candidate 7]]))),(SamplingData[[#This Row],[Total]]+SamplingData[[#This Row],[Winning Candidate]]-SamplingData[[#This Row],[Candidate 7]])/(SamplingData[[#Totals],[Winning Candidate]]-SamplingData[[#Totals],[Candidate 7]]), 0)</f>
        <v>0</v>
      </c>
      <c r="W1077" s="100">
        <f>IF(AND(SamplingData[[#This Row],[Total]]&lt;&gt; 0, NOT(ISBLANK(SamplingData[[#This Row],[Candidate 8]]))),(SamplingData[[#This Row],[Total]]+SamplingData[[#This Row],[Winning Candidate]]-SamplingData[[#This Row],[Candidate 8]])/(SamplingData[[#Totals],[Winning Candidate]]-SamplingData[[#Totals],[Candidate 8]]), 0)</f>
        <v>0</v>
      </c>
      <c r="X10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00">
        <f>MAX(SamplingData[[#This Row],[Error Bound (up) - Max. possible relative overstatement - Losing Candidate]:[Error Bound (up) - Max. possible relative overstatement - Candidate 12]])</f>
        <v>6.9101988252661993E-3</v>
      </c>
      <c r="AC1077" s="100">
        <f>IF(SamplingData[[#This Row],[Max Error Bound (up)]] = 0,0,SamplingData[[#This Row],[Max Error Bound (up)]]/SamplingData[[#Totals],[Max Error Bound (up)]])</f>
        <v>2.9612878910246065E-3</v>
      </c>
      <c r="AD1077" s="104">
        <f>SUM($AC$5:AC1077)</f>
        <v>0.90934420933613391</v>
      </c>
      <c r="AE1077" s="100" t="str" cm="1">
        <f t="array" ref="AE1077">IF(SamplingData[[#This Row],[up/U Selection Probability]] = 0, "Zero", TEXT(SamplingData[[#This Row],[Lower Range]], REPT("0",LEN('General Info'!$B$42))) &amp; " - " &amp; TEXT(SamplingData[[#This Row],[Upper Range]], REPT("0",LEN('General Info'!$B$42))))</f>
        <v>90638 - 90933</v>
      </c>
      <c r="AF1077" s="100">
        <f>SamplingData[[#This Row],[Upper Range]]-SamplingData[[#This Row],[Span]]</f>
        <v>90638.292144510939</v>
      </c>
      <c r="AG1077" s="100">
        <f>IF(ISNUMBER('General Info'!$B$42), ((SamplingData[[#This Row],[up/U Selection Probability]]) * 'General Info'!$B$44) - 1, 0)</f>
        <v>295.12878910246064</v>
      </c>
      <c r="AH1077" s="100">
        <f>IF(ISNUMBER('General Info'!$B$42), (SamplingData[[#This Row],[Running (cumulative) sum]] * ('General Info'!$B$42 -'General Info'!$B$43 + 1)) + 'General Info'!$B$43 - 1, 0)</f>
        <v>90933.420933613394</v>
      </c>
      <c r="AI1077" s="100" t="str">
        <f>IF(ISERROR(MATCH(SamplingData[[#This Row],[Batch by Type (p)]],SelectedPrecincts[Batch Name], 0)), "", INDEX(SelectedPrecincts[Draw], MATCH(SamplingData[[#This Row],[Batch by Type (p)]],SelectedPrecincts[Batch Name], 0)))</f>
        <v/>
      </c>
      <c r="AJ1077" s="101">
        <f>IF(COUNTIF(SelectedPrecincts[Batch Name],SamplingData[[#This Row],[Batch by Type (p)]]) &lt;&gt; 0, COUNTIF(SelectedPrecincts[Batch Name],SamplingData[[#This Row],[Batch by Type (p)]]), 0)</f>
        <v>0</v>
      </c>
    </row>
    <row r="1078" spans="1:36" ht="15" customHeight="1" x14ac:dyDescent="0.35">
      <c r="A1078" s="98" t="s">
        <v>1288</v>
      </c>
      <c r="B1078" s="98">
        <v>23</v>
      </c>
      <c r="C1078" s="98">
        <v>3</v>
      </c>
      <c r="D1078" s="93"/>
      <c r="E1078" s="93"/>
      <c r="F1078" s="93"/>
      <c r="G1078" s="97"/>
      <c r="H1078" s="97"/>
      <c r="I1078" s="93"/>
      <c r="J1078" s="93"/>
      <c r="K1078" s="93"/>
      <c r="L1078" s="93"/>
      <c r="M1078" s="93"/>
      <c r="N1078" s="98">
        <v>0</v>
      </c>
      <c r="O1078" s="98">
        <v>1</v>
      </c>
      <c r="P1078" s="99">
        <f>SUM(SamplingData[[#This Row],[Winning Candidate]:[Under Votes]])</f>
        <v>27</v>
      </c>
      <c r="Q1078" s="100">
        <f>IF(AND(SamplingData[[#This Row],[Total]]&lt;&gt; 0, NOT(ISBLANK(SamplingData[[#This Row],[Losing Candidate]]))),(SamplingData[[#This Row],[Total]]+SamplingData[[#This Row],[Winning Candidate]]-SamplingData[[#This Row],[Losing Candidate]])/(SamplingData[[#Totals],[Winning Candidate]]-SamplingData[[#Totals],[Losing Candidate]]), 0)</f>
        <v>1.4762697490341428E-3</v>
      </c>
      <c r="R1078" s="100">
        <f>IF(AND(SamplingData[[#This Row],[Total]]&lt;&gt; 0, NOT(ISBLANK(SamplingData[[#This Row],[Candidate 3]]))),(SamplingData[[#This Row],[Total]]+SamplingData[[#This Row],[Winning Candidate]]-SamplingData[[#This Row],[Candidate 3]])/(SamplingData[[#Totals],[Winning Candidate]]-SamplingData[[#Totals],[Candidate 3]]), 0)</f>
        <v>0</v>
      </c>
      <c r="S1078" s="100">
        <f>IF(AND(SamplingData[[#This Row],[Total]]&lt;&gt; 0, NOT(ISBLANK(SamplingData[[#This Row],[Candidate 4]]))),(SamplingData[[#This Row],[Total]]+SamplingData[[#This Row],[Winning Candidate]]-SamplingData[[#This Row],[Candidate 4]])/(SamplingData[[#Totals],[Winning Candidate]]-SamplingData[[#Totals],[Candidate 4]]), 0)</f>
        <v>0</v>
      </c>
      <c r="T1078" s="100">
        <f>IF(AND(SamplingData[[#This Row],[Total]]&lt;&gt; 0, NOT(ISBLANK(SamplingData[[#This Row],[Candidate 5]]))),(SamplingData[[#This Row],[Total]]+SamplingData[[#This Row],[Winning Candidate]]-SamplingData[[#This Row],[Candidate 5]])/(SamplingData[[#Totals],[Winning Candidate]]-SamplingData[[#Totals],[Candidate 5]]), 0)</f>
        <v>0</v>
      </c>
      <c r="U1078" s="100">
        <f>IF(AND(SamplingData[[#This Row],[Total]]&lt;&gt; 0, NOT(ISBLANK(SamplingData[[#This Row],[Candidate 6]]))),(SamplingData[[#This Row],[Total]]+SamplingData[[#This Row],[Losing Candidate]]-SamplingData[[#This Row],[Candidate 6]])/(SamplingData[[#Totals],[Winning Candidate]]-SamplingData[[#Totals],[Candidate 6]]), 0)</f>
        <v>0</v>
      </c>
      <c r="V1078" s="100">
        <f>IF(AND(SamplingData[[#This Row],[Total]]&lt;&gt; 0, NOT(ISBLANK(SamplingData[[#This Row],[Candidate 7]]))),(SamplingData[[#This Row],[Total]]+SamplingData[[#This Row],[Winning Candidate]]-SamplingData[[#This Row],[Candidate 7]])/(SamplingData[[#Totals],[Winning Candidate]]-SamplingData[[#Totals],[Candidate 7]]), 0)</f>
        <v>0</v>
      </c>
      <c r="W1078" s="100">
        <f>IF(AND(SamplingData[[#This Row],[Total]]&lt;&gt; 0, NOT(ISBLANK(SamplingData[[#This Row],[Candidate 8]]))),(SamplingData[[#This Row],[Total]]+SamplingData[[#This Row],[Winning Candidate]]-SamplingData[[#This Row],[Candidate 8]])/(SamplingData[[#Totals],[Winning Candidate]]-SamplingData[[#Totals],[Candidate 8]]), 0)</f>
        <v>0</v>
      </c>
      <c r="X10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00">
        <f>MAX(SamplingData[[#This Row],[Error Bound (up) - Max. possible relative overstatement - Losing Candidate]:[Error Bound (up) - Max. possible relative overstatement - Candidate 12]])</f>
        <v>1.4762697490341428E-3</v>
      </c>
      <c r="AC1078" s="100">
        <f>IF(SamplingData[[#This Row],[Max Error Bound (up)]] = 0,0,SamplingData[[#This Row],[Max Error Bound (up)]]/SamplingData[[#Totals],[Max Error Bound (up)]])</f>
        <v>6.3263877671889323E-4</v>
      </c>
      <c r="AD1078" s="104">
        <f>SUM($AC$5:AC1078)</f>
        <v>0.90997684811285284</v>
      </c>
      <c r="AE1078" s="100" t="str" cm="1">
        <f t="array" ref="AE1078">IF(SamplingData[[#This Row],[up/U Selection Probability]] = 0, "Zero", TEXT(SamplingData[[#This Row],[Lower Range]], REPT("0",LEN('General Info'!$B$42))) &amp; " - " &amp; TEXT(SamplingData[[#This Row],[Upper Range]], REPT("0",LEN('General Info'!$B$42))))</f>
        <v>90934 - 90997</v>
      </c>
      <c r="AF1078" s="100">
        <f>SamplingData[[#This Row],[Upper Range]]-SamplingData[[#This Row],[Span]]</f>
        <v>90934.420933613394</v>
      </c>
      <c r="AG1078" s="100">
        <f>IF(ISNUMBER('General Info'!$B$42), ((SamplingData[[#This Row],[up/U Selection Probability]]) * 'General Info'!$B$44) - 1, 0)</f>
        <v>62.263877671889325</v>
      </c>
      <c r="AH1078" s="100">
        <f>IF(ISNUMBER('General Info'!$B$42), (SamplingData[[#This Row],[Running (cumulative) sum]] * ('General Info'!$B$42 -'General Info'!$B$43 + 1)) + 'General Info'!$B$43 - 1, 0)</f>
        <v>90996.684811285289</v>
      </c>
      <c r="AI1078" s="100" t="str">
        <f>IF(ISERROR(MATCH(SamplingData[[#This Row],[Batch by Type (p)]],SelectedPrecincts[Batch Name], 0)), "", INDEX(SelectedPrecincts[Draw], MATCH(SamplingData[[#This Row],[Batch by Type (p)]],SelectedPrecincts[Batch Name], 0)))</f>
        <v/>
      </c>
      <c r="AJ1078" s="101">
        <f>IF(COUNTIF(SelectedPrecincts[Batch Name],SamplingData[[#This Row],[Batch by Type (p)]]) &lt;&gt; 0, COUNTIF(SelectedPrecincts[Batch Name],SamplingData[[#This Row],[Batch by Type (p)]]), 0)</f>
        <v>0</v>
      </c>
    </row>
    <row r="1079" spans="1:36" ht="15" customHeight="1" x14ac:dyDescent="0.35">
      <c r="A1079" s="98" t="s">
        <v>1289</v>
      </c>
      <c r="B1079" s="98">
        <v>43</v>
      </c>
      <c r="C1079" s="98">
        <v>3</v>
      </c>
      <c r="D1079" s="93"/>
      <c r="E1079" s="93"/>
      <c r="F1079" s="93"/>
      <c r="G1079" s="97"/>
      <c r="H1079" s="97"/>
      <c r="I1079" s="93"/>
      <c r="J1079" s="93"/>
      <c r="K1079" s="93"/>
      <c r="L1079" s="93"/>
      <c r="M1079" s="93"/>
      <c r="N1079" s="98">
        <v>0</v>
      </c>
      <c r="O1079" s="98">
        <v>0</v>
      </c>
      <c r="P1079" s="99">
        <f>SUM(SamplingData[[#This Row],[Winning Candidate]:[Under Votes]])</f>
        <v>46</v>
      </c>
      <c r="Q1079" s="100">
        <f>IF(AND(SamplingData[[#This Row],[Total]]&lt;&gt; 0, NOT(ISBLANK(SamplingData[[#This Row],[Losing Candidate]]))),(SamplingData[[#This Row],[Total]]+SamplingData[[#This Row],[Winning Candidate]]-SamplingData[[#This Row],[Losing Candidate]])/(SamplingData[[#Totals],[Winning Candidate]]-SamplingData[[#Totals],[Losing Candidate]]), 0)</f>
        <v>2.701259540785878E-3</v>
      </c>
      <c r="R1079" s="100">
        <f>IF(AND(SamplingData[[#This Row],[Total]]&lt;&gt; 0, NOT(ISBLANK(SamplingData[[#This Row],[Candidate 3]]))),(SamplingData[[#This Row],[Total]]+SamplingData[[#This Row],[Winning Candidate]]-SamplingData[[#This Row],[Candidate 3]])/(SamplingData[[#Totals],[Winning Candidate]]-SamplingData[[#Totals],[Candidate 3]]), 0)</f>
        <v>0</v>
      </c>
      <c r="S1079" s="100">
        <f>IF(AND(SamplingData[[#This Row],[Total]]&lt;&gt; 0, NOT(ISBLANK(SamplingData[[#This Row],[Candidate 4]]))),(SamplingData[[#This Row],[Total]]+SamplingData[[#This Row],[Winning Candidate]]-SamplingData[[#This Row],[Candidate 4]])/(SamplingData[[#Totals],[Winning Candidate]]-SamplingData[[#Totals],[Candidate 4]]), 0)</f>
        <v>0</v>
      </c>
      <c r="T1079" s="100">
        <f>IF(AND(SamplingData[[#This Row],[Total]]&lt;&gt; 0, NOT(ISBLANK(SamplingData[[#This Row],[Candidate 5]]))),(SamplingData[[#This Row],[Total]]+SamplingData[[#This Row],[Winning Candidate]]-SamplingData[[#This Row],[Candidate 5]])/(SamplingData[[#Totals],[Winning Candidate]]-SamplingData[[#Totals],[Candidate 5]]), 0)</f>
        <v>0</v>
      </c>
      <c r="U1079" s="100">
        <f>IF(AND(SamplingData[[#This Row],[Total]]&lt;&gt; 0, NOT(ISBLANK(SamplingData[[#This Row],[Candidate 6]]))),(SamplingData[[#This Row],[Total]]+SamplingData[[#This Row],[Losing Candidate]]-SamplingData[[#This Row],[Candidate 6]])/(SamplingData[[#Totals],[Winning Candidate]]-SamplingData[[#Totals],[Candidate 6]]), 0)</f>
        <v>0</v>
      </c>
      <c r="V1079" s="100">
        <f>IF(AND(SamplingData[[#This Row],[Total]]&lt;&gt; 0, NOT(ISBLANK(SamplingData[[#This Row],[Candidate 7]]))),(SamplingData[[#This Row],[Total]]+SamplingData[[#This Row],[Winning Candidate]]-SamplingData[[#This Row],[Candidate 7]])/(SamplingData[[#Totals],[Winning Candidate]]-SamplingData[[#Totals],[Candidate 7]]), 0)</f>
        <v>0</v>
      </c>
      <c r="W1079" s="100">
        <f>IF(AND(SamplingData[[#This Row],[Total]]&lt;&gt; 0, NOT(ISBLANK(SamplingData[[#This Row],[Candidate 8]]))),(SamplingData[[#This Row],[Total]]+SamplingData[[#This Row],[Winning Candidate]]-SamplingData[[#This Row],[Candidate 8]])/(SamplingData[[#Totals],[Winning Candidate]]-SamplingData[[#Totals],[Candidate 8]]), 0)</f>
        <v>0</v>
      </c>
      <c r="X10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00">
        <f>MAX(SamplingData[[#This Row],[Error Bound (up) - Max. possible relative overstatement - Losing Candidate]:[Error Bound (up) - Max. possible relative overstatement - Candidate 12]])</f>
        <v>2.701259540785878E-3</v>
      </c>
      <c r="AC1079" s="100">
        <f>IF(SamplingData[[#This Row],[Max Error Bound (up)]] = 0,0,SamplingData[[#This Row],[Max Error Bound (up)]]/SamplingData[[#Totals],[Max Error Bound (up)]])</f>
        <v>1.1575943574005281E-3</v>
      </c>
      <c r="AD1079" s="104">
        <f>SUM($AC$5:AC1079)</f>
        <v>0.91113444247025333</v>
      </c>
      <c r="AE1079" s="100" t="str" cm="1">
        <f t="array" ref="AE1079">IF(SamplingData[[#This Row],[up/U Selection Probability]] = 0, "Zero", TEXT(SamplingData[[#This Row],[Lower Range]], REPT("0",LEN('General Info'!$B$42))) &amp; " - " &amp; TEXT(SamplingData[[#This Row],[Upper Range]], REPT("0",LEN('General Info'!$B$42))))</f>
        <v>90998 - 91112</v>
      </c>
      <c r="AF1079" s="100">
        <f>SamplingData[[#This Row],[Upper Range]]-SamplingData[[#This Row],[Span]]</f>
        <v>90997.684811285275</v>
      </c>
      <c r="AG1079" s="100">
        <f>IF(ISNUMBER('General Info'!$B$42), ((SamplingData[[#This Row],[up/U Selection Probability]]) * 'General Info'!$B$44) - 1, 0)</f>
        <v>114.75943574005281</v>
      </c>
      <c r="AH1079" s="100">
        <f>IF(ISNUMBER('General Info'!$B$42), (SamplingData[[#This Row],[Running (cumulative) sum]] * ('General Info'!$B$42 -'General Info'!$B$43 + 1)) + 'General Info'!$B$43 - 1, 0)</f>
        <v>91112.444247025327</v>
      </c>
      <c r="AI1079" s="100" t="str">
        <f>IF(ISERROR(MATCH(SamplingData[[#This Row],[Batch by Type (p)]],SelectedPrecincts[Batch Name], 0)), "", INDEX(SelectedPrecincts[Draw], MATCH(SamplingData[[#This Row],[Batch by Type (p)]],SelectedPrecincts[Batch Name], 0)))</f>
        <v/>
      </c>
      <c r="AJ1079" s="101">
        <f>IF(COUNTIF(SelectedPrecincts[Batch Name],SamplingData[[#This Row],[Batch by Type (p)]]) &lt;&gt; 0, COUNTIF(SelectedPrecincts[Batch Name],SamplingData[[#This Row],[Batch by Type (p)]]), 0)</f>
        <v>0</v>
      </c>
    </row>
    <row r="1080" spans="1:36" ht="15" customHeight="1" x14ac:dyDescent="0.35">
      <c r="A1080" s="98" t="s">
        <v>1290</v>
      </c>
      <c r="B1080" s="98">
        <v>10</v>
      </c>
      <c r="C1080" s="98">
        <v>2</v>
      </c>
      <c r="D1080" s="93"/>
      <c r="E1080" s="93"/>
      <c r="F1080" s="93"/>
      <c r="G1080" s="97"/>
      <c r="H1080" s="97"/>
      <c r="I1080" s="93"/>
      <c r="J1080" s="93"/>
      <c r="K1080" s="93"/>
      <c r="L1080" s="93"/>
      <c r="M1080" s="93"/>
      <c r="N1080" s="98">
        <v>0</v>
      </c>
      <c r="O1080" s="98">
        <v>1</v>
      </c>
      <c r="P1080" s="99">
        <f>SUM(SamplingData[[#This Row],[Winning Candidate]:[Under Votes]])</f>
        <v>13</v>
      </c>
      <c r="Q1080" s="100">
        <f>IF(AND(SamplingData[[#This Row],[Total]]&lt;&gt; 0, NOT(ISBLANK(SamplingData[[#This Row],[Losing Candidate]]))),(SamplingData[[#This Row],[Total]]+SamplingData[[#This Row],[Winning Candidate]]-SamplingData[[#This Row],[Losing Candidate]])/(SamplingData[[#Totals],[Winning Candidate]]-SamplingData[[#Totals],[Losing Candidate]]), 0)</f>
        <v>6.5960988786631911E-4</v>
      </c>
      <c r="R1080" s="100">
        <f>IF(AND(SamplingData[[#This Row],[Total]]&lt;&gt; 0, NOT(ISBLANK(SamplingData[[#This Row],[Candidate 3]]))),(SamplingData[[#This Row],[Total]]+SamplingData[[#This Row],[Winning Candidate]]-SamplingData[[#This Row],[Candidate 3]])/(SamplingData[[#Totals],[Winning Candidate]]-SamplingData[[#Totals],[Candidate 3]]), 0)</f>
        <v>0</v>
      </c>
      <c r="S1080" s="100">
        <f>IF(AND(SamplingData[[#This Row],[Total]]&lt;&gt; 0, NOT(ISBLANK(SamplingData[[#This Row],[Candidate 4]]))),(SamplingData[[#This Row],[Total]]+SamplingData[[#This Row],[Winning Candidate]]-SamplingData[[#This Row],[Candidate 4]])/(SamplingData[[#Totals],[Winning Candidate]]-SamplingData[[#Totals],[Candidate 4]]), 0)</f>
        <v>0</v>
      </c>
      <c r="T1080" s="100">
        <f>IF(AND(SamplingData[[#This Row],[Total]]&lt;&gt; 0, NOT(ISBLANK(SamplingData[[#This Row],[Candidate 5]]))),(SamplingData[[#This Row],[Total]]+SamplingData[[#This Row],[Winning Candidate]]-SamplingData[[#This Row],[Candidate 5]])/(SamplingData[[#Totals],[Winning Candidate]]-SamplingData[[#Totals],[Candidate 5]]), 0)</f>
        <v>0</v>
      </c>
      <c r="U1080" s="100">
        <f>IF(AND(SamplingData[[#This Row],[Total]]&lt;&gt; 0, NOT(ISBLANK(SamplingData[[#This Row],[Candidate 6]]))),(SamplingData[[#This Row],[Total]]+SamplingData[[#This Row],[Losing Candidate]]-SamplingData[[#This Row],[Candidate 6]])/(SamplingData[[#Totals],[Winning Candidate]]-SamplingData[[#Totals],[Candidate 6]]), 0)</f>
        <v>0</v>
      </c>
      <c r="V1080" s="100">
        <f>IF(AND(SamplingData[[#This Row],[Total]]&lt;&gt; 0, NOT(ISBLANK(SamplingData[[#This Row],[Candidate 7]]))),(SamplingData[[#This Row],[Total]]+SamplingData[[#This Row],[Winning Candidate]]-SamplingData[[#This Row],[Candidate 7]])/(SamplingData[[#Totals],[Winning Candidate]]-SamplingData[[#Totals],[Candidate 7]]), 0)</f>
        <v>0</v>
      </c>
      <c r="W1080" s="100">
        <f>IF(AND(SamplingData[[#This Row],[Total]]&lt;&gt; 0, NOT(ISBLANK(SamplingData[[#This Row],[Candidate 8]]))),(SamplingData[[#This Row],[Total]]+SamplingData[[#This Row],[Winning Candidate]]-SamplingData[[#This Row],[Candidate 8]])/(SamplingData[[#Totals],[Winning Candidate]]-SamplingData[[#Totals],[Candidate 8]]), 0)</f>
        <v>0</v>
      </c>
      <c r="X10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00">
        <f>MAX(SamplingData[[#This Row],[Error Bound (up) - Max. possible relative overstatement - Losing Candidate]:[Error Bound (up) - Max. possible relative overstatement - Candidate 12]])</f>
        <v>6.5960988786631911E-4</v>
      </c>
      <c r="AC1080" s="100">
        <f>IF(SamplingData[[#This Row],[Max Error Bound (up)]] = 0,0,SamplingData[[#This Row],[Max Error Bound (up)]]/SamplingData[[#Totals],[Max Error Bound (up)]])</f>
        <v>2.8266838959780337E-4</v>
      </c>
      <c r="AD1080" s="104">
        <f>SUM($AC$5:AC1080)</f>
        <v>0.91141711085985111</v>
      </c>
      <c r="AE1080" s="100" t="str" cm="1">
        <f t="array" ref="AE1080">IF(SamplingData[[#This Row],[up/U Selection Probability]] = 0, "Zero", TEXT(SamplingData[[#This Row],[Lower Range]], REPT("0",LEN('General Info'!$B$42))) &amp; " - " &amp; TEXT(SamplingData[[#This Row],[Upper Range]], REPT("0",LEN('General Info'!$B$42))))</f>
        <v>91113 - 91141</v>
      </c>
      <c r="AF1080" s="100">
        <f>SamplingData[[#This Row],[Upper Range]]-SamplingData[[#This Row],[Span]]</f>
        <v>91113.444247025327</v>
      </c>
      <c r="AG1080" s="100">
        <f>IF(ISNUMBER('General Info'!$B$42), ((SamplingData[[#This Row],[up/U Selection Probability]]) * 'General Info'!$B$44) - 1, 0)</f>
        <v>27.266838959780337</v>
      </c>
      <c r="AH1080" s="100">
        <f>IF(ISNUMBER('General Info'!$B$42), (SamplingData[[#This Row],[Running (cumulative) sum]] * ('General Info'!$B$42 -'General Info'!$B$43 + 1)) + 'General Info'!$B$43 - 1, 0)</f>
        <v>91140.711085985109</v>
      </c>
      <c r="AI1080" s="100" t="str">
        <f>IF(ISERROR(MATCH(SamplingData[[#This Row],[Batch by Type (p)]],SelectedPrecincts[Batch Name], 0)), "", INDEX(SelectedPrecincts[Draw], MATCH(SamplingData[[#This Row],[Batch by Type (p)]],SelectedPrecincts[Batch Name], 0)))</f>
        <v/>
      </c>
      <c r="AJ1080" s="101">
        <f>IF(COUNTIF(SelectedPrecincts[Batch Name],SamplingData[[#This Row],[Batch by Type (p)]]) &lt;&gt; 0, COUNTIF(SelectedPrecincts[Batch Name],SamplingData[[#This Row],[Batch by Type (p)]]), 0)</f>
        <v>0</v>
      </c>
    </row>
    <row r="1081" spans="1:36" ht="15" customHeight="1" x14ac:dyDescent="0.35">
      <c r="A1081" s="98" t="s">
        <v>1291</v>
      </c>
      <c r="B1081" s="98">
        <v>0</v>
      </c>
      <c r="C1081" s="98">
        <v>0</v>
      </c>
      <c r="D1081" s="93"/>
      <c r="E1081" s="93"/>
      <c r="F1081" s="93"/>
      <c r="G1081" s="97"/>
      <c r="H1081" s="97"/>
      <c r="I1081" s="93"/>
      <c r="J1081" s="93"/>
      <c r="K1081" s="93"/>
      <c r="L1081" s="93"/>
      <c r="M1081" s="93"/>
      <c r="N1081" s="98">
        <v>0</v>
      </c>
      <c r="O1081" s="98">
        <v>0</v>
      </c>
      <c r="P1081" s="99">
        <f>SUM(SamplingData[[#This Row],[Winning Candidate]:[Under Votes]])</f>
        <v>0</v>
      </c>
      <c r="Q1081" s="100">
        <f>IF(AND(SamplingData[[#This Row],[Total]]&lt;&gt; 0, NOT(ISBLANK(SamplingData[[#This Row],[Losing Candidate]]))),(SamplingData[[#This Row],[Total]]+SamplingData[[#This Row],[Winning Candidate]]-SamplingData[[#This Row],[Losing Candidate]])/(SamplingData[[#Totals],[Winning Candidate]]-SamplingData[[#Totals],[Losing Candidate]]), 0)</f>
        <v>0</v>
      </c>
      <c r="R1081" s="100">
        <f>IF(AND(SamplingData[[#This Row],[Total]]&lt;&gt; 0, NOT(ISBLANK(SamplingData[[#This Row],[Candidate 3]]))),(SamplingData[[#This Row],[Total]]+SamplingData[[#This Row],[Winning Candidate]]-SamplingData[[#This Row],[Candidate 3]])/(SamplingData[[#Totals],[Winning Candidate]]-SamplingData[[#Totals],[Candidate 3]]), 0)</f>
        <v>0</v>
      </c>
      <c r="S1081" s="100">
        <f>IF(AND(SamplingData[[#This Row],[Total]]&lt;&gt; 0, NOT(ISBLANK(SamplingData[[#This Row],[Candidate 4]]))),(SamplingData[[#This Row],[Total]]+SamplingData[[#This Row],[Winning Candidate]]-SamplingData[[#This Row],[Candidate 4]])/(SamplingData[[#Totals],[Winning Candidate]]-SamplingData[[#Totals],[Candidate 4]]), 0)</f>
        <v>0</v>
      </c>
      <c r="T1081" s="100">
        <f>IF(AND(SamplingData[[#This Row],[Total]]&lt;&gt; 0, NOT(ISBLANK(SamplingData[[#This Row],[Candidate 5]]))),(SamplingData[[#This Row],[Total]]+SamplingData[[#This Row],[Winning Candidate]]-SamplingData[[#This Row],[Candidate 5]])/(SamplingData[[#Totals],[Winning Candidate]]-SamplingData[[#Totals],[Candidate 5]]), 0)</f>
        <v>0</v>
      </c>
      <c r="U1081" s="100">
        <f>IF(AND(SamplingData[[#This Row],[Total]]&lt;&gt; 0, NOT(ISBLANK(SamplingData[[#This Row],[Candidate 6]]))),(SamplingData[[#This Row],[Total]]+SamplingData[[#This Row],[Losing Candidate]]-SamplingData[[#This Row],[Candidate 6]])/(SamplingData[[#Totals],[Winning Candidate]]-SamplingData[[#Totals],[Candidate 6]]), 0)</f>
        <v>0</v>
      </c>
      <c r="V1081" s="100">
        <f>IF(AND(SamplingData[[#This Row],[Total]]&lt;&gt; 0, NOT(ISBLANK(SamplingData[[#This Row],[Candidate 7]]))),(SamplingData[[#This Row],[Total]]+SamplingData[[#This Row],[Winning Candidate]]-SamplingData[[#This Row],[Candidate 7]])/(SamplingData[[#Totals],[Winning Candidate]]-SamplingData[[#Totals],[Candidate 7]]), 0)</f>
        <v>0</v>
      </c>
      <c r="W1081" s="100">
        <f>IF(AND(SamplingData[[#This Row],[Total]]&lt;&gt; 0, NOT(ISBLANK(SamplingData[[#This Row],[Candidate 8]]))),(SamplingData[[#This Row],[Total]]+SamplingData[[#This Row],[Winning Candidate]]-SamplingData[[#This Row],[Candidate 8]])/(SamplingData[[#Totals],[Winning Candidate]]-SamplingData[[#Totals],[Candidate 8]]), 0)</f>
        <v>0</v>
      </c>
      <c r="X10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00">
        <f>MAX(SamplingData[[#This Row],[Error Bound (up) - Max. possible relative overstatement - Losing Candidate]:[Error Bound (up) - Max. possible relative overstatement - Candidate 12]])</f>
        <v>0</v>
      </c>
      <c r="AC1081" s="100">
        <f>IF(SamplingData[[#This Row],[Max Error Bound (up)]] = 0,0,SamplingData[[#This Row],[Max Error Bound (up)]]/SamplingData[[#Totals],[Max Error Bound (up)]])</f>
        <v>0</v>
      </c>
      <c r="AD1081" s="104">
        <f>SUM($AC$5:AC1081)</f>
        <v>0.91141711085985111</v>
      </c>
      <c r="AE1081" s="100" t="str" cm="1">
        <f t="array" ref="AE1081">IF(SamplingData[[#This Row],[up/U Selection Probability]] = 0, "Zero", TEXT(SamplingData[[#This Row],[Lower Range]], REPT("0",LEN('General Info'!$B$42))) &amp; " - " &amp; TEXT(SamplingData[[#This Row],[Upper Range]], REPT("0",LEN('General Info'!$B$42))))</f>
        <v>Zero</v>
      </c>
      <c r="AF1081" s="100">
        <f>SamplingData[[#This Row],[Upper Range]]-SamplingData[[#This Row],[Span]]</f>
        <v>91141.711085985109</v>
      </c>
      <c r="AG1081" s="100">
        <f>IF(ISNUMBER('General Info'!$B$42), ((SamplingData[[#This Row],[up/U Selection Probability]]) * 'General Info'!$B$44) - 1, 0)</f>
        <v>-1</v>
      </c>
      <c r="AH1081" s="100">
        <f>IF(ISNUMBER('General Info'!$B$42), (SamplingData[[#This Row],[Running (cumulative) sum]] * ('General Info'!$B$42 -'General Info'!$B$43 + 1)) + 'General Info'!$B$43 - 1, 0)</f>
        <v>91140.711085985109</v>
      </c>
      <c r="AI1081" s="100" t="str">
        <f>IF(ISERROR(MATCH(SamplingData[[#This Row],[Batch by Type (p)]],SelectedPrecincts[Batch Name], 0)), "", INDEX(SelectedPrecincts[Draw], MATCH(SamplingData[[#This Row],[Batch by Type (p)]],SelectedPrecincts[Batch Name], 0)))</f>
        <v/>
      </c>
      <c r="AJ1081" s="101">
        <f>IF(COUNTIF(SelectedPrecincts[Batch Name],SamplingData[[#This Row],[Batch by Type (p)]]) &lt;&gt; 0, COUNTIF(SelectedPrecincts[Batch Name],SamplingData[[#This Row],[Batch by Type (p)]]), 0)</f>
        <v>0</v>
      </c>
    </row>
    <row r="1082" spans="1:36" ht="15" customHeight="1" x14ac:dyDescent="0.35">
      <c r="A1082" s="98" t="s">
        <v>1292</v>
      </c>
      <c r="B1082" s="98">
        <v>84</v>
      </c>
      <c r="C1082" s="98">
        <v>19</v>
      </c>
      <c r="D1082" s="93"/>
      <c r="E1082" s="93"/>
      <c r="F1082" s="93"/>
      <c r="G1082" s="97"/>
      <c r="H1082" s="97"/>
      <c r="I1082" s="93"/>
      <c r="J1082" s="93"/>
      <c r="K1082" s="93"/>
      <c r="L1082" s="93"/>
      <c r="M1082" s="93"/>
      <c r="N1082" s="98">
        <v>0</v>
      </c>
      <c r="O1082" s="98">
        <v>1</v>
      </c>
      <c r="P1082" s="99">
        <f>SUM(SamplingData[[#This Row],[Winning Candidate]:[Under Votes]])</f>
        <v>104</v>
      </c>
      <c r="Q1082" s="100">
        <f>IF(AND(SamplingData[[#This Row],[Total]]&lt;&gt; 0, NOT(ISBLANK(SamplingData[[#This Row],[Losing Candidate]]))),(SamplingData[[#This Row],[Total]]+SamplingData[[#This Row],[Winning Candidate]]-SamplingData[[#This Row],[Losing Candidate]])/(SamplingData[[#Totals],[Winning Candidate]]-SamplingData[[#Totals],[Losing Candidate]]), 0)</f>
        <v>5.3082890975908537E-3</v>
      </c>
      <c r="R1082" s="100">
        <f>IF(AND(SamplingData[[#This Row],[Total]]&lt;&gt; 0, NOT(ISBLANK(SamplingData[[#This Row],[Candidate 3]]))),(SamplingData[[#This Row],[Total]]+SamplingData[[#This Row],[Winning Candidate]]-SamplingData[[#This Row],[Candidate 3]])/(SamplingData[[#Totals],[Winning Candidate]]-SamplingData[[#Totals],[Candidate 3]]), 0)</f>
        <v>0</v>
      </c>
      <c r="S1082" s="100">
        <f>IF(AND(SamplingData[[#This Row],[Total]]&lt;&gt; 0, NOT(ISBLANK(SamplingData[[#This Row],[Candidate 4]]))),(SamplingData[[#This Row],[Total]]+SamplingData[[#This Row],[Winning Candidate]]-SamplingData[[#This Row],[Candidate 4]])/(SamplingData[[#Totals],[Winning Candidate]]-SamplingData[[#Totals],[Candidate 4]]), 0)</f>
        <v>0</v>
      </c>
      <c r="T1082" s="100">
        <f>IF(AND(SamplingData[[#This Row],[Total]]&lt;&gt; 0, NOT(ISBLANK(SamplingData[[#This Row],[Candidate 5]]))),(SamplingData[[#This Row],[Total]]+SamplingData[[#This Row],[Winning Candidate]]-SamplingData[[#This Row],[Candidate 5]])/(SamplingData[[#Totals],[Winning Candidate]]-SamplingData[[#Totals],[Candidate 5]]), 0)</f>
        <v>0</v>
      </c>
      <c r="U1082" s="100">
        <f>IF(AND(SamplingData[[#This Row],[Total]]&lt;&gt; 0, NOT(ISBLANK(SamplingData[[#This Row],[Candidate 6]]))),(SamplingData[[#This Row],[Total]]+SamplingData[[#This Row],[Losing Candidate]]-SamplingData[[#This Row],[Candidate 6]])/(SamplingData[[#Totals],[Winning Candidate]]-SamplingData[[#Totals],[Candidate 6]]), 0)</f>
        <v>0</v>
      </c>
      <c r="V1082" s="100">
        <f>IF(AND(SamplingData[[#This Row],[Total]]&lt;&gt; 0, NOT(ISBLANK(SamplingData[[#This Row],[Candidate 7]]))),(SamplingData[[#This Row],[Total]]+SamplingData[[#This Row],[Winning Candidate]]-SamplingData[[#This Row],[Candidate 7]])/(SamplingData[[#Totals],[Winning Candidate]]-SamplingData[[#Totals],[Candidate 7]]), 0)</f>
        <v>0</v>
      </c>
      <c r="W1082" s="100">
        <f>IF(AND(SamplingData[[#This Row],[Total]]&lt;&gt; 0, NOT(ISBLANK(SamplingData[[#This Row],[Candidate 8]]))),(SamplingData[[#This Row],[Total]]+SamplingData[[#This Row],[Winning Candidate]]-SamplingData[[#This Row],[Candidate 8]])/(SamplingData[[#Totals],[Winning Candidate]]-SamplingData[[#Totals],[Candidate 8]]), 0)</f>
        <v>0</v>
      </c>
      <c r="X10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00">
        <f>MAX(SamplingData[[#This Row],[Error Bound (up) - Max. possible relative overstatement - Losing Candidate]:[Error Bound (up) - Max. possible relative overstatement - Candidate 12]])</f>
        <v>5.3082890975908537E-3</v>
      </c>
      <c r="AC1082" s="100">
        <f>IF(SamplingData[[#This Row],[Max Error Bound (up)]] = 0,0,SamplingData[[#This Row],[Max Error Bound (up)]]/SamplingData[[#Totals],[Max Error Bound (up)]])</f>
        <v>2.2748075162870845E-3</v>
      </c>
      <c r="AD1082" s="104">
        <f>SUM($AC$5:AC1082)</f>
        <v>0.91369191837613817</v>
      </c>
      <c r="AE1082" s="100" t="str" cm="1">
        <f t="array" ref="AE1082">IF(SamplingData[[#This Row],[up/U Selection Probability]] = 0, "Zero", TEXT(SamplingData[[#This Row],[Lower Range]], REPT("0",LEN('General Info'!$B$42))) &amp; " - " &amp; TEXT(SamplingData[[#This Row],[Upper Range]], REPT("0",LEN('General Info'!$B$42))))</f>
        <v>91142 - 91368</v>
      </c>
      <c r="AF1082" s="100">
        <f>SamplingData[[#This Row],[Upper Range]]-SamplingData[[#This Row],[Span]]</f>
        <v>91141.711085985109</v>
      </c>
      <c r="AG1082" s="100">
        <f>IF(ISNUMBER('General Info'!$B$42), ((SamplingData[[#This Row],[up/U Selection Probability]]) * 'General Info'!$B$44) - 1, 0)</f>
        <v>226.48075162870845</v>
      </c>
      <c r="AH1082" s="100">
        <f>IF(ISNUMBER('General Info'!$B$42), (SamplingData[[#This Row],[Running (cumulative) sum]] * ('General Info'!$B$42 -'General Info'!$B$43 + 1)) + 'General Info'!$B$43 - 1, 0)</f>
        <v>91368.19183761382</v>
      </c>
      <c r="AI1082" s="100" t="str">
        <f>IF(ISERROR(MATCH(SamplingData[[#This Row],[Batch by Type (p)]],SelectedPrecincts[Batch Name], 0)), "", INDEX(SelectedPrecincts[Draw], MATCH(SamplingData[[#This Row],[Batch by Type (p)]],SelectedPrecincts[Batch Name], 0)))</f>
        <v/>
      </c>
      <c r="AJ1082" s="101">
        <f>IF(COUNTIF(SelectedPrecincts[Batch Name],SamplingData[[#This Row],[Batch by Type (p)]]) &lt;&gt; 0, COUNTIF(SelectedPrecincts[Batch Name],SamplingData[[#This Row],[Batch by Type (p)]]), 0)</f>
        <v>0</v>
      </c>
    </row>
    <row r="1083" spans="1:36" ht="15" customHeight="1" x14ac:dyDescent="0.35">
      <c r="A1083" s="98" t="s">
        <v>1293</v>
      </c>
      <c r="B1083" s="98">
        <v>52</v>
      </c>
      <c r="C1083" s="98">
        <v>17</v>
      </c>
      <c r="D1083" s="93"/>
      <c r="E1083" s="93"/>
      <c r="F1083" s="93"/>
      <c r="G1083" s="97"/>
      <c r="H1083" s="97"/>
      <c r="I1083" s="93"/>
      <c r="J1083" s="93"/>
      <c r="K1083" s="93"/>
      <c r="L1083" s="93"/>
      <c r="M1083" s="93"/>
      <c r="N1083" s="98">
        <v>0</v>
      </c>
      <c r="O1083" s="98">
        <v>1</v>
      </c>
      <c r="P1083" s="99">
        <f>SUM(SamplingData[[#This Row],[Winning Candidate]:[Under Votes]])</f>
        <v>70</v>
      </c>
      <c r="Q1083" s="100">
        <f>IF(AND(SamplingData[[#This Row],[Total]]&lt;&gt; 0, NOT(ISBLANK(SamplingData[[#This Row],[Losing Candidate]]))),(SamplingData[[#This Row],[Total]]+SamplingData[[#This Row],[Winning Candidate]]-SamplingData[[#This Row],[Losing Candidate]])/(SamplingData[[#Totals],[Winning Candidate]]-SamplingData[[#Totals],[Losing Candidate]]), 0)</f>
        <v>3.2980494393315954E-3</v>
      </c>
      <c r="R1083" s="100">
        <f>IF(AND(SamplingData[[#This Row],[Total]]&lt;&gt; 0, NOT(ISBLANK(SamplingData[[#This Row],[Candidate 3]]))),(SamplingData[[#This Row],[Total]]+SamplingData[[#This Row],[Winning Candidate]]-SamplingData[[#This Row],[Candidate 3]])/(SamplingData[[#Totals],[Winning Candidate]]-SamplingData[[#Totals],[Candidate 3]]), 0)</f>
        <v>0</v>
      </c>
      <c r="S1083" s="100">
        <f>IF(AND(SamplingData[[#This Row],[Total]]&lt;&gt; 0, NOT(ISBLANK(SamplingData[[#This Row],[Candidate 4]]))),(SamplingData[[#This Row],[Total]]+SamplingData[[#This Row],[Winning Candidate]]-SamplingData[[#This Row],[Candidate 4]])/(SamplingData[[#Totals],[Winning Candidate]]-SamplingData[[#Totals],[Candidate 4]]), 0)</f>
        <v>0</v>
      </c>
      <c r="T1083" s="100">
        <f>IF(AND(SamplingData[[#This Row],[Total]]&lt;&gt; 0, NOT(ISBLANK(SamplingData[[#This Row],[Candidate 5]]))),(SamplingData[[#This Row],[Total]]+SamplingData[[#This Row],[Winning Candidate]]-SamplingData[[#This Row],[Candidate 5]])/(SamplingData[[#Totals],[Winning Candidate]]-SamplingData[[#Totals],[Candidate 5]]), 0)</f>
        <v>0</v>
      </c>
      <c r="U1083" s="100">
        <f>IF(AND(SamplingData[[#This Row],[Total]]&lt;&gt; 0, NOT(ISBLANK(SamplingData[[#This Row],[Candidate 6]]))),(SamplingData[[#This Row],[Total]]+SamplingData[[#This Row],[Losing Candidate]]-SamplingData[[#This Row],[Candidate 6]])/(SamplingData[[#Totals],[Winning Candidate]]-SamplingData[[#Totals],[Candidate 6]]), 0)</f>
        <v>0</v>
      </c>
      <c r="V1083" s="100">
        <f>IF(AND(SamplingData[[#This Row],[Total]]&lt;&gt; 0, NOT(ISBLANK(SamplingData[[#This Row],[Candidate 7]]))),(SamplingData[[#This Row],[Total]]+SamplingData[[#This Row],[Winning Candidate]]-SamplingData[[#This Row],[Candidate 7]])/(SamplingData[[#Totals],[Winning Candidate]]-SamplingData[[#Totals],[Candidate 7]]), 0)</f>
        <v>0</v>
      </c>
      <c r="W1083" s="100">
        <f>IF(AND(SamplingData[[#This Row],[Total]]&lt;&gt; 0, NOT(ISBLANK(SamplingData[[#This Row],[Candidate 8]]))),(SamplingData[[#This Row],[Total]]+SamplingData[[#This Row],[Winning Candidate]]-SamplingData[[#This Row],[Candidate 8]])/(SamplingData[[#Totals],[Winning Candidate]]-SamplingData[[#Totals],[Candidate 8]]), 0)</f>
        <v>0</v>
      </c>
      <c r="X10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00">
        <f>MAX(SamplingData[[#This Row],[Error Bound (up) - Max. possible relative overstatement - Losing Candidate]:[Error Bound (up) - Max. possible relative overstatement - Candidate 12]])</f>
        <v>3.2980494393315954E-3</v>
      </c>
      <c r="AC1083" s="100">
        <f>IF(SamplingData[[#This Row],[Max Error Bound (up)]] = 0,0,SamplingData[[#This Row],[Max Error Bound (up)]]/SamplingData[[#Totals],[Max Error Bound (up)]])</f>
        <v>1.4133419479890167E-3</v>
      </c>
      <c r="AD1083" s="104">
        <f>SUM($AC$5:AC1083)</f>
        <v>0.9151052603241272</v>
      </c>
      <c r="AE1083" s="100" t="str" cm="1">
        <f t="array" ref="AE1083">IF(SamplingData[[#This Row],[up/U Selection Probability]] = 0, "Zero", TEXT(SamplingData[[#This Row],[Lower Range]], REPT("0",LEN('General Info'!$B$42))) &amp; " - " &amp; TEXT(SamplingData[[#This Row],[Upper Range]], REPT("0",LEN('General Info'!$B$42))))</f>
        <v>91369 - 91510</v>
      </c>
      <c r="AF1083" s="100">
        <f>SamplingData[[#This Row],[Upper Range]]-SamplingData[[#This Row],[Span]]</f>
        <v>91369.19183761382</v>
      </c>
      <c r="AG1083" s="100">
        <f>IF(ISNUMBER('General Info'!$B$42), ((SamplingData[[#This Row],[up/U Selection Probability]]) * 'General Info'!$B$44) - 1, 0)</f>
        <v>140.33419479890168</v>
      </c>
      <c r="AH1083" s="100">
        <f>IF(ISNUMBER('General Info'!$B$42), (SamplingData[[#This Row],[Running (cumulative) sum]] * ('General Info'!$B$42 -'General Info'!$B$43 + 1)) + 'General Info'!$B$43 - 1, 0)</f>
        <v>91509.526032412716</v>
      </c>
      <c r="AI1083" s="100" t="str">
        <f>IF(ISERROR(MATCH(SamplingData[[#This Row],[Batch by Type (p)]],SelectedPrecincts[Batch Name], 0)), "", INDEX(SelectedPrecincts[Draw], MATCH(SamplingData[[#This Row],[Batch by Type (p)]],SelectedPrecincts[Batch Name], 0)))</f>
        <v/>
      </c>
      <c r="AJ1083" s="101">
        <f>IF(COUNTIF(SelectedPrecincts[Batch Name],SamplingData[[#This Row],[Batch by Type (p)]]) &lt;&gt; 0, COUNTIF(SelectedPrecincts[Batch Name],SamplingData[[#This Row],[Batch by Type (p)]]), 0)</f>
        <v>0</v>
      </c>
    </row>
    <row r="1084" spans="1:36" ht="15" customHeight="1" x14ac:dyDescent="0.35">
      <c r="A1084" s="98" t="s">
        <v>1294</v>
      </c>
      <c r="B1084" s="98">
        <v>23</v>
      </c>
      <c r="C1084" s="98">
        <v>3</v>
      </c>
      <c r="D1084" s="93"/>
      <c r="E1084" s="93"/>
      <c r="F1084" s="93"/>
      <c r="G1084" s="97"/>
      <c r="H1084" s="97"/>
      <c r="I1084" s="93"/>
      <c r="J1084" s="93"/>
      <c r="K1084" s="93"/>
      <c r="L1084" s="93"/>
      <c r="M1084" s="93"/>
      <c r="N1084" s="98">
        <v>0</v>
      </c>
      <c r="O1084" s="98">
        <v>0</v>
      </c>
      <c r="P1084" s="99">
        <f>SUM(SamplingData[[#This Row],[Winning Candidate]:[Under Votes]])</f>
        <v>26</v>
      </c>
      <c r="Q1084" s="100">
        <f>IF(AND(SamplingData[[#This Row],[Total]]&lt;&gt; 0, NOT(ISBLANK(SamplingData[[#This Row],[Losing Candidate]]))),(SamplingData[[#This Row],[Total]]+SamplingData[[#This Row],[Winning Candidate]]-SamplingData[[#This Row],[Losing Candidate]])/(SamplingData[[#Totals],[Winning Candidate]]-SamplingData[[#Totals],[Losing Candidate]]), 0)</f>
        <v>1.4448597543738418E-3</v>
      </c>
      <c r="R1084" s="100">
        <f>IF(AND(SamplingData[[#This Row],[Total]]&lt;&gt; 0, NOT(ISBLANK(SamplingData[[#This Row],[Candidate 3]]))),(SamplingData[[#This Row],[Total]]+SamplingData[[#This Row],[Winning Candidate]]-SamplingData[[#This Row],[Candidate 3]])/(SamplingData[[#Totals],[Winning Candidate]]-SamplingData[[#Totals],[Candidate 3]]), 0)</f>
        <v>0</v>
      </c>
      <c r="S1084" s="100">
        <f>IF(AND(SamplingData[[#This Row],[Total]]&lt;&gt; 0, NOT(ISBLANK(SamplingData[[#This Row],[Candidate 4]]))),(SamplingData[[#This Row],[Total]]+SamplingData[[#This Row],[Winning Candidate]]-SamplingData[[#This Row],[Candidate 4]])/(SamplingData[[#Totals],[Winning Candidate]]-SamplingData[[#Totals],[Candidate 4]]), 0)</f>
        <v>0</v>
      </c>
      <c r="T1084" s="100">
        <f>IF(AND(SamplingData[[#This Row],[Total]]&lt;&gt; 0, NOT(ISBLANK(SamplingData[[#This Row],[Candidate 5]]))),(SamplingData[[#This Row],[Total]]+SamplingData[[#This Row],[Winning Candidate]]-SamplingData[[#This Row],[Candidate 5]])/(SamplingData[[#Totals],[Winning Candidate]]-SamplingData[[#Totals],[Candidate 5]]), 0)</f>
        <v>0</v>
      </c>
      <c r="U1084" s="100">
        <f>IF(AND(SamplingData[[#This Row],[Total]]&lt;&gt; 0, NOT(ISBLANK(SamplingData[[#This Row],[Candidate 6]]))),(SamplingData[[#This Row],[Total]]+SamplingData[[#This Row],[Losing Candidate]]-SamplingData[[#This Row],[Candidate 6]])/(SamplingData[[#Totals],[Winning Candidate]]-SamplingData[[#Totals],[Candidate 6]]), 0)</f>
        <v>0</v>
      </c>
      <c r="V1084" s="100">
        <f>IF(AND(SamplingData[[#This Row],[Total]]&lt;&gt; 0, NOT(ISBLANK(SamplingData[[#This Row],[Candidate 7]]))),(SamplingData[[#This Row],[Total]]+SamplingData[[#This Row],[Winning Candidate]]-SamplingData[[#This Row],[Candidate 7]])/(SamplingData[[#Totals],[Winning Candidate]]-SamplingData[[#Totals],[Candidate 7]]), 0)</f>
        <v>0</v>
      </c>
      <c r="W1084" s="100">
        <f>IF(AND(SamplingData[[#This Row],[Total]]&lt;&gt; 0, NOT(ISBLANK(SamplingData[[#This Row],[Candidate 8]]))),(SamplingData[[#This Row],[Total]]+SamplingData[[#This Row],[Winning Candidate]]-SamplingData[[#This Row],[Candidate 8]])/(SamplingData[[#Totals],[Winning Candidate]]-SamplingData[[#Totals],[Candidate 8]]), 0)</f>
        <v>0</v>
      </c>
      <c r="X10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00">
        <f>MAX(SamplingData[[#This Row],[Error Bound (up) - Max. possible relative overstatement - Losing Candidate]:[Error Bound (up) - Max. possible relative overstatement - Candidate 12]])</f>
        <v>1.4448597543738418E-3</v>
      </c>
      <c r="AC1084" s="100">
        <f>IF(SamplingData[[#This Row],[Max Error Bound (up)]] = 0,0,SamplingData[[#This Row],[Max Error Bound (up)]]/SamplingData[[#Totals],[Max Error Bound (up)]])</f>
        <v>6.1917837721423593E-4</v>
      </c>
      <c r="AD1084" s="104">
        <f>SUM($AC$5:AC1084)</f>
        <v>0.91572443870134146</v>
      </c>
      <c r="AE1084" s="100" t="str" cm="1">
        <f t="array" ref="AE1084">IF(SamplingData[[#This Row],[up/U Selection Probability]] = 0, "Zero", TEXT(SamplingData[[#This Row],[Lower Range]], REPT("0",LEN('General Info'!$B$42))) &amp; " - " &amp; TEXT(SamplingData[[#This Row],[Upper Range]], REPT("0",LEN('General Info'!$B$42))))</f>
        <v>91511 - 91571</v>
      </c>
      <c r="AF1084" s="100">
        <f>SamplingData[[#This Row],[Upper Range]]-SamplingData[[#This Row],[Span]]</f>
        <v>91510.526032412716</v>
      </c>
      <c r="AG1084" s="100">
        <f>IF(ISNUMBER('General Info'!$B$42), ((SamplingData[[#This Row],[up/U Selection Probability]]) * 'General Info'!$B$44) - 1, 0)</f>
        <v>60.917837721423595</v>
      </c>
      <c r="AH1084" s="100">
        <f>IF(ISNUMBER('General Info'!$B$42), (SamplingData[[#This Row],[Running (cumulative) sum]] * ('General Info'!$B$42 -'General Info'!$B$43 + 1)) + 'General Info'!$B$43 - 1, 0)</f>
        <v>91571.443870134142</v>
      </c>
      <c r="AI1084" s="100" t="str">
        <f>IF(ISERROR(MATCH(SamplingData[[#This Row],[Batch by Type (p)]],SelectedPrecincts[Batch Name], 0)), "", INDEX(SelectedPrecincts[Draw], MATCH(SamplingData[[#This Row],[Batch by Type (p)]],SelectedPrecincts[Batch Name], 0)))</f>
        <v/>
      </c>
      <c r="AJ1084" s="101">
        <f>IF(COUNTIF(SelectedPrecincts[Batch Name],SamplingData[[#This Row],[Batch by Type (p)]]) &lt;&gt; 0, COUNTIF(SelectedPrecincts[Batch Name],SamplingData[[#This Row],[Batch by Type (p)]]), 0)</f>
        <v>0</v>
      </c>
    </row>
    <row r="1085" spans="1:36" ht="15" customHeight="1" x14ac:dyDescent="0.35">
      <c r="A1085" s="98" t="s">
        <v>1295</v>
      </c>
      <c r="B1085" s="98">
        <v>40</v>
      </c>
      <c r="C1085" s="98">
        <v>3</v>
      </c>
      <c r="D1085" s="93"/>
      <c r="E1085" s="93"/>
      <c r="F1085" s="93"/>
      <c r="G1085" s="97"/>
      <c r="H1085" s="97"/>
      <c r="I1085" s="93"/>
      <c r="J1085" s="93"/>
      <c r="K1085" s="93"/>
      <c r="L1085" s="93"/>
      <c r="M1085" s="93"/>
      <c r="N1085" s="98">
        <v>0</v>
      </c>
      <c r="O1085" s="98">
        <v>2</v>
      </c>
      <c r="P1085" s="99">
        <f>SUM(SamplingData[[#This Row],[Winning Candidate]:[Under Votes]])</f>
        <v>45</v>
      </c>
      <c r="Q1085" s="100">
        <f>IF(AND(SamplingData[[#This Row],[Total]]&lt;&gt; 0, NOT(ISBLANK(SamplingData[[#This Row],[Losing Candidate]]))),(SamplingData[[#This Row],[Total]]+SamplingData[[#This Row],[Winning Candidate]]-SamplingData[[#This Row],[Losing Candidate]])/(SamplingData[[#Totals],[Winning Candidate]]-SamplingData[[#Totals],[Losing Candidate]]), 0)</f>
        <v>2.5756195621446745E-3</v>
      </c>
      <c r="R1085" s="100">
        <f>IF(AND(SamplingData[[#This Row],[Total]]&lt;&gt; 0, NOT(ISBLANK(SamplingData[[#This Row],[Candidate 3]]))),(SamplingData[[#This Row],[Total]]+SamplingData[[#This Row],[Winning Candidate]]-SamplingData[[#This Row],[Candidate 3]])/(SamplingData[[#Totals],[Winning Candidate]]-SamplingData[[#Totals],[Candidate 3]]), 0)</f>
        <v>0</v>
      </c>
      <c r="S1085" s="100">
        <f>IF(AND(SamplingData[[#This Row],[Total]]&lt;&gt; 0, NOT(ISBLANK(SamplingData[[#This Row],[Candidate 4]]))),(SamplingData[[#This Row],[Total]]+SamplingData[[#This Row],[Winning Candidate]]-SamplingData[[#This Row],[Candidate 4]])/(SamplingData[[#Totals],[Winning Candidate]]-SamplingData[[#Totals],[Candidate 4]]), 0)</f>
        <v>0</v>
      </c>
      <c r="T1085" s="100">
        <f>IF(AND(SamplingData[[#This Row],[Total]]&lt;&gt; 0, NOT(ISBLANK(SamplingData[[#This Row],[Candidate 5]]))),(SamplingData[[#This Row],[Total]]+SamplingData[[#This Row],[Winning Candidate]]-SamplingData[[#This Row],[Candidate 5]])/(SamplingData[[#Totals],[Winning Candidate]]-SamplingData[[#Totals],[Candidate 5]]), 0)</f>
        <v>0</v>
      </c>
      <c r="U1085" s="100">
        <f>IF(AND(SamplingData[[#This Row],[Total]]&lt;&gt; 0, NOT(ISBLANK(SamplingData[[#This Row],[Candidate 6]]))),(SamplingData[[#This Row],[Total]]+SamplingData[[#This Row],[Losing Candidate]]-SamplingData[[#This Row],[Candidate 6]])/(SamplingData[[#Totals],[Winning Candidate]]-SamplingData[[#Totals],[Candidate 6]]), 0)</f>
        <v>0</v>
      </c>
      <c r="V1085" s="100">
        <f>IF(AND(SamplingData[[#This Row],[Total]]&lt;&gt; 0, NOT(ISBLANK(SamplingData[[#This Row],[Candidate 7]]))),(SamplingData[[#This Row],[Total]]+SamplingData[[#This Row],[Winning Candidate]]-SamplingData[[#This Row],[Candidate 7]])/(SamplingData[[#Totals],[Winning Candidate]]-SamplingData[[#Totals],[Candidate 7]]), 0)</f>
        <v>0</v>
      </c>
      <c r="W1085" s="100">
        <f>IF(AND(SamplingData[[#This Row],[Total]]&lt;&gt; 0, NOT(ISBLANK(SamplingData[[#This Row],[Candidate 8]]))),(SamplingData[[#This Row],[Total]]+SamplingData[[#This Row],[Winning Candidate]]-SamplingData[[#This Row],[Candidate 8]])/(SamplingData[[#Totals],[Winning Candidate]]-SamplingData[[#Totals],[Candidate 8]]), 0)</f>
        <v>0</v>
      </c>
      <c r="X10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00">
        <f>MAX(SamplingData[[#This Row],[Error Bound (up) - Max. possible relative overstatement - Losing Candidate]:[Error Bound (up) - Max. possible relative overstatement - Candidate 12]])</f>
        <v>2.5756195621446745E-3</v>
      </c>
      <c r="AC1085" s="100">
        <f>IF(SamplingData[[#This Row],[Max Error Bound (up)]] = 0,0,SamplingData[[#This Row],[Max Error Bound (up)]]/SamplingData[[#Totals],[Max Error Bound (up)]])</f>
        <v>1.1037527593818989E-3</v>
      </c>
      <c r="AD1085" s="104">
        <f>SUM($AC$5:AC1085)</f>
        <v>0.91682819146072336</v>
      </c>
      <c r="AE1085" s="100" t="str" cm="1">
        <f t="array" ref="AE1085">IF(SamplingData[[#This Row],[up/U Selection Probability]] = 0, "Zero", TEXT(SamplingData[[#This Row],[Lower Range]], REPT("0",LEN('General Info'!$B$42))) &amp; " - " &amp; TEXT(SamplingData[[#This Row],[Upper Range]], REPT("0",LEN('General Info'!$B$42))))</f>
        <v>91572 - 91682</v>
      </c>
      <c r="AF1085" s="100">
        <f>SamplingData[[#This Row],[Upper Range]]-SamplingData[[#This Row],[Span]]</f>
        <v>91572.443870134142</v>
      </c>
      <c r="AG1085" s="100">
        <f>IF(ISNUMBER('General Info'!$B$42), ((SamplingData[[#This Row],[up/U Selection Probability]]) * 'General Info'!$B$44) - 1, 0)</f>
        <v>109.37527593818989</v>
      </c>
      <c r="AH1085" s="100">
        <f>IF(ISNUMBER('General Info'!$B$42), (SamplingData[[#This Row],[Running (cumulative) sum]] * ('General Info'!$B$42 -'General Info'!$B$43 + 1)) + 'General Info'!$B$43 - 1, 0)</f>
        <v>91681.819146072332</v>
      </c>
      <c r="AI1085" s="100" t="str">
        <f>IF(ISERROR(MATCH(SamplingData[[#This Row],[Batch by Type (p)]],SelectedPrecincts[Batch Name], 0)), "", INDEX(SelectedPrecincts[Draw], MATCH(SamplingData[[#This Row],[Batch by Type (p)]],SelectedPrecincts[Batch Name], 0)))</f>
        <v/>
      </c>
      <c r="AJ1085" s="101">
        <f>IF(COUNTIF(SelectedPrecincts[Batch Name],SamplingData[[#This Row],[Batch by Type (p)]]) &lt;&gt; 0, COUNTIF(SelectedPrecincts[Batch Name],SamplingData[[#This Row],[Batch by Type (p)]]), 0)</f>
        <v>0</v>
      </c>
    </row>
    <row r="1086" spans="1:36" ht="15" customHeight="1" x14ac:dyDescent="0.35">
      <c r="A1086" s="98" t="s">
        <v>1296</v>
      </c>
      <c r="B1086" s="98">
        <v>57</v>
      </c>
      <c r="C1086" s="98">
        <v>6</v>
      </c>
      <c r="D1086" s="93"/>
      <c r="E1086" s="93"/>
      <c r="F1086" s="93"/>
      <c r="G1086" s="97"/>
      <c r="H1086" s="97"/>
      <c r="I1086" s="93"/>
      <c r="J1086" s="93"/>
      <c r="K1086" s="93"/>
      <c r="L1086" s="93"/>
      <c r="M1086" s="93"/>
      <c r="N1086" s="98">
        <v>0</v>
      </c>
      <c r="O1086" s="98">
        <v>1</v>
      </c>
      <c r="P1086" s="99">
        <f>SUM(SamplingData[[#This Row],[Winning Candidate]:[Under Votes]])</f>
        <v>64</v>
      </c>
      <c r="Q1086" s="100">
        <f>IF(AND(SamplingData[[#This Row],[Total]]&lt;&gt; 0, NOT(ISBLANK(SamplingData[[#This Row],[Losing Candidate]]))),(SamplingData[[#This Row],[Total]]+SamplingData[[#This Row],[Winning Candidate]]-SamplingData[[#This Row],[Losing Candidate]])/(SamplingData[[#Totals],[Winning Candidate]]-SamplingData[[#Totals],[Losing Candidate]]), 0)</f>
        <v>3.6121493859346044E-3</v>
      </c>
      <c r="R1086" s="100">
        <f>IF(AND(SamplingData[[#This Row],[Total]]&lt;&gt; 0, NOT(ISBLANK(SamplingData[[#This Row],[Candidate 3]]))),(SamplingData[[#This Row],[Total]]+SamplingData[[#This Row],[Winning Candidate]]-SamplingData[[#This Row],[Candidate 3]])/(SamplingData[[#Totals],[Winning Candidate]]-SamplingData[[#Totals],[Candidate 3]]), 0)</f>
        <v>0</v>
      </c>
      <c r="S1086" s="100">
        <f>IF(AND(SamplingData[[#This Row],[Total]]&lt;&gt; 0, NOT(ISBLANK(SamplingData[[#This Row],[Candidate 4]]))),(SamplingData[[#This Row],[Total]]+SamplingData[[#This Row],[Winning Candidate]]-SamplingData[[#This Row],[Candidate 4]])/(SamplingData[[#Totals],[Winning Candidate]]-SamplingData[[#Totals],[Candidate 4]]), 0)</f>
        <v>0</v>
      </c>
      <c r="T1086" s="100">
        <f>IF(AND(SamplingData[[#This Row],[Total]]&lt;&gt; 0, NOT(ISBLANK(SamplingData[[#This Row],[Candidate 5]]))),(SamplingData[[#This Row],[Total]]+SamplingData[[#This Row],[Winning Candidate]]-SamplingData[[#This Row],[Candidate 5]])/(SamplingData[[#Totals],[Winning Candidate]]-SamplingData[[#Totals],[Candidate 5]]), 0)</f>
        <v>0</v>
      </c>
      <c r="U1086" s="100">
        <f>IF(AND(SamplingData[[#This Row],[Total]]&lt;&gt; 0, NOT(ISBLANK(SamplingData[[#This Row],[Candidate 6]]))),(SamplingData[[#This Row],[Total]]+SamplingData[[#This Row],[Losing Candidate]]-SamplingData[[#This Row],[Candidate 6]])/(SamplingData[[#Totals],[Winning Candidate]]-SamplingData[[#Totals],[Candidate 6]]), 0)</f>
        <v>0</v>
      </c>
      <c r="V1086" s="100">
        <f>IF(AND(SamplingData[[#This Row],[Total]]&lt;&gt; 0, NOT(ISBLANK(SamplingData[[#This Row],[Candidate 7]]))),(SamplingData[[#This Row],[Total]]+SamplingData[[#This Row],[Winning Candidate]]-SamplingData[[#This Row],[Candidate 7]])/(SamplingData[[#Totals],[Winning Candidate]]-SamplingData[[#Totals],[Candidate 7]]), 0)</f>
        <v>0</v>
      </c>
      <c r="W1086" s="100">
        <f>IF(AND(SamplingData[[#This Row],[Total]]&lt;&gt; 0, NOT(ISBLANK(SamplingData[[#This Row],[Candidate 8]]))),(SamplingData[[#This Row],[Total]]+SamplingData[[#This Row],[Winning Candidate]]-SamplingData[[#This Row],[Candidate 8]])/(SamplingData[[#Totals],[Winning Candidate]]-SamplingData[[#Totals],[Candidate 8]]), 0)</f>
        <v>0</v>
      </c>
      <c r="X10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00">
        <f>MAX(SamplingData[[#This Row],[Error Bound (up) - Max. possible relative overstatement - Losing Candidate]:[Error Bound (up) - Max. possible relative overstatement - Candidate 12]])</f>
        <v>3.6121493859346044E-3</v>
      </c>
      <c r="AC1086" s="100">
        <f>IF(SamplingData[[#This Row],[Max Error Bound (up)]] = 0,0,SamplingData[[#This Row],[Max Error Bound (up)]]/SamplingData[[#Totals],[Max Error Bound (up)]])</f>
        <v>1.5479459430355899E-3</v>
      </c>
      <c r="AD1086" s="104">
        <f>SUM($AC$5:AC1086)</f>
        <v>0.91837613740375901</v>
      </c>
      <c r="AE1086" s="100" t="str" cm="1">
        <f t="array" ref="AE1086">IF(SamplingData[[#This Row],[up/U Selection Probability]] = 0, "Zero", TEXT(SamplingData[[#This Row],[Lower Range]], REPT("0",LEN('General Info'!$B$42))) &amp; " - " &amp; TEXT(SamplingData[[#This Row],[Upper Range]], REPT("0",LEN('General Info'!$B$42))))</f>
        <v>91683 - 91837</v>
      </c>
      <c r="AF1086" s="100">
        <f>SamplingData[[#This Row],[Upper Range]]-SamplingData[[#This Row],[Span]]</f>
        <v>91682.819146072346</v>
      </c>
      <c r="AG1086" s="100">
        <f>IF(ISNUMBER('General Info'!$B$42), ((SamplingData[[#This Row],[up/U Selection Probability]]) * 'General Info'!$B$44) - 1, 0)</f>
        <v>153.79459430355899</v>
      </c>
      <c r="AH1086" s="100">
        <f>IF(ISNUMBER('General Info'!$B$42), (SamplingData[[#This Row],[Running (cumulative) sum]] * ('General Info'!$B$42 -'General Info'!$B$43 + 1)) + 'General Info'!$B$43 - 1, 0)</f>
        <v>91836.613740375906</v>
      </c>
      <c r="AI1086" s="100" t="str">
        <f>IF(ISERROR(MATCH(SamplingData[[#This Row],[Batch by Type (p)]],SelectedPrecincts[Batch Name], 0)), "", INDEX(SelectedPrecincts[Draw], MATCH(SamplingData[[#This Row],[Batch by Type (p)]],SelectedPrecincts[Batch Name], 0)))</f>
        <v/>
      </c>
      <c r="AJ1086" s="101">
        <f>IF(COUNTIF(SelectedPrecincts[Batch Name],SamplingData[[#This Row],[Batch by Type (p)]]) &lt;&gt; 0, COUNTIF(SelectedPrecincts[Batch Name],SamplingData[[#This Row],[Batch by Type (p)]]), 0)</f>
        <v>0</v>
      </c>
    </row>
    <row r="1087" spans="1:36" ht="15" customHeight="1" x14ac:dyDescent="0.35">
      <c r="A1087" s="98" t="s">
        <v>1297</v>
      </c>
      <c r="B1087" s="98">
        <v>41</v>
      </c>
      <c r="C1087" s="98">
        <v>6</v>
      </c>
      <c r="D1087" s="93"/>
      <c r="E1087" s="93"/>
      <c r="F1087" s="93"/>
      <c r="G1087" s="97"/>
      <c r="H1087" s="97"/>
      <c r="I1087" s="93"/>
      <c r="J1087" s="93"/>
      <c r="K1087" s="93"/>
      <c r="L1087" s="93"/>
      <c r="M1087" s="93"/>
      <c r="N1087" s="98">
        <v>0</v>
      </c>
      <c r="O1087" s="98">
        <v>0</v>
      </c>
      <c r="P1087" s="99">
        <f>SUM(SamplingData[[#This Row],[Winning Candidate]:[Under Votes]])</f>
        <v>47</v>
      </c>
      <c r="Q1087" s="100">
        <f>IF(AND(SamplingData[[#This Row],[Total]]&lt;&gt; 0, NOT(ISBLANK(SamplingData[[#This Row],[Losing Candidate]]))),(SamplingData[[#This Row],[Total]]+SamplingData[[#This Row],[Winning Candidate]]-SamplingData[[#This Row],[Losing Candidate]])/(SamplingData[[#Totals],[Winning Candidate]]-SamplingData[[#Totals],[Losing Candidate]]), 0)</f>
        <v>2.5756195621446745E-3</v>
      </c>
      <c r="R1087" s="100">
        <f>IF(AND(SamplingData[[#This Row],[Total]]&lt;&gt; 0, NOT(ISBLANK(SamplingData[[#This Row],[Candidate 3]]))),(SamplingData[[#This Row],[Total]]+SamplingData[[#This Row],[Winning Candidate]]-SamplingData[[#This Row],[Candidate 3]])/(SamplingData[[#Totals],[Winning Candidate]]-SamplingData[[#Totals],[Candidate 3]]), 0)</f>
        <v>0</v>
      </c>
      <c r="S1087" s="100">
        <f>IF(AND(SamplingData[[#This Row],[Total]]&lt;&gt; 0, NOT(ISBLANK(SamplingData[[#This Row],[Candidate 4]]))),(SamplingData[[#This Row],[Total]]+SamplingData[[#This Row],[Winning Candidate]]-SamplingData[[#This Row],[Candidate 4]])/(SamplingData[[#Totals],[Winning Candidate]]-SamplingData[[#Totals],[Candidate 4]]), 0)</f>
        <v>0</v>
      </c>
      <c r="T1087" s="100">
        <f>IF(AND(SamplingData[[#This Row],[Total]]&lt;&gt; 0, NOT(ISBLANK(SamplingData[[#This Row],[Candidate 5]]))),(SamplingData[[#This Row],[Total]]+SamplingData[[#This Row],[Winning Candidate]]-SamplingData[[#This Row],[Candidate 5]])/(SamplingData[[#Totals],[Winning Candidate]]-SamplingData[[#Totals],[Candidate 5]]), 0)</f>
        <v>0</v>
      </c>
      <c r="U1087" s="100">
        <f>IF(AND(SamplingData[[#This Row],[Total]]&lt;&gt; 0, NOT(ISBLANK(SamplingData[[#This Row],[Candidate 6]]))),(SamplingData[[#This Row],[Total]]+SamplingData[[#This Row],[Losing Candidate]]-SamplingData[[#This Row],[Candidate 6]])/(SamplingData[[#Totals],[Winning Candidate]]-SamplingData[[#Totals],[Candidate 6]]), 0)</f>
        <v>0</v>
      </c>
      <c r="V1087" s="100">
        <f>IF(AND(SamplingData[[#This Row],[Total]]&lt;&gt; 0, NOT(ISBLANK(SamplingData[[#This Row],[Candidate 7]]))),(SamplingData[[#This Row],[Total]]+SamplingData[[#This Row],[Winning Candidate]]-SamplingData[[#This Row],[Candidate 7]])/(SamplingData[[#Totals],[Winning Candidate]]-SamplingData[[#Totals],[Candidate 7]]), 0)</f>
        <v>0</v>
      </c>
      <c r="W1087" s="100">
        <f>IF(AND(SamplingData[[#This Row],[Total]]&lt;&gt; 0, NOT(ISBLANK(SamplingData[[#This Row],[Candidate 8]]))),(SamplingData[[#This Row],[Total]]+SamplingData[[#This Row],[Winning Candidate]]-SamplingData[[#This Row],[Candidate 8]])/(SamplingData[[#Totals],[Winning Candidate]]-SamplingData[[#Totals],[Candidate 8]]), 0)</f>
        <v>0</v>
      </c>
      <c r="X10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00">
        <f>MAX(SamplingData[[#This Row],[Error Bound (up) - Max. possible relative overstatement - Losing Candidate]:[Error Bound (up) - Max. possible relative overstatement - Candidate 12]])</f>
        <v>2.5756195621446745E-3</v>
      </c>
      <c r="AC1087" s="100">
        <f>IF(SamplingData[[#This Row],[Max Error Bound (up)]] = 0,0,SamplingData[[#This Row],[Max Error Bound (up)]]/SamplingData[[#Totals],[Max Error Bound (up)]])</f>
        <v>1.1037527593818989E-3</v>
      </c>
      <c r="AD1087" s="104">
        <f>SUM($AC$5:AC1087)</f>
        <v>0.91947989016314091</v>
      </c>
      <c r="AE1087" s="100" t="str" cm="1">
        <f t="array" ref="AE1087">IF(SamplingData[[#This Row],[up/U Selection Probability]] = 0, "Zero", TEXT(SamplingData[[#This Row],[Lower Range]], REPT("0",LEN('General Info'!$B$42))) &amp; " - " &amp; TEXT(SamplingData[[#This Row],[Upper Range]], REPT("0",LEN('General Info'!$B$42))))</f>
        <v>91838 - 91947</v>
      </c>
      <c r="AF1087" s="100">
        <f>SamplingData[[#This Row],[Upper Range]]-SamplingData[[#This Row],[Span]]</f>
        <v>91837.613740375906</v>
      </c>
      <c r="AG1087" s="100">
        <f>IF(ISNUMBER('General Info'!$B$42), ((SamplingData[[#This Row],[up/U Selection Probability]]) * 'General Info'!$B$44) - 1, 0)</f>
        <v>109.37527593818989</v>
      </c>
      <c r="AH1087" s="100">
        <f>IF(ISNUMBER('General Info'!$B$42), (SamplingData[[#This Row],[Running (cumulative) sum]] * ('General Info'!$B$42 -'General Info'!$B$43 + 1)) + 'General Info'!$B$43 - 1, 0)</f>
        <v>91946.989016314095</v>
      </c>
      <c r="AI1087" s="100" t="str">
        <f>IF(ISERROR(MATCH(SamplingData[[#This Row],[Batch by Type (p)]],SelectedPrecincts[Batch Name], 0)), "", INDEX(SelectedPrecincts[Draw], MATCH(SamplingData[[#This Row],[Batch by Type (p)]],SelectedPrecincts[Batch Name], 0)))</f>
        <v/>
      </c>
      <c r="AJ1087" s="101">
        <f>IF(COUNTIF(SelectedPrecincts[Batch Name],SamplingData[[#This Row],[Batch by Type (p)]]) &lt;&gt; 0, COUNTIF(SelectedPrecincts[Batch Name],SamplingData[[#This Row],[Batch by Type (p)]]), 0)</f>
        <v>0</v>
      </c>
    </row>
    <row r="1088" spans="1:36" ht="15" customHeight="1" x14ac:dyDescent="0.35">
      <c r="A1088" s="98" t="s">
        <v>1298</v>
      </c>
      <c r="B1088" s="98">
        <v>64</v>
      </c>
      <c r="C1088" s="98">
        <v>12</v>
      </c>
      <c r="D1088" s="93"/>
      <c r="E1088" s="93"/>
      <c r="F1088" s="93"/>
      <c r="G1088" s="97"/>
      <c r="H1088" s="97"/>
      <c r="I1088" s="93"/>
      <c r="J1088" s="93"/>
      <c r="K1088" s="93"/>
      <c r="L1088" s="93"/>
      <c r="M1088" s="93"/>
      <c r="N1088" s="98">
        <v>0</v>
      </c>
      <c r="O1088" s="98">
        <v>1</v>
      </c>
      <c r="P1088" s="99">
        <f>SUM(SamplingData[[#This Row],[Winning Candidate]:[Under Votes]])</f>
        <v>77</v>
      </c>
      <c r="Q1088" s="100">
        <f>IF(AND(SamplingData[[#This Row],[Total]]&lt;&gt; 0, NOT(ISBLANK(SamplingData[[#This Row],[Losing Candidate]]))),(SamplingData[[#This Row],[Total]]+SamplingData[[#This Row],[Winning Candidate]]-SamplingData[[#This Row],[Losing Candidate]])/(SamplingData[[#Totals],[Winning Candidate]]-SamplingData[[#Totals],[Losing Candidate]]), 0)</f>
        <v>4.0518893111788174E-3</v>
      </c>
      <c r="R1088" s="100">
        <f>IF(AND(SamplingData[[#This Row],[Total]]&lt;&gt; 0, NOT(ISBLANK(SamplingData[[#This Row],[Candidate 3]]))),(SamplingData[[#This Row],[Total]]+SamplingData[[#This Row],[Winning Candidate]]-SamplingData[[#This Row],[Candidate 3]])/(SamplingData[[#Totals],[Winning Candidate]]-SamplingData[[#Totals],[Candidate 3]]), 0)</f>
        <v>0</v>
      </c>
      <c r="S1088" s="100">
        <f>IF(AND(SamplingData[[#This Row],[Total]]&lt;&gt; 0, NOT(ISBLANK(SamplingData[[#This Row],[Candidate 4]]))),(SamplingData[[#This Row],[Total]]+SamplingData[[#This Row],[Winning Candidate]]-SamplingData[[#This Row],[Candidate 4]])/(SamplingData[[#Totals],[Winning Candidate]]-SamplingData[[#Totals],[Candidate 4]]), 0)</f>
        <v>0</v>
      </c>
      <c r="T1088" s="100">
        <f>IF(AND(SamplingData[[#This Row],[Total]]&lt;&gt; 0, NOT(ISBLANK(SamplingData[[#This Row],[Candidate 5]]))),(SamplingData[[#This Row],[Total]]+SamplingData[[#This Row],[Winning Candidate]]-SamplingData[[#This Row],[Candidate 5]])/(SamplingData[[#Totals],[Winning Candidate]]-SamplingData[[#Totals],[Candidate 5]]), 0)</f>
        <v>0</v>
      </c>
      <c r="U1088" s="100">
        <f>IF(AND(SamplingData[[#This Row],[Total]]&lt;&gt; 0, NOT(ISBLANK(SamplingData[[#This Row],[Candidate 6]]))),(SamplingData[[#This Row],[Total]]+SamplingData[[#This Row],[Losing Candidate]]-SamplingData[[#This Row],[Candidate 6]])/(SamplingData[[#Totals],[Winning Candidate]]-SamplingData[[#Totals],[Candidate 6]]), 0)</f>
        <v>0</v>
      </c>
      <c r="V1088" s="100">
        <f>IF(AND(SamplingData[[#This Row],[Total]]&lt;&gt; 0, NOT(ISBLANK(SamplingData[[#This Row],[Candidate 7]]))),(SamplingData[[#This Row],[Total]]+SamplingData[[#This Row],[Winning Candidate]]-SamplingData[[#This Row],[Candidate 7]])/(SamplingData[[#Totals],[Winning Candidate]]-SamplingData[[#Totals],[Candidate 7]]), 0)</f>
        <v>0</v>
      </c>
      <c r="W1088" s="100">
        <f>IF(AND(SamplingData[[#This Row],[Total]]&lt;&gt; 0, NOT(ISBLANK(SamplingData[[#This Row],[Candidate 8]]))),(SamplingData[[#This Row],[Total]]+SamplingData[[#This Row],[Winning Candidate]]-SamplingData[[#This Row],[Candidate 8]])/(SamplingData[[#Totals],[Winning Candidate]]-SamplingData[[#Totals],[Candidate 8]]), 0)</f>
        <v>0</v>
      </c>
      <c r="X10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00">
        <f>MAX(SamplingData[[#This Row],[Error Bound (up) - Max. possible relative overstatement - Losing Candidate]:[Error Bound (up) - Max. possible relative overstatement - Candidate 12]])</f>
        <v>4.0518893111788174E-3</v>
      </c>
      <c r="AC1088" s="100">
        <f>IF(SamplingData[[#This Row],[Max Error Bound (up)]] = 0,0,SamplingData[[#This Row],[Max Error Bound (up)]]/SamplingData[[#Totals],[Max Error Bound (up)]])</f>
        <v>1.7363915361007923E-3</v>
      </c>
      <c r="AD1088" s="104">
        <f>SUM($AC$5:AC1088)</f>
        <v>0.92121628169924175</v>
      </c>
      <c r="AE1088" s="100" t="str" cm="1">
        <f t="array" ref="AE1088">IF(SamplingData[[#This Row],[up/U Selection Probability]] = 0, "Zero", TEXT(SamplingData[[#This Row],[Lower Range]], REPT("0",LEN('General Info'!$B$42))) &amp; " - " &amp; TEXT(SamplingData[[#This Row],[Upper Range]], REPT("0",LEN('General Info'!$B$42))))</f>
        <v>91948 - 92121</v>
      </c>
      <c r="AF1088" s="100">
        <f>SamplingData[[#This Row],[Upper Range]]-SamplingData[[#This Row],[Span]]</f>
        <v>91947.989016314095</v>
      </c>
      <c r="AG1088" s="100">
        <f>IF(ISNUMBER('General Info'!$B$42), ((SamplingData[[#This Row],[up/U Selection Probability]]) * 'General Info'!$B$44) - 1, 0)</f>
        <v>172.63915361007923</v>
      </c>
      <c r="AH1088" s="100">
        <f>IF(ISNUMBER('General Info'!$B$42), (SamplingData[[#This Row],[Running (cumulative) sum]] * ('General Info'!$B$42 -'General Info'!$B$43 + 1)) + 'General Info'!$B$43 - 1, 0)</f>
        <v>92120.628169924181</v>
      </c>
      <c r="AI1088" s="100" t="str">
        <f>IF(ISERROR(MATCH(SamplingData[[#This Row],[Batch by Type (p)]],SelectedPrecincts[Batch Name], 0)), "", INDEX(SelectedPrecincts[Draw], MATCH(SamplingData[[#This Row],[Batch by Type (p)]],SelectedPrecincts[Batch Name], 0)))</f>
        <v/>
      </c>
      <c r="AJ1088" s="101">
        <f>IF(COUNTIF(SelectedPrecincts[Batch Name],SamplingData[[#This Row],[Batch by Type (p)]]) &lt;&gt; 0, COUNTIF(SelectedPrecincts[Batch Name],SamplingData[[#This Row],[Batch by Type (p)]]), 0)</f>
        <v>0</v>
      </c>
    </row>
    <row r="1089" spans="1:36" ht="15" customHeight="1" x14ac:dyDescent="0.35">
      <c r="A1089" s="98" t="s">
        <v>1299</v>
      </c>
      <c r="B1089" s="98">
        <v>57</v>
      </c>
      <c r="C1089" s="98">
        <v>5</v>
      </c>
      <c r="D1089" s="93"/>
      <c r="E1089" s="93"/>
      <c r="F1089" s="93"/>
      <c r="G1089" s="97"/>
      <c r="H1089" s="97"/>
      <c r="I1089" s="93"/>
      <c r="J1089" s="93"/>
      <c r="K1089" s="93"/>
      <c r="L1089" s="93"/>
      <c r="M1089" s="93"/>
      <c r="N1089" s="98">
        <v>0</v>
      </c>
      <c r="O1089" s="98">
        <v>2</v>
      </c>
      <c r="P1089" s="99">
        <f>SUM(SamplingData[[#This Row],[Winning Candidate]:[Under Votes]])</f>
        <v>64</v>
      </c>
      <c r="Q1089" s="100">
        <f>IF(AND(SamplingData[[#This Row],[Total]]&lt;&gt; 0, NOT(ISBLANK(SamplingData[[#This Row],[Losing Candidate]]))),(SamplingData[[#This Row],[Total]]+SamplingData[[#This Row],[Winning Candidate]]-SamplingData[[#This Row],[Losing Candidate]])/(SamplingData[[#Totals],[Winning Candidate]]-SamplingData[[#Totals],[Losing Candidate]]), 0)</f>
        <v>3.6435593805949052E-3</v>
      </c>
      <c r="R1089" s="100">
        <f>IF(AND(SamplingData[[#This Row],[Total]]&lt;&gt; 0, NOT(ISBLANK(SamplingData[[#This Row],[Candidate 3]]))),(SamplingData[[#This Row],[Total]]+SamplingData[[#This Row],[Winning Candidate]]-SamplingData[[#This Row],[Candidate 3]])/(SamplingData[[#Totals],[Winning Candidate]]-SamplingData[[#Totals],[Candidate 3]]), 0)</f>
        <v>0</v>
      </c>
      <c r="S1089" s="100">
        <f>IF(AND(SamplingData[[#This Row],[Total]]&lt;&gt; 0, NOT(ISBLANK(SamplingData[[#This Row],[Candidate 4]]))),(SamplingData[[#This Row],[Total]]+SamplingData[[#This Row],[Winning Candidate]]-SamplingData[[#This Row],[Candidate 4]])/(SamplingData[[#Totals],[Winning Candidate]]-SamplingData[[#Totals],[Candidate 4]]), 0)</f>
        <v>0</v>
      </c>
      <c r="T1089" s="100">
        <f>IF(AND(SamplingData[[#This Row],[Total]]&lt;&gt; 0, NOT(ISBLANK(SamplingData[[#This Row],[Candidate 5]]))),(SamplingData[[#This Row],[Total]]+SamplingData[[#This Row],[Winning Candidate]]-SamplingData[[#This Row],[Candidate 5]])/(SamplingData[[#Totals],[Winning Candidate]]-SamplingData[[#Totals],[Candidate 5]]), 0)</f>
        <v>0</v>
      </c>
      <c r="U1089" s="100">
        <f>IF(AND(SamplingData[[#This Row],[Total]]&lt;&gt; 0, NOT(ISBLANK(SamplingData[[#This Row],[Candidate 6]]))),(SamplingData[[#This Row],[Total]]+SamplingData[[#This Row],[Losing Candidate]]-SamplingData[[#This Row],[Candidate 6]])/(SamplingData[[#Totals],[Winning Candidate]]-SamplingData[[#Totals],[Candidate 6]]), 0)</f>
        <v>0</v>
      </c>
      <c r="V1089" s="100">
        <f>IF(AND(SamplingData[[#This Row],[Total]]&lt;&gt; 0, NOT(ISBLANK(SamplingData[[#This Row],[Candidate 7]]))),(SamplingData[[#This Row],[Total]]+SamplingData[[#This Row],[Winning Candidate]]-SamplingData[[#This Row],[Candidate 7]])/(SamplingData[[#Totals],[Winning Candidate]]-SamplingData[[#Totals],[Candidate 7]]), 0)</f>
        <v>0</v>
      </c>
      <c r="W1089" s="100">
        <f>IF(AND(SamplingData[[#This Row],[Total]]&lt;&gt; 0, NOT(ISBLANK(SamplingData[[#This Row],[Candidate 8]]))),(SamplingData[[#This Row],[Total]]+SamplingData[[#This Row],[Winning Candidate]]-SamplingData[[#This Row],[Candidate 8]])/(SamplingData[[#Totals],[Winning Candidate]]-SamplingData[[#Totals],[Candidate 8]]), 0)</f>
        <v>0</v>
      </c>
      <c r="X10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00">
        <f>MAX(SamplingData[[#This Row],[Error Bound (up) - Max. possible relative overstatement - Losing Candidate]:[Error Bound (up) - Max. possible relative overstatement - Candidate 12]])</f>
        <v>3.6435593805949052E-3</v>
      </c>
      <c r="AC1089" s="100">
        <f>IF(SamplingData[[#This Row],[Max Error Bound (up)]] = 0,0,SamplingData[[#This Row],[Max Error Bound (up)]]/SamplingData[[#Totals],[Max Error Bound (up)]])</f>
        <v>1.561406342540247E-3</v>
      </c>
      <c r="AD1089" s="104">
        <f>SUM($AC$5:AC1089)</f>
        <v>0.92277768804178195</v>
      </c>
      <c r="AE1089" s="100" t="str" cm="1">
        <f t="array" ref="AE1089">IF(SamplingData[[#This Row],[up/U Selection Probability]] = 0, "Zero", TEXT(SamplingData[[#This Row],[Lower Range]], REPT("0",LEN('General Info'!$B$42))) &amp; " - " &amp; TEXT(SamplingData[[#This Row],[Upper Range]], REPT("0",LEN('General Info'!$B$42))))</f>
        <v>92122 - 92277</v>
      </c>
      <c r="AF1089" s="100">
        <f>SamplingData[[#This Row],[Upper Range]]-SamplingData[[#This Row],[Span]]</f>
        <v>92121.628169924166</v>
      </c>
      <c r="AG1089" s="100">
        <f>IF(ISNUMBER('General Info'!$B$42), ((SamplingData[[#This Row],[up/U Selection Probability]]) * 'General Info'!$B$44) - 1, 0)</f>
        <v>155.14063425402469</v>
      </c>
      <c r="AH1089" s="100">
        <f>IF(ISNUMBER('General Info'!$B$42), (SamplingData[[#This Row],[Running (cumulative) sum]] * ('General Info'!$B$42 -'General Info'!$B$43 + 1)) + 'General Info'!$B$43 - 1, 0)</f>
        <v>92276.768804178195</v>
      </c>
      <c r="AI1089" s="100" t="str">
        <f>IF(ISERROR(MATCH(SamplingData[[#This Row],[Batch by Type (p)]],SelectedPrecincts[Batch Name], 0)), "", INDEX(SelectedPrecincts[Draw], MATCH(SamplingData[[#This Row],[Batch by Type (p)]],SelectedPrecincts[Batch Name], 0)))</f>
        <v/>
      </c>
      <c r="AJ1089" s="101">
        <f>IF(COUNTIF(SelectedPrecincts[Batch Name],SamplingData[[#This Row],[Batch by Type (p)]]) &lt;&gt; 0, COUNTIF(SelectedPrecincts[Batch Name],SamplingData[[#This Row],[Batch by Type (p)]]), 0)</f>
        <v>0</v>
      </c>
    </row>
    <row r="1090" spans="1:36" ht="15" customHeight="1" x14ac:dyDescent="0.35">
      <c r="A1090" s="98" t="s">
        <v>1300</v>
      </c>
      <c r="B1090" s="98">
        <v>87</v>
      </c>
      <c r="C1090" s="98">
        <v>13</v>
      </c>
      <c r="D1090" s="93"/>
      <c r="E1090" s="93"/>
      <c r="F1090" s="93"/>
      <c r="G1090" s="97"/>
      <c r="H1090" s="97"/>
      <c r="I1090" s="93"/>
      <c r="J1090" s="93"/>
      <c r="K1090" s="93"/>
      <c r="L1090" s="93"/>
      <c r="M1090" s="93"/>
      <c r="N1090" s="98">
        <v>0</v>
      </c>
      <c r="O1090" s="98">
        <v>3</v>
      </c>
      <c r="P1090" s="99">
        <f>SUM(SamplingData[[#This Row],[Winning Candidate]:[Under Votes]])</f>
        <v>103</v>
      </c>
      <c r="Q1090" s="100">
        <f>IF(AND(SamplingData[[#This Row],[Total]]&lt;&gt; 0, NOT(ISBLANK(SamplingData[[#This Row],[Losing Candidate]]))),(SamplingData[[#This Row],[Total]]+SamplingData[[#This Row],[Winning Candidate]]-SamplingData[[#This Row],[Losing Candidate]])/(SamplingData[[#Totals],[Winning Candidate]]-SamplingData[[#Totals],[Losing Candidate]]), 0)</f>
        <v>5.5595690548732608E-3</v>
      </c>
      <c r="R1090" s="100">
        <f>IF(AND(SamplingData[[#This Row],[Total]]&lt;&gt; 0, NOT(ISBLANK(SamplingData[[#This Row],[Candidate 3]]))),(SamplingData[[#This Row],[Total]]+SamplingData[[#This Row],[Winning Candidate]]-SamplingData[[#This Row],[Candidate 3]])/(SamplingData[[#Totals],[Winning Candidate]]-SamplingData[[#Totals],[Candidate 3]]), 0)</f>
        <v>0</v>
      </c>
      <c r="S1090" s="100">
        <f>IF(AND(SamplingData[[#This Row],[Total]]&lt;&gt; 0, NOT(ISBLANK(SamplingData[[#This Row],[Candidate 4]]))),(SamplingData[[#This Row],[Total]]+SamplingData[[#This Row],[Winning Candidate]]-SamplingData[[#This Row],[Candidate 4]])/(SamplingData[[#Totals],[Winning Candidate]]-SamplingData[[#Totals],[Candidate 4]]), 0)</f>
        <v>0</v>
      </c>
      <c r="T1090" s="100">
        <f>IF(AND(SamplingData[[#This Row],[Total]]&lt;&gt; 0, NOT(ISBLANK(SamplingData[[#This Row],[Candidate 5]]))),(SamplingData[[#This Row],[Total]]+SamplingData[[#This Row],[Winning Candidate]]-SamplingData[[#This Row],[Candidate 5]])/(SamplingData[[#Totals],[Winning Candidate]]-SamplingData[[#Totals],[Candidate 5]]), 0)</f>
        <v>0</v>
      </c>
      <c r="U1090" s="100">
        <f>IF(AND(SamplingData[[#This Row],[Total]]&lt;&gt; 0, NOT(ISBLANK(SamplingData[[#This Row],[Candidate 6]]))),(SamplingData[[#This Row],[Total]]+SamplingData[[#This Row],[Losing Candidate]]-SamplingData[[#This Row],[Candidate 6]])/(SamplingData[[#Totals],[Winning Candidate]]-SamplingData[[#Totals],[Candidate 6]]), 0)</f>
        <v>0</v>
      </c>
      <c r="V1090" s="100">
        <f>IF(AND(SamplingData[[#This Row],[Total]]&lt;&gt; 0, NOT(ISBLANK(SamplingData[[#This Row],[Candidate 7]]))),(SamplingData[[#This Row],[Total]]+SamplingData[[#This Row],[Winning Candidate]]-SamplingData[[#This Row],[Candidate 7]])/(SamplingData[[#Totals],[Winning Candidate]]-SamplingData[[#Totals],[Candidate 7]]), 0)</f>
        <v>0</v>
      </c>
      <c r="W1090" s="100">
        <f>IF(AND(SamplingData[[#This Row],[Total]]&lt;&gt; 0, NOT(ISBLANK(SamplingData[[#This Row],[Candidate 8]]))),(SamplingData[[#This Row],[Total]]+SamplingData[[#This Row],[Winning Candidate]]-SamplingData[[#This Row],[Candidate 8]])/(SamplingData[[#Totals],[Winning Candidate]]-SamplingData[[#Totals],[Candidate 8]]), 0)</f>
        <v>0</v>
      </c>
      <c r="X10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00">
        <f>MAX(SamplingData[[#This Row],[Error Bound (up) - Max. possible relative overstatement - Losing Candidate]:[Error Bound (up) - Max. possible relative overstatement - Candidate 12]])</f>
        <v>5.5595690548732608E-3</v>
      </c>
      <c r="AC1090" s="100">
        <f>IF(SamplingData[[#This Row],[Max Error Bound (up)]] = 0,0,SamplingData[[#This Row],[Max Error Bound (up)]]/SamplingData[[#Totals],[Max Error Bound (up)]])</f>
        <v>2.3824907123243429E-3</v>
      </c>
      <c r="AD1090" s="104">
        <f>SUM($AC$5:AC1090)</f>
        <v>0.92516017875410628</v>
      </c>
      <c r="AE1090" s="100" t="str" cm="1">
        <f t="array" ref="AE1090">IF(SamplingData[[#This Row],[up/U Selection Probability]] = 0, "Zero", TEXT(SamplingData[[#This Row],[Lower Range]], REPT("0",LEN('General Info'!$B$42))) &amp; " - " &amp; TEXT(SamplingData[[#This Row],[Upper Range]], REPT("0",LEN('General Info'!$B$42))))</f>
        <v>92278 - 92515</v>
      </c>
      <c r="AF1090" s="100">
        <f>SamplingData[[#This Row],[Upper Range]]-SamplingData[[#This Row],[Span]]</f>
        <v>92277.768804178195</v>
      </c>
      <c r="AG1090" s="100">
        <f>IF(ISNUMBER('General Info'!$B$42), ((SamplingData[[#This Row],[up/U Selection Probability]]) * 'General Info'!$B$44) - 1, 0)</f>
        <v>237.24907123243429</v>
      </c>
      <c r="AH1090" s="100">
        <f>IF(ISNUMBER('General Info'!$B$42), (SamplingData[[#This Row],[Running (cumulative) sum]] * ('General Info'!$B$42 -'General Info'!$B$43 + 1)) + 'General Info'!$B$43 - 1, 0)</f>
        <v>92515.017875410631</v>
      </c>
      <c r="AI1090" s="100" t="str">
        <f>IF(ISERROR(MATCH(SamplingData[[#This Row],[Batch by Type (p)]],SelectedPrecincts[Batch Name], 0)), "", INDEX(SelectedPrecincts[Draw], MATCH(SamplingData[[#This Row],[Batch by Type (p)]],SelectedPrecincts[Batch Name], 0)))</f>
        <v/>
      </c>
      <c r="AJ1090" s="101">
        <f>IF(COUNTIF(SelectedPrecincts[Batch Name],SamplingData[[#This Row],[Batch by Type (p)]]) &lt;&gt; 0, COUNTIF(SelectedPrecincts[Batch Name],SamplingData[[#This Row],[Batch by Type (p)]]), 0)</f>
        <v>0</v>
      </c>
    </row>
    <row r="1091" spans="1:36" ht="15" customHeight="1" x14ac:dyDescent="0.35">
      <c r="A1091" s="98" t="s">
        <v>1301</v>
      </c>
      <c r="B1091" s="98">
        <v>100</v>
      </c>
      <c r="C1091" s="98">
        <v>13</v>
      </c>
      <c r="D1091" s="93"/>
      <c r="E1091" s="93"/>
      <c r="F1091" s="93"/>
      <c r="G1091" s="97"/>
      <c r="H1091" s="97"/>
      <c r="I1091" s="93"/>
      <c r="J1091" s="93"/>
      <c r="K1091" s="93"/>
      <c r="L1091" s="93"/>
      <c r="M1091" s="93"/>
      <c r="N1091" s="98">
        <v>0</v>
      </c>
      <c r="O1091" s="98">
        <v>1</v>
      </c>
      <c r="P1091" s="99">
        <f>SUM(SamplingData[[#This Row],[Winning Candidate]:[Under Votes]])</f>
        <v>114</v>
      </c>
      <c r="Q1091" s="100">
        <f>IF(AND(SamplingData[[#This Row],[Total]]&lt;&gt; 0, NOT(ISBLANK(SamplingData[[#This Row],[Losing Candidate]]))),(SamplingData[[#This Row],[Total]]+SamplingData[[#This Row],[Winning Candidate]]-SamplingData[[#This Row],[Losing Candidate]])/(SamplingData[[#Totals],[Winning Candidate]]-SamplingData[[#Totals],[Losing Candidate]]), 0)</f>
        <v>6.3134089267204829E-3</v>
      </c>
      <c r="R1091" s="100">
        <f>IF(AND(SamplingData[[#This Row],[Total]]&lt;&gt; 0, NOT(ISBLANK(SamplingData[[#This Row],[Candidate 3]]))),(SamplingData[[#This Row],[Total]]+SamplingData[[#This Row],[Winning Candidate]]-SamplingData[[#This Row],[Candidate 3]])/(SamplingData[[#Totals],[Winning Candidate]]-SamplingData[[#Totals],[Candidate 3]]), 0)</f>
        <v>0</v>
      </c>
      <c r="S1091" s="100">
        <f>IF(AND(SamplingData[[#This Row],[Total]]&lt;&gt; 0, NOT(ISBLANK(SamplingData[[#This Row],[Candidate 4]]))),(SamplingData[[#This Row],[Total]]+SamplingData[[#This Row],[Winning Candidate]]-SamplingData[[#This Row],[Candidate 4]])/(SamplingData[[#Totals],[Winning Candidate]]-SamplingData[[#Totals],[Candidate 4]]), 0)</f>
        <v>0</v>
      </c>
      <c r="T1091" s="100">
        <f>IF(AND(SamplingData[[#This Row],[Total]]&lt;&gt; 0, NOT(ISBLANK(SamplingData[[#This Row],[Candidate 5]]))),(SamplingData[[#This Row],[Total]]+SamplingData[[#This Row],[Winning Candidate]]-SamplingData[[#This Row],[Candidate 5]])/(SamplingData[[#Totals],[Winning Candidate]]-SamplingData[[#Totals],[Candidate 5]]), 0)</f>
        <v>0</v>
      </c>
      <c r="U1091" s="100">
        <f>IF(AND(SamplingData[[#This Row],[Total]]&lt;&gt; 0, NOT(ISBLANK(SamplingData[[#This Row],[Candidate 6]]))),(SamplingData[[#This Row],[Total]]+SamplingData[[#This Row],[Losing Candidate]]-SamplingData[[#This Row],[Candidate 6]])/(SamplingData[[#Totals],[Winning Candidate]]-SamplingData[[#Totals],[Candidate 6]]), 0)</f>
        <v>0</v>
      </c>
      <c r="V1091" s="100">
        <f>IF(AND(SamplingData[[#This Row],[Total]]&lt;&gt; 0, NOT(ISBLANK(SamplingData[[#This Row],[Candidate 7]]))),(SamplingData[[#This Row],[Total]]+SamplingData[[#This Row],[Winning Candidate]]-SamplingData[[#This Row],[Candidate 7]])/(SamplingData[[#Totals],[Winning Candidate]]-SamplingData[[#Totals],[Candidate 7]]), 0)</f>
        <v>0</v>
      </c>
      <c r="W1091" s="100">
        <f>IF(AND(SamplingData[[#This Row],[Total]]&lt;&gt; 0, NOT(ISBLANK(SamplingData[[#This Row],[Candidate 8]]))),(SamplingData[[#This Row],[Total]]+SamplingData[[#This Row],[Winning Candidate]]-SamplingData[[#This Row],[Candidate 8]])/(SamplingData[[#Totals],[Winning Candidate]]-SamplingData[[#Totals],[Candidate 8]]), 0)</f>
        <v>0</v>
      </c>
      <c r="X10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00">
        <f>MAX(SamplingData[[#This Row],[Error Bound (up) - Max. possible relative overstatement - Losing Candidate]:[Error Bound (up) - Max. possible relative overstatement - Candidate 12]])</f>
        <v>6.3134089267204829E-3</v>
      </c>
      <c r="AC1091" s="100">
        <f>IF(SamplingData[[#This Row],[Max Error Bound (up)]] = 0,0,SamplingData[[#This Row],[Max Error Bound (up)]]/SamplingData[[#Totals],[Max Error Bound (up)]])</f>
        <v>2.705540300436118E-3</v>
      </c>
      <c r="AD1091" s="104">
        <f>SUM($AC$5:AC1091)</f>
        <v>0.9278657190545424</v>
      </c>
      <c r="AE1091" s="100" t="str" cm="1">
        <f t="array" ref="AE1091">IF(SamplingData[[#This Row],[up/U Selection Probability]] = 0, "Zero", TEXT(SamplingData[[#This Row],[Lower Range]], REPT("0",LEN('General Info'!$B$42))) &amp; " - " &amp; TEXT(SamplingData[[#This Row],[Upper Range]], REPT("0",LEN('General Info'!$B$42))))</f>
        <v>92516 - 92786</v>
      </c>
      <c r="AF1091" s="100">
        <f>SamplingData[[#This Row],[Upper Range]]-SamplingData[[#This Row],[Span]]</f>
        <v>92516.017875410631</v>
      </c>
      <c r="AG1091" s="100">
        <f>IF(ISNUMBER('General Info'!$B$42), ((SamplingData[[#This Row],[up/U Selection Probability]]) * 'General Info'!$B$44) - 1, 0)</f>
        <v>269.55403004361182</v>
      </c>
      <c r="AH1091" s="100">
        <f>IF(ISNUMBER('General Info'!$B$42), (SamplingData[[#This Row],[Running (cumulative) sum]] * ('General Info'!$B$42 -'General Info'!$B$43 + 1)) + 'General Info'!$B$43 - 1, 0)</f>
        <v>92785.571905454242</v>
      </c>
      <c r="AI1091" s="100" t="str">
        <f>IF(ISERROR(MATCH(SamplingData[[#This Row],[Batch by Type (p)]],SelectedPrecincts[Batch Name], 0)), "", INDEX(SelectedPrecincts[Draw], MATCH(SamplingData[[#This Row],[Batch by Type (p)]],SelectedPrecincts[Batch Name], 0)))</f>
        <v/>
      </c>
      <c r="AJ1091" s="101">
        <f>IF(COUNTIF(SelectedPrecincts[Batch Name],SamplingData[[#This Row],[Batch by Type (p)]]) &lt;&gt; 0, COUNTIF(SelectedPrecincts[Batch Name],SamplingData[[#This Row],[Batch by Type (p)]]), 0)</f>
        <v>0</v>
      </c>
    </row>
    <row r="1092" spans="1:36" ht="15" customHeight="1" x14ac:dyDescent="0.35">
      <c r="A1092" s="98" t="s">
        <v>1302</v>
      </c>
      <c r="B1092" s="98">
        <v>62</v>
      </c>
      <c r="C1092" s="98">
        <v>11</v>
      </c>
      <c r="D1092" s="93"/>
      <c r="E1092" s="93"/>
      <c r="F1092" s="93"/>
      <c r="G1092" s="97"/>
      <c r="H1092" s="97"/>
      <c r="I1092" s="93"/>
      <c r="J1092" s="93"/>
      <c r="K1092" s="93"/>
      <c r="L1092" s="93"/>
      <c r="M1092" s="93"/>
      <c r="N1092" s="98">
        <v>0</v>
      </c>
      <c r="O1092" s="98">
        <v>0</v>
      </c>
      <c r="P1092" s="99">
        <f>SUM(SamplingData[[#This Row],[Winning Candidate]:[Under Votes]])</f>
        <v>73</v>
      </c>
      <c r="Q1092" s="100">
        <f>IF(AND(SamplingData[[#This Row],[Total]]&lt;&gt; 0, NOT(ISBLANK(SamplingData[[#This Row],[Losing Candidate]]))),(SamplingData[[#This Row],[Total]]+SamplingData[[#This Row],[Winning Candidate]]-SamplingData[[#This Row],[Losing Candidate]])/(SamplingData[[#Totals],[Winning Candidate]]-SamplingData[[#Totals],[Losing Candidate]]), 0)</f>
        <v>3.8948393378773127E-3</v>
      </c>
      <c r="R1092" s="100">
        <f>IF(AND(SamplingData[[#This Row],[Total]]&lt;&gt; 0, NOT(ISBLANK(SamplingData[[#This Row],[Candidate 3]]))),(SamplingData[[#This Row],[Total]]+SamplingData[[#This Row],[Winning Candidate]]-SamplingData[[#This Row],[Candidate 3]])/(SamplingData[[#Totals],[Winning Candidate]]-SamplingData[[#Totals],[Candidate 3]]), 0)</f>
        <v>0</v>
      </c>
      <c r="S1092" s="100">
        <f>IF(AND(SamplingData[[#This Row],[Total]]&lt;&gt; 0, NOT(ISBLANK(SamplingData[[#This Row],[Candidate 4]]))),(SamplingData[[#This Row],[Total]]+SamplingData[[#This Row],[Winning Candidate]]-SamplingData[[#This Row],[Candidate 4]])/(SamplingData[[#Totals],[Winning Candidate]]-SamplingData[[#Totals],[Candidate 4]]), 0)</f>
        <v>0</v>
      </c>
      <c r="T1092" s="100">
        <f>IF(AND(SamplingData[[#This Row],[Total]]&lt;&gt; 0, NOT(ISBLANK(SamplingData[[#This Row],[Candidate 5]]))),(SamplingData[[#This Row],[Total]]+SamplingData[[#This Row],[Winning Candidate]]-SamplingData[[#This Row],[Candidate 5]])/(SamplingData[[#Totals],[Winning Candidate]]-SamplingData[[#Totals],[Candidate 5]]), 0)</f>
        <v>0</v>
      </c>
      <c r="U1092" s="100">
        <f>IF(AND(SamplingData[[#This Row],[Total]]&lt;&gt; 0, NOT(ISBLANK(SamplingData[[#This Row],[Candidate 6]]))),(SamplingData[[#This Row],[Total]]+SamplingData[[#This Row],[Losing Candidate]]-SamplingData[[#This Row],[Candidate 6]])/(SamplingData[[#Totals],[Winning Candidate]]-SamplingData[[#Totals],[Candidate 6]]), 0)</f>
        <v>0</v>
      </c>
      <c r="V1092" s="100">
        <f>IF(AND(SamplingData[[#This Row],[Total]]&lt;&gt; 0, NOT(ISBLANK(SamplingData[[#This Row],[Candidate 7]]))),(SamplingData[[#This Row],[Total]]+SamplingData[[#This Row],[Winning Candidate]]-SamplingData[[#This Row],[Candidate 7]])/(SamplingData[[#Totals],[Winning Candidate]]-SamplingData[[#Totals],[Candidate 7]]), 0)</f>
        <v>0</v>
      </c>
      <c r="W1092" s="100">
        <f>IF(AND(SamplingData[[#This Row],[Total]]&lt;&gt; 0, NOT(ISBLANK(SamplingData[[#This Row],[Candidate 8]]))),(SamplingData[[#This Row],[Total]]+SamplingData[[#This Row],[Winning Candidate]]-SamplingData[[#This Row],[Candidate 8]])/(SamplingData[[#Totals],[Winning Candidate]]-SamplingData[[#Totals],[Candidate 8]]), 0)</f>
        <v>0</v>
      </c>
      <c r="X10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00">
        <f>MAX(SamplingData[[#This Row],[Error Bound (up) - Max. possible relative overstatement - Losing Candidate]:[Error Bound (up) - Max. possible relative overstatement - Candidate 12]])</f>
        <v>3.8948393378773127E-3</v>
      </c>
      <c r="AC1092" s="100">
        <f>IF(SamplingData[[#This Row],[Max Error Bound (up)]] = 0,0,SamplingData[[#This Row],[Max Error Bound (up)]]/SamplingData[[#Totals],[Max Error Bound (up)]])</f>
        <v>1.6690895385775056E-3</v>
      </c>
      <c r="AD1092" s="104">
        <f>SUM($AC$5:AC1092)</f>
        <v>0.92953480859311988</v>
      </c>
      <c r="AE1092" s="100" t="str" cm="1">
        <f t="array" ref="AE1092">IF(SamplingData[[#This Row],[up/U Selection Probability]] = 0, "Zero", TEXT(SamplingData[[#This Row],[Lower Range]], REPT("0",LEN('General Info'!$B$42))) &amp; " - " &amp; TEXT(SamplingData[[#This Row],[Upper Range]], REPT("0",LEN('General Info'!$B$42))))</f>
        <v>92787 - 92952</v>
      </c>
      <c r="AF1092" s="100">
        <f>SamplingData[[#This Row],[Upper Range]]-SamplingData[[#This Row],[Span]]</f>
        <v>92786.571905454228</v>
      </c>
      <c r="AG1092" s="100">
        <f>IF(ISNUMBER('General Info'!$B$42), ((SamplingData[[#This Row],[up/U Selection Probability]]) * 'General Info'!$B$44) - 1, 0)</f>
        <v>165.90895385775056</v>
      </c>
      <c r="AH1092" s="100">
        <f>IF(ISNUMBER('General Info'!$B$42), (SamplingData[[#This Row],[Running (cumulative) sum]] * ('General Info'!$B$42 -'General Info'!$B$43 + 1)) + 'General Info'!$B$43 - 1, 0)</f>
        <v>92952.480859311981</v>
      </c>
      <c r="AI1092" s="100" t="str">
        <f>IF(ISERROR(MATCH(SamplingData[[#This Row],[Batch by Type (p)]],SelectedPrecincts[Batch Name], 0)), "", INDEX(SelectedPrecincts[Draw], MATCH(SamplingData[[#This Row],[Batch by Type (p)]],SelectedPrecincts[Batch Name], 0)))</f>
        <v/>
      </c>
      <c r="AJ1092" s="101">
        <f>IF(COUNTIF(SelectedPrecincts[Batch Name],SamplingData[[#This Row],[Batch by Type (p)]]) &lt;&gt; 0, COUNTIF(SelectedPrecincts[Batch Name],SamplingData[[#This Row],[Batch by Type (p)]]), 0)</f>
        <v>0</v>
      </c>
    </row>
    <row r="1093" spans="1:36" ht="15" customHeight="1" x14ac:dyDescent="0.35">
      <c r="A1093" s="98" t="s">
        <v>1303</v>
      </c>
      <c r="B1093" s="98">
        <v>34</v>
      </c>
      <c r="C1093" s="98">
        <v>6</v>
      </c>
      <c r="D1093" s="93"/>
      <c r="E1093" s="93"/>
      <c r="F1093" s="93"/>
      <c r="G1093" s="97"/>
      <c r="H1093" s="97"/>
      <c r="I1093" s="93"/>
      <c r="J1093" s="93"/>
      <c r="K1093" s="93"/>
      <c r="L1093" s="93"/>
      <c r="M1093" s="93"/>
      <c r="N1093" s="98">
        <v>0</v>
      </c>
      <c r="O1093" s="98">
        <v>0</v>
      </c>
      <c r="P1093" s="99">
        <f>SUM(SamplingData[[#This Row],[Winning Candidate]:[Under Votes]])</f>
        <v>40</v>
      </c>
      <c r="Q1093" s="100">
        <f>IF(AND(SamplingData[[#This Row],[Total]]&lt;&gt; 0, NOT(ISBLANK(SamplingData[[#This Row],[Losing Candidate]]))),(SamplingData[[#This Row],[Total]]+SamplingData[[#This Row],[Winning Candidate]]-SamplingData[[#This Row],[Losing Candidate]])/(SamplingData[[#Totals],[Winning Candidate]]-SamplingData[[#Totals],[Losing Candidate]]), 0)</f>
        <v>2.1358796369004619E-3</v>
      </c>
      <c r="R1093" s="100">
        <f>IF(AND(SamplingData[[#This Row],[Total]]&lt;&gt; 0, NOT(ISBLANK(SamplingData[[#This Row],[Candidate 3]]))),(SamplingData[[#This Row],[Total]]+SamplingData[[#This Row],[Winning Candidate]]-SamplingData[[#This Row],[Candidate 3]])/(SamplingData[[#Totals],[Winning Candidate]]-SamplingData[[#Totals],[Candidate 3]]), 0)</f>
        <v>0</v>
      </c>
      <c r="S1093" s="100">
        <f>IF(AND(SamplingData[[#This Row],[Total]]&lt;&gt; 0, NOT(ISBLANK(SamplingData[[#This Row],[Candidate 4]]))),(SamplingData[[#This Row],[Total]]+SamplingData[[#This Row],[Winning Candidate]]-SamplingData[[#This Row],[Candidate 4]])/(SamplingData[[#Totals],[Winning Candidate]]-SamplingData[[#Totals],[Candidate 4]]), 0)</f>
        <v>0</v>
      </c>
      <c r="T1093" s="100">
        <f>IF(AND(SamplingData[[#This Row],[Total]]&lt;&gt; 0, NOT(ISBLANK(SamplingData[[#This Row],[Candidate 5]]))),(SamplingData[[#This Row],[Total]]+SamplingData[[#This Row],[Winning Candidate]]-SamplingData[[#This Row],[Candidate 5]])/(SamplingData[[#Totals],[Winning Candidate]]-SamplingData[[#Totals],[Candidate 5]]), 0)</f>
        <v>0</v>
      </c>
      <c r="U1093" s="100">
        <f>IF(AND(SamplingData[[#This Row],[Total]]&lt;&gt; 0, NOT(ISBLANK(SamplingData[[#This Row],[Candidate 6]]))),(SamplingData[[#This Row],[Total]]+SamplingData[[#This Row],[Losing Candidate]]-SamplingData[[#This Row],[Candidate 6]])/(SamplingData[[#Totals],[Winning Candidate]]-SamplingData[[#Totals],[Candidate 6]]), 0)</f>
        <v>0</v>
      </c>
      <c r="V1093" s="100">
        <f>IF(AND(SamplingData[[#This Row],[Total]]&lt;&gt; 0, NOT(ISBLANK(SamplingData[[#This Row],[Candidate 7]]))),(SamplingData[[#This Row],[Total]]+SamplingData[[#This Row],[Winning Candidate]]-SamplingData[[#This Row],[Candidate 7]])/(SamplingData[[#Totals],[Winning Candidate]]-SamplingData[[#Totals],[Candidate 7]]), 0)</f>
        <v>0</v>
      </c>
      <c r="W1093" s="100">
        <f>IF(AND(SamplingData[[#This Row],[Total]]&lt;&gt; 0, NOT(ISBLANK(SamplingData[[#This Row],[Candidate 8]]))),(SamplingData[[#This Row],[Total]]+SamplingData[[#This Row],[Winning Candidate]]-SamplingData[[#This Row],[Candidate 8]])/(SamplingData[[#Totals],[Winning Candidate]]-SamplingData[[#Totals],[Candidate 8]]), 0)</f>
        <v>0</v>
      </c>
      <c r="X10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00">
        <f>MAX(SamplingData[[#This Row],[Error Bound (up) - Max. possible relative overstatement - Losing Candidate]:[Error Bound (up) - Max. possible relative overstatement - Candidate 12]])</f>
        <v>2.1358796369004619E-3</v>
      </c>
      <c r="AC1093" s="100">
        <f>IF(SamplingData[[#This Row],[Max Error Bound (up)]] = 0,0,SamplingData[[#This Row],[Max Error Bound (up)]]/SamplingData[[#Totals],[Max Error Bound (up)]])</f>
        <v>9.1530716631669671E-4</v>
      </c>
      <c r="AD1093" s="104">
        <f>SUM($AC$5:AC1093)</f>
        <v>0.93045011575943659</v>
      </c>
      <c r="AE1093" s="100" t="str" cm="1">
        <f t="array" ref="AE1093">IF(SamplingData[[#This Row],[up/U Selection Probability]] = 0, "Zero", TEXT(SamplingData[[#This Row],[Lower Range]], REPT("0",LEN('General Info'!$B$42))) &amp; " - " &amp; TEXT(SamplingData[[#This Row],[Upper Range]], REPT("0",LEN('General Info'!$B$42))))</f>
        <v>92953 - 93044</v>
      </c>
      <c r="AF1093" s="100">
        <f>SamplingData[[#This Row],[Upper Range]]-SamplingData[[#This Row],[Span]]</f>
        <v>92953.480859311996</v>
      </c>
      <c r="AG1093" s="100">
        <f>IF(ISNUMBER('General Info'!$B$42), ((SamplingData[[#This Row],[up/U Selection Probability]]) * 'General Info'!$B$44) - 1, 0)</f>
        <v>90.530716631669677</v>
      </c>
      <c r="AH1093" s="100">
        <f>IF(ISNUMBER('General Info'!$B$42), (SamplingData[[#This Row],[Running (cumulative) sum]] * ('General Info'!$B$42 -'General Info'!$B$43 + 1)) + 'General Info'!$B$43 - 1, 0)</f>
        <v>93044.011575943659</v>
      </c>
      <c r="AI1093" s="100" t="str">
        <f>IF(ISERROR(MATCH(SamplingData[[#This Row],[Batch by Type (p)]],SelectedPrecincts[Batch Name], 0)), "", INDEX(SelectedPrecincts[Draw], MATCH(SamplingData[[#This Row],[Batch by Type (p)]],SelectedPrecincts[Batch Name], 0)))</f>
        <v/>
      </c>
      <c r="AJ1093" s="101">
        <f>IF(COUNTIF(SelectedPrecincts[Batch Name],SamplingData[[#This Row],[Batch by Type (p)]]) &lt;&gt; 0, COUNTIF(SelectedPrecincts[Batch Name],SamplingData[[#This Row],[Batch by Type (p)]]), 0)</f>
        <v>0</v>
      </c>
    </row>
    <row r="1094" spans="1:36" ht="15" customHeight="1" x14ac:dyDescent="0.35">
      <c r="A1094" s="98" t="s">
        <v>1304</v>
      </c>
      <c r="B1094" s="98">
        <v>21</v>
      </c>
      <c r="C1094" s="98">
        <v>2</v>
      </c>
      <c r="D1094" s="93"/>
      <c r="E1094" s="93"/>
      <c r="F1094" s="93"/>
      <c r="G1094" s="97"/>
      <c r="H1094" s="97"/>
      <c r="I1094" s="93"/>
      <c r="J1094" s="93"/>
      <c r="K1094" s="93"/>
      <c r="L1094" s="93"/>
      <c r="M1094" s="93"/>
      <c r="N1094" s="98">
        <v>0</v>
      </c>
      <c r="O1094" s="98">
        <v>0</v>
      </c>
      <c r="P1094" s="99">
        <f>SUM(SamplingData[[#This Row],[Winning Candidate]:[Under Votes]])</f>
        <v>23</v>
      </c>
      <c r="Q1094" s="100">
        <f>IF(AND(SamplingData[[#This Row],[Total]]&lt;&gt; 0, NOT(ISBLANK(SamplingData[[#This Row],[Losing Candidate]]))),(SamplingData[[#This Row],[Total]]+SamplingData[[#This Row],[Winning Candidate]]-SamplingData[[#This Row],[Losing Candidate]])/(SamplingData[[#Totals],[Winning Candidate]]-SamplingData[[#Totals],[Losing Candidate]]), 0)</f>
        <v>1.3192197757326382E-3</v>
      </c>
      <c r="R1094" s="100">
        <f>IF(AND(SamplingData[[#This Row],[Total]]&lt;&gt; 0, NOT(ISBLANK(SamplingData[[#This Row],[Candidate 3]]))),(SamplingData[[#This Row],[Total]]+SamplingData[[#This Row],[Winning Candidate]]-SamplingData[[#This Row],[Candidate 3]])/(SamplingData[[#Totals],[Winning Candidate]]-SamplingData[[#Totals],[Candidate 3]]), 0)</f>
        <v>0</v>
      </c>
      <c r="S1094" s="100">
        <f>IF(AND(SamplingData[[#This Row],[Total]]&lt;&gt; 0, NOT(ISBLANK(SamplingData[[#This Row],[Candidate 4]]))),(SamplingData[[#This Row],[Total]]+SamplingData[[#This Row],[Winning Candidate]]-SamplingData[[#This Row],[Candidate 4]])/(SamplingData[[#Totals],[Winning Candidate]]-SamplingData[[#Totals],[Candidate 4]]), 0)</f>
        <v>0</v>
      </c>
      <c r="T1094" s="100">
        <f>IF(AND(SamplingData[[#This Row],[Total]]&lt;&gt; 0, NOT(ISBLANK(SamplingData[[#This Row],[Candidate 5]]))),(SamplingData[[#This Row],[Total]]+SamplingData[[#This Row],[Winning Candidate]]-SamplingData[[#This Row],[Candidate 5]])/(SamplingData[[#Totals],[Winning Candidate]]-SamplingData[[#Totals],[Candidate 5]]), 0)</f>
        <v>0</v>
      </c>
      <c r="U1094" s="100">
        <f>IF(AND(SamplingData[[#This Row],[Total]]&lt;&gt; 0, NOT(ISBLANK(SamplingData[[#This Row],[Candidate 6]]))),(SamplingData[[#This Row],[Total]]+SamplingData[[#This Row],[Losing Candidate]]-SamplingData[[#This Row],[Candidate 6]])/(SamplingData[[#Totals],[Winning Candidate]]-SamplingData[[#Totals],[Candidate 6]]), 0)</f>
        <v>0</v>
      </c>
      <c r="V1094" s="100">
        <f>IF(AND(SamplingData[[#This Row],[Total]]&lt;&gt; 0, NOT(ISBLANK(SamplingData[[#This Row],[Candidate 7]]))),(SamplingData[[#This Row],[Total]]+SamplingData[[#This Row],[Winning Candidate]]-SamplingData[[#This Row],[Candidate 7]])/(SamplingData[[#Totals],[Winning Candidate]]-SamplingData[[#Totals],[Candidate 7]]), 0)</f>
        <v>0</v>
      </c>
      <c r="W1094" s="100">
        <f>IF(AND(SamplingData[[#This Row],[Total]]&lt;&gt; 0, NOT(ISBLANK(SamplingData[[#This Row],[Candidate 8]]))),(SamplingData[[#This Row],[Total]]+SamplingData[[#This Row],[Winning Candidate]]-SamplingData[[#This Row],[Candidate 8]])/(SamplingData[[#Totals],[Winning Candidate]]-SamplingData[[#Totals],[Candidate 8]]), 0)</f>
        <v>0</v>
      </c>
      <c r="X10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00">
        <f>MAX(SamplingData[[#This Row],[Error Bound (up) - Max. possible relative overstatement - Losing Candidate]:[Error Bound (up) - Max. possible relative overstatement - Candidate 12]])</f>
        <v>1.3192197757326382E-3</v>
      </c>
      <c r="AC1094" s="100">
        <f>IF(SamplingData[[#This Row],[Max Error Bound (up)]] = 0,0,SamplingData[[#This Row],[Max Error Bound (up)]]/SamplingData[[#Totals],[Max Error Bound (up)]])</f>
        <v>5.6533677919560674E-4</v>
      </c>
      <c r="AD1094" s="104">
        <f>SUM($AC$5:AC1094)</f>
        <v>0.93101545253863216</v>
      </c>
      <c r="AE1094" s="100" t="str" cm="1">
        <f t="array" ref="AE1094">IF(SamplingData[[#This Row],[up/U Selection Probability]] = 0, "Zero", TEXT(SamplingData[[#This Row],[Lower Range]], REPT("0",LEN('General Info'!$B$42))) &amp; " - " &amp; TEXT(SamplingData[[#This Row],[Upper Range]], REPT("0",LEN('General Info'!$B$42))))</f>
        <v>93045 - 93101</v>
      </c>
      <c r="AF1094" s="100">
        <f>SamplingData[[#This Row],[Upper Range]]-SamplingData[[#This Row],[Span]]</f>
        <v>93045.011575943645</v>
      </c>
      <c r="AG1094" s="100">
        <f>IF(ISNUMBER('General Info'!$B$42), ((SamplingData[[#This Row],[up/U Selection Probability]]) * 'General Info'!$B$44) - 1, 0)</f>
        <v>55.533677919560674</v>
      </c>
      <c r="AH1094" s="100">
        <f>IF(ISNUMBER('General Info'!$B$42), (SamplingData[[#This Row],[Running (cumulative) sum]] * ('General Info'!$B$42 -'General Info'!$B$43 + 1)) + 'General Info'!$B$43 - 1, 0)</f>
        <v>93100.545253863209</v>
      </c>
      <c r="AI1094" s="100" t="str">
        <f>IF(ISERROR(MATCH(SamplingData[[#This Row],[Batch by Type (p)]],SelectedPrecincts[Batch Name], 0)), "", INDEX(SelectedPrecincts[Draw], MATCH(SamplingData[[#This Row],[Batch by Type (p)]],SelectedPrecincts[Batch Name], 0)))</f>
        <v/>
      </c>
      <c r="AJ1094" s="101">
        <f>IF(COUNTIF(SelectedPrecincts[Batch Name],SamplingData[[#This Row],[Batch by Type (p)]]) &lt;&gt; 0, COUNTIF(SelectedPrecincts[Batch Name],SamplingData[[#This Row],[Batch by Type (p)]]), 0)</f>
        <v>0</v>
      </c>
    </row>
    <row r="1095" spans="1:36" ht="15" customHeight="1" x14ac:dyDescent="0.35">
      <c r="A1095" s="98" t="s">
        <v>1305</v>
      </c>
      <c r="B1095" s="98">
        <v>29</v>
      </c>
      <c r="C1095" s="98">
        <v>1</v>
      </c>
      <c r="D1095" s="93"/>
      <c r="E1095" s="93"/>
      <c r="F1095" s="93"/>
      <c r="G1095" s="97"/>
      <c r="H1095" s="97"/>
      <c r="I1095" s="93"/>
      <c r="J1095" s="93"/>
      <c r="K1095" s="93"/>
      <c r="L1095" s="93"/>
      <c r="M1095" s="93"/>
      <c r="N1095" s="98">
        <v>0</v>
      </c>
      <c r="O1095" s="98">
        <v>0</v>
      </c>
      <c r="P1095" s="99">
        <f>SUM(SamplingData[[#This Row],[Winning Candidate]:[Under Votes]])</f>
        <v>30</v>
      </c>
      <c r="Q1095" s="100">
        <f>IF(AND(SamplingData[[#This Row],[Total]]&lt;&gt; 0, NOT(ISBLANK(SamplingData[[#This Row],[Losing Candidate]]))),(SamplingData[[#This Row],[Total]]+SamplingData[[#This Row],[Winning Candidate]]-SamplingData[[#This Row],[Losing Candidate]])/(SamplingData[[#Totals],[Winning Candidate]]-SamplingData[[#Totals],[Losing Candidate]]), 0)</f>
        <v>1.8217796902974526E-3</v>
      </c>
      <c r="R1095" s="100">
        <f>IF(AND(SamplingData[[#This Row],[Total]]&lt;&gt; 0, NOT(ISBLANK(SamplingData[[#This Row],[Candidate 3]]))),(SamplingData[[#This Row],[Total]]+SamplingData[[#This Row],[Winning Candidate]]-SamplingData[[#This Row],[Candidate 3]])/(SamplingData[[#Totals],[Winning Candidate]]-SamplingData[[#Totals],[Candidate 3]]), 0)</f>
        <v>0</v>
      </c>
      <c r="S1095" s="100">
        <f>IF(AND(SamplingData[[#This Row],[Total]]&lt;&gt; 0, NOT(ISBLANK(SamplingData[[#This Row],[Candidate 4]]))),(SamplingData[[#This Row],[Total]]+SamplingData[[#This Row],[Winning Candidate]]-SamplingData[[#This Row],[Candidate 4]])/(SamplingData[[#Totals],[Winning Candidate]]-SamplingData[[#Totals],[Candidate 4]]), 0)</f>
        <v>0</v>
      </c>
      <c r="T1095" s="100">
        <f>IF(AND(SamplingData[[#This Row],[Total]]&lt;&gt; 0, NOT(ISBLANK(SamplingData[[#This Row],[Candidate 5]]))),(SamplingData[[#This Row],[Total]]+SamplingData[[#This Row],[Winning Candidate]]-SamplingData[[#This Row],[Candidate 5]])/(SamplingData[[#Totals],[Winning Candidate]]-SamplingData[[#Totals],[Candidate 5]]), 0)</f>
        <v>0</v>
      </c>
      <c r="U1095" s="100">
        <f>IF(AND(SamplingData[[#This Row],[Total]]&lt;&gt; 0, NOT(ISBLANK(SamplingData[[#This Row],[Candidate 6]]))),(SamplingData[[#This Row],[Total]]+SamplingData[[#This Row],[Losing Candidate]]-SamplingData[[#This Row],[Candidate 6]])/(SamplingData[[#Totals],[Winning Candidate]]-SamplingData[[#Totals],[Candidate 6]]), 0)</f>
        <v>0</v>
      </c>
      <c r="V1095" s="100">
        <f>IF(AND(SamplingData[[#This Row],[Total]]&lt;&gt; 0, NOT(ISBLANK(SamplingData[[#This Row],[Candidate 7]]))),(SamplingData[[#This Row],[Total]]+SamplingData[[#This Row],[Winning Candidate]]-SamplingData[[#This Row],[Candidate 7]])/(SamplingData[[#Totals],[Winning Candidate]]-SamplingData[[#Totals],[Candidate 7]]), 0)</f>
        <v>0</v>
      </c>
      <c r="W1095" s="100">
        <f>IF(AND(SamplingData[[#This Row],[Total]]&lt;&gt; 0, NOT(ISBLANK(SamplingData[[#This Row],[Candidate 8]]))),(SamplingData[[#This Row],[Total]]+SamplingData[[#This Row],[Winning Candidate]]-SamplingData[[#This Row],[Candidate 8]])/(SamplingData[[#Totals],[Winning Candidate]]-SamplingData[[#Totals],[Candidate 8]]), 0)</f>
        <v>0</v>
      </c>
      <c r="X10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00">
        <f>MAX(SamplingData[[#This Row],[Error Bound (up) - Max. possible relative overstatement - Losing Candidate]:[Error Bound (up) - Max. possible relative overstatement - Candidate 12]])</f>
        <v>1.8217796902974526E-3</v>
      </c>
      <c r="AC1095" s="100">
        <f>IF(SamplingData[[#This Row],[Max Error Bound (up)]] = 0,0,SamplingData[[#This Row],[Max Error Bound (up)]]/SamplingData[[#Totals],[Max Error Bound (up)]])</f>
        <v>7.8070317127012351E-4</v>
      </c>
      <c r="AD1095" s="104">
        <f>SUM($AC$5:AC1095)</f>
        <v>0.93179615570990226</v>
      </c>
      <c r="AE1095" s="100" t="str" cm="1">
        <f t="array" ref="AE1095">IF(SamplingData[[#This Row],[up/U Selection Probability]] = 0, "Zero", TEXT(SamplingData[[#This Row],[Lower Range]], REPT("0",LEN('General Info'!$B$42))) &amp; " - " &amp; TEXT(SamplingData[[#This Row],[Upper Range]], REPT("0",LEN('General Info'!$B$42))))</f>
        <v>93102 - 93179</v>
      </c>
      <c r="AF1095" s="100">
        <f>SamplingData[[#This Row],[Upper Range]]-SamplingData[[#This Row],[Span]]</f>
        <v>93101.545253863209</v>
      </c>
      <c r="AG1095" s="100">
        <f>IF(ISNUMBER('General Info'!$B$42), ((SamplingData[[#This Row],[up/U Selection Probability]]) * 'General Info'!$B$44) - 1, 0)</f>
        <v>77.070317127012345</v>
      </c>
      <c r="AH1095" s="100">
        <f>IF(ISNUMBER('General Info'!$B$42), (SamplingData[[#This Row],[Running (cumulative) sum]] * ('General Info'!$B$42 -'General Info'!$B$43 + 1)) + 'General Info'!$B$43 - 1, 0)</f>
        <v>93178.615570990223</v>
      </c>
      <c r="AI1095" s="100" t="str">
        <f>IF(ISERROR(MATCH(SamplingData[[#This Row],[Batch by Type (p)]],SelectedPrecincts[Batch Name], 0)), "", INDEX(SelectedPrecincts[Draw], MATCH(SamplingData[[#This Row],[Batch by Type (p)]],SelectedPrecincts[Batch Name], 0)))</f>
        <v/>
      </c>
      <c r="AJ1095" s="101">
        <f>IF(COUNTIF(SelectedPrecincts[Batch Name],SamplingData[[#This Row],[Batch by Type (p)]]) &lt;&gt; 0, COUNTIF(SelectedPrecincts[Batch Name],SamplingData[[#This Row],[Batch by Type (p)]]), 0)</f>
        <v>0</v>
      </c>
    </row>
    <row r="1096" spans="1:36" ht="15" customHeight="1" x14ac:dyDescent="0.35">
      <c r="A1096" s="98" t="s">
        <v>1306</v>
      </c>
      <c r="B1096" s="98">
        <v>51</v>
      </c>
      <c r="C1096" s="98">
        <v>9</v>
      </c>
      <c r="D1096" s="93"/>
      <c r="E1096" s="93"/>
      <c r="F1096" s="93"/>
      <c r="G1096" s="97"/>
      <c r="H1096" s="97"/>
      <c r="I1096" s="93"/>
      <c r="J1096" s="93"/>
      <c r="K1096" s="93"/>
      <c r="L1096" s="93"/>
      <c r="M1096" s="93"/>
      <c r="N1096" s="98">
        <v>0</v>
      </c>
      <c r="O1096" s="98">
        <v>1</v>
      </c>
      <c r="P1096" s="99">
        <f>SUM(SamplingData[[#This Row],[Winning Candidate]:[Under Votes]])</f>
        <v>61</v>
      </c>
      <c r="Q1096" s="100">
        <f>IF(AND(SamplingData[[#This Row],[Total]]&lt;&gt; 0, NOT(ISBLANK(SamplingData[[#This Row],[Losing Candidate]]))),(SamplingData[[#This Row],[Total]]+SamplingData[[#This Row],[Winning Candidate]]-SamplingData[[#This Row],[Losing Candidate]])/(SamplingData[[#Totals],[Winning Candidate]]-SamplingData[[#Totals],[Losing Candidate]]), 0)</f>
        <v>3.2352294500109934E-3</v>
      </c>
      <c r="R1096" s="100">
        <f>IF(AND(SamplingData[[#This Row],[Total]]&lt;&gt; 0, NOT(ISBLANK(SamplingData[[#This Row],[Candidate 3]]))),(SamplingData[[#This Row],[Total]]+SamplingData[[#This Row],[Winning Candidate]]-SamplingData[[#This Row],[Candidate 3]])/(SamplingData[[#Totals],[Winning Candidate]]-SamplingData[[#Totals],[Candidate 3]]), 0)</f>
        <v>0</v>
      </c>
      <c r="S1096" s="100">
        <f>IF(AND(SamplingData[[#This Row],[Total]]&lt;&gt; 0, NOT(ISBLANK(SamplingData[[#This Row],[Candidate 4]]))),(SamplingData[[#This Row],[Total]]+SamplingData[[#This Row],[Winning Candidate]]-SamplingData[[#This Row],[Candidate 4]])/(SamplingData[[#Totals],[Winning Candidate]]-SamplingData[[#Totals],[Candidate 4]]), 0)</f>
        <v>0</v>
      </c>
      <c r="T1096" s="100">
        <f>IF(AND(SamplingData[[#This Row],[Total]]&lt;&gt; 0, NOT(ISBLANK(SamplingData[[#This Row],[Candidate 5]]))),(SamplingData[[#This Row],[Total]]+SamplingData[[#This Row],[Winning Candidate]]-SamplingData[[#This Row],[Candidate 5]])/(SamplingData[[#Totals],[Winning Candidate]]-SamplingData[[#Totals],[Candidate 5]]), 0)</f>
        <v>0</v>
      </c>
      <c r="U1096" s="100">
        <f>IF(AND(SamplingData[[#This Row],[Total]]&lt;&gt; 0, NOT(ISBLANK(SamplingData[[#This Row],[Candidate 6]]))),(SamplingData[[#This Row],[Total]]+SamplingData[[#This Row],[Losing Candidate]]-SamplingData[[#This Row],[Candidate 6]])/(SamplingData[[#Totals],[Winning Candidate]]-SamplingData[[#Totals],[Candidate 6]]), 0)</f>
        <v>0</v>
      </c>
      <c r="V1096" s="100">
        <f>IF(AND(SamplingData[[#This Row],[Total]]&lt;&gt; 0, NOT(ISBLANK(SamplingData[[#This Row],[Candidate 7]]))),(SamplingData[[#This Row],[Total]]+SamplingData[[#This Row],[Winning Candidate]]-SamplingData[[#This Row],[Candidate 7]])/(SamplingData[[#Totals],[Winning Candidate]]-SamplingData[[#Totals],[Candidate 7]]), 0)</f>
        <v>0</v>
      </c>
      <c r="W1096" s="100">
        <f>IF(AND(SamplingData[[#This Row],[Total]]&lt;&gt; 0, NOT(ISBLANK(SamplingData[[#This Row],[Candidate 8]]))),(SamplingData[[#This Row],[Total]]+SamplingData[[#This Row],[Winning Candidate]]-SamplingData[[#This Row],[Candidate 8]])/(SamplingData[[#Totals],[Winning Candidate]]-SamplingData[[#Totals],[Candidate 8]]), 0)</f>
        <v>0</v>
      </c>
      <c r="X10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00">
        <f>MAX(SamplingData[[#This Row],[Error Bound (up) - Max. possible relative overstatement - Losing Candidate]:[Error Bound (up) - Max. possible relative overstatement - Candidate 12]])</f>
        <v>3.2352294500109934E-3</v>
      </c>
      <c r="AC1096" s="100">
        <f>IF(SamplingData[[#This Row],[Max Error Bound (up)]] = 0,0,SamplingData[[#This Row],[Max Error Bound (up)]]/SamplingData[[#Totals],[Max Error Bound (up)]])</f>
        <v>1.3864211489797022E-3</v>
      </c>
      <c r="AD1096" s="104">
        <f>SUM($AC$5:AC1096)</f>
        <v>0.93318257685888195</v>
      </c>
      <c r="AE1096" s="100" t="str" cm="1">
        <f t="array" ref="AE1096">IF(SamplingData[[#This Row],[up/U Selection Probability]] = 0, "Zero", TEXT(SamplingData[[#This Row],[Lower Range]], REPT("0",LEN('General Info'!$B$42))) &amp; " - " &amp; TEXT(SamplingData[[#This Row],[Upper Range]], REPT("0",LEN('General Info'!$B$42))))</f>
        <v>93180 - 93317</v>
      </c>
      <c r="AF1096" s="100">
        <f>SamplingData[[#This Row],[Upper Range]]-SamplingData[[#This Row],[Span]]</f>
        <v>93179.615570990223</v>
      </c>
      <c r="AG1096" s="100">
        <f>IF(ISNUMBER('General Info'!$B$42), ((SamplingData[[#This Row],[up/U Selection Probability]]) * 'General Info'!$B$44) - 1, 0)</f>
        <v>137.6421148979702</v>
      </c>
      <c r="AH1096" s="100">
        <f>IF(ISNUMBER('General Info'!$B$42), (SamplingData[[#This Row],[Running (cumulative) sum]] * ('General Info'!$B$42 -'General Info'!$B$43 + 1)) + 'General Info'!$B$43 - 1, 0)</f>
        <v>93317.257685888195</v>
      </c>
      <c r="AI1096" s="100" t="str">
        <f>IF(ISERROR(MATCH(SamplingData[[#This Row],[Batch by Type (p)]],SelectedPrecincts[Batch Name], 0)), "", INDEX(SelectedPrecincts[Draw], MATCH(SamplingData[[#This Row],[Batch by Type (p)]],SelectedPrecincts[Batch Name], 0)))</f>
        <v/>
      </c>
      <c r="AJ1096" s="101">
        <f>IF(COUNTIF(SelectedPrecincts[Batch Name],SamplingData[[#This Row],[Batch by Type (p)]]) &lt;&gt; 0, COUNTIF(SelectedPrecincts[Batch Name],SamplingData[[#This Row],[Batch by Type (p)]]), 0)</f>
        <v>0</v>
      </c>
    </row>
    <row r="1097" spans="1:36" ht="15" customHeight="1" x14ac:dyDescent="0.35">
      <c r="A1097" s="98" t="s">
        <v>1307</v>
      </c>
      <c r="B1097" s="98">
        <v>68</v>
      </c>
      <c r="C1097" s="98">
        <v>4</v>
      </c>
      <c r="D1097" s="93"/>
      <c r="E1097" s="93"/>
      <c r="F1097" s="93"/>
      <c r="G1097" s="97"/>
      <c r="H1097" s="97"/>
      <c r="I1097" s="93"/>
      <c r="J1097" s="93"/>
      <c r="K1097" s="93"/>
      <c r="L1097" s="93"/>
      <c r="M1097" s="93"/>
      <c r="N1097" s="98">
        <v>0</v>
      </c>
      <c r="O1097" s="98">
        <v>1</v>
      </c>
      <c r="P1097" s="99">
        <f>SUM(SamplingData[[#This Row],[Winning Candidate]:[Under Votes]])</f>
        <v>73</v>
      </c>
      <c r="Q1097" s="100">
        <f>IF(AND(SamplingData[[#This Row],[Total]]&lt;&gt; 0, NOT(ISBLANK(SamplingData[[#This Row],[Losing Candidate]]))),(SamplingData[[#This Row],[Total]]+SamplingData[[#This Row],[Winning Candidate]]-SamplingData[[#This Row],[Losing Candidate]])/(SamplingData[[#Totals],[Winning Candidate]]-SamplingData[[#Totals],[Losing Candidate]]), 0)</f>
        <v>4.3031692684612245E-3</v>
      </c>
      <c r="R1097" s="100">
        <f>IF(AND(SamplingData[[#This Row],[Total]]&lt;&gt; 0, NOT(ISBLANK(SamplingData[[#This Row],[Candidate 3]]))),(SamplingData[[#This Row],[Total]]+SamplingData[[#This Row],[Winning Candidate]]-SamplingData[[#This Row],[Candidate 3]])/(SamplingData[[#Totals],[Winning Candidate]]-SamplingData[[#Totals],[Candidate 3]]), 0)</f>
        <v>0</v>
      </c>
      <c r="S1097" s="100">
        <f>IF(AND(SamplingData[[#This Row],[Total]]&lt;&gt; 0, NOT(ISBLANK(SamplingData[[#This Row],[Candidate 4]]))),(SamplingData[[#This Row],[Total]]+SamplingData[[#This Row],[Winning Candidate]]-SamplingData[[#This Row],[Candidate 4]])/(SamplingData[[#Totals],[Winning Candidate]]-SamplingData[[#Totals],[Candidate 4]]), 0)</f>
        <v>0</v>
      </c>
      <c r="T1097" s="100">
        <f>IF(AND(SamplingData[[#This Row],[Total]]&lt;&gt; 0, NOT(ISBLANK(SamplingData[[#This Row],[Candidate 5]]))),(SamplingData[[#This Row],[Total]]+SamplingData[[#This Row],[Winning Candidate]]-SamplingData[[#This Row],[Candidate 5]])/(SamplingData[[#Totals],[Winning Candidate]]-SamplingData[[#Totals],[Candidate 5]]), 0)</f>
        <v>0</v>
      </c>
      <c r="U1097" s="100">
        <f>IF(AND(SamplingData[[#This Row],[Total]]&lt;&gt; 0, NOT(ISBLANK(SamplingData[[#This Row],[Candidate 6]]))),(SamplingData[[#This Row],[Total]]+SamplingData[[#This Row],[Losing Candidate]]-SamplingData[[#This Row],[Candidate 6]])/(SamplingData[[#Totals],[Winning Candidate]]-SamplingData[[#Totals],[Candidate 6]]), 0)</f>
        <v>0</v>
      </c>
      <c r="V1097" s="100">
        <f>IF(AND(SamplingData[[#This Row],[Total]]&lt;&gt; 0, NOT(ISBLANK(SamplingData[[#This Row],[Candidate 7]]))),(SamplingData[[#This Row],[Total]]+SamplingData[[#This Row],[Winning Candidate]]-SamplingData[[#This Row],[Candidate 7]])/(SamplingData[[#Totals],[Winning Candidate]]-SamplingData[[#Totals],[Candidate 7]]), 0)</f>
        <v>0</v>
      </c>
      <c r="W1097" s="100">
        <f>IF(AND(SamplingData[[#This Row],[Total]]&lt;&gt; 0, NOT(ISBLANK(SamplingData[[#This Row],[Candidate 8]]))),(SamplingData[[#This Row],[Total]]+SamplingData[[#This Row],[Winning Candidate]]-SamplingData[[#This Row],[Candidate 8]])/(SamplingData[[#Totals],[Winning Candidate]]-SamplingData[[#Totals],[Candidate 8]]), 0)</f>
        <v>0</v>
      </c>
      <c r="X10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00">
        <f>MAX(SamplingData[[#This Row],[Error Bound (up) - Max. possible relative overstatement - Losing Candidate]:[Error Bound (up) - Max. possible relative overstatement - Candidate 12]])</f>
        <v>4.3031692684612245E-3</v>
      </c>
      <c r="AC1097" s="100">
        <f>IF(SamplingData[[#This Row],[Max Error Bound (up)]] = 0,0,SamplingData[[#This Row],[Max Error Bound (up)]]/SamplingData[[#Totals],[Max Error Bound (up)]])</f>
        <v>1.8440747321380505E-3</v>
      </c>
      <c r="AD1097" s="104">
        <f>SUM($AC$5:AC1097)</f>
        <v>0.93502665159102005</v>
      </c>
      <c r="AE1097" s="100" t="str" cm="1">
        <f t="array" ref="AE1097">IF(SamplingData[[#This Row],[up/U Selection Probability]] = 0, "Zero", TEXT(SamplingData[[#This Row],[Lower Range]], REPT("0",LEN('General Info'!$B$42))) &amp; " - " &amp; TEXT(SamplingData[[#This Row],[Upper Range]], REPT("0",LEN('General Info'!$B$42))))</f>
        <v>93318 - 93502</v>
      </c>
      <c r="AF1097" s="100">
        <f>SamplingData[[#This Row],[Upper Range]]-SamplingData[[#This Row],[Span]]</f>
        <v>93318.257685888195</v>
      </c>
      <c r="AG1097" s="100">
        <f>IF(ISNUMBER('General Info'!$B$42), ((SamplingData[[#This Row],[up/U Selection Probability]]) * 'General Info'!$B$44) - 1, 0)</f>
        <v>183.40747321380505</v>
      </c>
      <c r="AH1097" s="100">
        <f>IF(ISNUMBER('General Info'!$B$42), (SamplingData[[#This Row],[Running (cumulative) sum]] * ('General Info'!$B$42 -'General Info'!$B$43 + 1)) + 'General Info'!$B$43 - 1, 0)</f>
        <v>93501.665159102005</v>
      </c>
      <c r="AI1097" s="100" t="str">
        <f>IF(ISERROR(MATCH(SamplingData[[#This Row],[Batch by Type (p)]],SelectedPrecincts[Batch Name], 0)), "", INDEX(SelectedPrecincts[Draw], MATCH(SamplingData[[#This Row],[Batch by Type (p)]],SelectedPrecincts[Batch Name], 0)))</f>
        <v/>
      </c>
      <c r="AJ1097" s="101">
        <f>IF(COUNTIF(SelectedPrecincts[Batch Name],SamplingData[[#This Row],[Batch by Type (p)]]) &lt;&gt; 0, COUNTIF(SelectedPrecincts[Batch Name],SamplingData[[#This Row],[Batch by Type (p)]]), 0)</f>
        <v>0</v>
      </c>
    </row>
    <row r="1098" spans="1:36" ht="15" customHeight="1" x14ac:dyDescent="0.35">
      <c r="A1098" s="98" t="s">
        <v>1308</v>
      </c>
      <c r="B1098" s="98">
        <v>3</v>
      </c>
      <c r="C1098" s="98">
        <v>0</v>
      </c>
      <c r="D1098" s="93"/>
      <c r="E1098" s="93"/>
      <c r="F1098" s="93"/>
      <c r="G1098" s="97"/>
      <c r="H1098" s="97"/>
      <c r="I1098" s="93"/>
      <c r="J1098" s="93"/>
      <c r="K1098" s="93"/>
      <c r="L1098" s="93"/>
      <c r="M1098" s="93"/>
      <c r="N1098" s="98">
        <v>0</v>
      </c>
      <c r="O1098" s="98">
        <v>0</v>
      </c>
      <c r="P1098" s="99">
        <f>SUM(SamplingData[[#This Row],[Winning Candidate]:[Under Votes]])</f>
        <v>3</v>
      </c>
      <c r="Q1098"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098" s="100">
        <f>IF(AND(SamplingData[[#This Row],[Total]]&lt;&gt; 0, NOT(ISBLANK(SamplingData[[#This Row],[Candidate 3]]))),(SamplingData[[#This Row],[Total]]+SamplingData[[#This Row],[Winning Candidate]]-SamplingData[[#This Row],[Candidate 3]])/(SamplingData[[#Totals],[Winning Candidate]]-SamplingData[[#Totals],[Candidate 3]]), 0)</f>
        <v>0</v>
      </c>
      <c r="S1098" s="100">
        <f>IF(AND(SamplingData[[#This Row],[Total]]&lt;&gt; 0, NOT(ISBLANK(SamplingData[[#This Row],[Candidate 4]]))),(SamplingData[[#This Row],[Total]]+SamplingData[[#This Row],[Winning Candidate]]-SamplingData[[#This Row],[Candidate 4]])/(SamplingData[[#Totals],[Winning Candidate]]-SamplingData[[#Totals],[Candidate 4]]), 0)</f>
        <v>0</v>
      </c>
      <c r="T1098" s="100">
        <f>IF(AND(SamplingData[[#This Row],[Total]]&lt;&gt; 0, NOT(ISBLANK(SamplingData[[#This Row],[Candidate 5]]))),(SamplingData[[#This Row],[Total]]+SamplingData[[#This Row],[Winning Candidate]]-SamplingData[[#This Row],[Candidate 5]])/(SamplingData[[#Totals],[Winning Candidate]]-SamplingData[[#Totals],[Candidate 5]]), 0)</f>
        <v>0</v>
      </c>
      <c r="U1098" s="100">
        <f>IF(AND(SamplingData[[#This Row],[Total]]&lt;&gt; 0, NOT(ISBLANK(SamplingData[[#This Row],[Candidate 6]]))),(SamplingData[[#This Row],[Total]]+SamplingData[[#This Row],[Losing Candidate]]-SamplingData[[#This Row],[Candidate 6]])/(SamplingData[[#Totals],[Winning Candidate]]-SamplingData[[#Totals],[Candidate 6]]), 0)</f>
        <v>0</v>
      </c>
      <c r="V1098" s="100">
        <f>IF(AND(SamplingData[[#This Row],[Total]]&lt;&gt; 0, NOT(ISBLANK(SamplingData[[#This Row],[Candidate 7]]))),(SamplingData[[#This Row],[Total]]+SamplingData[[#This Row],[Winning Candidate]]-SamplingData[[#This Row],[Candidate 7]])/(SamplingData[[#Totals],[Winning Candidate]]-SamplingData[[#Totals],[Candidate 7]]), 0)</f>
        <v>0</v>
      </c>
      <c r="W1098" s="100">
        <f>IF(AND(SamplingData[[#This Row],[Total]]&lt;&gt; 0, NOT(ISBLANK(SamplingData[[#This Row],[Candidate 8]]))),(SamplingData[[#This Row],[Total]]+SamplingData[[#This Row],[Winning Candidate]]-SamplingData[[#This Row],[Candidate 8]])/(SamplingData[[#Totals],[Winning Candidate]]-SamplingData[[#Totals],[Candidate 8]]), 0)</f>
        <v>0</v>
      </c>
      <c r="X10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00">
        <f>MAX(SamplingData[[#This Row],[Error Bound (up) - Max. possible relative overstatement - Losing Candidate]:[Error Bound (up) - Max. possible relative overstatement - Candidate 12]])</f>
        <v>1.8845996796180544E-4</v>
      </c>
      <c r="AC1098" s="100">
        <f>IF(SamplingData[[#This Row],[Max Error Bound (up)]] = 0,0,SamplingData[[#This Row],[Max Error Bound (up)]]/SamplingData[[#Totals],[Max Error Bound (up)]])</f>
        <v>8.0762397027943816E-5</v>
      </c>
      <c r="AD1098" s="104">
        <f>SUM($AC$5:AC1098)</f>
        <v>0.93510741398804798</v>
      </c>
      <c r="AE1098" s="100" t="str" cm="1">
        <f t="array" ref="AE1098">IF(SamplingData[[#This Row],[up/U Selection Probability]] = 0, "Zero", TEXT(SamplingData[[#This Row],[Lower Range]], REPT("0",LEN('General Info'!$B$42))) &amp; " - " &amp; TEXT(SamplingData[[#This Row],[Upper Range]], REPT("0",LEN('General Info'!$B$42))))</f>
        <v>93503 - 93510</v>
      </c>
      <c r="AF1098" s="100">
        <f>SamplingData[[#This Row],[Upper Range]]-SamplingData[[#This Row],[Span]]</f>
        <v>93502.665159101991</v>
      </c>
      <c r="AG1098" s="100">
        <f>IF(ISNUMBER('General Info'!$B$42), ((SamplingData[[#This Row],[up/U Selection Probability]]) * 'General Info'!$B$44) - 1, 0)</f>
        <v>7.076239702794382</v>
      </c>
      <c r="AH1098" s="100">
        <f>IF(ISNUMBER('General Info'!$B$42), (SamplingData[[#This Row],[Running (cumulative) sum]] * ('General Info'!$B$42 -'General Info'!$B$43 + 1)) + 'General Info'!$B$43 - 1, 0)</f>
        <v>93509.741398804792</v>
      </c>
      <c r="AI1098" s="100" t="str">
        <f>IF(ISERROR(MATCH(SamplingData[[#This Row],[Batch by Type (p)]],SelectedPrecincts[Batch Name], 0)), "", INDEX(SelectedPrecincts[Draw], MATCH(SamplingData[[#This Row],[Batch by Type (p)]],SelectedPrecincts[Batch Name], 0)))</f>
        <v/>
      </c>
      <c r="AJ1098" s="101">
        <f>IF(COUNTIF(SelectedPrecincts[Batch Name],SamplingData[[#This Row],[Batch by Type (p)]]) &lt;&gt; 0, COUNTIF(SelectedPrecincts[Batch Name],SamplingData[[#This Row],[Batch by Type (p)]]), 0)</f>
        <v>0</v>
      </c>
    </row>
    <row r="1099" spans="1:36" ht="15" customHeight="1" x14ac:dyDescent="0.35">
      <c r="A1099" s="98" t="s">
        <v>1309</v>
      </c>
      <c r="B1099" s="98">
        <v>88</v>
      </c>
      <c r="C1099" s="98">
        <v>33</v>
      </c>
      <c r="D1099" s="93"/>
      <c r="E1099" s="93"/>
      <c r="F1099" s="93"/>
      <c r="G1099" s="97"/>
      <c r="H1099" s="97"/>
      <c r="I1099" s="93"/>
      <c r="J1099" s="93"/>
      <c r="K1099" s="93"/>
      <c r="L1099" s="93"/>
      <c r="M1099" s="93"/>
      <c r="N1099" s="98">
        <v>0</v>
      </c>
      <c r="O1099" s="98">
        <v>1</v>
      </c>
      <c r="P1099" s="99">
        <f>SUM(SamplingData[[#This Row],[Winning Candidate]:[Under Votes]])</f>
        <v>122</v>
      </c>
      <c r="Q1099" s="100">
        <f>IF(AND(SamplingData[[#This Row],[Total]]&lt;&gt; 0, NOT(ISBLANK(SamplingData[[#This Row],[Losing Candidate]]))),(SamplingData[[#This Row],[Total]]+SamplingData[[#This Row],[Winning Candidate]]-SamplingData[[#This Row],[Losing Candidate]])/(SamplingData[[#Totals],[Winning Candidate]]-SamplingData[[#Totals],[Losing Candidate]]), 0)</f>
        <v>5.5595690548732608E-3</v>
      </c>
      <c r="R1099" s="100">
        <f>IF(AND(SamplingData[[#This Row],[Total]]&lt;&gt; 0, NOT(ISBLANK(SamplingData[[#This Row],[Candidate 3]]))),(SamplingData[[#This Row],[Total]]+SamplingData[[#This Row],[Winning Candidate]]-SamplingData[[#This Row],[Candidate 3]])/(SamplingData[[#Totals],[Winning Candidate]]-SamplingData[[#Totals],[Candidate 3]]), 0)</f>
        <v>0</v>
      </c>
      <c r="S1099" s="100">
        <f>IF(AND(SamplingData[[#This Row],[Total]]&lt;&gt; 0, NOT(ISBLANK(SamplingData[[#This Row],[Candidate 4]]))),(SamplingData[[#This Row],[Total]]+SamplingData[[#This Row],[Winning Candidate]]-SamplingData[[#This Row],[Candidate 4]])/(SamplingData[[#Totals],[Winning Candidate]]-SamplingData[[#Totals],[Candidate 4]]), 0)</f>
        <v>0</v>
      </c>
      <c r="T1099" s="100">
        <f>IF(AND(SamplingData[[#This Row],[Total]]&lt;&gt; 0, NOT(ISBLANK(SamplingData[[#This Row],[Candidate 5]]))),(SamplingData[[#This Row],[Total]]+SamplingData[[#This Row],[Winning Candidate]]-SamplingData[[#This Row],[Candidate 5]])/(SamplingData[[#Totals],[Winning Candidate]]-SamplingData[[#Totals],[Candidate 5]]), 0)</f>
        <v>0</v>
      </c>
      <c r="U1099" s="100">
        <f>IF(AND(SamplingData[[#This Row],[Total]]&lt;&gt; 0, NOT(ISBLANK(SamplingData[[#This Row],[Candidate 6]]))),(SamplingData[[#This Row],[Total]]+SamplingData[[#This Row],[Losing Candidate]]-SamplingData[[#This Row],[Candidate 6]])/(SamplingData[[#Totals],[Winning Candidate]]-SamplingData[[#Totals],[Candidate 6]]), 0)</f>
        <v>0</v>
      </c>
      <c r="V1099" s="100">
        <f>IF(AND(SamplingData[[#This Row],[Total]]&lt;&gt; 0, NOT(ISBLANK(SamplingData[[#This Row],[Candidate 7]]))),(SamplingData[[#This Row],[Total]]+SamplingData[[#This Row],[Winning Candidate]]-SamplingData[[#This Row],[Candidate 7]])/(SamplingData[[#Totals],[Winning Candidate]]-SamplingData[[#Totals],[Candidate 7]]), 0)</f>
        <v>0</v>
      </c>
      <c r="W1099" s="100">
        <f>IF(AND(SamplingData[[#This Row],[Total]]&lt;&gt; 0, NOT(ISBLANK(SamplingData[[#This Row],[Candidate 8]]))),(SamplingData[[#This Row],[Total]]+SamplingData[[#This Row],[Winning Candidate]]-SamplingData[[#This Row],[Candidate 8]])/(SamplingData[[#Totals],[Winning Candidate]]-SamplingData[[#Totals],[Candidate 8]]), 0)</f>
        <v>0</v>
      </c>
      <c r="X10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00">
        <f>MAX(SamplingData[[#This Row],[Error Bound (up) - Max. possible relative overstatement - Losing Candidate]:[Error Bound (up) - Max. possible relative overstatement - Candidate 12]])</f>
        <v>5.5595690548732608E-3</v>
      </c>
      <c r="AC1099" s="100">
        <f>IF(SamplingData[[#This Row],[Max Error Bound (up)]] = 0,0,SamplingData[[#This Row],[Max Error Bound (up)]]/SamplingData[[#Totals],[Max Error Bound (up)]])</f>
        <v>2.3824907123243429E-3</v>
      </c>
      <c r="AD1099" s="104">
        <f>SUM($AC$5:AC1099)</f>
        <v>0.9374899047003723</v>
      </c>
      <c r="AE1099" s="100" t="str" cm="1">
        <f t="array" ref="AE1099">IF(SamplingData[[#This Row],[up/U Selection Probability]] = 0, "Zero", TEXT(SamplingData[[#This Row],[Lower Range]], REPT("0",LEN('General Info'!$B$42))) &amp; " - " &amp; TEXT(SamplingData[[#This Row],[Upper Range]], REPT("0",LEN('General Info'!$B$42))))</f>
        <v>93511 - 93748</v>
      </c>
      <c r="AF1099" s="100">
        <f>SamplingData[[#This Row],[Upper Range]]-SamplingData[[#This Row],[Span]]</f>
        <v>93510.741398804792</v>
      </c>
      <c r="AG1099" s="100">
        <f>IF(ISNUMBER('General Info'!$B$42), ((SamplingData[[#This Row],[up/U Selection Probability]]) * 'General Info'!$B$44) - 1, 0)</f>
        <v>237.24907123243429</v>
      </c>
      <c r="AH1099" s="100">
        <f>IF(ISNUMBER('General Info'!$B$42), (SamplingData[[#This Row],[Running (cumulative) sum]] * ('General Info'!$B$42 -'General Info'!$B$43 + 1)) + 'General Info'!$B$43 - 1, 0)</f>
        <v>93747.990470037228</v>
      </c>
      <c r="AI1099" s="100" t="str">
        <f>IF(ISERROR(MATCH(SamplingData[[#This Row],[Batch by Type (p)]],SelectedPrecincts[Batch Name], 0)), "", INDEX(SelectedPrecincts[Draw], MATCH(SamplingData[[#This Row],[Batch by Type (p)]],SelectedPrecincts[Batch Name], 0)))</f>
        <v/>
      </c>
      <c r="AJ1099" s="101">
        <f>IF(COUNTIF(SelectedPrecincts[Batch Name],SamplingData[[#This Row],[Batch by Type (p)]]) &lt;&gt; 0, COUNTIF(SelectedPrecincts[Batch Name],SamplingData[[#This Row],[Batch by Type (p)]]), 0)</f>
        <v>0</v>
      </c>
    </row>
    <row r="1100" spans="1:36" ht="15" customHeight="1" x14ac:dyDescent="0.35">
      <c r="A1100" s="98" t="s">
        <v>1310</v>
      </c>
      <c r="B1100" s="98">
        <v>74</v>
      </c>
      <c r="C1100" s="98">
        <v>17</v>
      </c>
      <c r="D1100" s="93"/>
      <c r="E1100" s="93"/>
      <c r="F1100" s="93"/>
      <c r="G1100" s="97"/>
      <c r="H1100" s="97"/>
      <c r="I1100" s="93"/>
      <c r="J1100" s="93"/>
      <c r="K1100" s="93"/>
      <c r="L1100" s="93"/>
      <c r="M1100" s="93"/>
      <c r="N1100" s="98">
        <v>0</v>
      </c>
      <c r="O1100" s="98">
        <v>3</v>
      </c>
      <c r="P1100" s="99">
        <f>SUM(SamplingData[[#This Row],[Winning Candidate]:[Under Votes]])</f>
        <v>94</v>
      </c>
      <c r="Q1100" s="100">
        <f>IF(AND(SamplingData[[#This Row],[Total]]&lt;&gt; 0, NOT(ISBLANK(SamplingData[[#This Row],[Losing Candidate]]))),(SamplingData[[#This Row],[Total]]+SamplingData[[#This Row],[Winning Candidate]]-SamplingData[[#This Row],[Losing Candidate]])/(SamplingData[[#Totals],[Winning Candidate]]-SamplingData[[#Totals],[Losing Candidate]]), 0)</f>
        <v>4.7429091937054371E-3</v>
      </c>
      <c r="R1100" s="100">
        <f>IF(AND(SamplingData[[#This Row],[Total]]&lt;&gt; 0, NOT(ISBLANK(SamplingData[[#This Row],[Candidate 3]]))),(SamplingData[[#This Row],[Total]]+SamplingData[[#This Row],[Winning Candidate]]-SamplingData[[#This Row],[Candidate 3]])/(SamplingData[[#Totals],[Winning Candidate]]-SamplingData[[#Totals],[Candidate 3]]), 0)</f>
        <v>0</v>
      </c>
      <c r="S1100" s="100">
        <f>IF(AND(SamplingData[[#This Row],[Total]]&lt;&gt; 0, NOT(ISBLANK(SamplingData[[#This Row],[Candidate 4]]))),(SamplingData[[#This Row],[Total]]+SamplingData[[#This Row],[Winning Candidate]]-SamplingData[[#This Row],[Candidate 4]])/(SamplingData[[#Totals],[Winning Candidate]]-SamplingData[[#Totals],[Candidate 4]]), 0)</f>
        <v>0</v>
      </c>
      <c r="T1100" s="100">
        <f>IF(AND(SamplingData[[#This Row],[Total]]&lt;&gt; 0, NOT(ISBLANK(SamplingData[[#This Row],[Candidate 5]]))),(SamplingData[[#This Row],[Total]]+SamplingData[[#This Row],[Winning Candidate]]-SamplingData[[#This Row],[Candidate 5]])/(SamplingData[[#Totals],[Winning Candidate]]-SamplingData[[#Totals],[Candidate 5]]), 0)</f>
        <v>0</v>
      </c>
      <c r="U1100" s="100">
        <f>IF(AND(SamplingData[[#This Row],[Total]]&lt;&gt; 0, NOT(ISBLANK(SamplingData[[#This Row],[Candidate 6]]))),(SamplingData[[#This Row],[Total]]+SamplingData[[#This Row],[Losing Candidate]]-SamplingData[[#This Row],[Candidate 6]])/(SamplingData[[#Totals],[Winning Candidate]]-SamplingData[[#Totals],[Candidate 6]]), 0)</f>
        <v>0</v>
      </c>
      <c r="V1100" s="100">
        <f>IF(AND(SamplingData[[#This Row],[Total]]&lt;&gt; 0, NOT(ISBLANK(SamplingData[[#This Row],[Candidate 7]]))),(SamplingData[[#This Row],[Total]]+SamplingData[[#This Row],[Winning Candidate]]-SamplingData[[#This Row],[Candidate 7]])/(SamplingData[[#Totals],[Winning Candidate]]-SamplingData[[#Totals],[Candidate 7]]), 0)</f>
        <v>0</v>
      </c>
      <c r="W1100" s="100">
        <f>IF(AND(SamplingData[[#This Row],[Total]]&lt;&gt; 0, NOT(ISBLANK(SamplingData[[#This Row],[Candidate 8]]))),(SamplingData[[#This Row],[Total]]+SamplingData[[#This Row],[Winning Candidate]]-SamplingData[[#This Row],[Candidate 8]])/(SamplingData[[#Totals],[Winning Candidate]]-SamplingData[[#Totals],[Candidate 8]]), 0)</f>
        <v>0</v>
      </c>
      <c r="X1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00">
        <f>MAX(SamplingData[[#This Row],[Error Bound (up) - Max. possible relative overstatement - Losing Candidate]:[Error Bound (up) - Max. possible relative overstatement - Candidate 12]])</f>
        <v>4.7429091937054371E-3</v>
      </c>
      <c r="AC1100" s="100">
        <f>IF(SamplingData[[#This Row],[Max Error Bound (up)]] = 0,0,SamplingData[[#This Row],[Max Error Bound (up)]]/SamplingData[[#Totals],[Max Error Bound (up)]])</f>
        <v>2.0325203252032527E-3</v>
      </c>
      <c r="AD1100" s="104">
        <f>SUM($AC$5:AC1100)</f>
        <v>0.93952242502557559</v>
      </c>
      <c r="AE1100" s="100" t="str" cm="1">
        <f t="array" ref="AE1100">IF(SamplingData[[#This Row],[up/U Selection Probability]] = 0, "Zero", TEXT(SamplingData[[#This Row],[Lower Range]], REPT("0",LEN('General Info'!$B$42))) &amp; " - " &amp; TEXT(SamplingData[[#This Row],[Upper Range]], REPT("0",LEN('General Info'!$B$42))))</f>
        <v>93749 - 93951</v>
      </c>
      <c r="AF1100" s="100">
        <f>SamplingData[[#This Row],[Upper Range]]-SamplingData[[#This Row],[Span]]</f>
        <v>93748.990470037243</v>
      </c>
      <c r="AG1100" s="100">
        <f>IF(ISNUMBER('General Info'!$B$42), ((SamplingData[[#This Row],[up/U Selection Probability]]) * 'General Info'!$B$44) - 1, 0)</f>
        <v>202.25203252032526</v>
      </c>
      <c r="AH1100" s="100">
        <f>IF(ISNUMBER('General Info'!$B$42), (SamplingData[[#This Row],[Running (cumulative) sum]] * ('General Info'!$B$42 -'General Info'!$B$43 + 1)) + 'General Info'!$B$43 - 1, 0)</f>
        <v>93951.242502557565</v>
      </c>
      <c r="AI1100" s="100" t="str">
        <f>IF(ISERROR(MATCH(SamplingData[[#This Row],[Batch by Type (p)]],SelectedPrecincts[Batch Name], 0)), "", INDEX(SelectedPrecincts[Draw], MATCH(SamplingData[[#This Row],[Batch by Type (p)]],SelectedPrecincts[Batch Name], 0)))</f>
        <v/>
      </c>
      <c r="AJ1100" s="101">
        <f>IF(COUNTIF(SelectedPrecincts[Batch Name],SamplingData[[#This Row],[Batch by Type (p)]]) &lt;&gt; 0, COUNTIF(SelectedPrecincts[Batch Name],SamplingData[[#This Row],[Batch by Type (p)]]), 0)</f>
        <v>0</v>
      </c>
    </row>
    <row r="1101" spans="1:36" ht="15" customHeight="1" x14ac:dyDescent="0.35">
      <c r="A1101" s="98" t="s">
        <v>1311</v>
      </c>
      <c r="B1101" s="98">
        <v>68</v>
      </c>
      <c r="C1101" s="98">
        <v>8</v>
      </c>
      <c r="D1101" s="93"/>
      <c r="E1101" s="93"/>
      <c r="F1101" s="93"/>
      <c r="G1101" s="97"/>
      <c r="H1101" s="97"/>
      <c r="I1101" s="93"/>
      <c r="J1101" s="93"/>
      <c r="K1101" s="93"/>
      <c r="L1101" s="93"/>
      <c r="M1101" s="93"/>
      <c r="N1101" s="98">
        <v>0</v>
      </c>
      <c r="O1101" s="98">
        <v>3</v>
      </c>
      <c r="P1101" s="99">
        <f>SUM(SamplingData[[#This Row],[Winning Candidate]:[Under Votes]])</f>
        <v>79</v>
      </c>
      <c r="Q1101" s="100">
        <f>IF(AND(SamplingData[[#This Row],[Total]]&lt;&gt; 0, NOT(ISBLANK(SamplingData[[#This Row],[Losing Candidate]]))),(SamplingData[[#This Row],[Total]]+SamplingData[[#This Row],[Winning Candidate]]-SamplingData[[#This Row],[Losing Candidate]])/(SamplingData[[#Totals],[Winning Candidate]]-SamplingData[[#Totals],[Losing Candidate]]), 0)</f>
        <v>4.3659892577818261E-3</v>
      </c>
      <c r="R1101" s="100">
        <f>IF(AND(SamplingData[[#This Row],[Total]]&lt;&gt; 0, NOT(ISBLANK(SamplingData[[#This Row],[Candidate 3]]))),(SamplingData[[#This Row],[Total]]+SamplingData[[#This Row],[Winning Candidate]]-SamplingData[[#This Row],[Candidate 3]])/(SamplingData[[#Totals],[Winning Candidate]]-SamplingData[[#Totals],[Candidate 3]]), 0)</f>
        <v>0</v>
      </c>
      <c r="S1101" s="100">
        <f>IF(AND(SamplingData[[#This Row],[Total]]&lt;&gt; 0, NOT(ISBLANK(SamplingData[[#This Row],[Candidate 4]]))),(SamplingData[[#This Row],[Total]]+SamplingData[[#This Row],[Winning Candidate]]-SamplingData[[#This Row],[Candidate 4]])/(SamplingData[[#Totals],[Winning Candidate]]-SamplingData[[#Totals],[Candidate 4]]), 0)</f>
        <v>0</v>
      </c>
      <c r="T1101" s="100">
        <f>IF(AND(SamplingData[[#This Row],[Total]]&lt;&gt; 0, NOT(ISBLANK(SamplingData[[#This Row],[Candidate 5]]))),(SamplingData[[#This Row],[Total]]+SamplingData[[#This Row],[Winning Candidate]]-SamplingData[[#This Row],[Candidate 5]])/(SamplingData[[#Totals],[Winning Candidate]]-SamplingData[[#Totals],[Candidate 5]]), 0)</f>
        <v>0</v>
      </c>
      <c r="U1101" s="100">
        <f>IF(AND(SamplingData[[#This Row],[Total]]&lt;&gt; 0, NOT(ISBLANK(SamplingData[[#This Row],[Candidate 6]]))),(SamplingData[[#This Row],[Total]]+SamplingData[[#This Row],[Losing Candidate]]-SamplingData[[#This Row],[Candidate 6]])/(SamplingData[[#Totals],[Winning Candidate]]-SamplingData[[#Totals],[Candidate 6]]), 0)</f>
        <v>0</v>
      </c>
      <c r="V1101" s="100">
        <f>IF(AND(SamplingData[[#This Row],[Total]]&lt;&gt; 0, NOT(ISBLANK(SamplingData[[#This Row],[Candidate 7]]))),(SamplingData[[#This Row],[Total]]+SamplingData[[#This Row],[Winning Candidate]]-SamplingData[[#This Row],[Candidate 7]])/(SamplingData[[#Totals],[Winning Candidate]]-SamplingData[[#Totals],[Candidate 7]]), 0)</f>
        <v>0</v>
      </c>
      <c r="W1101" s="100">
        <f>IF(AND(SamplingData[[#This Row],[Total]]&lt;&gt; 0, NOT(ISBLANK(SamplingData[[#This Row],[Candidate 8]]))),(SamplingData[[#This Row],[Total]]+SamplingData[[#This Row],[Winning Candidate]]-SamplingData[[#This Row],[Candidate 8]])/(SamplingData[[#Totals],[Winning Candidate]]-SamplingData[[#Totals],[Candidate 8]]), 0)</f>
        <v>0</v>
      </c>
      <c r="X1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00">
        <f>MAX(SamplingData[[#This Row],[Error Bound (up) - Max. possible relative overstatement - Losing Candidate]:[Error Bound (up) - Max. possible relative overstatement - Candidate 12]])</f>
        <v>4.3659892577818261E-3</v>
      </c>
      <c r="AC1101" s="100">
        <f>IF(SamplingData[[#This Row],[Max Error Bound (up)]] = 0,0,SamplingData[[#This Row],[Max Error Bound (up)]]/SamplingData[[#Totals],[Max Error Bound (up)]])</f>
        <v>1.8709955311473651E-3</v>
      </c>
      <c r="AD1101" s="104">
        <f>SUM($AC$5:AC1101)</f>
        <v>0.94139342055672293</v>
      </c>
      <c r="AE1101" s="100" t="str" cm="1">
        <f t="array" ref="AE1101">IF(SamplingData[[#This Row],[up/U Selection Probability]] = 0, "Zero", TEXT(SamplingData[[#This Row],[Lower Range]], REPT("0",LEN('General Info'!$B$42))) &amp; " - " &amp; TEXT(SamplingData[[#This Row],[Upper Range]], REPT("0",LEN('General Info'!$B$42))))</f>
        <v>93952 - 94138</v>
      </c>
      <c r="AF1101" s="100">
        <f>SamplingData[[#This Row],[Upper Range]]-SamplingData[[#This Row],[Span]]</f>
        <v>93952.242502557565</v>
      </c>
      <c r="AG1101" s="100">
        <f>IF(ISNUMBER('General Info'!$B$42), ((SamplingData[[#This Row],[up/U Selection Probability]]) * 'General Info'!$B$44) - 1, 0)</f>
        <v>186.09955311473652</v>
      </c>
      <c r="AH1101" s="100">
        <f>IF(ISNUMBER('General Info'!$B$42), (SamplingData[[#This Row],[Running (cumulative) sum]] * ('General Info'!$B$42 -'General Info'!$B$43 + 1)) + 'General Info'!$B$43 - 1, 0)</f>
        <v>94138.342055672299</v>
      </c>
      <c r="AI1101" s="100" t="str">
        <f>IF(ISERROR(MATCH(SamplingData[[#This Row],[Batch by Type (p)]],SelectedPrecincts[Batch Name], 0)), "", INDEX(SelectedPrecincts[Draw], MATCH(SamplingData[[#This Row],[Batch by Type (p)]],SelectedPrecincts[Batch Name], 0)))</f>
        <v/>
      </c>
      <c r="AJ1101" s="101">
        <f>IF(COUNTIF(SelectedPrecincts[Batch Name],SamplingData[[#This Row],[Batch by Type (p)]]) &lt;&gt; 0, COUNTIF(SelectedPrecincts[Batch Name],SamplingData[[#This Row],[Batch by Type (p)]]), 0)</f>
        <v>0</v>
      </c>
    </row>
    <row r="1102" spans="1:36" ht="15" customHeight="1" x14ac:dyDescent="0.35">
      <c r="A1102" s="98" t="s">
        <v>1312</v>
      </c>
      <c r="B1102" s="98">
        <v>106</v>
      </c>
      <c r="C1102" s="98">
        <v>14</v>
      </c>
      <c r="D1102" s="93"/>
      <c r="E1102" s="93"/>
      <c r="F1102" s="93"/>
      <c r="G1102" s="97"/>
      <c r="H1102" s="97"/>
      <c r="I1102" s="93"/>
      <c r="J1102" s="93"/>
      <c r="K1102" s="93"/>
      <c r="L1102" s="93"/>
      <c r="M1102" s="93"/>
      <c r="N1102" s="98">
        <v>1</v>
      </c>
      <c r="O1102" s="98">
        <v>4</v>
      </c>
      <c r="P1102" s="99">
        <f>SUM(SamplingData[[#This Row],[Winning Candidate]:[Under Votes]])</f>
        <v>125</v>
      </c>
      <c r="Q1102" s="100">
        <f>IF(AND(SamplingData[[#This Row],[Total]]&lt;&gt; 0, NOT(ISBLANK(SamplingData[[#This Row],[Losing Candidate]]))),(SamplingData[[#This Row],[Total]]+SamplingData[[#This Row],[Winning Candidate]]-SamplingData[[#This Row],[Losing Candidate]])/(SamplingData[[#Totals],[Winning Candidate]]-SamplingData[[#Totals],[Losing Candidate]]), 0)</f>
        <v>6.815968841285297E-3</v>
      </c>
      <c r="R1102" s="100">
        <f>IF(AND(SamplingData[[#This Row],[Total]]&lt;&gt; 0, NOT(ISBLANK(SamplingData[[#This Row],[Candidate 3]]))),(SamplingData[[#This Row],[Total]]+SamplingData[[#This Row],[Winning Candidate]]-SamplingData[[#This Row],[Candidate 3]])/(SamplingData[[#Totals],[Winning Candidate]]-SamplingData[[#Totals],[Candidate 3]]), 0)</f>
        <v>0</v>
      </c>
      <c r="S1102" s="100">
        <f>IF(AND(SamplingData[[#This Row],[Total]]&lt;&gt; 0, NOT(ISBLANK(SamplingData[[#This Row],[Candidate 4]]))),(SamplingData[[#This Row],[Total]]+SamplingData[[#This Row],[Winning Candidate]]-SamplingData[[#This Row],[Candidate 4]])/(SamplingData[[#Totals],[Winning Candidate]]-SamplingData[[#Totals],[Candidate 4]]), 0)</f>
        <v>0</v>
      </c>
      <c r="T1102" s="100">
        <f>IF(AND(SamplingData[[#This Row],[Total]]&lt;&gt; 0, NOT(ISBLANK(SamplingData[[#This Row],[Candidate 5]]))),(SamplingData[[#This Row],[Total]]+SamplingData[[#This Row],[Winning Candidate]]-SamplingData[[#This Row],[Candidate 5]])/(SamplingData[[#Totals],[Winning Candidate]]-SamplingData[[#Totals],[Candidate 5]]), 0)</f>
        <v>0</v>
      </c>
      <c r="U1102" s="100">
        <f>IF(AND(SamplingData[[#This Row],[Total]]&lt;&gt; 0, NOT(ISBLANK(SamplingData[[#This Row],[Candidate 6]]))),(SamplingData[[#This Row],[Total]]+SamplingData[[#This Row],[Losing Candidate]]-SamplingData[[#This Row],[Candidate 6]])/(SamplingData[[#Totals],[Winning Candidate]]-SamplingData[[#Totals],[Candidate 6]]), 0)</f>
        <v>0</v>
      </c>
      <c r="V1102" s="100">
        <f>IF(AND(SamplingData[[#This Row],[Total]]&lt;&gt; 0, NOT(ISBLANK(SamplingData[[#This Row],[Candidate 7]]))),(SamplingData[[#This Row],[Total]]+SamplingData[[#This Row],[Winning Candidate]]-SamplingData[[#This Row],[Candidate 7]])/(SamplingData[[#Totals],[Winning Candidate]]-SamplingData[[#Totals],[Candidate 7]]), 0)</f>
        <v>0</v>
      </c>
      <c r="W1102" s="100">
        <f>IF(AND(SamplingData[[#This Row],[Total]]&lt;&gt; 0, NOT(ISBLANK(SamplingData[[#This Row],[Candidate 8]]))),(SamplingData[[#This Row],[Total]]+SamplingData[[#This Row],[Winning Candidate]]-SamplingData[[#This Row],[Candidate 8]])/(SamplingData[[#Totals],[Winning Candidate]]-SamplingData[[#Totals],[Candidate 8]]), 0)</f>
        <v>0</v>
      </c>
      <c r="X1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00">
        <f>MAX(SamplingData[[#This Row],[Error Bound (up) - Max. possible relative overstatement - Losing Candidate]:[Error Bound (up) - Max. possible relative overstatement - Candidate 12]])</f>
        <v>6.815968841285297E-3</v>
      </c>
      <c r="AC1102" s="100">
        <f>IF(SamplingData[[#This Row],[Max Error Bound (up)]] = 0,0,SamplingData[[#This Row],[Max Error Bound (up)]]/SamplingData[[#Totals],[Max Error Bound (up)]])</f>
        <v>2.9209066925106348E-3</v>
      </c>
      <c r="AD1102" s="104">
        <f>SUM($AC$5:AC1102)</f>
        <v>0.94431432724923359</v>
      </c>
      <c r="AE1102" s="100" t="str" cm="1">
        <f t="array" ref="AE1102">IF(SamplingData[[#This Row],[up/U Selection Probability]] = 0, "Zero", TEXT(SamplingData[[#This Row],[Lower Range]], REPT("0",LEN('General Info'!$B$42))) &amp; " - " &amp; TEXT(SamplingData[[#This Row],[Upper Range]], REPT("0",LEN('General Info'!$B$42))))</f>
        <v>94139 - 94430</v>
      </c>
      <c r="AF1102" s="100">
        <f>SamplingData[[#This Row],[Upper Range]]-SamplingData[[#This Row],[Span]]</f>
        <v>94139.342055672299</v>
      </c>
      <c r="AG1102" s="100">
        <f>IF(ISNUMBER('General Info'!$B$42), ((SamplingData[[#This Row],[up/U Selection Probability]]) * 'General Info'!$B$44) - 1, 0)</f>
        <v>291.0906692510635</v>
      </c>
      <c r="AH1102" s="100">
        <f>IF(ISNUMBER('General Info'!$B$42), (SamplingData[[#This Row],[Running (cumulative) sum]] * ('General Info'!$B$42 -'General Info'!$B$43 + 1)) + 'General Info'!$B$43 - 1, 0)</f>
        <v>94430.432724923361</v>
      </c>
      <c r="AI1102" s="100" t="str">
        <f>IF(ISERROR(MATCH(SamplingData[[#This Row],[Batch by Type (p)]],SelectedPrecincts[Batch Name], 0)), "", INDEX(SelectedPrecincts[Draw], MATCH(SamplingData[[#This Row],[Batch by Type (p)]],SelectedPrecincts[Batch Name], 0)))</f>
        <v/>
      </c>
      <c r="AJ1102" s="101">
        <f>IF(COUNTIF(SelectedPrecincts[Batch Name],SamplingData[[#This Row],[Batch by Type (p)]]) &lt;&gt; 0, COUNTIF(SelectedPrecincts[Batch Name],SamplingData[[#This Row],[Batch by Type (p)]]), 0)</f>
        <v>0</v>
      </c>
    </row>
    <row r="1103" spans="1:36" ht="15" customHeight="1" x14ac:dyDescent="0.35">
      <c r="A1103" s="98" t="s">
        <v>1313</v>
      </c>
      <c r="B1103" s="98">
        <v>65</v>
      </c>
      <c r="C1103" s="98">
        <v>7</v>
      </c>
      <c r="D1103" s="93"/>
      <c r="E1103" s="93"/>
      <c r="F1103" s="93"/>
      <c r="G1103" s="97"/>
      <c r="H1103" s="97"/>
      <c r="I1103" s="93"/>
      <c r="J1103" s="93"/>
      <c r="K1103" s="93"/>
      <c r="L1103" s="93"/>
      <c r="M1103" s="93"/>
      <c r="N1103" s="98">
        <v>0</v>
      </c>
      <c r="O1103" s="98">
        <v>1</v>
      </c>
      <c r="P1103" s="99">
        <f>SUM(SamplingData[[#This Row],[Winning Candidate]:[Under Votes]])</f>
        <v>73</v>
      </c>
      <c r="Q1103" s="100">
        <f>IF(AND(SamplingData[[#This Row],[Total]]&lt;&gt; 0, NOT(ISBLANK(SamplingData[[#This Row],[Losing Candidate]]))),(SamplingData[[#This Row],[Total]]+SamplingData[[#This Row],[Winning Candidate]]-SamplingData[[#This Row],[Losing Candidate]])/(SamplingData[[#Totals],[Winning Candidate]]-SamplingData[[#Totals],[Losing Candidate]]), 0)</f>
        <v>4.114709300499419E-3</v>
      </c>
      <c r="R1103" s="100">
        <f>IF(AND(SamplingData[[#This Row],[Total]]&lt;&gt; 0, NOT(ISBLANK(SamplingData[[#This Row],[Candidate 3]]))),(SamplingData[[#This Row],[Total]]+SamplingData[[#This Row],[Winning Candidate]]-SamplingData[[#This Row],[Candidate 3]])/(SamplingData[[#Totals],[Winning Candidate]]-SamplingData[[#Totals],[Candidate 3]]), 0)</f>
        <v>0</v>
      </c>
      <c r="S1103" s="100">
        <f>IF(AND(SamplingData[[#This Row],[Total]]&lt;&gt; 0, NOT(ISBLANK(SamplingData[[#This Row],[Candidate 4]]))),(SamplingData[[#This Row],[Total]]+SamplingData[[#This Row],[Winning Candidate]]-SamplingData[[#This Row],[Candidate 4]])/(SamplingData[[#Totals],[Winning Candidate]]-SamplingData[[#Totals],[Candidate 4]]), 0)</f>
        <v>0</v>
      </c>
      <c r="T1103" s="100">
        <f>IF(AND(SamplingData[[#This Row],[Total]]&lt;&gt; 0, NOT(ISBLANK(SamplingData[[#This Row],[Candidate 5]]))),(SamplingData[[#This Row],[Total]]+SamplingData[[#This Row],[Winning Candidate]]-SamplingData[[#This Row],[Candidate 5]])/(SamplingData[[#Totals],[Winning Candidate]]-SamplingData[[#Totals],[Candidate 5]]), 0)</f>
        <v>0</v>
      </c>
      <c r="U1103" s="100">
        <f>IF(AND(SamplingData[[#This Row],[Total]]&lt;&gt; 0, NOT(ISBLANK(SamplingData[[#This Row],[Candidate 6]]))),(SamplingData[[#This Row],[Total]]+SamplingData[[#This Row],[Losing Candidate]]-SamplingData[[#This Row],[Candidate 6]])/(SamplingData[[#Totals],[Winning Candidate]]-SamplingData[[#Totals],[Candidate 6]]), 0)</f>
        <v>0</v>
      </c>
      <c r="V1103" s="100">
        <f>IF(AND(SamplingData[[#This Row],[Total]]&lt;&gt; 0, NOT(ISBLANK(SamplingData[[#This Row],[Candidate 7]]))),(SamplingData[[#This Row],[Total]]+SamplingData[[#This Row],[Winning Candidate]]-SamplingData[[#This Row],[Candidate 7]])/(SamplingData[[#Totals],[Winning Candidate]]-SamplingData[[#Totals],[Candidate 7]]), 0)</f>
        <v>0</v>
      </c>
      <c r="W1103" s="100">
        <f>IF(AND(SamplingData[[#This Row],[Total]]&lt;&gt; 0, NOT(ISBLANK(SamplingData[[#This Row],[Candidate 8]]))),(SamplingData[[#This Row],[Total]]+SamplingData[[#This Row],[Winning Candidate]]-SamplingData[[#This Row],[Candidate 8]])/(SamplingData[[#Totals],[Winning Candidate]]-SamplingData[[#Totals],[Candidate 8]]), 0)</f>
        <v>0</v>
      </c>
      <c r="X1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00">
        <f>MAX(SamplingData[[#This Row],[Error Bound (up) - Max. possible relative overstatement - Losing Candidate]:[Error Bound (up) - Max. possible relative overstatement - Candidate 12]])</f>
        <v>4.114709300499419E-3</v>
      </c>
      <c r="AC1103" s="100">
        <f>IF(SamplingData[[#This Row],[Max Error Bound (up)]] = 0,0,SamplingData[[#This Row],[Max Error Bound (up)]]/SamplingData[[#Totals],[Max Error Bound (up)]])</f>
        <v>1.7633123351101067E-3</v>
      </c>
      <c r="AD1103" s="104">
        <f>SUM($AC$5:AC1103)</f>
        <v>0.94607763958434365</v>
      </c>
      <c r="AE1103" s="100" t="str" cm="1">
        <f t="array" ref="AE1103">IF(SamplingData[[#This Row],[up/U Selection Probability]] = 0, "Zero", TEXT(SamplingData[[#This Row],[Lower Range]], REPT("0",LEN('General Info'!$B$42))) &amp; " - " &amp; TEXT(SamplingData[[#This Row],[Upper Range]], REPT("0",LEN('General Info'!$B$42))))</f>
        <v>94431 - 94607</v>
      </c>
      <c r="AF1103" s="100">
        <f>SamplingData[[#This Row],[Upper Range]]-SamplingData[[#This Row],[Span]]</f>
        <v>94431.432724923361</v>
      </c>
      <c r="AG1103" s="100">
        <f>IF(ISNUMBER('General Info'!$B$42), ((SamplingData[[#This Row],[up/U Selection Probability]]) * 'General Info'!$B$44) - 1, 0)</f>
        <v>175.33123351101068</v>
      </c>
      <c r="AH1103" s="100">
        <f>IF(ISNUMBER('General Info'!$B$42), (SamplingData[[#This Row],[Running (cumulative) sum]] * ('General Info'!$B$42 -'General Info'!$B$43 + 1)) + 'General Info'!$B$43 - 1, 0)</f>
        <v>94606.763958434371</v>
      </c>
      <c r="AI1103" s="100" t="str">
        <f>IF(ISERROR(MATCH(SamplingData[[#This Row],[Batch by Type (p)]],SelectedPrecincts[Batch Name], 0)), "", INDEX(SelectedPrecincts[Draw], MATCH(SamplingData[[#This Row],[Batch by Type (p)]],SelectedPrecincts[Batch Name], 0)))</f>
        <v/>
      </c>
      <c r="AJ1103" s="101">
        <f>IF(COUNTIF(SelectedPrecincts[Batch Name],SamplingData[[#This Row],[Batch by Type (p)]]) &lt;&gt; 0, COUNTIF(SelectedPrecincts[Batch Name],SamplingData[[#This Row],[Batch by Type (p)]]), 0)</f>
        <v>0</v>
      </c>
    </row>
    <row r="1104" spans="1:36" ht="15" customHeight="1" x14ac:dyDescent="0.35">
      <c r="A1104" s="98" t="s">
        <v>1314</v>
      </c>
      <c r="B1104" s="98">
        <v>72</v>
      </c>
      <c r="C1104" s="98">
        <v>15</v>
      </c>
      <c r="D1104" s="93"/>
      <c r="E1104" s="93"/>
      <c r="F1104" s="93"/>
      <c r="G1104" s="97"/>
      <c r="H1104" s="97"/>
      <c r="I1104" s="93"/>
      <c r="J1104" s="93"/>
      <c r="K1104" s="93"/>
      <c r="L1104" s="93"/>
      <c r="M1104" s="93"/>
      <c r="N1104" s="98">
        <v>0</v>
      </c>
      <c r="O1104" s="98">
        <v>4</v>
      </c>
      <c r="P1104" s="99">
        <f>SUM(SamplingData[[#This Row],[Winning Candidate]:[Under Votes]])</f>
        <v>91</v>
      </c>
      <c r="Q1104" s="100">
        <f>IF(AND(SamplingData[[#This Row],[Total]]&lt;&gt; 0, NOT(ISBLANK(SamplingData[[#This Row],[Losing Candidate]]))),(SamplingData[[#This Row],[Total]]+SamplingData[[#This Row],[Winning Candidate]]-SamplingData[[#This Row],[Losing Candidate]])/(SamplingData[[#Totals],[Winning Candidate]]-SamplingData[[#Totals],[Losing Candidate]]), 0)</f>
        <v>4.6486792097245339E-3</v>
      </c>
      <c r="R1104" s="100">
        <f>IF(AND(SamplingData[[#This Row],[Total]]&lt;&gt; 0, NOT(ISBLANK(SamplingData[[#This Row],[Candidate 3]]))),(SamplingData[[#This Row],[Total]]+SamplingData[[#This Row],[Winning Candidate]]-SamplingData[[#This Row],[Candidate 3]])/(SamplingData[[#Totals],[Winning Candidate]]-SamplingData[[#Totals],[Candidate 3]]), 0)</f>
        <v>0</v>
      </c>
      <c r="S1104" s="100">
        <f>IF(AND(SamplingData[[#This Row],[Total]]&lt;&gt; 0, NOT(ISBLANK(SamplingData[[#This Row],[Candidate 4]]))),(SamplingData[[#This Row],[Total]]+SamplingData[[#This Row],[Winning Candidate]]-SamplingData[[#This Row],[Candidate 4]])/(SamplingData[[#Totals],[Winning Candidate]]-SamplingData[[#Totals],[Candidate 4]]), 0)</f>
        <v>0</v>
      </c>
      <c r="T1104" s="100">
        <f>IF(AND(SamplingData[[#This Row],[Total]]&lt;&gt; 0, NOT(ISBLANK(SamplingData[[#This Row],[Candidate 5]]))),(SamplingData[[#This Row],[Total]]+SamplingData[[#This Row],[Winning Candidate]]-SamplingData[[#This Row],[Candidate 5]])/(SamplingData[[#Totals],[Winning Candidate]]-SamplingData[[#Totals],[Candidate 5]]), 0)</f>
        <v>0</v>
      </c>
      <c r="U1104" s="100">
        <f>IF(AND(SamplingData[[#This Row],[Total]]&lt;&gt; 0, NOT(ISBLANK(SamplingData[[#This Row],[Candidate 6]]))),(SamplingData[[#This Row],[Total]]+SamplingData[[#This Row],[Losing Candidate]]-SamplingData[[#This Row],[Candidate 6]])/(SamplingData[[#Totals],[Winning Candidate]]-SamplingData[[#Totals],[Candidate 6]]), 0)</f>
        <v>0</v>
      </c>
      <c r="V1104" s="100">
        <f>IF(AND(SamplingData[[#This Row],[Total]]&lt;&gt; 0, NOT(ISBLANK(SamplingData[[#This Row],[Candidate 7]]))),(SamplingData[[#This Row],[Total]]+SamplingData[[#This Row],[Winning Candidate]]-SamplingData[[#This Row],[Candidate 7]])/(SamplingData[[#Totals],[Winning Candidate]]-SamplingData[[#Totals],[Candidate 7]]), 0)</f>
        <v>0</v>
      </c>
      <c r="W1104" s="100">
        <f>IF(AND(SamplingData[[#This Row],[Total]]&lt;&gt; 0, NOT(ISBLANK(SamplingData[[#This Row],[Candidate 8]]))),(SamplingData[[#This Row],[Total]]+SamplingData[[#This Row],[Winning Candidate]]-SamplingData[[#This Row],[Candidate 8]])/(SamplingData[[#Totals],[Winning Candidate]]-SamplingData[[#Totals],[Candidate 8]]), 0)</f>
        <v>0</v>
      </c>
      <c r="X1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00">
        <f>MAX(SamplingData[[#This Row],[Error Bound (up) - Max. possible relative overstatement - Losing Candidate]:[Error Bound (up) - Max. possible relative overstatement - Candidate 12]])</f>
        <v>4.6486792097245339E-3</v>
      </c>
      <c r="AC1104" s="100">
        <f>IF(SamplingData[[#This Row],[Max Error Bound (up)]] = 0,0,SamplingData[[#This Row],[Max Error Bound (up)]]/SamplingData[[#Totals],[Max Error Bound (up)]])</f>
        <v>1.9921391266892806E-3</v>
      </c>
      <c r="AD1104" s="104">
        <f>SUM($AC$5:AC1104)</f>
        <v>0.94806977871103293</v>
      </c>
      <c r="AE1104" s="100" t="str" cm="1">
        <f t="array" ref="AE1104">IF(SamplingData[[#This Row],[up/U Selection Probability]] = 0, "Zero", TEXT(SamplingData[[#This Row],[Lower Range]], REPT("0",LEN('General Info'!$B$42))) &amp; " - " &amp; TEXT(SamplingData[[#This Row],[Upper Range]], REPT("0",LEN('General Info'!$B$42))))</f>
        <v>94608 - 94806</v>
      </c>
      <c r="AF1104" s="100">
        <f>SamplingData[[#This Row],[Upper Range]]-SamplingData[[#This Row],[Span]]</f>
        <v>94607.763958434371</v>
      </c>
      <c r="AG1104" s="100">
        <f>IF(ISNUMBER('General Info'!$B$42), ((SamplingData[[#This Row],[up/U Selection Probability]]) * 'General Info'!$B$44) - 1, 0)</f>
        <v>198.21391266892806</v>
      </c>
      <c r="AH1104" s="100">
        <f>IF(ISNUMBER('General Info'!$B$42), (SamplingData[[#This Row],[Running (cumulative) sum]] * ('General Info'!$B$42 -'General Info'!$B$43 + 1)) + 'General Info'!$B$43 - 1, 0)</f>
        <v>94805.9778711033</v>
      </c>
      <c r="AI1104" s="100" t="str">
        <f>IF(ISERROR(MATCH(SamplingData[[#This Row],[Batch by Type (p)]],SelectedPrecincts[Batch Name], 0)), "", INDEX(SelectedPrecincts[Draw], MATCH(SamplingData[[#This Row],[Batch by Type (p)]],SelectedPrecincts[Batch Name], 0)))</f>
        <v/>
      </c>
      <c r="AJ1104" s="101">
        <f>IF(COUNTIF(SelectedPrecincts[Batch Name],SamplingData[[#This Row],[Batch by Type (p)]]) &lt;&gt; 0, COUNTIF(SelectedPrecincts[Batch Name],SamplingData[[#This Row],[Batch by Type (p)]]), 0)</f>
        <v>0</v>
      </c>
    </row>
    <row r="1105" spans="1:36" ht="15" customHeight="1" x14ac:dyDescent="0.35">
      <c r="A1105" s="98" t="s">
        <v>1315</v>
      </c>
      <c r="B1105" s="98">
        <v>48</v>
      </c>
      <c r="C1105" s="98">
        <v>8</v>
      </c>
      <c r="D1105" s="93"/>
      <c r="E1105" s="93"/>
      <c r="F1105" s="93"/>
      <c r="G1105" s="97"/>
      <c r="H1105" s="97"/>
      <c r="I1105" s="93"/>
      <c r="J1105" s="93"/>
      <c r="K1105" s="93"/>
      <c r="L1105" s="93"/>
      <c r="M1105" s="93"/>
      <c r="N1105" s="98">
        <v>0</v>
      </c>
      <c r="O1105" s="98">
        <v>0</v>
      </c>
      <c r="P1105" s="99">
        <f>SUM(SamplingData[[#This Row],[Winning Candidate]:[Under Votes]])</f>
        <v>56</v>
      </c>
      <c r="Q1105" s="100">
        <f>IF(AND(SamplingData[[#This Row],[Total]]&lt;&gt; 0, NOT(ISBLANK(SamplingData[[#This Row],[Losing Candidate]]))),(SamplingData[[#This Row],[Total]]+SamplingData[[#This Row],[Winning Candidate]]-SamplingData[[#This Row],[Losing Candidate]])/(SamplingData[[#Totals],[Winning Candidate]]-SamplingData[[#Totals],[Losing Candidate]]), 0)</f>
        <v>3.0153594873888871E-3</v>
      </c>
      <c r="R1105" s="100">
        <f>IF(AND(SamplingData[[#This Row],[Total]]&lt;&gt; 0, NOT(ISBLANK(SamplingData[[#This Row],[Candidate 3]]))),(SamplingData[[#This Row],[Total]]+SamplingData[[#This Row],[Winning Candidate]]-SamplingData[[#This Row],[Candidate 3]])/(SamplingData[[#Totals],[Winning Candidate]]-SamplingData[[#Totals],[Candidate 3]]), 0)</f>
        <v>0</v>
      </c>
      <c r="S1105" s="100">
        <f>IF(AND(SamplingData[[#This Row],[Total]]&lt;&gt; 0, NOT(ISBLANK(SamplingData[[#This Row],[Candidate 4]]))),(SamplingData[[#This Row],[Total]]+SamplingData[[#This Row],[Winning Candidate]]-SamplingData[[#This Row],[Candidate 4]])/(SamplingData[[#Totals],[Winning Candidate]]-SamplingData[[#Totals],[Candidate 4]]), 0)</f>
        <v>0</v>
      </c>
      <c r="T1105" s="100">
        <f>IF(AND(SamplingData[[#This Row],[Total]]&lt;&gt; 0, NOT(ISBLANK(SamplingData[[#This Row],[Candidate 5]]))),(SamplingData[[#This Row],[Total]]+SamplingData[[#This Row],[Winning Candidate]]-SamplingData[[#This Row],[Candidate 5]])/(SamplingData[[#Totals],[Winning Candidate]]-SamplingData[[#Totals],[Candidate 5]]), 0)</f>
        <v>0</v>
      </c>
      <c r="U1105" s="100">
        <f>IF(AND(SamplingData[[#This Row],[Total]]&lt;&gt; 0, NOT(ISBLANK(SamplingData[[#This Row],[Candidate 6]]))),(SamplingData[[#This Row],[Total]]+SamplingData[[#This Row],[Losing Candidate]]-SamplingData[[#This Row],[Candidate 6]])/(SamplingData[[#Totals],[Winning Candidate]]-SamplingData[[#Totals],[Candidate 6]]), 0)</f>
        <v>0</v>
      </c>
      <c r="V1105" s="100">
        <f>IF(AND(SamplingData[[#This Row],[Total]]&lt;&gt; 0, NOT(ISBLANK(SamplingData[[#This Row],[Candidate 7]]))),(SamplingData[[#This Row],[Total]]+SamplingData[[#This Row],[Winning Candidate]]-SamplingData[[#This Row],[Candidate 7]])/(SamplingData[[#Totals],[Winning Candidate]]-SamplingData[[#Totals],[Candidate 7]]), 0)</f>
        <v>0</v>
      </c>
      <c r="W1105" s="100">
        <f>IF(AND(SamplingData[[#This Row],[Total]]&lt;&gt; 0, NOT(ISBLANK(SamplingData[[#This Row],[Candidate 8]]))),(SamplingData[[#This Row],[Total]]+SamplingData[[#This Row],[Winning Candidate]]-SamplingData[[#This Row],[Candidate 8]])/(SamplingData[[#Totals],[Winning Candidate]]-SamplingData[[#Totals],[Candidate 8]]), 0)</f>
        <v>0</v>
      </c>
      <c r="X1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00">
        <f>MAX(SamplingData[[#This Row],[Error Bound (up) - Max. possible relative overstatement - Losing Candidate]:[Error Bound (up) - Max. possible relative overstatement - Candidate 12]])</f>
        <v>3.0153594873888871E-3</v>
      </c>
      <c r="AC1105" s="100">
        <f>IF(SamplingData[[#This Row],[Max Error Bound (up)]] = 0,0,SamplingData[[#This Row],[Max Error Bound (up)]]/SamplingData[[#Totals],[Max Error Bound (up)]])</f>
        <v>1.2921983524471011E-3</v>
      </c>
      <c r="AD1105" s="104">
        <f>SUM($AC$5:AC1105)</f>
        <v>0.94936197706348002</v>
      </c>
      <c r="AE1105" s="100" t="str" cm="1">
        <f t="array" ref="AE1105">IF(SamplingData[[#This Row],[up/U Selection Probability]] = 0, "Zero", TEXT(SamplingData[[#This Row],[Lower Range]], REPT("0",LEN('General Info'!$B$42))) &amp; " - " &amp; TEXT(SamplingData[[#This Row],[Upper Range]], REPT("0",LEN('General Info'!$B$42))))</f>
        <v>94807 - 94935</v>
      </c>
      <c r="AF1105" s="100">
        <f>SamplingData[[#This Row],[Upper Range]]-SamplingData[[#This Row],[Span]]</f>
        <v>94806.977871103285</v>
      </c>
      <c r="AG1105" s="100">
        <f>IF(ISNUMBER('General Info'!$B$42), ((SamplingData[[#This Row],[up/U Selection Probability]]) * 'General Info'!$B$44) - 1, 0)</f>
        <v>128.21983524471011</v>
      </c>
      <c r="AH1105" s="100">
        <f>IF(ISNUMBER('General Info'!$B$42), (SamplingData[[#This Row],[Running (cumulative) sum]] * ('General Info'!$B$42 -'General Info'!$B$43 + 1)) + 'General Info'!$B$43 - 1, 0)</f>
        <v>94935.197706348001</v>
      </c>
      <c r="AI1105" s="100" t="str">
        <f>IF(ISERROR(MATCH(SamplingData[[#This Row],[Batch by Type (p)]],SelectedPrecincts[Batch Name], 0)), "", INDEX(SelectedPrecincts[Draw], MATCH(SamplingData[[#This Row],[Batch by Type (p)]],SelectedPrecincts[Batch Name], 0)))</f>
        <v/>
      </c>
      <c r="AJ1105" s="101">
        <f>IF(COUNTIF(SelectedPrecincts[Batch Name],SamplingData[[#This Row],[Batch by Type (p)]]) &lt;&gt; 0, COUNTIF(SelectedPrecincts[Batch Name],SamplingData[[#This Row],[Batch by Type (p)]]), 0)</f>
        <v>0</v>
      </c>
    </row>
    <row r="1106" spans="1:36" ht="15" customHeight="1" x14ac:dyDescent="0.35">
      <c r="A1106" s="98" t="s">
        <v>1316</v>
      </c>
      <c r="B1106" s="98">
        <v>140</v>
      </c>
      <c r="C1106" s="98">
        <v>23</v>
      </c>
      <c r="D1106" s="93"/>
      <c r="E1106" s="93"/>
      <c r="F1106" s="93"/>
      <c r="G1106" s="97"/>
      <c r="H1106" s="97"/>
      <c r="I1106" s="93"/>
      <c r="J1106" s="93"/>
      <c r="K1106" s="93"/>
      <c r="L1106" s="93"/>
      <c r="M1106" s="93"/>
      <c r="N1106" s="98">
        <v>0</v>
      </c>
      <c r="O1106" s="98">
        <v>2</v>
      </c>
      <c r="P1106" s="99">
        <f>SUM(SamplingData[[#This Row],[Winning Candidate]:[Under Votes]])</f>
        <v>165</v>
      </c>
      <c r="Q1106" s="100">
        <f>IF(AND(SamplingData[[#This Row],[Total]]&lt;&gt; 0, NOT(ISBLANK(SamplingData[[#This Row],[Losing Candidate]]))),(SamplingData[[#This Row],[Total]]+SamplingData[[#This Row],[Winning Candidate]]-SamplingData[[#This Row],[Losing Candidate]])/(SamplingData[[#Totals],[Winning Candidate]]-SamplingData[[#Totals],[Losing Candidate]]), 0)</f>
        <v>8.8576184942048553E-3</v>
      </c>
      <c r="R1106" s="100">
        <f>IF(AND(SamplingData[[#This Row],[Total]]&lt;&gt; 0, NOT(ISBLANK(SamplingData[[#This Row],[Candidate 3]]))),(SamplingData[[#This Row],[Total]]+SamplingData[[#This Row],[Winning Candidate]]-SamplingData[[#This Row],[Candidate 3]])/(SamplingData[[#Totals],[Winning Candidate]]-SamplingData[[#Totals],[Candidate 3]]), 0)</f>
        <v>0</v>
      </c>
      <c r="S1106" s="100">
        <f>IF(AND(SamplingData[[#This Row],[Total]]&lt;&gt; 0, NOT(ISBLANK(SamplingData[[#This Row],[Candidate 4]]))),(SamplingData[[#This Row],[Total]]+SamplingData[[#This Row],[Winning Candidate]]-SamplingData[[#This Row],[Candidate 4]])/(SamplingData[[#Totals],[Winning Candidate]]-SamplingData[[#Totals],[Candidate 4]]), 0)</f>
        <v>0</v>
      </c>
      <c r="T1106" s="100">
        <f>IF(AND(SamplingData[[#This Row],[Total]]&lt;&gt; 0, NOT(ISBLANK(SamplingData[[#This Row],[Candidate 5]]))),(SamplingData[[#This Row],[Total]]+SamplingData[[#This Row],[Winning Candidate]]-SamplingData[[#This Row],[Candidate 5]])/(SamplingData[[#Totals],[Winning Candidate]]-SamplingData[[#Totals],[Candidate 5]]), 0)</f>
        <v>0</v>
      </c>
      <c r="U1106" s="100">
        <f>IF(AND(SamplingData[[#This Row],[Total]]&lt;&gt; 0, NOT(ISBLANK(SamplingData[[#This Row],[Candidate 6]]))),(SamplingData[[#This Row],[Total]]+SamplingData[[#This Row],[Losing Candidate]]-SamplingData[[#This Row],[Candidate 6]])/(SamplingData[[#Totals],[Winning Candidate]]-SamplingData[[#Totals],[Candidate 6]]), 0)</f>
        <v>0</v>
      </c>
      <c r="V1106" s="100">
        <f>IF(AND(SamplingData[[#This Row],[Total]]&lt;&gt; 0, NOT(ISBLANK(SamplingData[[#This Row],[Candidate 7]]))),(SamplingData[[#This Row],[Total]]+SamplingData[[#This Row],[Winning Candidate]]-SamplingData[[#This Row],[Candidate 7]])/(SamplingData[[#Totals],[Winning Candidate]]-SamplingData[[#Totals],[Candidate 7]]), 0)</f>
        <v>0</v>
      </c>
      <c r="W1106" s="100">
        <f>IF(AND(SamplingData[[#This Row],[Total]]&lt;&gt; 0, NOT(ISBLANK(SamplingData[[#This Row],[Candidate 8]]))),(SamplingData[[#This Row],[Total]]+SamplingData[[#This Row],[Winning Candidate]]-SamplingData[[#This Row],[Candidate 8]])/(SamplingData[[#Totals],[Winning Candidate]]-SamplingData[[#Totals],[Candidate 8]]), 0)</f>
        <v>0</v>
      </c>
      <c r="X1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00">
        <f>MAX(SamplingData[[#This Row],[Error Bound (up) - Max. possible relative overstatement - Losing Candidate]:[Error Bound (up) - Max. possible relative overstatement - Candidate 12]])</f>
        <v>8.8576184942048553E-3</v>
      </c>
      <c r="AC1106" s="100">
        <f>IF(SamplingData[[#This Row],[Max Error Bound (up)]] = 0,0,SamplingData[[#This Row],[Max Error Bound (up)]]/SamplingData[[#Totals],[Max Error Bound (up)]])</f>
        <v>3.795832660313359E-3</v>
      </c>
      <c r="AD1106" s="104">
        <f>SUM($AC$5:AC1106)</f>
        <v>0.95315780972379338</v>
      </c>
      <c r="AE1106" s="100" t="str" cm="1">
        <f t="array" ref="AE1106">IF(SamplingData[[#This Row],[up/U Selection Probability]] = 0, "Zero", TEXT(SamplingData[[#This Row],[Lower Range]], REPT("0",LEN('General Info'!$B$42))) &amp; " - " &amp; TEXT(SamplingData[[#This Row],[Upper Range]], REPT("0",LEN('General Info'!$B$42))))</f>
        <v>94936 - 95315</v>
      </c>
      <c r="AF1106" s="100">
        <f>SamplingData[[#This Row],[Upper Range]]-SamplingData[[#This Row],[Span]]</f>
        <v>94936.197706348001</v>
      </c>
      <c r="AG1106" s="100">
        <f>IF(ISNUMBER('General Info'!$B$42), ((SamplingData[[#This Row],[up/U Selection Probability]]) * 'General Info'!$B$44) - 1, 0)</f>
        <v>378.58326603133588</v>
      </c>
      <c r="AH1106" s="100">
        <f>IF(ISNUMBER('General Info'!$B$42), (SamplingData[[#This Row],[Running (cumulative) sum]] * ('General Info'!$B$42 -'General Info'!$B$43 + 1)) + 'General Info'!$B$43 - 1, 0)</f>
        <v>95314.780972379333</v>
      </c>
      <c r="AI1106" s="100" t="str">
        <f>IF(ISERROR(MATCH(SamplingData[[#This Row],[Batch by Type (p)]],SelectedPrecincts[Batch Name], 0)), "", INDEX(SelectedPrecincts[Draw], MATCH(SamplingData[[#This Row],[Batch by Type (p)]],SelectedPrecincts[Batch Name], 0)))</f>
        <v/>
      </c>
      <c r="AJ1106" s="101">
        <f>IF(COUNTIF(SelectedPrecincts[Batch Name],SamplingData[[#This Row],[Batch by Type (p)]]) &lt;&gt; 0, COUNTIF(SelectedPrecincts[Batch Name],SamplingData[[#This Row],[Batch by Type (p)]]), 0)</f>
        <v>0</v>
      </c>
    </row>
    <row r="1107" spans="1:36" ht="15" customHeight="1" x14ac:dyDescent="0.35">
      <c r="A1107" s="98" t="s">
        <v>1317</v>
      </c>
      <c r="B1107" s="98">
        <v>33</v>
      </c>
      <c r="C1107" s="98">
        <v>12</v>
      </c>
      <c r="D1107" s="93"/>
      <c r="E1107" s="93"/>
      <c r="F1107" s="93"/>
      <c r="G1107" s="97"/>
      <c r="H1107" s="97"/>
      <c r="I1107" s="93"/>
      <c r="J1107" s="93"/>
      <c r="K1107" s="93"/>
      <c r="L1107" s="93"/>
      <c r="M1107" s="93"/>
      <c r="N1107" s="98">
        <v>0</v>
      </c>
      <c r="O1107" s="98">
        <v>1</v>
      </c>
      <c r="P1107" s="99">
        <f>SUM(SamplingData[[#This Row],[Winning Candidate]:[Under Votes]])</f>
        <v>46</v>
      </c>
      <c r="Q1107" s="100">
        <f>IF(AND(SamplingData[[#This Row],[Total]]&lt;&gt; 0, NOT(ISBLANK(SamplingData[[#This Row],[Losing Candidate]]))),(SamplingData[[#This Row],[Total]]+SamplingData[[#This Row],[Winning Candidate]]-SamplingData[[#This Row],[Losing Candidate]])/(SamplingData[[#Totals],[Winning Candidate]]-SamplingData[[#Totals],[Losing Candidate]]), 0)</f>
        <v>2.1044696422401607E-3</v>
      </c>
      <c r="R1107" s="100">
        <f>IF(AND(SamplingData[[#This Row],[Total]]&lt;&gt; 0, NOT(ISBLANK(SamplingData[[#This Row],[Candidate 3]]))),(SamplingData[[#This Row],[Total]]+SamplingData[[#This Row],[Winning Candidate]]-SamplingData[[#This Row],[Candidate 3]])/(SamplingData[[#Totals],[Winning Candidate]]-SamplingData[[#Totals],[Candidate 3]]), 0)</f>
        <v>0</v>
      </c>
      <c r="S1107" s="100">
        <f>IF(AND(SamplingData[[#This Row],[Total]]&lt;&gt; 0, NOT(ISBLANK(SamplingData[[#This Row],[Candidate 4]]))),(SamplingData[[#This Row],[Total]]+SamplingData[[#This Row],[Winning Candidate]]-SamplingData[[#This Row],[Candidate 4]])/(SamplingData[[#Totals],[Winning Candidate]]-SamplingData[[#Totals],[Candidate 4]]), 0)</f>
        <v>0</v>
      </c>
      <c r="T1107" s="100">
        <f>IF(AND(SamplingData[[#This Row],[Total]]&lt;&gt; 0, NOT(ISBLANK(SamplingData[[#This Row],[Candidate 5]]))),(SamplingData[[#This Row],[Total]]+SamplingData[[#This Row],[Winning Candidate]]-SamplingData[[#This Row],[Candidate 5]])/(SamplingData[[#Totals],[Winning Candidate]]-SamplingData[[#Totals],[Candidate 5]]), 0)</f>
        <v>0</v>
      </c>
      <c r="U1107" s="100">
        <f>IF(AND(SamplingData[[#This Row],[Total]]&lt;&gt; 0, NOT(ISBLANK(SamplingData[[#This Row],[Candidate 6]]))),(SamplingData[[#This Row],[Total]]+SamplingData[[#This Row],[Losing Candidate]]-SamplingData[[#This Row],[Candidate 6]])/(SamplingData[[#Totals],[Winning Candidate]]-SamplingData[[#Totals],[Candidate 6]]), 0)</f>
        <v>0</v>
      </c>
      <c r="V1107" s="100">
        <f>IF(AND(SamplingData[[#This Row],[Total]]&lt;&gt; 0, NOT(ISBLANK(SamplingData[[#This Row],[Candidate 7]]))),(SamplingData[[#This Row],[Total]]+SamplingData[[#This Row],[Winning Candidate]]-SamplingData[[#This Row],[Candidate 7]])/(SamplingData[[#Totals],[Winning Candidate]]-SamplingData[[#Totals],[Candidate 7]]), 0)</f>
        <v>0</v>
      </c>
      <c r="W1107" s="100">
        <f>IF(AND(SamplingData[[#This Row],[Total]]&lt;&gt; 0, NOT(ISBLANK(SamplingData[[#This Row],[Candidate 8]]))),(SamplingData[[#This Row],[Total]]+SamplingData[[#This Row],[Winning Candidate]]-SamplingData[[#This Row],[Candidate 8]])/(SamplingData[[#Totals],[Winning Candidate]]-SamplingData[[#Totals],[Candidate 8]]), 0)</f>
        <v>0</v>
      </c>
      <c r="X1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00">
        <f>MAX(SamplingData[[#This Row],[Error Bound (up) - Max. possible relative overstatement - Losing Candidate]:[Error Bound (up) - Max. possible relative overstatement - Candidate 12]])</f>
        <v>2.1044696422401607E-3</v>
      </c>
      <c r="AC1107" s="100">
        <f>IF(SamplingData[[#This Row],[Max Error Bound (up)]] = 0,0,SamplingData[[#This Row],[Max Error Bound (up)]]/SamplingData[[#Totals],[Max Error Bound (up)]])</f>
        <v>9.018467668120392E-4</v>
      </c>
      <c r="AD1107" s="104">
        <f>SUM($AC$5:AC1107)</f>
        <v>0.95405965649060542</v>
      </c>
      <c r="AE1107" s="100" t="str" cm="1">
        <f t="array" ref="AE1107">IF(SamplingData[[#This Row],[up/U Selection Probability]] = 0, "Zero", TEXT(SamplingData[[#This Row],[Lower Range]], REPT("0",LEN('General Info'!$B$42))) &amp; " - " &amp; TEXT(SamplingData[[#This Row],[Upper Range]], REPT("0",LEN('General Info'!$B$42))))</f>
        <v>95316 - 95405</v>
      </c>
      <c r="AF1107" s="100">
        <f>SamplingData[[#This Row],[Upper Range]]-SamplingData[[#This Row],[Span]]</f>
        <v>95315.780972379333</v>
      </c>
      <c r="AG1107" s="100">
        <f>IF(ISNUMBER('General Info'!$B$42), ((SamplingData[[#This Row],[up/U Selection Probability]]) * 'General Info'!$B$44) - 1, 0)</f>
        <v>89.184676681203925</v>
      </c>
      <c r="AH1107" s="100">
        <f>IF(ISNUMBER('General Info'!$B$42), (SamplingData[[#This Row],[Running (cumulative) sum]] * ('General Info'!$B$42 -'General Info'!$B$43 + 1)) + 'General Info'!$B$43 - 1, 0)</f>
        <v>95404.965649060541</v>
      </c>
      <c r="AI1107" s="100" t="str">
        <f>IF(ISERROR(MATCH(SamplingData[[#This Row],[Batch by Type (p)]],SelectedPrecincts[Batch Name], 0)), "", INDEX(SelectedPrecincts[Draw], MATCH(SamplingData[[#This Row],[Batch by Type (p)]],SelectedPrecincts[Batch Name], 0)))</f>
        <v/>
      </c>
      <c r="AJ1107" s="101">
        <f>IF(COUNTIF(SelectedPrecincts[Batch Name],SamplingData[[#This Row],[Batch by Type (p)]]) &lt;&gt; 0, COUNTIF(SelectedPrecincts[Batch Name],SamplingData[[#This Row],[Batch by Type (p)]]), 0)</f>
        <v>0</v>
      </c>
    </row>
    <row r="1108" spans="1:36" ht="15" customHeight="1" x14ac:dyDescent="0.35">
      <c r="A1108" s="98" t="s">
        <v>1318</v>
      </c>
      <c r="B1108" s="98">
        <v>51</v>
      </c>
      <c r="C1108" s="98">
        <v>9</v>
      </c>
      <c r="D1108" s="93"/>
      <c r="E1108" s="93"/>
      <c r="F1108" s="93"/>
      <c r="G1108" s="97"/>
      <c r="H1108" s="97"/>
      <c r="I1108" s="93"/>
      <c r="J1108" s="93"/>
      <c r="K1108" s="93"/>
      <c r="L1108" s="93"/>
      <c r="M1108" s="93"/>
      <c r="N1108" s="98">
        <v>0</v>
      </c>
      <c r="O1108" s="98">
        <v>1</v>
      </c>
      <c r="P1108" s="99">
        <f>SUM(SamplingData[[#This Row],[Winning Candidate]:[Under Votes]])</f>
        <v>61</v>
      </c>
      <c r="Q1108" s="100">
        <f>IF(AND(SamplingData[[#This Row],[Total]]&lt;&gt; 0, NOT(ISBLANK(SamplingData[[#This Row],[Losing Candidate]]))),(SamplingData[[#This Row],[Total]]+SamplingData[[#This Row],[Winning Candidate]]-SamplingData[[#This Row],[Losing Candidate]])/(SamplingData[[#Totals],[Winning Candidate]]-SamplingData[[#Totals],[Losing Candidate]]), 0)</f>
        <v>3.2352294500109934E-3</v>
      </c>
      <c r="R1108" s="100">
        <f>IF(AND(SamplingData[[#This Row],[Total]]&lt;&gt; 0, NOT(ISBLANK(SamplingData[[#This Row],[Candidate 3]]))),(SamplingData[[#This Row],[Total]]+SamplingData[[#This Row],[Winning Candidate]]-SamplingData[[#This Row],[Candidate 3]])/(SamplingData[[#Totals],[Winning Candidate]]-SamplingData[[#Totals],[Candidate 3]]), 0)</f>
        <v>0</v>
      </c>
      <c r="S1108" s="100">
        <f>IF(AND(SamplingData[[#This Row],[Total]]&lt;&gt; 0, NOT(ISBLANK(SamplingData[[#This Row],[Candidate 4]]))),(SamplingData[[#This Row],[Total]]+SamplingData[[#This Row],[Winning Candidate]]-SamplingData[[#This Row],[Candidate 4]])/(SamplingData[[#Totals],[Winning Candidate]]-SamplingData[[#Totals],[Candidate 4]]), 0)</f>
        <v>0</v>
      </c>
      <c r="T1108" s="100">
        <f>IF(AND(SamplingData[[#This Row],[Total]]&lt;&gt; 0, NOT(ISBLANK(SamplingData[[#This Row],[Candidate 5]]))),(SamplingData[[#This Row],[Total]]+SamplingData[[#This Row],[Winning Candidate]]-SamplingData[[#This Row],[Candidate 5]])/(SamplingData[[#Totals],[Winning Candidate]]-SamplingData[[#Totals],[Candidate 5]]), 0)</f>
        <v>0</v>
      </c>
      <c r="U1108" s="100">
        <f>IF(AND(SamplingData[[#This Row],[Total]]&lt;&gt; 0, NOT(ISBLANK(SamplingData[[#This Row],[Candidate 6]]))),(SamplingData[[#This Row],[Total]]+SamplingData[[#This Row],[Losing Candidate]]-SamplingData[[#This Row],[Candidate 6]])/(SamplingData[[#Totals],[Winning Candidate]]-SamplingData[[#Totals],[Candidate 6]]), 0)</f>
        <v>0</v>
      </c>
      <c r="V1108" s="100">
        <f>IF(AND(SamplingData[[#This Row],[Total]]&lt;&gt; 0, NOT(ISBLANK(SamplingData[[#This Row],[Candidate 7]]))),(SamplingData[[#This Row],[Total]]+SamplingData[[#This Row],[Winning Candidate]]-SamplingData[[#This Row],[Candidate 7]])/(SamplingData[[#Totals],[Winning Candidate]]-SamplingData[[#Totals],[Candidate 7]]), 0)</f>
        <v>0</v>
      </c>
      <c r="W1108" s="100">
        <f>IF(AND(SamplingData[[#This Row],[Total]]&lt;&gt; 0, NOT(ISBLANK(SamplingData[[#This Row],[Candidate 8]]))),(SamplingData[[#This Row],[Total]]+SamplingData[[#This Row],[Winning Candidate]]-SamplingData[[#This Row],[Candidate 8]])/(SamplingData[[#Totals],[Winning Candidate]]-SamplingData[[#Totals],[Candidate 8]]), 0)</f>
        <v>0</v>
      </c>
      <c r="X1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00">
        <f>MAX(SamplingData[[#This Row],[Error Bound (up) - Max. possible relative overstatement - Losing Candidate]:[Error Bound (up) - Max. possible relative overstatement - Candidate 12]])</f>
        <v>3.2352294500109934E-3</v>
      </c>
      <c r="AC1108" s="100">
        <f>IF(SamplingData[[#This Row],[Max Error Bound (up)]] = 0,0,SamplingData[[#This Row],[Max Error Bound (up)]]/SamplingData[[#Totals],[Max Error Bound (up)]])</f>
        <v>1.3864211489797022E-3</v>
      </c>
      <c r="AD1108" s="104">
        <f>SUM($AC$5:AC1108)</f>
        <v>0.95544607763958511</v>
      </c>
      <c r="AE1108" s="100" t="str" cm="1">
        <f t="array" ref="AE1108">IF(SamplingData[[#This Row],[up/U Selection Probability]] = 0, "Zero", TEXT(SamplingData[[#This Row],[Lower Range]], REPT("0",LEN('General Info'!$B$42))) &amp; " - " &amp; TEXT(SamplingData[[#This Row],[Upper Range]], REPT("0",LEN('General Info'!$B$42))))</f>
        <v>95406 - 95544</v>
      </c>
      <c r="AF1108" s="100">
        <f>SamplingData[[#This Row],[Upper Range]]-SamplingData[[#This Row],[Span]]</f>
        <v>95405.965649060541</v>
      </c>
      <c r="AG1108" s="100">
        <f>IF(ISNUMBER('General Info'!$B$42), ((SamplingData[[#This Row],[up/U Selection Probability]]) * 'General Info'!$B$44) - 1, 0)</f>
        <v>137.6421148979702</v>
      </c>
      <c r="AH1108" s="100">
        <f>IF(ISNUMBER('General Info'!$B$42), (SamplingData[[#This Row],[Running (cumulative) sum]] * ('General Info'!$B$42 -'General Info'!$B$43 + 1)) + 'General Info'!$B$43 - 1, 0)</f>
        <v>95543.607763958513</v>
      </c>
      <c r="AI1108" s="100" t="str">
        <f>IF(ISERROR(MATCH(SamplingData[[#This Row],[Batch by Type (p)]],SelectedPrecincts[Batch Name], 0)), "", INDEX(SelectedPrecincts[Draw], MATCH(SamplingData[[#This Row],[Batch by Type (p)]],SelectedPrecincts[Batch Name], 0)))</f>
        <v/>
      </c>
      <c r="AJ1108" s="101">
        <f>IF(COUNTIF(SelectedPrecincts[Batch Name],SamplingData[[#This Row],[Batch by Type (p)]]) &lt;&gt; 0, COUNTIF(SelectedPrecincts[Batch Name],SamplingData[[#This Row],[Batch by Type (p)]]), 0)</f>
        <v>0</v>
      </c>
    </row>
    <row r="1109" spans="1:36" ht="15" customHeight="1" x14ac:dyDescent="0.35">
      <c r="A1109" s="98" t="s">
        <v>1319</v>
      </c>
      <c r="B1109" s="98">
        <v>98</v>
      </c>
      <c r="C1109" s="98">
        <v>5</v>
      </c>
      <c r="D1109" s="93"/>
      <c r="E1109" s="93"/>
      <c r="F1109" s="93"/>
      <c r="G1109" s="97"/>
      <c r="H1109" s="97"/>
      <c r="I1109" s="93"/>
      <c r="J1109" s="93"/>
      <c r="K1109" s="93"/>
      <c r="L1109" s="93"/>
      <c r="M1109" s="93"/>
      <c r="N1109" s="98">
        <v>0</v>
      </c>
      <c r="O1109" s="98">
        <v>0</v>
      </c>
      <c r="P1109" s="99">
        <f>SUM(SamplingData[[#This Row],[Winning Candidate]:[Under Votes]])</f>
        <v>103</v>
      </c>
      <c r="Q1109" s="100">
        <f>IF(AND(SamplingData[[#This Row],[Total]]&lt;&gt; 0, NOT(ISBLANK(SamplingData[[#This Row],[Losing Candidate]]))),(SamplingData[[#This Row],[Total]]+SamplingData[[#This Row],[Winning Candidate]]-SamplingData[[#This Row],[Losing Candidate]])/(SamplingData[[#Totals],[Winning Candidate]]-SamplingData[[#Totals],[Losing Candidate]]), 0)</f>
        <v>6.1563589534189781E-3</v>
      </c>
      <c r="R1109" s="100">
        <f>IF(AND(SamplingData[[#This Row],[Total]]&lt;&gt; 0, NOT(ISBLANK(SamplingData[[#This Row],[Candidate 3]]))),(SamplingData[[#This Row],[Total]]+SamplingData[[#This Row],[Winning Candidate]]-SamplingData[[#This Row],[Candidate 3]])/(SamplingData[[#Totals],[Winning Candidate]]-SamplingData[[#Totals],[Candidate 3]]), 0)</f>
        <v>0</v>
      </c>
      <c r="S1109" s="100">
        <f>IF(AND(SamplingData[[#This Row],[Total]]&lt;&gt; 0, NOT(ISBLANK(SamplingData[[#This Row],[Candidate 4]]))),(SamplingData[[#This Row],[Total]]+SamplingData[[#This Row],[Winning Candidate]]-SamplingData[[#This Row],[Candidate 4]])/(SamplingData[[#Totals],[Winning Candidate]]-SamplingData[[#Totals],[Candidate 4]]), 0)</f>
        <v>0</v>
      </c>
      <c r="T1109" s="100">
        <f>IF(AND(SamplingData[[#This Row],[Total]]&lt;&gt; 0, NOT(ISBLANK(SamplingData[[#This Row],[Candidate 5]]))),(SamplingData[[#This Row],[Total]]+SamplingData[[#This Row],[Winning Candidate]]-SamplingData[[#This Row],[Candidate 5]])/(SamplingData[[#Totals],[Winning Candidate]]-SamplingData[[#Totals],[Candidate 5]]), 0)</f>
        <v>0</v>
      </c>
      <c r="U1109" s="100">
        <f>IF(AND(SamplingData[[#This Row],[Total]]&lt;&gt; 0, NOT(ISBLANK(SamplingData[[#This Row],[Candidate 6]]))),(SamplingData[[#This Row],[Total]]+SamplingData[[#This Row],[Losing Candidate]]-SamplingData[[#This Row],[Candidate 6]])/(SamplingData[[#Totals],[Winning Candidate]]-SamplingData[[#Totals],[Candidate 6]]), 0)</f>
        <v>0</v>
      </c>
      <c r="V1109" s="100">
        <f>IF(AND(SamplingData[[#This Row],[Total]]&lt;&gt; 0, NOT(ISBLANK(SamplingData[[#This Row],[Candidate 7]]))),(SamplingData[[#This Row],[Total]]+SamplingData[[#This Row],[Winning Candidate]]-SamplingData[[#This Row],[Candidate 7]])/(SamplingData[[#Totals],[Winning Candidate]]-SamplingData[[#Totals],[Candidate 7]]), 0)</f>
        <v>0</v>
      </c>
      <c r="W1109" s="100">
        <f>IF(AND(SamplingData[[#This Row],[Total]]&lt;&gt; 0, NOT(ISBLANK(SamplingData[[#This Row],[Candidate 8]]))),(SamplingData[[#This Row],[Total]]+SamplingData[[#This Row],[Winning Candidate]]-SamplingData[[#This Row],[Candidate 8]])/(SamplingData[[#Totals],[Winning Candidate]]-SamplingData[[#Totals],[Candidate 8]]), 0)</f>
        <v>0</v>
      </c>
      <c r="X1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00">
        <f>MAX(SamplingData[[#This Row],[Error Bound (up) - Max. possible relative overstatement - Losing Candidate]:[Error Bound (up) - Max. possible relative overstatement - Candidate 12]])</f>
        <v>6.1563589534189781E-3</v>
      </c>
      <c r="AC1109" s="100">
        <f>IF(SamplingData[[#This Row],[Max Error Bound (up)]] = 0,0,SamplingData[[#This Row],[Max Error Bound (up)]]/SamplingData[[#Totals],[Max Error Bound (up)]])</f>
        <v>2.6382383029128313E-3</v>
      </c>
      <c r="AD1109" s="104">
        <f>SUM($AC$5:AC1109)</f>
        <v>0.95808431594249799</v>
      </c>
      <c r="AE1109" s="100" t="str" cm="1">
        <f t="array" ref="AE1109">IF(SamplingData[[#This Row],[up/U Selection Probability]] = 0, "Zero", TEXT(SamplingData[[#This Row],[Lower Range]], REPT("0",LEN('General Info'!$B$42))) &amp; " - " &amp; TEXT(SamplingData[[#This Row],[Upper Range]], REPT("0",LEN('General Info'!$B$42))))</f>
        <v>95545 - 95807</v>
      </c>
      <c r="AF1109" s="100">
        <f>SamplingData[[#This Row],[Upper Range]]-SamplingData[[#This Row],[Span]]</f>
        <v>95544.607763958513</v>
      </c>
      <c r="AG1109" s="100">
        <f>IF(ISNUMBER('General Info'!$B$42), ((SamplingData[[#This Row],[up/U Selection Probability]]) * 'General Info'!$B$44) - 1, 0)</f>
        <v>262.82383029128312</v>
      </c>
      <c r="AH1109" s="100">
        <f>IF(ISNUMBER('General Info'!$B$42), (SamplingData[[#This Row],[Running (cumulative) sum]] * ('General Info'!$B$42 -'General Info'!$B$43 + 1)) + 'General Info'!$B$43 - 1, 0)</f>
        <v>95807.431594249792</v>
      </c>
      <c r="AI1109" s="100" t="str">
        <f>IF(ISERROR(MATCH(SamplingData[[#This Row],[Batch by Type (p)]],SelectedPrecincts[Batch Name], 0)), "", INDEX(SelectedPrecincts[Draw], MATCH(SamplingData[[#This Row],[Batch by Type (p)]],SelectedPrecincts[Batch Name], 0)))</f>
        <v/>
      </c>
      <c r="AJ1109" s="101">
        <f>IF(COUNTIF(SelectedPrecincts[Batch Name],SamplingData[[#This Row],[Batch by Type (p)]]) &lt;&gt; 0, COUNTIF(SelectedPrecincts[Batch Name],SamplingData[[#This Row],[Batch by Type (p)]]), 0)</f>
        <v>0</v>
      </c>
    </row>
    <row r="1110" spans="1:36" ht="15" customHeight="1" x14ac:dyDescent="0.35">
      <c r="A1110" s="98" t="s">
        <v>1320</v>
      </c>
      <c r="B1110" s="98">
        <v>60</v>
      </c>
      <c r="C1110" s="98">
        <v>5</v>
      </c>
      <c r="D1110" s="93"/>
      <c r="E1110" s="93"/>
      <c r="F1110" s="93"/>
      <c r="G1110" s="97"/>
      <c r="H1110" s="97"/>
      <c r="I1110" s="93"/>
      <c r="J1110" s="93"/>
      <c r="K1110" s="93"/>
      <c r="L1110" s="93"/>
      <c r="M1110" s="93"/>
      <c r="N1110" s="98">
        <v>0</v>
      </c>
      <c r="O1110" s="98">
        <v>1</v>
      </c>
      <c r="P1110" s="99">
        <f>SUM(SamplingData[[#This Row],[Winning Candidate]:[Under Votes]])</f>
        <v>66</v>
      </c>
      <c r="Q1110" s="100">
        <f>IF(AND(SamplingData[[#This Row],[Total]]&lt;&gt; 0, NOT(ISBLANK(SamplingData[[#This Row],[Losing Candidate]]))),(SamplingData[[#This Row],[Total]]+SamplingData[[#This Row],[Winning Candidate]]-SamplingData[[#This Row],[Losing Candidate]])/(SamplingData[[#Totals],[Winning Candidate]]-SamplingData[[#Totals],[Losing Candidate]]), 0)</f>
        <v>3.8006093538964099E-3</v>
      </c>
      <c r="R1110" s="100">
        <f>IF(AND(SamplingData[[#This Row],[Total]]&lt;&gt; 0, NOT(ISBLANK(SamplingData[[#This Row],[Candidate 3]]))),(SamplingData[[#This Row],[Total]]+SamplingData[[#This Row],[Winning Candidate]]-SamplingData[[#This Row],[Candidate 3]])/(SamplingData[[#Totals],[Winning Candidate]]-SamplingData[[#Totals],[Candidate 3]]), 0)</f>
        <v>0</v>
      </c>
      <c r="S1110" s="100">
        <f>IF(AND(SamplingData[[#This Row],[Total]]&lt;&gt; 0, NOT(ISBLANK(SamplingData[[#This Row],[Candidate 4]]))),(SamplingData[[#This Row],[Total]]+SamplingData[[#This Row],[Winning Candidate]]-SamplingData[[#This Row],[Candidate 4]])/(SamplingData[[#Totals],[Winning Candidate]]-SamplingData[[#Totals],[Candidate 4]]), 0)</f>
        <v>0</v>
      </c>
      <c r="T1110" s="100">
        <f>IF(AND(SamplingData[[#This Row],[Total]]&lt;&gt; 0, NOT(ISBLANK(SamplingData[[#This Row],[Candidate 5]]))),(SamplingData[[#This Row],[Total]]+SamplingData[[#This Row],[Winning Candidate]]-SamplingData[[#This Row],[Candidate 5]])/(SamplingData[[#Totals],[Winning Candidate]]-SamplingData[[#Totals],[Candidate 5]]), 0)</f>
        <v>0</v>
      </c>
      <c r="U1110" s="100">
        <f>IF(AND(SamplingData[[#This Row],[Total]]&lt;&gt; 0, NOT(ISBLANK(SamplingData[[#This Row],[Candidate 6]]))),(SamplingData[[#This Row],[Total]]+SamplingData[[#This Row],[Losing Candidate]]-SamplingData[[#This Row],[Candidate 6]])/(SamplingData[[#Totals],[Winning Candidate]]-SamplingData[[#Totals],[Candidate 6]]), 0)</f>
        <v>0</v>
      </c>
      <c r="V1110" s="100">
        <f>IF(AND(SamplingData[[#This Row],[Total]]&lt;&gt; 0, NOT(ISBLANK(SamplingData[[#This Row],[Candidate 7]]))),(SamplingData[[#This Row],[Total]]+SamplingData[[#This Row],[Winning Candidate]]-SamplingData[[#This Row],[Candidate 7]])/(SamplingData[[#Totals],[Winning Candidate]]-SamplingData[[#Totals],[Candidate 7]]), 0)</f>
        <v>0</v>
      </c>
      <c r="W1110" s="100">
        <f>IF(AND(SamplingData[[#This Row],[Total]]&lt;&gt; 0, NOT(ISBLANK(SamplingData[[#This Row],[Candidate 8]]))),(SamplingData[[#This Row],[Total]]+SamplingData[[#This Row],[Winning Candidate]]-SamplingData[[#This Row],[Candidate 8]])/(SamplingData[[#Totals],[Winning Candidate]]-SamplingData[[#Totals],[Candidate 8]]), 0)</f>
        <v>0</v>
      </c>
      <c r="X1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00">
        <f>MAX(SamplingData[[#This Row],[Error Bound (up) - Max. possible relative overstatement - Losing Candidate]:[Error Bound (up) - Max. possible relative overstatement - Candidate 12]])</f>
        <v>3.8006093538964099E-3</v>
      </c>
      <c r="AC1110" s="100">
        <f>IF(SamplingData[[#This Row],[Max Error Bound (up)]] = 0,0,SamplingData[[#This Row],[Max Error Bound (up)]]/SamplingData[[#Totals],[Max Error Bound (up)]])</f>
        <v>1.6287083400635337E-3</v>
      </c>
      <c r="AD1110" s="104">
        <f>SUM($AC$5:AC1110)</f>
        <v>0.95971302428256156</v>
      </c>
      <c r="AE1110" s="100" t="str" cm="1">
        <f t="array" ref="AE1110">IF(SamplingData[[#This Row],[up/U Selection Probability]] = 0, "Zero", TEXT(SamplingData[[#This Row],[Lower Range]], REPT("0",LEN('General Info'!$B$42))) &amp; " - " &amp; TEXT(SamplingData[[#This Row],[Upper Range]], REPT("0",LEN('General Info'!$B$42))))</f>
        <v>95808 - 95970</v>
      </c>
      <c r="AF1110" s="100">
        <f>SamplingData[[#This Row],[Upper Range]]-SamplingData[[#This Row],[Span]]</f>
        <v>95808.431594249792</v>
      </c>
      <c r="AG1110" s="100">
        <f>IF(ISNUMBER('General Info'!$B$42), ((SamplingData[[#This Row],[up/U Selection Probability]]) * 'General Info'!$B$44) - 1, 0)</f>
        <v>161.87083400635336</v>
      </c>
      <c r="AH1110" s="100">
        <f>IF(ISNUMBER('General Info'!$B$42), (SamplingData[[#This Row],[Running (cumulative) sum]] * ('General Info'!$B$42 -'General Info'!$B$43 + 1)) + 'General Info'!$B$43 - 1, 0)</f>
        <v>95970.302428256153</v>
      </c>
      <c r="AI1110" s="100" t="str">
        <f>IF(ISERROR(MATCH(SamplingData[[#This Row],[Batch by Type (p)]],SelectedPrecincts[Batch Name], 0)), "", INDEX(SelectedPrecincts[Draw], MATCH(SamplingData[[#This Row],[Batch by Type (p)]],SelectedPrecincts[Batch Name], 0)))</f>
        <v/>
      </c>
      <c r="AJ1110" s="101">
        <f>IF(COUNTIF(SelectedPrecincts[Batch Name],SamplingData[[#This Row],[Batch by Type (p)]]) &lt;&gt; 0, COUNTIF(SelectedPrecincts[Batch Name],SamplingData[[#This Row],[Batch by Type (p)]]), 0)</f>
        <v>0</v>
      </c>
    </row>
    <row r="1111" spans="1:36" ht="15" customHeight="1" x14ac:dyDescent="0.35">
      <c r="A1111" s="98" t="s">
        <v>1321</v>
      </c>
      <c r="B1111" s="98">
        <v>93</v>
      </c>
      <c r="C1111" s="98">
        <v>9</v>
      </c>
      <c r="D1111" s="93"/>
      <c r="E1111" s="93"/>
      <c r="F1111" s="93"/>
      <c r="G1111" s="97"/>
      <c r="H1111" s="97"/>
      <c r="I1111" s="93"/>
      <c r="J1111" s="93"/>
      <c r="K1111" s="93"/>
      <c r="L1111" s="93"/>
      <c r="M1111" s="93"/>
      <c r="N1111" s="98">
        <v>1</v>
      </c>
      <c r="O1111" s="98">
        <v>2</v>
      </c>
      <c r="P1111" s="99">
        <f>SUM(SamplingData[[#This Row],[Winning Candidate]:[Under Votes]])</f>
        <v>105</v>
      </c>
      <c r="Q1111" s="100">
        <f>IF(AND(SamplingData[[#This Row],[Total]]&lt;&gt; 0, NOT(ISBLANK(SamplingData[[#This Row],[Losing Candidate]]))),(SamplingData[[#This Row],[Total]]+SamplingData[[#This Row],[Winning Candidate]]-SamplingData[[#This Row],[Losing Candidate]])/(SamplingData[[#Totals],[Winning Candidate]]-SamplingData[[#Totals],[Losing Candidate]]), 0)</f>
        <v>5.9364889907968718E-3</v>
      </c>
      <c r="R1111" s="100">
        <f>IF(AND(SamplingData[[#This Row],[Total]]&lt;&gt; 0, NOT(ISBLANK(SamplingData[[#This Row],[Candidate 3]]))),(SamplingData[[#This Row],[Total]]+SamplingData[[#This Row],[Winning Candidate]]-SamplingData[[#This Row],[Candidate 3]])/(SamplingData[[#Totals],[Winning Candidate]]-SamplingData[[#Totals],[Candidate 3]]), 0)</f>
        <v>0</v>
      </c>
      <c r="S1111" s="100">
        <f>IF(AND(SamplingData[[#This Row],[Total]]&lt;&gt; 0, NOT(ISBLANK(SamplingData[[#This Row],[Candidate 4]]))),(SamplingData[[#This Row],[Total]]+SamplingData[[#This Row],[Winning Candidate]]-SamplingData[[#This Row],[Candidate 4]])/(SamplingData[[#Totals],[Winning Candidate]]-SamplingData[[#Totals],[Candidate 4]]), 0)</f>
        <v>0</v>
      </c>
      <c r="T1111" s="100">
        <f>IF(AND(SamplingData[[#This Row],[Total]]&lt;&gt; 0, NOT(ISBLANK(SamplingData[[#This Row],[Candidate 5]]))),(SamplingData[[#This Row],[Total]]+SamplingData[[#This Row],[Winning Candidate]]-SamplingData[[#This Row],[Candidate 5]])/(SamplingData[[#Totals],[Winning Candidate]]-SamplingData[[#Totals],[Candidate 5]]), 0)</f>
        <v>0</v>
      </c>
      <c r="U1111" s="100">
        <f>IF(AND(SamplingData[[#This Row],[Total]]&lt;&gt; 0, NOT(ISBLANK(SamplingData[[#This Row],[Candidate 6]]))),(SamplingData[[#This Row],[Total]]+SamplingData[[#This Row],[Losing Candidate]]-SamplingData[[#This Row],[Candidate 6]])/(SamplingData[[#Totals],[Winning Candidate]]-SamplingData[[#Totals],[Candidate 6]]), 0)</f>
        <v>0</v>
      </c>
      <c r="V1111" s="100">
        <f>IF(AND(SamplingData[[#This Row],[Total]]&lt;&gt; 0, NOT(ISBLANK(SamplingData[[#This Row],[Candidate 7]]))),(SamplingData[[#This Row],[Total]]+SamplingData[[#This Row],[Winning Candidate]]-SamplingData[[#This Row],[Candidate 7]])/(SamplingData[[#Totals],[Winning Candidate]]-SamplingData[[#Totals],[Candidate 7]]), 0)</f>
        <v>0</v>
      </c>
      <c r="W1111" s="100">
        <f>IF(AND(SamplingData[[#This Row],[Total]]&lt;&gt; 0, NOT(ISBLANK(SamplingData[[#This Row],[Candidate 8]]))),(SamplingData[[#This Row],[Total]]+SamplingData[[#This Row],[Winning Candidate]]-SamplingData[[#This Row],[Candidate 8]])/(SamplingData[[#Totals],[Winning Candidate]]-SamplingData[[#Totals],[Candidate 8]]), 0)</f>
        <v>0</v>
      </c>
      <c r="X1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00">
        <f>MAX(SamplingData[[#This Row],[Error Bound (up) - Max. possible relative overstatement - Losing Candidate]:[Error Bound (up) - Max. possible relative overstatement - Candidate 12]])</f>
        <v>5.9364889907968718E-3</v>
      </c>
      <c r="AC1111" s="100">
        <f>IF(SamplingData[[#This Row],[Max Error Bound (up)]] = 0,0,SamplingData[[#This Row],[Max Error Bound (up)]]/SamplingData[[#Totals],[Max Error Bound (up)]])</f>
        <v>2.5440155063802304E-3</v>
      </c>
      <c r="AD1111" s="104">
        <f>SUM($AC$5:AC1111)</f>
        <v>0.96225703978894184</v>
      </c>
      <c r="AE1111" s="100" t="str" cm="1">
        <f t="array" ref="AE1111">IF(SamplingData[[#This Row],[up/U Selection Probability]] = 0, "Zero", TEXT(SamplingData[[#This Row],[Lower Range]], REPT("0",LEN('General Info'!$B$42))) &amp; " - " &amp; TEXT(SamplingData[[#This Row],[Upper Range]], REPT("0",LEN('General Info'!$B$42))))</f>
        <v>95971 - 96225</v>
      </c>
      <c r="AF1111" s="100">
        <f>SamplingData[[#This Row],[Upper Range]]-SamplingData[[#This Row],[Span]]</f>
        <v>95971.302428256153</v>
      </c>
      <c r="AG1111" s="100">
        <f>IF(ISNUMBER('General Info'!$B$42), ((SamplingData[[#This Row],[up/U Selection Probability]]) * 'General Info'!$B$44) - 1, 0)</f>
        <v>253.40155063802305</v>
      </c>
      <c r="AH1111" s="100">
        <f>IF(ISNUMBER('General Info'!$B$42), (SamplingData[[#This Row],[Running (cumulative) sum]] * ('General Info'!$B$42 -'General Info'!$B$43 + 1)) + 'General Info'!$B$43 - 1, 0)</f>
        <v>96224.703978894177</v>
      </c>
      <c r="AI1111" s="100" t="str">
        <f>IF(ISERROR(MATCH(SamplingData[[#This Row],[Batch by Type (p)]],SelectedPrecincts[Batch Name], 0)), "", INDEX(SelectedPrecincts[Draw], MATCH(SamplingData[[#This Row],[Batch by Type (p)]],SelectedPrecincts[Batch Name], 0)))</f>
        <v/>
      </c>
      <c r="AJ1111" s="101">
        <f>IF(COUNTIF(SelectedPrecincts[Batch Name],SamplingData[[#This Row],[Batch by Type (p)]]) &lt;&gt; 0, COUNTIF(SelectedPrecincts[Batch Name],SamplingData[[#This Row],[Batch by Type (p)]]), 0)</f>
        <v>0</v>
      </c>
    </row>
    <row r="1112" spans="1:36" ht="15" customHeight="1" x14ac:dyDescent="0.35">
      <c r="A1112" s="98" t="s">
        <v>1322</v>
      </c>
      <c r="B1112" s="98">
        <v>27</v>
      </c>
      <c r="C1112" s="98">
        <v>6</v>
      </c>
      <c r="D1112" s="93"/>
      <c r="E1112" s="93"/>
      <c r="F1112" s="93"/>
      <c r="G1112" s="97"/>
      <c r="H1112" s="97"/>
      <c r="I1112" s="93"/>
      <c r="J1112" s="93"/>
      <c r="K1112" s="93"/>
      <c r="L1112" s="93"/>
      <c r="M1112" s="93"/>
      <c r="N1112" s="98">
        <v>0</v>
      </c>
      <c r="O1112" s="98">
        <v>0</v>
      </c>
      <c r="P1112" s="99">
        <f>SUM(SamplingData[[#This Row],[Winning Candidate]:[Under Votes]])</f>
        <v>33</v>
      </c>
      <c r="Q1112" s="100">
        <f>IF(AND(SamplingData[[#This Row],[Total]]&lt;&gt; 0, NOT(ISBLANK(SamplingData[[#This Row],[Losing Candidate]]))),(SamplingData[[#This Row],[Total]]+SamplingData[[#This Row],[Winning Candidate]]-SamplingData[[#This Row],[Losing Candidate]])/(SamplingData[[#Totals],[Winning Candidate]]-SamplingData[[#Totals],[Losing Candidate]]), 0)</f>
        <v>1.6961397116562491E-3</v>
      </c>
      <c r="R1112" s="100">
        <f>IF(AND(SamplingData[[#This Row],[Total]]&lt;&gt; 0, NOT(ISBLANK(SamplingData[[#This Row],[Candidate 3]]))),(SamplingData[[#This Row],[Total]]+SamplingData[[#This Row],[Winning Candidate]]-SamplingData[[#This Row],[Candidate 3]])/(SamplingData[[#Totals],[Winning Candidate]]-SamplingData[[#Totals],[Candidate 3]]), 0)</f>
        <v>0</v>
      </c>
      <c r="S1112" s="100">
        <f>IF(AND(SamplingData[[#This Row],[Total]]&lt;&gt; 0, NOT(ISBLANK(SamplingData[[#This Row],[Candidate 4]]))),(SamplingData[[#This Row],[Total]]+SamplingData[[#This Row],[Winning Candidate]]-SamplingData[[#This Row],[Candidate 4]])/(SamplingData[[#Totals],[Winning Candidate]]-SamplingData[[#Totals],[Candidate 4]]), 0)</f>
        <v>0</v>
      </c>
      <c r="T1112" s="100">
        <f>IF(AND(SamplingData[[#This Row],[Total]]&lt;&gt; 0, NOT(ISBLANK(SamplingData[[#This Row],[Candidate 5]]))),(SamplingData[[#This Row],[Total]]+SamplingData[[#This Row],[Winning Candidate]]-SamplingData[[#This Row],[Candidate 5]])/(SamplingData[[#Totals],[Winning Candidate]]-SamplingData[[#Totals],[Candidate 5]]), 0)</f>
        <v>0</v>
      </c>
      <c r="U1112" s="100">
        <f>IF(AND(SamplingData[[#This Row],[Total]]&lt;&gt; 0, NOT(ISBLANK(SamplingData[[#This Row],[Candidate 6]]))),(SamplingData[[#This Row],[Total]]+SamplingData[[#This Row],[Losing Candidate]]-SamplingData[[#This Row],[Candidate 6]])/(SamplingData[[#Totals],[Winning Candidate]]-SamplingData[[#Totals],[Candidate 6]]), 0)</f>
        <v>0</v>
      </c>
      <c r="V1112" s="100">
        <f>IF(AND(SamplingData[[#This Row],[Total]]&lt;&gt; 0, NOT(ISBLANK(SamplingData[[#This Row],[Candidate 7]]))),(SamplingData[[#This Row],[Total]]+SamplingData[[#This Row],[Winning Candidate]]-SamplingData[[#This Row],[Candidate 7]])/(SamplingData[[#Totals],[Winning Candidate]]-SamplingData[[#Totals],[Candidate 7]]), 0)</f>
        <v>0</v>
      </c>
      <c r="W1112" s="100">
        <f>IF(AND(SamplingData[[#This Row],[Total]]&lt;&gt; 0, NOT(ISBLANK(SamplingData[[#This Row],[Candidate 8]]))),(SamplingData[[#This Row],[Total]]+SamplingData[[#This Row],[Winning Candidate]]-SamplingData[[#This Row],[Candidate 8]])/(SamplingData[[#Totals],[Winning Candidate]]-SamplingData[[#Totals],[Candidate 8]]), 0)</f>
        <v>0</v>
      </c>
      <c r="X1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00">
        <f>MAX(SamplingData[[#This Row],[Error Bound (up) - Max. possible relative overstatement - Losing Candidate]:[Error Bound (up) - Max. possible relative overstatement - Candidate 12]])</f>
        <v>1.6961397116562491E-3</v>
      </c>
      <c r="AC1112" s="100">
        <f>IF(SamplingData[[#This Row],[Max Error Bound (up)]] = 0,0,SamplingData[[#This Row],[Max Error Bound (up)]]/SamplingData[[#Totals],[Max Error Bound (up)]])</f>
        <v>7.2686157325149443E-4</v>
      </c>
      <c r="AD1112" s="104">
        <f>SUM($AC$5:AC1112)</f>
        <v>0.96298390136219336</v>
      </c>
      <c r="AE1112" s="100" t="str" cm="1">
        <f t="array" ref="AE1112">IF(SamplingData[[#This Row],[up/U Selection Probability]] = 0, "Zero", TEXT(SamplingData[[#This Row],[Lower Range]], REPT("0",LEN('General Info'!$B$42))) &amp; " - " &amp; TEXT(SamplingData[[#This Row],[Upper Range]], REPT("0",LEN('General Info'!$B$42))))</f>
        <v>96226 - 96297</v>
      </c>
      <c r="AF1112" s="100">
        <f>SamplingData[[#This Row],[Upper Range]]-SamplingData[[#This Row],[Span]]</f>
        <v>96225.703978894191</v>
      </c>
      <c r="AG1112" s="100">
        <f>IF(ISNUMBER('General Info'!$B$42), ((SamplingData[[#This Row],[up/U Selection Probability]]) * 'General Info'!$B$44) - 1, 0)</f>
        <v>71.686157325149438</v>
      </c>
      <c r="AH1112" s="100">
        <f>IF(ISNUMBER('General Info'!$B$42), (SamplingData[[#This Row],[Running (cumulative) sum]] * ('General Info'!$B$42 -'General Info'!$B$43 + 1)) + 'General Info'!$B$43 - 1, 0)</f>
        <v>96297.390136219343</v>
      </c>
      <c r="AI1112" s="100" t="str">
        <f>IF(ISERROR(MATCH(SamplingData[[#This Row],[Batch by Type (p)]],SelectedPrecincts[Batch Name], 0)), "", INDEX(SelectedPrecincts[Draw], MATCH(SamplingData[[#This Row],[Batch by Type (p)]],SelectedPrecincts[Batch Name], 0)))</f>
        <v/>
      </c>
      <c r="AJ1112" s="101">
        <f>IF(COUNTIF(SelectedPrecincts[Batch Name],SamplingData[[#This Row],[Batch by Type (p)]]) &lt;&gt; 0, COUNTIF(SelectedPrecincts[Batch Name],SamplingData[[#This Row],[Batch by Type (p)]]), 0)</f>
        <v>0</v>
      </c>
    </row>
    <row r="1113" spans="1:36" ht="15" customHeight="1" x14ac:dyDescent="0.35">
      <c r="A1113" s="98" t="s">
        <v>1323</v>
      </c>
      <c r="B1113" s="98">
        <v>76</v>
      </c>
      <c r="C1113" s="98">
        <v>11</v>
      </c>
      <c r="D1113" s="93"/>
      <c r="E1113" s="93"/>
      <c r="F1113" s="93"/>
      <c r="G1113" s="97"/>
      <c r="H1113" s="97"/>
      <c r="I1113" s="93"/>
      <c r="J1113" s="93"/>
      <c r="K1113" s="93"/>
      <c r="L1113" s="93"/>
      <c r="M1113" s="93"/>
      <c r="N1113" s="98">
        <v>0</v>
      </c>
      <c r="O1113" s="98">
        <v>1</v>
      </c>
      <c r="P1113" s="99">
        <f>SUM(SamplingData[[#This Row],[Winning Candidate]:[Under Votes]])</f>
        <v>88</v>
      </c>
      <c r="Q1113" s="100">
        <f>IF(AND(SamplingData[[#This Row],[Total]]&lt;&gt; 0, NOT(ISBLANK(SamplingData[[#This Row],[Losing Candidate]]))),(SamplingData[[#This Row],[Total]]+SamplingData[[#This Row],[Winning Candidate]]-SamplingData[[#This Row],[Losing Candidate]])/(SamplingData[[#Totals],[Winning Candidate]]-SamplingData[[#Totals],[Losing Candidate]]), 0)</f>
        <v>4.8057291830260387E-3</v>
      </c>
      <c r="R1113" s="100">
        <f>IF(AND(SamplingData[[#This Row],[Total]]&lt;&gt; 0, NOT(ISBLANK(SamplingData[[#This Row],[Candidate 3]]))),(SamplingData[[#This Row],[Total]]+SamplingData[[#This Row],[Winning Candidate]]-SamplingData[[#This Row],[Candidate 3]])/(SamplingData[[#Totals],[Winning Candidate]]-SamplingData[[#Totals],[Candidate 3]]), 0)</f>
        <v>0</v>
      </c>
      <c r="S1113" s="100">
        <f>IF(AND(SamplingData[[#This Row],[Total]]&lt;&gt; 0, NOT(ISBLANK(SamplingData[[#This Row],[Candidate 4]]))),(SamplingData[[#This Row],[Total]]+SamplingData[[#This Row],[Winning Candidate]]-SamplingData[[#This Row],[Candidate 4]])/(SamplingData[[#Totals],[Winning Candidate]]-SamplingData[[#Totals],[Candidate 4]]), 0)</f>
        <v>0</v>
      </c>
      <c r="T1113" s="100">
        <f>IF(AND(SamplingData[[#This Row],[Total]]&lt;&gt; 0, NOT(ISBLANK(SamplingData[[#This Row],[Candidate 5]]))),(SamplingData[[#This Row],[Total]]+SamplingData[[#This Row],[Winning Candidate]]-SamplingData[[#This Row],[Candidate 5]])/(SamplingData[[#Totals],[Winning Candidate]]-SamplingData[[#Totals],[Candidate 5]]), 0)</f>
        <v>0</v>
      </c>
      <c r="U1113" s="100">
        <f>IF(AND(SamplingData[[#This Row],[Total]]&lt;&gt; 0, NOT(ISBLANK(SamplingData[[#This Row],[Candidate 6]]))),(SamplingData[[#This Row],[Total]]+SamplingData[[#This Row],[Losing Candidate]]-SamplingData[[#This Row],[Candidate 6]])/(SamplingData[[#Totals],[Winning Candidate]]-SamplingData[[#Totals],[Candidate 6]]), 0)</f>
        <v>0</v>
      </c>
      <c r="V1113" s="100">
        <f>IF(AND(SamplingData[[#This Row],[Total]]&lt;&gt; 0, NOT(ISBLANK(SamplingData[[#This Row],[Candidate 7]]))),(SamplingData[[#This Row],[Total]]+SamplingData[[#This Row],[Winning Candidate]]-SamplingData[[#This Row],[Candidate 7]])/(SamplingData[[#Totals],[Winning Candidate]]-SamplingData[[#Totals],[Candidate 7]]), 0)</f>
        <v>0</v>
      </c>
      <c r="W1113" s="100">
        <f>IF(AND(SamplingData[[#This Row],[Total]]&lt;&gt; 0, NOT(ISBLANK(SamplingData[[#This Row],[Candidate 8]]))),(SamplingData[[#This Row],[Total]]+SamplingData[[#This Row],[Winning Candidate]]-SamplingData[[#This Row],[Candidate 8]])/(SamplingData[[#Totals],[Winning Candidate]]-SamplingData[[#Totals],[Candidate 8]]), 0)</f>
        <v>0</v>
      </c>
      <c r="X1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00">
        <f>MAX(SamplingData[[#This Row],[Error Bound (up) - Max. possible relative overstatement - Losing Candidate]:[Error Bound (up) - Max. possible relative overstatement - Candidate 12]])</f>
        <v>4.8057291830260387E-3</v>
      </c>
      <c r="AC1113" s="100">
        <f>IF(SamplingData[[#This Row],[Max Error Bound (up)]] = 0,0,SamplingData[[#This Row],[Max Error Bound (up)]]/SamplingData[[#Totals],[Max Error Bound (up)]])</f>
        <v>2.0594411242125673E-3</v>
      </c>
      <c r="AD1113" s="104">
        <f>SUM($AC$5:AC1113)</f>
        <v>0.96504334248640589</v>
      </c>
      <c r="AE1113" s="100" t="str" cm="1">
        <f t="array" ref="AE1113">IF(SamplingData[[#This Row],[up/U Selection Probability]] = 0, "Zero", TEXT(SamplingData[[#This Row],[Lower Range]], REPT("0",LEN('General Info'!$B$42))) &amp; " - " &amp; TEXT(SamplingData[[#This Row],[Upper Range]], REPT("0",LEN('General Info'!$B$42))))</f>
        <v>96298 - 96503</v>
      </c>
      <c r="AF1113" s="100">
        <f>SamplingData[[#This Row],[Upper Range]]-SamplingData[[#This Row],[Span]]</f>
        <v>96298.390136219328</v>
      </c>
      <c r="AG1113" s="100">
        <f>IF(ISNUMBER('General Info'!$B$42), ((SamplingData[[#This Row],[up/U Selection Probability]]) * 'General Info'!$B$44) - 1, 0)</f>
        <v>204.94411242125673</v>
      </c>
      <c r="AH1113" s="100">
        <f>IF(ISNUMBER('General Info'!$B$42), (SamplingData[[#This Row],[Running (cumulative) sum]] * ('General Info'!$B$42 -'General Info'!$B$43 + 1)) + 'General Info'!$B$43 - 1, 0)</f>
        <v>96503.334248640589</v>
      </c>
      <c r="AI1113" s="100" t="str">
        <f>IF(ISERROR(MATCH(SamplingData[[#This Row],[Batch by Type (p)]],SelectedPrecincts[Batch Name], 0)), "", INDEX(SelectedPrecincts[Draw], MATCH(SamplingData[[#This Row],[Batch by Type (p)]],SelectedPrecincts[Batch Name], 0)))</f>
        <v/>
      </c>
      <c r="AJ1113" s="101">
        <f>IF(COUNTIF(SelectedPrecincts[Batch Name],SamplingData[[#This Row],[Batch by Type (p)]]) &lt;&gt; 0, COUNTIF(SelectedPrecincts[Batch Name],SamplingData[[#This Row],[Batch by Type (p)]]), 0)</f>
        <v>0</v>
      </c>
    </row>
    <row r="1114" spans="1:36" ht="15" customHeight="1" x14ac:dyDescent="0.35">
      <c r="A1114" s="98" t="s">
        <v>1324</v>
      </c>
      <c r="B1114" s="98">
        <v>109</v>
      </c>
      <c r="C1114" s="98">
        <v>17</v>
      </c>
      <c r="D1114" s="93"/>
      <c r="E1114" s="93"/>
      <c r="F1114" s="93"/>
      <c r="G1114" s="97"/>
      <c r="H1114" s="97"/>
      <c r="I1114" s="93"/>
      <c r="J1114" s="93"/>
      <c r="K1114" s="93"/>
      <c r="L1114" s="93"/>
      <c r="M1114" s="93"/>
      <c r="N1114" s="98">
        <v>0</v>
      </c>
      <c r="O1114" s="98">
        <v>1</v>
      </c>
      <c r="P1114" s="99">
        <f>SUM(SamplingData[[#This Row],[Winning Candidate]:[Under Votes]])</f>
        <v>127</v>
      </c>
      <c r="Q1114" s="100">
        <f>IF(AND(SamplingData[[#This Row],[Total]]&lt;&gt; 0, NOT(ISBLANK(SamplingData[[#This Row],[Losing Candidate]]))),(SamplingData[[#This Row],[Total]]+SamplingData[[#This Row],[Winning Candidate]]-SamplingData[[#This Row],[Losing Candidate]])/(SamplingData[[#Totals],[Winning Candidate]]-SamplingData[[#Totals],[Losing Candidate]]), 0)</f>
        <v>6.8787888306058986E-3</v>
      </c>
      <c r="R1114" s="100">
        <f>IF(AND(SamplingData[[#This Row],[Total]]&lt;&gt; 0, NOT(ISBLANK(SamplingData[[#This Row],[Candidate 3]]))),(SamplingData[[#This Row],[Total]]+SamplingData[[#This Row],[Winning Candidate]]-SamplingData[[#This Row],[Candidate 3]])/(SamplingData[[#Totals],[Winning Candidate]]-SamplingData[[#Totals],[Candidate 3]]), 0)</f>
        <v>0</v>
      </c>
      <c r="S1114" s="100">
        <f>IF(AND(SamplingData[[#This Row],[Total]]&lt;&gt; 0, NOT(ISBLANK(SamplingData[[#This Row],[Candidate 4]]))),(SamplingData[[#This Row],[Total]]+SamplingData[[#This Row],[Winning Candidate]]-SamplingData[[#This Row],[Candidate 4]])/(SamplingData[[#Totals],[Winning Candidate]]-SamplingData[[#Totals],[Candidate 4]]), 0)</f>
        <v>0</v>
      </c>
      <c r="T1114" s="100">
        <f>IF(AND(SamplingData[[#This Row],[Total]]&lt;&gt; 0, NOT(ISBLANK(SamplingData[[#This Row],[Candidate 5]]))),(SamplingData[[#This Row],[Total]]+SamplingData[[#This Row],[Winning Candidate]]-SamplingData[[#This Row],[Candidate 5]])/(SamplingData[[#Totals],[Winning Candidate]]-SamplingData[[#Totals],[Candidate 5]]), 0)</f>
        <v>0</v>
      </c>
      <c r="U1114" s="100">
        <f>IF(AND(SamplingData[[#This Row],[Total]]&lt;&gt; 0, NOT(ISBLANK(SamplingData[[#This Row],[Candidate 6]]))),(SamplingData[[#This Row],[Total]]+SamplingData[[#This Row],[Losing Candidate]]-SamplingData[[#This Row],[Candidate 6]])/(SamplingData[[#Totals],[Winning Candidate]]-SamplingData[[#Totals],[Candidate 6]]), 0)</f>
        <v>0</v>
      </c>
      <c r="V1114" s="100">
        <f>IF(AND(SamplingData[[#This Row],[Total]]&lt;&gt; 0, NOT(ISBLANK(SamplingData[[#This Row],[Candidate 7]]))),(SamplingData[[#This Row],[Total]]+SamplingData[[#This Row],[Winning Candidate]]-SamplingData[[#This Row],[Candidate 7]])/(SamplingData[[#Totals],[Winning Candidate]]-SamplingData[[#Totals],[Candidate 7]]), 0)</f>
        <v>0</v>
      </c>
      <c r="W1114" s="100">
        <f>IF(AND(SamplingData[[#This Row],[Total]]&lt;&gt; 0, NOT(ISBLANK(SamplingData[[#This Row],[Candidate 8]]))),(SamplingData[[#This Row],[Total]]+SamplingData[[#This Row],[Winning Candidate]]-SamplingData[[#This Row],[Candidate 8]])/(SamplingData[[#Totals],[Winning Candidate]]-SamplingData[[#Totals],[Candidate 8]]), 0)</f>
        <v>0</v>
      </c>
      <c r="X1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00">
        <f>MAX(SamplingData[[#This Row],[Error Bound (up) - Max. possible relative overstatement - Losing Candidate]:[Error Bound (up) - Max. possible relative overstatement - Candidate 12]])</f>
        <v>6.8787888306058986E-3</v>
      </c>
      <c r="AC1114" s="100">
        <f>IF(SamplingData[[#This Row],[Max Error Bound (up)]] = 0,0,SamplingData[[#This Row],[Max Error Bound (up)]]/SamplingData[[#Totals],[Max Error Bound (up)]])</f>
        <v>2.9478274915199494E-3</v>
      </c>
      <c r="AD1114" s="104">
        <f>SUM($AC$5:AC1114)</f>
        <v>0.96799116997792578</v>
      </c>
      <c r="AE1114" s="100" t="str" cm="1">
        <f t="array" ref="AE1114">IF(SamplingData[[#This Row],[up/U Selection Probability]] = 0, "Zero", TEXT(SamplingData[[#This Row],[Lower Range]], REPT("0",LEN('General Info'!$B$42))) &amp; " - " &amp; TEXT(SamplingData[[#This Row],[Upper Range]], REPT("0",LEN('General Info'!$B$42))))</f>
        <v>96504 - 96798</v>
      </c>
      <c r="AF1114" s="100">
        <f>SamplingData[[#This Row],[Upper Range]]-SamplingData[[#This Row],[Span]]</f>
        <v>96504.334248640575</v>
      </c>
      <c r="AG1114" s="100">
        <f>IF(ISNUMBER('General Info'!$B$42), ((SamplingData[[#This Row],[up/U Selection Probability]]) * 'General Info'!$B$44) - 1, 0)</f>
        <v>293.78274915199495</v>
      </c>
      <c r="AH1114" s="100">
        <f>IF(ISNUMBER('General Info'!$B$42), (SamplingData[[#This Row],[Running (cumulative) sum]] * ('General Info'!$B$42 -'General Info'!$B$43 + 1)) + 'General Info'!$B$43 - 1, 0)</f>
        <v>96798.116997792575</v>
      </c>
      <c r="AI1114" s="100" t="str">
        <f>IF(ISERROR(MATCH(SamplingData[[#This Row],[Batch by Type (p)]],SelectedPrecincts[Batch Name], 0)), "", INDEX(SelectedPrecincts[Draw], MATCH(SamplingData[[#This Row],[Batch by Type (p)]],SelectedPrecincts[Batch Name], 0)))</f>
        <v/>
      </c>
      <c r="AJ1114" s="101">
        <f>IF(COUNTIF(SelectedPrecincts[Batch Name],SamplingData[[#This Row],[Batch by Type (p)]]) &lt;&gt; 0, COUNTIF(SelectedPrecincts[Batch Name],SamplingData[[#This Row],[Batch by Type (p)]]), 0)</f>
        <v>0</v>
      </c>
    </row>
    <row r="1115" spans="1:36" ht="15" customHeight="1" x14ac:dyDescent="0.35">
      <c r="A1115" s="98" t="s">
        <v>1325</v>
      </c>
      <c r="B1115" s="98">
        <v>67</v>
      </c>
      <c r="C1115" s="98">
        <v>9</v>
      </c>
      <c r="D1115" s="93"/>
      <c r="E1115" s="93"/>
      <c r="F1115" s="93"/>
      <c r="G1115" s="97"/>
      <c r="H1115" s="97"/>
      <c r="I1115" s="93"/>
      <c r="J1115" s="93"/>
      <c r="K1115" s="93"/>
      <c r="L1115" s="93"/>
      <c r="M1115" s="93"/>
      <c r="N1115" s="98">
        <v>0</v>
      </c>
      <c r="O1115" s="98">
        <v>3</v>
      </c>
      <c r="P1115" s="99">
        <f>SUM(SamplingData[[#This Row],[Winning Candidate]:[Under Votes]])</f>
        <v>79</v>
      </c>
      <c r="Q1115" s="100">
        <f>IF(AND(SamplingData[[#This Row],[Total]]&lt;&gt; 0, NOT(ISBLANK(SamplingData[[#This Row],[Losing Candidate]]))),(SamplingData[[#This Row],[Total]]+SamplingData[[#This Row],[Winning Candidate]]-SamplingData[[#This Row],[Losing Candidate]])/(SamplingData[[#Totals],[Winning Candidate]]-SamplingData[[#Totals],[Losing Candidate]]), 0)</f>
        <v>4.3031692684612245E-3</v>
      </c>
      <c r="R1115" s="100">
        <f>IF(AND(SamplingData[[#This Row],[Total]]&lt;&gt; 0, NOT(ISBLANK(SamplingData[[#This Row],[Candidate 3]]))),(SamplingData[[#This Row],[Total]]+SamplingData[[#This Row],[Winning Candidate]]-SamplingData[[#This Row],[Candidate 3]])/(SamplingData[[#Totals],[Winning Candidate]]-SamplingData[[#Totals],[Candidate 3]]), 0)</f>
        <v>0</v>
      </c>
      <c r="S1115" s="100">
        <f>IF(AND(SamplingData[[#This Row],[Total]]&lt;&gt; 0, NOT(ISBLANK(SamplingData[[#This Row],[Candidate 4]]))),(SamplingData[[#This Row],[Total]]+SamplingData[[#This Row],[Winning Candidate]]-SamplingData[[#This Row],[Candidate 4]])/(SamplingData[[#Totals],[Winning Candidate]]-SamplingData[[#Totals],[Candidate 4]]), 0)</f>
        <v>0</v>
      </c>
      <c r="T1115" s="100">
        <f>IF(AND(SamplingData[[#This Row],[Total]]&lt;&gt; 0, NOT(ISBLANK(SamplingData[[#This Row],[Candidate 5]]))),(SamplingData[[#This Row],[Total]]+SamplingData[[#This Row],[Winning Candidate]]-SamplingData[[#This Row],[Candidate 5]])/(SamplingData[[#Totals],[Winning Candidate]]-SamplingData[[#Totals],[Candidate 5]]), 0)</f>
        <v>0</v>
      </c>
      <c r="U1115" s="100">
        <f>IF(AND(SamplingData[[#This Row],[Total]]&lt;&gt; 0, NOT(ISBLANK(SamplingData[[#This Row],[Candidate 6]]))),(SamplingData[[#This Row],[Total]]+SamplingData[[#This Row],[Losing Candidate]]-SamplingData[[#This Row],[Candidate 6]])/(SamplingData[[#Totals],[Winning Candidate]]-SamplingData[[#Totals],[Candidate 6]]), 0)</f>
        <v>0</v>
      </c>
      <c r="V1115" s="100">
        <f>IF(AND(SamplingData[[#This Row],[Total]]&lt;&gt; 0, NOT(ISBLANK(SamplingData[[#This Row],[Candidate 7]]))),(SamplingData[[#This Row],[Total]]+SamplingData[[#This Row],[Winning Candidate]]-SamplingData[[#This Row],[Candidate 7]])/(SamplingData[[#Totals],[Winning Candidate]]-SamplingData[[#Totals],[Candidate 7]]), 0)</f>
        <v>0</v>
      </c>
      <c r="W1115" s="100">
        <f>IF(AND(SamplingData[[#This Row],[Total]]&lt;&gt; 0, NOT(ISBLANK(SamplingData[[#This Row],[Candidate 8]]))),(SamplingData[[#This Row],[Total]]+SamplingData[[#This Row],[Winning Candidate]]-SamplingData[[#This Row],[Candidate 8]])/(SamplingData[[#Totals],[Winning Candidate]]-SamplingData[[#Totals],[Candidate 8]]), 0)</f>
        <v>0</v>
      </c>
      <c r="X1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00">
        <f>MAX(SamplingData[[#This Row],[Error Bound (up) - Max. possible relative overstatement - Losing Candidate]:[Error Bound (up) - Max. possible relative overstatement - Candidate 12]])</f>
        <v>4.3031692684612245E-3</v>
      </c>
      <c r="AC1115" s="100">
        <f>IF(SamplingData[[#This Row],[Max Error Bound (up)]] = 0,0,SamplingData[[#This Row],[Max Error Bound (up)]]/SamplingData[[#Totals],[Max Error Bound (up)]])</f>
        <v>1.8440747321380505E-3</v>
      </c>
      <c r="AD1115" s="104">
        <f>SUM($AC$5:AC1115)</f>
        <v>0.96983524471006388</v>
      </c>
      <c r="AE1115" s="100" t="str" cm="1">
        <f t="array" ref="AE1115">IF(SamplingData[[#This Row],[up/U Selection Probability]] = 0, "Zero", TEXT(SamplingData[[#This Row],[Lower Range]], REPT("0",LEN('General Info'!$B$42))) &amp; " - " &amp; TEXT(SamplingData[[#This Row],[Upper Range]], REPT("0",LEN('General Info'!$B$42))))</f>
        <v>96799 - 96983</v>
      </c>
      <c r="AF1115" s="100">
        <f>SamplingData[[#This Row],[Upper Range]]-SamplingData[[#This Row],[Span]]</f>
        <v>96799.116997792575</v>
      </c>
      <c r="AG1115" s="100">
        <f>IF(ISNUMBER('General Info'!$B$42), ((SamplingData[[#This Row],[up/U Selection Probability]]) * 'General Info'!$B$44) - 1, 0)</f>
        <v>183.40747321380505</v>
      </c>
      <c r="AH1115" s="100">
        <f>IF(ISNUMBER('General Info'!$B$42), (SamplingData[[#This Row],[Running (cumulative) sum]] * ('General Info'!$B$42 -'General Info'!$B$43 + 1)) + 'General Info'!$B$43 - 1, 0)</f>
        <v>96982.524471006385</v>
      </c>
      <c r="AI1115" s="100" t="str">
        <f>IF(ISERROR(MATCH(SamplingData[[#This Row],[Batch by Type (p)]],SelectedPrecincts[Batch Name], 0)), "", INDEX(SelectedPrecincts[Draw], MATCH(SamplingData[[#This Row],[Batch by Type (p)]],SelectedPrecincts[Batch Name], 0)))</f>
        <v/>
      </c>
      <c r="AJ1115" s="101">
        <f>IF(COUNTIF(SelectedPrecincts[Batch Name],SamplingData[[#This Row],[Batch by Type (p)]]) &lt;&gt; 0, COUNTIF(SelectedPrecincts[Batch Name],SamplingData[[#This Row],[Batch by Type (p)]]), 0)</f>
        <v>0</v>
      </c>
    </row>
    <row r="1116" spans="1:36" ht="15" customHeight="1" x14ac:dyDescent="0.35">
      <c r="A1116" s="98" t="s">
        <v>1326</v>
      </c>
      <c r="B1116" s="98">
        <v>83</v>
      </c>
      <c r="C1116" s="98">
        <v>17</v>
      </c>
      <c r="D1116" s="93"/>
      <c r="E1116" s="93"/>
      <c r="F1116" s="93"/>
      <c r="G1116" s="97"/>
      <c r="H1116" s="97"/>
      <c r="I1116" s="93"/>
      <c r="J1116" s="93"/>
      <c r="K1116" s="93"/>
      <c r="L1116" s="93"/>
      <c r="M1116" s="93"/>
      <c r="N1116" s="98">
        <v>0</v>
      </c>
      <c r="O1116" s="98">
        <v>0</v>
      </c>
      <c r="P1116" s="99">
        <f>SUM(SamplingData[[#This Row],[Winning Candidate]:[Under Votes]])</f>
        <v>100</v>
      </c>
      <c r="Q1116" s="100">
        <f>IF(AND(SamplingData[[#This Row],[Total]]&lt;&gt; 0, NOT(ISBLANK(SamplingData[[#This Row],[Losing Candidate]]))),(SamplingData[[#This Row],[Total]]+SamplingData[[#This Row],[Winning Candidate]]-SamplingData[[#This Row],[Losing Candidate]])/(SamplingData[[#Totals],[Winning Candidate]]-SamplingData[[#Totals],[Losing Candidate]]), 0)</f>
        <v>5.2140591136099505E-3</v>
      </c>
      <c r="R1116" s="100">
        <f>IF(AND(SamplingData[[#This Row],[Total]]&lt;&gt; 0, NOT(ISBLANK(SamplingData[[#This Row],[Candidate 3]]))),(SamplingData[[#This Row],[Total]]+SamplingData[[#This Row],[Winning Candidate]]-SamplingData[[#This Row],[Candidate 3]])/(SamplingData[[#Totals],[Winning Candidate]]-SamplingData[[#Totals],[Candidate 3]]), 0)</f>
        <v>0</v>
      </c>
      <c r="S1116" s="100">
        <f>IF(AND(SamplingData[[#This Row],[Total]]&lt;&gt; 0, NOT(ISBLANK(SamplingData[[#This Row],[Candidate 4]]))),(SamplingData[[#This Row],[Total]]+SamplingData[[#This Row],[Winning Candidate]]-SamplingData[[#This Row],[Candidate 4]])/(SamplingData[[#Totals],[Winning Candidate]]-SamplingData[[#Totals],[Candidate 4]]), 0)</f>
        <v>0</v>
      </c>
      <c r="T1116" s="100">
        <f>IF(AND(SamplingData[[#This Row],[Total]]&lt;&gt; 0, NOT(ISBLANK(SamplingData[[#This Row],[Candidate 5]]))),(SamplingData[[#This Row],[Total]]+SamplingData[[#This Row],[Winning Candidate]]-SamplingData[[#This Row],[Candidate 5]])/(SamplingData[[#Totals],[Winning Candidate]]-SamplingData[[#Totals],[Candidate 5]]), 0)</f>
        <v>0</v>
      </c>
      <c r="U1116" s="100">
        <f>IF(AND(SamplingData[[#This Row],[Total]]&lt;&gt; 0, NOT(ISBLANK(SamplingData[[#This Row],[Candidate 6]]))),(SamplingData[[#This Row],[Total]]+SamplingData[[#This Row],[Losing Candidate]]-SamplingData[[#This Row],[Candidate 6]])/(SamplingData[[#Totals],[Winning Candidate]]-SamplingData[[#Totals],[Candidate 6]]), 0)</f>
        <v>0</v>
      </c>
      <c r="V1116" s="100">
        <f>IF(AND(SamplingData[[#This Row],[Total]]&lt;&gt; 0, NOT(ISBLANK(SamplingData[[#This Row],[Candidate 7]]))),(SamplingData[[#This Row],[Total]]+SamplingData[[#This Row],[Winning Candidate]]-SamplingData[[#This Row],[Candidate 7]])/(SamplingData[[#Totals],[Winning Candidate]]-SamplingData[[#Totals],[Candidate 7]]), 0)</f>
        <v>0</v>
      </c>
      <c r="W1116" s="100">
        <f>IF(AND(SamplingData[[#This Row],[Total]]&lt;&gt; 0, NOT(ISBLANK(SamplingData[[#This Row],[Candidate 8]]))),(SamplingData[[#This Row],[Total]]+SamplingData[[#This Row],[Winning Candidate]]-SamplingData[[#This Row],[Candidate 8]])/(SamplingData[[#Totals],[Winning Candidate]]-SamplingData[[#Totals],[Candidate 8]]), 0)</f>
        <v>0</v>
      </c>
      <c r="X1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00">
        <f>MAX(SamplingData[[#This Row],[Error Bound (up) - Max. possible relative overstatement - Losing Candidate]:[Error Bound (up) - Max. possible relative overstatement - Candidate 12]])</f>
        <v>5.2140591136099505E-3</v>
      </c>
      <c r="AC1116" s="100">
        <f>IF(SamplingData[[#This Row],[Max Error Bound (up)]] = 0,0,SamplingData[[#This Row],[Max Error Bound (up)]]/SamplingData[[#Totals],[Max Error Bound (up)]])</f>
        <v>2.2344263177731124E-3</v>
      </c>
      <c r="AD1116" s="104">
        <f>SUM($AC$5:AC1116)</f>
        <v>0.97206967102783703</v>
      </c>
      <c r="AE1116" s="100" t="str" cm="1">
        <f t="array" ref="AE1116">IF(SamplingData[[#This Row],[up/U Selection Probability]] = 0, "Zero", TEXT(SamplingData[[#This Row],[Lower Range]], REPT("0",LEN('General Info'!$B$42))) &amp; " - " &amp; TEXT(SamplingData[[#This Row],[Upper Range]], REPT("0",LEN('General Info'!$B$42))))</f>
        <v>96984 - 97206</v>
      </c>
      <c r="AF1116" s="100">
        <f>SamplingData[[#This Row],[Upper Range]]-SamplingData[[#This Row],[Span]]</f>
        <v>96983.524471006385</v>
      </c>
      <c r="AG1116" s="100">
        <f>IF(ISNUMBER('General Info'!$B$42), ((SamplingData[[#This Row],[up/U Selection Probability]]) * 'General Info'!$B$44) - 1, 0)</f>
        <v>222.44263177731125</v>
      </c>
      <c r="AH1116" s="100">
        <f>IF(ISNUMBER('General Info'!$B$42), (SamplingData[[#This Row],[Running (cumulative) sum]] * ('General Info'!$B$42 -'General Info'!$B$43 + 1)) + 'General Info'!$B$43 - 1, 0)</f>
        <v>97205.967102783703</v>
      </c>
      <c r="AI1116" s="100" t="str">
        <f>IF(ISERROR(MATCH(SamplingData[[#This Row],[Batch by Type (p)]],SelectedPrecincts[Batch Name], 0)), "", INDEX(SelectedPrecincts[Draw], MATCH(SamplingData[[#This Row],[Batch by Type (p)]],SelectedPrecincts[Batch Name], 0)))</f>
        <v/>
      </c>
      <c r="AJ1116" s="101">
        <f>IF(COUNTIF(SelectedPrecincts[Batch Name],SamplingData[[#This Row],[Batch by Type (p)]]) &lt;&gt; 0, COUNTIF(SelectedPrecincts[Batch Name],SamplingData[[#This Row],[Batch by Type (p)]]), 0)</f>
        <v>0</v>
      </c>
    </row>
    <row r="1117" spans="1:36" ht="15" customHeight="1" x14ac:dyDescent="0.35">
      <c r="A1117" s="98" t="s">
        <v>1327</v>
      </c>
      <c r="B1117" s="98">
        <v>63</v>
      </c>
      <c r="C1117" s="98">
        <v>5</v>
      </c>
      <c r="D1117" s="93"/>
      <c r="E1117" s="93"/>
      <c r="F1117" s="93"/>
      <c r="G1117" s="97"/>
      <c r="H1117" s="97"/>
      <c r="I1117" s="93"/>
      <c r="J1117" s="93"/>
      <c r="K1117" s="93"/>
      <c r="L1117" s="93"/>
      <c r="M1117" s="93"/>
      <c r="N1117" s="98">
        <v>0</v>
      </c>
      <c r="O1117" s="98">
        <v>1</v>
      </c>
      <c r="P1117" s="99">
        <f>SUM(SamplingData[[#This Row],[Winning Candidate]:[Under Votes]])</f>
        <v>69</v>
      </c>
      <c r="Q1117" s="100">
        <f>IF(AND(SamplingData[[#This Row],[Total]]&lt;&gt; 0, NOT(ISBLANK(SamplingData[[#This Row],[Losing Candidate]]))),(SamplingData[[#This Row],[Total]]+SamplingData[[#This Row],[Winning Candidate]]-SamplingData[[#This Row],[Losing Candidate]])/(SamplingData[[#Totals],[Winning Candidate]]-SamplingData[[#Totals],[Losing Candidate]]), 0)</f>
        <v>3.989069321858215E-3</v>
      </c>
      <c r="R1117" s="100">
        <f>IF(AND(SamplingData[[#This Row],[Total]]&lt;&gt; 0, NOT(ISBLANK(SamplingData[[#This Row],[Candidate 3]]))),(SamplingData[[#This Row],[Total]]+SamplingData[[#This Row],[Winning Candidate]]-SamplingData[[#This Row],[Candidate 3]])/(SamplingData[[#Totals],[Winning Candidate]]-SamplingData[[#Totals],[Candidate 3]]), 0)</f>
        <v>0</v>
      </c>
      <c r="S1117" s="100">
        <f>IF(AND(SamplingData[[#This Row],[Total]]&lt;&gt; 0, NOT(ISBLANK(SamplingData[[#This Row],[Candidate 4]]))),(SamplingData[[#This Row],[Total]]+SamplingData[[#This Row],[Winning Candidate]]-SamplingData[[#This Row],[Candidate 4]])/(SamplingData[[#Totals],[Winning Candidate]]-SamplingData[[#Totals],[Candidate 4]]), 0)</f>
        <v>0</v>
      </c>
      <c r="T1117" s="100">
        <f>IF(AND(SamplingData[[#This Row],[Total]]&lt;&gt; 0, NOT(ISBLANK(SamplingData[[#This Row],[Candidate 5]]))),(SamplingData[[#This Row],[Total]]+SamplingData[[#This Row],[Winning Candidate]]-SamplingData[[#This Row],[Candidate 5]])/(SamplingData[[#Totals],[Winning Candidate]]-SamplingData[[#Totals],[Candidate 5]]), 0)</f>
        <v>0</v>
      </c>
      <c r="U1117" s="100">
        <f>IF(AND(SamplingData[[#This Row],[Total]]&lt;&gt; 0, NOT(ISBLANK(SamplingData[[#This Row],[Candidate 6]]))),(SamplingData[[#This Row],[Total]]+SamplingData[[#This Row],[Losing Candidate]]-SamplingData[[#This Row],[Candidate 6]])/(SamplingData[[#Totals],[Winning Candidate]]-SamplingData[[#Totals],[Candidate 6]]), 0)</f>
        <v>0</v>
      </c>
      <c r="V1117" s="100">
        <f>IF(AND(SamplingData[[#This Row],[Total]]&lt;&gt; 0, NOT(ISBLANK(SamplingData[[#This Row],[Candidate 7]]))),(SamplingData[[#This Row],[Total]]+SamplingData[[#This Row],[Winning Candidate]]-SamplingData[[#This Row],[Candidate 7]])/(SamplingData[[#Totals],[Winning Candidate]]-SamplingData[[#Totals],[Candidate 7]]), 0)</f>
        <v>0</v>
      </c>
      <c r="W1117" s="100">
        <f>IF(AND(SamplingData[[#This Row],[Total]]&lt;&gt; 0, NOT(ISBLANK(SamplingData[[#This Row],[Candidate 8]]))),(SamplingData[[#This Row],[Total]]+SamplingData[[#This Row],[Winning Candidate]]-SamplingData[[#This Row],[Candidate 8]])/(SamplingData[[#Totals],[Winning Candidate]]-SamplingData[[#Totals],[Candidate 8]]), 0)</f>
        <v>0</v>
      </c>
      <c r="X1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00">
        <f>MAX(SamplingData[[#This Row],[Error Bound (up) - Max. possible relative overstatement - Losing Candidate]:[Error Bound (up) - Max. possible relative overstatement - Candidate 12]])</f>
        <v>3.989069321858215E-3</v>
      </c>
      <c r="AC1117" s="100">
        <f>IF(SamplingData[[#This Row],[Max Error Bound (up)]] = 0,0,SamplingData[[#This Row],[Max Error Bound (up)]]/SamplingData[[#Totals],[Max Error Bound (up)]])</f>
        <v>1.7094707370914773E-3</v>
      </c>
      <c r="AD1117" s="104">
        <f>SUM($AC$5:AC1117)</f>
        <v>0.97377914176492852</v>
      </c>
      <c r="AE1117" s="100" t="str" cm="1">
        <f t="array" ref="AE1117">IF(SamplingData[[#This Row],[up/U Selection Probability]] = 0, "Zero", TEXT(SamplingData[[#This Row],[Lower Range]], REPT("0",LEN('General Info'!$B$42))) &amp; " - " &amp; TEXT(SamplingData[[#This Row],[Upper Range]], REPT("0",LEN('General Info'!$B$42))))</f>
        <v>97207 - 97377</v>
      </c>
      <c r="AF1117" s="100">
        <f>SamplingData[[#This Row],[Upper Range]]-SamplingData[[#This Row],[Span]]</f>
        <v>97206.967102783703</v>
      </c>
      <c r="AG1117" s="100">
        <f>IF(ISNUMBER('General Info'!$B$42), ((SamplingData[[#This Row],[up/U Selection Probability]]) * 'General Info'!$B$44) - 1, 0)</f>
        <v>169.94707370914773</v>
      </c>
      <c r="AH1117" s="100">
        <f>IF(ISNUMBER('General Info'!$B$42), (SamplingData[[#This Row],[Running (cumulative) sum]] * ('General Info'!$B$42 -'General Info'!$B$43 + 1)) + 'General Info'!$B$43 - 1, 0)</f>
        <v>97376.91417649285</v>
      </c>
      <c r="AI1117" s="100" t="str">
        <f>IF(ISERROR(MATCH(SamplingData[[#This Row],[Batch by Type (p)]],SelectedPrecincts[Batch Name], 0)), "", INDEX(SelectedPrecincts[Draw], MATCH(SamplingData[[#This Row],[Batch by Type (p)]],SelectedPrecincts[Batch Name], 0)))</f>
        <v/>
      </c>
      <c r="AJ1117" s="101">
        <f>IF(COUNTIF(SelectedPrecincts[Batch Name],SamplingData[[#This Row],[Batch by Type (p)]]) &lt;&gt; 0, COUNTIF(SelectedPrecincts[Batch Name],SamplingData[[#This Row],[Batch by Type (p)]]), 0)</f>
        <v>0</v>
      </c>
    </row>
    <row r="1118" spans="1:36" ht="15" customHeight="1" x14ac:dyDescent="0.35">
      <c r="A1118" s="98" t="s">
        <v>1328</v>
      </c>
      <c r="B1118" s="98">
        <v>53</v>
      </c>
      <c r="C1118" s="98">
        <v>7</v>
      </c>
      <c r="D1118" s="93"/>
      <c r="E1118" s="93"/>
      <c r="F1118" s="93"/>
      <c r="G1118" s="97"/>
      <c r="H1118" s="97"/>
      <c r="I1118" s="93"/>
      <c r="J1118" s="93"/>
      <c r="K1118" s="93"/>
      <c r="L1118" s="93"/>
      <c r="M1118" s="93"/>
      <c r="N1118" s="98">
        <v>0</v>
      </c>
      <c r="O1118" s="98">
        <v>2</v>
      </c>
      <c r="P1118" s="99">
        <f>SUM(SamplingData[[#This Row],[Winning Candidate]:[Under Votes]])</f>
        <v>62</v>
      </c>
      <c r="Q1118" s="100">
        <f>IF(AND(SamplingData[[#This Row],[Total]]&lt;&gt; 0, NOT(ISBLANK(SamplingData[[#This Row],[Losing Candidate]]))),(SamplingData[[#This Row],[Total]]+SamplingData[[#This Row],[Winning Candidate]]-SamplingData[[#This Row],[Losing Candidate]])/(SamplingData[[#Totals],[Winning Candidate]]-SamplingData[[#Totals],[Losing Candidate]]), 0)</f>
        <v>3.3922794233124981E-3</v>
      </c>
      <c r="R1118" s="100">
        <f>IF(AND(SamplingData[[#This Row],[Total]]&lt;&gt; 0, NOT(ISBLANK(SamplingData[[#This Row],[Candidate 3]]))),(SamplingData[[#This Row],[Total]]+SamplingData[[#This Row],[Winning Candidate]]-SamplingData[[#This Row],[Candidate 3]])/(SamplingData[[#Totals],[Winning Candidate]]-SamplingData[[#Totals],[Candidate 3]]), 0)</f>
        <v>0</v>
      </c>
      <c r="S1118" s="100">
        <f>IF(AND(SamplingData[[#This Row],[Total]]&lt;&gt; 0, NOT(ISBLANK(SamplingData[[#This Row],[Candidate 4]]))),(SamplingData[[#This Row],[Total]]+SamplingData[[#This Row],[Winning Candidate]]-SamplingData[[#This Row],[Candidate 4]])/(SamplingData[[#Totals],[Winning Candidate]]-SamplingData[[#Totals],[Candidate 4]]), 0)</f>
        <v>0</v>
      </c>
      <c r="T1118" s="100">
        <f>IF(AND(SamplingData[[#This Row],[Total]]&lt;&gt; 0, NOT(ISBLANK(SamplingData[[#This Row],[Candidate 5]]))),(SamplingData[[#This Row],[Total]]+SamplingData[[#This Row],[Winning Candidate]]-SamplingData[[#This Row],[Candidate 5]])/(SamplingData[[#Totals],[Winning Candidate]]-SamplingData[[#Totals],[Candidate 5]]), 0)</f>
        <v>0</v>
      </c>
      <c r="U1118" s="100">
        <f>IF(AND(SamplingData[[#This Row],[Total]]&lt;&gt; 0, NOT(ISBLANK(SamplingData[[#This Row],[Candidate 6]]))),(SamplingData[[#This Row],[Total]]+SamplingData[[#This Row],[Losing Candidate]]-SamplingData[[#This Row],[Candidate 6]])/(SamplingData[[#Totals],[Winning Candidate]]-SamplingData[[#Totals],[Candidate 6]]), 0)</f>
        <v>0</v>
      </c>
      <c r="V1118" s="100">
        <f>IF(AND(SamplingData[[#This Row],[Total]]&lt;&gt; 0, NOT(ISBLANK(SamplingData[[#This Row],[Candidate 7]]))),(SamplingData[[#This Row],[Total]]+SamplingData[[#This Row],[Winning Candidate]]-SamplingData[[#This Row],[Candidate 7]])/(SamplingData[[#Totals],[Winning Candidate]]-SamplingData[[#Totals],[Candidate 7]]), 0)</f>
        <v>0</v>
      </c>
      <c r="W1118" s="100">
        <f>IF(AND(SamplingData[[#This Row],[Total]]&lt;&gt; 0, NOT(ISBLANK(SamplingData[[#This Row],[Candidate 8]]))),(SamplingData[[#This Row],[Total]]+SamplingData[[#This Row],[Winning Candidate]]-SamplingData[[#This Row],[Candidate 8]])/(SamplingData[[#Totals],[Winning Candidate]]-SamplingData[[#Totals],[Candidate 8]]), 0)</f>
        <v>0</v>
      </c>
      <c r="X1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00">
        <f>MAX(SamplingData[[#This Row],[Error Bound (up) - Max. possible relative overstatement - Losing Candidate]:[Error Bound (up) - Max. possible relative overstatement - Candidate 12]])</f>
        <v>3.3922794233124981E-3</v>
      </c>
      <c r="AC1118" s="100">
        <f>IF(SamplingData[[#This Row],[Max Error Bound (up)]] = 0,0,SamplingData[[#This Row],[Max Error Bound (up)]]/SamplingData[[#Totals],[Max Error Bound (up)]])</f>
        <v>1.4537231465029889E-3</v>
      </c>
      <c r="AD1118" s="104">
        <f>SUM($AC$5:AC1118)</f>
        <v>0.97523286491143146</v>
      </c>
      <c r="AE1118" s="100" t="str" cm="1">
        <f t="array" ref="AE1118">IF(SamplingData[[#This Row],[up/U Selection Probability]] = 0, "Zero", TEXT(SamplingData[[#This Row],[Lower Range]], REPT("0",LEN('General Info'!$B$42))) &amp; " - " &amp; TEXT(SamplingData[[#This Row],[Upper Range]], REPT("0",LEN('General Info'!$B$42))))</f>
        <v>97378 - 97522</v>
      </c>
      <c r="AF1118" s="100">
        <f>SamplingData[[#This Row],[Upper Range]]-SamplingData[[#This Row],[Span]]</f>
        <v>97377.91417649285</v>
      </c>
      <c r="AG1118" s="100">
        <f>IF(ISNUMBER('General Info'!$B$42), ((SamplingData[[#This Row],[up/U Selection Probability]]) * 'General Info'!$B$44) - 1, 0)</f>
        <v>144.37231465029888</v>
      </c>
      <c r="AH1118" s="100">
        <f>IF(ISNUMBER('General Info'!$B$42), (SamplingData[[#This Row],[Running (cumulative) sum]] * ('General Info'!$B$42 -'General Info'!$B$43 + 1)) + 'General Info'!$B$43 - 1, 0)</f>
        <v>97522.286491143153</v>
      </c>
      <c r="AI1118" s="100" t="str">
        <f>IF(ISERROR(MATCH(SamplingData[[#This Row],[Batch by Type (p)]],SelectedPrecincts[Batch Name], 0)), "", INDEX(SelectedPrecincts[Draw], MATCH(SamplingData[[#This Row],[Batch by Type (p)]],SelectedPrecincts[Batch Name], 0)))</f>
        <v/>
      </c>
      <c r="AJ1118" s="101">
        <f>IF(COUNTIF(SelectedPrecincts[Batch Name],SamplingData[[#This Row],[Batch by Type (p)]]) &lt;&gt; 0, COUNTIF(SelectedPrecincts[Batch Name],SamplingData[[#This Row],[Batch by Type (p)]]), 0)</f>
        <v>0</v>
      </c>
    </row>
    <row r="1119" spans="1:36" ht="15" customHeight="1" x14ac:dyDescent="0.35">
      <c r="A1119" s="98" t="s">
        <v>1329</v>
      </c>
      <c r="B1119" s="98">
        <v>46</v>
      </c>
      <c r="C1119" s="98">
        <v>6</v>
      </c>
      <c r="D1119" s="93"/>
      <c r="E1119" s="93"/>
      <c r="F1119" s="93"/>
      <c r="G1119" s="97"/>
      <c r="H1119" s="97"/>
      <c r="I1119" s="93"/>
      <c r="J1119" s="93"/>
      <c r="K1119" s="93"/>
      <c r="L1119" s="93"/>
      <c r="M1119" s="93"/>
      <c r="N1119" s="98">
        <v>0</v>
      </c>
      <c r="O1119" s="98">
        <v>1</v>
      </c>
      <c r="P1119" s="99">
        <f>SUM(SamplingData[[#This Row],[Winning Candidate]:[Under Votes]])</f>
        <v>53</v>
      </c>
      <c r="Q1119" s="100">
        <f>IF(AND(SamplingData[[#This Row],[Total]]&lt;&gt; 0, NOT(ISBLANK(SamplingData[[#This Row],[Losing Candidate]]))),(SamplingData[[#This Row],[Total]]+SamplingData[[#This Row],[Winning Candidate]]-SamplingData[[#This Row],[Losing Candidate]])/(SamplingData[[#Totals],[Winning Candidate]]-SamplingData[[#Totals],[Losing Candidate]]), 0)</f>
        <v>2.9211295034079843E-3</v>
      </c>
      <c r="R1119" s="100">
        <f>IF(AND(SamplingData[[#This Row],[Total]]&lt;&gt; 0, NOT(ISBLANK(SamplingData[[#This Row],[Candidate 3]]))),(SamplingData[[#This Row],[Total]]+SamplingData[[#This Row],[Winning Candidate]]-SamplingData[[#This Row],[Candidate 3]])/(SamplingData[[#Totals],[Winning Candidate]]-SamplingData[[#Totals],[Candidate 3]]), 0)</f>
        <v>0</v>
      </c>
      <c r="S1119" s="100">
        <f>IF(AND(SamplingData[[#This Row],[Total]]&lt;&gt; 0, NOT(ISBLANK(SamplingData[[#This Row],[Candidate 4]]))),(SamplingData[[#This Row],[Total]]+SamplingData[[#This Row],[Winning Candidate]]-SamplingData[[#This Row],[Candidate 4]])/(SamplingData[[#Totals],[Winning Candidate]]-SamplingData[[#Totals],[Candidate 4]]), 0)</f>
        <v>0</v>
      </c>
      <c r="T1119" s="100">
        <f>IF(AND(SamplingData[[#This Row],[Total]]&lt;&gt; 0, NOT(ISBLANK(SamplingData[[#This Row],[Candidate 5]]))),(SamplingData[[#This Row],[Total]]+SamplingData[[#This Row],[Winning Candidate]]-SamplingData[[#This Row],[Candidate 5]])/(SamplingData[[#Totals],[Winning Candidate]]-SamplingData[[#Totals],[Candidate 5]]), 0)</f>
        <v>0</v>
      </c>
      <c r="U1119" s="100">
        <f>IF(AND(SamplingData[[#This Row],[Total]]&lt;&gt; 0, NOT(ISBLANK(SamplingData[[#This Row],[Candidate 6]]))),(SamplingData[[#This Row],[Total]]+SamplingData[[#This Row],[Losing Candidate]]-SamplingData[[#This Row],[Candidate 6]])/(SamplingData[[#Totals],[Winning Candidate]]-SamplingData[[#Totals],[Candidate 6]]), 0)</f>
        <v>0</v>
      </c>
      <c r="V1119" s="100">
        <f>IF(AND(SamplingData[[#This Row],[Total]]&lt;&gt; 0, NOT(ISBLANK(SamplingData[[#This Row],[Candidate 7]]))),(SamplingData[[#This Row],[Total]]+SamplingData[[#This Row],[Winning Candidate]]-SamplingData[[#This Row],[Candidate 7]])/(SamplingData[[#Totals],[Winning Candidate]]-SamplingData[[#Totals],[Candidate 7]]), 0)</f>
        <v>0</v>
      </c>
      <c r="W1119" s="100">
        <f>IF(AND(SamplingData[[#This Row],[Total]]&lt;&gt; 0, NOT(ISBLANK(SamplingData[[#This Row],[Candidate 8]]))),(SamplingData[[#This Row],[Total]]+SamplingData[[#This Row],[Winning Candidate]]-SamplingData[[#This Row],[Candidate 8]])/(SamplingData[[#Totals],[Winning Candidate]]-SamplingData[[#Totals],[Candidate 8]]), 0)</f>
        <v>0</v>
      </c>
      <c r="X1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00">
        <f>MAX(SamplingData[[#This Row],[Error Bound (up) - Max. possible relative overstatement - Losing Candidate]:[Error Bound (up) - Max. possible relative overstatement - Candidate 12]])</f>
        <v>2.9211295034079843E-3</v>
      </c>
      <c r="AC1119" s="100">
        <f>IF(SamplingData[[#This Row],[Max Error Bound (up)]] = 0,0,SamplingData[[#This Row],[Max Error Bound (up)]]/SamplingData[[#Totals],[Max Error Bound (up)]])</f>
        <v>1.2518171539331292E-3</v>
      </c>
      <c r="AD1119" s="104">
        <f>SUM($AC$5:AC1119)</f>
        <v>0.97648468206536454</v>
      </c>
      <c r="AE1119" s="100" t="str" cm="1">
        <f t="array" ref="AE1119">IF(SamplingData[[#This Row],[up/U Selection Probability]] = 0, "Zero", TEXT(SamplingData[[#This Row],[Lower Range]], REPT("0",LEN('General Info'!$B$42))) &amp; " - " &amp; TEXT(SamplingData[[#This Row],[Upper Range]], REPT("0",LEN('General Info'!$B$42))))</f>
        <v>97523 - 97647</v>
      </c>
      <c r="AF1119" s="100">
        <f>SamplingData[[#This Row],[Upper Range]]-SamplingData[[#This Row],[Span]]</f>
        <v>97523.286491143139</v>
      </c>
      <c r="AG1119" s="100">
        <f>IF(ISNUMBER('General Info'!$B$42), ((SamplingData[[#This Row],[up/U Selection Probability]]) * 'General Info'!$B$44) - 1, 0)</f>
        <v>124.18171539331291</v>
      </c>
      <c r="AH1119" s="100">
        <f>IF(ISNUMBER('General Info'!$B$42), (SamplingData[[#This Row],[Running (cumulative) sum]] * ('General Info'!$B$42 -'General Info'!$B$43 + 1)) + 'General Info'!$B$43 - 1, 0)</f>
        <v>97647.468206536447</v>
      </c>
      <c r="AI1119" s="100" t="str">
        <f>IF(ISERROR(MATCH(SamplingData[[#This Row],[Batch by Type (p)]],SelectedPrecincts[Batch Name], 0)), "", INDEX(SelectedPrecincts[Draw], MATCH(SamplingData[[#This Row],[Batch by Type (p)]],SelectedPrecincts[Batch Name], 0)))</f>
        <v/>
      </c>
      <c r="AJ1119" s="101">
        <f>IF(COUNTIF(SelectedPrecincts[Batch Name],SamplingData[[#This Row],[Batch by Type (p)]]) &lt;&gt; 0, COUNTIF(SelectedPrecincts[Batch Name],SamplingData[[#This Row],[Batch by Type (p)]]), 0)</f>
        <v>0</v>
      </c>
    </row>
    <row r="1120" spans="1:36" ht="15" customHeight="1" x14ac:dyDescent="0.35">
      <c r="A1120" s="98" t="s">
        <v>1330</v>
      </c>
      <c r="B1120" s="98">
        <v>44</v>
      </c>
      <c r="C1120" s="98">
        <v>3</v>
      </c>
      <c r="D1120" s="93"/>
      <c r="E1120" s="93"/>
      <c r="F1120" s="93"/>
      <c r="G1120" s="97"/>
      <c r="H1120" s="97"/>
      <c r="I1120" s="93"/>
      <c r="J1120" s="93"/>
      <c r="K1120" s="93"/>
      <c r="L1120" s="93"/>
      <c r="M1120" s="93"/>
      <c r="N1120" s="98">
        <v>1</v>
      </c>
      <c r="O1120" s="98">
        <v>0</v>
      </c>
      <c r="P1120" s="99">
        <f>SUM(SamplingData[[#This Row],[Winning Candidate]:[Under Votes]])</f>
        <v>48</v>
      </c>
      <c r="Q1120" s="100">
        <f>IF(AND(SamplingData[[#This Row],[Total]]&lt;&gt; 0, NOT(ISBLANK(SamplingData[[#This Row],[Losing Candidate]]))),(SamplingData[[#This Row],[Total]]+SamplingData[[#This Row],[Winning Candidate]]-SamplingData[[#This Row],[Losing Candidate]])/(SamplingData[[#Totals],[Winning Candidate]]-SamplingData[[#Totals],[Losing Candidate]]), 0)</f>
        <v>2.7954895247667808E-3</v>
      </c>
      <c r="R1120" s="100">
        <f>IF(AND(SamplingData[[#This Row],[Total]]&lt;&gt; 0, NOT(ISBLANK(SamplingData[[#This Row],[Candidate 3]]))),(SamplingData[[#This Row],[Total]]+SamplingData[[#This Row],[Winning Candidate]]-SamplingData[[#This Row],[Candidate 3]])/(SamplingData[[#Totals],[Winning Candidate]]-SamplingData[[#Totals],[Candidate 3]]), 0)</f>
        <v>0</v>
      </c>
      <c r="S1120" s="100">
        <f>IF(AND(SamplingData[[#This Row],[Total]]&lt;&gt; 0, NOT(ISBLANK(SamplingData[[#This Row],[Candidate 4]]))),(SamplingData[[#This Row],[Total]]+SamplingData[[#This Row],[Winning Candidate]]-SamplingData[[#This Row],[Candidate 4]])/(SamplingData[[#Totals],[Winning Candidate]]-SamplingData[[#Totals],[Candidate 4]]), 0)</f>
        <v>0</v>
      </c>
      <c r="T1120" s="100">
        <f>IF(AND(SamplingData[[#This Row],[Total]]&lt;&gt; 0, NOT(ISBLANK(SamplingData[[#This Row],[Candidate 5]]))),(SamplingData[[#This Row],[Total]]+SamplingData[[#This Row],[Winning Candidate]]-SamplingData[[#This Row],[Candidate 5]])/(SamplingData[[#Totals],[Winning Candidate]]-SamplingData[[#Totals],[Candidate 5]]), 0)</f>
        <v>0</v>
      </c>
      <c r="U1120" s="100">
        <f>IF(AND(SamplingData[[#This Row],[Total]]&lt;&gt; 0, NOT(ISBLANK(SamplingData[[#This Row],[Candidate 6]]))),(SamplingData[[#This Row],[Total]]+SamplingData[[#This Row],[Losing Candidate]]-SamplingData[[#This Row],[Candidate 6]])/(SamplingData[[#Totals],[Winning Candidate]]-SamplingData[[#Totals],[Candidate 6]]), 0)</f>
        <v>0</v>
      </c>
      <c r="V1120" s="100">
        <f>IF(AND(SamplingData[[#This Row],[Total]]&lt;&gt; 0, NOT(ISBLANK(SamplingData[[#This Row],[Candidate 7]]))),(SamplingData[[#This Row],[Total]]+SamplingData[[#This Row],[Winning Candidate]]-SamplingData[[#This Row],[Candidate 7]])/(SamplingData[[#Totals],[Winning Candidate]]-SamplingData[[#Totals],[Candidate 7]]), 0)</f>
        <v>0</v>
      </c>
      <c r="W1120" s="100">
        <f>IF(AND(SamplingData[[#This Row],[Total]]&lt;&gt; 0, NOT(ISBLANK(SamplingData[[#This Row],[Candidate 8]]))),(SamplingData[[#This Row],[Total]]+SamplingData[[#This Row],[Winning Candidate]]-SamplingData[[#This Row],[Candidate 8]])/(SamplingData[[#Totals],[Winning Candidate]]-SamplingData[[#Totals],[Candidate 8]]), 0)</f>
        <v>0</v>
      </c>
      <c r="X1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00">
        <f>MAX(SamplingData[[#This Row],[Error Bound (up) - Max. possible relative overstatement - Losing Candidate]:[Error Bound (up) - Max. possible relative overstatement - Candidate 12]])</f>
        <v>2.7954895247667808E-3</v>
      </c>
      <c r="AC1120" s="100">
        <f>IF(SamplingData[[#This Row],[Max Error Bound (up)]] = 0,0,SamplingData[[#This Row],[Max Error Bound (up)]]/SamplingData[[#Totals],[Max Error Bound (up)]])</f>
        <v>1.1979755559145E-3</v>
      </c>
      <c r="AD1120" s="104">
        <f>SUM($AC$5:AC1120)</f>
        <v>0.97768265762127904</v>
      </c>
      <c r="AE1120" s="100" t="str" cm="1">
        <f t="array" ref="AE1120">IF(SamplingData[[#This Row],[up/U Selection Probability]] = 0, "Zero", TEXT(SamplingData[[#This Row],[Lower Range]], REPT("0",LEN('General Info'!$B$42))) &amp; " - " &amp; TEXT(SamplingData[[#This Row],[Upper Range]], REPT("0",LEN('General Info'!$B$42))))</f>
        <v>97648 - 97767</v>
      </c>
      <c r="AF1120" s="100">
        <f>SamplingData[[#This Row],[Upper Range]]-SamplingData[[#This Row],[Span]]</f>
        <v>97648.468206536461</v>
      </c>
      <c r="AG1120" s="100">
        <f>IF(ISNUMBER('General Info'!$B$42), ((SamplingData[[#This Row],[up/U Selection Probability]]) * 'General Info'!$B$44) - 1, 0)</f>
        <v>118.79755559144999</v>
      </c>
      <c r="AH1120" s="100">
        <f>IF(ISNUMBER('General Info'!$B$42), (SamplingData[[#This Row],[Running (cumulative) sum]] * ('General Info'!$B$42 -'General Info'!$B$43 + 1)) + 'General Info'!$B$43 - 1, 0)</f>
        <v>97767.265762127907</v>
      </c>
      <c r="AI1120" s="100" t="str">
        <f>IF(ISERROR(MATCH(SamplingData[[#This Row],[Batch by Type (p)]],SelectedPrecincts[Batch Name], 0)), "", INDEX(SelectedPrecincts[Draw], MATCH(SamplingData[[#This Row],[Batch by Type (p)]],SelectedPrecincts[Batch Name], 0)))</f>
        <v/>
      </c>
      <c r="AJ1120" s="101">
        <f>IF(COUNTIF(SelectedPrecincts[Batch Name],SamplingData[[#This Row],[Batch by Type (p)]]) &lt;&gt; 0, COUNTIF(SelectedPrecincts[Batch Name],SamplingData[[#This Row],[Batch by Type (p)]]), 0)</f>
        <v>0</v>
      </c>
    </row>
    <row r="1121" spans="1:36" ht="15" customHeight="1" x14ac:dyDescent="0.35">
      <c r="A1121" s="98" t="s">
        <v>1331</v>
      </c>
      <c r="B1121" s="98">
        <v>82</v>
      </c>
      <c r="C1121" s="98">
        <v>14</v>
      </c>
      <c r="D1121" s="93"/>
      <c r="E1121" s="93"/>
      <c r="F1121" s="93"/>
      <c r="G1121" s="97"/>
      <c r="H1121" s="97"/>
      <c r="I1121" s="93"/>
      <c r="J1121" s="93"/>
      <c r="K1121" s="93"/>
      <c r="L1121" s="93"/>
      <c r="M1121" s="93"/>
      <c r="N1121" s="98">
        <v>0</v>
      </c>
      <c r="O1121" s="98">
        <v>3</v>
      </c>
      <c r="P1121" s="99">
        <f>SUM(SamplingData[[#This Row],[Winning Candidate]:[Under Votes]])</f>
        <v>99</v>
      </c>
      <c r="Q1121" s="100">
        <f>IF(AND(SamplingData[[#This Row],[Total]]&lt;&gt; 0, NOT(ISBLANK(SamplingData[[#This Row],[Losing Candidate]]))),(SamplingData[[#This Row],[Total]]+SamplingData[[#This Row],[Winning Candidate]]-SamplingData[[#This Row],[Losing Candidate]])/(SamplingData[[#Totals],[Winning Candidate]]-SamplingData[[#Totals],[Losing Candidate]]), 0)</f>
        <v>5.2454691082702513E-3</v>
      </c>
      <c r="R1121" s="100">
        <f>IF(AND(SamplingData[[#This Row],[Total]]&lt;&gt; 0, NOT(ISBLANK(SamplingData[[#This Row],[Candidate 3]]))),(SamplingData[[#This Row],[Total]]+SamplingData[[#This Row],[Winning Candidate]]-SamplingData[[#This Row],[Candidate 3]])/(SamplingData[[#Totals],[Winning Candidate]]-SamplingData[[#Totals],[Candidate 3]]), 0)</f>
        <v>0</v>
      </c>
      <c r="S1121" s="100">
        <f>IF(AND(SamplingData[[#This Row],[Total]]&lt;&gt; 0, NOT(ISBLANK(SamplingData[[#This Row],[Candidate 4]]))),(SamplingData[[#This Row],[Total]]+SamplingData[[#This Row],[Winning Candidate]]-SamplingData[[#This Row],[Candidate 4]])/(SamplingData[[#Totals],[Winning Candidate]]-SamplingData[[#Totals],[Candidate 4]]), 0)</f>
        <v>0</v>
      </c>
      <c r="T1121" s="100">
        <f>IF(AND(SamplingData[[#This Row],[Total]]&lt;&gt; 0, NOT(ISBLANK(SamplingData[[#This Row],[Candidate 5]]))),(SamplingData[[#This Row],[Total]]+SamplingData[[#This Row],[Winning Candidate]]-SamplingData[[#This Row],[Candidate 5]])/(SamplingData[[#Totals],[Winning Candidate]]-SamplingData[[#Totals],[Candidate 5]]), 0)</f>
        <v>0</v>
      </c>
      <c r="U1121" s="100">
        <f>IF(AND(SamplingData[[#This Row],[Total]]&lt;&gt; 0, NOT(ISBLANK(SamplingData[[#This Row],[Candidate 6]]))),(SamplingData[[#This Row],[Total]]+SamplingData[[#This Row],[Losing Candidate]]-SamplingData[[#This Row],[Candidate 6]])/(SamplingData[[#Totals],[Winning Candidate]]-SamplingData[[#Totals],[Candidate 6]]), 0)</f>
        <v>0</v>
      </c>
      <c r="V1121" s="100">
        <f>IF(AND(SamplingData[[#This Row],[Total]]&lt;&gt; 0, NOT(ISBLANK(SamplingData[[#This Row],[Candidate 7]]))),(SamplingData[[#This Row],[Total]]+SamplingData[[#This Row],[Winning Candidate]]-SamplingData[[#This Row],[Candidate 7]])/(SamplingData[[#Totals],[Winning Candidate]]-SamplingData[[#Totals],[Candidate 7]]), 0)</f>
        <v>0</v>
      </c>
      <c r="W1121" s="100">
        <f>IF(AND(SamplingData[[#This Row],[Total]]&lt;&gt; 0, NOT(ISBLANK(SamplingData[[#This Row],[Candidate 8]]))),(SamplingData[[#This Row],[Total]]+SamplingData[[#This Row],[Winning Candidate]]-SamplingData[[#This Row],[Candidate 8]])/(SamplingData[[#Totals],[Winning Candidate]]-SamplingData[[#Totals],[Candidate 8]]), 0)</f>
        <v>0</v>
      </c>
      <c r="X1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00">
        <f>MAX(SamplingData[[#This Row],[Error Bound (up) - Max. possible relative overstatement - Losing Candidate]:[Error Bound (up) - Max. possible relative overstatement - Candidate 12]])</f>
        <v>5.2454691082702513E-3</v>
      </c>
      <c r="AC1121" s="100">
        <f>IF(SamplingData[[#This Row],[Max Error Bound (up)]] = 0,0,SamplingData[[#This Row],[Max Error Bound (up)]]/SamplingData[[#Totals],[Max Error Bound (up)]])</f>
        <v>2.2478867172777695E-3</v>
      </c>
      <c r="AD1121" s="104">
        <f>SUM($AC$5:AC1121)</f>
        <v>0.97993054433855686</v>
      </c>
      <c r="AE1121" s="100" t="str" cm="1">
        <f t="array" ref="AE1121">IF(SamplingData[[#This Row],[up/U Selection Probability]] = 0, "Zero", TEXT(SamplingData[[#This Row],[Lower Range]], REPT("0",LEN('General Info'!$B$42))) &amp; " - " &amp; TEXT(SamplingData[[#This Row],[Upper Range]], REPT("0",LEN('General Info'!$B$42))))</f>
        <v>97768 - 97992</v>
      </c>
      <c r="AF1121" s="100">
        <f>SamplingData[[#This Row],[Upper Range]]-SamplingData[[#This Row],[Span]]</f>
        <v>97768.265762127907</v>
      </c>
      <c r="AG1121" s="100">
        <f>IF(ISNUMBER('General Info'!$B$42), ((SamplingData[[#This Row],[up/U Selection Probability]]) * 'General Info'!$B$44) - 1, 0)</f>
        <v>223.78867172777694</v>
      </c>
      <c r="AH1121" s="100">
        <f>IF(ISNUMBER('General Info'!$B$42), (SamplingData[[#This Row],[Running (cumulative) sum]] * ('General Info'!$B$42 -'General Info'!$B$43 + 1)) + 'General Info'!$B$43 - 1, 0)</f>
        <v>97992.054433855679</v>
      </c>
      <c r="AI1121" s="100" t="str">
        <f>IF(ISERROR(MATCH(SamplingData[[#This Row],[Batch by Type (p)]],SelectedPrecincts[Batch Name], 0)), "", INDEX(SelectedPrecincts[Draw], MATCH(SamplingData[[#This Row],[Batch by Type (p)]],SelectedPrecincts[Batch Name], 0)))</f>
        <v/>
      </c>
      <c r="AJ1121" s="101">
        <f>IF(COUNTIF(SelectedPrecincts[Batch Name],SamplingData[[#This Row],[Batch by Type (p)]]) &lt;&gt; 0, COUNTIF(SelectedPrecincts[Batch Name],SamplingData[[#This Row],[Batch by Type (p)]]), 0)</f>
        <v>0</v>
      </c>
    </row>
    <row r="1122" spans="1:36" ht="15" customHeight="1" x14ac:dyDescent="0.35">
      <c r="A1122" s="98" t="s">
        <v>1332</v>
      </c>
      <c r="B1122" s="98">
        <v>39</v>
      </c>
      <c r="C1122" s="98">
        <v>1</v>
      </c>
      <c r="D1122" s="93"/>
      <c r="E1122" s="93"/>
      <c r="F1122" s="93"/>
      <c r="G1122" s="97"/>
      <c r="H1122" s="97"/>
      <c r="I1122" s="93"/>
      <c r="J1122" s="93"/>
      <c r="K1122" s="93"/>
      <c r="L1122" s="93"/>
      <c r="M1122" s="93"/>
      <c r="N1122" s="98">
        <v>0</v>
      </c>
      <c r="O1122" s="98">
        <v>0</v>
      </c>
      <c r="P1122" s="99">
        <f>SUM(SamplingData[[#This Row],[Winning Candidate]:[Under Votes]])</f>
        <v>40</v>
      </c>
      <c r="Q1122" s="100">
        <f>IF(AND(SamplingData[[#This Row],[Total]]&lt;&gt; 0, NOT(ISBLANK(SamplingData[[#This Row],[Losing Candidate]]))),(SamplingData[[#This Row],[Total]]+SamplingData[[#This Row],[Winning Candidate]]-SamplingData[[#This Row],[Losing Candidate]])/(SamplingData[[#Totals],[Winning Candidate]]-SamplingData[[#Totals],[Losing Candidate]]), 0)</f>
        <v>2.4499795835034709E-3</v>
      </c>
      <c r="R1122" s="100">
        <f>IF(AND(SamplingData[[#This Row],[Total]]&lt;&gt; 0, NOT(ISBLANK(SamplingData[[#This Row],[Candidate 3]]))),(SamplingData[[#This Row],[Total]]+SamplingData[[#This Row],[Winning Candidate]]-SamplingData[[#This Row],[Candidate 3]])/(SamplingData[[#Totals],[Winning Candidate]]-SamplingData[[#Totals],[Candidate 3]]), 0)</f>
        <v>0</v>
      </c>
      <c r="S1122" s="100">
        <f>IF(AND(SamplingData[[#This Row],[Total]]&lt;&gt; 0, NOT(ISBLANK(SamplingData[[#This Row],[Candidate 4]]))),(SamplingData[[#This Row],[Total]]+SamplingData[[#This Row],[Winning Candidate]]-SamplingData[[#This Row],[Candidate 4]])/(SamplingData[[#Totals],[Winning Candidate]]-SamplingData[[#Totals],[Candidate 4]]), 0)</f>
        <v>0</v>
      </c>
      <c r="T1122" s="100">
        <f>IF(AND(SamplingData[[#This Row],[Total]]&lt;&gt; 0, NOT(ISBLANK(SamplingData[[#This Row],[Candidate 5]]))),(SamplingData[[#This Row],[Total]]+SamplingData[[#This Row],[Winning Candidate]]-SamplingData[[#This Row],[Candidate 5]])/(SamplingData[[#Totals],[Winning Candidate]]-SamplingData[[#Totals],[Candidate 5]]), 0)</f>
        <v>0</v>
      </c>
      <c r="U1122" s="100">
        <f>IF(AND(SamplingData[[#This Row],[Total]]&lt;&gt; 0, NOT(ISBLANK(SamplingData[[#This Row],[Candidate 6]]))),(SamplingData[[#This Row],[Total]]+SamplingData[[#This Row],[Losing Candidate]]-SamplingData[[#This Row],[Candidate 6]])/(SamplingData[[#Totals],[Winning Candidate]]-SamplingData[[#Totals],[Candidate 6]]), 0)</f>
        <v>0</v>
      </c>
      <c r="V1122" s="100">
        <f>IF(AND(SamplingData[[#This Row],[Total]]&lt;&gt; 0, NOT(ISBLANK(SamplingData[[#This Row],[Candidate 7]]))),(SamplingData[[#This Row],[Total]]+SamplingData[[#This Row],[Winning Candidate]]-SamplingData[[#This Row],[Candidate 7]])/(SamplingData[[#Totals],[Winning Candidate]]-SamplingData[[#Totals],[Candidate 7]]), 0)</f>
        <v>0</v>
      </c>
      <c r="W1122" s="100">
        <f>IF(AND(SamplingData[[#This Row],[Total]]&lt;&gt; 0, NOT(ISBLANK(SamplingData[[#This Row],[Candidate 8]]))),(SamplingData[[#This Row],[Total]]+SamplingData[[#This Row],[Winning Candidate]]-SamplingData[[#This Row],[Candidate 8]])/(SamplingData[[#Totals],[Winning Candidate]]-SamplingData[[#Totals],[Candidate 8]]), 0)</f>
        <v>0</v>
      </c>
      <c r="X1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00">
        <f>MAX(SamplingData[[#This Row],[Error Bound (up) - Max. possible relative overstatement - Losing Candidate]:[Error Bound (up) - Max. possible relative overstatement - Candidate 12]])</f>
        <v>2.4499795835034709E-3</v>
      </c>
      <c r="AC1122" s="100">
        <f>IF(SamplingData[[#This Row],[Max Error Bound (up)]] = 0,0,SamplingData[[#This Row],[Max Error Bound (up)]]/SamplingData[[#Totals],[Max Error Bound (up)]])</f>
        <v>1.0499111613632697E-3</v>
      </c>
      <c r="AD1122" s="104">
        <f>SUM($AC$5:AC1122)</f>
        <v>0.98098045549992008</v>
      </c>
      <c r="AE1122" s="100" t="str" cm="1">
        <f t="array" ref="AE1122">IF(SamplingData[[#This Row],[up/U Selection Probability]] = 0, "Zero", TEXT(SamplingData[[#This Row],[Lower Range]], REPT("0",LEN('General Info'!$B$42))) &amp; " - " &amp; TEXT(SamplingData[[#This Row],[Upper Range]], REPT("0",LEN('General Info'!$B$42))))</f>
        <v>97993 - 98097</v>
      </c>
      <c r="AF1122" s="100">
        <f>SamplingData[[#This Row],[Upper Range]]-SamplingData[[#This Row],[Span]]</f>
        <v>97993.054433855679</v>
      </c>
      <c r="AG1122" s="100">
        <f>IF(ISNUMBER('General Info'!$B$42), ((SamplingData[[#This Row],[up/U Selection Probability]]) * 'General Info'!$B$44) - 1, 0)</f>
        <v>103.99111613632697</v>
      </c>
      <c r="AH1122" s="100">
        <f>IF(ISNUMBER('General Info'!$B$42), (SamplingData[[#This Row],[Running (cumulative) sum]] * ('General Info'!$B$42 -'General Info'!$B$43 + 1)) + 'General Info'!$B$43 - 1, 0)</f>
        <v>98097.045549992006</v>
      </c>
      <c r="AI1122" s="100" t="str">
        <f>IF(ISERROR(MATCH(SamplingData[[#This Row],[Batch by Type (p)]],SelectedPrecincts[Batch Name], 0)), "", INDEX(SelectedPrecincts[Draw], MATCH(SamplingData[[#This Row],[Batch by Type (p)]],SelectedPrecincts[Batch Name], 0)))</f>
        <v/>
      </c>
      <c r="AJ1122" s="101">
        <f>IF(COUNTIF(SelectedPrecincts[Batch Name],SamplingData[[#This Row],[Batch by Type (p)]]) &lt;&gt; 0, COUNTIF(SelectedPrecincts[Batch Name],SamplingData[[#This Row],[Batch by Type (p)]]), 0)</f>
        <v>0</v>
      </c>
    </row>
    <row r="1123" spans="1:36" ht="15" customHeight="1" x14ac:dyDescent="0.35">
      <c r="A1123" s="98" t="s">
        <v>1333</v>
      </c>
      <c r="B1123" s="98">
        <v>107</v>
      </c>
      <c r="C1123" s="98">
        <v>6</v>
      </c>
      <c r="D1123" s="93"/>
      <c r="E1123" s="93"/>
      <c r="F1123" s="93"/>
      <c r="G1123" s="97"/>
      <c r="H1123" s="97"/>
      <c r="I1123" s="93"/>
      <c r="J1123" s="93"/>
      <c r="K1123" s="93"/>
      <c r="L1123" s="93"/>
      <c r="M1123" s="93"/>
      <c r="N1123" s="98">
        <v>0</v>
      </c>
      <c r="O1123" s="98">
        <v>4</v>
      </c>
      <c r="P1123" s="99">
        <f>SUM(SamplingData[[#This Row],[Winning Candidate]:[Under Votes]])</f>
        <v>117</v>
      </c>
      <c r="Q1123" s="100">
        <f>IF(AND(SamplingData[[#This Row],[Total]]&lt;&gt; 0, NOT(ISBLANK(SamplingData[[#This Row],[Losing Candidate]]))),(SamplingData[[#This Row],[Total]]+SamplingData[[#This Row],[Winning Candidate]]-SamplingData[[#This Row],[Losing Candidate]])/(SamplingData[[#Totals],[Winning Candidate]]-SamplingData[[#Totals],[Losing Candidate]]), 0)</f>
        <v>6.8473788359455978E-3</v>
      </c>
      <c r="R1123" s="100">
        <f>IF(AND(SamplingData[[#This Row],[Total]]&lt;&gt; 0, NOT(ISBLANK(SamplingData[[#This Row],[Candidate 3]]))),(SamplingData[[#This Row],[Total]]+SamplingData[[#This Row],[Winning Candidate]]-SamplingData[[#This Row],[Candidate 3]])/(SamplingData[[#Totals],[Winning Candidate]]-SamplingData[[#Totals],[Candidate 3]]), 0)</f>
        <v>0</v>
      </c>
      <c r="S1123" s="100">
        <f>IF(AND(SamplingData[[#This Row],[Total]]&lt;&gt; 0, NOT(ISBLANK(SamplingData[[#This Row],[Candidate 4]]))),(SamplingData[[#This Row],[Total]]+SamplingData[[#This Row],[Winning Candidate]]-SamplingData[[#This Row],[Candidate 4]])/(SamplingData[[#Totals],[Winning Candidate]]-SamplingData[[#Totals],[Candidate 4]]), 0)</f>
        <v>0</v>
      </c>
      <c r="T1123" s="100">
        <f>IF(AND(SamplingData[[#This Row],[Total]]&lt;&gt; 0, NOT(ISBLANK(SamplingData[[#This Row],[Candidate 5]]))),(SamplingData[[#This Row],[Total]]+SamplingData[[#This Row],[Winning Candidate]]-SamplingData[[#This Row],[Candidate 5]])/(SamplingData[[#Totals],[Winning Candidate]]-SamplingData[[#Totals],[Candidate 5]]), 0)</f>
        <v>0</v>
      </c>
      <c r="U1123" s="100">
        <f>IF(AND(SamplingData[[#This Row],[Total]]&lt;&gt; 0, NOT(ISBLANK(SamplingData[[#This Row],[Candidate 6]]))),(SamplingData[[#This Row],[Total]]+SamplingData[[#This Row],[Losing Candidate]]-SamplingData[[#This Row],[Candidate 6]])/(SamplingData[[#Totals],[Winning Candidate]]-SamplingData[[#Totals],[Candidate 6]]), 0)</f>
        <v>0</v>
      </c>
      <c r="V1123" s="100">
        <f>IF(AND(SamplingData[[#This Row],[Total]]&lt;&gt; 0, NOT(ISBLANK(SamplingData[[#This Row],[Candidate 7]]))),(SamplingData[[#This Row],[Total]]+SamplingData[[#This Row],[Winning Candidate]]-SamplingData[[#This Row],[Candidate 7]])/(SamplingData[[#Totals],[Winning Candidate]]-SamplingData[[#Totals],[Candidate 7]]), 0)</f>
        <v>0</v>
      </c>
      <c r="W1123" s="100">
        <f>IF(AND(SamplingData[[#This Row],[Total]]&lt;&gt; 0, NOT(ISBLANK(SamplingData[[#This Row],[Candidate 8]]))),(SamplingData[[#This Row],[Total]]+SamplingData[[#This Row],[Winning Candidate]]-SamplingData[[#This Row],[Candidate 8]])/(SamplingData[[#Totals],[Winning Candidate]]-SamplingData[[#Totals],[Candidate 8]]), 0)</f>
        <v>0</v>
      </c>
      <c r="X1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00">
        <f>MAX(SamplingData[[#This Row],[Error Bound (up) - Max. possible relative overstatement - Losing Candidate]:[Error Bound (up) - Max. possible relative overstatement - Candidate 12]])</f>
        <v>6.8473788359455978E-3</v>
      </c>
      <c r="AC1123" s="100">
        <f>IF(SamplingData[[#This Row],[Max Error Bound (up)]] = 0,0,SamplingData[[#This Row],[Max Error Bound (up)]]/SamplingData[[#Totals],[Max Error Bound (up)]])</f>
        <v>2.9343670920152919E-3</v>
      </c>
      <c r="AD1123" s="104">
        <f>SUM($AC$5:AC1123)</f>
        <v>0.98391482259193541</v>
      </c>
      <c r="AE1123" s="100" t="str" cm="1">
        <f t="array" ref="AE1123">IF(SamplingData[[#This Row],[up/U Selection Probability]] = 0, "Zero", TEXT(SamplingData[[#This Row],[Lower Range]], REPT("0",LEN('General Info'!$B$42))) &amp; " - " &amp; TEXT(SamplingData[[#This Row],[Upper Range]], REPT("0",LEN('General Info'!$B$42))))</f>
        <v>98098 - 98390</v>
      </c>
      <c r="AF1123" s="100">
        <f>SamplingData[[#This Row],[Upper Range]]-SamplingData[[#This Row],[Span]]</f>
        <v>98098.045549992006</v>
      </c>
      <c r="AG1123" s="100">
        <f>IF(ISNUMBER('General Info'!$B$42), ((SamplingData[[#This Row],[up/U Selection Probability]]) * 'General Info'!$B$44) - 1, 0)</f>
        <v>292.4367092015292</v>
      </c>
      <c r="AH1123" s="100">
        <f>IF(ISNUMBER('General Info'!$B$42), (SamplingData[[#This Row],[Running (cumulative) sum]] * ('General Info'!$B$42 -'General Info'!$B$43 + 1)) + 'General Info'!$B$43 - 1, 0)</f>
        <v>98390.482259193537</v>
      </c>
      <c r="AI1123" s="100" t="str">
        <f>IF(ISERROR(MATCH(SamplingData[[#This Row],[Batch by Type (p)]],SelectedPrecincts[Batch Name], 0)), "", INDEX(SelectedPrecincts[Draw], MATCH(SamplingData[[#This Row],[Batch by Type (p)]],SelectedPrecincts[Batch Name], 0)))</f>
        <v/>
      </c>
      <c r="AJ1123" s="101">
        <f>IF(COUNTIF(SelectedPrecincts[Batch Name],SamplingData[[#This Row],[Batch by Type (p)]]) &lt;&gt; 0, COUNTIF(SelectedPrecincts[Batch Name],SamplingData[[#This Row],[Batch by Type (p)]]), 0)</f>
        <v>0</v>
      </c>
    </row>
    <row r="1124" spans="1:36" ht="15" customHeight="1" x14ac:dyDescent="0.35">
      <c r="A1124" s="98" t="s">
        <v>1334</v>
      </c>
      <c r="B1124" s="98">
        <v>67</v>
      </c>
      <c r="C1124" s="98">
        <v>8</v>
      </c>
      <c r="D1124" s="93"/>
      <c r="E1124" s="93"/>
      <c r="F1124" s="93"/>
      <c r="G1124" s="97"/>
      <c r="H1124" s="97"/>
      <c r="I1124" s="93"/>
      <c r="J1124" s="93"/>
      <c r="K1124" s="93"/>
      <c r="L1124" s="93"/>
      <c r="M1124" s="93"/>
      <c r="N1124" s="98">
        <v>0</v>
      </c>
      <c r="O1124" s="98">
        <v>3</v>
      </c>
      <c r="P1124" s="99">
        <f>SUM(SamplingData[[#This Row],[Winning Candidate]:[Under Votes]])</f>
        <v>78</v>
      </c>
      <c r="Q1124" s="100">
        <f>IF(AND(SamplingData[[#This Row],[Total]]&lt;&gt; 0, NOT(ISBLANK(SamplingData[[#This Row],[Losing Candidate]]))),(SamplingData[[#This Row],[Total]]+SamplingData[[#This Row],[Winning Candidate]]-SamplingData[[#This Row],[Losing Candidate]])/(SamplingData[[#Totals],[Winning Candidate]]-SamplingData[[#Totals],[Losing Candidate]]), 0)</f>
        <v>4.3031692684612245E-3</v>
      </c>
      <c r="R1124" s="100">
        <f>IF(AND(SamplingData[[#This Row],[Total]]&lt;&gt; 0, NOT(ISBLANK(SamplingData[[#This Row],[Candidate 3]]))),(SamplingData[[#This Row],[Total]]+SamplingData[[#This Row],[Winning Candidate]]-SamplingData[[#This Row],[Candidate 3]])/(SamplingData[[#Totals],[Winning Candidate]]-SamplingData[[#Totals],[Candidate 3]]), 0)</f>
        <v>0</v>
      </c>
      <c r="S1124" s="100">
        <f>IF(AND(SamplingData[[#This Row],[Total]]&lt;&gt; 0, NOT(ISBLANK(SamplingData[[#This Row],[Candidate 4]]))),(SamplingData[[#This Row],[Total]]+SamplingData[[#This Row],[Winning Candidate]]-SamplingData[[#This Row],[Candidate 4]])/(SamplingData[[#Totals],[Winning Candidate]]-SamplingData[[#Totals],[Candidate 4]]), 0)</f>
        <v>0</v>
      </c>
      <c r="T1124" s="100">
        <f>IF(AND(SamplingData[[#This Row],[Total]]&lt;&gt; 0, NOT(ISBLANK(SamplingData[[#This Row],[Candidate 5]]))),(SamplingData[[#This Row],[Total]]+SamplingData[[#This Row],[Winning Candidate]]-SamplingData[[#This Row],[Candidate 5]])/(SamplingData[[#Totals],[Winning Candidate]]-SamplingData[[#Totals],[Candidate 5]]), 0)</f>
        <v>0</v>
      </c>
      <c r="U1124" s="100">
        <f>IF(AND(SamplingData[[#This Row],[Total]]&lt;&gt; 0, NOT(ISBLANK(SamplingData[[#This Row],[Candidate 6]]))),(SamplingData[[#This Row],[Total]]+SamplingData[[#This Row],[Losing Candidate]]-SamplingData[[#This Row],[Candidate 6]])/(SamplingData[[#Totals],[Winning Candidate]]-SamplingData[[#Totals],[Candidate 6]]), 0)</f>
        <v>0</v>
      </c>
      <c r="V1124" s="100">
        <f>IF(AND(SamplingData[[#This Row],[Total]]&lt;&gt; 0, NOT(ISBLANK(SamplingData[[#This Row],[Candidate 7]]))),(SamplingData[[#This Row],[Total]]+SamplingData[[#This Row],[Winning Candidate]]-SamplingData[[#This Row],[Candidate 7]])/(SamplingData[[#Totals],[Winning Candidate]]-SamplingData[[#Totals],[Candidate 7]]), 0)</f>
        <v>0</v>
      </c>
      <c r="W1124" s="100">
        <f>IF(AND(SamplingData[[#This Row],[Total]]&lt;&gt; 0, NOT(ISBLANK(SamplingData[[#This Row],[Candidate 8]]))),(SamplingData[[#This Row],[Total]]+SamplingData[[#This Row],[Winning Candidate]]-SamplingData[[#This Row],[Candidate 8]])/(SamplingData[[#Totals],[Winning Candidate]]-SamplingData[[#Totals],[Candidate 8]]), 0)</f>
        <v>0</v>
      </c>
      <c r="X1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00">
        <f>MAX(SamplingData[[#This Row],[Error Bound (up) - Max. possible relative overstatement - Losing Candidate]:[Error Bound (up) - Max. possible relative overstatement - Candidate 12]])</f>
        <v>4.3031692684612245E-3</v>
      </c>
      <c r="AC1124" s="100">
        <f>IF(SamplingData[[#This Row],[Max Error Bound (up)]] = 0,0,SamplingData[[#This Row],[Max Error Bound (up)]]/SamplingData[[#Totals],[Max Error Bound (up)]])</f>
        <v>1.8440747321380505E-3</v>
      </c>
      <c r="AD1124" s="104">
        <f>SUM($AC$5:AC1124)</f>
        <v>0.98575889732407351</v>
      </c>
      <c r="AE1124" s="100" t="str" cm="1">
        <f t="array" ref="AE1124">IF(SamplingData[[#This Row],[up/U Selection Probability]] = 0, "Zero", TEXT(SamplingData[[#This Row],[Lower Range]], REPT("0",LEN('General Info'!$B$42))) &amp; " - " &amp; TEXT(SamplingData[[#This Row],[Upper Range]], REPT("0",LEN('General Info'!$B$42))))</f>
        <v>98391 - 98575</v>
      </c>
      <c r="AF1124" s="100">
        <f>SamplingData[[#This Row],[Upper Range]]-SamplingData[[#This Row],[Span]]</f>
        <v>98391.482259193537</v>
      </c>
      <c r="AG1124" s="100">
        <f>IF(ISNUMBER('General Info'!$B$42), ((SamplingData[[#This Row],[up/U Selection Probability]]) * 'General Info'!$B$44) - 1, 0)</f>
        <v>183.40747321380505</v>
      </c>
      <c r="AH1124" s="100">
        <f>IF(ISNUMBER('General Info'!$B$42), (SamplingData[[#This Row],[Running (cumulative) sum]] * ('General Info'!$B$42 -'General Info'!$B$43 + 1)) + 'General Info'!$B$43 - 1, 0)</f>
        <v>98574.889732407348</v>
      </c>
      <c r="AI1124" s="100" t="str">
        <f>IF(ISERROR(MATCH(SamplingData[[#This Row],[Batch by Type (p)]],SelectedPrecincts[Batch Name], 0)), "", INDEX(SelectedPrecincts[Draw], MATCH(SamplingData[[#This Row],[Batch by Type (p)]],SelectedPrecincts[Batch Name], 0)))</f>
        <v/>
      </c>
      <c r="AJ1124" s="101">
        <f>IF(COUNTIF(SelectedPrecincts[Batch Name],SamplingData[[#This Row],[Batch by Type (p)]]) &lt;&gt; 0, COUNTIF(SelectedPrecincts[Batch Name],SamplingData[[#This Row],[Batch by Type (p)]]), 0)</f>
        <v>0</v>
      </c>
    </row>
    <row r="1125" spans="1:36" ht="15" customHeight="1" x14ac:dyDescent="0.35">
      <c r="A1125" s="98" t="s">
        <v>1335</v>
      </c>
      <c r="B1125" s="98">
        <v>32</v>
      </c>
      <c r="C1125" s="98">
        <v>8</v>
      </c>
      <c r="D1125" s="93"/>
      <c r="E1125" s="93"/>
      <c r="F1125" s="93"/>
      <c r="G1125" s="97"/>
      <c r="H1125" s="97"/>
      <c r="I1125" s="93"/>
      <c r="J1125" s="93"/>
      <c r="K1125" s="93"/>
      <c r="L1125" s="93"/>
      <c r="M1125" s="93"/>
      <c r="N1125" s="98">
        <v>0</v>
      </c>
      <c r="O1125" s="98">
        <v>2</v>
      </c>
      <c r="P1125" s="99">
        <f>SUM(SamplingData[[#This Row],[Winning Candidate]:[Under Votes]])</f>
        <v>42</v>
      </c>
      <c r="Q1125" s="100">
        <f>IF(AND(SamplingData[[#This Row],[Total]]&lt;&gt; 0, NOT(ISBLANK(SamplingData[[#This Row],[Losing Candidate]]))),(SamplingData[[#This Row],[Total]]+SamplingData[[#This Row],[Winning Candidate]]-SamplingData[[#This Row],[Losing Candidate]])/(SamplingData[[#Totals],[Winning Candidate]]-SamplingData[[#Totals],[Losing Candidate]]), 0)</f>
        <v>2.0730596475798599E-3</v>
      </c>
      <c r="R1125" s="100">
        <f>IF(AND(SamplingData[[#This Row],[Total]]&lt;&gt; 0, NOT(ISBLANK(SamplingData[[#This Row],[Candidate 3]]))),(SamplingData[[#This Row],[Total]]+SamplingData[[#This Row],[Winning Candidate]]-SamplingData[[#This Row],[Candidate 3]])/(SamplingData[[#Totals],[Winning Candidate]]-SamplingData[[#Totals],[Candidate 3]]), 0)</f>
        <v>0</v>
      </c>
      <c r="S1125" s="100">
        <f>IF(AND(SamplingData[[#This Row],[Total]]&lt;&gt; 0, NOT(ISBLANK(SamplingData[[#This Row],[Candidate 4]]))),(SamplingData[[#This Row],[Total]]+SamplingData[[#This Row],[Winning Candidate]]-SamplingData[[#This Row],[Candidate 4]])/(SamplingData[[#Totals],[Winning Candidate]]-SamplingData[[#Totals],[Candidate 4]]), 0)</f>
        <v>0</v>
      </c>
      <c r="T1125" s="100">
        <f>IF(AND(SamplingData[[#This Row],[Total]]&lt;&gt; 0, NOT(ISBLANK(SamplingData[[#This Row],[Candidate 5]]))),(SamplingData[[#This Row],[Total]]+SamplingData[[#This Row],[Winning Candidate]]-SamplingData[[#This Row],[Candidate 5]])/(SamplingData[[#Totals],[Winning Candidate]]-SamplingData[[#Totals],[Candidate 5]]), 0)</f>
        <v>0</v>
      </c>
      <c r="U1125" s="100">
        <f>IF(AND(SamplingData[[#This Row],[Total]]&lt;&gt; 0, NOT(ISBLANK(SamplingData[[#This Row],[Candidate 6]]))),(SamplingData[[#This Row],[Total]]+SamplingData[[#This Row],[Losing Candidate]]-SamplingData[[#This Row],[Candidate 6]])/(SamplingData[[#Totals],[Winning Candidate]]-SamplingData[[#Totals],[Candidate 6]]), 0)</f>
        <v>0</v>
      </c>
      <c r="V1125" s="100">
        <f>IF(AND(SamplingData[[#This Row],[Total]]&lt;&gt; 0, NOT(ISBLANK(SamplingData[[#This Row],[Candidate 7]]))),(SamplingData[[#This Row],[Total]]+SamplingData[[#This Row],[Winning Candidate]]-SamplingData[[#This Row],[Candidate 7]])/(SamplingData[[#Totals],[Winning Candidate]]-SamplingData[[#Totals],[Candidate 7]]), 0)</f>
        <v>0</v>
      </c>
      <c r="W1125" s="100">
        <f>IF(AND(SamplingData[[#This Row],[Total]]&lt;&gt; 0, NOT(ISBLANK(SamplingData[[#This Row],[Candidate 8]]))),(SamplingData[[#This Row],[Total]]+SamplingData[[#This Row],[Winning Candidate]]-SamplingData[[#This Row],[Candidate 8]])/(SamplingData[[#Totals],[Winning Candidate]]-SamplingData[[#Totals],[Candidate 8]]), 0)</f>
        <v>0</v>
      </c>
      <c r="X1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00">
        <f>MAX(SamplingData[[#This Row],[Error Bound (up) - Max. possible relative overstatement - Losing Candidate]:[Error Bound (up) - Max. possible relative overstatement - Candidate 12]])</f>
        <v>2.0730596475798599E-3</v>
      </c>
      <c r="AC1125" s="100">
        <f>IF(SamplingData[[#This Row],[Max Error Bound (up)]] = 0,0,SamplingData[[#This Row],[Max Error Bound (up)]]/SamplingData[[#Totals],[Max Error Bound (up)]])</f>
        <v>8.8838636730738201E-4</v>
      </c>
      <c r="AD1125" s="104">
        <f>SUM($AC$5:AC1125)</f>
        <v>0.98664728369138088</v>
      </c>
      <c r="AE1125" s="100" t="str" cm="1">
        <f t="array" ref="AE1125">IF(SamplingData[[#This Row],[up/U Selection Probability]] = 0, "Zero", TEXT(SamplingData[[#This Row],[Lower Range]], REPT("0",LEN('General Info'!$B$42))) &amp; " - " &amp; TEXT(SamplingData[[#This Row],[Upper Range]], REPT("0",LEN('General Info'!$B$42))))</f>
        <v>98576 - 98664</v>
      </c>
      <c r="AF1125" s="100">
        <f>SamplingData[[#This Row],[Upper Range]]-SamplingData[[#This Row],[Span]]</f>
        <v>98575.889732407348</v>
      </c>
      <c r="AG1125" s="100">
        <f>IF(ISNUMBER('General Info'!$B$42), ((SamplingData[[#This Row],[up/U Selection Probability]]) * 'General Info'!$B$44) - 1, 0)</f>
        <v>87.838636730738202</v>
      </c>
      <c r="AH1125" s="100">
        <f>IF(ISNUMBER('General Info'!$B$42), (SamplingData[[#This Row],[Running (cumulative) sum]] * ('General Info'!$B$42 -'General Info'!$B$43 + 1)) + 'General Info'!$B$43 - 1, 0)</f>
        <v>98663.728369138087</v>
      </c>
      <c r="AI1125" s="100" t="str">
        <f>IF(ISERROR(MATCH(SamplingData[[#This Row],[Batch by Type (p)]],SelectedPrecincts[Batch Name], 0)), "", INDEX(SelectedPrecincts[Draw], MATCH(SamplingData[[#This Row],[Batch by Type (p)]],SelectedPrecincts[Batch Name], 0)))</f>
        <v/>
      </c>
      <c r="AJ1125" s="101">
        <f>IF(COUNTIF(SelectedPrecincts[Batch Name],SamplingData[[#This Row],[Batch by Type (p)]]) &lt;&gt; 0, COUNTIF(SelectedPrecincts[Batch Name],SamplingData[[#This Row],[Batch by Type (p)]]), 0)</f>
        <v>0</v>
      </c>
    </row>
    <row r="1126" spans="1:36" ht="15" customHeight="1" x14ac:dyDescent="0.35">
      <c r="A1126" s="98" t="s">
        <v>1336</v>
      </c>
      <c r="B1126" s="98">
        <v>185</v>
      </c>
      <c r="C1126" s="98">
        <v>29</v>
      </c>
      <c r="D1126" s="93"/>
      <c r="E1126" s="93"/>
      <c r="F1126" s="93"/>
      <c r="G1126" s="97"/>
      <c r="H1126" s="97"/>
      <c r="I1126" s="93"/>
      <c r="J1126" s="93"/>
      <c r="K1126" s="93"/>
      <c r="L1126" s="93"/>
      <c r="M1126" s="93"/>
      <c r="N1126" s="98">
        <v>0</v>
      </c>
      <c r="O1126" s="98">
        <v>9</v>
      </c>
      <c r="P1126" s="99">
        <f>SUM(SamplingData[[#This Row],[Winning Candidate]:[Under Votes]])</f>
        <v>223</v>
      </c>
      <c r="Q1126" s="100">
        <f>IF(AND(SamplingData[[#This Row],[Total]]&lt;&gt; 0, NOT(ISBLANK(SamplingData[[#This Row],[Losing Candidate]]))),(SamplingData[[#This Row],[Total]]+SamplingData[[#This Row],[Winning Candidate]]-SamplingData[[#This Row],[Losing Candidate]])/(SamplingData[[#Totals],[Winning Candidate]]-SamplingData[[#Totals],[Losing Candidate]]), 0)</f>
        <v>1.1904387976254044E-2</v>
      </c>
      <c r="R1126" s="100">
        <f>IF(AND(SamplingData[[#This Row],[Total]]&lt;&gt; 0, NOT(ISBLANK(SamplingData[[#This Row],[Candidate 3]]))),(SamplingData[[#This Row],[Total]]+SamplingData[[#This Row],[Winning Candidate]]-SamplingData[[#This Row],[Candidate 3]])/(SamplingData[[#Totals],[Winning Candidate]]-SamplingData[[#Totals],[Candidate 3]]), 0)</f>
        <v>0</v>
      </c>
      <c r="S1126" s="100">
        <f>IF(AND(SamplingData[[#This Row],[Total]]&lt;&gt; 0, NOT(ISBLANK(SamplingData[[#This Row],[Candidate 4]]))),(SamplingData[[#This Row],[Total]]+SamplingData[[#This Row],[Winning Candidate]]-SamplingData[[#This Row],[Candidate 4]])/(SamplingData[[#Totals],[Winning Candidate]]-SamplingData[[#Totals],[Candidate 4]]), 0)</f>
        <v>0</v>
      </c>
      <c r="T1126" s="100">
        <f>IF(AND(SamplingData[[#This Row],[Total]]&lt;&gt; 0, NOT(ISBLANK(SamplingData[[#This Row],[Candidate 5]]))),(SamplingData[[#This Row],[Total]]+SamplingData[[#This Row],[Winning Candidate]]-SamplingData[[#This Row],[Candidate 5]])/(SamplingData[[#Totals],[Winning Candidate]]-SamplingData[[#Totals],[Candidate 5]]), 0)</f>
        <v>0</v>
      </c>
      <c r="U1126" s="100">
        <f>IF(AND(SamplingData[[#This Row],[Total]]&lt;&gt; 0, NOT(ISBLANK(SamplingData[[#This Row],[Candidate 6]]))),(SamplingData[[#This Row],[Total]]+SamplingData[[#This Row],[Losing Candidate]]-SamplingData[[#This Row],[Candidate 6]])/(SamplingData[[#Totals],[Winning Candidate]]-SamplingData[[#Totals],[Candidate 6]]), 0)</f>
        <v>0</v>
      </c>
      <c r="V1126" s="100">
        <f>IF(AND(SamplingData[[#This Row],[Total]]&lt;&gt; 0, NOT(ISBLANK(SamplingData[[#This Row],[Candidate 7]]))),(SamplingData[[#This Row],[Total]]+SamplingData[[#This Row],[Winning Candidate]]-SamplingData[[#This Row],[Candidate 7]])/(SamplingData[[#Totals],[Winning Candidate]]-SamplingData[[#Totals],[Candidate 7]]), 0)</f>
        <v>0</v>
      </c>
      <c r="W1126" s="100">
        <f>IF(AND(SamplingData[[#This Row],[Total]]&lt;&gt; 0, NOT(ISBLANK(SamplingData[[#This Row],[Candidate 8]]))),(SamplingData[[#This Row],[Total]]+SamplingData[[#This Row],[Winning Candidate]]-SamplingData[[#This Row],[Candidate 8]])/(SamplingData[[#Totals],[Winning Candidate]]-SamplingData[[#Totals],[Candidate 8]]), 0)</f>
        <v>0</v>
      </c>
      <c r="X1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00">
        <f>MAX(SamplingData[[#This Row],[Error Bound (up) - Max. possible relative overstatement - Losing Candidate]:[Error Bound (up) - Max. possible relative overstatement - Candidate 12]])</f>
        <v>1.1904387976254044E-2</v>
      </c>
      <c r="AC1126" s="100">
        <f>IF(SamplingData[[#This Row],[Max Error Bound (up)]] = 0,0,SamplingData[[#This Row],[Max Error Bound (up)]]/SamplingData[[#Totals],[Max Error Bound (up)]])</f>
        <v>5.1014914122651175E-3</v>
      </c>
      <c r="AD1126" s="104">
        <f>SUM($AC$5:AC1126)</f>
        <v>0.99174877510364601</v>
      </c>
      <c r="AE1126" s="100" t="str" cm="1">
        <f t="array" ref="AE1126">IF(SamplingData[[#This Row],[up/U Selection Probability]] = 0, "Zero", TEXT(SamplingData[[#This Row],[Lower Range]], REPT("0",LEN('General Info'!$B$42))) &amp; " - " &amp; TEXT(SamplingData[[#This Row],[Upper Range]], REPT("0",LEN('General Info'!$B$42))))</f>
        <v>98665 - 99174</v>
      </c>
      <c r="AF1126" s="100">
        <f>SamplingData[[#This Row],[Upper Range]]-SamplingData[[#This Row],[Span]]</f>
        <v>98664.728369138087</v>
      </c>
      <c r="AG1126" s="100">
        <f>IF(ISNUMBER('General Info'!$B$42), ((SamplingData[[#This Row],[up/U Selection Probability]]) * 'General Info'!$B$44) - 1, 0)</f>
        <v>509.14914122651174</v>
      </c>
      <c r="AH1126" s="100">
        <f>IF(ISNUMBER('General Info'!$B$42), (SamplingData[[#This Row],[Running (cumulative) sum]] * ('General Info'!$B$42 -'General Info'!$B$43 + 1)) + 'General Info'!$B$43 - 1, 0)</f>
        <v>99173.877510364604</v>
      </c>
      <c r="AI1126" s="100" t="str">
        <f>IF(ISERROR(MATCH(SamplingData[[#This Row],[Batch by Type (p)]],SelectedPrecincts[Batch Name], 0)), "", INDEX(SelectedPrecincts[Draw], MATCH(SamplingData[[#This Row],[Batch by Type (p)]],SelectedPrecincts[Batch Name], 0)))</f>
        <v/>
      </c>
      <c r="AJ1126" s="101">
        <f>IF(COUNTIF(SelectedPrecincts[Batch Name],SamplingData[[#This Row],[Batch by Type (p)]]) &lt;&gt; 0, COUNTIF(SelectedPrecincts[Batch Name],SamplingData[[#This Row],[Batch by Type (p)]]), 0)</f>
        <v>0</v>
      </c>
    </row>
    <row r="1127" spans="1:36" ht="15" customHeight="1" x14ac:dyDescent="0.35">
      <c r="A1127" s="98" t="s">
        <v>1337</v>
      </c>
      <c r="B1127" s="98">
        <v>180</v>
      </c>
      <c r="C1127" s="98">
        <v>23</v>
      </c>
      <c r="D1127" s="93"/>
      <c r="E1127" s="93"/>
      <c r="F1127" s="93"/>
      <c r="G1127" s="97"/>
      <c r="H1127" s="97"/>
      <c r="I1127" s="93"/>
      <c r="J1127" s="93"/>
      <c r="K1127" s="93"/>
      <c r="L1127" s="93"/>
      <c r="M1127" s="93"/>
      <c r="N1127" s="98">
        <v>0</v>
      </c>
      <c r="O1127" s="98">
        <v>17</v>
      </c>
      <c r="P1127" s="99">
        <f>SUM(SamplingData[[#This Row],[Winning Candidate]:[Under Votes]])</f>
        <v>220</v>
      </c>
      <c r="Q1127" s="100">
        <f>IF(AND(SamplingData[[#This Row],[Total]]&lt;&gt; 0, NOT(ISBLANK(SamplingData[[#This Row],[Losing Candidate]]))),(SamplingData[[#This Row],[Total]]+SamplingData[[#This Row],[Winning Candidate]]-SamplingData[[#This Row],[Losing Candidate]])/(SamplingData[[#Totals],[Winning Candidate]]-SamplingData[[#Totals],[Losing Candidate]]), 0)</f>
        <v>1.1841567986933442E-2</v>
      </c>
      <c r="R1127" s="100">
        <f>IF(AND(SamplingData[[#This Row],[Total]]&lt;&gt; 0, NOT(ISBLANK(SamplingData[[#This Row],[Candidate 3]]))),(SamplingData[[#This Row],[Total]]+SamplingData[[#This Row],[Winning Candidate]]-SamplingData[[#This Row],[Candidate 3]])/(SamplingData[[#Totals],[Winning Candidate]]-SamplingData[[#Totals],[Candidate 3]]), 0)</f>
        <v>0</v>
      </c>
      <c r="S1127" s="100">
        <f>IF(AND(SamplingData[[#This Row],[Total]]&lt;&gt; 0, NOT(ISBLANK(SamplingData[[#This Row],[Candidate 4]]))),(SamplingData[[#This Row],[Total]]+SamplingData[[#This Row],[Winning Candidate]]-SamplingData[[#This Row],[Candidate 4]])/(SamplingData[[#Totals],[Winning Candidate]]-SamplingData[[#Totals],[Candidate 4]]), 0)</f>
        <v>0</v>
      </c>
      <c r="T1127" s="100">
        <f>IF(AND(SamplingData[[#This Row],[Total]]&lt;&gt; 0, NOT(ISBLANK(SamplingData[[#This Row],[Candidate 5]]))),(SamplingData[[#This Row],[Total]]+SamplingData[[#This Row],[Winning Candidate]]-SamplingData[[#This Row],[Candidate 5]])/(SamplingData[[#Totals],[Winning Candidate]]-SamplingData[[#Totals],[Candidate 5]]), 0)</f>
        <v>0</v>
      </c>
      <c r="U1127" s="100">
        <f>IF(AND(SamplingData[[#This Row],[Total]]&lt;&gt; 0, NOT(ISBLANK(SamplingData[[#This Row],[Candidate 6]]))),(SamplingData[[#This Row],[Total]]+SamplingData[[#This Row],[Losing Candidate]]-SamplingData[[#This Row],[Candidate 6]])/(SamplingData[[#Totals],[Winning Candidate]]-SamplingData[[#Totals],[Candidate 6]]), 0)</f>
        <v>0</v>
      </c>
      <c r="V1127" s="100">
        <f>IF(AND(SamplingData[[#This Row],[Total]]&lt;&gt; 0, NOT(ISBLANK(SamplingData[[#This Row],[Candidate 7]]))),(SamplingData[[#This Row],[Total]]+SamplingData[[#This Row],[Winning Candidate]]-SamplingData[[#This Row],[Candidate 7]])/(SamplingData[[#Totals],[Winning Candidate]]-SamplingData[[#Totals],[Candidate 7]]), 0)</f>
        <v>0</v>
      </c>
      <c r="W1127" s="100">
        <f>IF(AND(SamplingData[[#This Row],[Total]]&lt;&gt; 0, NOT(ISBLANK(SamplingData[[#This Row],[Candidate 8]]))),(SamplingData[[#This Row],[Total]]+SamplingData[[#This Row],[Winning Candidate]]-SamplingData[[#This Row],[Candidate 8]])/(SamplingData[[#Totals],[Winning Candidate]]-SamplingData[[#Totals],[Candidate 8]]), 0)</f>
        <v>0</v>
      </c>
      <c r="X1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00">
        <f>MAX(SamplingData[[#This Row],[Error Bound (up) - Max. possible relative overstatement - Losing Candidate]:[Error Bound (up) - Max. possible relative overstatement - Candidate 12]])</f>
        <v>1.1841567986933442E-2</v>
      </c>
      <c r="AC1127" s="100">
        <f>IF(SamplingData[[#This Row],[Max Error Bound (up)]] = 0,0,SamplingData[[#This Row],[Max Error Bound (up)]]/SamplingData[[#Totals],[Max Error Bound (up)]])</f>
        <v>5.0745706132558034E-3</v>
      </c>
      <c r="AD1127" s="104">
        <f>SUM($AC$5:AC1127)</f>
        <v>0.99682334571690179</v>
      </c>
      <c r="AE1127" s="100" t="str" cm="1">
        <f t="array" ref="AE1127">IF(SamplingData[[#This Row],[up/U Selection Probability]] = 0, "Zero", TEXT(SamplingData[[#This Row],[Lower Range]], REPT("0",LEN('General Info'!$B$42))) &amp; " - " &amp; TEXT(SamplingData[[#This Row],[Upper Range]], REPT("0",LEN('General Info'!$B$42))))</f>
        <v>99175 - 99681</v>
      </c>
      <c r="AF1127" s="100">
        <f>SamplingData[[#This Row],[Upper Range]]-SamplingData[[#This Row],[Span]]</f>
        <v>99174.877510364604</v>
      </c>
      <c r="AG1127" s="100">
        <f>IF(ISNUMBER('General Info'!$B$42), ((SamplingData[[#This Row],[up/U Selection Probability]]) * 'General Info'!$B$44) - 1, 0)</f>
        <v>506.45706132558036</v>
      </c>
      <c r="AH1127" s="100">
        <f>IF(ISNUMBER('General Info'!$B$42), (SamplingData[[#This Row],[Running (cumulative) sum]] * ('General Info'!$B$42 -'General Info'!$B$43 + 1)) + 'General Info'!$B$43 - 1, 0)</f>
        <v>99681.334571690182</v>
      </c>
      <c r="AI1127" s="100" t="str">
        <f>IF(ISERROR(MATCH(SamplingData[[#This Row],[Batch by Type (p)]],SelectedPrecincts[Batch Name], 0)), "", INDEX(SelectedPrecincts[Draw], MATCH(SamplingData[[#This Row],[Batch by Type (p)]],SelectedPrecincts[Batch Name], 0)))</f>
        <v/>
      </c>
      <c r="AJ1127" s="101">
        <f>IF(COUNTIF(SelectedPrecincts[Batch Name],SamplingData[[#This Row],[Batch by Type (p)]]) &lt;&gt; 0, COUNTIF(SelectedPrecincts[Batch Name],SamplingData[[#This Row],[Batch by Type (p)]]), 0)</f>
        <v>0</v>
      </c>
    </row>
    <row r="1128" spans="1:36" ht="15" customHeight="1" x14ac:dyDescent="0.35">
      <c r="A1128" s="98" t="s">
        <v>1338</v>
      </c>
      <c r="B1128" s="98">
        <v>97</v>
      </c>
      <c r="C1128" s="98">
        <v>18</v>
      </c>
      <c r="D1128" s="93"/>
      <c r="E1128" s="93"/>
      <c r="F1128" s="93"/>
      <c r="G1128" s="97"/>
      <c r="H1128" s="97"/>
      <c r="I1128" s="93"/>
      <c r="J1128" s="93"/>
      <c r="K1128" s="93"/>
      <c r="L1128" s="93"/>
      <c r="M1128" s="93"/>
      <c r="N1128" s="98">
        <v>0</v>
      </c>
      <c r="O1128" s="98">
        <v>3</v>
      </c>
      <c r="P1128" s="99">
        <f>SUM(SamplingData[[#This Row],[Winning Candidate]:[Under Votes]])</f>
        <v>118</v>
      </c>
      <c r="Q1128" s="100">
        <f>IF(AND(SamplingData[[#This Row],[Total]]&lt;&gt; 0, NOT(ISBLANK(SamplingData[[#This Row],[Losing Candidate]]))),(SamplingData[[#This Row],[Total]]+SamplingData[[#This Row],[Winning Candidate]]-SamplingData[[#This Row],[Losing Candidate]])/(SamplingData[[#Totals],[Winning Candidate]]-SamplingData[[#Totals],[Losing Candidate]]), 0)</f>
        <v>6.1877689480792789E-3</v>
      </c>
      <c r="R1128" s="100">
        <f>IF(AND(SamplingData[[#This Row],[Total]]&lt;&gt; 0, NOT(ISBLANK(SamplingData[[#This Row],[Candidate 3]]))),(SamplingData[[#This Row],[Total]]+SamplingData[[#This Row],[Winning Candidate]]-SamplingData[[#This Row],[Candidate 3]])/(SamplingData[[#Totals],[Winning Candidate]]-SamplingData[[#Totals],[Candidate 3]]), 0)</f>
        <v>0</v>
      </c>
      <c r="S1128" s="100">
        <f>IF(AND(SamplingData[[#This Row],[Total]]&lt;&gt; 0, NOT(ISBLANK(SamplingData[[#This Row],[Candidate 4]]))),(SamplingData[[#This Row],[Total]]+SamplingData[[#This Row],[Winning Candidate]]-SamplingData[[#This Row],[Candidate 4]])/(SamplingData[[#Totals],[Winning Candidate]]-SamplingData[[#Totals],[Candidate 4]]), 0)</f>
        <v>0</v>
      </c>
      <c r="T1128" s="100">
        <f>IF(AND(SamplingData[[#This Row],[Total]]&lt;&gt; 0, NOT(ISBLANK(SamplingData[[#This Row],[Candidate 5]]))),(SamplingData[[#This Row],[Total]]+SamplingData[[#This Row],[Winning Candidate]]-SamplingData[[#This Row],[Candidate 5]])/(SamplingData[[#Totals],[Winning Candidate]]-SamplingData[[#Totals],[Candidate 5]]), 0)</f>
        <v>0</v>
      </c>
      <c r="U1128" s="100">
        <f>IF(AND(SamplingData[[#This Row],[Total]]&lt;&gt; 0, NOT(ISBLANK(SamplingData[[#This Row],[Candidate 6]]))),(SamplingData[[#This Row],[Total]]+SamplingData[[#This Row],[Losing Candidate]]-SamplingData[[#This Row],[Candidate 6]])/(SamplingData[[#Totals],[Winning Candidate]]-SamplingData[[#Totals],[Candidate 6]]), 0)</f>
        <v>0</v>
      </c>
      <c r="V1128" s="100">
        <f>IF(AND(SamplingData[[#This Row],[Total]]&lt;&gt; 0, NOT(ISBLANK(SamplingData[[#This Row],[Candidate 7]]))),(SamplingData[[#This Row],[Total]]+SamplingData[[#This Row],[Winning Candidate]]-SamplingData[[#This Row],[Candidate 7]])/(SamplingData[[#Totals],[Winning Candidate]]-SamplingData[[#Totals],[Candidate 7]]), 0)</f>
        <v>0</v>
      </c>
      <c r="W1128" s="100">
        <f>IF(AND(SamplingData[[#This Row],[Total]]&lt;&gt; 0, NOT(ISBLANK(SamplingData[[#This Row],[Candidate 8]]))),(SamplingData[[#This Row],[Total]]+SamplingData[[#This Row],[Winning Candidate]]-SamplingData[[#This Row],[Candidate 8]])/(SamplingData[[#Totals],[Winning Candidate]]-SamplingData[[#Totals],[Candidate 8]]), 0)</f>
        <v>0</v>
      </c>
      <c r="X1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00">
        <f>MAX(SamplingData[[#This Row],[Error Bound (up) - Max. possible relative overstatement - Losing Candidate]:[Error Bound (up) - Max. possible relative overstatement - Candidate 12]])</f>
        <v>6.1877689480792789E-3</v>
      </c>
      <c r="AC1128" s="100">
        <f>IF(SamplingData[[#This Row],[Max Error Bound (up)]] = 0,0,SamplingData[[#This Row],[Max Error Bound (up)]]/SamplingData[[#Totals],[Max Error Bound (up)]])</f>
        <v>2.6516987024174888E-3</v>
      </c>
      <c r="AD1128" s="104">
        <f>SUM($AC$5:AC1128)</f>
        <v>0.99947504441931923</v>
      </c>
      <c r="AE1128" s="100" t="str" cm="1">
        <f t="array" ref="AE1128">IF(SamplingData[[#This Row],[up/U Selection Probability]] = 0, "Zero", TEXT(SamplingData[[#This Row],[Lower Range]], REPT("0",LEN('General Info'!$B$42))) &amp; " - " &amp; TEXT(SamplingData[[#This Row],[Upper Range]], REPT("0",LEN('General Info'!$B$42))))</f>
        <v>99682 - 99947</v>
      </c>
      <c r="AF1128" s="100">
        <f>SamplingData[[#This Row],[Upper Range]]-SamplingData[[#This Row],[Span]]</f>
        <v>99682.334571690168</v>
      </c>
      <c r="AG1128" s="100">
        <f>IF(ISNUMBER('General Info'!$B$42), ((SamplingData[[#This Row],[up/U Selection Probability]]) * 'General Info'!$B$44) - 1, 0)</f>
        <v>264.16987024174887</v>
      </c>
      <c r="AH1128" s="100">
        <f>IF(ISNUMBER('General Info'!$B$42), (SamplingData[[#This Row],[Running (cumulative) sum]] * ('General Info'!$B$42 -'General Info'!$B$43 + 1)) + 'General Info'!$B$43 - 1, 0)</f>
        <v>99946.504441931917</v>
      </c>
      <c r="AI1128" s="100" t="str">
        <f>IF(ISERROR(MATCH(SamplingData[[#This Row],[Batch by Type (p)]],SelectedPrecincts[Batch Name], 0)), "", INDEX(SelectedPrecincts[Draw], MATCH(SamplingData[[#This Row],[Batch by Type (p)]],SelectedPrecincts[Batch Name], 0)))</f>
        <v/>
      </c>
      <c r="AJ1128" s="101">
        <f>IF(COUNTIF(SelectedPrecincts[Batch Name],SamplingData[[#This Row],[Batch by Type (p)]]) &lt;&gt; 0, COUNTIF(SelectedPrecincts[Batch Name],SamplingData[[#This Row],[Batch by Type (p)]]), 0)</f>
        <v>0</v>
      </c>
    </row>
    <row r="1129" spans="1:36" ht="15" customHeight="1" x14ac:dyDescent="0.35">
      <c r="A1129" s="98" t="s">
        <v>1339</v>
      </c>
      <c r="B1129" s="98">
        <v>16</v>
      </c>
      <c r="C1129" s="98">
        <v>7</v>
      </c>
      <c r="D1129" s="93"/>
      <c r="E1129" s="93"/>
      <c r="F1129" s="93"/>
      <c r="G1129" s="97"/>
      <c r="H1129" s="97"/>
      <c r="I1129" s="93"/>
      <c r="J1129" s="93"/>
      <c r="K1129" s="93"/>
      <c r="L1129" s="93"/>
      <c r="M1129" s="93"/>
      <c r="N1129" s="98">
        <v>0</v>
      </c>
      <c r="O1129" s="98">
        <v>1</v>
      </c>
      <c r="P1129" s="99">
        <f>SUM(SamplingData[[#This Row],[Winning Candidate]:[Under Votes]])</f>
        <v>24</v>
      </c>
      <c r="Q1129" s="100">
        <f>IF(AND(SamplingData[[#This Row],[Total]]&lt;&gt; 0, NOT(ISBLANK(SamplingData[[#This Row],[Losing Candidate]]))),(SamplingData[[#This Row],[Total]]+SamplingData[[#This Row],[Winning Candidate]]-SamplingData[[#This Row],[Losing Candidate]])/(SamplingData[[#Totals],[Winning Candidate]]-SamplingData[[#Totals],[Losing Candidate]]), 0)</f>
        <v>1.0365298237899299E-3</v>
      </c>
      <c r="R1129" s="100">
        <f>IF(AND(SamplingData[[#This Row],[Total]]&lt;&gt; 0, NOT(ISBLANK(SamplingData[[#This Row],[Candidate 3]]))),(SamplingData[[#This Row],[Total]]+SamplingData[[#This Row],[Winning Candidate]]-SamplingData[[#This Row],[Candidate 3]])/(SamplingData[[#Totals],[Winning Candidate]]-SamplingData[[#Totals],[Candidate 3]]), 0)</f>
        <v>0</v>
      </c>
      <c r="S1129" s="100">
        <f>IF(AND(SamplingData[[#This Row],[Total]]&lt;&gt; 0, NOT(ISBLANK(SamplingData[[#This Row],[Candidate 4]]))),(SamplingData[[#This Row],[Total]]+SamplingData[[#This Row],[Winning Candidate]]-SamplingData[[#This Row],[Candidate 4]])/(SamplingData[[#Totals],[Winning Candidate]]-SamplingData[[#Totals],[Candidate 4]]), 0)</f>
        <v>0</v>
      </c>
      <c r="T1129" s="100">
        <f>IF(AND(SamplingData[[#This Row],[Total]]&lt;&gt; 0, NOT(ISBLANK(SamplingData[[#This Row],[Candidate 5]]))),(SamplingData[[#This Row],[Total]]+SamplingData[[#This Row],[Winning Candidate]]-SamplingData[[#This Row],[Candidate 5]])/(SamplingData[[#Totals],[Winning Candidate]]-SamplingData[[#Totals],[Candidate 5]]), 0)</f>
        <v>0</v>
      </c>
      <c r="U1129" s="100">
        <f>IF(AND(SamplingData[[#This Row],[Total]]&lt;&gt; 0, NOT(ISBLANK(SamplingData[[#This Row],[Candidate 6]]))),(SamplingData[[#This Row],[Total]]+SamplingData[[#This Row],[Losing Candidate]]-SamplingData[[#This Row],[Candidate 6]])/(SamplingData[[#Totals],[Winning Candidate]]-SamplingData[[#Totals],[Candidate 6]]), 0)</f>
        <v>0</v>
      </c>
      <c r="V1129" s="100">
        <f>IF(AND(SamplingData[[#This Row],[Total]]&lt;&gt; 0, NOT(ISBLANK(SamplingData[[#This Row],[Candidate 7]]))),(SamplingData[[#This Row],[Total]]+SamplingData[[#This Row],[Winning Candidate]]-SamplingData[[#This Row],[Candidate 7]])/(SamplingData[[#Totals],[Winning Candidate]]-SamplingData[[#Totals],[Candidate 7]]), 0)</f>
        <v>0</v>
      </c>
      <c r="W1129" s="100">
        <f>IF(AND(SamplingData[[#This Row],[Total]]&lt;&gt; 0, NOT(ISBLANK(SamplingData[[#This Row],[Candidate 8]]))),(SamplingData[[#This Row],[Total]]+SamplingData[[#This Row],[Winning Candidate]]-SamplingData[[#This Row],[Candidate 8]])/(SamplingData[[#Totals],[Winning Candidate]]-SamplingData[[#Totals],[Candidate 8]]), 0)</f>
        <v>0</v>
      </c>
      <c r="X1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9" s="100">
        <f>MAX(SamplingData[[#This Row],[Error Bound (up) - Max. possible relative overstatement - Losing Candidate]:[Error Bound (up) - Max. possible relative overstatement - Candidate 12]])</f>
        <v>1.0365298237899299E-3</v>
      </c>
      <c r="AC1129" s="100">
        <f>IF(SamplingData[[#This Row],[Max Error Bound (up)]] = 0,0,SamplingData[[#This Row],[Max Error Bound (up)]]/SamplingData[[#Totals],[Max Error Bound (up)]])</f>
        <v>4.44193183653691E-4</v>
      </c>
      <c r="AD1129" s="104">
        <f>SUM($AC$5:AC1129)</f>
        <v>0.99991923760297297</v>
      </c>
      <c r="AE1129" s="100" t="str" cm="1">
        <f t="array" ref="AE1129">IF(SamplingData[[#This Row],[up/U Selection Probability]] = 0, "Zero", TEXT(SamplingData[[#This Row],[Lower Range]], REPT("0",LEN('General Info'!$B$42))) &amp; " - " &amp; TEXT(SamplingData[[#This Row],[Upper Range]], REPT("0",LEN('General Info'!$B$42))))</f>
        <v>99948 - 99991</v>
      </c>
      <c r="AF1129" s="100">
        <f>SamplingData[[#This Row],[Upper Range]]-SamplingData[[#This Row],[Span]]</f>
        <v>99947.504441931931</v>
      </c>
      <c r="AG1129" s="100">
        <f>IF(ISNUMBER('General Info'!$B$42), ((SamplingData[[#This Row],[up/U Selection Probability]]) * 'General Info'!$B$44) - 1, 0)</f>
        <v>43.419318365369101</v>
      </c>
      <c r="AH1129" s="100">
        <f>IF(ISNUMBER('General Info'!$B$42), (SamplingData[[#This Row],[Running (cumulative) sum]] * ('General Info'!$B$42 -'General Info'!$B$43 + 1)) + 'General Info'!$B$43 - 1, 0)</f>
        <v>99990.923760297301</v>
      </c>
      <c r="AI1129" s="100" t="str">
        <f>IF(ISERROR(MATCH(SamplingData[[#This Row],[Batch by Type (p)]],SelectedPrecincts[Batch Name], 0)), "", INDEX(SelectedPrecincts[Draw], MATCH(SamplingData[[#This Row],[Batch by Type (p)]],SelectedPrecincts[Batch Name], 0)))</f>
        <v/>
      </c>
      <c r="AJ1129" s="101">
        <f>IF(COUNTIF(SelectedPrecincts[Batch Name],SamplingData[[#This Row],[Batch by Type (p)]]) &lt;&gt; 0, COUNTIF(SelectedPrecincts[Batch Name],SamplingData[[#This Row],[Batch by Type (p)]]), 0)</f>
        <v>0</v>
      </c>
    </row>
    <row r="1130" spans="1:36" ht="15" customHeight="1" x14ac:dyDescent="0.35">
      <c r="A1130" s="98" t="s">
        <v>1340</v>
      </c>
      <c r="B1130" s="98">
        <v>3</v>
      </c>
      <c r="C1130" s="98">
        <v>2</v>
      </c>
      <c r="D1130" s="93"/>
      <c r="E1130" s="93"/>
      <c r="F1130" s="93"/>
      <c r="G1130" s="97"/>
      <c r="H1130" s="97"/>
      <c r="I1130" s="93"/>
      <c r="J1130" s="93"/>
      <c r="K1130" s="93"/>
      <c r="L1130" s="93"/>
      <c r="M1130" s="93"/>
      <c r="N1130" s="98">
        <v>0</v>
      </c>
      <c r="O1130" s="98">
        <v>0</v>
      </c>
      <c r="P1130" s="99">
        <f>SUM(SamplingData[[#This Row],[Winning Candidate]:[Under Votes]])</f>
        <v>5</v>
      </c>
      <c r="Q1130" s="100">
        <f>IF(AND(SamplingData[[#This Row],[Total]]&lt;&gt; 0, NOT(ISBLANK(SamplingData[[#This Row],[Losing Candidate]]))),(SamplingData[[#This Row],[Total]]+SamplingData[[#This Row],[Winning Candidate]]-SamplingData[[#This Row],[Losing Candidate]])/(SamplingData[[#Totals],[Winning Candidate]]-SamplingData[[#Totals],[Losing Candidate]]), 0)</f>
        <v>1.8845996796180544E-4</v>
      </c>
      <c r="R1130" s="100">
        <f>IF(AND(SamplingData[[#This Row],[Total]]&lt;&gt; 0, NOT(ISBLANK(SamplingData[[#This Row],[Candidate 3]]))),(SamplingData[[#This Row],[Total]]+SamplingData[[#This Row],[Winning Candidate]]-SamplingData[[#This Row],[Candidate 3]])/(SamplingData[[#Totals],[Winning Candidate]]-SamplingData[[#Totals],[Candidate 3]]), 0)</f>
        <v>0</v>
      </c>
      <c r="S1130" s="100">
        <f>IF(AND(SamplingData[[#This Row],[Total]]&lt;&gt; 0, NOT(ISBLANK(SamplingData[[#This Row],[Candidate 4]]))),(SamplingData[[#This Row],[Total]]+SamplingData[[#This Row],[Winning Candidate]]-SamplingData[[#This Row],[Candidate 4]])/(SamplingData[[#Totals],[Winning Candidate]]-SamplingData[[#Totals],[Candidate 4]]), 0)</f>
        <v>0</v>
      </c>
      <c r="T1130" s="100">
        <f>IF(AND(SamplingData[[#This Row],[Total]]&lt;&gt; 0, NOT(ISBLANK(SamplingData[[#This Row],[Candidate 5]]))),(SamplingData[[#This Row],[Total]]+SamplingData[[#This Row],[Winning Candidate]]-SamplingData[[#This Row],[Candidate 5]])/(SamplingData[[#Totals],[Winning Candidate]]-SamplingData[[#Totals],[Candidate 5]]), 0)</f>
        <v>0</v>
      </c>
      <c r="U1130" s="100">
        <f>IF(AND(SamplingData[[#This Row],[Total]]&lt;&gt; 0, NOT(ISBLANK(SamplingData[[#This Row],[Candidate 6]]))),(SamplingData[[#This Row],[Total]]+SamplingData[[#This Row],[Losing Candidate]]-SamplingData[[#This Row],[Candidate 6]])/(SamplingData[[#Totals],[Winning Candidate]]-SamplingData[[#Totals],[Candidate 6]]), 0)</f>
        <v>0</v>
      </c>
      <c r="V1130" s="100">
        <f>IF(AND(SamplingData[[#This Row],[Total]]&lt;&gt; 0, NOT(ISBLANK(SamplingData[[#This Row],[Candidate 7]]))),(SamplingData[[#This Row],[Total]]+SamplingData[[#This Row],[Winning Candidate]]-SamplingData[[#This Row],[Candidate 7]])/(SamplingData[[#Totals],[Winning Candidate]]-SamplingData[[#Totals],[Candidate 7]]), 0)</f>
        <v>0</v>
      </c>
      <c r="W1130" s="100">
        <f>IF(AND(SamplingData[[#This Row],[Total]]&lt;&gt; 0, NOT(ISBLANK(SamplingData[[#This Row],[Candidate 8]]))),(SamplingData[[#This Row],[Total]]+SamplingData[[#This Row],[Winning Candidate]]-SamplingData[[#This Row],[Candidate 8]])/(SamplingData[[#Totals],[Winning Candidate]]-SamplingData[[#Totals],[Candidate 8]]), 0)</f>
        <v>0</v>
      </c>
      <c r="X1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0" s="100">
        <f>MAX(SamplingData[[#This Row],[Error Bound (up) - Max. possible relative overstatement - Losing Candidate]:[Error Bound (up) - Max. possible relative overstatement - Candidate 12]])</f>
        <v>1.8845996796180544E-4</v>
      </c>
      <c r="AC1130" s="100">
        <f>IF(SamplingData[[#This Row],[Max Error Bound (up)]] = 0,0,SamplingData[[#This Row],[Max Error Bound (up)]]/SamplingData[[#Totals],[Max Error Bound (up)]])</f>
        <v>8.0762397027943816E-5</v>
      </c>
      <c r="AD1130" s="104">
        <f>SUM($AC$5:AC1130)</f>
        <v>1.0000000000000009</v>
      </c>
      <c r="AE1130" s="100" t="str" cm="1">
        <f t="array" ref="AE1130">IF(SamplingData[[#This Row],[up/U Selection Probability]] = 0, "Zero", TEXT(SamplingData[[#This Row],[Lower Range]], REPT("0",LEN('General Info'!$B$42))) &amp; " - " &amp; TEXT(SamplingData[[#This Row],[Upper Range]], REPT("0",LEN('General Info'!$B$42))))</f>
        <v>99992 - 99999</v>
      </c>
      <c r="AF1130" s="100">
        <f>SamplingData[[#This Row],[Upper Range]]-SamplingData[[#This Row],[Span]]</f>
        <v>99991.923760297286</v>
      </c>
      <c r="AG1130" s="100">
        <f>IF(ISNUMBER('General Info'!$B$42), ((SamplingData[[#This Row],[up/U Selection Probability]]) * 'General Info'!$B$44) - 1, 0)</f>
        <v>7.076239702794382</v>
      </c>
      <c r="AH1130" s="100">
        <f>IF(ISNUMBER('General Info'!$B$42), (SamplingData[[#This Row],[Running (cumulative) sum]] * ('General Info'!$B$42 -'General Info'!$B$43 + 1)) + 'General Info'!$B$43 - 1, 0)</f>
        <v>99999.000000000087</v>
      </c>
      <c r="AI1130" s="100" t="str">
        <f>IF(ISERROR(MATCH(SamplingData[[#This Row],[Batch by Type (p)]],SelectedPrecincts[Batch Name], 0)), "", INDEX(SelectedPrecincts[Draw], MATCH(SamplingData[[#This Row],[Batch by Type (p)]],SelectedPrecincts[Batch Name], 0)))</f>
        <v/>
      </c>
      <c r="AJ1130" s="101">
        <f>IF(COUNTIF(SelectedPrecincts[Batch Name],SamplingData[[#This Row],[Batch by Type (p)]]) &lt;&gt; 0, COUNTIF(SelectedPrecincts[Batch Name],SamplingData[[#This Row],[Batch by Type (p)]]), 0)</f>
        <v>0</v>
      </c>
    </row>
    <row r="1131" spans="1:36" ht="15" customHeight="1" x14ac:dyDescent="0.35">
      <c r="A1131" s="105">
        <f>SUBTOTAL(103,SamplingData[Batch by Type (p)])</f>
        <v>1126</v>
      </c>
      <c r="B1131" s="105">
        <f>SUM(SamplingData[Winning Candidate])</f>
        <v>36628</v>
      </c>
      <c r="C1131" s="105">
        <f>SUM(SamplingData[Losing Candidate])</f>
        <v>4791</v>
      </c>
      <c r="D1131" s="105">
        <f>SUM(SamplingData[Candidate 3])</f>
        <v>0</v>
      </c>
      <c r="E1131" s="105">
        <f>SUM(SamplingData[Candidate 4])</f>
        <v>0</v>
      </c>
      <c r="F1131" s="105">
        <f>SUM(SamplingData[Candidate 5])</f>
        <v>0</v>
      </c>
      <c r="G1131" s="105">
        <f>SUBTOTAL(109,SamplingData[Candidate 6])</f>
        <v>0</v>
      </c>
      <c r="H1131" s="105">
        <f>SUBTOTAL(109,SamplingData[Candidate 7])</f>
        <v>0</v>
      </c>
      <c r="I1131" s="105">
        <f>SUM(SamplingData[Candidate 8])</f>
        <v>0</v>
      </c>
      <c r="J1131" s="105"/>
      <c r="K1131" s="105"/>
      <c r="L1131" s="105"/>
      <c r="M1131" s="105"/>
      <c r="N1131" s="105">
        <f>SUM(SamplingData[Over Votes])</f>
        <v>29</v>
      </c>
      <c r="O1131" s="105">
        <f>SUM(SamplingData[Under Votes])</f>
        <v>1007</v>
      </c>
      <c r="P1131" s="106">
        <f>SUM(SamplingData[Total])</f>
        <v>42455</v>
      </c>
      <c r="Q1131" s="105">
        <f>SUM(SamplingData[Error Bound (up) - Max. possible relative overstatement - Losing Candidate])</f>
        <v>2.3335113233030742</v>
      </c>
      <c r="R1131" s="105">
        <f>SUM(SamplingData[Error Bound (up) - Max. possible relative overstatement - Candidate 3])</f>
        <v>0</v>
      </c>
      <c r="S1131" s="105">
        <f>SUM(SamplingData[Error Bound (up) - Max. possible relative overstatement - Candidate 4])</f>
        <v>0</v>
      </c>
      <c r="T1131" s="105">
        <f>SUM(SamplingData[Error Bound (up) - Max. possible relative overstatement - Candidate 5])</f>
        <v>0</v>
      </c>
      <c r="U1131" s="105">
        <f>SUBTOTAL(109,SamplingData[Error Bound (up) - Max. possible relative overstatement - Candidate 6])</f>
        <v>0</v>
      </c>
      <c r="V1131" s="105">
        <f>SUBTOTAL(109,SamplingData[Error Bound (up) - Max. possible relative overstatement - Candidate 7])</f>
        <v>0</v>
      </c>
      <c r="W1131" s="105">
        <f>SUM(SamplingData[Error Bound (up) - Max. possible relative overstatement - Candidate 8])</f>
        <v>0</v>
      </c>
      <c r="X1131" s="105">
        <f>SUM(SamplingData[Error Bound (up) - Max. possible relative overstatement - Candidate 9])</f>
        <v>0</v>
      </c>
      <c r="Y1131" s="105">
        <f>SUM(SamplingData[Error Bound (up) - Max. possible relative overstatement - Candidate 10])</f>
        <v>0</v>
      </c>
      <c r="Z1131" s="105">
        <f>SUM(SamplingData[Error Bound (up) - Max. possible relative overstatement - Candidate 11])</f>
        <v>0</v>
      </c>
      <c r="AA1131" s="105">
        <f>SUM(SamplingData[Error Bound (up) - Max. possible relative overstatement - Candidate 12])</f>
        <v>0</v>
      </c>
      <c r="AB1131" s="105">
        <f>SUM(SamplingData[Max Error Bound (up)])</f>
        <v>2.3335113233030742</v>
      </c>
      <c r="AC1131" s="105">
        <f>SUM(SamplingData[up/U Selection Probability])</f>
        <v>1.0000000000000009</v>
      </c>
      <c r="AD1131" s="105">
        <f>SUM(SamplingData[Running (cumulative) sum])</f>
        <v>293.30226673127697</v>
      </c>
      <c r="AE1131" s="105" t="str">
        <f>IF(OR(NOT(ISNUMBER('General Info'!$B$42)), NOT(ISNUMBER('General Info'!$B$43))), "UNDEFINED", TEXT(MIN(SamplingData[Lower Range]), REPT("0",LEN('General Info'!$B$42))) &amp; " - " &amp; TEXT(MAX(SamplingData[Upper Range]), REPT("0",LEN('General Info'!$B$42))))</f>
        <v>00000 - 99999</v>
      </c>
      <c r="AF1131" s="105">
        <f>SUM(SamplingData[Lower Range])</f>
        <v>29230226.673127688</v>
      </c>
      <c r="AG1131" s="105">
        <f>SUM(SamplingData[Span])</f>
        <v>98874.000000000073</v>
      </c>
      <c r="AH1131" s="105">
        <f>SUM(SamplingData[Upper Range])</f>
        <v>29329100.673127688</v>
      </c>
      <c r="AI1131" s="105" t="s">
        <v>0</v>
      </c>
      <c r="AJ1131" s="106">
        <f>COUNTIF(SamplingData[Times p Drawn - With Replacement], "&lt;&gt;0")</f>
        <v>5</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zoomScaleNormal="100" workbookViewId="0">
      <selection activeCell="A3" sqref="A3:C3"/>
    </sheetView>
  </sheetViews>
  <sheetFormatPr defaultRowHeight="15" customHeight="1" x14ac:dyDescent="0.35"/>
  <cols>
    <col min="1" max="1" width="4.54296875" customWidth="1"/>
    <col min="2" max="2" width="3.26953125" style="16" customWidth="1"/>
    <col min="3" max="3" width="87.1796875" customWidth="1"/>
    <col min="4" max="4" width="71.453125" style="75" bestFit="1" customWidth="1"/>
  </cols>
  <sheetData>
    <row r="1" spans="1:3" ht="18" customHeight="1" x14ac:dyDescent="0.35">
      <c r="A1" s="131" t="str">
        <f ca="1">MID(CELL("filename",$A$2), FIND("]", CELL("filename",$A$2)) + 1, 255)</f>
        <v>Instructions</v>
      </c>
      <c r="B1" s="132"/>
      <c r="C1" s="133"/>
    </row>
    <row r="2" spans="1:3" ht="33.75" customHeight="1" x14ac:dyDescent="0.35">
      <c r="A2" s="136" t="s">
        <v>127</v>
      </c>
      <c r="B2" s="137"/>
      <c r="C2" s="138"/>
    </row>
    <row r="3" spans="1:3" ht="20.25" customHeight="1" x14ac:dyDescent="0.35">
      <c r="A3" s="139" t="s">
        <v>152</v>
      </c>
      <c r="B3" s="140"/>
      <c r="C3" s="141"/>
    </row>
    <row r="4" spans="1:3" ht="20.25" customHeight="1" x14ac:dyDescent="0.35">
      <c r="A4" s="139" t="str">
        <f>"Note: Paste data as values only (see item " &amp; $A$57 &amp; " below)."</f>
        <v>Note: Paste data as values only (see item S1 below).</v>
      </c>
      <c r="B4" s="140"/>
      <c r="C4" s="141"/>
    </row>
    <row r="5" spans="1:3" ht="20.25" customHeight="1" x14ac:dyDescent="0.35">
      <c r="A5" s="142" t="s">
        <v>128</v>
      </c>
      <c r="B5" s="143"/>
      <c r="C5" s="144"/>
    </row>
    <row r="6" spans="1:3" ht="35.25" customHeight="1" x14ac:dyDescent="0.35">
      <c r="A6" s="71">
        <v>1</v>
      </c>
      <c r="B6" s="145" t="s">
        <v>119</v>
      </c>
      <c r="C6" s="146"/>
    </row>
    <row r="7" spans="1:3" ht="18.75" customHeight="1" x14ac:dyDescent="0.35">
      <c r="A7" s="160">
        <v>2</v>
      </c>
      <c r="B7" s="147"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48"/>
    </row>
    <row r="8" spans="1:3" ht="18" customHeight="1" x14ac:dyDescent="0.35">
      <c r="A8" s="161"/>
      <c r="B8" s="58" t="s">
        <v>138</v>
      </c>
      <c r="C8" s="51" t="s">
        <v>129</v>
      </c>
    </row>
    <row r="9" spans="1:3" ht="17.25" customHeight="1" x14ac:dyDescent="0.35">
      <c r="A9" s="161"/>
      <c r="B9" s="58" t="s">
        <v>139</v>
      </c>
      <c r="C9" s="51" t="s">
        <v>130</v>
      </c>
    </row>
    <row r="10" spans="1:3" ht="18" customHeight="1" x14ac:dyDescent="0.35">
      <c r="A10" s="161"/>
      <c r="B10" s="58" t="s">
        <v>140</v>
      </c>
      <c r="C10" s="51" t="s">
        <v>131</v>
      </c>
    </row>
    <row r="11" spans="1:3" ht="18" customHeight="1" x14ac:dyDescent="0.35">
      <c r="A11" s="161"/>
      <c r="B11" s="58" t="s">
        <v>141</v>
      </c>
      <c r="C11" s="51" t="s">
        <v>163</v>
      </c>
    </row>
    <row r="12" spans="1:3" ht="18" customHeight="1" x14ac:dyDescent="0.35">
      <c r="A12" s="161"/>
      <c r="B12" s="58" t="s">
        <v>142</v>
      </c>
      <c r="C12" s="51" t="s">
        <v>164</v>
      </c>
    </row>
    <row r="13" spans="1:3" ht="14.5" x14ac:dyDescent="0.35">
      <c r="A13" s="161"/>
      <c r="B13" s="58" t="s">
        <v>143</v>
      </c>
      <c r="C13" s="51" t="s">
        <v>165</v>
      </c>
    </row>
    <row r="14" spans="1:3" ht="33" customHeight="1" x14ac:dyDescent="0.35">
      <c r="A14" s="161"/>
      <c r="B14" s="58" t="s">
        <v>144</v>
      </c>
      <c r="C14" s="51" t="s">
        <v>132</v>
      </c>
    </row>
    <row r="15" spans="1:3" ht="36" customHeight="1" x14ac:dyDescent="0.35">
      <c r="A15" s="162"/>
      <c r="B15" s="59" t="s">
        <v>145</v>
      </c>
      <c r="C15" s="51" t="s">
        <v>166</v>
      </c>
    </row>
    <row r="16" spans="1:3" ht="31.5" customHeight="1" x14ac:dyDescent="0.35">
      <c r="A16" s="155">
        <v>3</v>
      </c>
      <c r="B16" s="149"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0"/>
    </row>
    <row r="17" spans="1:3" ht="30" customHeight="1" x14ac:dyDescent="0.35">
      <c r="A17" s="156"/>
      <c r="B17" s="61" t="s">
        <v>138</v>
      </c>
      <c r="C17" s="62" t="s">
        <v>133</v>
      </c>
    </row>
    <row r="18" spans="1:3" ht="16.5" customHeight="1" x14ac:dyDescent="0.35">
      <c r="A18" s="156"/>
      <c r="B18" s="61"/>
      <c r="C18" s="63" t="s">
        <v>209</v>
      </c>
    </row>
    <row r="19" spans="1:3" ht="18.75" customHeight="1" x14ac:dyDescent="0.35">
      <c r="A19" s="157"/>
      <c r="B19" s="64" t="s">
        <v>139</v>
      </c>
      <c r="C19" s="65" t="str">
        <f>"Hide any remaining unused rows if desired (see item "&amp;$A$61&amp;" below)."</f>
        <v>Hide any remaining unused rows if desired (see item S2 below).</v>
      </c>
    </row>
    <row r="20" spans="1:3" ht="18.75" customHeight="1" x14ac:dyDescent="0.35">
      <c r="A20" s="153">
        <v>4</v>
      </c>
      <c r="B20" s="151" t="str">
        <f ca="1">"Enter/Import election data into the '"&amp;MID(CELL("filename",'Sampling Data'!A4), FIND("]", CELL("filename",'Sampling Data'!A4)) + 1, 255) &amp; "' spreadsheet."</f>
        <v>Enter/Import election data into the 'Sampling Data' spreadsheet.</v>
      </c>
      <c r="C20" s="152"/>
    </row>
    <row r="21" spans="1:3" ht="18.75" customHeight="1" x14ac:dyDescent="0.35">
      <c r="A21" s="163"/>
      <c r="B21" s="58" t="s">
        <v>138</v>
      </c>
      <c r="C21" s="51" t="s">
        <v>135</v>
      </c>
    </row>
    <row r="22" spans="1:3" ht="17.25" customHeight="1" x14ac:dyDescent="0.35">
      <c r="A22" s="163"/>
      <c r="B22" s="58" t="s">
        <v>139</v>
      </c>
      <c r="C22" s="51" t="s">
        <v>146</v>
      </c>
    </row>
    <row r="23" spans="1:3" ht="33.75" customHeight="1" x14ac:dyDescent="0.35">
      <c r="A23" s="163"/>
      <c r="B23" s="58"/>
      <c r="C23" s="52" t="s">
        <v>160</v>
      </c>
    </row>
    <row r="24" spans="1:3" ht="19.5" customHeight="1" x14ac:dyDescent="0.35">
      <c r="A24" s="163"/>
      <c r="B24" s="58" t="s">
        <v>140</v>
      </c>
      <c r="C24" s="51" t="s">
        <v>156</v>
      </c>
    </row>
    <row r="25" spans="1:3" ht="28.5" customHeight="1" x14ac:dyDescent="0.35">
      <c r="A25" s="163"/>
      <c r="B25" s="58" t="s">
        <v>141</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63"/>
      <c r="B26" s="58"/>
      <c r="C26" s="52" t="s">
        <v>136</v>
      </c>
    </row>
    <row r="27" spans="1:3" ht="33.75" customHeight="1" x14ac:dyDescent="0.35">
      <c r="A27" s="163"/>
      <c r="B27" s="58" t="s">
        <v>142</v>
      </c>
      <c r="C27" s="51" t="s">
        <v>134</v>
      </c>
    </row>
    <row r="28" spans="1:3" ht="14.5" x14ac:dyDescent="0.35">
      <c r="A28" s="163"/>
      <c r="B28" s="58" t="s">
        <v>143</v>
      </c>
      <c r="C28" s="102" t="s">
        <v>180</v>
      </c>
    </row>
    <row r="29" spans="1:3" ht="33.75" customHeight="1" x14ac:dyDescent="0.35">
      <c r="A29" s="154"/>
      <c r="B29" s="59" t="s">
        <v>144</v>
      </c>
      <c r="C29" s="53" t="str">
        <f>"You may hide any column with the words 'UNDEFINED' in the header (see item "&amp;$A$61&amp;" 
below)."</f>
        <v>You may hide any column with the words 'UNDEFINED' in the header (see item S2 
below).</v>
      </c>
    </row>
    <row r="30" spans="1:3" ht="19.5" customHeight="1" x14ac:dyDescent="0.35">
      <c r="A30" s="155">
        <v>5</v>
      </c>
      <c r="B30" s="149" t="s">
        <v>137</v>
      </c>
      <c r="C30" s="150"/>
    </row>
    <row r="31" spans="1:3" ht="18.75" customHeight="1" x14ac:dyDescent="0.35">
      <c r="A31" s="156"/>
      <c r="B31" s="61" t="s">
        <v>138</v>
      </c>
      <c r="C31" s="62" t="s">
        <v>210</v>
      </c>
    </row>
    <row r="32" spans="1:3" ht="18.75" customHeight="1" x14ac:dyDescent="0.35">
      <c r="A32" s="156"/>
      <c r="B32" s="61" t="s">
        <v>139</v>
      </c>
      <c r="C32" s="62" t="s">
        <v>211</v>
      </c>
    </row>
    <row r="33" spans="1:3" ht="19.5" customHeight="1" x14ac:dyDescent="0.35">
      <c r="A33" s="156"/>
      <c r="B33" s="61" t="s">
        <v>140</v>
      </c>
      <c r="C33" s="62" t="s">
        <v>212</v>
      </c>
    </row>
    <row r="34" spans="1:3" ht="50.25" customHeight="1" x14ac:dyDescent="0.35">
      <c r="A34" s="157"/>
      <c r="B34" s="64" t="s">
        <v>141</v>
      </c>
      <c r="C34" s="65" t="s">
        <v>213</v>
      </c>
    </row>
    <row r="35" spans="1:3" ht="18.75" customHeight="1" x14ac:dyDescent="0.35">
      <c r="A35" s="153">
        <v>6</v>
      </c>
      <c r="B35" s="151" t="str">
        <f ca="1">"Select the batches to audit on the spreadsheet titled: '" &amp; MID(CELL("filename",'Selected Batches'!$A$2), FIND("]", CELL("filename",'Selected Batches'!$A$2)) + 1, 255) &amp; "'."</f>
        <v>Select the batches to audit on the spreadsheet titled: 'Selected Batches'.</v>
      </c>
      <c r="C35" s="152"/>
    </row>
    <row r="36" spans="1:3" ht="48" customHeight="1" x14ac:dyDescent="0.35">
      <c r="A36" s="163"/>
      <c r="B36" s="58" t="s">
        <v>138</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63"/>
      <c r="B37" s="58" t="s">
        <v>139</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63"/>
      <c r="B38" s="58"/>
      <c r="C38" s="52" t="s">
        <v>116</v>
      </c>
    </row>
    <row r="39" spans="1:3" ht="36.75" customHeight="1" x14ac:dyDescent="0.35">
      <c r="A39" s="154"/>
      <c r="B39" s="59" t="s">
        <v>140</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55">
        <v>7</v>
      </c>
      <c r="B40" s="149" t="str">
        <f ca="1">"Enter the audit results in the spreadsheet titled: '" &amp; MID(CELL("filename",Audit!$A$3), FIND("]", CELL("filename",Audit!$A$3)) + 1, 255) &amp; "'."</f>
        <v>Enter the audit results in the spreadsheet titled: 'Audit'.</v>
      </c>
      <c r="C40" s="150"/>
    </row>
    <row r="41" spans="1:3" ht="13.5" customHeight="1" x14ac:dyDescent="0.35">
      <c r="A41" s="156"/>
      <c r="B41" s="61" t="s">
        <v>138</v>
      </c>
      <c r="C41" s="62" t="str">
        <f>"Adjust the size of the table; see items " &amp;$A$70 &amp; ", " &amp; $A$74 &amp; " below."</f>
        <v>Adjust the size of the table; see items S4, S5 below.</v>
      </c>
    </row>
    <row r="42" spans="1:3" ht="18" customHeight="1" x14ac:dyDescent="0.35">
      <c r="A42" s="156"/>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56"/>
      <c r="B43" s="61" t="s">
        <v>139</v>
      </c>
      <c r="C43" s="103" t="s">
        <v>180</v>
      </c>
    </row>
    <row r="44" spans="1:3" ht="20.25" customHeight="1" x14ac:dyDescent="0.35">
      <c r="A44" s="156"/>
      <c r="B44" s="61" t="s">
        <v>140</v>
      </c>
      <c r="C44" s="62" t="str">
        <f>"Hide any columns that have 'Undefined' in the header, see item " &amp; $A$61 &amp; "."</f>
        <v>Hide any columns that have 'Undefined' in the header, see item S2.</v>
      </c>
    </row>
    <row r="45" spans="1:3" ht="34.5" customHeight="1" x14ac:dyDescent="0.35">
      <c r="A45" s="156"/>
      <c r="B45" s="61" t="s">
        <v>141</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56"/>
      <c r="B46" s="61" t="s">
        <v>142</v>
      </c>
      <c r="C46" s="62" t="str">
        <f>"Using the drop down filter button for the column labeled: '" &amp; Audit!$A$4 &amp; "', 
 uncheck 'Blanks'."</f>
        <v>Using the drop down filter button for the column labeled: 'Selection - Batch picked for audit', 
 uncheck 'Blanks'.</v>
      </c>
    </row>
    <row r="47" spans="1:3" ht="19.5" customHeight="1" x14ac:dyDescent="0.35">
      <c r="A47" s="156"/>
      <c r="B47" s="61" t="s">
        <v>143</v>
      </c>
      <c r="C47" s="62" t="s">
        <v>158</v>
      </c>
    </row>
    <row r="48" spans="1:3" ht="30.75" customHeight="1" x14ac:dyDescent="0.35">
      <c r="A48" s="156"/>
      <c r="B48" s="61" t="s">
        <v>144</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56"/>
      <c r="B49" s="61" t="s">
        <v>145</v>
      </c>
      <c r="C49" s="62" t="s">
        <v>120</v>
      </c>
    </row>
    <row r="50" spans="1:3" ht="20.25" customHeight="1" x14ac:dyDescent="0.35">
      <c r="A50" s="157"/>
      <c r="B50" s="64" t="s">
        <v>214</v>
      </c>
      <c r="C50" s="65" t="str">
        <f>"If more batches are needed due to errors, repeat previous steps above starting with " &amp;$A$35&amp;"."&amp;$B$37&amp;""</f>
        <v>If more batches are needed due to errors, repeat previous steps above starting with 6.b.</v>
      </c>
    </row>
    <row r="51" spans="1:3" ht="30" customHeight="1" x14ac:dyDescent="0.35">
      <c r="A51" s="153">
        <v>8</v>
      </c>
      <c r="B51" s="151"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2"/>
    </row>
    <row r="52" spans="1:3" ht="21" customHeight="1" x14ac:dyDescent="0.35">
      <c r="A52" s="154"/>
      <c r="B52" s="158" t="s">
        <v>121</v>
      </c>
      <c r="C52" s="159"/>
    </row>
    <row r="53" spans="1:3" ht="24.75" customHeight="1" x14ac:dyDescent="0.35">
      <c r="A53" s="66">
        <v>9</v>
      </c>
      <c r="B53" s="134" t="s">
        <v>109</v>
      </c>
      <c r="C53" s="135"/>
    </row>
    <row r="54" spans="1:3" ht="25.5" customHeight="1" x14ac:dyDescent="0.35">
      <c r="A54" s="60">
        <v>10</v>
      </c>
      <c r="B54" s="164" t="s">
        <v>108</v>
      </c>
      <c r="C54" s="165"/>
    </row>
    <row r="55" spans="1:3" ht="18" customHeight="1" x14ac:dyDescent="0.35">
      <c r="A55" s="131" t="s">
        <v>155</v>
      </c>
      <c r="B55" s="132"/>
      <c r="C55" s="133"/>
    </row>
    <row r="56" spans="1:3" ht="20.25" customHeight="1" x14ac:dyDescent="0.35">
      <c r="A56" s="169" t="s">
        <v>154</v>
      </c>
      <c r="B56" s="170"/>
      <c r="C56" s="171"/>
    </row>
    <row r="57" spans="1:3" ht="19.5" customHeight="1" x14ac:dyDescent="0.35">
      <c r="A57" s="166" t="s">
        <v>110</v>
      </c>
      <c r="B57" s="149" t="s">
        <v>153</v>
      </c>
      <c r="C57" s="150"/>
    </row>
    <row r="58" spans="1:3" ht="18.75" customHeight="1" x14ac:dyDescent="0.35">
      <c r="A58" s="167"/>
      <c r="B58" s="67" t="s">
        <v>138</v>
      </c>
      <c r="C58" s="62" t="s">
        <v>215</v>
      </c>
    </row>
    <row r="59" spans="1:3" ht="32.25" customHeight="1" x14ac:dyDescent="0.35">
      <c r="A59" s="167"/>
      <c r="B59" s="67" t="s">
        <v>139</v>
      </c>
      <c r="C59" s="62" t="s">
        <v>122</v>
      </c>
    </row>
    <row r="60" spans="1:3" ht="19.5" customHeight="1" x14ac:dyDescent="0.35">
      <c r="A60" s="168"/>
      <c r="B60" s="68" t="s">
        <v>140</v>
      </c>
      <c r="C60" s="65" t="s">
        <v>118</v>
      </c>
    </row>
    <row r="61" spans="1:3" ht="18.75" customHeight="1" x14ac:dyDescent="0.35">
      <c r="A61" s="153" t="s">
        <v>111</v>
      </c>
      <c r="B61" s="151" t="s">
        <v>147</v>
      </c>
      <c r="C61" s="152"/>
    </row>
    <row r="62" spans="1:3" ht="33.75" customHeight="1" x14ac:dyDescent="0.35">
      <c r="A62" s="163"/>
      <c r="B62" s="54" t="s">
        <v>138</v>
      </c>
      <c r="C62" s="55" t="s">
        <v>148</v>
      </c>
    </row>
    <row r="63" spans="1:3" ht="18.75" customHeight="1" x14ac:dyDescent="0.35">
      <c r="A63" s="163"/>
      <c r="B63" s="54" t="s">
        <v>139</v>
      </c>
      <c r="C63" s="55" t="s">
        <v>149</v>
      </c>
    </row>
    <row r="64" spans="1:3" ht="18.75" customHeight="1" x14ac:dyDescent="0.35">
      <c r="A64" s="154"/>
      <c r="B64" s="57" t="s">
        <v>140</v>
      </c>
      <c r="C64" s="56" t="s">
        <v>102</v>
      </c>
    </row>
    <row r="65" spans="1:3" ht="18.75" customHeight="1" x14ac:dyDescent="0.35">
      <c r="A65" s="155" t="s">
        <v>112</v>
      </c>
      <c r="B65" s="149" t="s">
        <v>150</v>
      </c>
      <c r="C65" s="150"/>
    </row>
    <row r="66" spans="1:3" ht="33.75" customHeight="1" x14ac:dyDescent="0.35">
      <c r="A66" s="156"/>
      <c r="B66" s="61" t="s">
        <v>138</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56"/>
      <c r="B67" s="61" t="s">
        <v>139</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56"/>
      <c r="B68" s="61" t="s">
        <v>140</v>
      </c>
      <c r="C68" s="69" t="s">
        <v>151</v>
      </c>
    </row>
    <row r="69" spans="1:3" ht="20.25" customHeight="1" x14ac:dyDescent="0.35">
      <c r="A69" s="157"/>
      <c r="B69" s="64" t="s">
        <v>141</v>
      </c>
      <c r="C69" s="70" t="s">
        <v>103</v>
      </c>
    </row>
    <row r="70" spans="1:3" ht="19.5" customHeight="1" x14ac:dyDescent="0.35">
      <c r="A70" s="153" t="s">
        <v>113</v>
      </c>
      <c r="B70" s="151" t="s">
        <v>106</v>
      </c>
      <c r="C70" s="152"/>
    </row>
    <row r="71" spans="1:3" ht="19.5" customHeight="1" x14ac:dyDescent="0.35">
      <c r="A71" s="163"/>
      <c r="B71" s="54" t="s">
        <v>138</v>
      </c>
      <c r="C71" s="55" t="s">
        <v>117</v>
      </c>
    </row>
    <row r="72" spans="1:3" ht="35.25" customHeight="1" x14ac:dyDescent="0.35">
      <c r="A72" s="163"/>
      <c r="B72" s="54" t="s">
        <v>139</v>
      </c>
      <c r="C72" s="55" t="s">
        <v>123</v>
      </c>
    </row>
    <row r="73" spans="1:3" ht="51" customHeight="1" x14ac:dyDescent="0.35">
      <c r="A73" s="154"/>
      <c r="B73" s="57" t="s">
        <v>140</v>
      </c>
      <c r="C73" s="56" t="s">
        <v>161</v>
      </c>
    </row>
    <row r="74" spans="1:3" ht="19.5" customHeight="1" x14ac:dyDescent="0.35">
      <c r="A74" s="155" t="s">
        <v>115</v>
      </c>
      <c r="B74" s="149" t="s">
        <v>107</v>
      </c>
      <c r="C74" s="150"/>
    </row>
    <row r="75" spans="1:3" ht="21" customHeight="1" x14ac:dyDescent="0.35">
      <c r="A75" s="156"/>
      <c r="B75" s="61" t="s">
        <v>138</v>
      </c>
      <c r="C75" s="69" t="s">
        <v>117</v>
      </c>
    </row>
    <row r="76" spans="1:3" ht="35.25" customHeight="1" x14ac:dyDescent="0.35">
      <c r="A76" s="156"/>
      <c r="B76" s="61" t="s">
        <v>139</v>
      </c>
      <c r="C76" s="69" t="s">
        <v>124</v>
      </c>
    </row>
    <row r="77" spans="1:3" ht="49.5" customHeight="1" x14ac:dyDescent="0.35">
      <c r="A77" s="156"/>
      <c r="B77" s="61" t="s">
        <v>140</v>
      </c>
      <c r="C77" s="69" t="s">
        <v>159</v>
      </c>
    </row>
    <row r="78" spans="1:3" ht="21.75" customHeight="1" x14ac:dyDescent="0.35">
      <c r="A78" s="157"/>
      <c r="B78" s="64" t="s">
        <v>141</v>
      </c>
      <c r="C78" s="70" t="s">
        <v>157</v>
      </c>
    </row>
    <row r="79" spans="1:3" ht="15" customHeight="1" x14ac:dyDescent="0.35">
      <c r="A79" s="153" t="s">
        <v>181</v>
      </c>
      <c r="B79" s="151" t="s">
        <v>182</v>
      </c>
      <c r="C79" s="152"/>
    </row>
    <row r="80" spans="1:3" ht="15" customHeight="1" x14ac:dyDescent="0.35">
      <c r="A80" s="163"/>
      <c r="B80" s="54" t="s">
        <v>138</v>
      </c>
      <c r="C80" s="55" t="s">
        <v>183</v>
      </c>
    </row>
    <row r="81" spans="1:3" ht="15" customHeight="1" x14ac:dyDescent="0.35">
      <c r="A81" s="163"/>
      <c r="B81" s="54" t="s">
        <v>139</v>
      </c>
      <c r="C81" s="55" t="s">
        <v>216</v>
      </c>
    </row>
    <row r="82" spans="1:3" ht="15" customHeight="1" x14ac:dyDescent="0.35">
      <c r="A82" s="154"/>
      <c r="B82" s="57" t="s">
        <v>140</v>
      </c>
      <c r="C82" s="56" t="s">
        <v>184</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2026-05-15T15:23:10Z</cp:lastPrinted>
  <dcterms:created xsi:type="dcterms:W3CDTF">2011-07-25T20:10:01Z</dcterms:created>
  <dcterms:modified xsi:type="dcterms:W3CDTF">2026-06-01T19:28:19Z</dcterms:modified>
</cp:coreProperties>
</file>